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X:\My Downloads\JSEP Submission\"/>
    </mc:Choice>
  </mc:AlternateContent>
  <xr:revisionPtr revIDLastSave="0" documentId="13_ncr:1_{BD3220A4-9CF8-4808-A528-B6DF12B01886}" xr6:coauthVersionLast="47" xr6:coauthVersionMax="47" xr10:uidLastSave="{00000000-0000-0000-0000-000000000000}"/>
  <bookViews>
    <workbookView xWindow="-120" yWindow="-120" windowWidth="29040" windowHeight="17790" tabRatio="790" activeTab="9" xr2:uid="{00000000-000D-0000-FFFF-FFFF00000000}"/>
  </bookViews>
  <sheets>
    <sheet name="WoS" sheetId="1" r:id="rId1"/>
    <sheet name="SCOPUS" sheetId="2" r:id="rId2"/>
    <sheet name="IEEE" sheetId="3" r:id="rId3"/>
    <sheet name="SCIENCEDIRECT" sheetId="4" r:id="rId4"/>
    <sheet name="SPRINGER" sheetId="5" r:id="rId5"/>
    <sheet name="ACM" sheetId="6" r:id="rId6"/>
    <sheet name="Not Used" sheetId="7" state="hidden" r:id="rId7"/>
    <sheet name="ALL DATABASES" sheetId="8" state="hidden" r:id="rId8"/>
    <sheet name="Merge-Unique" sheetId="9" r:id="rId9"/>
    <sheet name="All relevant articles" sheetId="18" r:id="rId10"/>
    <sheet name="Matrix Evaluation Tables" sheetId="20" r:id="rId11"/>
    <sheet name="Trends" sheetId="23" r:id="rId12"/>
    <sheet name="TD to Development Acitvity" sheetId="19" r:id="rId13"/>
  </sheets>
  <definedNames>
    <definedName name="_xlnm._FilterDatabase" localSheetId="7" hidden="1">'ALL DATABASES'!$A$1:$T$2252</definedName>
    <definedName name="_xlnm._FilterDatabase" localSheetId="8" hidden="1">'Merge-Unique'!$B$1:$H$1780</definedName>
    <definedName name="_xlnm._FilterDatabase" localSheetId="11" hidden="1">Trends!$B$3:$G$56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782" i="9" l="1"/>
  <c r="J4" i="23"/>
  <c r="T4" i="23" s="1"/>
  <c r="K4" i="23"/>
  <c r="L4" i="23"/>
  <c r="M4" i="23"/>
  <c r="N4" i="23"/>
  <c r="O4" i="23"/>
  <c r="P4" i="23"/>
  <c r="Q4" i="23"/>
  <c r="R4" i="23"/>
  <c r="S4" i="23"/>
  <c r="J5" i="23"/>
  <c r="K5" i="23"/>
  <c r="T5" i="23" s="1"/>
  <c r="L5" i="23"/>
  <c r="M5" i="23"/>
  <c r="N5" i="23"/>
  <c r="O5" i="23"/>
  <c r="P5" i="23"/>
  <c r="Q5" i="23"/>
  <c r="R5" i="23"/>
  <c r="S5" i="23"/>
  <c r="J6" i="23"/>
  <c r="K6" i="23"/>
  <c r="L6" i="23"/>
  <c r="M6" i="23"/>
  <c r="N6" i="23"/>
  <c r="O6" i="23"/>
  <c r="P6" i="23"/>
  <c r="Q6" i="23"/>
  <c r="R6" i="23"/>
  <c r="S6" i="23"/>
  <c r="T6" i="23"/>
  <c r="J7" i="23"/>
  <c r="K7" i="23"/>
  <c r="L7" i="23"/>
  <c r="M7" i="23"/>
  <c r="T7" i="23" s="1"/>
  <c r="N7" i="23"/>
  <c r="O7" i="23"/>
  <c r="P7" i="23"/>
  <c r="Q7" i="23"/>
  <c r="R7" i="23"/>
  <c r="S7" i="23"/>
  <c r="J11" i="23"/>
  <c r="K11" i="23"/>
  <c r="L11" i="23"/>
  <c r="M11" i="23"/>
  <c r="N11" i="23"/>
  <c r="O11" i="23"/>
  <c r="P11" i="23"/>
  <c r="Q11" i="23"/>
  <c r="R11" i="23"/>
  <c r="S11" i="23"/>
  <c r="J12" i="23"/>
  <c r="K12" i="23"/>
  <c r="L12" i="23"/>
  <c r="M12" i="23"/>
  <c r="N12" i="23"/>
  <c r="O12" i="23"/>
  <c r="P12" i="23"/>
  <c r="Q12" i="23"/>
  <c r="R12" i="23"/>
  <c r="S12" i="23"/>
  <c r="J13" i="23"/>
  <c r="K13" i="23"/>
  <c r="L13" i="23"/>
  <c r="M13" i="23"/>
  <c r="N13" i="23"/>
  <c r="O13" i="23"/>
  <c r="P13" i="23"/>
  <c r="Q13" i="23"/>
  <c r="R13" i="23"/>
  <c r="S13" i="23"/>
  <c r="F59" i="23"/>
  <c r="G63" i="18"/>
  <c r="G62" i="18"/>
  <c r="G61" i="18"/>
  <c r="G60" i="18"/>
  <c r="G59" i="18"/>
  <c r="G58" i="18"/>
  <c r="AA56" i="19"/>
  <c r="AA55" i="19"/>
  <c r="AA54" i="19"/>
  <c r="AA53" i="19"/>
  <c r="AA52" i="19"/>
  <c r="AA51" i="19"/>
  <c r="AA50" i="19"/>
  <c r="AA49" i="19"/>
  <c r="AA48" i="19"/>
  <c r="AA47" i="19"/>
  <c r="AA46" i="19"/>
  <c r="AA45" i="19"/>
  <c r="AA44" i="19"/>
  <c r="AA43" i="19"/>
  <c r="AA42" i="19"/>
  <c r="AA41" i="19"/>
  <c r="AA40" i="19"/>
  <c r="AA39" i="19"/>
  <c r="AA38" i="19"/>
  <c r="AA37" i="19"/>
  <c r="AA36" i="19"/>
  <c r="AA35" i="19"/>
  <c r="AA34" i="19"/>
  <c r="AA33" i="19"/>
  <c r="AA32" i="19"/>
  <c r="AA31" i="19"/>
  <c r="AA30" i="19"/>
  <c r="AA29" i="19"/>
  <c r="AA28" i="19"/>
  <c r="AA27" i="19"/>
  <c r="AA26" i="19"/>
  <c r="AA25" i="19"/>
  <c r="AA24" i="19"/>
  <c r="AA23" i="19"/>
  <c r="AA22" i="19"/>
  <c r="AA21" i="19"/>
  <c r="AA20" i="19"/>
  <c r="AA19" i="19"/>
  <c r="AA18" i="19"/>
  <c r="AA17" i="19"/>
  <c r="AA16" i="19"/>
  <c r="AA15" i="19"/>
  <c r="AA14" i="19"/>
  <c r="AA13" i="19"/>
  <c r="AA12" i="19"/>
  <c r="AA11" i="19"/>
  <c r="AA10" i="19"/>
  <c r="AA9" i="19"/>
  <c r="AA8" i="19"/>
  <c r="AA7" i="19"/>
  <c r="AA6" i="19"/>
  <c r="AA5" i="19"/>
  <c r="AA4" i="19"/>
  <c r="B1783" i="9"/>
  <c r="B1759" i="9"/>
  <c r="F1759" i="9" s="1"/>
  <c r="B1758" i="9"/>
  <c r="H1758" i="9" s="1"/>
  <c r="B1757" i="9"/>
  <c r="B1756" i="9"/>
  <c r="B1755" i="9"/>
  <c r="B1754" i="9"/>
  <c r="H1754" i="9" s="1"/>
  <c r="B1753" i="9"/>
  <c r="G1753" i="9" s="1"/>
  <c r="B1752" i="9"/>
  <c r="B1751" i="9"/>
  <c r="C1751" i="9" s="1"/>
  <c r="B1750" i="9"/>
  <c r="H1750" i="9" s="1"/>
  <c r="B1749" i="9"/>
  <c r="B1748" i="9"/>
  <c r="F1748" i="9" s="1"/>
  <c r="B1747" i="9"/>
  <c r="D1747" i="9" s="1"/>
  <c r="B1746" i="9"/>
  <c r="H1746" i="9" s="1"/>
  <c r="B1745" i="9"/>
  <c r="H1745" i="9" s="1"/>
  <c r="B1744" i="9"/>
  <c r="C1744" i="9" s="1"/>
  <c r="B1743" i="9"/>
  <c r="G1743" i="9" s="1"/>
  <c r="B1742" i="9"/>
  <c r="C1742" i="9" s="1"/>
  <c r="B1741" i="9"/>
  <c r="B1740" i="9"/>
  <c r="E1740" i="9" s="1"/>
  <c r="B1739" i="9"/>
  <c r="F1739" i="9" s="1"/>
  <c r="B1738" i="9"/>
  <c r="B1737" i="9"/>
  <c r="H1737" i="9" s="1"/>
  <c r="B1736" i="9"/>
  <c r="B1735" i="9"/>
  <c r="D1735" i="9" s="1"/>
  <c r="B1734" i="9"/>
  <c r="F1734" i="9" s="1"/>
  <c r="B1733" i="9"/>
  <c r="F1733" i="9" s="1"/>
  <c r="B1732" i="9"/>
  <c r="G1732" i="9" s="1"/>
  <c r="B1731" i="9"/>
  <c r="H1731" i="9" s="1"/>
  <c r="B1730" i="9"/>
  <c r="C1730" i="9" s="1"/>
  <c r="B1729" i="9"/>
  <c r="B1728" i="9"/>
  <c r="B1727" i="9"/>
  <c r="B1726" i="9"/>
  <c r="G1726" i="9" s="1"/>
  <c r="B1725" i="9"/>
  <c r="F1725" i="9" s="1"/>
  <c r="B1724" i="9"/>
  <c r="H1724" i="9" s="1"/>
  <c r="B1723" i="9"/>
  <c r="B1722" i="9"/>
  <c r="H1722" i="9" s="1"/>
  <c r="B1721" i="9"/>
  <c r="F1721" i="9" s="1"/>
  <c r="B1720" i="9"/>
  <c r="H1720" i="9" s="1"/>
  <c r="B1719" i="9"/>
  <c r="H1719" i="9" s="1"/>
  <c r="B1718" i="9"/>
  <c r="C1718" i="9" s="1"/>
  <c r="B1717" i="9"/>
  <c r="H1717" i="9" s="1"/>
  <c r="B1716" i="9"/>
  <c r="C1716" i="9" s="1"/>
  <c r="B1715" i="9"/>
  <c r="B1714" i="9"/>
  <c r="G1714" i="9" s="1"/>
  <c r="B1713" i="9"/>
  <c r="D1713" i="9" s="1"/>
  <c r="B1712" i="9"/>
  <c r="B1711" i="9"/>
  <c r="D1711" i="9" s="1"/>
  <c r="B1710" i="9"/>
  <c r="B1709" i="9"/>
  <c r="F1709" i="9" s="1"/>
  <c r="B1708" i="9"/>
  <c r="G1708" i="9" s="1"/>
  <c r="B1707" i="9"/>
  <c r="B1706" i="9"/>
  <c r="B1705" i="9"/>
  <c r="B1704" i="9"/>
  <c r="D1704" i="9" s="1"/>
  <c r="B1703" i="9"/>
  <c r="B1702" i="9"/>
  <c r="B1701" i="9"/>
  <c r="G1701" i="9" s="1"/>
  <c r="B1700" i="9"/>
  <c r="B1699" i="9"/>
  <c r="D1699" i="9" s="1"/>
  <c r="B1698" i="9"/>
  <c r="C1698" i="9" s="1"/>
  <c r="B1697" i="9"/>
  <c r="F1697" i="9" s="1"/>
  <c r="B1696" i="9"/>
  <c r="B1695" i="9"/>
  <c r="H1695" i="9" s="1"/>
  <c r="B1694" i="9"/>
  <c r="B1693" i="9"/>
  <c r="H1693" i="9" s="1"/>
  <c r="B1692" i="9"/>
  <c r="C1692" i="9" s="1"/>
  <c r="B1691" i="9"/>
  <c r="D1691" i="9" s="1"/>
  <c r="B1690" i="9"/>
  <c r="B1689" i="9"/>
  <c r="E1689" i="9" s="1"/>
  <c r="B1688" i="9"/>
  <c r="F1688" i="9" s="1"/>
  <c r="B1687" i="9"/>
  <c r="H1687" i="9" s="1"/>
  <c r="B1686" i="9"/>
  <c r="H1686" i="9" s="1"/>
  <c r="B1685" i="9"/>
  <c r="C1685" i="9" s="1"/>
  <c r="B1684" i="9"/>
  <c r="G1684" i="9" s="1"/>
  <c r="B1683" i="9"/>
  <c r="C1683" i="9" s="1"/>
  <c r="B1682" i="9"/>
  <c r="B1681" i="9"/>
  <c r="H1681" i="9" s="1"/>
  <c r="B1680" i="9"/>
  <c r="E1680" i="9" s="1"/>
  <c r="B1679" i="9"/>
  <c r="B1678" i="9"/>
  <c r="B1677" i="9"/>
  <c r="B1676" i="9"/>
  <c r="G1676" i="9" s="1"/>
  <c r="B1675" i="9"/>
  <c r="D1675" i="9" s="1"/>
  <c r="B1674" i="9"/>
  <c r="C1674" i="9" s="1"/>
  <c r="B1673" i="9"/>
  <c r="B1672" i="9"/>
  <c r="B1671" i="9"/>
  <c r="B1670" i="9"/>
  <c r="F1670" i="9" s="1"/>
  <c r="B1669" i="9"/>
  <c r="B1668" i="9"/>
  <c r="C1668" i="9" s="1"/>
  <c r="B1667" i="9"/>
  <c r="B1666" i="9"/>
  <c r="G1666" i="9" s="1"/>
  <c r="B1665" i="9"/>
  <c r="F1665" i="9" s="1"/>
  <c r="B1664" i="9"/>
  <c r="F1664" i="9" s="1"/>
  <c r="B1663" i="9"/>
  <c r="B1662" i="9"/>
  <c r="B1661" i="9"/>
  <c r="B1660" i="9"/>
  <c r="D1660" i="9" s="1"/>
  <c r="B1659" i="9"/>
  <c r="B1658" i="9"/>
  <c r="B1657" i="9"/>
  <c r="B1656" i="9"/>
  <c r="B1655" i="9"/>
  <c r="B1654" i="9"/>
  <c r="B1653" i="9"/>
  <c r="G1653" i="9" s="1"/>
  <c r="B1652" i="9"/>
  <c r="G1652" i="9" s="1"/>
  <c r="B1651" i="9"/>
  <c r="D1651" i="9" s="1"/>
  <c r="B1650" i="9"/>
  <c r="B1649" i="9"/>
  <c r="H1649" i="9" s="1"/>
  <c r="B1648" i="9"/>
  <c r="B1647" i="9"/>
  <c r="G1647" i="9" s="1"/>
  <c r="B1646" i="9"/>
  <c r="B1645" i="9"/>
  <c r="D1645" i="9" s="1"/>
  <c r="B1644" i="9"/>
  <c r="F1644" i="9" s="1"/>
  <c r="B1643" i="9"/>
  <c r="H1643" i="9" s="1"/>
  <c r="B1642" i="9"/>
  <c r="D1642" i="9" s="1"/>
  <c r="B1641" i="9"/>
  <c r="C1641" i="9" s="1"/>
  <c r="B1640" i="9"/>
  <c r="H1640" i="9" s="1"/>
  <c r="B1639" i="9"/>
  <c r="B1638" i="9"/>
  <c r="B1637" i="9"/>
  <c r="E1637" i="9" s="1"/>
  <c r="B1636" i="9"/>
  <c r="H1636" i="9" s="1"/>
  <c r="B1635" i="9"/>
  <c r="B1634" i="9"/>
  <c r="H1634" i="9" s="1"/>
  <c r="B1633" i="9"/>
  <c r="B1632" i="9"/>
  <c r="H1632" i="9" s="1"/>
  <c r="B1631" i="9"/>
  <c r="B1630" i="9"/>
  <c r="B1629" i="9"/>
  <c r="E1629" i="9" s="1"/>
  <c r="B1628" i="9"/>
  <c r="B1627" i="9"/>
  <c r="F1627" i="9" s="1"/>
  <c r="B1626" i="9"/>
  <c r="B1625" i="9"/>
  <c r="B1624" i="9"/>
  <c r="B1623" i="9"/>
  <c r="B1622" i="9"/>
  <c r="B1621" i="9"/>
  <c r="B1620" i="9"/>
  <c r="B1619" i="9"/>
  <c r="B1618" i="9"/>
  <c r="C1618" i="9" s="1"/>
  <c r="B1617" i="9"/>
  <c r="H1617" i="9" s="1"/>
  <c r="B1616" i="9"/>
  <c r="B1615" i="9"/>
  <c r="B1614" i="9"/>
  <c r="E1614" i="9" s="1"/>
  <c r="B1613" i="9"/>
  <c r="G1613" i="9" s="1"/>
  <c r="B1612" i="9"/>
  <c r="G1612" i="9" s="1"/>
  <c r="B1611" i="9"/>
  <c r="B1610" i="9"/>
  <c r="B1609" i="9"/>
  <c r="B1608" i="9"/>
  <c r="G1608" i="9" s="1"/>
  <c r="B1607" i="9"/>
  <c r="E1607" i="9" s="1"/>
  <c r="B1606" i="9"/>
  <c r="B1605" i="9"/>
  <c r="E1605" i="9" s="1"/>
  <c r="B1604" i="9"/>
  <c r="B1603" i="9"/>
  <c r="E1603" i="9" s="1"/>
  <c r="B1602" i="9"/>
  <c r="B1601" i="9"/>
  <c r="E1601" i="9" s="1"/>
  <c r="B1600" i="9"/>
  <c r="B1599" i="9"/>
  <c r="C1599" i="9" s="1"/>
  <c r="B1598" i="9"/>
  <c r="B1597" i="9"/>
  <c r="H1597" i="9" s="1"/>
  <c r="B1596" i="9"/>
  <c r="D1596" i="9" s="1"/>
  <c r="B1595" i="9"/>
  <c r="H1595" i="9" s="1"/>
  <c r="B1594" i="9"/>
  <c r="C1594" i="9" s="1"/>
  <c r="B1593" i="9"/>
  <c r="F1593" i="9" s="1"/>
  <c r="B1592" i="9"/>
  <c r="C1592" i="9" s="1"/>
  <c r="B1591" i="9"/>
  <c r="H1591" i="9" s="1"/>
  <c r="B1590" i="9"/>
  <c r="B1589" i="9"/>
  <c r="G1589" i="9" s="1"/>
  <c r="B1588" i="9"/>
  <c r="B1587" i="9"/>
  <c r="B1586" i="9"/>
  <c r="B1585" i="9"/>
  <c r="E1585" i="9" s="1"/>
  <c r="B1584" i="9"/>
  <c r="B1583" i="9"/>
  <c r="G1583" i="9" s="1"/>
  <c r="B1582" i="9"/>
  <c r="D1582" i="9" s="1"/>
  <c r="B1581" i="9"/>
  <c r="B1580" i="9"/>
  <c r="B1579" i="9"/>
  <c r="F1579" i="9" s="1"/>
  <c r="B1578" i="9"/>
  <c r="G1578" i="9" s="1"/>
  <c r="B1577" i="9"/>
  <c r="B1576" i="9"/>
  <c r="B1575" i="9"/>
  <c r="B1574" i="9"/>
  <c r="B1573" i="9"/>
  <c r="H1573" i="9" s="1"/>
  <c r="B1572" i="9"/>
  <c r="B1571" i="9"/>
  <c r="B1570" i="9"/>
  <c r="E1570" i="9" s="1"/>
  <c r="B1569" i="9"/>
  <c r="B1568" i="9"/>
  <c r="B1567" i="9"/>
  <c r="B1566" i="9"/>
  <c r="H1566" i="9" s="1"/>
  <c r="B1565" i="9"/>
  <c r="B1564" i="9"/>
  <c r="C1564" i="9" s="1"/>
  <c r="B1563" i="9"/>
  <c r="E1563" i="9" s="1"/>
  <c r="B1562" i="9"/>
  <c r="G1562" i="9" s="1"/>
  <c r="B1561" i="9"/>
  <c r="E1561" i="9" s="1"/>
  <c r="B1560" i="9"/>
  <c r="B1559" i="9"/>
  <c r="B1558" i="9"/>
  <c r="B1557" i="9"/>
  <c r="B1556" i="9"/>
  <c r="G1556" i="9" s="1"/>
  <c r="B1555" i="9"/>
  <c r="B1554" i="9"/>
  <c r="C1554" i="9" s="1"/>
  <c r="B1553" i="9"/>
  <c r="B1552" i="9"/>
  <c r="C1552" i="9" s="1"/>
  <c r="B1551" i="9"/>
  <c r="B1550" i="9"/>
  <c r="C1550" i="9" s="1"/>
  <c r="B1549" i="9"/>
  <c r="H1549" i="9" s="1"/>
  <c r="B1548" i="9"/>
  <c r="B1547" i="9"/>
  <c r="D1547" i="9" s="1"/>
  <c r="B1546" i="9"/>
  <c r="H1546" i="9" s="1"/>
  <c r="B1545" i="9"/>
  <c r="B1544" i="9"/>
  <c r="D1544" i="9" s="1"/>
  <c r="B1543" i="9"/>
  <c r="B1542" i="9"/>
  <c r="B1541" i="9"/>
  <c r="B1540" i="9"/>
  <c r="B1539" i="9"/>
  <c r="F1539" i="9" s="1"/>
  <c r="B1538" i="9"/>
  <c r="B1537" i="9"/>
  <c r="B1536" i="9"/>
  <c r="B1535" i="9"/>
  <c r="E1535" i="9" s="1"/>
  <c r="B1534" i="9"/>
  <c r="E1534" i="9" s="1"/>
  <c r="B1533" i="9"/>
  <c r="B1532" i="9"/>
  <c r="B1531" i="9"/>
  <c r="B1530" i="9"/>
  <c r="D1530" i="9" s="1"/>
  <c r="B1529" i="9"/>
  <c r="B1528" i="9"/>
  <c r="B1527" i="9"/>
  <c r="G1527" i="9" s="1"/>
  <c r="B1526" i="9"/>
  <c r="D1526" i="9" s="1"/>
  <c r="B1525" i="9"/>
  <c r="D1525" i="9" s="1"/>
  <c r="B1524" i="9"/>
  <c r="B1523" i="9"/>
  <c r="G1523" i="9" s="1"/>
  <c r="B1522" i="9"/>
  <c r="B1521" i="9"/>
  <c r="H1521" i="9" s="1"/>
  <c r="B1520" i="9"/>
  <c r="G1520" i="9" s="1"/>
  <c r="B1519" i="9"/>
  <c r="B1518" i="9"/>
  <c r="B1517" i="9"/>
  <c r="G1517" i="9" s="1"/>
  <c r="B1516" i="9"/>
  <c r="B1515" i="9"/>
  <c r="B1514" i="9"/>
  <c r="G1514" i="9" s="1"/>
  <c r="B1513" i="9"/>
  <c r="G1513" i="9" s="1"/>
  <c r="B1512" i="9"/>
  <c r="B1511" i="9"/>
  <c r="D1511" i="9" s="1"/>
  <c r="B1510" i="9"/>
  <c r="B1509" i="9"/>
  <c r="B1508" i="9"/>
  <c r="B1507" i="9"/>
  <c r="B1506" i="9"/>
  <c r="B1505" i="9"/>
  <c r="B1504" i="9"/>
  <c r="E1504" i="9" s="1"/>
  <c r="B1503" i="9"/>
  <c r="B1502" i="9"/>
  <c r="H1502" i="9" s="1"/>
  <c r="B1501" i="9"/>
  <c r="B1500" i="9"/>
  <c r="G1500" i="9" s="1"/>
  <c r="B1499" i="9"/>
  <c r="G1499" i="9" s="1"/>
  <c r="B1498" i="9"/>
  <c r="E1498" i="9" s="1"/>
  <c r="B1497" i="9"/>
  <c r="H1497" i="9" s="1"/>
  <c r="B1496" i="9"/>
  <c r="B1495" i="9"/>
  <c r="D1495" i="9" s="1"/>
  <c r="B1494" i="9"/>
  <c r="H1494" i="9" s="1"/>
  <c r="B1493" i="9"/>
  <c r="B1492" i="9"/>
  <c r="B1491" i="9"/>
  <c r="B1490" i="9"/>
  <c r="B1489" i="9"/>
  <c r="B1488" i="9"/>
  <c r="B1487" i="9"/>
  <c r="B1486" i="9"/>
  <c r="B1485" i="9"/>
  <c r="C1485" i="9" s="1"/>
  <c r="B1484" i="9"/>
  <c r="G1484" i="9" s="1"/>
  <c r="B1483" i="9"/>
  <c r="B1482" i="9"/>
  <c r="B1481" i="9"/>
  <c r="B1480" i="9"/>
  <c r="B1479" i="9"/>
  <c r="E1479" i="9" s="1"/>
  <c r="B1478" i="9"/>
  <c r="B1477" i="9"/>
  <c r="B1476" i="9"/>
  <c r="B1475" i="9"/>
  <c r="G1475" i="9" s="1"/>
  <c r="B1474" i="9"/>
  <c r="B1473" i="9"/>
  <c r="B1472" i="9"/>
  <c r="B1471" i="9"/>
  <c r="B1470" i="9"/>
  <c r="H1470" i="9" s="1"/>
  <c r="B1469" i="9"/>
  <c r="B1468" i="9"/>
  <c r="D1468" i="9" s="1"/>
  <c r="B1467" i="9"/>
  <c r="H1467" i="9" s="1"/>
  <c r="B1466" i="9"/>
  <c r="E1466" i="9" s="1"/>
  <c r="B1465" i="9"/>
  <c r="G1465" i="9" s="1"/>
  <c r="B1464" i="9"/>
  <c r="B1463" i="9"/>
  <c r="B1462" i="9"/>
  <c r="F1462" i="9" s="1"/>
  <c r="B1461" i="9"/>
  <c r="B1460" i="9"/>
  <c r="B1459" i="9"/>
  <c r="B1458" i="9"/>
  <c r="D1458" i="9" s="1"/>
  <c r="B1457" i="9"/>
  <c r="H1457" i="9" s="1"/>
  <c r="B1456" i="9"/>
  <c r="D1456" i="9" s="1"/>
  <c r="B1455" i="9"/>
  <c r="F1455" i="9" s="1"/>
  <c r="B1454" i="9"/>
  <c r="B1453" i="9"/>
  <c r="G1453" i="9" s="1"/>
  <c r="B1452" i="9"/>
  <c r="B1451" i="9"/>
  <c r="F1451" i="9" s="1"/>
  <c r="B1450" i="9"/>
  <c r="D1450" i="9" s="1"/>
  <c r="B1449" i="9"/>
  <c r="B1448" i="9"/>
  <c r="B1447" i="9"/>
  <c r="B1446" i="9"/>
  <c r="D1446" i="9" s="1"/>
  <c r="B1445" i="9"/>
  <c r="F1445" i="9" s="1"/>
  <c r="B1444" i="9"/>
  <c r="G1444" i="9" s="1"/>
  <c r="B1443" i="9"/>
  <c r="B1442" i="9"/>
  <c r="F1442" i="9" s="1"/>
  <c r="B1441" i="9"/>
  <c r="B1440" i="9"/>
  <c r="B1439" i="9"/>
  <c r="B1438" i="9"/>
  <c r="D1438" i="9" s="1"/>
  <c r="B1437" i="9"/>
  <c r="B1436" i="9"/>
  <c r="B1435" i="9"/>
  <c r="B1434" i="9"/>
  <c r="B1433" i="9"/>
  <c r="B1432" i="9"/>
  <c r="H1432" i="9" s="1"/>
  <c r="B1431" i="9"/>
  <c r="C1431" i="9" s="1"/>
  <c r="B1430" i="9"/>
  <c r="F1430" i="9" s="1"/>
  <c r="B1429" i="9"/>
  <c r="B1428" i="9"/>
  <c r="C1428" i="9" s="1"/>
  <c r="B1427" i="9"/>
  <c r="C1427" i="9" s="1"/>
  <c r="B1426" i="9"/>
  <c r="H1426" i="9" s="1"/>
  <c r="B1425" i="9"/>
  <c r="B1424" i="9"/>
  <c r="B1423" i="9"/>
  <c r="C1423" i="9" s="1"/>
  <c r="B1422" i="9"/>
  <c r="G1422" i="9" s="1"/>
  <c r="B1421" i="9"/>
  <c r="C1421" i="9" s="1"/>
  <c r="B1420" i="9"/>
  <c r="B1419" i="9"/>
  <c r="B1418" i="9"/>
  <c r="B1417" i="9"/>
  <c r="E1417" i="9" s="1"/>
  <c r="B1416" i="9"/>
  <c r="C1416" i="9" s="1"/>
  <c r="B1415" i="9"/>
  <c r="B1414" i="9"/>
  <c r="D1414" i="9" s="1"/>
  <c r="B1413" i="9"/>
  <c r="H1413" i="9" s="1"/>
  <c r="B1412" i="9"/>
  <c r="B1411" i="9"/>
  <c r="B1410" i="9"/>
  <c r="B1409" i="9"/>
  <c r="B1408" i="9"/>
  <c r="H1408" i="9" s="1"/>
  <c r="B1407" i="9"/>
  <c r="B1406" i="9"/>
  <c r="B1405" i="9"/>
  <c r="C1405" i="9" s="1"/>
  <c r="B1404" i="9"/>
  <c r="H1404" i="9" s="1"/>
  <c r="B1403" i="9"/>
  <c r="B1402" i="9"/>
  <c r="B1401" i="9"/>
  <c r="B1400" i="9"/>
  <c r="E1400" i="9" s="1"/>
  <c r="B1399" i="9"/>
  <c r="D1399" i="9" s="1"/>
  <c r="B1398" i="9"/>
  <c r="B1397" i="9"/>
  <c r="B1396" i="9"/>
  <c r="B1395" i="9"/>
  <c r="B1394" i="9"/>
  <c r="B1393" i="9"/>
  <c r="B1392" i="9"/>
  <c r="B1391" i="9"/>
  <c r="H1391" i="9" s="1"/>
  <c r="B1390" i="9"/>
  <c r="F1390" i="9" s="1"/>
  <c r="B1389" i="9"/>
  <c r="E1389" i="9" s="1"/>
  <c r="B1388" i="9"/>
  <c r="F1388" i="9" s="1"/>
  <c r="B1387" i="9"/>
  <c r="B1386" i="9"/>
  <c r="B1385" i="9"/>
  <c r="B1384" i="9"/>
  <c r="B1383" i="9"/>
  <c r="C1383" i="9" s="1"/>
  <c r="B1382" i="9"/>
  <c r="E1382" i="9" s="1"/>
  <c r="B1381" i="9"/>
  <c r="C1381" i="9" s="1"/>
  <c r="B1380" i="9"/>
  <c r="C1380" i="9" s="1"/>
  <c r="B1379" i="9"/>
  <c r="E1379" i="9" s="1"/>
  <c r="B1378" i="9"/>
  <c r="G1378" i="9" s="1"/>
  <c r="B1377" i="9"/>
  <c r="B1376" i="9"/>
  <c r="E1376" i="9" s="1"/>
  <c r="B1375" i="9"/>
  <c r="G1375" i="9" s="1"/>
  <c r="B1374" i="9"/>
  <c r="B1373" i="9"/>
  <c r="B1372" i="9"/>
  <c r="B1371" i="9"/>
  <c r="B1370" i="9"/>
  <c r="B1369" i="9"/>
  <c r="B1368" i="9"/>
  <c r="C1368" i="9" s="1"/>
  <c r="B1367" i="9"/>
  <c r="E1367" i="9" s="1"/>
  <c r="B1366" i="9"/>
  <c r="D1366" i="9" s="1"/>
  <c r="B1365" i="9"/>
  <c r="H1365" i="9" s="1"/>
  <c r="B1364" i="9"/>
  <c r="D1364" i="9" s="1"/>
  <c r="B1363" i="9"/>
  <c r="C1363" i="9" s="1"/>
  <c r="B1362" i="9"/>
  <c r="D1362" i="9" s="1"/>
  <c r="B1361" i="9"/>
  <c r="D1361" i="9" s="1"/>
  <c r="B1360" i="9"/>
  <c r="B1359" i="9"/>
  <c r="G1359" i="9" s="1"/>
  <c r="B1358" i="9"/>
  <c r="B1357" i="9"/>
  <c r="B1356" i="9"/>
  <c r="B1355" i="9"/>
  <c r="H1355" i="9" s="1"/>
  <c r="B1354" i="9"/>
  <c r="B1353" i="9"/>
  <c r="G1353" i="9" s="1"/>
  <c r="B1352" i="9"/>
  <c r="B1351" i="9"/>
  <c r="B1350" i="9"/>
  <c r="B1349" i="9"/>
  <c r="F1349" i="9" s="1"/>
  <c r="B1348" i="9"/>
  <c r="D1348" i="9" s="1"/>
  <c r="B1347" i="9"/>
  <c r="B1346" i="9"/>
  <c r="B1345" i="9"/>
  <c r="B1344" i="9"/>
  <c r="F1344" i="9" s="1"/>
  <c r="B1343" i="9"/>
  <c r="E1343" i="9" s="1"/>
  <c r="B1342" i="9"/>
  <c r="G1342" i="9" s="1"/>
  <c r="B1341" i="9"/>
  <c r="H1341" i="9" s="1"/>
  <c r="B1340" i="9"/>
  <c r="D1340" i="9" s="1"/>
  <c r="B1339" i="9"/>
  <c r="C1339" i="9" s="1"/>
  <c r="B1338" i="9"/>
  <c r="B1337" i="9"/>
  <c r="B1336" i="9"/>
  <c r="G1336" i="9" s="1"/>
  <c r="B1335" i="9"/>
  <c r="G1335" i="9" s="1"/>
  <c r="B1334" i="9"/>
  <c r="B1333" i="9"/>
  <c r="B1332" i="9"/>
  <c r="G1332" i="9" s="1"/>
  <c r="B1331" i="9"/>
  <c r="B1330" i="9"/>
  <c r="B1329" i="9"/>
  <c r="B1328" i="9"/>
  <c r="F1328" i="9" s="1"/>
  <c r="B1327" i="9"/>
  <c r="C1327" i="9" s="1"/>
  <c r="B1326" i="9"/>
  <c r="G1326" i="9" s="1"/>
  <c r="B1325" i="9"/>
  <c r="B1324" i="9"/>
  <c r="H1324" i="9" s="1"/>
  <c r="B1323" i="9"/>
  <c r="H1323" i="9" s="1"/>
  <c r="B1322" i="9"/>
  <c r="B1321" i="9"/>
  <c r="G1321" i="9" s="1"/>
  <c r="B1320" i="9"/>
  <c r="H1320" i="9" s="1"/>
  <c r="B1319" i="9"/>
  <c r="C1319" i="9" s="1"/>
  <c r="B1318" i="9"/>
  <c r="D1318" i="9" s="1"/>
  <c r="B1317" i="9"/>
  <c r="E1317" i="9" s="1"/>
  <c r="B1316" i="9"/>
  <c r="H1316" i="9" s="1"/>
  <c r="B1315" i="9"/>
  <c r="B1314" i="9"/>
  <c r="B1313" i="9"/>
  <c r="C1313" i="9" s="1"/>
  <c r="B1312" i="9"/>
  <c r="C1312" i="9" s="1"/>
  <c r="B1311" i="9"/>
  <c r="B1310" i="9"/>
  <c r="B1309" i="9"/>
  <c r="G1309" i="9" s="1"/>
  <c r="B1308" i="9"/>
  <c r="B1307" i="9"/>
  <c r="H1307" i="9" s="1"/>
  <c r="B1306" i="9"/>
  <c r="B1305" i="9"/>
  <c r="B1304" i="9"/>
  <c r="B1303" i="9"/>
  <c r="B1302" i="9"/>
  <c r="B1301" i="9"/>
  <c r="C1301" i="9" s="1"/>
  <c r="B1300" i="9"/>
  <c r="C1300" i="9" s="1"/>
  <c r="B1299" i="9"/>
  <c r="B1298" i="9"/>
  <c r="C1298" i="9" s="1"/>
  <c r="B1297" i="9"/>
  <c r="C1297" i="9" s="1"/>
  <c r="B1296" i="9"/>
  <c r="B1295" i="9"/>
  <c r="E1295" i="9" s="1"/>
  <c r="B1294" i="9"/>
  <c r="B1293" i="9"/>
  <c r="H1293" i="9" s="1"/>
  <c r="B1292" i="9"/>
  <c r="B1291" i="9"/>
  <c r="F1291" i="9" s="1"/>
  <c r="B1290" i="9"/>
  <c r="D1290" i="9" s="1"/>
  <c r="B1289" i="9"/>
  <c r="C1289" i="9" s="1"/>
  <c r="B1288" i="9"/>
  <c r="D1288" i="9" s="1"/>
  <c r="B1287" i="9"/>
  <c r="G1287" i="9" s="1"/>
  <c r="B1286" i="9"/>
  <c r="H1286" i="9" s="1"/>
  <c r="B1285" i="9"/>
  <c r="B1284" i="9"/>
  <c r="B1283" i="9"/>
  <c r="G1283" i="9" s="1"/>
  <c r="B1282" i="9"/>
  <c r="B1281" i="9"/>
  <c r="B1280" i="9"/>
  <c r="B1279" i="9"/>
  <c r="G1279" i="9" s="1"/>
  <c r="B1278" i="9"/>
  <c r="B1277" i="9"/>
  <c r="B1276" i="9"/>
  <c r="D1276" i="9" s="1"/>
  <c r="B1275" i="9"/>
  <c r="B1274" i="9"/>
  <c r="B1273" i="9"/>
  <c r="B1272" i="9"/>
  <c r="E1272" i="9" s="1"/>
  <c r="B1271" i="9"/>
  <c r="B1270" i="9"/>
  <c r="B1269" i="9"/>
  <c r="B1268" i="9"/>
  <c r="B1267" i="9"/>
  <c r="B1266" i="9"/>
  <c r="B1265" i="9"/>
  <c r="B1264" i="9"/>
  <c r="H1264" i="9" s="1"/>
  <c r="B1263" i="9"/>
  <c r="D1263" i="9" s="1"/>
  <c r="B1262" i="9"/>
  <c r="H1262" i="9" s="1"/>
  <c r="B1261" i="9"/>
  <c r="B1260" i="9"/>
  <c r="B1259" i="9"/>
  <c r="B1258" i="9"/>
  <c r="D1258" i="9" s="1"/>
  <c r="B1257" i="9"/>
  <c r="B1256" i="9"/>
  <c r="B1255" i="9"/>
  <c r="B1254" i="9"/>
  <c r="E1254" i="9" s="1"/>
  <c r="B1253" i="9"/>
  <c r="C1253" i="9" s="1"/>
  <c r="B1252" i="9"/>
  <c r="F1252" i="9" s="1"/>
  <c r="B1251" i="9"/>
  <c r="B1250" i="9"/>
  <c r="B1249" i="9"/>
  <c r="H1249" i="9" s="1"/>
  <c r="B1248" i="9"/>
  <c r="F1248" i="9" s="1"/>
  <c r="B1247" i="9"/>
  <c r="G1247" i="9" s="1"/>
  <c r="B1246" i="9"/>
  <c r="B1245" i="9"/>
  <c r="B1244" i="9"/>
  <c r="D1244" i="9" s="1"/>
  <c r="B1243" i="9"/>
  <c r="B1242" i="9"/>
  <c r="B1241" i="9"/>
  <c r="E1241" i="9" s="1"/>
  <c r="B1240" i="9"/>
  <c r="B1239" i="9"/>
  <c r="B1238" i="9"/>
  <c r="D1238" i="9" s="1"/>
  <c r="B1237" i="9"/>
  <c r="E1237" i="9" s="1"/>
  <c r="B1236" i="9"/>
  <c r="B1235" i="9"/>
  <c r="H1235" i="9" s="1"/>
  <c r="B1234" i="9"/>
  <c r="B1233" i="9"/>
  <c r="B1232" i="9"/>
  <c r="B1231" i="9"/>
  <c r="E1231" i="9" s="1"/>
  <c r="B1230" i="9"/>
  <c r="B1229" i="9"/>
  <c r="B1228" i="9"/>
  <c r="G1228" i="9" s="1"/>
  <c r="B1227" i="9"/>
  <c r="F1227" i="9" s="1"/>
  <c r="B1226" i="9"/>
  <c r="C1226" i="9" s="1"/>
  <c r="B1225" i="9"/>
  <c r="H1225" i="9" s="1"/>
  <c r="B1224" i="9"/>
  <c r="F1224" i="9" s="1"/>
  <c r="B1223" i="9"/>
  <c r="G1223" i="9" s="1"/>
  <c r="B1222" i="9"/>
  <c r="H1222" i="9" s="1"/>
  <c r="B1221" i="9"/>
  <c r="B1220" i="9"/>
  <c r="B1219" i="9"/>
  <c r="D1219" i="9" s="1"/>
  <c r="B1218" i="9"/>
  <c r="F1218" i="9" s="1"/>
  <c r="B1217" i="9"/>
  <c r="E1217" i="9" s="1"/>
  <c r="B1216" i="9"/>
  <c r="B1215" i="9"/>
  <c r="B1214" i="9"/>
  <c r="D1214" i="9" s="1"/>
  <c r="B1213" i="9"/>
  <c r="B1212" i="9"/>
  <c r="C1212" i="9" s="1"/>
  <c r="B1211" i="9"/>
  <c r="B1210" i="9"/>
  <c r="G1210" i="9" s="1"/>
  <c r="B1209" i="9"/>
  <c r="E1209" i="9" s="1"/>
  <c r="B1208" i="9"/>
  <c r="F1208" i="9" s="1"/>
  <c r="B1207" i="9"/>
  <c r="C1207" i="9" s="1"/>
  <c r="B1206" i="9"/>
  <c r="B1205" i="9"/>
  <c r="D1205" i="9" s="1"/>
  <c r="B1204" i="9"/>
  <c r="C1204" i="9" s="1"/>
  <c r="B1203" i="9"/>
  <c r="F1203" i="9" s="1"/>
  <c r="B1202" i="9"/>
  <c r="B1201" i="9"/>
  <c r="C1201" i="9" s="1"/>
  <c r="B1200" i="9"/>
  <c r="D1200" i="9" s="1"/>
  <c r="B1199" i="9"/>
  <c r="H1199" i="9" s="1"/>
  <c r="B1198" i="9"/>
  <c r="C1198" i="9" s="1"/>
  <c r="B1197" i="9"/>
  <c r="B1196" i="9"/>
  <c r="B1195" i="9"/>
  <c r="C1195" i="9" s="1"/>
  <c r="B1194" i="9"/>
  <c r="G1194" i="9" s="1"/>
  <c r="B1193" i="9"/>
  <c r="F1193" i="9" s="1"/>
  <c r="B1192" i="9"/>
  <c r="H1192" i="9" s="1"/>
  <c r="B1191" i="9"/>
  <c r="F1191" i="9" s="1"/>
  <c r="B1190" i="9"/>
  <c r="B1189" i="9"/>
  <c r="F1189" i="9" s="1"/>
  <c r="B1188" i="9"/>
  <c r="G1188" i="9" s="1"/>
  <c r="B1187" i="9"/>
  <c r="B1186" i="9"/>
  <c r="B1185" i="9"/>
  <c r="D1185" i="9" s="1"/>
  <c r="B1184" i="9"/>
  <c r="C1184" i="9" s="1"/>
  <c r="B1183" i="9"/>
  <c r="G1183" i="9" s="1"/>
  <c r="B1182" i="9"/>
  <c r="B1181" i="9"/>
  <c r="E1181" i="9" s="1"/>
  <c r="B1180" i="9"/>
  <c r="H1180" i="9" s="1"/>
  <c r="B1179" i="9"/>
  <c r="F1179" i="9" s="1"/>
  <c r="B1178" i="9"/>
  <c r="B1177" i="9"/>
  <c r="B1176" i="9"/>
  <c r="B1175" i="9"/>
  <c r="B1174" i="9"/>
  <c r="D1174" i="9" s="1"/>
  <c r="B1173" i="9"/>
  <c r="H1173" i="9" s="1"/>
  <c r="B1172" i="9"/>
  <c r="B1171" i="9"/>
  <c r="G1171" i="9" s="1"/>
  <c r="B1170" i="9"/>
  <c r="G1170" i="9" s="1"/>
  <c r="B1169" i="9"/>
  <c r="B1168" i="9"/>
  <c r="C1168" i="9" s="1"/>
  <c r="B1167" i="9"/>
  <c r="G1167" i="9" s="1"/>
  <c r="B1166" i="9"/>
  <c r="B1165" i="9"/>
  <c r="B1164" i="9"/>
  <c r="D1164" i="9" s="1"/>
  <c r="B1163" i="9"/>
  <c r="C1163" i="9" s="1"/>
  <c r="B1162" i="9"/>
  <c r="B1161" i="9"/>
  <c r="F1161" i="9" s="1"/>
  <c r="B1160" i="9"/>
  <c r="C1160" i="9" s="1"/>
  <c r="B1159" i="9"/>
  <c r="B1158" i="9"/>
  <c r="B1157" i="9"/>
  <c r="H1157" i="9" s="1"/>
  <c r="B1156" i="9"/>
  <c r="B1155" i="9"/>
  <c r="E1155" i="9" s="1"/>
  <c r="B1154" i="9"/>
  <c r="H1154" i="9" s="1"/>
  <c r="B1153" i="9"/>
  <c r="B1152" i="9"/>
  <c r="H1152" i="9" s="1"/>
  <c r="B1151" i="9"/>
  <c r="G1151" i="9" s="1"/>
  <c r="B1150" i="9"/>
  <c r="D1150" i="9" s="1"/>
  <c r="B1149" i="9"/>
  <c r="C1149" i="9" s="1"/>
  <c r="B1148" i="9"/>
  <c r="F1148" i="9" s="1"/>
  <c r="B1147" i="9"/>
  <c r="B1146" i="9"/>
  <c r="B1145" i="9"/>
  <c r="F1145" i="9" s="1"/>
  <c r="B1144" i="9"/>
  <c r="B1143" i="9"/>
  <c r="B1142" i="9"/>
  <c r="F1142" i="9" s="1"/>
  <c r="B1141" i="9"/>
  <c r="D1141" i="9" s="1"/>
  <c r="B1140" i="9"/>
  <c r="G1140" i="9" s="1"/>
  <c r="B1139" i="9"/>
  <c r="D1139" i="9" s="1"/>
  <c r="B1138" i="9"/>
  <c r="E1138" i="9" s="1"/>
  <c r="B1137" i="9"/>
  <c r="B1136" i="9"/>
  <c r="F1136" i="9" s="1"/>
  <c r="B1135" i="9"/>
  <c r="B1134" i="9"/>
  <c r="H1134" i="9" s="1"/>
  <c r="B1133" i="9"/>
  <c r="B1132" i="9"/>
  <c r="H1132" i="9" s="1"/>
  <c r="B1131" i="9"/>
  <c r="B1130" i="9"/>
  <c r="B1129" i="9"/>
  <c r="B1128" i="9"/>
  <c r="B1127" i="9"/>
  <c r="H1127" i="9" s="1"/>
  <c r="B1126" i="9"/>
  <c r="B1125" i="9"/>
  <c r="H1125" i="9" s="1"/>
  <c r="B1124" i="9"/>
  <c r="B1123" i="9"/>
  <c r="B1122" i="9"/>
  <c r="E1122" i="9" s="1"/>
  <c r="B1121" i="9"/>
  <c r="B1120" i="9"/>
  <c r="C1120" i="9" s="1"/>
  <c r="B1119" i="9"/>
  <c r="B1118" i="9"/>
  <c r="F1118" i="9" s="1"/>
  <c r="B1117" i="9"/>
  <c r="B1116" i="9"/>
  <c r="B1115" i="9"/>
  <c r="B1114" i="9"/>
  <c r="B1113" i="9"/>
  <c r="B1112" i="9"/>
  <c r="C1112" i="9" s="1"/>
  <c r="B1111" i="9"/>
  <c r="B1110" i="9"/>
  <c r="B1109" i="9"/>
  <c r="B1108" i="9"/>
  <c r="B1107" i="9"/>
  <c r="H1107" i="9" s="1"/>
  <c r="B1106" i="9"/>
  <c r="F1106" i="9" s="1"/>
  <c r="B1105" i="9"/>
  <c r="D1105" i="9" s="1"/>
  <c r="B1104" i="9"/>
  <c r="C1104" i="9" s="1"/>
  <c r="B1103" i="9"/>
  <c r="B1102" i="9"/>
  <c r="B1101" i="9"/>
  <c r="H1101" i="9" s="1"/>
  <c r="B1100" i="9"/>
  <c r="F1100" i="9" s="1"/>
  <c r="B1099" i="9"/>
  <c r="B1098" i="9"/>
  <c r="F1098" i="9" s="1"/>
  <c r="B1097" i="9"/>
  <c r="B1096" i="9"/>
  <c r="H1096" i="9" s="1"/>
  <c r="B1095" i="9"/>
  <c r="B1094" i="9"/>
  <c r="F1094" i="9" s="1"/>
  <c r="B1093" i="9"/>
  <c r="C1093" i="9" s="1"/>
  <c r="B1092" i="9"/>
  <c r="H1092" i="9" s="1"/>
  <c r="B1091" i="9"/>
  <c r="G1091" i="9" s="1"/>
  <c r="B1090" i="9"/>
  <c r="F1090" i="9" s="1"/>
  <c r="B1089" i="9"/>
  <c r="H1089" i="9" s="1"/>
  <c r="B1088" i="9"/>
  <c r="B1087" i="9"/>
  <c r="G1087" i="9" s="1"/>
  <c r="B1086" i="9"/>
  <c r="G1086" i="9" s="1"/>
  <c r="B1085" i="9"/>
  <c r="B1084" i="9"/>
  <c r="B1083" i="9"/>
  <c r="B1082" i="9"/>
  <c r="B1081" i="9"/>
  <c r="B1080" i="9"/>
  <c r="G1080" i="9" s="1"/>
  <c r="B1079" i="9"/>
  <c r="B1078" i="9"/>
  <c r="C1078" i="9" s="1"/>
  <c r="B1077" i="9"/>
  <c r="B1076" i="9"/>
  <c r="C1076" i="9" s="1"/>
  <c r="B1075" i="9"/>
  <c r="B1074" i="9"/>
  <c r="B1073" i="9"/>
  <c r="B1072" i="9"/>
  <c r="G1072" i="9" s="1"/>
  <c r="B1071" i="9"/>
  <c r="G1071" i="9" s="1"/>
  <c r="B1070" i="9"/>
  <c r="F1070" i="9" s="1"/>
  <c r="B1069" i="9"/>
  <c r="D1069" i="9" s="1"/>
  <c r="B1068" i="9"/>
  <c r="D1068" i="9" s="1"/>
  <c r="B1067" i="9"/>
  <c r="B1066" i="9"/>
  <c r="H1066" i="9" s="1"/>
  <c r="B1065" i="9"/>
  <c r="E1065" i="9" s="1"/>
  <c r="B1064" i="9"/>
  <c r="B1063" i="9"/>
  <c r="D1063" i="9" s="1"/>
  <c r="B1062" i="9"/>
  <c r="B1061" i="9"/>
  <c r="B1060" i="9"/>
  <c r="B1059" i="9"/>
  <c r="F1059" i="9" s="1"/>
  <c r="B1058" i="9"/>
  <c r="E1058" i="9" s="1"/>
  <c r="B1057" i="9"/>
  <c r="G1057" i="9" s="1"/>
  <c r="B1056" i="9"/>
  <c r="H1056" i="9" s="1"/>
  <c r="B1055" i="9"/>
  <c r="B1054" i="9"/>
  <c r="D1054" i="9" s="1"/>
  <c r="B1053" i="9"/>
  <c r="H1053" i="9" s="1"/>
  <c r="B1052" i="9"/>
  <c r="F1052" i="9" s="1"/>
  <c r="B1051" i="9"/>
  <c r="G1051" i="9" s="1"/>
  <c r="B1050" i="9"/>
  <c r="F1050" i="9" s="1"/>
  <c r="B1049" i="9"/>
  <c r="D1049" i="9" s="1"/>
  <c r="B1048" i="9"/>
  <c r="B1047" i="9"/>
  <c r="B1046" i="9"/>
  <c r="F1046" i="9" s="1"/>
  <c r="B1045" i="9"/>
  <c r="B1044" i="9"/>
  <c r="D1044" i="9" s="1"/>
  <c r="B1043" i="9"/>
  <c r="F1043" i="9" s="1"/>
  <c r="B1042" i="9"/>
  <c r="B1041" i="9"/>
  <c r="G1041" i="9" s="1"/>
  <c r="B1040" i="9"/>
  <c r="B1039" i="9"/>
  <c r="D1039" i="9" s="1"/>
  <c r="B1038" i="9"/>
  <c r="B1037" i="9"/>
  <c r="B1036" i="9"/>
  <c r="B1035" i="9"/>
  <c r="F1035" i="9" s="1"/>
  <c r="B1034" i="9"/>
  <c r="B1033" i="9"/>
  <c r="B1032" i="9"/>
  <c r="C1032" i="9" s="1"/>
  <c r="B1031" i="9"/>
  <c r="B1030" i="9"/>
  <c r="C1030" i="9" s="1"/>
  <c r="B1029" i="9"/>
  <c r="F1029" i="9" s="1"/>
  <c r="B1028" i="9"/>
  <c r="D1028" i="9" s="1"/>
  <c r="B1027" i="9"/>
  <c r="E1027" i="9" s="1"/>
  <c r="B1026" i="9"/>
  <c r="B1025" i="9"/>
  <c r="H1025" i="9" s="1"/>
  <c r="B1024" i="9"/>
  <c r="F1024" i="9" s="1"/>
  <c r="B1023" i="9"/>
  <c r="B1022" i="9"/>
  <c r="B1021" i="9"/>
  <c r="B1020" i="9"/>
  <c r="G1020" i="9" s="1"/>
  <c r="B1019" i="9"/>
  <c r="E1019" i="9" s="1"/>
  <c r="B1018" i="9"/>
  <c r="D1018" i="9" s="1"/>
  <c r="B1017" i="9"/>
  <c r="C1017" i="9" s="1"/>
  <c r="B1016" i="9"/>
  <c r="B1015" i="9"/>
  <c r="F1015" i="9" s="1"/>
  <c r="B1014" i="9"/>
  <c r="C1014" i="9" s="1"/>
  <c r="B1013" i="9"/>
  <c r="F1013" i="9" s="1"/>
  <c r="B1012" i="9"/>
  <c r="H1012" i="9" s="1"/>
  <c r="B1011" i="9"/>
  <c r="E1011" i="9" s="1"/>
  <c r="B1010" i="9"/>
  <c r="B1009" i="9"/>
  <c r="F1009" i="9" s="1"/>
  <c r="B1008" i="9"/>
  <c r="B1007" i="9"/>
  <c r="G1007" i="9" s="1"/>
  <c r="B1006" i="9"/>
  <c r="B1005" i="9"/>
  <c r="D1005" i="9" s="1"/>
  <c r="B1004" i="9"/>
  <c r="E1004" i="9" s="1"/>
  <c r="B1003" i="9"/>
  <c r="B1002" i="9"/>
  <c r="F1002" i="9" s="1"/>
  <c r="B1001" i="9"/>
  <c r="F1001" i="9" s="1"/>
  <c r="B1000" i="9"/>
  <c r="H1000" i="9" s="1"/>
  <c r="B999" i="9"/>
  <c r="B998" i="9"/>
  <c r="B997" i="9"/>
  <c r="H997" i="9" s="1"/>
  <c r="B996" i="9"/>
  <c r="B995" i="9"/>
  <c r="B994" i="9"/>
  <c r="B993" i="9"/>
  <c r="D993" i="9" s="1"/>
  <c r="B992" i="9"/>
  <c r="B991" i="9"/>
  <c r="B990" i="9"/>
  <c r="D990" i="9" s="1"/>
  <c r="B989" i="9"/>
  <c r="E989" i="9" s="1"/>
  <c r="B988" i="9"/>
  <c r="E988" i="9" s="1"/>
  <c r="B987" i="9"/>
  <c r="C987" i="9" s="1"/>
  <c r="B986" i="9"/>
  <c r="B985" i="9"/>
  <c r="B984" i="9"/>
  <c r="B983" i="9"/>
  <c r="B982" i="9"/>
  <c r="E982" i="9" s="1"/>
  <c r="B981" i="9"/>
  <c r="H981" i="9" s="1"/>
  <c r="B980" i="9"/>
  <c r="E980" i="9" s="1"/>
  <c r="B979" i="9"/>
  <c r="B978" i="9"/>
  <c r="G978" i="9" s="1"/>
  <c r="B977" i="9"/>
  <c r="C977" i="9" s="1"/>
  <c r="B976" i="9"/>
  <c r="B975" i="9"/>
  <c r="G975" i="9" s="1"/>
  <c r="B974" i="9"/>
  <c r="B973" i="9"/>
  <c r="F973" i="9" s="1"/>
  <c r="B972" i="9"/>
  <c r="B971" i="9"/>
  <c r="B970" i="9"/>
  <c r="D970" i="9" s="1"/>
  <c r="B969" i="9"/>
  <c r="B968" i="9"/>
  <c r="B967" i="9"/>
  <c r="B966" i="9"/>
  <c r="H966" i="9" s="1"/>
  <c r="B965" i="9"/>
  <c r="E965" i="9" s="1"/>
  <c r="B964" i="9"/>
  <c r="B963" i="9"/>
  <c r="E963" i="9" s="1"/>
  <c r="B962" i="9"/>
  <c r="F962" i="9" s="1"/>
  <c r="B961" i="9"/>
  <c r="G961" i="9" s="1"/>
  <c r="B960" i="9"/>
  <c r="B959" i="9"/>
  <c r="E959" i="9" s="1"/>
  <c r="B958" i="9"/>
  <c r="D958" i="9" s="1"/>
  <c r="B957" i="9"/>
  <c r="B956" i="9"/>
  <c r="F956" i="9" s="1"/>
  <c r="B955" i="9"/>
  <c r="B954" i="9"/>
  <c r="B953" i="9"/>
  <c r="E953" i="9" s="1"/>
  <c r="B952" i="9"/>
  <c r="C952" i="9" s="1"/>
  <c r="B951" i="9"/>
  <c r="B950" i="9"/>
  <c r="B949" i="9"/>
  <c r="B948" i="9"/>
  <c r="B947" i="9"/>
  <c r="B946" i="9"/>
  <c r="G946" i="9" s="1"/>
  <c r="B945" i="9"/>
  <c r="D945" i="9" s="1"/>
  <c r="B944" i="9"/>
  <c r="D944" i="9" s="1"/>
  <c r="B943" i="9"/>
  <c r="B942" i="9"/>
  <c r="B941" i="9"/>
  <c r="E941" i="9" s="1"/>
  <c r="B940" i="9"/>
  <c r="H940" i="9" s="1"/>
  <c r="B939" i="9"/>
  <c r="H939" i="9" s="1"/>
  <c r="B938" i="9"/>
  <c r="F938" i="9" s="1"/>
  <c r="B937" i="9"/>
  <c r="D937" i="9" s="1"/>
  <c r="B936" i="9"/>
  <c r="C936" i="9" s="1"/>
  <c r="B935" i="9"/>
  <c r="B934" i="9"/>
  <c r="H934" i="9" s="1"/>
  <c r="B933" i="9"/>
  <c r="B932" i="9"/>
  <c r="E932" i="9" s="1"/>
  <c r="B931" i="9"/>
  <c r="B930" i="9"/>
  <c r="B929" i="9"/>
  <c r="E929" i="9" s="1"/>
  <c r="B928" i="9"/>
  <c r="B927" i="9"/>
  <c r="B926" i="9"/>
  <c r="B925" i="9"/>
  <c r="B924" i="9"/>
  <c r="B923" i="9"/>
  <c r="B922" i="9"/>
  <c r="D922" i="9" s="1"/>
  <c r="B921" i="9"/>
  <c r="E921" i="9" s="1"/>
  <c r="B920" i="9"/>
  <c r="G920" i="9" s="1"/>
  <c r="B919" i="9"/>
  <c r="F919" i="9" s="1"/>
  <c r="B918" i="9"/>
  <c r="B917" i="9"/>
  <c r="F917" i="9" s="1"/>
  <c r="B916" i="9"/>
  <c r="B915" i="9"/>
  <c r="G915" i="9" s="1"/>
  <c r="B914" i="9"/>
  <c r="E914" i="9" s="1"/>
  <c r="B913" i="9"/>
  <c r="F913" i="9" s="1"/>
  <c r="B912" i="9"/>
  <c r="B911" i="9"/>
  <c r="B910" i="9"/>
  <c r="B909" i="9"/>
  <c r="G909" i="9" s="1"/>
  <c r="B908" i="9"/>
  <c r="F908" i="9" s="1"/>
  <c r="B907" i="9"/>
  <c r="B906" i="9"/>
  <c r="B905" i="9"/>
  <c r="B904" i="9"/>
  <c r="F904" i="9" s="1"/>
  <c r="B903" i="9"/>
  <c r="B902" i="9"/>
  <c r="C902" i="9" s="1"/>
  <c r="B901" i="9"/>
  <c r="F901" i="9" s="1"/>
  <c r="B900" i="9"/>
  <c r="B899" i="9"/>
  <c r="H899" i="9" s="1"/>
  <c r="B898" i="9"/>
  <c r="B897" i="9"/>
  <c r="C897" i="9" s="1"/>
  <c r="B896" i="9"/>
  <c r="B895" i="9"/>
  <c r="B894" i="9"/>
  <c r="F894" i="9" s="1"/>
  <c r="B893" i="9"/>
  <c r="E893" i="9" s="1"/>
  <c r="B892" i="9"/>
  <c r="B891" i="9"/>
  <c r="B890" i="9"/>
  <c r="H890" i="9" s="1"/>
  <c r="B889" i="9"/>
  <c r="B888" i="9"/>
  <c r="G888" i="9" s="1"/>
  <c r="B887" i="9"/>
  <c r="B886" i="9"/>
  <c r="G886" i="9" s="1"/>
  <c r="B885" i="9"/>
  <c r="D885" i="9" s="1"/>
  <c r="B884" i="9"/>
  <c r="F884" i="9" s="1"/>
  <c r="B883" i="9"/>
  <c r="E883" i="9" s="1"/>
  <c r="B882" i="9"/>
  <c r="E882" i="9" s="1"/>
  <c r="B881" i="9"/>
  <c r="G881" i="9" s="1"/>
  <c r="B880" i="9"/>
  <c r="B879" i="9"/>
  <c r="B878" i="9"/>
  <c r="B877" i="9"/>
  <c r="H877" i="9" s="1"/>
  <c r="B876" i="9"/>
  <c r="B875" i="9"/>
  <c r="B874" i="9"/>
  <c r="B873" i="9"/>
  <c r="D873" i="9" s="1"/>
  <c r="B872" i="9"/>
  <c r="B871" i="9"/>
  <c r="B870" i="9"/>
  <c r="D870" i="9" s="1"/>
  <c r="B869" i="9"/>
  <c r="B868" i="9"/>
  <c r="G868" i="9" s="1"/>
  <c r="B867" i="9"/>
  <c r="G867" i="9" s="1"/>
  <c r="B866" i="9"/>
  <c r="E866" i="9" s="1"/>
  <c r="B865" i="9"/>
  <c r="H865" i="9" s="1"/>
  <c r="B864" i="9"/>
  <c r="H864" i="9" s="1"/>
  <c r="B863" i="9"/>
  <c r="F863" i="9" s="1"/>
  <c r="B862" i="9"/>
  <c r="G862" i="9" s="1"/>
  <c r="B861" i="9"/>
  <c r="B860" i="9"/>
  <c r="F860" i="9" s="1"/>
  <c r="B859" i="9"/>
  <c r="B858" i="9"/>
  <c r="F858" i="9" s="1"/>
  <c r="B857" i="9"/>
  <c r="H857" i="9" s="1"/>
  <c r="B856" i="9"/>
  <c r="B855" i="9"/>
  <c r="B854" i="9"/>
  <c r="H854" i="9" s="1"/>
  <c r="B853" i="9"/>
  <c r="G853" i="9" s="1"/>
  <c r="B852" i="9"/>
  <c r="C852" i="9" s="1"/>
  <c r="B851" i="9"/>
  <c r="B850" i="9"/>
  <c r="C850" i="9" s="1"/>
  <c r="B849" i="9"/>
  <c r="H849" i="9" s="1"/>
  <c r="B848" i="9"/>
  <c r="C848" i="9" s="1"/>
  <c r="B847" i="9"/>
  <c r="B846" i="9"/>
  <c r="B845" i="9"/>
  <c r="D845" i="9" s="1"/>
  <c r="B844" i="9"/>
  <c r="F844" i="9" s="1"/>
  <c r="B843" i="9"/>
  <c r="G843" i="9" s="1"/>
  <c r="B842" i="9"/>
  <c r="E842" i="9" s="1"/>
  <c r="B841" i="9"/>
  <c r="B840" i="9"/>
  <c r="H840" i="9" s="1"/>
  <c r="B839" i="9"/>
  <c r="B838" i="9"/>
  <c r="E838" i="9" s="1"/>
  <c r="B837" i="9"/>
  <c r="F837" i="9" s="1"/>
  <c r="B836" i="9"/>
  <c r="B835" i="9"/>
  <c r="B834" i="9"/>
  <c r="H834" i="9" s="1"/>
  <c r="B833" i="9"/>
  <c r="B832" i="9"/>
  <c r="B831" i="9"/>
  <c r="D831" i="9" s="1"/>
  <c r="B830" i="9"/>
  <c r="B829" i="9"/>
  <c r="B828" i="9"/>
  <c r="F828" i="9" s="1"/>
  <c r="B827" i="9"/>
  <c r="D827" i="9" s="1"/>
  <c r="B826" i="9"/>
  <c r="B825" i="9"/>
  <c r="C825" i="9" s="1"/>
  <c r="B824" i="9"/>
  <c r="B823" i="9"/>
  <c r="C823" i="9" s="1"/>
  <c r="B822" i="9"/>
  <c r="B821" i="9"/>
  <c r="B820" i="9"/>
  <c r="G820" i="9" s="1"/>
  <c r="B819" i="9"/>
  <c r="E819" i="9" s="1"/>
  <c r="B818" i="9"/>
  <c r="F818" i="9" s="1"/>
  <c r="B817" i="9"/>
  <c r="G817" i="9" s="1"/>
  <c r="B816" i="9"/>
  <c r="E816" i="9" s="1"/>
  <c r="B815" i="9"/>
  <c r="F815" i="9" s="1"/>
  <c r="B814" i="9"/>
  <c r="F814" i="9" s="1"/>
  <c r="B813" i="9"/>
  <c r="H813" i="9" s="1"/>
  <c r="B812" i="9"/>
  <c r="H812" i="9" s="1"/>
  <c r="B811" i="9"/>
  <c r="E811" i="9" s="1"/>
  <c r="B810" i="9"/>
  <c r="G810" i="9" s="1"/>
  <c r="B809" i="9"/>
  <c r="B808" i="9"/>
  <c r="B807" i="9"/>
  <c r="E807" i="9" s="1"/>
  <c r="B806" i="9"/>
  <c r="B805" i="9"/>
  <c r="H805" i="9" s="1"/>
  <c r="B804" i="9"/>
  <c r="B803" i="9"/>
  <c r="B802" i="9"/>
  <c r="G802" i="9" s="1"/>
  <c r="B801" i="9"/>
  <c r="B800" i="9"/>
  <c r="B799" i="9"/>
  <c r="H799" i="9" s="1"/>
  <c r="B798" i="9"/>
  <c r="B797" i="9"/>
  <c r="H797" i="9" s="1"/>
  <c r="B796" i="9"/>
  <c r="B795" i="9"/>
  <c r="G795" i="9" s="1"/>
  <c r="B794" i="9"/>
  <c r="B793" i="9"/>
  <c r="H793" i="9" s="1"/>
  <c r="B792" i="9"/>
  <c r="C792" i="9" s="1"/>
  <c r="B791" i="9"/>
  <c r="C791" i="9" s="1"/>
  <c r="B790" i="9"/>
  <c r="D790" i="9" s="1"/>
  <c r="B789" i="9"/>
  <c r="B788" i="9"/>
  <c r="C788" i="9" s="1"/>
  <c r="B787" i="9"/>
  <c r="C787" i="9" s="1"/>
  <c r="B786" i="9"/>
  <c r="B785" i="9"/>
  <c r="F785" i="9" s="1"/>
  <c r="B784" i="9"/>
  <c r="B783" i="9"/>
  <c r="G783" i="9" s="1"/>
  <c r="B782" i="9"/>
  <c r="H782" i="9" s="1"/>
  <c r="B781" i="9"/>
  <c r="B780" i="9"/>
  <c r="G780" i="9" s="1"/>
  <c r="B779" i="9"/>
  <c r="C779" i="9" s="1"/>
  <c r="B778" i="9"/>
  <c r="F778" i="9" s="1"/>
  <c r="B777" i="9"/>
  <c r="B776" i="9"/>
  <c r="F776" i="9" s="1"/>
  <c r="B775" i="9"/>
  <c r="B774" i="9"/>
  <c r="B773" i="9"/>
  <c r="B772" i="9"/>
  <c r="E772" i="9" s="1"/>
  <c r="B771" i="9"/>
  <c r="B770" i="9"/>
  <c r="H770" i="9" s="1"/>
  <c r="B769" i="9"/>
  <c r="G769" i="9" s="1"/>
  <c r="B768" i="9"/>
  <c r="C768" i="9" s="1"/>
  <c r="B767" i="9"/>
  <c r="F767" i="9" s="1"/>
  <c r="B766" i="9"/>
  <c r="E766" i="9" s="1"/>
  <c r="B765" i="9"/>
  <c r="E765" i="9" s="1"/>
  <c r="B764" i="9"/>
  <c r="B763" i="9"/>
  <c r="F763" i="9" s="1"/>
  <c r="B762" i="9"/>
  <c r="G762" i="9" s="1"/>
  <c r="B761" i="9"/>
  <c r="D761" i="9" s="1"/>
  <c r="B760" i="9"/>
  <c r="D760" i="9" s="1"/>
  <c r="B759" i="9"/>
  <c r="B758" i="9"/>
  <c r="E758" i="9" s="1"/>
  <c r="B757" i="9"/>
  <c r="F757" i="9" s="1"/>
  <c r="B756" i="9"/>
  <c r="C756" i="9" s="1"/>
  <c r="B755" i="9"/>
  <c r="E755" i="9" s="1"/>
  <c r="B754" i="9"/>
  <c r="B753" i="9"/>
  <c r="G753" i="9" s="1"/>
  <c r="B752" i="9"/>
  <c r="B751" i="9"/>
  <c r="D751" i="9" s="1"/>
  <c r="B750" i="9"/>
  <c r="B749" i="9"/>
  <c r="E749" i="9" s="1"/>
  <c r="B748" i="9"/>
  <c r="G748" i="9" s="1"/>
  <c r="B747" i="9"/>
  <c r="B746" i="9"/>
  <c r="B745" i="9"/>
  <c r="B744" i="9"/>
  <c r="E744" i="9" s="1"/>
  <c r="B743" i="9"/>
  <c r="B742" i="9"/>
  <c r="G742" i="9" s="1"/>
  <c r="B741" i="9"/>
  <c r="D741" i="9" s="1"/>
  <c r="B740" i="9"/>
  <c r="B739" i="9"/>
  <c r="H739" i="9" s="1"/>
  <c r="B738" i="9"/>
  <c r="B737" i="9"/>
  <c r="B736" i="9"/>
  <c r="B735" i="9"/>
  <c r="B734" i="9"/>
  <c r="D734" i="9" s="1"/>
  <c r="B733" i="9"/>
  <c r="F733" i="9" s="1"/>
  <c r="B732" i="9"/>
  <c r="B731" i="9"/>
  <c r="D731" i="9" s="1"/>
  <c r="B730" i="9"/>
  <c r="B729" i="9"/>
  <c r="F729" i="9" s="1"/>
  <c r="B728" i="9"/>
  <c r="C728" i="9" s="1"/>
  <c r="B727" i="9"/>
  <c r="H727" i="9" s="1"/>
  <c r="B726" i="9"/>
  <c r="E726" i="9" s="1"/>
  <c r="B725" i="9"/>
  <c r="G725" i="9" s="1"/>
  <c r="B724" i="9"/>
  <c r="B723" i="9"/>
  <c r="D723" i="9" s="1"/>
  <c r="B722" i="9"/>
  <c r="H722" i="9" s="1"/>
  <c r="B721" i="9"/>
  <c r="B720" i="9"/>
  <c r="G720" i="9" s="1"/>
  <c r="B719" i="9"/>
  <c r="E719" i="9" s="1"/>
  <c r="B718" i="9"/>
  <c r="B717" i="9"/>
  <c r="F717" i="9" s="1"/>
  <c r="B716" i="9"/>
  <c r="F716" i="9" s="1"/>
  <c r="B715" i="9"/>
  <c r="E715" i="9" s="1"/>
  <c r="B714" i="9"/>
  <c r="F714" i="9" s="1"/>
  <c r="B713" i="9"/>
  <c r="B712" i="9"/>
  <c r="F712" i="9" s="1"/>
  <c r="B711" i="9"/>
  <c r="E711" i="9" s="1"/>
  <c r="B710" i="9"/>
  <c r="E710" i="9" s="1"/>
  <c r="B709" i="9"/>
  <c r="B708" i="9"/>
  <c r="D708" i="9" s="1"/>
  <c r="B707" i="9"/>
  <c r="H707" i="9" s="1"/>
  <c r="B706" i="9"/>
  <c r="E706" i="9" s="1"/>
  <c r="B705" i="9"/>
  <c r="B704" i="9"/>
  <c r="B703" i="9"/>
  <c r="B702" i="9"/>
  <c r="D702" i="9" s="1"/>
  <c r="B701" i="9"/>
  <c r="C701" i="9" s="1"/>
  <c r="B700" i="9"/>
  <c r="B699" i="9"/>
  <c r="B698" i="9"/>
  <c r="B697" i="9"/>
  <c r="F697" i="9" s="1"/>
  <c r="B696" i="9"/>
  <c r="B695" i="9"/>
  <c r="H695" i="9" s="1"/>
  <c r="B694" i="9"/>
  <c r="D694" i="9" s="1"/>
  <c r="B693" i="9"/>
  <c r="B692" i="9"/>
  <c r="B691" i="9"/>
  <c r="G691" i="9" s="1"/>
  <c r="B690" i="9"/>
  <c r="B689" i="9"/>
  <c r="C689" i="9" s="1"/>
  <c r="B688" i="9"/>
  <c r="B687" i="9"/>
  <c r="B686" i="9"/>
  <c r="D686" i="9" s="1"/>
  <c r="B685" i="9"/>
  <c r="B684" i="9"/>
  <c r="B683" i="9"/>
  <c r="H683" i="9" s="1"/>
  <c r="B682" i="9"/>
  <c r="B681" i="9"/>
  <c r="H681" i="9" s="1"/>
  <c r="B680" i="9"/>
  <c r="B679" i="9"/>
  <c r="F679" i="9" s="1"/>
  <c r="B678" i="9"/>
  <c r="B677" i="9"/>
  <c r="E677" i="9" s="1"/>
  <c r="B676" i="9"/>
  <c r="B675" i="9"/>
  <c r="B674" i="9"/>
  <c r="H674" i="9" s="1"/>
  <c r="B673" i="9"/>
  <c r="B672" i="9"/>
  <c r="G672" i="9" s="1"/>
  <c r="B671" i="9"/>
  <c r="D671" i="9" s="1"/>
  <c r="B670" i="9"/>
  <c r="B669" i="9"/>
  <c r="G669" i="9" s="1"/>
  <c r="B668" i="9"/>
  <c r="F668" i="9" s="1"/>
  <c r="B667" i="9"/>
  <c r="C667" i="9" s="1"/>
  <c r="B666" i="9"/>
  <c r="E666" i="9" s="1"/>
  <c r="B665" i="9"/>
  <c r="E665" i="9" s="1"/>
  <c r="B664" i="9"/>
  <c r="B663" i="9"/>
  <c r="B662" i="9"/>
  <c r="H662" i="9" s="1"/>
  <c r="B661" i="9"/>
  <c r="B660" i="9"/>
  <c r="B659" i="9"/>
  <c r="C659" i="9" s="1"/>
  <c r="B658" i="9"/>
  <c r="C658" i="9" s="1"/>
  <c r="B657" i="9"/>
  <c r="B656" i="9"/>
  <c r="B655" i="9"/>
  <c r="F655" i="9" s="1"/>
  <c r="B654" i="9"/>
  <c r="B653" i="9"/>
  <c r="E653" i="9" s="1"/>
  <c r="B652" i="9"/>
  <c r="B651" i="9"/>
  <c r="B650" i="9"/>
  <c r="B649" i="9"/>
  <c r="B648" i="9"/>
  <c r="C648" i="9" s="1"/>
  <c r="B647" i="9"/>
  <c r="F647" i="9" s="1"/>
  <c r="B646" i="9"/>
  <c r="B645" i="9"/>
  <c r="B644" i="9"/>
  <c r="H644" i="9" s="1"/>
  <c r="B643" i="9"/>
  <c r="C643" i="9" s="1"/>
  <c r="B642" i="9"/>
  <c r="H642" i="9" s="1"/>
  <c r="B641" i="9"/>
  <c r="B640" i="9"/>
  <c r="E640" i="9" s="1"/>
  <c r="B639" i="9"/>
  <c r="B638" i="9"/>
  <c r="H638" i="9" s="1"/>
  <c r="B637" i="9"/>
  <c r="G637" i="9" s="1"/>
  <c r="B636" i="9"/>
  <c r="B635" i="9"/>
  <c r="G635" i="9" s="1"/>
  <c r="B634" i="9"/>
  <c r="H634" i="9" s="1"/>
  <c r="B633" i="9"/>
  <c r="G633" i="9" s="1"/>
  <c r="B632" i="9"/>
  <c r="G632" i="9" s="1"/>
  <c r="B631" i="9"/>
  <c r="C631" i="9" s="1"/>
  <c r="B630" i="9"/>
  <c r="E630" i="9" s="1"/>
  <c r="B629" i="9"/>
  <c r="B628" i="9"/>
  <c r="B627" i="9"/>
  <c r="D627" i="9" s="1"/>
  <c r="B626" i="9"/>
  <c r="G626" i="9" s="1"/>
  <c r="B625" i="9"/>
  <c r="B624" i="9"/>
  <c r="B623" i="9"/>
  <c r="B622" i="9"/>
  <c r="B621" i="9"/>
  <c r="B620" i="9"/>
  <c r="F620" i="9" s="1"/>
  <c r="B619" i="9"/>
  <c r="E619" i="9" s="1"/>
  <c r="B618" i="9"/>
  <c r="B617" i="9"/>
  <c r="B616" i="9"/>
  <c r="B615" i="9"/>
  <c r="B614" i="9"/>
  <c r="B613" i="9"/>
  <c r="B612" i="9"/>
  <c r="B611" i="9"/>
  <c r="D611" i="9" s="1"/>
  <c r="B610" i="9"/>
  <c r="C610" i="9" s="1"/>
  <c r="B609" i="9"/>
  <c r="C609" i="9" s="1"/>
  <c r="B608" i="9"/>
  <c r="H608" i="9" s="1"/>
  <c r="B607" i="9"/>
  <c r="B606" i="9"/>
  <c r="B605" i="9"/>
  <c r="H605" i="9" s="1"/>
  <c r="B604" i="9"/>
  <c r="B603" i="9"/>
  <c r="E603" i="9" s="1"/>
  <c r="B602" i="9"/>
  <c r="F602" i="9" s="1"/>
  <c r="B601" i="9"/>
  <c r="D601" i="9" s="1"/>
  <c r="B600" i="9"/>
  <c r="B599" i="9"/>
  <c r="B598" i="9"/>
  <c r="B597" i="9"/>
  <c r="D597" i="9" s="1"/>
  <c r="B596" i="9"/>
  <c r="E596" i="9" s="1"/>
  <c r="B595" i="9"/>
  <c r="B594" i="9"/>
  <c r="B593" i="9"/>
  <c r="B592" i="9"/>
  <c r="B591" i="9"/>
  <c r="G591" i="9" s="1"/>
  <c r="B590" i="9"/>
  <c r="B589" i="9"/>
  <c r="G589" i="9" s="1"/>
  <c r="B588" i="9"/>
  <c r="F588" i="9" s="1"/>
  <c r="B587" i="9"/>
  <c r="B586" i="9"/>
  <c r="B585" i="9"/>
  <c r="B584" i="9"/>
  <c r="G584" i="9" s="1"/>
  <c r="B583" i="9"/>
  <c r="B582" i="9"/>
  <c r="E582" i="9" s="1"/>
  <c r="B581" i="9"/>
  <c r="B580" i="9"/>
  <c r="B579" i="9"/>
  <c r="E579" i="9" s="1"/>
  <c r="B578" i="9"/>
  <c r="F578" i="9" s="1"/>
  <c r="B577" i="9"/>
  <c r="B576" i="9"/>
  <c r="B575" i="9"/>
  <c r="B574" i="9"/>
  <c r="D574" i="9" s="1"/>
  <c r="B573" i="9"/>
  <c r="H573" i="9" s="1"/>
  <c r="B572" i="9"/>
  <c r="B571" i="9"/>
  <c r="B570" i="9"/>
  <c r="B569" i="9"/>
  <c r="B568" i="9"/>
  <c r="D568" i="9" s="1"/>
  <c r="B567" i="9"/>
  <c r="E567" i="9" s="1"/>
  <c r="B566" i="9"/>
  <c r="B565" i="9"/>
  <c r="B564" i="9"/>
  <c r="B563" i="9"/>
  <c r="B562" i="9"/>
  <c r="E562" i="9" s="1"/>
  <c r="B561" i="9"/>
  <c r="G561" i="9" s="1"/>
  <c r="B560" i="9"/>
  <c r="C560" i="9" s="1"/>
  <c r="B559" i="9"/>
  <c r="B558" i="9"/>
  <c r="B557" i="9"/>
  <c r="B556" i="9"/>
  <c r="E556" i="9" s="1"/>
  <c r="B555" i="9"/>
  <c r="G555" i="9" s="1"/>
  <c r="B554" i="9"/>
  <c r="B553" i="9"/>
  <c r="B552" i="9"/>
  <c r="G552" i="9" s="1"/>
  <c r="B551" i="9"/>
  <c r="B550" i="9"/>
  <c r="B549" i="9"/>
  <c r="B548" i="9"/>
  <c r="C548" i="9" s="1"/>
  <c r="B547" i="9"/>
  <c r="G547" i="9" s="1"/>
  <c r="B546" i="9"/>
  <c r="C546" i="9" s="1"/>
  <c r="B545" i="9"/>
  <c r="B544" i="9"/>
  <c r="H544" i="9" s="1"/>
  <c r="B543" i="9"/>
  <c r="B542" i="9"/>
  <c r="B541" i="9"/>
  <c r="B540" i="9"/>
  <c r="B539" i="9"/>
  <c r="H539" i="9" s="1"/>
  <c r="B538" i="9"/>
  <c r="B537" i="9"/>
  <c r="B536" i="9"/>
  <c r="B535" i="9"/>
  <c r="F535" i="9" s="1"/>
  <c r="B534" i="9"/>
  <c r="B533" i="9"/>
  <c r="B532" i="9"/>
  <c r="B531" i="9"/>
  <c r="G531" i="9" s="1"/>
  <c r="B530" i="9"/>
  <c r="B529" i="9"/>
  <c r="H529" i="9" s="1"/>
  <c r="B528" i="9"/>
  <c r="G528" i="9" s="1"/>
  <c r="B527" i="9"/>
  <c r="H527" i="9" s="1"/>
  <c r="B526" i="9"/>
  <c r="B525" i="9"/>
  <c r="G525" i="9" s="1"/>
  <c r="B524" i="9"/>
  <c r="H524" i="9" s="1"/>
  <c r="B523" i="9"/>
  <c r="B522" i="9"/>
  <c r="B521" i="9"/>
  <c r="D521" i="9" s="1"/>
  <c r="B520" i="9"/>
  <c r="B519" i="9"/>
  <c r="G519" i="9" s="1"/>
  <c r="B518" i="9"/>
  <c r="B517" i="9"/>
  <c r="B516" i="9"/>
  <c r="B515" i="9"/>
  <c r="B514" i="9"/>
  <c r="B513" i="9"/>
  <c r="F513" i="9" s="1"/>
  <c r="B512" i="9"/>
  <c r="B511" i="9"/>
  <c r="B510" i="9"/>
  <c r="B509" i="9"/>
  <c r="E509" i="9" s="1"/>
  <c r="B508" i="9"/>
  <c r="B507" i="9"/>
  <c r="C507" i="9" s="1"/>
  <c r="B506" i="9"/>
  <c r="H506" i="9" s="1"/>
  <c r="B505" i="9"/>
  <c r="B504" i="9"/>
  <c r="B503" i="9"/>
  <c r="H503" i="9" s="1"/>
  <c r="B502" i="9"/>
  <c r="D502" i="9" s="1"/>
  <c r="B501" i="9"/>
  <c r="G501" i="9" s="1"/>
  <c r="B500" i="9"/>
  <c r="B499" i="9"/>
  <c r="G499" i="9" s="1"/>
  <c r="B498" i="9"/>
  <c r="C498" i="9" s="1"/>
  <c r="B497" i="9"/>
  <c r="E497" i="9" s="1"/>
  <c r="B496" i="9"/>
  <c r="E496" i="9" s="1"/>
  <c r="B495" i="9"/>
  <c r="F495" i="9" s="1"/>
  <c r="B494" i="9"/>
  <c r="B493" i="9"/>
  <c r="B492" i="9"/>
  <c r="B491" i="9"/>
  <c r="E491" i="9" s="1"/>
  <c r="B490" i="9"/>
  <c r="H490" i="9" s="1"/>
  <c r="B489" i="9"/>
  <c r="B488" i="9"/>
  <c r="B487" i="9"/>
  <c r="C487" i="9" s="1"/>
  <c r="B486" i="9"/>
  <c r="H486" i="9" s="1"/>
  <c r="B485" i="9"/>
  <c r="B484" i="9"/>
  <c r="B483" i="9"/>
  <c r="G483" i="9" s="1"/>
  <c r="B482" i="9"/>
  <c r="G482" i="9" s="1"/>
  <c r="B481" i="9"/>
  <c r="B480" i="9"/>
  <c r="B479" i="9"/>
  <c r="G479" i="9" s="1"/>
  <c r="B478" i="9"/>
  <c r="B477" i="9"/>
  <c r="F477" i="9" s="1"/>
  <c r="B476" i="9"/>
  <c r="B475" i="9"/>
  <c r="B474" i="9"/>
  <c r="B473" i="9"/>
  <c r="B472" i="9"/>
  <c r="B471" i="9"/>
  <c r="F471" i="9" s="1"/>
  <c r="B470" i="9"/>
  <c r="H470" i="9" s="1"/>
  <c r="B469" i="9"/>
  <c r="F469" i="9" s="1"/>
  <c r="B468" i="9"/>
  <c r="H468" i="9" s="1"/>
  <c r="B467" i="9"/>
  <c r="G467" i="9" s="1"/>
  <c r="B466" i="9"/>
  <c r="B465" i="9"/>
  <c r="H465" i="9" s="1"/>
  <c r="B464" i="9"/>
  <c r="C464" i="9" s="1"/>
  <c r="B463" i="9"/>
  <c r="B462" i="9"/>
  <c r="B461" i="9"/>
  <c r="B460" i="9"/>
  <c r="H460" i="9" s="1"/>
  <c r="B459" i="9"/>
  <c r="C459" i="9" s="1"/>
  <c r="B458" i="9"/>
  <c r="B457" i="9"/>
  <c r="E457" i="9" s="1"/>
  <c r="B456" i="9"/>
  <c r="B455" i="9"/>
  <c r="B454" i="9"/>
  <c r="B453" i="9"/>
  <c r="D453" i="9" s="1"/>
  <c r="B452" i="9"/>
  <c r="B451" i="9"/>
  <c r="B450" i="9"/>
  <c r="B449" i="9"/>
  <c r="H449" i="9" s="1"/>
  <c r="B448" i="9"/>
  <c r="C448" i="9" s="1"/>
  <c r="B447" i="9"/>
  <c r="D447" i="9" s="1"/>
  <c r="B446" i="9"/>
  <c r="B445" i="9"/>
  <c r="H445" i="9" s="1"/>
  <c r="B444" i="9"/>
  <c r="E444" i="9" s="1"/>
  <c r="B443" i="9"/>
  <c r="G443" i="9" s="1"/>
  <c r="B442" i="9"/>
  <c r="B441" i="9"/>
  <c r="D441" i="9" s="1"/>
  <c r="B440" i="9"/>
  <c r="B439" i="9"/>
  <c r="B438" i="9"/>
  <c r="B437" i="9"/>
  <c r="D437" i="9" s="1"/>
  <c r="B436" i="9"/>
  <c r="E436" i="9" s="1"/>
  <c r="B435" i="9"/>
  <c r="C435" i="9" s="1"/>
  <c r="B434" i="9"/>
  <c r="B433" i="9"/>
  <c r="G433" i="9" s="1"/>
  <c r="B432" i="9"/>
  <c r="F432" i="9" s="1"/>
  <c r="B431" i="9"/>
  <c r="B430" i="9"/>
  <c r="C430" i="9" s="1"/>
  <c r="B429" i="9"/>
  <c r="D429" i="9" s="1"/>
  <c r="B428" i="9"/>
  <c r="C428" i="9" s="1"/>
  <c r="B427" i="9"/>
  <c r="B426" i="9"/>
  <c r="B425" i="9"/>
  <c r="D425" i="9" s="1"/>
  <c r="B424" i="9"/>
  <c r="E424" i="9" s="1"/>
  <c r="B423" i="9"/>
  <c r="B422" i="9"/>
  <c r="E422" i="9" s="1"/>
  <c r="B421" i="9"/>
  <c r="D421" i="9" s="1"/>
  <c r="B420" i="9"/>
  <c r="B419" i="9"/>
  <c r="H419" i="9" s="1"/>
  <c r="B418" i="9"/>
  <c r="B417" i="9"/>
  <c r="G417" i="9" s="1"/>
  <c r="B416" i="9"/>
  <c r="B415" i="9"/>
  <c r="E415" i="9" s="1"/>
  <c r="B414" i="9"/>
  <c r="H414" i="9" s="1"/>
  <c r="B413" i="9"/>
  <c r="B412" i="9"/>
  <c r="D412" i="9" s="1"/>
  <c r="B411" i="9"/>
  <c r="H411" i="9" s="1"/>
  <c r="B410" i="9"/>
  <c r="D410" i="9" s="1"/>
  <c r="B409" i="9"/>
  <c r="G409" i="9" s="1"/>
  <c r="B408" i="9"/>
  <c r="B407" i="9"/>
  <c r="G407" i="9" s="1"/>
  <c r="B406" i="9"/>
  <c r="D406" i="9" s="1"/>
  <c r="B405" i="9"/>
  <c r="B404" i="9"/>
  <c r="B403" i="9"/>
  <c r="C403" i="9" s="1"/>
  <c r="B402" i="9"/>
  <c r="D402" i="9" s="1"/>
  <c r="B401" i="9"/>
  <c r="B400" i="9"/>
  <c r="G400" i="9" s="1"/>
  <c r="B399" i="9"/>
  <c r="C399" i="9" s="1"/>
  <c r="B398" i="9"/>
  <c r="B397" i="9"/>
  <c r="G397" i="9" s="1"/>
  <c r="B396" i="9"/>
  <c r="B395" i="9"/>
  <c r="B394" i="9"/>
  <c r="B393" i="9"/>
  <c r="H393" i="9" s="1"/>
  <c r="B392" i="9"/>
  <c r="D392" i="9" s="1"/>
  <c r="B391" i="9"/>
  <c r="H391" i="9" s="1"/>
  <c r="B390" i="9"/>
  <c r="E390" i="9" s="1"/>
  <c r="B389" i="9"/>
  <c r="B388" i="9"/>
  <c r="B387" i="9"/>
  <c r="B386" i="9"/>
  <c r="D386" i="9" s="1"/>
  <c r="B385" i="9"/>
  <c r="D385" i="9" s="1"/>
  <c r="B384" i="9"/>
  <c r="F384" i="9" s="1"/>
  <c r="B383" i="9"/>
  <c r="H383" i="9" s="1"/>
  <c r="B382" i="9"/>
  <c r="G382" i="9" s="1"/>
  <c r="B381" i="9"/>
  <c r="E381" i="9" s="1"/>
  <c r="B380" i="9"/>
  <c r="C380" i="9" s="1"/>
  <c r="B379" i="9"/>
  <c r="B378" i="9"/>
  <c r="B377" i="9"/>
  <c r="E377" i="9" s="1"/>
  <c r="B376" i="9"/>
  <c r="G376" i="9" s="1"/>
  <c r="B375" i="9"/>
  <c r="C375" i="9" s="1"/>
  <c r="B374" i="9"/>
  <c r="E374" i="9" s="1"/>
  <c r="B373" i="9"/>
  <c r="B372" i="9"/>
  <c r="E372" i="9" s="1"/>
  <c r="B371" i="9"/>
  <c r="F371" i="9" s="1"/>
  <c r="B370" i="9"/>
  <c r="B369" i="9"/>
  <c r="B368" i="9"/>
  <c r="C368" i="9" s="1"/>
  <c r="B367" i="9"/>
  <c r="B366" i="9"/>
  <c r="B365" i="9"/>
  <c r="G365" i="9" s="1"/>
  <c r="B364" i="9"/>
  <c r="E364" i="9" s="1"/>
  <c r="B363" i="9"/>
  <c r="G363" i="9" s="1"/>
  <c r="B362" i="9"/>
  <c r="D362" i="9" s="1"/>
  <c r="B361" i="9"/>
  <c r="D361" i="9" s="1"/>
  <c r="B360" i="9"/>
  <c r="B359" i="9"/>
  <c r="B358" i="9"/>
  <c r="H358" i="9" s="1"/>
  <c r="B357" i="9"/>
  <c r="E357" i="9" s="1"/>
  <c r="B356" i="9"/>
  <c r="B355" i="9"/>
  <c r="B354" i="9"/>
  <c r="H354" i="9" s="1"/>
  <c r="B353" i="9"/>
  <c r="D353" i="9" s="1"/>
  <c r="B352" i="9"/>
  <c r="F352" i="9" s="1"/>
  <c r="B351" i="9"/>
  <c r="C351" i="9" s="1"/>
  <c r="B350" i="9"/>
  <c r="C350" i="9" s="1"/>
  <c r="B349" i="9"/>
  <c r="G349" i="9" s="1"/>
  <c r="B348" i="9"/>
  <c r="F348" i="9" s="1"/>
  <c r="B347" i="9"/>
  <c r="D347" i="9" s="1"/>
  <c r="B346" i="9"/>
  <c r="H346" i="9" s="1"/>
  <c r="B345" i="9"/>
  <c r="H345" i="9" s="1"/>
  <c r="B344" i="9"/>
  <c r="C344" i="9" s="1"/>
  <c r="B343" i="9"/>
  <c r="F343" i="9" s="1"/>
  <c r="B342" i="9"/>
  <c r="C342" i="9" s="1"/>
  <c r="B341" i="9"/>
  <c r="G341" i="9" s="1"/>
  <c r="B340" i="9"/>
  <c r="F340" i="9" s="1"/>
  <c r="B339" i="9"/>
  <c r="F339" i="9" s="1"/>
  <c r="B338" i="9"/>
  <c r="G338" i="9" s="1"/>
  <c r="B337" i="9"/>
  <c r="H337" i="9" s="1"/>
  <c r="B336" i="9"/>
  <c r="H336" i="9" s="1"/>
  <c r="B335" i="9"/>
  <c r="G335" i="9" s="1"/>
  <c r="B334" i="9"/>
  <c r="G334" i="9" s="1"/>
  <c r="B333" i="9"/>
  <c r="H333" i="9" s="1"/>
  <c r="B332" i="9"/>
  <c r="G332" i="9" s="1"/>
  <c r="B331" i="9"/>
  <c r="C331" i="9" s="1"/>
  <c r="B330" i="9"/>
  <c r="H330" i="9" s="1"/>
  <c r="B329" i="9"/>
  <c r="E329" i="9" s="1"/>
  <c r="B328" i="9"/>
  <c r="F328" i="9" s="1"/>
  <c r="B327" i="9"/>
  <c r="F327" i="9" s="1"/>
  <c r="B326" i="9"/>
  <c r="H326" i="9" s="1"/>
  <c r="B325" i="9"/>
  <c r="B324" i="9"/>
  <c r="E324" i="9" s="1"/>
  <c r="B323" i="9"/>
  <c r="F323" i="9" s="1"/>
  <c r="B322" i="9"/>
  <c r="F322" i="9" s="1"/>
  <c r="B321" i="9"/>
  <c r="H321" i="9" s="1"/>
  <c r="B320" i="9"/>
  <c r="D320" i="9" s="1"/>
  <c r="B319" i="9"/>
  <c r="E319" i="9" s="1"/>
  <c r="B318" i="9"/>
  <c r="G318" i="9" s="1"/>
  <c r="B317" i="9"/>
  <c r="H317" i="9" s="1"/>
  <c r="B316" i="9"/>
  <c r="B315" i="9"/>
  <c r="F315" i="9" s="1"/>
  <c r="B314" i="9"/>
  <c r="B313" i="9"/>
  <c r="H313" i="9" s="1"/>
  <c r="B312" i="9"/>
  <c r="D312" i="9" s="1"/>
  <c r="B311" i="9"/>
  <c r="H311" i="9" s="1"/>
  <c r="B310" i="9"/>
  <c r="G310" i="9" s="1"/>
  <c r="B309" i="9"/>
  <c r="B308" i="9"/>
  <c r="F308" i="9" s="1"/>
  <c r="B307" i="9"/>
  <c r="G307" i="9" s="1"/>
  <c r="B306" i="9"/>
  <c r="D306" i="9" s="1"/>
  <c r="B305" i="9"/>
  <c r="E305" i="9" s="1"/>
  <c r="B304" i="9"/>
  <c r="C304" i="9" s="1"/>
  <c r="B303" i="9"/>
  <c r="B302" i="9"/>
  <c r="E302" i="9" s="1"/>
  <c r="B301" i="9"/>
  <c r="D301" i="9" s="1"/>
  <c r="B300" i="9"/>
  <c r="E300" i="9" s="1"/>
  <c r="B299" i="9"/>
  <c r="E299" i="9" s="1"/>
  <c r="B298" i="9"/>
  <c r="B297" i="9"/>
  <c r="F297" i="9" s="1"/>
  <c r="B296" i="9"/>
  <c r="F296" i="9" s="1"/>
  <c r="B295" i="9"/>
  <c r="G295" i="9" s="1"/>
  <c r="B294" i="9"/>
  <c r="D294" i="9" s="1"/>
  <c r="B293" i="9"/>
  <c r="H293" i="9" s="1"/>
  <c r="B292" i="9"/>
  <c r="D292" i="9" s="1"/>
  <c r="B291" i="9"/>
  <c r="E291" i="9" s="1"/>
  <c r="B290" i="9"/>
  <c r="B289" i="9"/>
  <c r="F289" i="9" s="1"/>
  <c r="B288" i="9"/>
  <c r="H288" i="9" s="1"/>
  <c r="B287" i="9"/>
  <c r="G287" i="9" s="1"/>
  <c r="B286" i="9"/>
  <c r="G286" i="9" s="1"/>
  <c r="B285" i="9"/>
  <c r="B284" i="9"/>
  <c r="H284" i="9" s="1"/>
  <c r="B283" i="9"/>
  <c r="B282" i="9"/>
  <c r="H282" i="9" s="1"/>
  <c r="B281" i="9"/>
  <c r="E281" i="9" s="1"/>
  <c r="B280" i="9"/>
  <c r="E280" i="9" s="1"/>
  <c r="B279" i="9"/>
  <c r="B278" i="9"/>
  <c r="H278" i="9" s="1"/>
  <c r="B277" i="9"/>
  <c r="B276" i="9"/>
  <c r="E276" i="9" s="1"/>
  <c r="B275" i="9"/>
  <c r="E275" i="9" s="1"/>
  <c r="B274" i="9"/>
  <c r="H274" i="9" s="1"/>
  <c r="B273" i="9"/>
  <c r="G273" i="9" s="1"/>
  <c r="B272" i="9"/>
  <c r="F272" i="9" s="1"/>
  <c r="B271" i="9"/>
  <c r="C271" i="9" s="1"/>
  <c r="B270" i="9"/>
  <c r="B269" i="9"/>
  <c r="F269" i="9" s="1"/>
  <c r="B268" i="9"/>
  <c r="E268" i="9" s="1"/>
  <c r="B267" i="9"/>
  <c r="G267" i="9" s="1"/>
  <c r="B266" i="9"/>
  <c r="G266" i="9" s="1"/>
  <c r="B265" i="9"/>
  <c r="G265" i="9" s="1"/>
  <c r="B264" i="9"/>
  <c r="C264" i="9" s="1"/>
  <c r="B263" i="9"/>
  <c r="B262" i="9"/>
  <c r="B261" i="9"/>
  <c r="E261" i="9" s="1"/>
  <c r="B260" i="9"/>
  <c r="C260" i="9" s="1"/>
  <c r="B259" i="9"/>
  <c r="B258" i="9"/>
  <c r="F258" i="9" s="1"/>
  <c r="B257" i="9"/>
  <c r="B256" i="9"/>
  <c r="B255" i="9"/>
  <c r="D255" i="9" s="1"/>
  <c r="B254" i="9"/>
  <c r="G254" i="9" s="1"/>
  <c r="B253" i="9"/>
  <c r="H253" i="9" s="1"/>
  <c r="B252" i="9"/>
  <c r="B251" i="9"/>
  <c r="B250" i="9"/>
  <c r="B249" i="9"/>
  <c r="E249" i="9" s="1"/>
  <c r="B248" i="9"/>
  <c r="C248" i="9" s="1"/>
  <c r="B247" i="9"/>
  <c r="B246" i="9"/>
  <c r="C246" i="9" s="1"/>
  <c r="B245" i="9"/>
  <c r="F245" i="9" s="1"/>
  <c r="B244" i="9"/>
  <c r="B243" i="9"/>
  <c r="F243" i="9" s="1"/>
  <c r="B242" i="9"/>
  <c r="G242" i="9" s="1"/>
  <c r="B241" i="9"/>
  <c r="B240" i="9"/>
  <c r="B239" i="9"/>
  <c r="H239" i="9" s="1"/>
  <c r="B238" i="9"/>
  <c r="H238" i="9" s="1"/>
  <c r="B237" i="9"/>
  <c r="B236" i="9"/>
  <c r="C236" i="9" s="1"/>
  <c r="B235" i="9"/>
  <c r="B234" i="9"/>
  <c r="B233" i="9"/>
  <c r="H233" i="9" s="1"/>
  <c r="B232" i="9"/>
  <c r="B231" i="9"/>
  <c r="D231" i="9" s="1"/>
  <c r="B230" i="9"/>
  <c r="B229" i="9"/>
  <c r="H229" i="9" s="1"/>
  <c r="B228" i="9"/>
  <c r="E228" i="9" s="1"/>
  <c r="B227" i="9"/>
  <c r="E227" i="9" s="1"/>
  <c r="B226" i="9"/>
  <c r="B225" i="9"/>
  <c r="B224" i="9"/>
  <c r="F224" i="9" s="1"/>
  <c r="B223" i="9"/>
  <c r="F223" i="9" s="1"/>
  <c r="B222" i="9"/>
  <c r="B221" i="9"/>
  <c r="G221" i="9" s="1"/>
  <c r="B220" i="9"/>
  <c r="H220" i="9" s="1"/>
  <c r="B219" i="9"/>
  <c r="B218" i="9"/>
  <c r="B217" i="9"/>
  <c r="D217" i="9" s="1"/>
  <c r="B216" i="9"/>
  <c r="F216" i="9" s="1"/>
  <c r="B215" i="9"/>
  <c r="F215" i="9" s="1"/>
  <c r="B214" i="9"/>
  <c r="F214" i="9" s="1"/>
  <c r="B213" i="9"/>
  <c r="E213" i="9" s="1"/>
  <c r="B212" i="9"/>
  <c r="G212" i="9" s="1"/>
  <c r="B211" i="9"/>
  <c r="B210" i="9"/>
  <c r="H210" i="9" s="1"/>
  <c r="B209" i="9"/>
  <c r="E209" i="9" s="1"/>
  <c r="B208" i="9"/>
  <c r="G208" i="9" s="1"/>
  <c r="B207" i="9"/>
  <c r="B206" i="9"/>
  <c r="G206" i="9" s="1"/>
  <c r="B205" i="9"/>
  <c r="B204" i="9"/>
  <c r="E204" i="9" s="1"/>
  <c r="B203" i="9"/>
  <c r="G203" i="9" s="1"/>
  <c r="B202" i="9"/>
  <c r="B201" i="9"/>
  <c r="F201" i="9" s="1"/>
  <c r="B200" i="9"/>
  <c r="H200" i="9" s="1"/>
  <c r="B199" i="9"/>
  <c r="D199" i="9" s="1"/>
  <c r="B198" i="9"/>
  <c r="D198" i="9" s="1"/>
  <c r="B197" i="9"/>
  <c r="F197" i="9" s="1"/>
  <c r="B196" i="9"/>
  <c r="B195" i="9"/>
  <c r="D195" i="9" s="1"/>
  <c r="B194" i="9"/>
  <c r="G194" i="9" s="1"/>
  <c r="B193" i="9"/>
  <c r="D193" i="9" s="1"/>
  <c r="B192" i="9"/>
  <c r="B191" i="9"/>
  <c r="B190" i="9"/>
  <c r="B189" i="9"/>
  <c r="G189" i="9" s="1"/>
  <c r="B188" i="9"/>
  <c r="E188" i="9" s="1"/>
  <c r="B187" i="9"/>
  <c r="G187" i="9" s="1"/>
  <c r="B186" i="9"/>
  <c r="B185" i="9"/>
  <c r="H185" i="9" s="1"/>
  <c r="B184" i="9"/>
  <c r="B183" i="9"/>
  <c r="B182" i="9"/>
  <c r="B181" i="9"/>
  <c r="B180" i="9"/>
  <c r="E180" i="9" s="1"/>
  <c r="B179" i="9"/>
  <c r="B178" i="9"/>
  <c r="D178" i="9" s="1"/>
  <c r="B177" i="9"/>
  <c r="H177" i="9" s="1"/>
  <c r="B176" i="9"/>
  <c r="H176" i="9" s="1"/>
  <c r="B175" i="9"/>
  <c r="E175" i="9" s="1"/>
  <c r="B174" i="9"/>
  <c r="C174" i="9" s="1"/>
  <c r="B173" i="9"/>
  <c r="C173" i="9" s="1"/>
  <c r="B172" i="9"/>
  <c r="B171" i="9"/>
  <c r="G171" i="9" s="1"/>
  <c r="B170" i="9"/>
  <c r="E170" i="9" s="1"/>
  <c r="B169" i="9"/>
  <c r="B168" i="9"/>
  <c r="B167" i="9"/>
  <c r="H167" i="9" s="1"/>
  <c r="B166" i="9"/>
  <c r="H166" i="9" s="1"/>
  <c r="B165" i="9"/>
  <c r="H165" i="9" s="1"/>
  <c r="B164" i="9"/>
  <c r="B163" i="9"/>
  <c r="H163" i="9" s="1"/>
  <c r="B162" i="9"/>
  <c r="B161" i="9"/>
  <c r="G161" i="9" s="1"/>
  <c r="B160" i="9"/>
  <c r="B159" i="9"/>
  <c r="H159" i="9" s="1"/>
  <c r="B158" i="9"/>
  <c r="H158" i="9" s="1"/>
  <c r="B157" i="9"/>
  <c r="H157" i="9" s="1"/>
  <c r="B156" i="9"/>
  <c r="C156" i="9" s="1"/>
  <c r="B155" i="9"/>
  <c r="E155" i="9" s="1"/>
  <c r="B154" i="9"/>
  <c r="F154" i="9" s="1"/>
  <c r="B153" i="9"/>
  <c r="E153" i="9" s="1"/>
  <c r="B152" i="9"/>
  <c r="B151" i="9"/>
  <c r="E151" i="9" s="1"/>
  <c r="B150" i="9"/>
  <c r="H150" i="9" s="1"/>
  <c r="B149" i="9"/>
  <c r="E149" i="9" s="1"/>
  <c r="B148" i="9"/>
  <c r="G148" i="9" s="1"/>
  <c r="B147" i="9"/>
  <c r="H147" i="9" s="1"/>
  <c r="B146" i="9"/>
  <c r="H146" i="9" s="1"/>
  <c r="B145" i="9"/>
  <c r="H145" i="9" s="1"/>
  <c r="B144" i="9"/>
  <c r="H144" i="9" s="1"/>
  <c r="B143" i="9"/>
  <c r="E143" i="9" s="1"/>
  <c r="B142" i="9"/>
  <c r="B141" i="9"/>
  <c r="E141" i="9" s="1"/>
  <c r="B140" i="9"/>
  <c r="B139" i="9"/>
  <c r="H139" i="9" s="1"/>
  <c r="B138" i="9"/>
  <c r="H138" i="9" s="1"/>
  <c r="B137" i="9"/>
  <c r="G137" i="9" s="1"/>
  <c r="B136" i="9"/>
  <c r="E136" i="9" s="1"/>
  <c r="B135" i="9"/>
  <c r="B134" i="9"/>
  <c r="F134" i="9" s="1"/>
  <c r="B133" i="9"/>
  <c r="B132" i="9"/>
  <c r="F132" i="9" s="1"/>
  <c r="B131" i="9"/>
  <c r="F131" i="9" s="1"/>
  <c r="B130" i="9"/>
  <c r="D130" i="9" s="1"/>
  <c r="B129" i="9"/>
  <c r="F129" i="9" s="1"/>
  <c r="B128" i="9"/>
  <c r="G128" i="9" s="1"/>
  <c r="B127" i="9"/>
  <c r="B126" i="9"/>
  <c r="B125" i="9"/>
  <c r="B124" i="9"/>
  <c r="F124" i="9" s="1"/>
  <c r="B123" i="9"/>
  <c r="E123" i="9" s="1"/>
  <c r="B122" i="9"/>
  <c r="D122" i="9" s="1"/>
  <c r="B121" i="9"/>
  <c r="B120" i="9"/>
  <c r="H120" i="9" s="1"/>
  <c r="B119" i="9"/>
  <c r="H119" i="9" s="1"/>
  <c r="B118" i="9"/>
  <c r="B117" i="9"/>
  <c r="H117" i="9" s="1"/>
  <c r="B116" i="9"/>
  <c r="B115" i="9"/>
  <c r="E115" i="9" s="1"/>
  <c r="B114" i="9"/>
  <c r="B113" i="9"/>
  <c r="H113" i="9" s="1"/>
  <c r="B112" i="9"/>
  <c r="H112" i="9" s="1"/>
  <c r="B111" i="9"/>
  <c r="B110" i="9"/>
  <c r="H110" i="9" s="1"/>
  <c r="B109" i="9"/>
  <c r="F109" i="9" s="1"/>
  <c r="B108" i="9"/>
  <c r="G108" i="9" s="1"/>
  <c r="B107" i="9"/>
  <c r="G107" i="9" s="1"/>
  <c r="B106" i="9"/>
  <c r="G106" i="9" s="1"/>
  <c r="B105" i="9"/>
  <c r="B104" i="9"/>
  <c r="B103" i="9"/>
  <c r="E103" i="9" s="1"/>
  <c r="B102" i="9"/>
  <c r="G102" i="9" s="1"/>
  <c r="B101" i="9"/>
  <c r="G101" i="9" s="1"/>
  <c r="B100" i="9"/>
  <c r="H100" i="9" s="1"/>
  <c r="B99" i="9"/>
  <c r="D99" i="9" s="1"/>
  <c r="B98" i="9"/>
  <c r="B97" i="9"/>
  <c r="D97" i="9" s="1"/>
  <c r="B96" i="9"/>
  <c r="H96" i="9" s="1"/>
  <c r="B95" i="9"/>
  <c r="D95" i="9" s="1"/>
  <c r="B94" i="9"/>
  <c r="F94" i="9" s="1"/>
  <c r="B93" i="9"/>
  <c r="C93" i="9" s="1"/>
  <c r="B92" i="9"/>
  <c r="H92" i="9" s="1"/>
  <c r="B91" i="9"/>
  <c r="E91" i="9" s="1"/>
  <c r="B90" i="9"/>
  <c r="B89" i="9"/>
  <c r="F89" i="9" s="1"/>
  <c r="B88" i="9"/>
  <c r="H88" i="9" s="1"/>
  <c r="B87" i="9"/>
  <c r="E87" i="9" s="1"/>
  <c r="B86" i="9"/>
  <c r="D86" i="9" s="1"/>
  <c r="B85" i="9"/>
  <c r="F85" i="9" s="1"/>
  <c r="B84" i="9"/>
  <c r="F84" i="9" s="1"/>
  <c r="B83" i="9"/>
  <c r="G83" i="9" s="1"/>
  <c r="B82" i="9"/>
  <c r="H82" i="9" s="1"/>
  <c r="B81" i="9"/>
  <c r="E81" i="9" s="1"/>
  <c r="B80" i="9"/>
  <c r="C80" i="9" s="1"/>
  <c r="B79" i="9"/>
  <c r="E79" i="9" s="1"/>
  <c r="B78" i="9"/>
  <c r="C78" i="9" s="1"/>
  <c r="B77" i="9"/>
  <c r="G77" i="9" s="1"/>
  <c r="B76" i="9"/>
  <c r="H76" i="9" s="1"/>
  <c r="B75" i="9"/>
  <c r="G75" i="9" s="1"/>
  <c r="B74" i="9"/>
  <c r="H74" i="9" s="1"/>
  <c r="B73" i="9"/>
  <c r="H73" i="9" s="1"/>
  <c r="B72" i="9"/>
  <c r="H72" i="9" s="1"/>
  <c r="B71" i="9"/>
  <c r="H71" i="9" s="1"/>
  <c r="B70" i="9"/>
  <c r="F70" i="9" s="1"/>
  <c r="B69" i="9"/>
  <c r="C69" i="9" s="1"/>
  <c r="B68" i="9"/>
  <c r="H68" i="9" s="1"/>
  <c r="B67" i="9"/>
  <c r="B66" i="9"/>
  <c r="D66" i="9" s="1"/>
  <c r="B65" i="9"/>
  <c r="H65" i="9" s="1"/>
  <c r="B64" i="9"/>
  <c r="H64" i="9" s="1"/>
  <c r="B63" i="9"/>
  <c r="B62" i="9"/>
  <c r="D62" i="9" s="1"/>
  <c r="B61" i="9"/>
  <c r="B60" i="9"/>
  <c r="F60" i="9" s="1"/>
  <c r="B59" i="9"/>
  <c r="B58" i="9"/>
  <c r="H58" i="9" s="1"/>
  <c r="B57" i="9"/>
  <c r="G57" i="9" s="1"/>
  <c r="B56" i="9"/>
  <c r="G56" i="9" s="1"/>
  <c r="B55" i="9"/>
  <c r="E55" i="9" s="1"/>
  <c r="B54" i="9"/>
  <c r="F54" i="9" s="1"/>
  <c r="B53" i="9"/>
  <c r="F53" i="9" s="1"/>
  <c r="B52" i="9"/>
  <c r="B51" i="9"/>
  <c r="H51" i="9" s="1"/>
  <c r="B50" i="9"/>
  <c r="H50" i="9" s="1"/>
  <c r="B49" i="9"/>
  <c r="H49" i="9" s="1"/>
  <c r="B48" i="9"/>
  <c r="H48" i="9" s="1"/>
  <c r="B47" i="9"/>
  <c r="H47" i="9" s="1"/>
  <c r="B46" i="9"/>
  <c r="F46" i="9" s="1"/>
  <c r="B45" i="9"/>
  <c r="C45" i="9" s="1"/>
  <c r="B44" i="9"/>
  <c r="H44" i="9" s="1"/>
  <c r="B43" i="9"/>
  <c r="E43" i="9" s="1"/>
  <c r="B42" i="9"/>
  <c r="C42" i="9" s="1"/>
  <c r="B41" i="9"/>
  <c r="E41" i="9" s="1"/>
  <c r="B40" i="9"/>
  <c r="G40" i="9" s="1"/>
  <c r="B39" i="9"/>
  <c r="E39" i="9" s="1"/>
  <c r="B38" i="9"/>
  <c r="G38" i="9" s="1"/>
  <c r="B37" i="9"/>
  <c r="F37" i="9" s="1"/>
  <c r="B36" i="9"/>
  <c r="F36" i="9" s="1"/>
  <c r="B35" i="9"/>
  <c r="G35" i="9" s="1"/>
  <c r="B34" i="9"/>
  <c r="H34" i="9" s="1"/>
  <c r="B33" i="9"/>
  <c r="C33" i="9" s="1"/>
  <c r="B32" i="9"/>
  <c r="C32" i="9" s="1"/>
  <c r="B31" i="9"/>
  <c r="H31" i="9" s="1"/>
  <c r="B30" i="9"/>
  <c r="D30" i="9" s="1"/>
  <c r="B29" i="9"/>
  <c r="G29" i="9" s="1"/>
  <c r="B28" i="9"/>
  <c r="F28" i="9" s="1"/>
  <c r="B27" i="9"/>
  <c r="H27" i="9" s="1"/>
  <c r="B26" i="9"/>
  <c r="D26" i="9" s="1"/>
  <c r="B25" i="9"/>
  <c r="H25" i="9" s="1"/>
  <c r="B24" i="9"/>
  <c r="F24" i="9" s="1"/>
  <c r="B23" i="9"/>
  <c r="D23" i="9" s="1"/>
  <c r="B22" i="9"/>
  <c r="H22" i="9" s="1"/>
  <c r="B21" i="9"/>
  <c r="C21" i="9" s="1"/>
  <c r="B20" i="9"/>
  <c r="H20" i="9" s="1"/>
  <c r="B19" i="9"/>
  <c r="E19" i="9" s="1"/>
  <c r="B18" i="9"/>
  <c r="B17" i="9"/>
  <c r="G17" i="9" s="1"/>
  <c r="B16" i="9"/>
  <c r="H16" i="9" s="1"/>
  <c r="B15" i="9"/>
  <c r="H15" i="9" s="1"/>
  <c r="B14" i="9"/>
  <c r="D14" i="9" s="1"/>
  <c r="B13" i="9"/>
  <c r="G13" i="9" s="1"/>
  <c r="B12" i="9"/>
  <c r="F12" i="9" s="1"/>
  <c r="B11" i="9"/>
  <c r="H11" i="9" s="1"/>
  <c r="B10" i="9"/>
  <c r="H10" i="9" s="1"/>
  <c r="B9" i="9"/>
  <c r="C9" i="9" s="1"/>
  <c r="B8" i="9"/>
  <c r="B7" i="9"/>
  <c r="E7" i="9" s="1"/>
  <c r="B6" i="9"/>
  <c r="D6" i="9" s="1"/>
  <c r="B5" i="9"/>
  <c r="B4" i="9"/>
  <c r="B3" i="9"/>
  <c r="B2" i="9"/>
  <c r="T2260" i="8"/>
  <c r="T2259" i="8"/>
  <c r="T2258" i="8"/>
  <c r="T2257" i="8"/>
  <c r="T2256" i="8"/>
  <c r="T2255" i="8"/>
  <c r="T2261" i="8" s="1"/>
  <c r="T8" i="23" l="1"/>
  <c r="T11" i="23"/>
  <c r="T12" i="23"/>
  <c r="T13" i="23"/>
  <c r="G65" i="18"/>
  <c r="C1699" i="9"/>
  <c r="F1612" i="9"/>
  <c r="H1376" i="9"/>
  <c r="C1502" i="9"/>
  <c r="F1546" i="9"/>
  <c r="F1020" i="9"/>
  <c r="C1390" i="9"/>
  <c r="C486" i="9"/>
  <c r="E1665" i="9"/>
  <c r="F988" i="9"/>
  <c r="F1629" i="9"/>
  <c r="H1675" i="9"/>
  <c r="D71" i="9"/>
  <c r="F347" i="9"/>
  <c r="F358" i="9"/>
  <c r="F1201" i="9"/>
  <c r="F1446" i="9"/>
  <c r="F1502" i="9"/>
  <c r="D849" i="9"/>
  <c r="D1332" i="9"/>
  <c r="H1458" i="9"/>
  <c r="C71" i="9"/>
  <c r="C886" i="9"/>
  <c r="D1112" i="9"/>
  <c r="H1112" i="9"/>
  <c r="D1499" i="9"/>
  <c r="F1719" i="9"/>
  <c r="H1421" i="9"/>
  <c r="D1430" i="9"/>
  <c r="E1253" i="9"/>
  <c r="G1603" i="9"/>
  <c r="E1636" i="9"/>
  <c r="C1691" i="9"/>
  <c r="C154" i="9"/>
  <c r="E1142" i="9"/>
  <c r="F1475" i="9"/>
  <c r="F1174" i="9"/>
  <c r="G477" i="9"/>
  <c r="G653" i="9"/>
  <c r="D341" i="9"/>
  <c r="C561" i="9"/>
  <c r="C1035" i="9"/>
  <c r="D1056" i="9"/>
  <c r="H1223" i="9"/>
  <c r="E1391" i="9"/>
  <c r="D1423" i="9"/>
  <c r="C1499" i="9"/>
  <c r="E1086" i="9"/>
  <c r="H1086" i="9"/>
  <c r="D154" i="9"/>
  <c r="E561" i="9"/>
  <c r="H783" i="9"/>
  <c r="D249" i="9"/>
  <c r="D342" i="9"/>
  <c r="D1416" i="9"/>
  <c r="E1499" i="9"/>
  <c r="E1552" i="9"/>
  <c r="E1664" i="9"/>
  <c r="D1674" i="9"/>
  <c r="C1695" i="9"/>
  <c r="F1264" i="9"/>
  <c r="G1343" i="9"/>
  <c r="F1499" i="9"/>
  <c r="D477" i="9"/>
  <c r="G689" i="9"/>
  <c r="G1056" i="9"/>
  <c r="D1017" i="9"/>
  <c r="C1438" i="9"/>
  <c r="C1566" i="9"/>
  <c r="G1742" i="9"/>
  <c r="E154" i="9"/>
  <c r="G227" i="9"/>
  <c r="F310" i="9"/>
  <c r="C425" i="9"/>
  <c r="C763" i="9"/>
  <c r="D868" i="9"/>
  <c r="F937" i="9"/>
  <c r="F1192" i="9"/>
  <c r="E1225" i="9"/>
  <c r="F868" i="9"/>
  <c r="C1171" i="9"/>
  <c r="G731" i="9"/>
  <c r="C1009" i="9"/>
  <c r="E80" i="9"/>
  <c r="C1020" i="9"/>
  <c r="C1364" i="9"/>
  <c r="G1511" i="9"/>
  <c r="F1534" i="9"/>
  <c r="H1732" i="9"/>
  <c r="E433" i="9"/>
  <c r="D546" i="9"/>
  <c r="D635" i="9"/>
  <c r="C1258" i="9"/>
  <c r="E1319" i="9"/>
  <c r="E1359" i="9"/>
  <c r="H1499" i="9"/>
  <c r="D1578" i="9"/>
  <c r="G1645" i="9"/>
  <c r="E1578" i="9"/>
  <c r="H7" i="9"/>
  <c r="G350" i="9"/>
  <c r="E282" i="9"/>
  <c r="E1414" i="9"/>
  <c r="C1442" i="9"/>
  <c r="E1500" i="9"/>
  <c r="F1549" i="9"/>
  <c r="G1599" i="9"/>
  <c r="D1608" i="9"/>
  <c r="F1689" i="9"/>
  <c r="F1737" i="9"/>
  <c r="G1747" i="9"/>
  <c r="H433" i="9"/>
  <c r="D210" i="9"/>
  <c r="F282" i="9"/>
  <c r="C334" i="9"/>
  <c r="D381" i="9"/>
  <c r="H400" i="9"/>
  <c r="C734" i="9"/>
  <c r="D765" i="9"/>
  <c r="H1689" i="9"/>
  <c r="E400" i="9"/>
  <c r="H818" i="9"/>
  <c r="D921" i="9"/>
  <c r="G1029" i="9"/>
  <c r="E881" i="9"/>
  <c r="C1155" i="9"/>
  <c r="G154" i="9"/>
  <c r="C188" i="9"/>
  <c r="E210" i="9"/>
  <c r="G282" i="9"/>
  <c r="D393" i="9"/>
  <c r="E435" i="9"/>
  <c r="F734" i="9"/>
  <c r="C873" i="9"/>
  <c r="E1106" i="9"/>
  <c r="H1167" i="9"/>
  <c r="F1226" i="9"/>
  <c r="H1258" i="9"/>
  <c r="H1319" i="9"/>
  <c r="G21" i="9"/>
  <c r="H154" i="9"/>
  <c r="C327" i="9"/>
  <c r="F393" i="9"/>
  <c r="D411" i="9"/>
  <c r="C429" i="9"/>
  <c r="D811" i="9"/>
  <c r="E966" i="9"/>
  <c r="F1301" i="9"/>
  <c r="D101" i="9"/>
  <c r="G245" i="9"/>
  <c r="H254" i="9"/>
  <c r="D327" i="9"/>
  <c r="C402" i="9"/>
  <c r="F411" i="9"/>
  <c r="F548" i="9"/>
  <c r="G627" i="9"/>
  <c r="F727" i="9"/>
  <c r="D915" i="9"/>
  <c r="G966" i="9"/>
  <c r="H977" i="9"/>
  <c r="F1007" i="9"/>
  <c r="E1041" i="9"/>
  <c r="D1089" i="9"/>
  <c r="H1139" i="9"/>
  <c r="C1199" i="9"/>
  <c r="D1312" i="9"/>
  <c r="E101" i="9"/>
  <c r="F265" i="9"/>
  <c r="E327" i="9"/>
  <c r="G411" i="9"/>
  <c r="F915" i="9"/>
  <c r="H1041" i="9"/>
  <c r="C1453" i="9"/>
  <c r="C1484" i="9"/>
  <c r="C1591" i="9"/>
  <c r="D1680" i="9"/>
  <c r="E1719" i="9"/>
  <c r="E1591" i="9"/>
  <c r="D365" i="9"/>
  <c r="G357" i="9"/>
  <c r="D433" i="9"/>
  <c r="D886" i="9"/>
  <c r="D980" i="9"/>
  <c r="D1009" i="9"/>
  <c r="E1035" i="9"/>
  <c r="D1092" i="9"/>
  <c r="D1151" i="9"/>
  <c r="H1201" i="9"/>
  <c r="D1324" i="9"/>
  <c r="D1502" i="9"/>
  <c r="F1511" i="9"/>
  <c r="D1612" i="9"/>
  <c r="D1641" i="9"/>
  <c r="F782" i="9"/>
  <c r="E848" i="9"/>
  <c r="H886" i="9"/>
  <c r="H14" i="9"/>
  <c r="C357" i="9"/>
  <c r="H357" i="9"/>
  <c r="G1009" i="9"/>
  <c r="G1092" i="9"/>
  <c r="G1324" i="9"/>
  <c r="D7" i="9"/>
  <c r="F350" i="9"/>
  <c r="F399" i="9"/>
  <c r="C415" i="9"/>
  <c r="G425" i="9"/>
  <c r="D486" i="9"/>
  <c r="F574" i="9"/>
  <c r="D665" i="9"/>
  <c r="D763" i="9"/>
  <c r="G849" i="9"/>
  <c r="H870" i="9"/>
  <c r="C963" i="9"/>
  <c r="E981" i="9"/>
  <c r="E1076" i="9"/>
  <c r="F1086" i="9"/>
  <c r="G1112" i="9"/>
  <c r="F1634" i="9"/>
  <c r="F1692" i="9"/>
  <c r="G1713" i="9"/>
  <c r="D963" i="9"/>
  <c r="G1634" i="9"/>
  <c r="H712" i="9"/>
  <c r="F55" i="9"/>
  <c r="E654" i="9"/>
  <c r="D654" i="9"/>
  <c r="H1233" i="9"/>
  <c r="G1233" i="9"/>
  <c r="G142" i="9"/>
  <c r="F142" i="9"/>
  <c r="F457" i="9"/>
  <c r="G726" i="9"/>
  <c r="H751" i="9"/>
  <c r="D274" i="9"/>
  <c r="C300" i="9"/>
  <c r="D334" i="9"/>
  <c r="D357" i="9"/>
  <c r="E406" i="9"/>
  <c r="G457" i="9"/>
  <c r="D467" i="9"/>
  <c r="G513" i="9"/>
  <c r="D555" i="9"/>
  <c r="C666" i="9"/>
  <c r="H726" i="9"/>
  <c r="E734" i="9"/>
  <c r="D762" i="9"/>
  <c r="C782" i="9"/>
  <c r="D865" i="9"/>
  <c r="E1025" i="9"/>
  <c r="D1025" i="9"/>
  <c r="F1091" i="9"/>
  <c r="D1171" i="9"/>
  <c r="D1180" i="9"/>
  <c r="G1254" i="9"/>
  <c r="G1295" i="9"/>
  <c r="C1321" i="9"/>
  <c r="F1375" i="9"/>
  <c r="E1405" i="9"/>
  <c r="G26" i="9"/>
  <c r="E361" i="9"/>
  <c r="C457" i="9"/>
  <c r="C521" i="9"/>
  <c r="G847" i="9"/>
  <c r="H847" i="9"/>
  <c r="F1187" i="9"/>
  <c r="E1187" i="9"/>
  <c r="F1261" i="9"/>
  <c r="H1261" i="9"/>
  <c r="H78" i="9"/>
  <c r="F274" i="9"/>
  <c r="F300" i="9"/>
  <c r="H334" i="9"/>
  <c r="F357" i="9"/>
  <c r="F406" i="9"/>
  <c r="E918" i="9"/>
  <c r="D918" i="9"/>
  <c r="G1129" i="9"/>
  <c r="F1129" i="9"/>
  <c r="C1706" i="9"/>
  <c r="G1706" i="9"/>
  <c r="F91" i="9"/>
  <c r="C175" i="9"/>
  <c r="D197" i="9"/>
  <c r="H206" i="9"/>
  <c r="D712" i="9"/>
  <c r="G774" i="9"/>
  <c r="H774" i="9"/>
  <c r="D774" i="9"/>
  <c r="D802" i="9"/>
  <c r="E901" i="9"/>
  <c r="G913" i="9"/>
  <c r="D913" i="9"/>
  <c r="C913" i="9"/>
  <c r="G940" i="9"/>
  <c r="C961" i="9"/>
  <c r="C1111" i="9"/>
  <c r="G1111" i="9"/>
  <c r="E1140" i="9"/>
  <c r="E1173" i="9"/>
  <c r="G1249" i="9"/>
  <c r="E1416" i="9"/>
  <c r="E1507" i="9"/>
  <c r="G1507" i="9"/>
  <c r="G1471" i="9"/>
  <c r="E1471" i="9"/>
  <c r="C319" i="9"/>
  <c r="C538" i="9"/>
  <c r="E538" i="9"/>
  <c r="F22" i="9"/>
  <c r="E197" i="9"/>
  <c r="C276" i="9"/>
  <c r="C365" i="9"/>
  <c r="G402" i="9"/>
  <c r="F402" i="9"/>
  <c r="G460" i="9"/>
  <c r="F506" i="9"/>
  <c r="C681" i="9"/>
  <c r="D737" i="9"/>
  <c r="G737" i="9"/>
  <c r="C883" i="9"/>
  <c r="E913" i="9"/>
  <c r="E961" i="9"/>
  <c r="D977" i="9"/>
  <c r="F996" i="9"/>
  <c r="E996" i="9"/>
  <c r="C996" i="9"/>
  <c r="C1027" i="9"/>
  <c r="E1093" i="9"/>
  <c r="F1093" i="9"/>
  <c r="C1167" i="9"/>
  <c r="C1192" i="9"/>
  <c r="D1277" i="9"/>
  <c r="H1277" i="9"/>
  <c r="D1368" i="9"/>
  <c r="F1463" i="9"/>
  <c r="C1463" i="9"/>
  <c r="H1464" i="9"/>
  <c r="G1464" i="9"/>
  <c r="E1464" i="9"/>
  <c r="D1464" i="9"/>
  <c r="G1474" i="9"/>
  <c r="H1474" i="9"/>
  <c r="D1474" i="9"/>
  <c r="C1571" i="9"/>
  <c r="G1571" i="9"/>
  <c r="E1571" i="9"/>
  <c r="D1571" i="9"/>
  <c r="F1267" i="9"/>
  <c r="C1267" i="9"/>
  <c r="C198" i="9"/>
  <c r="F313" i="9"/>
  <c r="C568" i="9"/>
  <c r="C611" i="9"/>
  <c r="C633" i="9"/>
  <c r="D1014" i="9"/>
  <c r="H1080" i="9"/>
  <c r="D1088" i="9"/>
  <c r="E1088" i="9"/>
  <c r="F1184" i="9"/>
  <c r="F1342" i="9"/>
  <c r="C1379" i="9"/>
  <c r="H1454" i="9"/>
  <c r="F1454" i="9"/>
  <c r="H961" i="9"/>
  <c r="C55" i="9"/>
  <c r="C139" i="9"/>
  <c r="G217" i="9"/>
  <c r="E365" i="9"/>
  <c r="D376" i="9"/>
  <c r="C589" i="9"/>
  <c r="H713" i="9"/>
  <c r="D713" i="9"/>
  <c r="E795" i="9"/>
  <c r="E860" i="9"/>
  <c r="E877" i="9"/>
  <c r="C877" i="9"/>
  <c r="C15" i="9"/>
  <c r="D55" i="9"/>
  <c r="E139" i="9"/>
  <c r="H156" i="9"/>
  <c r="C306" i="9"/>
  <c r="E306" i="9"/>
  <c r="G313" i="9"/>
  <c r="H402" i="9"/>
  <c r="E601" i="9"/>
  <c r="D633" i="9"/>
  <c r="G642" i="9"/>
  <c r="G705" i="9"/>
  <c r="C705" i="9"/>
  <c r="H749" i="9"/>
  <c r="C758" i="9"/>
  <c r="F845" i="9"/>
  <c r="G877" i="9"/>
  <c r="C979" i="9"/>
  <c r="G979" i="9"/>
  <c r="D979" i="9"/>
  <c r="F1014" i="9"/>
  <c r="D1029" i="9"/>
  <c r="C1071" i="9"/>
  <c r="C1142" i="9"/>
  <c r="D1176" i="9"/>
  <c r="C1176" i="9"/>
  <c r="C1194" i="9"/>
  <c r="D1194" i="9"/>
  <c r="C1231" i="9"/>
  <c r="D1371" i="9"/>
  <c r="G1371" i="9"/>
  <c r="C1401" i="9"/>
  <c r="D1401" i="9"/>
  <c r="F1438" i="9"/>
  <c r="H1438" i="9"/>
  <c r="D280" i="9"/>
  <c r="H280" i="9"/>
  <c r="H1014" i="9"/>
  <c r="E1029" i="9"/>
  <c r="E1082" i="9"/>
  <c r="F1082" i="9"/>
  <c r="C1082" i="9"/>
  <c r="D1142" i="9"/>
  <c r="H1476" i="9"/>
  <c r="G1476" i="9"/>
  <c r="F1487" i="9"/>
  <c r="E1487" i="9"/>
  <c r="C1622" i="9"/>
  <c r="F1622" i="9"/>
  <c r="C501" i="9"/>
  <c r="D972" i="9"/>
  <c r="C972" i="9"/>
  <c r="D1045" i="9"/>
  <c r="G1045" i="9"/>
  <c r="F78" i="9"/>
  <c r="H141" i="9"/>
  <c r="G263" i="9"/>
  <c r="H263" i="9"/>
  <c r="F361" i="9"/>
  <c r="E437" i="9"/>
  <c r="F483" i="9"/>
  <c r="E501" i="9"/>
  <c r="D582" i="9"/>
  <c r="G654" i="9"/>
  <c r="C751" i="9"/>
  <c r="C847" i="9"/>
  <c r="E886" i="9"/>
  <c r="H963" i="9"/>
  <c r="H972" i="9"/>
  <c r="H1029" i="9"/>
  <c r="C1045" i="9"/>
  <c r="C1090" i="9"/>
  <c r="E1233" i="9"/>
  <c r="F1312" i="9"/>
  <c r="D1328" i="9"/>
  <c r="E1430" i="9"/>
  <c r="E1438" i="9"/>
  <c r="D1723" i="9"/>
  <c r="H1723" i="9"/>
  <c r="H361" i="9"/>
  <c r="H437" i="9"/>
  <c r="H646" i="9"/>
  <c r="D646" i="9"/>
  <c r="C646" i="9"/>
  <c r="G964" i="9"/>
  <c r="H964" i="9"/>
  <c r="D964" i="9"/>
  <c r="G1337" i="9"/>
  <c r="F1337" i="9"/>
  <c r="D1337" i="9"/>
  <c r="G1490" i="9"/>
  <c r="D1490" i="9"/>
  <c r="G1693" i="9"/>
  <c r="G1201" i="9"/>
  <c r="H1253" i="9"/>
  <c r="D1618" i="9"/>
  <c r="F1636" i="9"/>
  <c r="C1651" i="9"/>
  <c r="C1660" i="9"/>
  <c r="H1674" i="9"/>
  <c r="G1680" i="9"/>
  <c r="G1689" i="9"/>
  <c r="D1721" i="9"/>
  <c r="G1746" i="9"/>
  <c r="F1651" i="9"/>
  <c r="E1660" i="9"/>
  <c r="E1721" i="9"/>
  <c r="G1595" i="9"/>
  <c r="G1637" i="9"/>
  <c r="G1651" i="9"/>
  <c r="F1660" i="9"/>
  <c r="F1675" i="9"/>
  <c r="H1721" i="9"/>
  <c r="H1660" i="9"/>
  <c r="G1675" i="9"/>
  <c r="E1695" i="9"/>
  <c r="E1514" i="9"/>
  <c r="E1497" i="9"/>
  <c r="D1566" i="9"/>
  <c r="F1591" i="9"/>
  <c r="F1608" i="9"/>
  <c r="F1641" i="9"/>
  <c r="G1664" i="9"/>
  <c r="E1688" i="9"/>
  <c r="D1693" i="9"/>
  <c r="H1699" i="9"/>
  <c r="D1745" i="9"/>
  <c r="D630" i="9"/>
  <c r="C637" i="9"/>
  <c r="G818" i="9"/>
  <c r="G1018" i="9"/>
  <c r="E1054" i="9"/>
  <c r="D1163" i="9"/>
  <c r="E1208" i="9"/>
  <c r="D1226" i="9"/>
  <c r="G1307" i="9"/>
  <c r="C1539" i="9"/>
  <c r="F1566" i="9"/>
  <c r="H1608" i="9"/>
  <c r="G1641" i="9"/>
  <c r="C1680" i="9"/>
  <c r="F1693" i="9"/>
  <c r="E1737" i="9"/>
  <c r="E1745" i="9"/>
  <c r="F219" i="9"/>
  <c r="G219" i="9"/>
  <c r="D219" i="9"/>
  <c r="C442" i="9"/>
  <c r="F442" i="9"/>
  <c r="E442" i="9"/>
  <c r="H469" i="9"/>
  <c r="C469" i="9"/>
  <c r="H924" i="9"/>
  <c r="D924" i="9"/>
  <c r="D991" i="9"/>
  <c r="F991" i="9"/>
  <c r="E991" i="9"/>
  <c r="H1144" i="9"/>
  <c r="C1144" i="9"/>
  <c r="C1333" i="9"/>
  <c r="F1333" i="9"/>
  <c r="F80" i="9"/>
  <c r="D80" i="9"/>
  <c r="E219" i="9"/>
  <c r="D250" i="9"/>
  <c r="F250" i="9"/>
  <c r="C277" i="9"/>
  <c r="E277" i="9"/>
  <c r="G312" i="9"/>
  <c r="C312" i="9"/>
  <c r="E379" i="9"/>
  <c r="C379" i="9"/>
  <c r="D428" i="9"/>
  <c r="E469" i="9"/>
  <c r="G560" i="9"/>
  <c r="E560" i="9"/>
  <c r="D560" i="9"/>
  <c r="D777" i="9"/>
  <c r="C777" i="9"/>
  <c r="E924" i="9"/>
  <c r="G957" i="9"/>
  <c r="D957" i="9"/>
  <c r="H1285" i="9"/>
  <c r="G1285" i="9"/>
  <c r="D1285" i="9"/>
  <c r="D1326" i="9"/>
  <c r="E1333" i="9"/>
  <c r="F61" i="9"/>
  <c r="H61" i="9"/>
  <c r="E1219" i="9"/>
  <c r="C1219" i="9"/>
  <c r="G1305" i="9"/>
  <c r="E1305" i="9"/>
  <c r="D1429" i="9"/>
  <c r="C1429" i="9"/>
  <c r="E373" i="9"/>
  <c r="C373" i="9"/>
  <c r="G393" i="9"/>
  <c r="E393" i="9"/>
  <c r="C393" i="9"/>
  <c r="G695" i="9"/>
  <c r="E770" i="9"/>
  <c r="H987" i="9"/>
  <c r="D987" i="9"/>
  <c r="F1004" i="9"/>
  <c r="D1004" i="9"/>
  <c r="E1016" i="9"/>
  <c r="G1016" i="9"/>
  <c r="F1219" i="9"/>
  <c r="C1422" i="9"/>
  <c r="F1422" i="9"/>
  <c r="F1429" i="9"/>
  <c r="G1437" i="9"/>
  <c r="E1437" i="9"/>
  <c r="F1268" i="9"/>
  <c r="D1268" i="9"/>
  <c r="H512" i="9"/>
  <c r="E512" i="9"/>
  <c r="H623" i="9"/>
  <c r="D623" i="9"/>
  <c r="F704" i="9"/>
  <c r="H704" i="9"/>
  <c r="C704" i="9"/>
  <c r="G1021" i="9"/>
  <c r="E1021" i="9"/>
  <c r="C1021" i="9"/>
  <c r="F221" i="9"/>
  <c r="E221" i="9"/>
  <c r="H456" i="9"/>
  <c r="G456" i="9"/>
  <c r="D736" i="9"/>
  <c r="C736" i="9"/>
  <c r="H736" i="9"/>
  <c r="G1037" i="9"/>
  <c r="C1037" i="9"/>
  <c r="G328" i="9"/>
  <c r="H374" i="9"/>
  <c r="C465" i="9"/>
  <c r="G473" i="9"/>
  <c r="C473" i="9"/>
  <c r="D515" i="9"/>
  <c r="F515" i="9"/>
  <c r="D730" i="9"/>
  <c r="H730" i="9"/>
  <c r="E736" i="9"/>
  <c r="D920" i="9"/>
  <c r="G1059" i="9"/>
  <c r="E1268" i="9"/>
  <c r="E1278" i="9"/>
  <c r="G1278" i="9"/>
  <c r="F1278" i="9"/>
  <c r="G191" i="9"/>
  <c r="H191" i="9"/>
  <c r="E240" i="9"/>
  <c r="H240" i="9"/>
  <c r="C885" i="9"/>
  <c r="G885" i="9"/>
  <c r="H75" i="9"/>
  <c r="C75" i="9"/>
  <c r="C126" i="9"/>
  <c r="E126" i="9"/>
  <c r="G104" i="9"/>
  <c r="H104" i="9"/>
  <c r="D104" i="9"/>
  <c r="H116" i="9"/>
  <c r="F116" i="9"/>
  <c r="C281" i="9"/>
  <c r="D281" i="9"/>
  <c r="E473" i="9"/>
  <c r="H525" i="9"/>
  <c r="E583" i="9"/>
  <c r="G583" i="9"/>
  <c r="C583" i="9"/>
  <c r="D616" i="9"/>
  <c r="G616" i="9"/>
  <c r="F650" i="9"/>
  <c r="H650" i="9"/>
  <c r="E650" i="9"/>
  <c r="H678" i="9"/>
  <c r="D678" i="9"/>
  <c r="G730" i="9"/>
  <c r="D866" i="9"/>
  <c r="F951" i="9"/>
  <c r="E951" i="9"/>
  <c r="C1115" i="9"/>
  <c r="H1115" i="9"/>
  <c r="G1115" i="9"/>
  <c r="D1196" i="9"/>
  <c r="H1196" i="9"/>
  <c r="C211" i="9"/>
  <c r="E211" i="9"/>
  <c r="H251" i="9"/>
  <c r="G251" i="9"/>
  <c r="E462" i="9"/>
  <c r="D462" i="9"/>
  <c r="D405" i="9"/>
  <c r="F405" i="9"/>
  <c r="E405" i="9"/>
  <c r="E485" i="9"/>
  <c r="H485" i="9"/>
  <c r="H502" i="9"/>
  <c r="F532" i="9"/>
  <c r="G532" i="9"/>
  <c r="D590" i="9"/>
  <c r="G590" i="9"/>
  <c r="C647" i="9"/>
  <c r="F892" i="9"/>
  <c r="D892" i="9"/>
  <c r="C8" i="9"/>
  <c r="D8" i="9"/>
  <c r="H66" i="9"/>
  <c r="E66" i="9"/>
  <c r="C66" i="9"/>
  <c r="H534" i="9"/>
  <c r="C534" i="9"/>
  <c r="H677" i="9"/>
  <c r="D677" i="9"/>
  <c r="F450" i="9"/>
  <c r="E450" i="9"/>
  <c r="D450" i="9"/>
  <c r="H1159" i="9"/>
  <c r="F1159" i="9"/>
  <c r="F1255" i="9"/>
  <c r="C1255" i="9"/>
  <c r="D172" i="9"/>
  <c r="G172" i="9"/>
  <c r="F173" i="9"/>
  <c r="D173" i="9"/>
  <c r="E183" i="9"/>
  <c r="F183" i="9"/>
  <c r="F517" i="9"/>
  <c r="E517" i="9"/>
  <c r="C3" i="9"/>
  <c r="H3" i="9"/>
  <c r="G3" i="9"/>
  <c r="D3" i="9"/>
  <c r="H52" i="9"/>
  <c r="F52" i="9"/>
  <c r="G316" i="9"/>
  <c r="E316" i="9"/>
  <c r="F440" i="9"/>
  <c r="E440" i="9"/>
  <c r="D440" i="9"/>
  <c r="H475" i="9"/>
  <c r="C475" i="9"/>
  <c r="G481" i="9"/>
  <c r="E481" i="9"/>
  <c r="G517" i="9"/>
  <c r="F565" i="9"/>
  <c r="H565" i="9"/>
  <c r="F629" i="9"/>
  <c r="G629" i="9"/>
  <c r="E629" i="9"/>
  <c r="D629" i="9"/>
  <c r="G660" i="9"/>
  <c r="F660" i="9"/>
  <c r="H669" i="9"/>
  <c r="F1054" i="9"/>
  <c r="G1081" i="9"/>
  <c r="E1081" i="9"/>
  <c r="C1159" i="9"/>
  <c r="D1255" i="9"/>
  <c r="D1389" i="9"/>
  <c r="C205" i="9"/>
  <c r="E205" i="9"/>
  <c r="D222" i="9"/>
  <c r="G222" i="9"/>
  <c r="E414" i="9"/>
  <c r="D414" i="9"/>
  <c r="F247" i="9"/>
  <c r="H247" i="9"/>
  <c r="G323" i="9"/>
  <c r="E323" i="9"/>
  <c r="H595" i="9"/>
  <c r="G595" i="9"/>
  <c r="F595" i="9"/>
  <c r="G606" i="9"/>
  <c r="E606" i="9"/>
  <c r="E31" i="9"/>
  <c r="D31" i="9"/>
  <c r="G59" i="9"/>
  <c r="F59" i="9"/>
  <c r="H118" i="9"/>
  <c r="E118" i="9"/>
  <c r="F3" i="9"/>
  <c r="G31" i="9"/>
  <c r="E52" i="9"/>
  <c r="H59" i="9"/>
  <c r="E98" i="9"/>
  <c r="H98" i="9"/>
  <c r="E107" i="9"/>
  <c r="H130" i="9"/>
  <c r="H249" i="9"/>
  <c r="G249" i="9"/>
  <c r="C249" i="9"/>
  <c r="F316" i="9"/>
  <c r="E340" i="9"/>
  <c r="C340" i="9"/>
  <c r="E396" i="9"/>
  <c r="G396" i="9"/>
  <c r="G440" i="9"/>
  <c r="E475" i="9"/>
  <c r="C481" i="9"/>
  <c r="F508" i="9"/>
  <c r="H508" i="9"/>
  <c r="E508" i="9"/>
  <c r="F518" i="9"/>
  <c r="G518" i="9"/>
  <c r="C586" i="9"/>
  <c r="D586" i="9"/>
  <c r="C629" i="9"/>
  <c r="H670" i="9"/>
  <c r="C670" i="9"/>
  <c r="F967" i="9"/>
  <c r="E967" i="9"/>
  <c r="C1026" i="9"/>
  <c r="F1026" i="9"/>
  <c r="E1026" i="9"/>
  <c r="H1048" i="9"/>
  <c r="D1048" i="9"/>
  <c r="G1073" i="9"/>
  <c r="C1073" i="9"/>
  <c r="C1103" i="9"/>
  <c r="H1103" i="9"/>
  <c r="G1103" i="9"/>
  <c r="G1255" i="9"/>
  <c r="H4" i="9"/>
  <c r="F4" i="9"/>
  <c r="G53" i="9"/>
  <c r="H53" i="9"/>
  <c r="D53" i="9"/>
  <c r="E179" i="9"/>
  <c r="H179" i="9"/>
  <c r="E259" i="9"/>
  <c r="G259" i="9"/>
  <c r="E388" i="9"/>
  <c r="F388" i="9"/>
  <c r="H396" i="9"/>
  <c r="H453" i="9"/>
  <c r="F453" i="9"/>
  <c r="E453" i="9"/>
  <c r="G475" i="9"/>
  <c r="H629" i="9"/>
  <c r="G740" i="9"/>
  <c r="E740" i="9"/>
  <c r="F775" i="9"/>
  <c r="D775" i="9"/>
  <c r="G775" i="9"/>
  <c r="D967" i="9"/>
  <c r="H990" i="9"/>
  <c r="D1073" i="9"/>
  <c r="F1103" i="9"/>
  <c r="F1560" i="9"/>
  <c r="E1560" i="9"/>
  <c r="D1560" i="9"/>
  <c r="C1560" i="9"/>
  <c r="C1576" i="9"/>
  <c r="H1576" i="9"/>
  <c r="F1576" i="9"/>
  <c r="G559" i="9"/>
  <c r="C559" i="9"/>
  <c r="G1477" i="9"/>
  <c r="C1477" i="9"/>
  <c r="H1512" i="9"/>
  <c r="G1512" i="9"/>
  <c r="E1512" i="9"/>
  <c r="D1512" i="9"/>
  <c r="E1576" i="9"/>
  <c r="G1473" i="9"/>
  <c r="H1473" i="9"/>
  <c r="F1473" i="9"/>
  <c r="G300" i="9"/>
  <c r="G361" i="9"/>
  <c r="E402" i="9"/>
  <c r="F873" i="9"/>
  <c r="E873" i="9"/>
  <c r="H1044" i="9"/>
  <c r="G1044" i="9"/>
  <c r="G1466" i="9"/>
  <c r="H1466" i="9"/>
  <c r="D1466" i="9"/>
  <c r="C1466" i="9"/>
  <c r="D1479" i="9"/>
  <c r="G1495" i="9"/>
  <c r="H1500" i="9"/>
  <c r="D1500" i="9"/>
  <c r="C1500" i="9"/>
  <c r="H489" i="9"/>
  <c r="D489" i="9"/>
  <c r="H696" i="9"/>
  <c r="G696" i="9"/>
  <c r="H880" i="9"/>
  <c r="C880" i="9"/>
  <c r="E1031" i="9"/>
  <c r="H1031" i="9"/>
  <c r="H1280" i="9"/>
  <c r="F1280" i="9"/>
  <c r="F1479" i="9"/>
  <c r="F1749" i="9"/>
  <c r="H1749" i="9"/>
  <c r="G1749" i="9"/>
  <c r="E429" i="9"/>
  <c r="D435" i="9"/>
  <c r="E467" i="9"/>
  <c r="C467" i="9"/>
  <c r="C513" i="9"/>
  <c r="E527" i="9"/>
  <c r="C574" i="9"/>
  <c r="D642" i="9"/>
  <c r="E655" i="9"/>
  <c r="E751" i="9"/>
  <c r="C765" i="9"/>
  <c r="D783" i="9"/>
  <c r="G893" i="9"/>
  <c r="D901" i="9"/>
  <c r="D981" i="9"/>
  <c r="D988" i="9"/>
  <c r="G1031" i="9"/>
  <c r="F1111" i="9"/>
  <c r="D1140" i="9"/>
  <c r="G1145" i="9"/>
  <c r="C1173" i="9"/>
  <c r="C1235" i="9"/>
  <c r="C1280" i="9"/>
  <c r="F1335" i="9"/>
  <c r="D1453" i="9"/>
  <c r="F1466" i="9"/>
  <c r="E1474" i="9"/>
  <c r="H1479" i="9"/>
  <c r="C1488" i="9"/>
  <c r="G1488" i="9"/>
  <c r="H1299" i="9"/>
  <c r="G1299" i="9"/>
  <c r="F1419" i="9"/>
  <c r="G1419" i="9"/>
  <c r="E1419" i="9"/>
  <c r="F415" i="9"/>
  <c r="G435" i="9"/>
  <c r="F467" i="9"/>
  <c r="D501" i="9"/>
  <c r="D561" i="9"/>
  <c r="H574" i="9"/>
  <c r="F635" i="9"/>
  <c r="F760" i="9"/>
  <c r="F765" i="9"/>
  <c r="D779" i="9"/>
  <c r="C802" i="9"/>
  <c r="F802" i="9"/>
  <c r="C810" i="9"/>
  <c r="F823" i="9"/>
  <c r="F842" i="9"/>
  <c r="D894" i="9"/>
  <c r="H901" i="9"/>
  <c r="E922" i="9"/>
  <c r="D929" i="9"/>
  <c r="D961" i="9"/>
  <c r="F977" i="9"/>
  <c r="G988" i="9"/>
  <c r="D1001" i="9"/>
  <c r="F1027" i="9"/>
  <c r="E1052" i="9"/>
  <c r="C1063" i="9"/>
  <c r="D1093" i="9"/>
  <c r="C1100" i="9"/>
  <c r="E1161" i="9"/>
  <c r="G1168" i="9"/>
  <c r="F1168" i="9"/>
  <c r="C1200" i="9"/>
  <c r="H1419" i="9"/>
  <c r="F1427" i="9"/>
  <c r="E1427" i="9"/>
  <c r="C1446" i="9"/>
  <c r="H1518" i="9"/>
  <c r="G1518" i="9"/>
  <c r="H988" i="9"/>
  <c r="C1008" i="9"/>
  <c r="D1008" i="9"/>
  <c r="D1100" i="9"/>
  <c r="D1162" i="9"/>
  <c r="G1162" i="9"/>
  <c r="E1259" i="9"/>
  <c r="C1259" i="9"/>
  <c r="H1440" i="9"/>
  <c r="E1440" i="9"/>
  <c r="F1540" i="9"/>
  <c r="E1540" i="9"/>
  <c r="C1574" i="9"/>
  <c r="E1574" i="9"/>
  <c r="D1574" i="9"/>
  <c r="F922" i="9"/>
  <c r="F276" i="9"/>
  <c r="E411" i="9"/>
  <c r="E425" i="9"/>
  <c r="H467" i="9"/>
  <c r="F501" i="9"/>
  <c r="G521" i="9"/>
  <c r="F538" i="9"/>
  <c r="F561" i="9"/>
  <c r="G568" i="9"/>
  <c r="F591" i="9"/>
  <c r="C627" i="9"/>
  <c r="H630" i="9"/>
  <c r="E658" i="9"/>
  <c r="G727" i="9"/>
  <c r="E739" i="9"/>
  <c r="D753" i="9"/>
  <c r="E774" i="9"/>
  <c r="D780" i="9"/>
  <c r="E802" i="9"/>
  <c r="D902" i="9"/>
  <c r="G922" i="9"/>
  <c r="D939" i="9"/>
  <c r="F961" i="9"/>
  <c r="F972" i="9"/>
  <c r="E972" i="9"/>
  <c r="F989" i="9"/>
  <c r="C989" i="9"/>
  <c r="D1057" i="9"/>
  <c r="D1072" i="9"/>
  <c r="F1078" i="9"/>
  <c r="G1093" i="9"/>
  <c r="G1100" i="9"/>
  <c r="E1112" i="9"/>
  <c r="E1136" i="9"/>
  <c r="C1162" i="9"/>
  <c r="G1174" i="9"/>
  <c r="D1195" i="9"/>
  <c r="E1201" i="9"/>
  <c r="D1201" i="9"/>
  <c r="D1231" i="9"/>
  <c r="F1238" i="9"/>
  <c r="G1259" i="9"/>
  <c r="F1283" i="9"/>
  <c r="E1293" i="9"/>
  <c r="D1293" i="9"/>
  <c r="C1293" i="9"/>
  <c r="H1378" i="9"/>
  <c r="C1440" i="9"/>
  <c r="C1455" i="9"/>
  <c r="G1540" i="9"/>
  <c r="G1574" i="9"/>
  <c r="G834" i="9"/>
  <c r="C834" i="9"/>
  <c r="H276" i="9"/>
  <c r="H501" i="9"/>
  <c r="H561" i="9"/>
  <c r="F627" i="9"/>
  <c r="G739" i="9"/>
  <c r="F753" i="9"/>
  <c r="H780" i="9"/>
  <c r="E1057" i="9"/>
  <c r="H1093" i="9"/>
  <c r="H1100" i="9"/>
  <c r="E1157" i="9"/>
  <c r="C1157" i="9"/>
  <c r="H1174" i="9"/>
  <c r="E1195" i="9"/>
  <c r="G1231" i="9"/>
  <c r="E1249" i="9"/>
  <c r="F1249" i="9"/>
  <c r="H1259" i="9"/>
  <c r="G1440" i="9"/>
  <c r="H1514" i="9"/>
  <c r="E1641" i="9"/>
  <c r="F1706" i="9"/>
  <c r="H1742" i="9"/>
  <c r="H1511" i="9"/>
  <c r="E1566" i="9"/>
  <c r="F1571" i="9"/>
  <c r="C1613" i="9"/>
  <c r="H1641" i="9"/>
  <c r="H1684" i="9"/>
  <c r="C1701" i="9"/>
  <c r="E1739" i="9"/>
  <c r="F1701" i="9"/>
  <c r="G1739" i="9"/>
  <c r="G1454" i="9"/>
  <c r="F1471" i="9"/>
  <c r="G1566" i="9"/>
  <c r="H1571" i="9"/>
  <c r="G1614" i="9"/>
  <c r="H1701" i="9"/>
  <c r="H1471" i="9"/>
  <c r="F1695" i="9"/>
  <c r="G1740" i="9"/>
  <c r="H1751" i="9"/>
  <c r="H1740" i="9"/>
  <c r="E1713" i="9"/>
  <c r="E1726" i="9"/>
  <c r="G1438" i="9"/>
  <c r="H1451" i="9"/>
  <c r="C1464" i="9"/>
  <c r="C1514" i="9"/>
  <c r="F1556" i="9"/>
  <c r="G1660" i="9"/>
  <c r="C1666" i="9"/>
  <c r="H1680" i="9"/>
  <c r="C1689" i="9"/>
  <c r="C1693" i="9"/>
  <c r="F1713" i="9"/>
  <c r="H1726" i="9"/>
  <c r="D1742" i="9"/>
  <c r="C1747" i="9"/>
  <c r="E67" i="9"/>
  <c r="F67" i="9"/>
  <c r="F90" i="9"/>
  <c r="G90" i="9"/>
  <c r="H237" i="9"/>
  <c r="G237" i="9"/>
  <c r="H452" i="9"/>
  <c r="D452" i="9"/>
  <c r="F549" i="9"/>
  <c r="H549" i="9"/>
  <c r="G558" i="9"/>
  <c r="C558" i="9"/>
  <c r="C617" i="9"/>
  <c r="E617" i="9"/>
  <c r="E3" i="9"/>
  <c r="G7" i="9"/>
  <c r="H21" i="9"/>
  <c r="H26" i="9"/>
  <c r="E36" i="9"/>
  <c r="F40" i="9"/>
  <c r="E53" i="9"/>
  <c r="D56" i="9"/>
  <c r="C67" i="9"/>
  <c r="E77" i="9"/>
  <c r="H90" i="9"/>
  <c r="D106" i="9"/>
  <c r="F112" i="9"/>
  <c r="G126" i="9"/>
  <c r="G177" i="9"/>
  <c r="C186" i="9"/>
  <c r="D186" i="9"/>
  <c r="G198" i="9"/>
  <c r="F212" i="9"/>
  <c r="G223" i="9"/>
  <c r="E223" i="9"/>
  <c r="D258" i="9"/>
  <c r="C272" i="9"/>
  <c r="D272" i="9"/>
  <c r="E328" i="9"/>
  <c r="D328" i="9"/>
  <c r="F341" i="9"/>
  <c r="E341" i="9"/>
  <c r="E347" i="9"/>
  <c r="C347" i="9"/>
  <c r="C400" i="9"/>
  <c r="F400" i="9"/>
  <c r="D400" i="9"/>
  <c r="H409" i="9"/>
  <c r="D419" i="9"/>
  <c r="C441" i="9"/>
  <c r="E441" i="9"/>
  <c r="E452" i="9"/>
  <c r="H477" i="9"/>
  <c r="E477" i="9"/>
  <c r="C477" i="9"/>
  <c r="G497" i="9"/>
  <c r="C497" i="9"/>
  <c r="E542" i="9"/>
  <c r="D542" i="9"/>
  <c r="E558" i="9"/>
  <c r="H626" i="9"/>
  <c r="G766" i="9"/>
  <c r="D766" i="9"/>
  <c r="E821" i="9"/>
  <c r="F821" i="9"/>
  <c r="G952" i="9"/>
  <c r="H968" i="9"/>
  <c r="C968" i="9"/>
  <c r="G1099" i="9"/>
  <c r="F1099" i="9"/>
  <c r="H1133" i="9"/>
  <c r="D1133" i="9"/>
  <c r="E1133" i="9"/>
  <c r="E1221" i="9"/>
  <c r="C1221" i="9"/>
  <c r="H1221" i="9"/>
  <c r="F81" i="9"/>
  <c r="G81" i="9"/>
  <c r="G36" i="9"/>
  <c r="F127" i="9"/>
  <c r="H127" i="9"/>
  <c r="E258" i="9"/>
  <c r="D289" i="9"/>
  <c r="H289" i="9"/>
  <c r="G289" i="9"/>
  <c r="C289" i="9"/>
  <c r="F419" i="9"/>
  <c r="F452" i="9"/>
  <c r="D510" i="9"/>
  <c r="H510" i="9"/>
  <c r="G510" i="9"/>
  <c r="F558" i="9"/>
  <c r="H587" i="9"/>
  <c r="C587" i="9"/>
  <c r="E663" i="9"/>
  <c r="D663" i="9"/>
  <c r="G685" i="9"/>
  <c r="H685" i="9"/>
  <c r="C685" i="9"/>
  <c r="E754" i="9"/>
  <c r="G754" i="9"/>
  <c r="F754" i="9"/>
  <c r="C896" i="9"/>
  <c r="H896" i="9"/>
  <c r="F896" i="9"/>
  <c r="D1064" i="9"/>
  <c r="F1064" i="9"/>
  <c r="E1064" i="9"/>
  <c r="H1083" i="9"/>
  <c r="D1083" i="9"/>
  <c r="H1116" i="9"/>
  <c r="C1116" i="9"/>
  <c r="C1215" i="9"/>
  <c r="G1215" i="9"/>
  <c r="H1215" i="9"/>
  <c r="G1234" i="9"/>
  <c r="C1234" i="9"/>
  <c r="E56" i="9"/>
  <c r="E63" i="9"/>
  <c r="H63" i="9"/>
  <c r="D67" i="9"/>
  <c r="H212" i="9"/>
  <c r="C232" i="9"/>
  <c r="F232" i="9"/>
  <c r="E22" i="9"/>
  <c r="F27" i="9"/>
  <c r="H36" i="9"/>
  <c r="D42" i="9"/>
  <c r="F42" i="9"/>
  <c r="H56" i="9"/>
  <c r="G63" i="9"/>
  <c r="H67" i="9"/>
  <c r="D91" i="9"/>
  <c r="C104" i="9"/>
  <c r="F156" i="9"/>
  <c r="C164" i="9"/>
  <c r="G164" i="9"/>
  <c r="G193" i="9"/>
  <c r="D213" i="9"/>
  <c r="H213" i="9"/>
  <c r="F213" i="9"/>
  <c r="E232" i="9"/>
  <c r="D273" i="9"/>
  <c r="F273" i="9"/>
  <c r="E273" i="9"/>
  <c r="E289" i="9"/>
  <c r="F336" i="9"/>
  <c r="H373" i="9"/>
  <c r="G373" i="9"/>
  <c r="D373" i="9"/>
  <c r="D390" i="9"/>
  <c r="C489" i="9"/>
  <c r="C510" i="9"/>
  <c r="G678" i="9"/>
  <c r="C678" i="9"/>
  <c r="F685" i="9"/>
  <c r="F702" i="9"/>
  <c r="H702" i="9"/>
  <c r="H714" i="9"/>
  <c r="C714" i="9"/>
  <c r="G714" i="9"/>
  <c r="E714" i="9"/>
  <c r="D754" i="9"/>
  <c r="H766" i="9"/>
  <c r="F810" i="9"/>
  <c r="E810" i="9"/>
  <c r="D810" i="9"/>
  <c r="E896" i="9"/>
  <c r="C1083" i="9"/>
  <c r="D1207" i="9"/>
  <c r="G1207" i="9"/>
  <c r="H1345" i="9"/>
  <c r="F1345" i="9"/>
  <c r="C1345" i="9"/>
  <c r="D1345" i="9"/>
  <c r="G1345" i="9"/>
  <c r="E1345" i="9"/>
  <c r="C1537" i="9"/>
  <c r="E1537" i="9"/>
  <c r="F1537" i="9"/>
  <c r="D1537" i="9"/>
  <c r="E1229" i="9"/>
  <c r="G1229" i="9"/>
  <c r="H1229" i="9"/>
  <c r="F1229" i="9"/>
  <c r="D1229" i="9"/>
  <c r="C1229" i="9"/>
  <c r="F1357" i="9"/>
  <c r="C1357" i="9"/>
  <c r="H1357" i="9"/>
  <c r="D1357" i="9"/>
  <c r="D38" i="9"/>
  <c r="F38" i="9"/>
  <c r="E42" i="9"/>
  <c r="H84" i="9"/>
  <c r="G91" i="9"/>
  <c r="E129" i="9"/>
  <c r="H142" i="9"/>
  <c r="D188" i="9"/>
  <c r="E201" i="9"/>
  <c r="G213" i="9"/>
  <c r="C233" i="9"/>
  <c r="D241" i="9"/>
  <c r="E241" i="9"/>
  <c r="E253" i="9"/>
  <c r="H273" i="9"/>
  <c r="C296" i="9"/>
  <c r="C301" i="9"/>
  <c r="D308" i="9"/>
  <c r="G337" i="9"/>
  <c r="C384" i="9"/>
  <c r="C449" i="9"/>
  <c r="F512" i="9"/>
  <c r="G512" i="9"/>
  <c r="D512" i="9"/>
  <c r="C523" i="9"/>
  <c r="H523" i="9"/>
  <c r="H531" i="9"/>
  <c r="F531" i="9"/>
  <c r="D537" i="9"/>
  <c r="F537" i="9"/>
  <c r="F564" i="9"/>
  <c r="C564" i="9"/>
  <c r="E656" i="9"/>
  <c r="H656" i="9"/>
  <c r="D656" i="9"/>
  <c r="F708" i="9"/>
  <c r="G733" i="9"/>
  <c r="E971" i="9"/>
  <c r="C971" i="9"/>
  <c r="F1313" i="9"/>
  <c r="E1313" i="9"/>
  <c r="F155" i="9"/>
  <c r="D155" i="9"/>
  <c r="F643" i="9"/>
  <c r="E643" i="9"/>
  <c r="G643" i="9"/>
  <c r="F728" i="9"/>
  <c r="G728" i="9"/>
  <c r="D728" i="9"/>
  <c r="C1461" i="9"/>
  <c r="E1461" i="9"/>
  <c r="F8" i="9"/>
  <c r="C28" i="9"/>
  <c r="D75" i="9"/>
  <c r="E104" i="9"/>
  <c r="E4" i="9"/>
  <c r="G8" i="9"/>
  <c r="G16" i="9"/>
  <c r="C23" i="9"/>
  <c r="D28" i="9"/>
  <c r="H32" i="9"/>
  <c r="C38" i="9"/>
  <c r="G42" i="9"/>
  <c r="E75" i="9"/>
  <c r="H91" i="9"/>
  <c r="F104" i="9"/>
  <c r="H115" i="9"/>
  <c r="H123" i="9"/>
  <c r="G130" i="9"/>
  <c r="C130" i="9"/>
  <c r="D166" i="9"/>
  <c r="H180" i="9"/>
  <c r="E195" i="9"/>
  <c r="G214" i="9"/>
  <c r="H214" i="9"/>
  <c r="E233" i="9"/>
  <c r="C241" i="9"/>
  <c r="F261" i="9"/>
  <c r="G261" i="9"/>
  <c r="E267" i="9"/>
  <c r="D267" i="9"/>
  <c r="F279" i="9"/>
  <c r="C279" i="9"/>
  <c r="G284" i="9"/>
  <c r="F284" i="9"/>
  <c r="D313" i="9"/>
  <c r="E313" i="9"/>
  <c r="C313" i="9"/>
  <c r="H324" i="9"/>
  <c r="E338" i="9"/>
  <c r="F338" i="9"/>
  <c r="C374" i="9"/>
  <c r="G374" i="9"/>
  <c r="F374" i="9"/>
  <c r="D384" i="9"/>
  <c r="G415" i="9"/>
  <c r="C485" i="9"/>
  <c r="C512" i="9"/>
  <c r="E531" i="9"/>
  <c r="D564" i="9"/>
  <c r="E605" i="9"/>
  <c r="G605" i="9"/>
  <c r="G612" i="9"/>
  <c r="H612" i="9"/>
  <c r="C612" i="9"/>
  <c r="E623" i="9"/>
  <c r="G623" i="9"/>
  <c r="F623" i="9"/>
  <c r="C623" i="9"/>
  <c r="E728" i="9"/>
  <c r="G756" i="9"/>
  <c r="F861" i="9"/>
  <c r="C861" i="9"/>
  <c r="H861" i="9"/>
  <c r="G861" i="9"/>
  <c r="E861" i="9"/>
  <c r="D861" i="9"/>
  <c r="E933" i="9"/>
  <c r="H933" i="9"/>
  <c r="D933" i="9"/>
  <c r="D201" i="9"/>
  <c r="G201" i="9"/>
  <c r="H301" i="9"/>
  <c r="F301" i="9"/>
  <c r="C308" i="9"/>
  <c r="G308" i="9"/>
  <c r="E308" i="9"/>
  <c r="D391" i="9"/>
  <c r="F391" i="9"/>
  <c r="C420" i="9"/>
  <c r="D420" i="9"/>
  <c r="G449" i="9"/>
  <c r="E449" i="9"/>
  <c r="H8" i="9"/>
  <c r="E28" i="9"/>
  <c r="H42" i="9"/>
  <c r="F75" i="9"/>
  <c r="E166" i="9"/>
  <c r="D175" i="9"/>
  <c r="G175" i="9"/>
  <c r="H201" i="9"/>
  <c r="F241" i="9"/>
  <c r="H297" i="9"/>
  <c r="E297" i="9"/>
  <c r="G301" i="9"/>
  <c r="H308" i="9"/>
  <c r="D319" i="9"/>
  <c r="F319" i="9"/>
  <c r="F465" i="9"/>
  <c r="G465" i="9"/>
  <c r="D465" i="9"/>
  <c r="F525" i="9"/>
  <c r="C525" i="9"/>
  <c r="H564" i="9"/>
  <c r="H613" i="9"/>
  <c r="G613" i="9"/>
  <c r="F613" i="9"/>
  <c r="E613" i="9"/>
  <c r="C638" i="9"/>
  <c r="F638" i="9"/>
  <c r="E638" i="9"/>
  <c r="H728" i="9"/>
  <c r="G770" i="9"/>
  <c r="D770" i="9"/>
  <c r="H949" i="9"/>
  <c r="E949" i="9"/>
  <c r="F949" i="9"/>
  <c r="F1149" i="9"/>
  <c r="H1149" i="9"/>
  <c r="E1149" i="9"/>
  <c r="D1149" i="9"/>
  <c r="G1149" i="9"/>
  <c r="H1248" i="9"/>
  <c r="C1248" i="9"/>
  <c r="C208" i="9"/>
  <c r="H208" i="9"/>
  <c r="H225" i="9"/>
  <c r="G225" i="9"/>
  <c r="G5" i="9"/>
  <c r="H5" i="9"/>
  <c r="F125" i="9"/>
  <c r="D125" i="9"/>
  <c r="G285" i="9"/>
  <c r="F285" i="9"/>
  <c r="E285" i="9"/>
  <c r="H454" i="9"/>
  <c r="C454" i="9"/>
  <c r="F493" i="9"/>
  <c r="G493" i="9"/>
  <c r="E493" i="9"/>
  <c r="D983" i="9"/>
  <c r="C983" i="9"/>
  <c r="H983" i="9"/>
  <c r="G983" i="9"/>
  <c r="F983" i="9"/>
  <c r="E983" i="9"/>
  <c r="E1294" i="9"/>
  <c r="F1294" i="9"/>
  <c r="C1294" i="9"/>
  <c r="C54" i="9"/>
  <c r="E54" i="9"/>
  <c r="G378" i="9"/>
  <c r="H378" i="9"/>
  <c r="H18" i="9"/>
  <c r="G18" i="9"/>
  <c r="G28" i="9"/>
  <c r="E111" i="9"/>
  <c r="G111" i="9"/>
  <c r="H234" i="9"/>
  <c r="E234" i="9"/>
  <c r="H309" i="9"/>
  <c r="F309" i="9"/>
  <c r="E309" i="9"/>
  <c r="E5" i="9"/>
  <c r="C39" i="9"/>
  <c r="D43" i="9"/>
  <c r="E105" i="9"/>
  <c r="G105" i="9"/>
  <c r="D111" i="9"/>
  <c r="E125" i="9"/>
  <c r="G145" i="9"/>
  <c r="E159" i="9"/>
  <c r="G228" i="9"/>
  <c r="D234" i="9"/>
  <c r="F293" i="9"/>
  <c r="E293" i="9"/>
  <c r="C293" i="9"/>
  <c r="D345" i="9"/>
  <c r="G387" i="9"/>
  <c r="F387" i="9"/>
  <c r="F444" i="9"/>
  <c r="C493" i="9"/>
  <c r="D556" i="9"/>
  <c r="F573" i="9"/>
  <c r="C573" i="9"/>
  <c r="G573" i="9"/>
  <c r="D942" i="9"/>
  <c r="G942" i="9"/>
  <c r="F942" i="9"/>
  <c r="C1038" i="9"/>
  <c r="E1038" i="9"/>
  <c r="H1038" i="9"/>
  <c r="G1038" i="9"/>
  <c r="D1038" i="9"/>
  <c r="G1075" i="9"/>
  <c r="F1075" i="9"/>
  <c r="D1075" i="9"/>
  <c r="C1113" i="9"/>
  <c r="D1113" i="9"/>
  <c r="H1113" i="9"/>
  <c r="E1113" i="9"/>
  <c r="H380" i="9"/>
  <c r="E380" i="9"/>
  <c r="H285" i="9"/>
  <c r="H369" i="9"/>
  <c r="G369" i="9"/>
  <c r="F369" i="9"/>
  <c r="C369" i="9"/>
  <c r="F417" i="9"/>
  <c r="F454" i="9"/>
  <c r="D507" i="9"/>
  <c r="D584" i="9"/>
  <c r="F597" i="9"/>
  <c r="D2" i="9"/>
  <c r="G2" i="9"/>
  <c r="E35" i="9"/>
  <c r="F39" i="9"/>
  <c r="G55" i="9"/>
  <c r="F66" i="9"/>
  <c r="E71" i="9"/>
  <c r="E76" i="9"/>
  <c r="G80" i="9"/>
  <c r="G88" i="9"/>
  <c r="D94" i="9"/>
  <c r="F101" i="9"/>
  <c r="D105" i="9"/>
  <c r="F111" i="9"/>
  <c r="G139" i="9"/>
  <c r="G159" i="9"/>
  <c r="H175" i="9"/>
  <c r="F191" i="9"/>
  <c r="H216" i="9"/>
  <c r="E257" i="9"/>
  <c r="D257" i="9"/>
  <c r="F263" i="9"/>
  <c r="H269" i="9"/>
  <c r="E345" i="9"/>
  <c r="F375" i="9"/>
  <c r="E408" i="9"/>
  <c r="G408" i="9"/>
  <c r="G444" i="9"/>
  <c r="G450" i="9"/>
  <c r="H526" i="9"/>
  <c r="D526" i="9"/>
  <c r="D557" i="9"/>
  <c r="H557" i="9"/>
  <c r="C557" i="9"/>
  <c r="E566" i="9"/>
  <c r="D566" i="9"/>
  <c r="D573" i="9"/>
  <c r="D579" i="9"/>
  <c r="G625" i="9"/>
  <c r="F625" i="9"/>
  <c r="E625" i="9"/>
  <c r="D625" i="9"/>
  <c r="C625" i="9"/>
  <c r="H667" i="9"/>
  <c r="H718" i="9"/>
  <c r="C718" i="9"/>
  <c r="H746" i="9"/>
  <c r="G746" i="9"/>
  <c r="D746" i="9"/>
  <c r="F798" i="9"/>
  <c r="C798" i="9"/>
  <c r="C114" i="9"/>
  <c r="D114" i="9"/>
  <c r="D417" i="9"/>
  <c r="H417" i="9"/>
  <c r="C417" i="9"/>
  <c r="H28" i="9"/>
  <c r="E26" i="9"/>
  <c r="F43" i="9"/>
  <c r="H228" i="9"/>
  <c r="C235" i="9"/>
  <c r="G235" i="9"/>
  <c r="D293" i="9"/>
  <c r="C310" i="9"/>
  <c r="F314" i="9"/>
  <c r="G314" i="9"/>
  <c r="H319" i="9"/>
  <c r="H363" i="9"/>
  <c r="F363" i="9"/>
  <c r="D363" i="9"/>
  <c r="D369" i="9"/>
  <c r="D380" i="9"/>
  <c r="D387" i="9"/>
  <c r="F26" i="9"/>
  <c r="H29" i="9"/>
  <c r="F35" i="9"/>
  <c r="G39" i="9"/>
  <c r="C53" i="9"/>
  <c r="H55" i="9"/>
  <c r="G61" i="9"/>
  <c r="G66" i="9"/>
  <c r="G71" i="9"/>
  <c r="F76" i="9"/>
  <c r="H80" i="9"/>
  <c r="H101" i="9"/>
  <c r="F105" i="9"/>
  <c r="H111" i="9"/>
  <c r="D118" i="9"/>
  <c r="G132" i="9"/>
  <c r="D160" i="9"/>
  <c r="F160" i="9"/>
  <c r="H257" i="9"/>
  <c r="H286" i="9"/>
  <c r="G293" i="9"/>
  <c r="D299" i="9"/>
  <c r="E310" i="9"/>
  <c r="E314" i="9"/>
  <c r="F345" i="9"/>
  <c r="E363" i="9"/>
  <c r="E369" i="9"/>
  <c r="H376" i="9"/>
  <c r="E376" i="9"/>
  <c r="F381" i="9"/>
  <c r="H381" i="9"/>
  <c r="G381" i="9"/>
  <c r="C381" i="9"/>
  <c r="D399" i="9"/>
  <c r="F408" i="9"/>
  <c r="G414" i="9"/>
  <c r="F414" i="9"/>
  <c r="C414" i="9"/>
  <c r="F425" i="9"/>
  <c r="H425" i="9"/>
  <c r="F456" i="9"/>
  <c r="C456" i="9"/>
  <c r="G527" i="9"/>
  <c r="D527" i="9"/>
  <c r="F527" i="9"/>
  <c r="C527" i="9"/>
  <c r="G534" i="9"/>
  <c r="F534" i="9"/>
  <c r="E534" i="9"/>
  <c r="G557" i="9"/>
  <c r="G566" i="9"/>
  <c r="E573" i="9"/>
  <c r="G579" i="9"/>
  <c r="G599" i="9"/>
  <c r="F599" i="9"/>
  <c r="H625" i="9"/>
  <c r="G634" i="9"/>
  <c r="D634" i="9"/>
  <c r="E634" i="9"/>
  <c r="F640" i="9"/>
  <c r="D683" i="9"/>
  <c r="G683" i="9"/>
  <c r="H691" i="9"/>
  <c r="F691" i="9"/>
  <c r="H740" i="9"/>
  <c r="C740" i="9"/>
  <c r="F740" i="9"/>
  <c r="D740" i="9"/>
  <c r="F746" i="9"/>
  <c r="G806" i="9"/>
  <c r="H806" i="9"/>
  <c r="E806" i="9"/>
  <c r="C806" i="9"/>
  <c r="G828" i="9"/>
  <c r="F1169" i="9"/>
  <c r="H1169" i="9"/>
  <c r="C1169" i="9"/>
  <c r="D1169" i="9"/>
  <c r="G1486" i="9"/>
  <c r="F1486" i="9"/>
  <c r="H1486" i="9"/>
  <c r="C1486" i="9"/>
  <c r="E633" i="9"/>
  <c r="F853" i="9"/>
  <c r="C853" i="9"/>
  <c r="F865" i="9"/>
  <c r="G865" i="9"/>
  <c r="G901" i="9"/>
  <c r="D953" i="9"/>
  <c r="H953" i="9"/>
  <c r="G953" i="9"/>
  <c r="C953" i="9"/>
  <c r="G996" i="9"/>
  <c r="G1026" i="9"/>
  <c r="F1073" i="9"/>
  <c r="F1080" i="9"/>
  <c r="E1080" i="9"/>
  <c r="D1080" i="9"/>
  <c r="D1084" i="9"/>
  <c r="C1084" i="9"/>
  <c r="G1110" i="9"/>
  <c r="F1110" i="9"/>
  <c r="E1110" i="9"/>
  <c r="G1124" i="9"/>
  <c r="H1124" i="9"/>
  <c r="E1124" i="9"/>
  <c r="H1156" i="9"/>
  <c r="F1156" i="9"/>
  <c r="C1156" i="9"/>
  <c r="G1265" i="9"/>
  <c r="E1265" i="9"/>
  <c r="F817" i="9"/>
  <c r="H817" i="9"/>
  <c r="F838" i="9"/>
  <c r="H838" i="9"/>
  <c r="G916" i="9"/>
  <c r="F916" i="9"/>
  <c r="H996" i="9"/>
  <c r="H1003" i="9"/>
  <c r="C1003" i="9"/>
  <c r="F1003" i="9"/>
  <c r="G1003" i="9"/>
  <c r="D1003" i="9"/>
  <c r="E1009" i="9"/>
  <c r="H1009" i="9"/>
  <c r="H1073" i="9"/>
  <c r="C1080" i="9"/>
  <c r="H1084" i="9"/>
  <c r="H1110" i="9"/>
  <c r="C1124" i="9"/>
  <c r="H1179" i="9"/>
  <c r="G1179" i="9"/>
  <c r="H1216" i="9"/>
  <c r="F1216" i="9"/>
  <c r="G1216" i="9"/>
  <c r="G1301" i="9"/>
  <c r="E1301" i="9"/>
  <c r="D1301" i="9"/>
  <c r="H1348" i="9"/>
  <c r="G1348" i="9"/>
  <c r="C1366" i="9"/>
  <c r="E1366" i="9"/>
  <c r="H1412" i="9"/>
  <c r="F1412" i="9"/>
  <c r="G1412" i="9"/>
  <c r="H1465" i="9"/>
  <c r="F1465" i="9"/>
  <c r="H1516" i="9"/>
  <c r="G1516" i="9"/>
  <c r="C1516" i="9"/>
  <c r="D481" i="9"/>
  <c r="F568" i="9"/>
  <c r="H616" i="9"/>
  <c r="H660" i="9"/>
  <c r="G704" i="9"/>
  <c r="E704" i="9"/>
  <c r="D726" i="9"/>
  <c r="C726" i="9"/>
  <c r="F791" i="9"/>
  <c r="H791" i="9"/>
  <c r="C817" i="9"/>
  <c r="D838" i="9"/>
  <c r="C849" i="9"/>
  <c r="F849" i="9"/>
  <c r="E865" i="9"/>
  <c r="C870" i="9"/>
  <c r="E870" i="9"/>
  <c r="F870" i="9"/>
  <c r="C893" i="9"/>
  <c r="F897" i="9"/>
  <c r="E897" i="9"/>
  <c r="E917" i="9"/>
  <c r="G917" i="9"/>
  <c r="F953" i="9"/>
  <c r="E997" i="9"/>
  <c r="D997" i="9"/>
  <c r="E1024" i="9"/>
  <c r="D1024" i="9"/>
  <c r="H1024" i="9"/>
  <c r="C1024" i="9"/>
  <c r="E1071" i="9"/>
  <c r="H1071" i="9"/>
  <c r="D1071" i="9"/>
  <c r="H1085" i="9"/>
  <c r="D1085" i="9"/>
  <c r="E1085" i="9"/>
  <c r="C1085" i="9"/>
  <c r="H1104" i="9"/>
  <c r="D1104" i="9"/>
  <c r="G1104" i="9"/>
  <c r="H1193" i="9"/>
  <c r="C1193" i="9"/>
  <c r="D1480" i="9"/>
  <c r="C1480" i="9"/>
  <c r="G1480" i="9"/>
  <c r="D1503" i="9"/>
  <c r="H1503" i="9"/>
  <c r="H1544" i="9"/>
  <c r="F1544" i="9"/>
  <c r="H518" i="9"/>
  <c r="D518" i="9"/>
  <c r="H568" i="9"/>
  <c r="D704" i="9"/>
  <c r="F726" i="9"/>
  <c r="H737" i="9"/>
  <c r="F737" i="9"/>
  <c r="G838" i="9"/>
  <c r="E849" i="9"/>
  <c r="H866" i="9"/>
  <c r="F866" i="9"/>
  <c r="G870" i="9"/>
  <c r="C894" i="9"/>
  <c r="E894" i="9"/>
  <c r="D897" i="9"/>
  <c r="G972" i="9"/>
  <c r="G998" i="9"/>
  <c r="F998" i="9"/>
  <c r="H998" i="9"/>
  <c r="D998" i="9"/>
  <c r="C998" i="9"/>
  <c r="G1024" i="9"/>
  <c r="F1071" i="9"/>
  <c r="E1105" i="9"/>
  <c r="C1105" i="9"/>
  <c r="G1105" i="9"/>
  <c r="H1105" i="9"/>
  <c r="G1193" i="9"/>
  <c r="H1301" i="9"/>
  <c r="C1350" i="9"/>
  <c r="E1350" i="9"/>
  <c r="F1350" i="9"/>
  <c r="H1395" i="9"/>
  <c r="F1395" i="9"/>
  <c r="E1538" i="9"/>
  <c r="D1538" i="9"/>
  <c r="H833" i="9"/>
  <c r="G833" i="9"/>
  <c r="H839" i="9"/>
  <c r="F839" i="9"/>
  <c r="F898" i="9"/>
  <c r="D898" i="9"/>
  <c r="F950" i="9"/>
  <c r="D950" i="9"/>
  <c r="C950" i="9"/>
  <c r="G1164" i="9"/>
  <c r="F1164" i="9"/>
  <c r="C1351" i="9"/>
  <c r="D1351" i="9"/>
  <c r="G1381" i="9"/>
  <c r="F1381" i="9"/>
  <c r="E1381" i="9"/>
  <c r="D1381" i="9"/>
  <c r="C742" i="9"/>
  <c r="H742" i="9"/>
  <c r="F772" i="9"/>
  <c r="C785" i="9"/>
  <c r="H825" i="9"/>
  <c r="F833" i="9"/>
  <c r="C1040" i="9"/>
  <c r="G1040" i="9"/>
  <c r="E1060" i="9"/>
  <c r="D1060" i="9"/>
  <c r="G1119" i="9"/>
  <c r="D1119" i="9"/>
  <c r="D1211" i="9"/>
  <c r="F1211" i="9"/>
  <c r="G1211" i="9"/>
  <c r="E1211" i="9"/>
  <c r="C1211" i="9"/>
  <c r="E1236" i="9"/>
  <c r="C1236" i="9"/>
  <c r="D1236" i="9"/>
  <c r="E1245" i="9"/>
  <c r="D1245" i="9"/>
  <c r="F1331" i="9"/>
  <c r="E1331" i="9"/>
  <c r="H1415" i="9"/>
  <c r="E1415" i="9"/>
  <c r="E889" i="9"/>
  <c r="C889" i="9"/>
  <c r="C898" i="9"/>
  <c r="H931" i="9"/>
  <c r="E931" i="9"/>
  <c r="G931" i="9"/>
  <c r="D943" i="9"/>
  <c r="F943" i="9"/>
  <c r="H950" i="9"/>
  <c r="D956" i="9"/>
  <c r="F969" i="9"/>
  <c r="C969" i="9"/>
  <c r="G276" i="9"/>
  <c r="H316" i="9"/>
  <c r="E334" i="9"/>
  <c r="D475" i="9"/>
  <c r="F475" i="9"/>
  <c r="H513" i="9"/>
  <c r="F594" i="9"/>
  <c r="C594" i="9"/>
  <c r="D653" i="9"/>
  <c r="C668" i="9"/>
  <c r="F675" i="9"/>
  <c r="C675" i="9"/>
  <c r="C694" i="9"/>
  <c r="C730" i="9"/>
  <c r="D742" i="9"/>
  <c r="E763" i="9"/>
  <c r="C767" i="9"/>
  <c r="G772" i="9"/>
  <c r="C786" i="9"/>
  <c r="G786" i="9"/>
  <c r="E840" i="9"/>
  <c r="F857" i="9"/>
  <c r="H889" i="9"/>
  <c r="G894" i="9"/>
  <c r="C931" i="9"/>
  <c r="G944" i="9"/>
  <c r="E944" i="9"/>
  <c r="H944" i="9"/>
  <c r="F944" i="9"/>
  <c r="E956" i="9"/>
  <c r="D969" i="9"/>
  <c r="H994" i="9"/>
  <c r="G994" i="9"/>
  <c r="E994" i="9"/>
  <c r="C1000" i="9"/>
  <c r="D1040" i="9"/>
  <c r="D1051" i="9"/>
  <c r="F1051" i="9"/>
  <c r="F1056" i="9"/>
  <c r="E1056" i="9"/>
  <c r="C1060" i="9"/>
  <c r="H1091" i="9"/>
  <c r="D1120" i="9"/>
  <c r="G1120" i="9"/>
  <c r="H1141" i="9"/>
  <c r="C1141" i="9"/>
  <c r="H1146" i="9"/>
  <c r="D1146" i="9"/>
  <c r="G1205" i="9"/>
  <c r="H1205" i="9"/>
  <c r="E1205" i="9"/>
  <c r="H1211" i="9"/>
  <c r="G1236" i="9"/>
  <c r="C1245" i="9"/>
  <c r="F1298" i="9"/>
  <c r="G1325" i="9"/>
  <c r="E1325" i="9"/>
  <c r="H1325" i="9"/>
  <c r="C1325" i="9"/>
  <c r="F1325" i="9"/>
  <c r="H1369" i="9"/>
  <c r="E1369" i="9"/>
  <c r="H1381" i="9"/>
  <c r="G1432" i="9"/>
  <c r="D1432" i="9"/>
  <c r="C453" i="9"/>
  <c r="G453" i="9"/>
  <c r="E668" i="9"/>
  <c r="E730" i="9"/>
  <c r="E742" i="9"/>
  <c r="D767" i="9"/>
  <c r="H894" i="9"/>
  <c r="E920" i="9"/>
  <c r="H920" i="9"/>
  <c r="D931" i="9"/>
  <c r="C966" i="9"/>
  <c r="D966" i="9"/>
  <c r="F966" i="9"/>
  <c r="E969" i="9"/>
  <c r="F1000" i="9"/>
  <c r="D1007" i="9"/>
  <c r="E1007" i="9"/>
  <c r="H1007" i="9"/>
  <c r="C1007" i="9"/>
  <c r="E1040" i="9"/>
  <c r="G1060" i="9"/>
  <c r="C1067" i="9"/>
  <c r="H1067" i="9"/>
  <c r="G1067" i="9"/>
  <c r="H1097" i="9"/>
  <c r="C1097" i="9"/>
  <c r="H1129" i="9"/>
  <c r="C1129" i="9"/>
  <c r="H1147" i="9"/>
  <c r="G1147" i="9"/>
  <c r="F1147" i="9"/>
  <c r="D1147" i="9"/>
  <c r="C1147" i="9"/>
  <c r="F1154" i="9"/>
  <c r="C1154" i="9"/>
  <c r="G1154" i="9"/>
  <c r="D1154" i="9"/>
  <c r="G1160" i="9"/>
  <c r="H1160" i="9"/>
  <c r="F1160" i="9"/>
  <c r="D1160" i="9"/>
  <c r="E1176" i="9"/>
  <c r="G1176" i="9"/>
  <c r="F1176" i="9"/>
  <c r="G1182" i="9"/>
  <c r="E1182" i="9"/>
  <c r="D1182" i="9"/>
  <c r="D1325" i="9"/>
  <c r="H1344" i="9"/>
  <c r="D1344" i="9"/>
  <c r="E1363" i="9"/>
  <c r="F1363" i="9"/>
  <c r="C1432" i="9"/>
  <c r="D1444" i="9"/>
  <c r="C1444" i="9"/>
  <c r="H1444" i="9"/>
  <c r="E1444" i="9"/>
  <c r="E1491" i="9"/>
  <c r="D1491" i="9"/>
  <c r="G1532" i="9"/>
  <c r="E1532" i="9"/>
  <c r="H648" i="9"/>
  <c r="F648" i="9"/>
  <c r="F730" i="9"/>
  <c r="F742" i="9"/>
  <c r="H820" i="9"/>
  <c r="E820" i="9"/>
  <c r="D858" i="9"/>
  <c r="G858" i="9"/>
  <c r="E858" i="9"/>
  <c r="E868" i="9"/>
  <c r="H868" i="9"/>
  <c r="C868" i="9"/>
  <c r="E915" i="9"/>
  <c r="H915" i="9"/>
  <c r="F931" i="9"/>
  <c r="C1001" i="9"/>
  <c r="H1001" i="9"/>
  <c r="E1012" i="9"/>
  <c r="G1012" i="9"/>
  <c r="F1012" i="9"/>
  <c r="D1012" i="9"/>
  <c r="H1040" i="9"/>
  <c r="H1060" i="9"/>
  <c r="F1088" i="9"/>
  <c r="H1088" i="9"/>
  <c r="G1088" i="9"/>
  <c r="C1088" i="9"/>
  <c r="H1213" i="9"/>
  <c r="G1213" i="9"/>
  <c r="D1213" i="9"/>
  <c r="E1264" i="9"/>
  <c r="G1264" i="9"/>
  <c r="D1264" i="9"/>
  <c r="C1264" i="9"/>
  <c r="F1444" i="9"/>
  <c r="G1492" i="9"/>
  <c r="C1492" i="9"/>
  <c r="E1522" i="9"/>
  <c r="G1522" i="9"/>
  <c r="H1654" i="9"/>
  <c r="C1654" i="9"/>
  <c r="E1188" i="9"/>
  <c r="C1188" i="9"/>
  <c r="G1429" i="9"/>
  <c r="H1429" i="9"/>
  <c r="C1508" i="9"/>
  <c r="F1508" i="9"/>
  <c r="D1314" i="9"/>
  <c r="F1314" i="9"/>
  <c r="H1321" i="9"/>
  <c r="D1321" i="9"/>
  <c r="E1321" i="9"/>
  <c r="C1475" i="9"/>
  <c r="G970" i="9"/>
  <c r="F970" i="9"/>
  <c r="D1011" i="9"/>
  <c r="H1011" i="9"/>
  <c r="E1100" i="9"/>
  <c r="H1145" i="9"/>
  <c r="G1159" i="9"/>
  <c r="H1163" i="9"/>
  <c r="G1184" i="9"/>
  <c r="D1184" i="9"/>
  <c r="F1200" i="9"/>
  <c r="G1200" i="9"/>
  <c r="D1272" i="9"/>
  <c r="F1272" i="9"/>
  <c r="H1309" i="9"/>
  <c r="C1309" i="9"/>
  <c r="F1321" i="9"/>
  <c r="F1326" i="9"/>
  <c r="D1359" i="9"/>
  <c r="C1359" i="9"/>
  <c r="G1405" i="9"/>
  <c r="E1423" i="9"/>
  <c r="E1429" i="9"/>
  <c r="H1455" i="9"/>
  <c r="H1475" i="9"/>
  <c r="F1533" i="9"/>
  <c r="D1533" i="9"/>
  <c r="D1548" i="9"/>
  <c r="C1548" i="9"/>
  <c r="E1515" i="9"/>
  <c r="C1515" i="9"/>
  <c r="G1548" i="9"/>
  <c r="G1624" i="9"/>
  <c r="C1624" i="9"/>
  <c r="G1640" i="9"/>
  <c r="F1640" i="9"/>
  <c r="E1640" i="9"/>
  <c r="D1640" i="9"/>
  <c r="C1640" i="9"/>
  <c r="G1076" i="9"/>
  <c r="H1076" i="9"/>
  <c r="F1137" i="9"/>
  <c r="E1137" i="9"/>
  <c r="F1170" i="9"/>
  <c r="D1170" i="9"/>
  <c r="H1184" i="9"/>
  <c r="F1195" i="9"/>
  <c r="H1200" i="9"/>
  <c r="F1542" i="9"/>
  <c r="E1542" i="9"/>
  <c r="D1542" i="9"/>
  <c r="H1542" i="9"/>
  <c r="G1542" i="9"/>
  <c r="C1610" i="9"/>
  <c r="E1610" i="9"/>
  <c r="H1610" i="9"/>
  <c r="G1610" i="9"/>
  <c r="F1610" i="9"/>
  <c r="E773" i="9"/>
  <c r="D773" i="9"/>
  <c r="C881" i="9"/>
  <c r="F881" i="9"/>
  <c r="H881" i="9"/>
  <c r="C990" i="9"/>
  <c r="G990" i="9"/>
  <c r="E990" i="9"/>
  <c r="C1025" i="9"/>
  <c r="G1025" i="9"/>
  <c r="C1028" i="9"/>
  <c r="F1028" i="9"/>
  <c r="F1072" i="9"/>
  <c r="C1072" i="9"/>
  <c r="H1072" i="9"/>
  <c r="H1098" i="9"/>
  <c r="G1098" i="9"/>
  <c r="G1165" i="9"/>
  <c r="D1165" i="9"/>
  <c r="F1196" i="9"/>
  <c r="C1196" i="9"/>
  <c r="H1289" i="9"/>
  <c r="E1289" i="9"/>
  <c r="G1289" i="9"/>
  <c r="D1304" i="9"/>
  <c r="F1304" i="9"/>
  <c r="F1318" i="9"/>
  <c r="D1335" i="9"/>
  <c r="E1335" i="9"/>
  <c r="H1335" i="9"/>
  <c r="C1335" i="9"/>
  <c r="E1353" i="9"/>
  <c r="G1401" i="9"/>
  <c r="E1401" i="9"/>
  <c r="C1408" i="9"/>
  <c r="D1518" i="9"/>
  <c r="C1518" i="9"/>
  <c r="E1518" i="9"/>
  <c r="C1542" i="9"/>
  <c r="F1604" i="9"/>
  <c r="H1604" i="9"/>
  <c r="G1604" i="9"/>
  <c r="D1604" i="9"/>
  <c r="H1611" i="9"/>
  <c r="G1611" i="9"/>
  <c r="E1611" i="9"/>
  <c r="D1611" i="9"/>
  <c r="C1611" i="9"/>
  <c r="F1611" i="9"/>
  <c r="F1021" i="9"/>
  <c r="H1021" i="9"/>
  <c r="H1054" i="9"/>
  <c r="G1054" i="9"/>
  <c r="F1063" i="9"/>
  <c r="G1063" i="9"/>
  <c r="F1068" i="9"/>
  <c r="C1068" i="9"/>
  <c r="C1139" i="9"/>
  <c r="E1139" i="9"/>
  <c r="F1206" i="9"/>
  <c r="D1206" i="9"/>
  <c r="E1223" i="9"/>
  <c r="C1223" i="9"/>
  <c r="F1253" i="9"/>
  <c r="G1253" i="9"/>
  <c r="D1253" i="9"/>
  <c r="C1256" i="9"/>
  <c r="E1256" i="9"/>
  <c r="H1375" i="9"/>
  <c r="C1375" i="9"/>
  <c r="C1468" i="9"/>
  <c r="G1468" i="9"/>
  <c r="E1468" i="9"/>
  <c r="F1518" i="9"/>
  <c r="F1597" i="9"/>
  <c r="C1604" i="9"/>
  <c r="C1682" i="9"/>
  <c r="G1682" i="9"/>
  <c r="F1605" i="9"/>
  <c r="C1605" i="9"/>
  <c r="G1605" i="9"/>
  <c r="E1623" i="9"/>
  <c r="F1623" i="9"/>
  <c r="D1605" i="9"/>
  <c r="G1623" i="9"/>
  <c r="C1658" i="9"/>
  <c r="H1658" i="9"/>
  <c r="G1658" i="9"/>
  <c r="F1658" i="9"/>
  <c r="H1671" i="9"/>
  <c r="G1671" i="9"/>
  <c r="F1671" i="9"/>
  <c r="E1671" i="9"/>
  <c r="C1671" i="9"/>
  <c r="H1605" i="9"/>
  <c r="D1658" i="9"/>
  <c r="G1678" i="9"/>
  <c r="H1678" i="9"/>
  <c r="C1678" i="9"/>
  <c r="H979" i="9"/>
  <c r="F979" i="9"/>
  <c r="E1045" i="9"/>
  <c r="F1045" i="9"/>
  <c r="C1152" i="9"/>
  <c r="E1152" i="9"/>
  <c r="H1295" i="9"/>
  <c r="C1295" i="9"/>
  <c r="F1457" i="9"/>
  <c r="E1457" i="9"/>
  <c r="D1457" i="9"/>
  <c r="F1476" i="9"/>
  <c r="E1476" i="9"/>
  <c r="D1476" i="9"/>
  <c r="G1487" i="9"/>
  <c r="C1487" i="9"/>
  <c r="H1487" i="9"/>
  <c r="F1528" i="9"/>
  <c r="C1528" i="9"/>
  <c r="G1549" i="9"/>
  <c r="C1549" i="9"/>
  <c r="D1549" i="9"/>
  <c r="C1629" i="9"/>
  <c r="H1629" i="9"/>
  <c r="G1629" i="9"/>
  <c r="G1457" i="9"/>
  <c r="C1476" i="9"/>
  <c r="F1481" i="9"/>
  <c r="E1481" i="9"/>
  <c r="D1487" i="9"/>
  <c r="C1494" i="9"/>
  <c r="G1494" i="9"/>
  <c r="D1494" i="9"/>
  <c r="E1549" i="9"/>
  <c r="G1620" i="9"/>
  <c r="F1620" i="9"/>
  <c r="D1620" i="9"/>
  <c r="C1620" i="9"/>
  <c r="D1629" i="9"/>
  <c r="F1715" i="9"/>
  <c r="H1715" i="9"/>
  <c r="G1738" i="9"/>
  <c r="F1738" i="9"/>
  <c r="E1738" i="9"/>
  <c r="D1738" i="9"/>
  <c r="G1644" i="9"/>
  <c r="D1644" i="9"/>
  <c r="C1644" i="9"/>
  <c r="H1738" i="9"/>
  <c r="D1665" i="9"/>
  <c r="C1665" i="9"/>
  <c r="H1665" i="9"/>
  <c r="F1710" i="9"/>
  <c r="H1710" i="9"/>
  <c r="D1710" i="9"/>
  <c r="E1174" i="9"/>
  <c r="C1174" i="9"/>
  <c r="E1495" i="9"/>
  <c r="C1495" i="9"/>
  <c r="G1665" i="9"/>
  <c r="H1725" i="9"/>
  <c r="G1725" i="9"/>
  <c r="E1725" i="9"/>
  <c r="D1725" i="9"/>
  <c r="C1725" i="9"/>
  <c r="D1300" i="9"/>
  <c r="G1300" i="9"/>
  <c r="G1311" i="9"/>
  <c r="F1311" i="9"/>
  <c r="G1380" i="9"/>
  <c r="D1380" i="9"/>
  <c r="H1446" i="9"/>
  <c r="G1446" i="9"/>
  <c r="D1485" i="9"/>
  <c r="H1485" i="9"/>
  <c r="E1485" i="9"/>
  <c r="C1612" i="9"/>
  <c r="E1612" i="9"/>
  <c r="D1632" i="9"/>
  <c r="G1632" i="9"/>
  <c r="H1655" i="9"/>
  <c r="C1655" i="9"/>
  <c r="H1667" i="9"/>
  <c r="C1667" i="9"/>
  <c r="E1736" i="9"/>
  <c r="H1736" i="9"/>
  <c r="G1736" i="9"/>
  <c r="F1736" i="9"/>
  <c r="C1736" i="9"/>
  <c r="G1741" i="9"/>
  <c r="H1741" i="9"/>
  <c r="F1741" i="9"/>
  <c r="C1662" i="9"/>
  <c r="D1662" i="9"/>
  <c r="G1705" i="9"/>
  <c r="F1705" i="9"/>
  <c r="E1705" i="9"/>
  <c r="D1705" i="9"/>
  <c r="C1705" i="9"/>
  <c r="C1727" i="9"/>
  <c r="F1727" i="9"/>
  <c r="E1727" i="9"/>
  <c r="D1727" i="9"/>
  <c r="E1728" i="9"/>
  <c r="H1728" i="9"/>
  <c r="D1728" i="9"/>
  <c r="C1728" i="9"/>
  <c r="E1699" i="9"/>
  <c r="C1759" i="9"/>
  <c r="C1355" i="9"/>
  <c r="C1474" i="9"/>
  <c r="D1507" i="9"/>
  <c r="C1512" i="9"/>
  <c r="C1578" i="9"/>
  <c r="C1636" i="9"/>
  <c r="D1653" i="9"/>
  <c r="E1681" i="9"/>
  <c r="F1699" i="9"/>
  <c r="H1708" i="9"/>
  <c r="D1714" i="9"/>
  <c r="E1746" i="9"/>
  <c r="E1759" i="9"/>
  <c r="G1699" i="9"/>
  <c r="E1714" i="9"/>
  <c r="F1746" i="9"/>
  <c r="E1751" i="9"/>
  <c r="F1474" i="9"/>
  <c r="F1512" i="9"/>
  <c r="E1651" i="9"/>
  <c r="E1684" i="9"/>
  <c r="D1689" i="9"/>
  <c r="E1697" i="9"/>
  <c r="D1701" i="9"/>
  <c r="F1723" i="9"/>
  <c r="C1726" i="9"/>
  <c r="H1747" i="9"/>
  <c r="F1684" i="9"/>
  <c r="H1697" i="9"/>
  <c r="E1701" i="9"/>
  <c r="G1723" i="9"/>
  <c r="D1726" i="9"/>
  <c r="F1740" i="9"/>
  <c r="F20" i="9"/>
  <c r="D427" i="9"/>
  <c r="G427" i="9"/>
  <c r="H427" i="9"/>
  <c r="F427" i="9"/>
  <c r="G826" i="9"/>
  <c r="E826" i="9"/>
  <c r="H826" i="9"/>
  <c r="C826" i="9"/>
  <c r="F826" i="9"/>
  <c r="D826" i="9"/>
  <c r="E6" i="9"/>
  <c r="D15" i="9"/>
  <c r="C47" i="9"/>
  <c r="F51" i="9"/>
  <c r="C120" i="9"/>
  <c r="D311" i="9"/>
  <c r="F317" i="9"/>
  <c r="G317" i="9"/>
  <c r="D322" i="9"/>
  <c r="E326" i="9"/>
  <c r="C354" i="9"/>
  <c r="E385" i="9"/>
  <c r="G423" i="9"/>
  <c r="F423" i="9"/>
  <c r="E427" i="9"/>
  <c r="D448" i="9"/>
  <c r="C529" i="9"/>
  <c r="D609" i="9"/>
  <c r="F609" i="9"/>
  <c r="H609" i="9"/>
  <c r="E609" i="9"/>
  <c r="D499" i="9"/>
  <c r="H499" i="9"/>
  <c r="E499" i="9"/>
  <c r="F499" i="9"/>
  <c r="C499" i="9"/>
  <c r="H570" i="9"/>
  <c r="D570" i="9"/>
  <c r="C570" i="9"/>
  <c r="F570" i="9"/>
  <c r="G570" i="9"/>
  <c r="E570" i="9"/>
  <c r="F86" i="9"/>
  <c r="E89" i="9"/>
  <c r="G195" i="9"/>
  <c r="F299" i="9"/>
  <c r="C2" i="9"/>
  <c r="G6" i="9"/>
  <c r="D9" i="9"/>
  <c r="G34" i="9"/>
  <c r="C40" i="9"/>
  <c r="D58" i="9"/>
  <c r="D60" i="9"/>
  <c r="E62" i="9"/>
  <c r="D64" i="9"/>
  <c r="D73" i="9"/>
  <c r="C112" i="9"/>
  <c r="F114" i="9"/>
  <c r="D120" i="9"/>
  <c r="C127" i="9"/>
  <c r="E130" i="9"/>
  <c r="D136" i="9"/>
  <c r="E173" i="9"/>
  <c r="F178" i="9"/>
  <c r="F186" i="9"/>
  <c r="C193" i="9"/>
  <c r="C199" i="9"/>
  <c r="C217" i="9"/>
  <c r="D236" i="9"/>
  <c r="D239" i="9"/>
  <c r="C245" i="9"/>
  <c r="D248" i="9"/>
  <c r="C251" i="9"/>
  <c r="C268" i="9"/>
  <c r="F271" i="9"/>
  <c r="C286" i="9"/>
  <c r="G299" i="9"/>
  <c r="F306" i="9"/>
  <c r="G311" i="9"/>
  <c r="C317" i="9"/>
  <c r="F326" i="9"/>
  <c r="E332" i="9"/>
  <c r="H350" i="9"/>
  <c r="D354" i="9"/>
  <c r="F385" i="9"/>
  <c r="C388" i="9"/>
  <c r="H397" i="9"/>
  <c r="E397" i="9"/>
  <c r="G405" i="9"/>
  <c r="H408" i="9"/>
  <c r="E423" i="9"/>
  <c r="F433" i="9"/>
  <c r="C433" i="9"/>
  <c r="F443" i="9"/>
  <c r="H443" i="9"/>
  <c r="E448" i="9"/>
  <c r="E495" i="9"/>
  <c r="H500" i="9"/>
  <c r="E500" i="9"/>
  <c r="F529" i="9"/>
  <c r="F545" i="9"/>
  <c r="H545" i="9"/>
  <c r="E545" i="9"/>
  <c r="G545" i="9"/>
  <c r="D545" i="9"/>
  <c r="C545" i="9"/>
  <c r="D550" i="9"/>
  <c r="F550" i="9"/>
  <c r="C550" i="9"/>
  <c r="F563" i="9"/>
  <c r="H563" i="9"/>
  <c r="G572" i="9"/>
  <c r="E572" i="9"/>
  <c r="H572" i="9"/>
  <c r="E575" i="9"/>
  <c r="G575" i="9"/>
  <c r="F657" i="9"/>
  <c r="H657" i="9"/>
  <c r="D657" i="9"/>
  <c r="G657" i="9"/>
  <c r="E657" i="9"/>
  <c r="C657" i="9"/>
  <c r="H673" i="9"/>
  <c r="G673" i="9"/>
  <c r="E673" i="9"/>
  <c r="F673" i="9"/>
  <c r="C673" i="9"/>
  <c r="F11" i="9"/>
  <c r="E17" i="9"/>
  <c r="G20" i="9"/>
  <c r="E23" i="9"/>
  <c r="C60" i="9"/>
  <c r="G69" i="9"/>
  <c r="E95" i="9"/>
  <c r="C100" i="9"/>
  <c r="E114" i="9"/>
  <c r="G205" i="9"/>
  <c r="G211" i="9"/>
  <c r="G253" i="9"/>
  <c r="C27" i="9"/>
  <c r="D32" i="9"/>
  <c r="E37" i="9"/>
  <c r="H86" i="9"/>
  <c r="H89" i="9"/>
  <c r="D92" i="9"/>
  <c r="D102" i="9"/>
  <c r="C227" i="9"/>
  <c r="D229" i="9"/>
  <c r="F15" i="9"/>
  <c r="F32" i="9"/>
  <c r="F47" i="9"/>
  <c r="C52" i="9"/>
  <c r="F62" i="9"/>
  <c r="E64" i="9"/>
  <c r="F79" i="9"/>
  <c r="F92" i="9"/>
  <c r="D96" i="9"/>
  <c r="E100" i="9"/>
  <c r="D112" i="9"/>
  <c r="G114" i="9"/>
  <c r="E120" i="9"/>
  <c r="E127" i="9"/>
  <c r="F130" i="9"/>
  <c r="G136" i="9"/>
  <c r="D141" i="9"/>
  <c r="F143" i="9"/>
  <c r="G147" i="9"/>
  <c r="C170" i="9"/>
  <c r="G173" i="9"/>
  <c r="D176" i="9"/>
  <c r="D183" i="9"/>
  <c r="G186" i="9"/>
  <c r="E189" i="9"/>
  <c r="E193" i="9"/>
  <c r="F206" i="9"/>
  <c r="C212" i="9"/>
  <c r="D227" i="9"/>
  <c r="E236" i="9"/>
  <c r="G239" i="9"/>
  <c r="G241" i="9"/>
  <c r="D245" i="9"/>
  <c r="H248" i="9"/>
  <c r="D251" i="9"/>
  <c r="E254" i="9"/>
  <c r="C261" i="9"/>
  <c r="D265" i="9"/>
  <c r="E265" i="9"/>
  <c r="D268" i="9"/>
  <c r="C284" i="9"/>
  <c r="D286" i="9"/>
  <c r="C297" i="9"/>
  <c r="H299" i="9"/>
  <c r="G306" i="9"/>
  <c r="C309" i="9"/>
  <c r="D317" i="9"/>
  <c r="C320" i="9"/>
  <c r="D329" i="9"/>
  <c r="F332" i="9"/>
  <c r="D338" i="9"/>
  <c r="G347" i="9"/>
  <c r="E354" i="9"/>
  <c r="G358" i="9"/>
  <c r="E358" i="9"/>
  <c r="G385" i="9"/>
  <c r="D388" i="9"/>
  <c r="C391" i="9"/>
  <c r="C397" i="9"/>
  <c r="H405" i="9"/>
  <c r="D409" i="9"/>
  <c r="E409" i="9"/>
  <c r="F448" i="9"/>
  <c r="H462" i="9"/>
  <c r="C462" i="9"/>
  <c r="G462" i="9"/>
  <c r="F462" i="9"/>
  <c r="D490" i="9"/>
  <c r="E490" i="9"/>
  <c r="G495" i="9"/>
  <c r="D500" i="9"/>
  <c r="H546" i="9"/>
  <c r="E546" i="9"/>
  <c r="G546" i="9"/>
  <c r="F546" i="9"/>
  <c r="H550" i="9"/>
  <c r="D563" i="9"/>
  <c r="F572" i="9"/>
  <c r="G609" i="9"/>
  <c r="D619" i="9"/>
  <c r="F619" i="9"/>
  <c r="C619" i="9"/>
  <c r="G619" i="9"/>
  <c r="H619" i="9"/>
  <c r="E664" i="9"/>
  <c r="D664" i="9"/>
  <c r="G664" i="9"/>
  <c r="F664" i="9"/>
  <c r="H664" i="9"/>
  <c r="D673" i="9"/>
  <c r="E51" i="9"/>
  <c r="C326" i="9"/>
  <c r="G326" i="9"/>
  <c r="D529" i="9"/>
  <c r="G529" i="9"/>
  <c r="E529" i="9"/>
  <c r="C544" i="9"/>
  <c r="D544" i="9"/>
  <c r="F544" i="9"/>
  <c r="G544" i="9"/>
  <c r="E544" i="9"/>
  <c r="H1242" i="9"/>
  <c r="D1242" i="9"/>
  <c r="F34" i="9"/>
  <c r="C37" i="9"/>
  <c r="C58" i="9"/>
  <c r="C62" i="9"/>
  <c r="C64" i="9"/>
  <c r="C73" i="9"/>
  <c r="D147" i="9"/>
  <c r="G151" i="9"/>
  <c r="E186" i="9"/>
  <c r="C189" i="9"/>
  <c r="D209" i="9"/>
  <c r="C229" i="9"/>
  <c r="E15" i="9"/>
  <c r="H17" i="9"/>
  <c r="F23" i="9"/>
  <c r="E47" i="9"/>
  <c r="D100" i="9"/>
  <c r="C143" i="9"/>
  <c r="F147" i="9"/>
  <c r="G165" i="9"/>
  <c r="C176" i="9"/>
  <c r="C183" i="9"/>
  <c r="D189" i="9"/>
  <c r="E2" i="9"/>
  <c r="C4" i="9"/>
  <c r="H6" i="9"/>
  <c r="F9" i="9"/>
  <c r="D21" i="9"/>
  <c r="G23" i="9"/>
  <c r="D27" i="9"/>
  <c r="G37" i="9"/>
  <c r="D40" i="9"/>
  <c r="E58" i="9"/>
  <c r="E60" i="9"/>
  <c r="E73" i="9"/>
  <c r="C76" i="9"/>
  <c r="E82" i="9"/>
  <c r="F102" i="9"/>
  <c r="F199" i="9"/>
  <c r="C214" i="9"/>
  <c r="E217" i="9"/>
  <c r="C221" i="9"/>
  <c r="F229" i="9"/>
  <c r="F2" i="9"/>
  <c r="D4" i="9"/>
  <c r="G9" i="9"/>
  <c r="H13" i="9"/>
  <c r="G15" i="9"/>
  <c r="E18" i="9"/>
  <c r="F21" i="9"/>
  <c r="H23" i="9"/>
  <c r="E27" i="9"/>
  <c r="E29" i="9"/>
  <c r="G32" i="9"/>
  <c r="C35" i="9"/>
  <c r="E40" i="9"/>
  <c r="C43" i="9"/>
  <c r="D52" i="9"/>
  <c r="D54" i="9"/>
  <c r="C56" i="9"/>
  <c r="F58" i="9"/>
  <c r="G60" i="9"/>
  <c r="G62" i="9"/>
  <c r="F64" i="9"/>
  <c r="F73" i="9"/>
  <c r="D76" i="9"/>
  <c r="G82" i="9"/>
  <c r="F87" i="9"/>
  <c r="E90" i="9"/>
  <c r="G92" i="9"/>
  <c r="F100" i="9"/>
  <c r="G109" i="9"/>
  <c r="E112" i="9"/>
  <c r="H114" i="9"/>
  <c r="C118" i="9"/>
  <c r="C125" i="9"/>
  <c r="G127" i="9"/>
  <c r="G141" i="9"/>
  <c r="H143" i="9"/>
  <c r="C160" i="9"/>
  <c r="C166" i="9"/>
  <c r="H170" i="9"/>
  <c r="H173" i="9"/>
  <c r="H186" i="9"/>
  <c r="F189" i="9"/>
  <c r="F193" i="9"/>
  <c r="C197" i="9"/>
  <c r="G199" i="9"/>
  <c r="C203" i="9"/>
  <c r="C210" i="9"/>
  <c r="E212" i="9"/>
  <c r="D214" i="9"/>
  <c r="F217" i="9"/>
  <c r="D221" i="9"/>
  <c r="F227" i="9"/>
  <c r="G229" i="9"/>
  <c r="C234" i="9"/>
  <c r="G236" i="9"/>
  <c r="H241" i="9"/>
  <c r="E245" i="9"/>
  <c r="F251" i="9"/>
  <c r="C258" i="9"/>
  <c r="D261" i="9"/>
  <c r="C265" i="9"/>
  <c r="F268" i="9"/>
  <c r="E284" i="9"/>
  <c r="F286" i="9"/>
  <c r="D297" i="9"/>
  <c r="H306" i="9"/>
  <c r="D309" i="9"/>
  <c r="E312" i="9"/>
  <c r="F312" i="9"/>
  <c r="D314" i="9"/>
  <c r="E317" i="9"/>
  <c r="H320" i="9"/>
  <c r="C341" i="9"/>
  <c r="C345" i="9"/>
  <c r="H347" i="9"/>
  <c r="F354" i="9"/>
  <c r="C358" i="9"/>
  <c r="E382" i="9"/>
  <c r="H385" i="9"/>
  <c r="E391" i="9"/>
  <c r="F397" i="9"/>
  <c r="G406" i="9"/>
  <c r="C406" i="9"/>
  <c r="F409" i="9"/>
  <c r="G448" i="9"/>
  <c r="D496" i="9"/>
  <c r="C496" i="9"/>
  <c r="D523" i="9"/>
  <c r="E523" i="9"/>
  <c r="G523" i="9"/>
  <c r="F523" i="9"/>
  <c r="D551" i="9"/>
  <c r="G551" i="9"/>
  <c r="E577" i="9"/>
  <c r="H577" i="9"/>
  <c r="G577" i="9"/>
  <c r="D577" i="9"/>
  <c r="E597" i="9"/>
  <c r="H597" i="9"/>
  <c r="C597" i="9"/>
  <c r="G597" i="9"/>
  <c r="C664" i="9"/>
  <c r="G738" i="9"/>
  <c r="E738" i="9"/>
  <c r="H738" i="9"/>
  <c r="C738" i="9"/>
  <c r="E34" i="9"/>
  <c r="G58" i="9"/>
  <c r="H60" i="9"/>
  <c r="H62" i="9"/>
  <c r="G64" i="9"/>
  <c r="G100" i="9"/>
  <c r="G354" i="9"/>
  <c r="F413" i="9"/>
  <c r="E413" i="9"/>
  <c r="D438" i="9"/>
  <c r="E438" i="9"/>
  <c r="H448" i="9"/>
  <c r="D478" i="9"/>
  <c r="H478" i="9"/>
  <c r="E540" i="9"/>
  <c r="D540" i="9"/>
  <c r="C540" i="9"/>
  <c r="G540" i="9"/>
  <c r="H540" i="9"/>
  <c r="H592" i="9"/>
  <c r="C592" i="9"/>
  <c r="C692" i="9"/>
  <c r="D692" i="9"/>
  <c r="E829" i="9"/>
  <c r="G829" i="9"/>
  <c r="F829" i="9"/>
  <c r="D829" i="9"/>
  <c r="C829" i="9"/>
  <c r="H829" i="9"/>
  <c r="D271" i="9"/>
  <c r="G271" i="9"/>
  <c r="C395" i="9"/>
  <c r="F395" i="9"/>
  <c r="D404" i="9"/>
  <c r="C404" i="9"/>
  <c r="H2" i="9"/>
  <c r="G27" i="9"/>
  <c r="E93" i="9"/>
  <c r="E97" i="9"/>
  <c r="D103" i="9"/>
  <c r="G112" i="9"/>
  <c r="D144" i="9"/>
  <c r="E187" i="9"/>
  <c r="H189" i="9"/>
  <c r="H193" i="9"/>
  <c r="C200" i="9"/>
  <c r="C225" i="9"/>
  <c r="H227" i="9"/>
  <c r="E252" i="9"/>
  <c r="G252" i="9"/>
  <c r="C269" i="9"/>
  <c r="F278" i="9"/>
  <c r="D304" i="9"/>
  <c r="C307" i="9"/>
  <c r="C321" i="9"/>
  <c r="C330" i="9"/>
  <c r="C333" i="9"/>
  <c r="F335" i="9"/>
  <c r="C438" i="9"/>
  <c r="D471" i="9"/>
  <c r="F478" i="9"/>
  <c r="E514" i="9"/>
  <c r="H514" i="9"/>
  <c r="F540" i="9"/>
  <c r="D588" i="9"/>
  <c r="F593" i="9"/>
  <c r="G593" i="9"/>
  <c r="C593" i="9"/>
  <c r="E593" i="9"/>
  <c r="F615" i="9"/>
  <c r="G615" i="9"/>
  <c r="E615" i="9"/>
  <c r="E621" i="9"/>
  <c r="H621" i="9"/>
  <c r="F621" i="9"/>
  <c r="D693" i="9"/>
  <c r="C693" i="9"/>
  <c r="G693" i="9"/>
  <c r="H693" i="9"/>
  <c r="F693" i="9"/>
  <c r="E693" i="9"/>
  <c r="F752" i="9"/>
  <c r="E752" i="9"/>
  <c r="G752" i="9"/>
  <c r="C752" i="9"/>
  <c r="E794" i="9"/>
  <c r="C794" i="9"/>
  <c r="F794" i="9"/>
  <c r="D794" i="9"/>
  <c r="E11" i="9"/>
  <c r="C204" i="9"/>
  <c r="H217" i="9"/>
  <c r="C237" i="9"/>
  <c r="C240" i="9"/>
  <c r="D242" i="9"/>
  <c r="H245" i="9"/>
  <c r="D352" i="9"/>
  <c r="F372" i="9"/>
  <c r="G383" i="9"/>
  <c r="E386" i="9"/>
  <c r="F389" i="9"/>
  <c r="G389" i="9"/>
  <c r="D395" i="9"/>
  <c r="C398" i="9"/>
  <c r="E398" i="9"/>
  <c r="E404" i="9"/>
  <c r="D413" i="9"/>
  <c r="G4" i="9"/>
  <c r="E10" i="9"/>
  <c r="D16" i="9"/>
  <c r="D19" i="9"/>
  <c r="E30" i="9"/>
  <c r="D33" i="9"/>
  <c r="H40" i="9"/>
  <c r="G43" i="9"/>
  <c r="E49" i="9"/>
  <c r="G52" i="9"/>
  <c r="G54" i="9"/>
  <c r="F56" i="9"/>
  <c r="C59" i="9"/>
  <c r="C61" i="9"/>
  <c r="C63" i="9"/>
  <c r="G93" i="9"/>
  <c r="D115" i="9"/>
  <c r="C122" i="9"/>
  <c r="E131" i="9"/>
  <c r="F166" i="9"/>
  <c r="G197" i="9"/>
  <c r="F204" i="9"/>
  <c r="F234" i="9"/>
  <c r="D237" i="9"/>
  <c r="D240" i="9"/>
  <c r="E242" i="9"/>
  <c r="C255" i="9"/>
  <c r="C275" i="9"/>
  <c r="G278" i="9"/>
  <c r="F287" i="9"/>
  <c r="D295" i="9"/>
  <c r="H295" i="9"/>
  <c r="G297" i="9"/>
  <c r="G309" i="9"/>
  <c r="E318" i="9"/>
  <c r="D321" i="9"/>
  <c r="C324" i="9"/>
  <c r="D330" i="9"/>
  <c r="D333" i="9"/>
  <c r="D368" i="9"/>
  <c r="G372" i="9"/>
  <c r="F386" i="9"/>
  <c r="C389" i="9"/>
  <c r="F404" i="9"/>
  <c r="G413" i="9"/>
  <c r="F429" i="9"/>
  <c r="F438" i="9"/>
  <c r="F441" i="9"/>
  <c r="H444" i="9"/>
  <c r="E458" i="9"/>
  <c r="G458" i="9"/>
  <c r="F458" i="9"/>
  <c r="E471" i="9"/>
  <c r="D479" i="9"/>
  <c r="H479" i="9"/>
  <c r="C479" i="9"/>
  <c r="F479" i="9"/>
  <c r="H483" i="9"/>
  <c r="E483" i="9"/>
  <c r="C483" i="9"/>
  <c r="F514" i="9"/>
  <c r="E519" i="9"/>
  <c r="F519" i="9"/>
  <c r="F553" i="9"/>
  <c r="C553" i="9"/>
  <c r="D553" i="9"/>
  <c r="G588" i="9"/>
  <c r="D593" i="9"/>
  <c r="F598" i="9"/>
  <c r="C598" i="9"/>
  <c r="D615" i="9"/>
  <c r="C621" i="9"/>
  <c r="E680" i="9"/>
  <c r="G680" i="9"/>
  <c r="H680" i="9"/>
  <c r="F680" i="9"/>
  <c r="D680" i="9"/>
  <c r="C680" i="9"/>
  <c r="C789" i="9"/>
  <c r="D789" i="9"/>
  <c r="F789" i="9"/>
  <c r="E348" i="9"/>
  <c r="H348" i="9"/>
  <c r="C352" i="9"/>
  <c r="E352" i="9"/>
  <c r="C115" i="9"/>
  <c r="E14" i="9"/>
  <c r="G76" i="9"/>
  <c r="D88" i="9"/>
  <c r="G103" i="9"/>
  <c r="F118" i="9"/>
  <c r="G125" i="9"/>
  <c r="E128" i="9"/>
  <c r="C142" i="9"/>
  <c r="D149" i="9"/>
  <c r="G174" i="9"/>
  <c r="D177" i="9"/>
  <c r="C180" i="9"/>
  <c r="F210" i="9"/>
  <c r="H221" i="9"/>
  <c r="D225" i="9"/>
  <c r="C252" i="9"/>
  <c r="G258" i="9"/>
  <c r="H261" i="9"/>
  <c r="H265" i="9"/>
  <c r="D269" i="9"/>
  <c r="D291" i="9"/>
  <c r="H339" i="9"/>
  <c r="G339" i="9"/>
  <c r="G348" i="9"/>
  <c r="C378" i="9"/>
  <c r="E395" i="9"/>
  <c r="F398" i="9"/>
  <c r="F10" i="9"/>
  <c r="F14" i="9"/>
  <c r="E16" i="9"/>
  <c r="G19" i="9"/>
  <c r="C22" i="9"/>
  <c r="C26" i="9"/>
  <c r="G30" i="9"/>
  <c r="F33" i="9"/>
  <c r="C36" i="9"/>
  <c r="H38" i="9"/>
  <c r="H43" i="9"/>
  <c r="F49" i="9"/>
  <c r="H54" i="9"/>
  <c r="D59" i="9"/>
  <c r="D61" i="9"/>
  <c r="D63" i="9"/>
  <c r="G67" i="9"/>
  <c r="F71" i="9"/>
  <c r="E84" i="9"/>
  <c r="E88" i="9"/>
  <c r="C91" i="9"/>
  <c r="H93" i="9"/>
  <c r="C101" i="9"/>
  <c r="H103" i="9"/>
  <c r="C111" i="9"/>
  <c r="F115" i="9"/>
  <c r="G118" i="9"/>
  <c r="E122" i="9"/>
  <c r="H125" i="9"/>
  <c r="D142" i="9"/>
  <c r="G149" i="9"/>
  <c r="F157" i="9"/>
  <c r="G166" i="9"/>
  <c r="C172" i="9"/>
  <c r="E177" i="9"/>
  <c r="F180" i="9"/>
  <c r="D185" i="9"/>
  <c r="D194" i="9"/>
  <c r="H197" i="9"/>
  <c r="C201" i="9"/>
  <c r="G204" i="9"/>
  <c r="D208" i="9"/>
  <c r="G210" i="9"/>
  <c r="C213" i="9"/>
  <c r="D215" i="9"/>
  <c r="E225" i="9"/>
  <c r="C228" i="9"/>
  <c r="G234" i="9"/>
  <c r="E237" i="9"/>
  <c r="F240" i="9"/>
  <c r="F242" i="9"/>
  <c r="F249" i="9"/>
  <c r="F252" i="9"/>
  <c r="E255" i="9"/>
  <c r="H258" i="9"/>
  <c r="E269" i="9"/>
  <c r="C273" i="9"/>
  <c r="C282" i="9"/>
  <c r="C285" i="9"/>
  <c r="E295" i="9"/>
  <c r="H300" i="9"/>
  <c r="C305" i="9"/>
  <c r="H312" i="9"/>
  <c r="D315" i="9"/>
  <c r="E321" i="9"/>
  <c r="F324" i="9"/>
  <c r="E330" i="9"/>
  <c r="E333" i="9"/>
  <c r="D339" i="9"/>
  <c r="H341" i="9"/>
  <c r="G345" i="9"/>
  <c r="G352" i="9"/>
  <c r="H368" i="9"/>
  <c r="H372" i="9"/>
  <c r="D375" i="9"/>
  <c r="D378" i="9"/>
  <c r="G380" i="9"/>
  <c r="E384" i="9"/>
  <c r="H384" i="9"/>
  <c r="G386" i="9"/>
  <c r="D389" i="9"/>
  <c r="C392" i="9"/>
  <c r="G395" i="9"/>
  <c r="G398" i="9"/>
  <c r="G404" i="9"/>
  <c r="H406" i="9"/>
  <c r="E410" i="9"/>
  <c r="H413" i="9"/>
  <c r="G429" i="9"/>
  <c r="G438" i="9"/>
  <c r="G441" i="9"/>
  <c r="E455" i="9"/>
  <c r="C455" i="9"/>
  <c r="H458" i="9"/>
  <c r="G471" i="9"/>
  <c r="E479" i="9"/>
  <c r="D483" i="9"/>
  <c r="E487" i="9"/>
  <c r="G487" i="9"/>
  <c r="F487" i="9"/>
  <c r="D519" i="9"/>
  <c r="C524" i="9"/>
  <c r="C542" i="9"/>
  <c r="G542" i="9"/>
  <c r="F542" i="9"/>
  <c r="H542" i="9"/>
  <c r="H593" i="9"/>
  <c r="D621" i="9"/>
  <c r="G628" i="9"/>
  <c r="H628" i="9"/>
  <c r="H645" i="9"/>
  <c r="G645" i="9"/>
  <c r="D645" i="9"/>
  <c r="F645" i="9"/>
  <c r="E645" i="9"/>
  <c r="C645" i="9"/>
  <c r="F700" i="9"/>
  <c r="G700" i="9"/>
  <c r="E700" i="9"/>
  <c r="H700" i="9"/>
  <c r="F747" i="9"/>
  <c r="E747" i="9"/>
  <c r="H789" i="9"/>
  <c r="G73" i="9"/>
  <c r="C10" i="9"/>
  <c r="C14" i="9"/>
  <c r="C16" i="9"/>
  <c r="C49" i="9"/>
  <c r="E83" i="9"/>
  <c r="C88" i="9"/>
  <c r="C177" i="9"/>
  <c r="G10" i="9"/>
  <c r="G14" i="9"/>
  <c r="F16" i="9"/>
  <c r="H19" i="9"/>
  <c r="G33" i="9"/>
  <c r="E59" i="9"/>
  <c r="E61" i="9"/>
  <c r="F63" i="9"/>
  <c r="F88" i="9"/>
  <c r="G115" i="9"/>
  <c r="H122" i="9"/>
  <c r="E142" i="9"/>
  <c r="H149" i="9"/>
  <c r="F177" i="9"/>
  <c r="G180" i="9"/>
  <c r="E194" i="9"/>
  <c r="H204" i="9"/>
  <c r="E208" i="9"/>
  <c r="F225" i="9"/>
  <c r="F228" i="9"/>
  <c r="F237" i="9"/>
  <c r="G240" i="9"/>
  <c r="H252" i="9"/>
  <c r="F255" i="9"/>
  <c r="G269" i="9"/>
  <c r="D282" i="9"/>
  <c r="D285" i="9"/>
  <c r="F295" i="9"/>
  <c r="H298" i="9"/>
  <c r="D298" i="9"/>
  <c r="H305" i="9"/>
  <c r="F321" i="9"/>
  <c r="G324" i="9"/>
  <c r="C328" i="9"/>
  <c r="H328" i="9"/>
  <c r="F330" i="9"/>
  <c r="F333" i="9"/>
  <c r="E339" i="9"/>
  <c r="H352" i="9"/>
  <c r="E375" i="9"/>
  <c r="E378" i="9"/>
  <c r="H387" i="9"/>
  <c r="E387" i="9"/>
  <c r="E389" i="9"/>
  <c r="H395" i="9"/>
  <c r="H398" i="9"/>
  <c r="H404" i="9"/>
  <c r="G410" i="9"/>
  <c r="H429" i="9"/>
  <c r="H438" i="9"/>
  <c r="H441" i="9"/>
  <c r="C446" i="9"/>
  <c r="E446" i="9"/>
  <c r="D446" i="9"/>
  <c r="F459" i="9"/>
  <c r="G459" i="9"/>
  <c r="G621" i="9"/>
  <c r="E688" i="9"/>
  <c r="D688" i="9"/>
  <c r="C851" i="9"/>
  <c r="E851" i="9"/>
  <c r="D851" i="9"/>
  <c r="F851" i="9"/>
  <c r="G321" i="9"/>
  <c r="G330" i="9"/>
  <c r="G333" i="9"/>
  <c r="D337" i="9"/>
  <c r="F337" i="9"/>
  <c r="F378" i="9"/>
  <c r="H389" i="9"/>
  <c r="E439" i="9"/>
  <c r="G439" i="9"/>
  <c r="F480" i="9"/>
  <c r="H480" i="9"/>
  <c r="C516" i="9"/>
  <c r="G516" i="9"/>
  <c r="F516" i="9"/>
  <c r="H516" i="9"/>
  <c r="F569" i="9"/>
  <c r="D569" i="9"/>
  <c r="E569" i="9"/>
  <c r="G569" i="9"/>
  <c r="C569" i="9"/>
  <c r="D585" i="9"/>
  <c r="F585" i="9"/>
  <c r="H585" i="9"/>
  <c r="G585" i="9"/>
  <c r="C585" i="9"/>
  <c r="E636" i="9"/>
  <c r="F636" i="9"/>
  <c r="H636" i="9"/>
  <c r="F641" i="9"/>
  <c r="C641" i="9"/>
  <c r="G641" i="9"/>
  <c r="D641" i="9"/>
  <c r="H641" i="9"/>
  <c r="E641" i="9"/>
  <c r="C651" i="9"/>
  <c r="E651" i="9"/>
  <c r="F651" i="9"/>
  <c r="D651" i="9"/>
  <c r="D715" i="9"/>
  <c r="G715" i="9"/>
  <c r="F715" i="9"/>
  <c r="H715" i="9"/>
  <c r="C715" i="9"/>
  <c r="H732" i="9"/>
  <c r="C732" i="9"/>
  <c r="G732" i="9"/>
  <c r="E732" i="9"/>
  <c r="D732" i="9"/>
  <c r="F732" i="9"/>
  <c r="C11" i="9"/>
  <c r="D20" i="9"/>
  <c r="C34" i="9"/>
  <c r="C51" i="9"/>
  <c r="F68" i="9"/>
  <c r="E85" i="9"/>
  <c r="E99" i="9"/>
  <c r="E150" i="9"/>
  <c r="F167" i="9"/>
  <c r="D253" i="9"/>
  <c r="C280" i="9"/>
  <c r="G280" i="9"/>
  <c r="C299" i="9"/>
  <c r="E337" i="9"/>
  <c r="E350" i="9"/>
  <c r="F365" i="9"/>
  <c r="H365" i="9"/>
  <c r="C376" i="9"/>
  <c r="F376" i="9"/>
  <c r="F396" i="9"/>
  <c r="C405" i="9"/>
  <c r="C408" i="9"/>
  <c r="E417" i="9"/>
  <c r="F431" i="9"/>
  <c r="D431" i="9"/>
  <c r="E431" i="9"/>
  <c r="H450" i="9"/>
  <c r="C450" i="9"/>
  <c r="G480" i="9"/>
  <c r="G489" i="9"/>
  <c r="F489" i="9"/>
  <c r="E489" i="9"/>
  <c r="E498" i="9"/>
  <c r="G538" i="9"/>
  <c r="H538" i="9"/>
  <c r="D538" i="9"/>
  <c r="G543" i="9"/>
  <c r="D543" i="9"/>
  <c r="E549" i="9"/>
  <c r="G549" i="9"/>
  <c r="D549" i="9"/>
  <c r="C549" i="9"/>
  <c r="F555" i="9"/>
  <c r="H569" i="9"/>
  <c r="E581" i="9"/>
  <c r="H581" i="9"/>
  <c r="E585" i="9"/>
  <c r="G607" i="9"/>
  <c r="F607" i="9"/>
  <c r="D636" i="9"/>
  <c r="C652" i="9"/>
  <c r="H652" i="9"/>
  <c r="F652" i="9"/>
  <c r="E652" i="9"/>
  <c r="F759" i="9"/>
  <c r="G759" i="9"/>
  <c r="D759" i="9"/>
  <c r="E759" i="9"/>
  <c r="F482" i="9"/>
  <c r="H482" i="9"/>
  <c r="G486" i="9"/>
  <c r="E486" i="9"/>
  <c r="C556" i="9"/>
  <c r="H556" i="9"/>
  <c r="F556" i="9"/>
  <c r="F582" i="9"/>
  <c r="C582" i="9"/>
  <c r="G582" i="9"/>
  <c r="F617" i="9"/>
  <c r="D617" i="9"/>
  <c r="G617" i="9"/>
  <c r="G687" i="9"/>
  <c r="F687" i="9"/>
  <c r="G706" i="9"/>
  <c r="F706" i="9"/>
  <c r="D706" i="9"/>
  <c r="C706" i="9"/>
  <c r="H706" i="9"/>
  <c r="E1384" i="9"/>
  <c r="H1384" i="9"/>
  <c r="G1384" i="9"/>
  <c r="F1384" i="9"/>
  <c r="D1384" i="9"/>
  <c r="C1384" i="9"/>
  <c r="F669" i="9"/>
  <c r="C669" i="9"/>
  <c r="E669" i="9"/>
  <c r="H721" i="9"/>
  <c r="C721" i="9"/>
  <c r="E721" i="9"/>
  <c r="D721" i="9"/>
  <c r="G721" i="9"/>
  <c r="D764" i="9"/>
  <c r="G764" i="9"/>
  <c r="G784" i="9"/>
  <c r="F784" i="9"/>
  <c r="H796" i="9"/>
  <c r="G796" i="9"/>
  <c r="F796" i="9"/>
  <c r="H835" i="9"/>
  <c r="C835" i="9"/>
  <c r="E835" i="9"/>
  <c r="F835" i="9"/>
  <c r="G835" i="9"/>
  <c r="D835" i="9"/>
  <c r="G900" i="9"/>
  <c r="E900" i="9"/>
  <c r="C900" i="9"/>
  <c r="D900" i="9"/>
  <c r="F900" i="9"/>
  <c r="E465" i="9"/>
  <c r="F473" i="9"/>
  <c r="D473" i="9"/>
  <c r="H473" i="9"/>
  <c r="F486" i="9"/>
  <c r="D539" i="9"/>
  <c r="G539" i="9"/>
  <c r="G548" i="9"/>
  <c r="E548" i="9"/>
  <c r="D548" i="9"/>
  <c r="H548" i="9"/>
  <c r="G556" i="9"/>
  <c r="C566" i="9"/>
  <c r="H566" i="9"/>
  <c r="F566" i="9"/>
  <c r="H582" i="9"/>
  <c r="E590" i="9"/>
  <c r="F590" i="9"/>
  <c r="D599" i="9"/>
  <c r="H599" i="9"/>
  <c r="D606" i="9"/>
  <c r="H606" i="9"/>
  <c r="C606" i="9"/>
  <c r="F606" i="9"/>
  <c r="H617" i="9"/>
  <c r="G640" i="9"/>
  <c r="H640" i="9"/>
  <c r="D669" i="9"/>
  <c r="C683" i="9"/>
  <c r="F713" i="9"/>
  <c r="E713" i="9"/>
  <c r="C713" i="9"/>
  <c r="G713" i="9"/>
  <c r="C716" i="9"/>
  <c r="E716" i="9"/>
  <c r="F721" i="9"/>
  <c r="E731" i="9"/>
  <c r="H731" i="9"/>
  <c r="C731" i="9"/>
  <c r="F731" i="9"/>
  <c r="D796" i="9"/>
  <c r="H814" i="9"/>
  <c r="C814" i="9"/>
  <c r="G814" i="9"/>
  <c r="E814" i="9"/>
  <c r="D814" i="9"/>
  <c r="G824" i="9"/>
  <c r="F824" i="9"/>
  <c r="F871" i="9"/>
  <c r="E871" i="9"/>
  <c r="C871" i="9"/>
  <c r="D871" i="9"/>
  <c r="H900" i="9"/>
  <c r="C905" i="9"/>
  <c r="H905" i="9"/>
  <c r="F905" i="9"/>
  <c r="G905" i="9"/>
  <c r="E905" i="9"/>
  <c r="D905" i="9"/>
  <c r="E535" i="9"/>
  <c r="G535" i="9"/>
  <c r="F552" i="9"/>
  <c r="H552" i="9"/>
  <c r="F586" i="9"/>
  <c r="E586" i="9"/>
  <c r="E611" i="9"/>
  <c r="H611" i="9"/>
  <c r="F611" i="9"/>
  <c r="G614" i="9"/>
  <c r="H614" i="9"/>
  <c r="H666" i="9"/>
  <c r="F666" i="9"/>
  <c r="G666" i="9"/>
  <c r="G679" i="9"/>
  <c r="C679" i="9"/>
  <c r="E679" i="9"/>
  <c r="F689" i="9"/>
  <c r="H689" i="9"/>
  <c r="E689" i="9"/>
  <c r="D689" i="9"/>
  <c r="F698" i="9"/>
  <c r="G698" i="9"/>
  <c r="H698" i="9"/>
  <c r="E708" i="9"/>
  <c r="C708" i="9"/>
  <c r="G708" i="9"/>
  <c r="H708" i="9"/>
  <c r="H735" i="9"/>
  <c r="G735" i="9"/>
  <c r="E735" i="9"/>
  <c r="F735" i="9"/>
  <c r="C735" i="9"/>
  <c r="H803" i="9"/>
  <c r="F803" i="9"/>
  <c r="F819" i="9"/>
  <c r="G819" i="9"/>
  <c r="H819" i="9"/>
  <c r="C831" i="9"/>
  <c r="G831" i="9"/>
  <c r="F831" i="9"/>
  <c r="H831" i="9"/>
  <c r="E831" i="9"/>
  <c r="H856" i="9"/>
  <c r="F856" i="9"/>
  <c r="D856" i="9"/>
  <c r="C872" i="9"/>
  <c r="H872" i="9"/>
  <c r="F872" i="9"/>
  <c r="G872" i="9"/>
  <c r="E872" i="9"/>
  <c r="D872" i="9"/>
  <c r="D717" i="9"/>
  <c r="E717" i="9"/>
  <c r="C717" i="9"/>
  <c r="G717" i="9"/>
  <c r="H723" i="9"/>
  <c r="C723" i="9"/>
  <c r="G723" i="9"/>
  <c r="D729" i="9"/>
  <c r="E729" i="9"/>
  <c r="F755" i="9"/>
  <c r="D755" i="9"/>
  <c r="H761" i="9"/>
  <c r="E761" i="9"/>
  <c r="G761" i="9"/>
  <c r="C761" i="9"/>
  <c r="H781" i="9"/>
  <c r="G781" i="9"/>
  <c r="D781" i="9"/>
  <c r="E804" i="9"/>
  <c r="H804" i="9"/>
  <c r="G804" i="9"/>
  <c r="C804" i="9"/>
  <c r="F804" i="9"/>
  <c r="D815" i="9"/>
  <c r="C815" i="9"/>
  <c r="H815" i="9"/>
  <c r="F481" i="9"/>
  <c r="H481" i="9"/>
  <c r="F497" i="9"/>
  <c r="D497" i="9"/>
  <c r="H497" i="9"/>
  <c r="D525" i="9"/>
  <c r="E525" i="9"/>
  <c r="H537" i="9"/>
  <c r="C537" i="9"/>
  <c r="E537" i="9"/>
  <c r="G537" i="9"/>
  <c r="F560" i="9"/>
  <c r="G611" i="9"/>
  <c r="F633" i="9"/>
  <c r="D667" i="9"/>
  <c r="E667" i="9"/>
  <c r="G667" i="9"/>
  <c r="F667" i="9"/>
  <c r="F677" i="9"/>
  <c r="G677" i="9"/>
  <c r="H717" i="9"/>
  <c r="E723" i="9"/>
  <c r="H729" i="9"/>
  <c r="F761" i="9"/>
  <c r="D799" i="9"/>
  <c r="G799" i="9"/>
  <c r="E799" i="9"/>
  <c r="F799" i="9"/>
  <c r="C799" i="9"/>
  <c r="C436" i="9"/>
  <c r="F436" i="9"/>
  <c r="F485" i="9"/>
  <c r="G485" i="9"/>
  <c r="D485" i="9"/>
  <c r="F504" i="9"/>
  <c r="H504" i="9"/>
  <c r="F521" i="9"/>
  <c r="H521" i="9"/>
  <c r="E521" i="9"/>
  <c r="H554" i="9"/>
  <c r="E554" i="9"/>
  <c r="H558" i="9"/>
  <c r="D558" i="9"/>
  <c r="H560" i="9"/>
  <c r="C584" i="9"/>
  <c r="H584" i="9"/>
  <c r="F584" i="9"/>
  <c r="E584" i="9"/>
  <c r="H627" i="9"/>
  <c r="E627" i="9"/>
  <c r="G630" i="9"/>
  <c r="F630" i="9"/>
  <c r="C630" i="9"/>
  <c r="H633" i="9"/>
  <c r="C654" i="9"/>
  <c r="F654" i="9"/>
  <c r="H654" i="9"/>
  <c r="F671" i="9"/>
  <c r="E671" i="9"/>
  <c r="C671" i="9"/>
  <c r="F695" i="9"/>
  <c r="E695" i="9"/>
  <c r="C710" i="9"/>
  <c r="F710" i="9"/>
  <c r="H710" i="9"/>
  <c r="G710" i="9"/>
  <c r="F723" i="9"/>
  <c r="F705" i="9"/>
  <c r="H705" i="9"/>
  <c r="E705" i="9"/>
  <c r="D705" i="9"/>
  <c r="H778" i="9"/>
  <c r="C778" i="9"/>
  <c r="G778" i="9"/>
  <c r="E778" i="9"/>
  <c r="D778" i="9"/>
  <c r="G681" i="9"/>
  <c r="F681" i="9"/>
  <c r="E681" i="9"/>
  <c r="D681" i="9"/>
  <c r="C702" i="9"/>
  <c r="G702" i="9"/>
  <c r="E702" i="9"/>
  <c r="F725" i="9"/>
  <c r="H725" i="9"/>
  <c r="E725" i="9"/>
  <c r="D725" i="9"/>
  <c r="C744" i="9"/>
  <c r="H744" i="9"/>
  <c r="F744" i="9"/>
  <c r="G744" i="9"/>
  <c r="D744" i="9"/>
  <c r="C440" i="9"/>
  <c r="H440" i="9"/>
  <c r="G442" i="9"/>
  <c r="H442" i="9"/>
  <c r="F449" i="9"/>
  <c r="D449" i="9"/>
  <c r="G452" i="9"/>
  <c r="C452" i="9"/>
  <c r="F510" i="9"/>
  <c r="E510" i="9"/>
  <c r="D513" i="9"/>
  <c r="E513" i="9"/>
  <c r="D534" i="9"/>
  <c r="F559" i="9"/>
  <c r="E568" i="9"/>
  <c r="D613" i="9"/>
  <c r="C613" i="9"/>
  <c r="E642" i="9"/>
  <c r="F665" i="9"/>
  <c r="C665" i="9"/>
  <c r="G665" i="9"/>
  <c r="H665" i="9"/>
  <c r="G682" i="9"/>
  <c r="F682" i="9"/>
  <c r="E712" i="9"/>
  <c r="G712" i="9"/>
  <c r="E733" i="9"/>
  <c r="D733" i="9"/>
  <c r="H758" i="9"/>
  <c r="F766" i="9"/>
  <c r="C766" i="9"/>
  <c r="F770" i="9"/>
  <c r="C770" i="9"/>
  <c r="C845" i="9"/>
  <c r="H845" i="9"/>
  <c r="G845" i="9"/>
  <c r="E845" i="9"/>
  <c r="D857" i="9"/>
  <c r="G857" i="9"/>
  <c r="E857" i="9"/>
  <c r="C857" i="9"/>
  <c r="H1131" i="9"/>
  <c r="E1131" i="9"/>
  <c r="G1131" i="9"/>
  <c r="F1131" i="9"/>
  <c r="C1131" i="9"/>
  <c r="D1131" i="9"/>
  <c r="H1411" i="9"/>
  <c r="F1411" i="9"/>
  <c r="E1411" i="9"/>
  <c r="F926" i="9"/>
  <c r="H926" i="9"/>
  <c r="D926" i="9"/>
  <c r="C926" i="9"/>
  <c r="H1042" i="9"/>
  <c r="D1042" i="9"/>
  <c r="F1042" i="9"/>
  <c r="G1042" i="9"/>
  <c r="E1042" i="9"/>
  <c r="H790" i="9"/>
  <c r="E790" i="9"/>
  <c r="F790" i="9"/>
  <c r="H869" i="9"/>
  <c r="F869" i="9"/>
  <c r="E869" i="9"/>
  <c r="G869" i="9"/>
  <c r="D869" i="9"/>
  <c r="H879" i="9"/>
  <c r="G879" i="9"/>
  <c r="F879" i="9"/>
  <c r="H907" i="9"/>
  <c r="G907" i="9"/>
  <c r="E907" i="9"/>
  <c r="D907" i="9"/>
  <c r="C907" i="9"/>
  <c r="H775" i="9"/>
  <c r="C775" i="9"/>
  <c r="D782" i="9"/>
  <c r="G782" i="9"/>
  <c r="F786" i="9"/>
  <c r="H786" i="9"/>
  <c r="E786" i="9"/>
  <c r="C790" i="9"/>
  <c r="G823" i="9"/>
  <c r="D823" i="9"/>
  <c r="H823" i="9"/>
  <c r="G827" i="9"/>
  <c r="H827" i="9"/>
  <c r="F827" i="9"/>
  <c r="D847" i="9"/>
  <c r="F847" i="9"/>
  <c r="C869" i="9"/>
  <c r="F907" i="9"/>
  <c r="E419" i="9"/>
  <c r="G419" i="9"/>
  <c r="D469" i="9"/>
  <c r="G469" i="9"/>
  <c r="G644" i="9"/>
  <c r="E644" i="9"/>
  <c r="D644" i="9"/>
  <c r="E678" i="9"/>
  <c r="F678" i="9"/>
  <c r="G697" i="9"/>
  <c r="H697" i="9"/>
  <c r="E727" i="9"/>
  <c r="D727" i="9"/>
  <c r="C749" i="9"/>
  <c r="G749" i="9"/>
  <c r="F749" i="9"/>
  <c r="D749" i="9"/>
  <c r="E775" i="9"/>
  <c r="E782" i="9"/>
  <c r="D786" i="9"/>
  <c r="G790" i="9"/>
  <c r="D806" i="9"/>
  <c r="F806" i="9"/>
  <c r="E823" i="9"/>
  <c r="D833" i="9"/>
  <c r="E833" i="9"/>
  <c r="C833" i="9"/>
  <c r="E847" i="9"/>
  <c r="D853" i="9"/>
  <c r="D863" i="9"/>
  <c r="C863" i="9"/>
  <c r="G863" i="9"/>
  <c r="E863" i="9"/>
  <c r="H863" i="9"/>
  <c r="F909" i="9"/>
  <c r="E909" i="9"/>
  <c r="H909" i="9"/>
  <c r="E985" i="9"/>
  <c r="D985" i="9"/>
  <c r="G985" i="9"/>
  <c r="H985" i="9"/>
  <c r="F985" i="9"/>
  <c r="C985" i="9"/>
  <c r="G850" i="9"/>
  <c r="H850" i="9"/>
  <c r="F850" i="9"/>
  <c r="D691" i="9"/>
  <c r="E691" i="9"/>
  <c r="C691" i="9"/>
  <c r="G848" i="9"/>
  <c r="F848" i="9"/>
  <c r="D850" i="9"/>
  <c r="G911" i="9"/>
  <c r="E911" i="9"/>
  <c r="F911" i="9"/>
  <c r="C911" i="9"/>
  <c r="F656" i="9"/>
  <c r="G656" i="9"/>
  <c r="H675" i="9"/>
  <c r="E675" i="9"/>
  <c r="D675" i="9"/>
  <c r="G675" i="9"/>
  <c r="F751" i="9"/>
  <c r="G751" i="9"/>
  <c r="H754" i="9"/>
  <c r="C754" i="9"/>
  <c r="F762" i="9"/>
  <c r="C762" i="9"/>
  <c r="H762" i="9"/>
  <c r="E762" i="9"/>
  <c r="E780" i="9"/>
  <c r="F780" i="9"/>
  <c r="C780" i="9"/>
  <c r="D812" i="9"/>
  <c r="E812" i="9"/>
  <c r="G812" i="9"/>
  <c r="F812" i="9"/>
  <c r="C812" i="9"/>
  <c r="F834" i="9"/>
  <c r="E834" i="9"/>
  <c r="D834" i="9"/>
  <c r="D844" i="9"/>
  <c r="E844" i="9"/>
  <c r="E850" i="9"/>
  <c r="E916" i="9"/>
  <c r="D916" i="9"/>
  <c r="H916" i="9"/>
  <c r="C916" i="9"/>
  <c r="G935" i="9"/>
  <c r="F935" i="9"/>
  <c r="E935" i="9"/>
  <c r="F893" i="9"/>
  <c r="H904" i="9"/>
  <c r="G904" i="9"/>
  <c r="C929" i="9"/>
  <c r="G929" i="9"/>
  <c r="F929" i="9"/>
  <c r="E937" i="9"/>
  <c r="C937" i="9"/>
  <c r="H937" i="9"/>
  <c r="G958" i="9"/>
  <c r="C958" i="9"/>
  <c r="H958" i="9"/>
  <c r="E958" i="9"/>
  <c r="G1039" i="9"/>
  <c r="F1039" i="9"/>
  <c r="C1125" i="9"/>
  <c r="E1125" i="9"/>
  <c r="D1125" i="9"/>
  <c r="H992" i="9"/>
  <c r="G992" i="9"/>
  <c r="D992" i="9"/>
  <c r="F992" i="9"/>
  <c r="E992" i="9"/>
  <c r="C992" i="9"/>
  <c r="E1036" i="9"/>
  <c r="G1036" i="9"/>
  <c r="D1036" i="9"/>
  <c r="H1036" i="9"/>
  <c r="F816" i="9"/>
  <c r="G816" i="9"/>
  <c r="F921" i="9"/>
  <c r="C921" i="9"/>
  <c r="H929" i="9"/>
  <c r="G937" i="9"/>
  <c r="G951" i="9"/>
  <c r="H951" i="9"/>
  <c r="F1005" i="9"/>
  <c r="G1005" i="9"/>
  <c r="H1005" i="9"/>
  <c r="E1005" i="9"/>
  <c r="F1036" i="9"/>
  <c r="E891" i="9"/>
  <c r="D891" i="9"/>
  <c r="H891" i="9"/>
  <c r="G891" i="9"/>
  <c r="F891" i="9"/>
  <c r="G910" i="9"/>
  <c r="H910" i="9"/>
  <c r="C910" i="9"/>
  <c r="E925" i="9"/>
  <c r="C925" i="9"/>
  <c r="G925" i="9"/>
  <c r="F925" i="9"/>
  <c r="H955" i="9"/>
  <c r="F955" i="9"/>
  <c r="D955" i="9"/>
  <c r="E955" i="9"/>
  <c r="C955" i="9"/>
  <c r="D973" i="9"/>
  <c r="G973" i="9"/>
  <c r="H973" i="9"/>
  <c r="D1197" i="9"/>
  <c r="H1197" i="9"/>
  <c r="C1197" i="9"/>
  <c r="E1197" i="9"/>
  <c r="D493" i="9"/>
  <c r="H493" i="9"/>
  <c r="C746" i="9"/>
  <c r="E746" i="9"/>
  <c r="E753" i="9"/>
  <c r="H753" i="9"/>
  <c r="F774" i="9"/>
  <c r="C774" i="9"/>
  <c r="H795" i="9"/>
  <c r="H816" i="9"/>
  <c r="D864" i="9"/>
  <c r="H867" i="9"/>
  <c r="F867" i="9"/>
  <c r="E867" i="9"/>
  <c r="C891" i="9"/>
  <c r="D910" i="9"/>
  <c r="H914" i="9"/>
  <c r="D925" i="9"/>
  <c r="G934" i="9"/>
  <c r="E934" i="9"/>
  <c r="C934" i="9"/>
  <c r="D934" i="9"/>
  <c r="E938" i="9"/>
  <c r="G955" i="9"/>
  <c r="C973" i="9"/>
  <c r="H1006" i="9"/>
  <c r="D1006" i="9"/>
  <c r="C1006" i="9"/>
  <c r="E1006" i="9"/>
  <c r="G1049" i="9"/>
  <c r="E1049" i="9"/>
  <c r="F1049" i="9"/>
  <c r="H883" i="9"/>
  <c r="F883" i="9"/>
  <c r="D883" i="9"/>
  <c r="E892" i="9"/>
  <c r="C892" i="9"/>
  <c r="H892" i="9"/>
  <c r="E910" i="9"/>
  <c r="C918" i="9"/>
  <c r="G918" i="9"/>
  <c r="H918" i="9"/>
  <c r="F918" i="9"/>
  <c r="H925" i="9"/>
  <c r="E973" i="9"/>
  <c r="F1074" i="9"/>
  <c r="H1074" i="9"/>
  <c r="G1308" i="9"/>
  <c r="C1308" i="9"/>
  <c r="D1308" i="9"/>
  <c r="E887" i="9"/>
  <c r="C887" i="9"/>
  <c r="D968" i="9"/>
  <c r="G968" i="9"/>
  <c r="F968" i="9"/>
  <c r="E968" i="9"/>
  <c r="D1033" i="9"/>
  <c r="C1033" i="9"/>
  <c r="H1033" i="9"/>
  <c r="F1033" i="9"/>
  <c r="G1033" i="9"/>
  <c r="E1033" i="9"/>
  <c r="G1074" i="9"/>
  <c r="G883" i="9"/>
  <c r="G892" i="9"/>
  <c r="F957" i="9"/>
  <c r="C957" i="9"/>
  <c r="H957" i="9"/>
  <c r="C965" i="9"/>
  <c r="F965" i="9"/>
  <c r="G1022" i="9"/>
  <c r="H1022" i="9"/>
  <c r="F1022" i="9"/>
  <c r="C1022" i="9"/>
  <c r="E1022" i="9"/>
  <c r="D1022" i="9"/>
  <c r="E884" i="9"/>
  <c r="D884" i="9"/>
  <c r="F889" i="9"/>
  <c r="D889" i="9"/>
  <c r="G889" i="9"/>
  <c r="C920" i="9"/>
  <c r="F920" i="9"/>
  <c r="F981" i="9"/>
  <c r="G981" i="9"/>
  <c r="D994" i="9"/>
  <c r="C1018" i="9"/>
  <c r="F1018" i="9"/>
  <c r="E1018" i="9"/>
  <c r="H1018" i="9"/>
  <c r="E1053" i="9"/>
  <c r="G1053" i="9"/>
  <c r="F1096" i="9"/>
  <c r="D1096" i="9"/>
  <c r="G1096" i="9"/>
  <c r="C1096" i="9"/>
  <c r="G1136" i="9"/>
  <c r="H1136" i="9"/>
  <c r="D1136" i="9"/>
  <c r="C1136" i="9"/>
  <c r="F1209" i="9"/>
  <c r="G1209" i="9"/>
  <c r="D1209" i="9"/>
  <c r="C1209" i="9"/>
  <c r="H1209" i="9"/>
  <c r="C1270" i="9"/>
  <c r="D1270" i="9"/>
  <c r="H1270" i="9"/>
  <c r="G1270" i="9"/>
  <c r="F1277" i="9"/>
  <c r="G1277" i="9"/>
  <c r="E1277" i="9"/>
  <c r="C1277" i="9"/>
  <c r="E1336" i="9"/>
  <c r="H1336" i="9"/>
  <c r="F1336" i="9"/>
  <c r="D1336" i="9"/>
  <c r="E1360" i="9"/>
  <c r="D1360" i="9"/>
  <c r="H1360" i="9"/>
  <c r="F1360" i="9"/>
  <c r="C1360" i="9"/>
  <c r="H1397" i="9"/>
  <c r="C1397" i="9"/>
  <c r="G1397" i="9"/>
  <c r="F1397" i="9"/>
  <c r="E1397" i="9"/>
  <c r="D1397" i="9"/>
  <c r="E1598" i="9"/>
  <c r="F1598" i="9"/>
  <c r="C1336" i="9"/>
  <c r="G1360" i="9"/>
  <c r="C1398" i="9"/>
  <c r="G1398" i="9"/>
  <c r="F1398" i="9"/>
  <c r="D854" i="9"/>
  <c r="C854" i="9"/>
  <c r="F933" i="9"/>
  <c r="G933" i="9"/>
  <c r="E940" i="9"/>
  <c r="F940" i="9"/>
  <c r="C940" i="9"/>
  <c r="D949" i="9"/>
  <c r="G949" i="9"/>
  <c r="H1015" i="9"/>
  <c r="E1015" i="9"/>
  <c r="F1108" i="9"/>
  <c r="H1108" i="9"/>
  <c r="D1108" i="9"/>
  <c r="C1108" i="9"/>
  <c r="E1126" i="9"/>
  <c r="D1126" i="9"/>
  <c r="F1132" i="9"/>
  <c r="D1132" i="9"/>
  <c r="C1132" i="9"/>
  <c r="D1189" i="9"/>
  <c r="H1189" i="9"/>
  <c r="G1189" i="9"/>
  <c r="E1189" i="9"/>
  <c r="C1189" i="9"/>
  <c r="G1244" i="9"/>
  <c r="H1244" i="9"/>
  <c r="F1244" i="9"/>
  <c r="C1244" i="9"/>
  <c r="E1261" i="9"/>
  <c r="D1261" i="9"/>
  <c r="C1261" i="9"/>
  <c r="G1261" i="9"/>
  <c r="G797" i="9"/>
  <c r="E818" i="9"/>
  <c r="F825" i="9"/>
  <c r="C838" i="9"/>
  <c r="E854" i="9"/>
  <c r="C865" i="9"/>
  <c r="F877" i="9"/>
  <c r="D877" i="9"/>
  <c r="D881" i="9"/>
  <c r="C901" i="9"/>
  <c r="E908" i="9"/>
  <c r="C933" i="9"/>
  <c r="D936" i="9"/>
  <c r="D940" i="9"/>
  <c r="C944" i="9"/>
  <c r="C949" i="9"/>
  <c r="H982" i="9"/>
  <c r="D982" i="9"/>
  <c r="C982" i="9"/>
  <c r="D1015" i="9"/>
  <c r="H1020" i="9"/>
  <c r="E1020" i="9"/>
  <c r="D1032" i="9"/>
  <c r="H1037" i="9"/>
  <c r="E1037" i="9"/>
  <c r="D1037" i="9"/>
  <c r="D1043" i="9"/>
  <c r="E1043" i="9"/>
  <c r="C1043" i="9"/>
  <c r="G1043" i="9"/>
  <c r="E1046" i="9"/>
  <c r="C1046" i="9"/>
  <c r="C1050" i="9"/>
  <c r="H1050" i="9"/>
  <c r="E1050" i="9"/>
  <c r="D1050" i="9"/>
  <c r="G1050" i="9"/>
  <c r="F1069" i="9"/>
  <c r="H1069" i="9"/>
  <c r="G1069" i="9"/>
  <c r="C1069" i="9"/>
  <c r="G1108" i="9"/>
  <c r="F1126" i="9"/>
  <c r="G1132" i="9"/>
  <c r="D1181" i="9"/>
  <c r="C1181" i="9"/>
  <c r="H1181" i="9"/>
  <c r="F1181" i="9"/>
  <c r="G1224" i="9"/>
  <c r="D1224" i="9"/>
  <c r="H1224" i="9"/>
  <c r="E1224" i="9"/>
  <c r="C1224" i="9"/>
  <c r="H1237" i="9"/>
  <c r="F1237" i="9"/>
  <c r="G1237" i="9"/>
  <c r="D1237" i="9"/>
  <c r="C1237" i="9"/>
  <c r="C1386" i="9"/>
  <c r="F1386" i="9"/>
  <c r="G1386" i="9"/>
  <c r="E1386" i="9"/>
  <c r="H1386" i="9"/>
  <c r="D1386" i="9"/>
  <c r="G1061" i="9"/>
  <c r="H1061" i="9"/>
  <c r="E1061" i="9"/>
  <c r="D1061" i="9"/>
  <c r="H1117" i="9"/>
  <c r="E1117" i="9"/>
  <c r="C1117" i="9"/>
  <c r="F1177" i="9"/>
  <c r="H1177" i="9"/>
  <c r="G1177" i="9"/>
  <c r="D1177" i="9"/>
  <c r="C1177" i="9"/>
  <c r="H1257" i="9"/>
  <c r="D1257" i="9"/>
  <c r="G1257" i="9"/>
  <c r="C1273" i="9"/>
  <c r="D1273" i="9"/>
  <c r="H1273" i="9"/>
  <c r="G1273" i="9"/>
  <c r="E1273" i="9"/>
  <c r="H1334" i="9"/>
  <c r="F1334" i="9"/>
  <c r="D1334" i="9"/>
  <c r="H1387" i="9"/>
  <c r="E1387" i="9"/>
  <c r="F1387" i="9"/>
  <c r="H1616" i="9"/>
  <c r="E1616" i="9"/>
  <c r="F1616" i="9"/>
  <c r="E987" i="9"/>
  <c r="F987" i="9"/>
  <c r="D1016" i="9"/>
  <c r="C1016" i="9"/>
  <c r="H1016" i="9"/>
  <c r="F1016" i="9"/>
  <c r="D1020" i="9"/>
  <c r="F1037" i="9"/>
  <c r="H1043" i="9"/>
  <c r="H1046" i="9"/>
  <c r="F1058" i="9"/>
  <c r="C1058" i="9"/>
  <c r="C1061" i="9"/>
  <c r="H1065" i="9"/>
  <c r="D1065" i="9"/>
  <c r="E1069" i="9"/>
  <c r="C1087" i="9"/>
  <c r="F1087" i="9"/>
  <c r="C1101" i="9"/>
  <c r="E1101" i="9"/>
  <c r="D1101" i="9"/>
  <c r="D1117" i="9"/>
  <c r="E1177" i="9"/>
  <c r="G1181" i="9"/>
  <c r="G1199" i="9"/>
  <c r="E1199" i="9"/>
  <c r="F1225" i="9"/>
  <c r="D1225" i="9"/>
  <c r="C1225" i="9"/>
  <c r="G1225" i="9"/>
  <c r="F1273" i="9"/>
  <c r="D1346" i="9"/>
  <c r="H1346" i="9"/>
  <c r="E1346" i="9"/>
  <c r="D1367" i="9"/>
  <c r="H1367" i="9"/>
  <c r="G1367" i="9"/>
  <c r="C1367" i="9"/>
  <c r="E1393" i="9"/>
  <c r="H1393" i="9"/>
  <c r="G1393" i="9"/>
  <c r="F1393" i="9"/>
  <c r="D1393" i="9"/>
  <c r="C1393" i="9"/>
  <c r="H976" i="9"/>
  <c r="C976" i="9"/>
  <c r="H1047" i="9"/>
  <c r="G1047" i="9"/>
  <c r="F1047" i="9"/>
  <c r="C1047" i="9"/>
  <c r="D1055" i="9"/>
  <c r="G1055" i="9"/>
  <c r="F1055" i="9"/>
  <c r="E1055" i="9"/>
  <c r="F1061" i="9"/>
  <c r="F1117" i="9"/>
  <c r="G1123" i="9"/>
  <c r="F1123" i="9"/>
  <c r="F1178" i="9"/>
  <c r="D1178" i="9"/>
  <c r="G1250" i="9"/>
  <c r="F1250" i="9"/>
  <c r="D1250" i="9"/>
  <c r="G1274" i="9"/>
  <c r="C1274" i="9"/>
  <c r="E1274" i="9"/>
  <c r="D1274" i="9"/>
  <c r="C1338" i="9"/>
  <c r="F1338" i="9"/>
  <c r="D1338" i="9"/>
  <c r="G1352" i="9"/>
  <c r="E1352" i="9"/>
  <c r="D1352" i="9"/>
  <c r="F1352" i="9"/>
  <c r="C1352" i="9"/>
  <c r="F1373" i="9"/>
  <c r="D1373" i="9"/>
  <c r="H1373" i="9"/>
  <c r="G1373" i="9"/>
  <c r="E1373" i="9"/>
  <c r="C1373" i="9"/>
  <c r="G1406" i="9"/>
  <c r="F1406" i="9"/>
  <c r="E1406" i="9"/>
  <c r="D1406" i="9"/>
  <c r="H1406" i="9"/>
  <c r="F976" i="9"/>
  <c r="D1013" i="9"/>
  <c r="G1013" i="9"/>
  <c r="C1013" i="9"/>
  <c r="D1047" i="9"/>
  <c r="C1055" i="9"/>
  <c r="H1059" i="9"/>
  <c r="E1059" i="9"/>
  <c r="D1059" i="9"/>
  <c r="G1062" i="9"/>
  <c r="F1062" i="9"/>
  <c r="C1070" i="9"/>
  <c r="G1117" i="9"/>
  <c r="C1123" i="9"/>
  <c r="C1178" i="9"/>
  <c r="H1239" i="9"/>
  <c r="D1239" i="9"/>
  <c r="C1239" i="9"/>
  <c r="G1239" i="9"/>
  <c r="C1250" i="9"/>
  <c r="F1274" i="9"/>
  <c r="H1296" i="9"/>
  <c r="C1296" i="9"/>
  <c r="G1338" i="9"/>
  <c r="H1352" i="9"/>
  <c r="H802" i="9"/>
  <c r="H810" i="9"/>
  <c r="H860" i="9"/>
  <c r="D860" i="9"/>
  <c r="D896" i="9"/>
  <c r="G896" i="9"/>
  <c r="H913" i="9"/>
  <c r="G924" i="9"/>
  <c r="F924" i="9"/>
  <c r="C942" i="9"/>
  <c r="E942" i="9"/>
  <c r="H942" i="9"/>
  <c r="F945" i="9"/>
  <c r="E945" i="9"/>
  <c r="C945" i="9"/>
  <c r="E964" i="9"/>
  <c r="F964" i="9"/>
  <c r="C964" i="9"/>
  <c r="G976" i="9"/>
  <c r="G987" i="9"/>
  <c r="F993" i="9"/>
  <c r="E993" i="9"/>
  <c r="C993" i="9"/>
  <c r="E1013" i="9"/>
  <c r="F1017" i="9"/>
  <c r="E1017" i="9"/>
  <c r="H1027" i="9"/>
  <c r="G1027" i="9"/>
  <c r="D1027" i="9"/>
  <c r="H1030" i="9"/>
  <c r="E1030" i="9"/>
  <c r="D1030" i="9"/>
  <c r="H1035" i="9"/>
  <c r="G1035" i="9"/>
  <c r="D1035" i="9"/>
  <c r="E1047" i="9"/>
  <c r="C1052" i="9"/>
  <c r="H1052" i="9"/>
  <c r="G1052" i="9"/>
  <c r="D1052" i="9"/>
  <c r="H1055" i="9"/>
  <c r="C1059" i="9"/>
  <c r="H1062" i="9"/>
  <c r="C1066" i="9"/>
  <c r="H1081" i="9"/>
  <c r="D1081" i="9"/>
  <c r="C1081" i="9"/>
  <c r="F1081" i="9"/>
  <c r="H1178" i="9"/>
  <c r="H1217" i="9"/>
  <c r="G1217" i="9"/>
  <c r="F1217" i="9"/>
  <c r="D1217" i="9"/>
  <c r="C1217" i="9"/>
  <c r="F1230" i="9"/>
  <c r="D1230" i="9"/>
  <c r="E1239" i="9"/>
  <c r="H1274" i="9"/>
  <c r="E1288" i="9"/>
  <c r="H1288" i="9"/>
  <c r="F1288" i="9"/>
  <c r="C1288" i="9"/>
  <c r="G1288" i="9"/>
  <c r="D1296" i="9"/>
  <c r="H1338" i="9"/>
  <c r="G997" i="9"/>
  <c r="F997" i="9"/>
  <c r="C997" i="9"/>
  <c r="E1048" i="9"/>
  <c r="F1048" i="9"/>
  <c r="G1048" i="9"/>
  <c r="C1048" i="9"/>
  <c r="H1077" i="9"/>
  <c r="E1077" i="9"/>
  <c r="H1119" i="9"/>
  <c r="F1119" i="9"/>
  <c r="E1119" i="9"/>
  <c r="E1144" i="9"/>
  <c r="D1144" i="9"/>
  <c r="H1151" i="9"/>
  <c r="F1151" i="9"/>
  <c r="E1151" i="9"/>
  <c r="C1151" i="9"/>
  <c r="G1222" i="9"/>
  <c r="C1222" i="9"/>
  <c r="D1222" i="9"/>
  <c r="F1222" i="9"/>
  <c r="E1222" i="9"/>
  <c r="E1240" i="9"/>
  <c r="H1240" i="9"/>
  <c r="G1240" i="9"/>
  <c r="F1240" i="9"/>
  <c r="D1240" i="9"/>
  <c r="C1240" i="9"/>
  <c r="G1382" i="9"/>
  <c r="H1382" i="9"/>
  <c r="F1382" i="9"/>
  <c r="D1382" i="9"/>
  <c r="C994" i="9"/>
  <c r="F994" i="9"/>
  <c r="G1011" i="9"/>
  <c r="F1011" i="9"/>
  <c r="C1011" i="9"/>
  <c r="D1031" i="9"/>
  <c r="F1031" i="9"/>
  <c r="C1031" i="9"/>
  <c r="H1078" i="9"/>
  <c r="E1078" i="9"/>
  <c r="D1078" i="9"/>
  <c r="G1078" i="9"/>
  <c r="H1175" i="9"/>
  <c r="G1175" i="9"/>
  <c r="D1241" i="9"/>
  <c r="C1241" i="9"/>
  <c r="H1269" i="9"/>
  <c r="E1269" i="9"/>
  <c r="C1269" i="9"/>
  <c r="H1282" i="9"/>
  <c r="G1282" i="9"/>
  <c r="E1349" i="9"/>
  <c r="H1349" i="9"/>
  <c r="G1349" i="9"/>
  <c r="D1349" i="9"/>
  <c r="C1349" i="9"/>
  <c r="E977" i="9"/>
  <c r="D996" i="9"/>
  <c r="E1001" i="9"/>
  <c r="E1014" i="9"/>
  <c r="D1021" i="9"/>
  <c r="E1028" i="9"/>
  <c r="F1038" i="9"/>
  <c r="H1045" i="9"/>
  <c r="F1060" i="9"/>
  <c r="E1068" i="9"/>
  <c r="E1073" i="9"/>
  <c r="D1076" i="9"/>
  <c r="F1120" i="9"/>
  <c r="H1120" i="9"/>
  <c r="D1124" i="9"/>
  <c r="G1141" i="9"/>
  <c r="E1160" i="9"/>
  <c r="E1163" i="9"/>
  <c r="D1167" i="9"/>
  <c r="H1176" i="9"/>
  <c r="E1184" i="9"/>
  <c r="H1188" i="9"/>
  <c r="D1192" i="9"/>
  <c r="H1194" i="9"/>
  <c r="F1213" i="9"/>
  <c r="E1248" i="9"/>
  <c r="H1252" i="9"/>
  <c r="D1252" i="9"/>
  <c r="G1258" i="9"/>
  <c r="D1280" i="9"/>
  <c r="E1285" i="9"/>
  <c r="D1289" i="9"/>
  <c r="F1309" i="9"/>
  <c r="D1313" i="9"/>
  <c r="C1371" i="9"/>
  <c r="H1371" i="9"/>
  <c r="F1371" i="9"/>
  <c r="E1371" i="9"/>
  <c r="E1380" i="9"/>
  <c r="H1380" i="9"/>
  <c r="F1380" i="9"/>
  <c r="D1391" i="9"/>
  <c r="G1391" i="9"/>
  <c r="C1391" i="9"/>
  <c r="F1405" i="9"/>
  <c r="D1405" i="9"/>
  <c r="H1405" i="9"/>
  <c r="F1414" i="9"/>
  <c r="G1439" i="9"/>
  <c r="E1439" i="9"/>
  <c r="H1435" i="9"/>
  <c r="F1435" i="9"/>
  <c r="E1435" i="9"/>
  <c r="F1557" i="9"/>
  <c r="C1557" i="9"/>
  <c r="G977" i="9"/>
  <c r="G1001" i="9"/>
  <c r="G1014" i="9"/>
  <c r="F1044" i="9"/>
  <c r="E1044" i="9"/>
  <c r="F1076" i="9"/>
  <c r="F1124" i="9"/>
  <c r="C1249" i="9"/>
  <c r="D1249" i="9"/>
  <c r="F1289" i="9"/>
  <c r="F1305" i="9"/>
  <c r="D1305" i="9"/>
  <c r="C1305" i="9"/>
  <c r="H1305" i="9"/>
  <c r="D1376" i="9"/>
  <c r="F1376" i="9"/>
  <c r="D1551" i="9"/>
  <c r="G1551" i="9"/>
  <c r="E1180" i="9"/>
  <c r="C1180" i="9"/>
  <c r="F1198" i="9"/>
  <c r="G1198" i="9"/>
  <c r="F1204" i="9"/>
  <c r="G1204" i="9"/>
  <c r="H1281" i="9"/>
  <c r="E1281" i="9"/>
  <c r="E1297" i="9"/>
  <c r="G1297" i="9"/>
  <c r="F1297" i="9"/>
  <c r="H1297" i="9"/>
  <c r="H1327" i="9"/>
  <c r="E1327" i="9"/>
  <c r="D1327" i="9"/>
  <c r="H1388" i="9"/>
  <c r="G1388" i="9"/>
  <c r="E1428" i="9"/>
  <c r="H1428" i="9"/>
  <c r="G1428" i="9"/>
  <c r="F1428" i="9"/>
  <c r="D1129" i="9"/>
  <c r="D1155" i="9"/>
  <c r="D1159" i="9"/>
  <c r="F1180" i="9"/>
  <c r="D1193" i="9"/>
  <c r="D1198" i="9"/>
  <c r="D1221" i="9"/>
  <c r="C1227" i="9"/>
  <c r="E1227" i="9"/>
  <c r="D1234" i="9"/>
  <c r="D1297" i="9"/>
  <c r="F1327" i="9"/>
  <c r="E1357" i="9"/>
  <c r="F1365" i="9"/>
  <c r="D1365" i="9"/>
  <c r="C1365" i="9"/>
  <c r="F1389" i="9"/>
  <c r="H1389" i="9"/>
  <c r="F1402" i="9"/>
  <c r="H1402" i="9"/>
  <c r="D1402" i="9"/>
  <c r="G1402" i="9"/>
  <c r="C1402" i="9"/>
  <c r="F1413" i="9"/>
  <c r="C1413" i="9"/>
  <c r="D1413" i="9"/>
  <c r="D1424" i="9"/>
  <c r="E1424" i="9"/>
  <c r="H1424" i="9"/>
  <c r="D1428" i="9"/>
  <c r="F1437" i="9"/>
  <c r="C1057" i="9"/>
  <c r="C1064" i="9"/>
  <c r="F1067" i="9"/>
  <c r="F1115" i="9"/>
  <c r="E1118" i="9"/>
  <c r="E1129" i="9"/>
  <c r="D1152" i="9"/>
  <c r="E1159" i="9"/>
  <c r="H1165" i="9"/>
  <c r="C1165" i="9"/>
  <c r="G1180" i="9"/>
  <c r="E1193" i="9"/>
  <c r="H1198" i="9"/>
  <c r="C1205" i="9"/>
  <c r="D1208" i="9"/>
  <c r="D1215" i="9"/>
  <c r="D1227" i="9"/>
  <c r="D1235" i="9"/>
  <c r="E1235" i="9"/>
  <c r="C1268" i="9"/>
  <c r="C1272" i="9"/>
  <c r="D1278" i="9"/>
  <c r="F1287" i="9"/>
  <c r="E1291" i="9"/>
  <c r="D1291" i="9"/>
  <c r="C1291" i="9"/>
  <c r="E1312" i="9"/>
  <c r="H1312" i="9"/>
  <c r="G1312" i="9"/>
  <c r="G1327" i="9"/>
  <c r="D1333" i="9"/>
  <c r="D1350" i="9"/>
  <c r="D1353" i="9"/>
  <c r="G1357" i="9"/>
  <c r="F1361" i="9"/>
  <c r="G1361" i="9"/>
  <c r="E1361" i="9"/>
  <c r="E1365" i="9"/>
  <c r="F1378" i="9"/>
  <c r="E1378" i="9"/>
  <c r="D1378" i="9"/>
  <c r="C1378" i="9"/>
  <c r="C1389" i="9"/>
  <c r="E1402" i="9"/>
  <c r="E1413" i="9"/>
  <c r="F1424" i="9"/>
  <c r="E1432" i="9"/>
  <c r="F1432" i="9"/>
  <c r="E1459" i="9"/>
  <c r="H1459" i="9"/>
  <c r="G1459" i="9"/>
  <c r="D1459" i="9"/>
  <c r="C1459" i="9"/>
  <c r="F1459" i="9"/>
  <c r="C1369" i="9"/>
  <c r="F1369" i="9"/>
  <c r="D1369" i="9"/>
  <c r="H1399" i="9"/>
  <c r="F1399" i="9"/>
  <c r="E1399" i="9"/>
  <c r="C1399" i="9"/>
  <c r="E1408" i="9"/>
  <c r="F1408" i="9"/>
  <c r="D1408" i="9"/>
  <c r="E1421" i="9"/>
  <c r="G1421" i="9"/>
  <c r="F1421" i="9"/>
  <c r="F1354" i="9"/>
  <c r="G1354" i="9"/>
  <c r="H1354" i="9"/>
  <c r="H1358" i="9"/>
  <c r="D1358" i="9"/>
  <c r="E1404" i="9"/>
  <c r="D1404" i="9"/>
  <c r="C1404" i="9"/>
  <c r="H1417" i="9"/>
  <c r="G1417" i="9"/>
  <c r="F1417" i="9"/>
  <c r="C1426" i="9"/>
  <c r="D1426" i="9"/>
  <c r="F1472" i="9"/>
  <c r="G1472" i="9"/>
  <c r="C1472" i="9"/>
  <c r="H1472" i="9"/>
  <c r="F963" i="9"/>
  <c r="E979" i="9"/>
  <c r="F990" i="9"/>
  <c r="E1003" i="9"/>
  <c r="F1025" i="9"/>
  <c r="F1040" i="9"/>
  <c r="F1057" i="9"/>
  <c r="G1064" i="9"/>
  <c r="E1083" i="9"/>
  <c r="C1089" i="9"/>
  <c r="E1089" i="9"/>
  <c r="F1105" i="9"/>
  <c r="F1112" i="9"/>
  <c r="E1147" i="9"/>
  <c r="E1150" i="9"/>
  <c r="F1150" i="9"/>
  <c r="G1156" i="9"/>
  <c r="H1162" i="9"/>
  <c r="G1196" i="9"/>
  <c r="F1205" i="9"/>
  <c r="E1216" i="9"/>
  <c r="D1216" i="9"/>
  <c r="C1216" i="9"/>
  <c r="F1254" i="9"/>
  <c r="D1254" i="9"/>
  <c r="G1268" i="9"/>
  <c r="G1272" i="9"/>
  <c r="G1333" i="9"/>
  <c r="E1339" i="9"/>
  <c r="F1339" i="9"/>
  <c r="D1339" i="9"/>
  <c r="E1348" i="9"/>
  <c r="F1348" i="9"/>
  <c r="G1350" i="9"/>
  <c r="C1354" i="9"/>
  <c r="G1369" i="9"/>
  <c r="C1374" i="9"/>
  <c r="G1374" i="9"/>
  <c r="F1374" i="9"/>
  <c r="C1395" i="9"/>
  <c r="D1395" i="9"/>
  <c r="G1395" i="9"/>
  <c r="E1395" i="9"/>
  <c r="G1399" i="9"/>
  <c r="F1404" i="9"/>
  <c r="G1408" i="9"/>
  <c r="C1414" i="9"/>
  <c r="C1417" i="9"/>
  <c r="D1421" i="9"/>
  <c r="E1426" i="9"/>
  <c r="H1057" i="9"/>
  <c r="H1064" i="9"/>
  <c r="F1084" i="9"/>
  <c r="G1084" i="9"/>
  <c r="E1192" i="9"/>
  <c r="G1192" i="9"/>
  <c r="E1213" i="9"/>
  <c r="C1213" i="9"/>
  <c r="H1268" i="9"/>
  <c r="H1272" i="9"/>
  <c r="G1280" i="9"/>
  <c r="E1280" i="9"/>
  <c r="F1285" i="9"/>
  <c r="C1285" i="9"/>
  <c r="E1309" i="9"/>
  <c r="D1309" i="9"/>
  <c r="H1313" i="9"/>
  <c r="G1313" i="9"/>
  <c r="H1333" i="9"/>
  <c r="F1355" i="9"/>
  <c r="E1355" i="9"/>
  <c r="D1400" i="9"/>
  <c r="F1400" i="9"/>
  <c r="H1400" i="9"/>
  <c r="G1404" i="9"/>
  <c r="D1417" i="9"/>
  <c r="G1426" i="9"/>
  <c r="H1231" i="9"/>
  <c r="F1231" i="9"/>
  <c r="E1351" i="9"/>
  <c r="F1351" i="9"/>
  <c r="C1419" i="9"/>
  <c r="D1419" i="9"/>
  <c r="G1430" i="9"/>
  <c r="H1430" i="9"/>
  <c r="H1363" i="9"/>
  <c r="D1363" i="9"/>
  <c r="D1461" i="9"/>
  <c r="F1461" i="9"/>
  <c r="H1461" i="9"/>
  <c r="G1461" i="9"/>
  <c r="H1536" i="9"/>
  <c r="G1536" i="9"/>
  <c r="F1536" i="9"/>
  <c r="E1536" i="9"/>
  <c r="D1536" i="9"/>
  <c r="C1536" i="9"/>
  <c r="F1677" i="9"/>
  <c r="E1677" i="9"/>
  <c r="D1677" i="9"/>
  <c r="G1677" i="9"/>
  <c r="C1677" i="9"/>
  <c r="H1677" i="9"/>
  <c r="C1467" i="9"/>
  <c r="E1467" i="9"/>
  <c r="G1467" i="9"/>
  <c r="F1467" i="9"/>
  <c r="D1467" i="9"/>
  <c r="C1523" i="9"/>
  <c r="D1523" i="9"/>
  <c r="H1523" i="9"/>
  <c r="F1523" i="9"/>
  <c r="E1523" i="9"/>
  <c r="F1530" i="9"/>
  <c r="H1530" i="9"/>
  <c r="G1530" i="9"/>
  <c r="E1530" i="9"/>
  <c r="C1530" i="9"/>
  <c r="G1575" i="9"/>
  <c r="H1575" i="9"/>
  <c r="E1449" i="9"/>
  <c r="H1449" i="9"/>
  <c r="D1454" i="9"/>
  <c r="C1454" i="9"/>
  <c r="H1462" i="9"/>
  <c r="G1462" i="9"/>
  <c r="E1462" i="9"/>
  <c r="D1462" i="9"/>
  <c r="F1531" i="9"/>
  <c r="E1531" i="9"/>
  <c r="D1590" i="9"/>
  <c r="E1590" i="9"/>
  <c r="H1590" i="9"/>
  <c r="G1590" i="9"/>
  <c r="C1590" i="9"/>
  <c r="G1449" i="9"/>
  <c r="E1454" i="9"/>
  <c r="C1462" i="9"/>
  <c r="F1590" i="9"/>
  <c r="F1602" i="9"/>
  <c r="E1602" i="9"/>
  <c r="E1555" i="9"/>
  <c r="C1555" i="9"/>
  <c r="C1638" i="9"/>
  <c r="G1638" i="9"/>
  <c r="F1638" i="9"/>
  <c r="H1638" i="9"/>
  <c r="G1442" i="9"/>
  <c r="H1442" i="9"/>
  <c r="E1442" i="9"/>
  <c r="E1445" i="9"/>
  <c r="H1445" i="9"/>
  <c r="D1445" i="9"/>
  <c r="G1445" i="9"/>
  <c r="C1445" i="9"/>
  <c r="C1451" i="9"/>
  <c r="E1451" i="9"/>
  <c r="D1451" i="9"/>
  <c r="G1463" i="9"/>
  <c r="D1463" i="9"/>
  <c r="H1463" i="9"/>
  <c r="H1498" i="9"/>
  <c r="G1498" i="9"/>
  <c r="F1498" i="9"/>
  <c r="D1498" i="9"/>
  <c r="C1498" i="9"/>
  <c r="G1526" i="9"/>
  <c r="E1526" i="9"/>
  <c r="C1526" i="9"/>
  <c r="F1639" i="9"/>
  <c r="C1639" i="9"/>
  <c r="G1469" i="9"/>
  <c r="H1469" i="9"/>
  <c r="F1469" i="9"/>
  <c r="E1469" i="9"/>
  <c r="H1584" i="9"/>
  <c r="E1584" i="9"/>
  <c r="D1584" i="9"/>
  <c r="F1584" i="9"/>
  <c r="C1584" i="9"/>
  <c r="D1442" i="9"/>
  <c r="G1451" i="9"/>
  <c r="E1463" i="9"/>
  <c r="G1470" i="9"/>
  <c r="D1470" i="9"/>
  <c r="C1470" i="9"/>
  <c r="G1584" i="9"/>
  <c r="H1578" i="9"/>
  <c r="F1578" i="9"/>
  <c r="F1453" i="9"/>
  <c r="E1453" i="9"/>
  <c r="G1455" i="9"/>
  <c r="D1455" i="9"/>
  <c r="E1455" i="9"/>
  <c r="F1490" i="9"/>
  <c r="F1635" i="9"/>
  <c r="E1635" i="9"/>
  <c r="D1635" i="9"/>
  <c r="H1599" i="9"/>
  <c r="D1599" i="9"/>
  <c r="G1617" i="9"/>
  <c r="F1617" i="9"/>
  <c r="C1635" i="9"/>
  <c r="C1617" i="9"/>
  <c r="E1572" i="9"/>
  <c r="G1572" i="9"/>
  <c r="E1596" i="9"/>
  <c r="G1596" i="9"/>
  <c r="E1599" i="9"/>
  <c r="C1607" i="9"/>
  <c r="H1607" i="9"/>
  <c r="D1617" i="9"/>
  <c r="D1627" i="9"/>
  <c r="C1627" i="9"/>
  <c r="G1627" i="9"/>
  <c r="H1627" i="9"/>
  <c r="D1631" i="9"/>
  <c r="E1631" i="9"/>
  <c r="G1642" i="9"/>
  <c r="H1642" i="9"/>
  <c r="F1642" i="9"/>
  <c r="E1642" i="9"/>
  <c r="C1642" i="9"/>
  <c r="H1453" i="9"/>
  <c r="F1464" i="9"/>
  <c r="H1488" i="9"/>
  <c r="F1488" i="9"/>
  <c r="H1495" i="9"/>
  <c r="F1500" i="9"/>
  <c r="G1504" i="9"/>
  <c r="H1509" i="9"/>
  <c r="G1509" i="9"/>
  <c r="C1509" i="9"/>
  <c r="H1520" i="9"/>
  <c r="C1525" i="9"/>
  <c r="H1525" i="9"/>
  <c r="C1547" i="9"/>
  <c r="G1547" i="9"/>
  <c r="E1554" i="9"/>
  <c r="G1554" i="9"/>
  <c r="D1572" i="9"/>
  <c r="E1579" i="9"/>
  <c r="C1596" i="9"/>
  <c r="F1599" i="9"/>
  <c r="D1607" i="9"/>
  <c r="E1617" i="9"/>
  <c r="D1622" i="9"/>
  <c r="E1627" i="9"/>
  <c r="F1669" i="9"/>
  <c r="D1669" i="9"/>
  <c r="G1669" i="9"/>
  <c r="H1669" i="9"/>
  <c r="E1679" i="9"/>
  <c r="D1679" i="9"/>
  <c r="G1496" i="9"/>
  <c r="F1496" i="9"/>
  <c r="F1505" i="9"/>
  <c r="E1505" i="9"/>
  <c r="C1505" i="9"/>
  <c r="E1573" i="9"/>
  <c r="F1573" i="9"/>
  <c r="F1643" i="9"/>
  <c r="G1643" i="9"/>
  <c r="D1415" i="9"/>
  <c r="G1415" i="9"/>
  <c r="E1465" i="9"/>
  <c r="D1465" i="9"/>
  <c r="D1475" i="9"/>
  <c r="F1477" i="9"/>
  <c r="G1481" i="9"/>
  <c r="D1486" i="9"/>
  <c r="D1488" i="9"/>
  <c r="E1492" i="9"/>
  <c r="C1496" i="9"/>
  <c r="D1505" i="9"/>
  <c r="F1513" i="9"/>
  <c r="F1521" i="9"/>
  <c r="E1525" i="9"/>
  <c r="E1528" i="9"/>
  <c r="F1532" i="9"/>
  <c r="D1539" i="9"/>
  <c r="E1547" i="9"/>
  <c r="D1554" i="9"/>
  <c r="F1564" i="9"/>
  <c r="C1573" i="9"/>
  <c r="F1596" i="9"/>
  <c r="G1607" i="9"/>
  <c r="D1613" i="9"/>
  <c r="C1643" i="9"/>
  <c r="H1647" i="9"/>
  <c r="C1647" i="9"/>
  <c r="H1337" i="9"/>
  <c r="C1337" i="9"/>
  <c r="C1415" i="9"/>
  <c r="D1440" i="9"/>
  <c r="F1440" i="9"/>
  <c r="C1457" i="9"/>
  <c r="C1465" i="9"/>
  <c r="E1473" i="9"/>
  <c r="E1475" i="9"/>
  <c r="E1486" i="9"/>
  <c r="E1488" i="9"/>
  <c r="H1496" i="9"/>
  <c r="G1502" i="9"/>
  <c r="E1502" i="9"/>
  <c r="G1505" i="9"/>
  <c r="G1521" i="9"/>
  <c r="F1525" i="9"/>
  <c r="H1528" i="9"/>
  <c r="F1547" i="9"/>
  <c r="E1550" i="9"/>
  <c r="G1550" i="9"/>
  <c r="D1550" i="9"/>
  <c r="F1554" i="9"/>
  <c r="G1564" i="9"/>
  <c r="D1573" i="9"/>
  <c r="H1596" i="9"/>
  <c r="D1643" i="9"/>
  <c r="E1647" i="9"/>
  <c r="H1505" i="9"/>
  <c r="G1525" i="9"/>
  <c r="H1547" i="9"/>
  <c r="H1554" i="9"/>
  <c r="G1573" i="9"/>
  <c r="H1593" i="9"/>
  <c r="D1593" i="9"/>
  <c r="G1593" i="9"/>
  <c r="G1597" i="9"/>
  <c r="E1597" i="9"/>
  <c r="E1643" i="9"/>
  <c r="F1647" i="9"/>
  <c r="H1614" i="9"/>
  <c r="D1614" i="9"/>
  <c r="C1614" i="9"/>
  <c r="E1649" i="9"/>
  <c r="D1649" i="9"/>
  <c r="F1653" i="9"/>
  <c r="E1653" i="9"/>
  <c r="E1628" i="9"/>
  <c r="C1628" i="9"/>
  <c r="G1649" i="9"/>
  <c r="C1653" i="9"/>
  <c r="D1688" i="9"/>
  <c r="C1688" i="9"/>
  <c r="H1688" i="9"/>
  <c r="F1691" i="9"/>
  <c r="H1691" i="9"/>
  <c r="G1691" i="9"/>
  <c r="E1691" i="9"/>
  <c r="E1704" i="9"/>
  <c r="H1704" i="9"/>
  <c r="G1704" i="9"/>
  <c r="C1704" i="9"/>
  <c r="F1484" i="9"/>
  <c r="H1484" i="9"/>
  <c r="C1527" i="9"/>
  <c r="F1527" i="9"/>
  <c r="F1552" i="9"/>
  <c r="H1552" i="9"/>
  <c r="H1624" i="9"/>
  <c r="F1624" i="9"/>
  <c r="D1624" i="9"/>
  <c r="H1650" i="9"/>
  <c r="D1650" i="9"/>
  <c r="C1650" i="9"/>
  <c r="H1653" i="9"/>
  <c r="D1664" i="9"/>
  <c r="C1664" i="9"/>
  <c r="H1664" i="9"/>
  <c r="D1683" i="9"/>
  <c r="G1688" i="9"/>
  <c r="E1692" i="9"/>
  <c r="G1692" i="9"/>
  <c r="D1692" i="9"/>
  <c r="C1634" i="9"/>
  <c r="D1634" i="9"/>
  <c r="G1654" i="9"/>
  <c r="E1654" i="9"/>
  <c r="D1654" i="9"/>
  <c r="F1667" i="9"/>
  <c r="G1667" i="9"/>
  <c r="E1667" i="9"/>
  <c r="D1667" i="9"/>
  <c r="E1676" i="9"/>
  <c r="C1676" i="9"/>
  <c r="E1752" i="9"/>
  <c r="G1752" i="9"/>
  <c r="F1752" i="9"/>
  <c r="D1752" i="9"/>
  <c r="C1752" i="9"/>
  <c r="E1716" i="9"/>
  <c r="G1716" i="9"/>
  <c r="F1716" i="9"/>
  <c r="D1716" i="9"/>
  <c r="H1712" i="9"/>
  <c r="G1712" i="9"/>
  <c r="F1712" i="9"/>
  <c r="E1712" i="9"/>
  <c r="D1712" i="9"/>
  <c r="C1712" i="9"/>
  <c r="G1729" i="9"/>
  <c r="H1729" i="9"/>
  <c r="F1729" i="9"/>
  <c r="E1729" i="9"/>
  <c r="D1729" i="9"/>
  <c r="C1729" i="9"/>
  <c r="G1681" i="9"/>
  <c r="D1681" i="9"/>
  <c r="C1681" i="9"/>
  <c r="D1756" i="9"/>
  <c r="H1756" i="9"/>
  <c r="F1756" i="9"/>
  <c r="E1756" i="9"/>
  <c r="H1548" i="9"/>
  <c r="E1548" i="9"/>
  <c r="H1560" i="9"/>
  <c r="G1560" i="9"/>
  <c r="H1618" i="9"/>
  <c r="E1618" i="9"/>
  <c r="H1623" i="9"/>
  <c r="C1623" i="9"/>
  <c r="D1636" i="9"/>
  <c r="G1636" i="9"/>
  <c r="F1681" i="9"/>
  <c r="G1702" i="9"/>
  <c r="H1702" i="9"/>
  <c r="E1702" i="9"/>
  <c r="D1702" i="9"/>
  <c r="C1702" i="9"/>
  <c r="H1713" i="9"/>
  <c r="D1734" i="9"/>
  <c r="C1743" i="9"/>
  <c r="D1748" i="9"/>
  <c r="C1750" i="9"/>
  <c r="H1612" i="9"/>
  <c r="C1675" i="9"/>
  <c r="D1682" i="9"/>
  <c r="E1708" i="9"/>
  <c r="E1734" i="9"/>
  <c r="C1737" i="9"/>
  <c r="C1739" i="9"/>
  <c r="C1741" i="9"/>
  <c r="D1743" i="9"/>
  <c r="D1746" i="9"/>
  <c r="E1748" i="9"/>
  <c r="E1750" i="9"/>
  <c r="E1675" i="9"/>
  <c r="F1682" i="9"/>
  <c r="F1708" i="9"/>
  <c r="G1734" i="9"/>
  <c r="D1737" i="9"/>
  <c r="D1739" i="9"/>
  <c r="D1741" i="9"/>
  <c r="G1748" i="9"/>
  <c r="F1750" i="9"/>
  <c r="H1734" i="9"/>
  <c r="H1748" i="9"/>
  <c r="C1717" i="9"/>
  <c r="D1744" i="9"/>
  <c r="E1753" i="9"/>
  <c r="C1758" i="9"/>
  <c r="C1715" i="9"/>
  <c r="D1717" i="9"/>
  <c r="G1730" i="9"/>
  <c r="G1737" i="9"/>
  <c r="H1739" i="9"/>
  <c r="E1744" i="9"/>
  <c r="C1749" i="9"/>
  <c r="D1751" i="9"/>
  <c r="F1753" i="9"/>
  <c r="D1758" i="9"/>
  <c r="D1715" i="9"/>
  <c r="F1717" i="9"/>
  <c r="F1744" i="9"/>
  <c r="D1749" i="9"/>
  <c r="E1758" i="9"/>
  <c r="H1651" i="9"/>
  <c r="D1678" i="9"/>
  <c r="H1705" i="9"/>
  <c r="E1710" i="9"/>
  <c r="C1713" i="9"/>
  <c r="E1715" i="9"/>
  <c r="G1717" i="9"/>
  <c r="C1723" i="9"/>
  <c r="D1736" i="9"/>
  <c r="C1740" i="9"/>
  <c r="E1742" i="9"/>
  <c r="G1744" i="9"/>
  <c r="E1747" i="9"/>
  <c r="E1749" i="9"/>
  <c r="F1751" i="9"/>
  <c r="G1754" i="9"/>
  <c r="F1758" i="9"/>
  <c r="D1610" i="9"/>
  <c r="E1678" i="9"/>
  <c r="C1684" i="9"/>
  <c r="D1697" i="9"/>
  <c r="G1710" i="9"/>
  <c r="G1715" i="9"/>
  <c r="E1723" i="9"/>
  <c r="G1728" i="9"/>
  <c r="F1732" i="9"/>
  <c r="D1740" i="9"/>
  <c r="F1742" i="9"/>
  <c r="F1747" i="9"/>
  <c r="G1751" i="9"/>
  <c r="G1758" i="9"/>
  <c r="F6" i="9"/>
  <c r="E8" i="9"/>
  <c r="D10" i="9"/>
  <c r="C12" i="9"/>
  <c r="F17" i="9"/>
  <c r="F19" i="9"/>
  <c r="E21" i="9"/>
  <c r="C25" i="9"/>
  <c r="F30" i="9"/>
  <c r="E32" i="9"/>
  <c r="D34" i="9"/>
  <c r="D36" i="9"/>
  <c r="E38" i="9"/>
  <c r="C44" i="9"/>
  <c r="C46" i="9"/>
  <c r="C48" i="9"/>
  <c r="C50" i="9"/>
  <c r="H69" i="9"/>
  <c r="F77" i="9"/>
  <c r="G79" i="9"/>
  <c r="F83" i="9"/>
  <c r="G85" i="9"/>
  <c r="G87" i="9"/>
  <c r="F93" i="9"/>
  <c r="F95" i="9"/>
  <c r="F97" i="9"/>
  <c r="F99" i="9"/>
  <c r="F103" i="9"/>
  <c r="F107" i="9"/>
  <c r="H109" i="9"/>
  <c r="G120" i="9"/>
  <c r="F120" i="9"/>
  <c r="D127" i="9"/>
  <c r="G129" i="9"/>
  <c r="C134" i="9"/>
  <c r="D139" i="9"/>
  <c r="F139" i="9"/>
  <c r="C148" i="9"/>
  <c r="C153" i="9"/>
  <c r="G155" i="9"/>
  <c r="H155" i="9"/>
  <c r="C155" i="9"/>
  <c r="C163" i="9"/>
  <c r="G244" i="9"/>
  <c r="D244" i="9"/>
  <c r="H244" i="9"/>
  <c r="F244" i="9"/>
  <c r="E244" i="9"/>
  <c r="C244" i="9"/>
  <c r="D283" i="9"/>
  <c r="F283" i="9"/>
  <c r="H283" i="9"/>
  <c r="G283" i="9"/>
  <c r="E283" i="9"/>
  <c r="C283" i="9"/>
  <c r="D12" i="9"/>
  <c r="D25" i="9"/>
  <c r="D44" i="9"/>
  <c r="D46" i="9"/>
  <c r="D48" i="9"/>
  <c r="E50" i="9"/>
  <c r="H70" i="9"/>
  <c r="G70" i="9"/>
  <c r="F72" i="9"/>
  <c r="G72" i="9"/>
  <c r="D74" i="9"/>
  <c r="F74" i="9"/>
  <c r="H77" i="9"/>
  <c r="H79" i="9"/>
  <c r="H83" i="9"/>
  <c r="H85" i="9"/>
  <c r="H87" i="9"/>
  <c r="G95" i="9"/>
  <c r="G97" i="9"/>
  <c r="G99" i="9"/>
  <c r="H107" i="9"/>
  <c r="D110" i="9"/>
  <c r="E110" i="9"/>
  <c r="H129" i="9"/>
  <c r="D134" i="9"/>
  <c r="F146" i="9"/>
  <c r="E146" i="9"/>
  <c r="D148" i="9"/>
  <c r="D153" i="9"/>
  <c r="G158" i="9"/>
  <c r="E158" i="9"/>
  <c r="F163" i="9"/>
  <c r="G168" i="9"/>
  <c r="F168" i="9"/>
  <c r="D168" i="9"/>
  <c r="H181" i="9"/>
  <c r="F181" i="9"/>
  <c r="D181" i="9"/>
  <c r="C184" i="9"/>
  <c r="G184" i="9"/>
  <c r="D184" i="9"/>
  <c r="H184" i="9"/>
  <c r="E192" i="9"/>
  <c r="H192" i="9"/>
  <c r="F192" i="9"/>
  <c r="C192" i="9"/>
  <c r="C256" i="9"/>
  <c r="G256" i="9"/>
  <c r="E256" i="9"/>
  <c r="H256" i="9"/>
  <c r="F256" i="9"/>
  <c r="D256" i="9"/>
  <c r="G262" i="9"/>
  <c r="F262" i="9"/>
  <c r="D262" i="9"/>
  <c r="H262" i="9"/>
  <c r="E262" i="9"/>
  <c r="E12" i="9"/>
  <c r="E25" i="9"/>
  <c r="H30" i="9"/>
  <c r="E44" i="9"/>
  <c r="E46" i="9"/>
  <c r="E48" i="9"/>
  <c r="G50" i="9"/>
  <c r="C68" i="9"/>
  <c r="C70" i="9"/>
  <c r="C72" i="9"/>
  <c r="C74" i="9"/>
  <c r="H95" i="9"/>
  <c r="H97" i="9"/>
  <c r="H99" i="9"/>
  <c r="F108" i="9"/>
  <c r="E108" i="9"/>
  <c r="C110" i="9"/>
  <c r="C116" i="9"/>
  <c r="C132" i="9"/>
  <c r="E134" i="9"/>
  <c r="E137" i="9"/>
  <c r="F137" i="9"/>
  <c r="C146" i="9"/>
  <c r="C151" i="9"/>
  <c r="F153" i="9"/>
  <c r="C158" i="9"/>
  <c r="E161" i="9"/>
  <c r="D161" i="9"/>
  <c r="G163" i="9"/>
  <c r="C168" i="9"/>
  <c r="H171" i="9"/>
  <c r="C171" i="9"/>
  <c r="D171" i="9"/>
  <c r="C181" i="9"/>
  <c r="E184" i="9"/>
  <c r="D192" i="9"/>
  <c r="H207" i="9"/>
  <c r="G207" i="9"/>
  <c r="E207" i="9"/>
  <c r="C207" i="9"/>
  <c r="C262" i="9"/>
  <c r="C5" i="9"/>
  <c r="G12" i="9"/>
  <c r="C18" i="9"/>
  <c r="F25" i="9"/>
  <c r="C29" i="9"/>
  <c r="F44" i="9"/>
  <c r="D68" i="9"/>
  <c r="D70" i="9"/>
  <c r="D72" i="9"/>
  <c r="E74" i="9"/>
  <c r="D78" i="9"/>
  <c r="C82" i="9"/>
  <c r="C84" i="9"/>
  <c r="C86" i="9"/>
  <c r="C90" i="9"/>
  <c r="H94" i="9"/>
  <c r="G94" i="9"/>
  <c r="F96" i="9"/>
  <c r="G96" i="9"/>
  <c r="D98" i="9"/>
  <c r="F98" i="9"/>
  <c r="H106" i="9"/>
  <c r="F106" i="9"/>
  <c r="C108" i="9"/>
  <c r="F110" i="9"/>
  <c r="D116" i="9"/>
  <c r="C123" i="9"/>
  <c r="F123" i="9"/>
  <c r="D132" i="9"/>
  <c r="G134" i="9"/>
  <c r="C137" i="9"/>
  <c r="G144" i="9"/>
  <c r="E144" i="9"/>
  <c r="D146" i="9"/>
  <c r="D151" i="9"/>
  <c r="G153" i="9"/>
  <c r="D158" i="9"/>
  <c r="C161" i="9"/>
  <c r="E168" i="9"/>
  <c r="E171" i="9"/>
  <c r="F179" i="9"/>
  <c r="D179" i="9"/>
  <c r="E181" i="9"/>
  <c r="F184" i="9"/>
  <c r="G192" i="9"/>
  <c r="D207" i="9"/>
  <c r="D5" i="9"/>
  <c r="C7" i="9"/>
  <c r="H12" i="9"/>
  <c r="D18" i="9"/>
  <c r="C20" i="9"/>
  <c r="G25" i="9"/>
  <c r="D29" i="9"/>
  <c r="C31" i="9"/>
  <c r="G44" i="9"/>
  <c r="E68" i="9"/>
  <c r="E70" i="9"/>
  <c r="E72" i="9"/>
  <c r="G74" i="9"/>
  <c r="E78" i="9"/>
  <c r="D82" i="9"/>
  <c r="D84" i="9"/>
  <c r="E86" i="9"/>
  <c r="D90" i="9"/>
  <c r="C92" i="9"/>
  <c r="C94" i="9"/>
  <c r="C96" i="9"/>
  <c r="C98" i="9"/>
  <c r="C102" i="9"/>
  <c r="H102" i="9"/>
  <c r="C106" i="9"/>
  <c r="D108" i="9"/>
  <c r="G110" i="9"/>
  <c r="E116" i="9"/>
  <c r="D123" i="9"/>
  <c r="D128" i="9"/>
  <c r="C128" i="9"/>
  <c r="H128" i="9"/>
  <c r="E132" i="9"/>
  <c r="H134" i="9"/>
  <c r="D137" i="9"/>
  <c r="C144" i="9"/>
  <c r="G146" i="9"/>
  <c r="C149" i="9"/>
  <c r="F151" i="9"/>
  <c r="H153" i="9"/>
  <c r="G156" i="9"/>
  <c r="E156" i="9"/>
  <c r="F158" i="9"/>
  <c r="F161" i="9"/>
  <c r="D164" i="9"/>
  <c r="H164" i="9"/>
  <c r="F164" i="9"/>
  <c r="H168" i="9"/>
  <c r="F171" i="9"/>
  <c r="H174" i="9"/>
  <c r="E174" i="9"/>
  <c r="F174" i="9"/>
  <c r="C179" i="9"/>
  <c r="G181" i="9"/>
  <c r="F185" i="9"/>
  <c r="G185" i="9"/>
  <c r="C185" i="9"/>
  <c r="F207" i="9"/>
  <c r="H231" i="9"/>
  <c r="G231" i="9"/>
  <c r="F231" i="9"/>
  <c r="C231" i="9"/>
  <c r="E231" i="9"/>
  <c r="H260" i="9"/>
  <c r="F260" i="9"/>
  <c r="G260" i="9"/>
  <c r="E260" i="9"/>
  <c r="D260" i="9"/>
  <c r="C135" i="9"/>
  <c r="F135" i="9"/>
  <c r="E135" i="9"/>
  <c r="G196" i="9"/>
  <c r="H196" i="9"/>
  <c r="F196" i="9"/>
  <c r="D196" i="9"/>
  <c r="C218" i="9"/>
  <c r="H218" i="9"/>
  <c r="G218" i="9"/>
  <c r="D218" i="9"/>
  <c r="F218" i="9"/>
  <c r="E218" i="9"/>
  <c r="E121" i="9"/>
  <c r="F121" i="9"/>
  <c r="D140" i="9"/>
  <c r="G140" i="9"/>
  <c r="E169" i="9"/>
  <c r="C169" i="9"/>
  <c r="C182" i="9"/>
  <c r="D182" i="9"/>
  <c r="F182" i="9"/>
  <c r="E182" i="9"/>
  <c r="G190" i="9"/>
  <c r="F190" i="9"/>
  <c r="D190" i="9"/>
  <c r="F5" i="9"/>
  <c r="F7" i="9"/>
  <c r="E9" i="9"/>
  <c r="D11" i="9"/>
  <c r="C13" i="9"/>
  <c r="F18" i="9"/>
  <c r="E20" i="9"/>
  <c r="D22" i="9"/>
  <c r="C24" i="9"/>
  <c r="F29" i="9"/>
  <c r="F31" i="9"/>
  <c r="E33" i="9"/>
  <c r="D35" i="9"/>
  <c r="D37" i="9"/>
  <c r="D39" i="9"/>
  <c r="D41" i="9"/>
  <c r="D45" i="9"/>
  <c r="D47" i="9"/>
  <c r="D49" i="9"/>
  <c r="D51" i="9"/>
  <c r="G68" i="9"/>
  <c r="G78" i="9"/>
  <c r="F82" i="9"/>
  <c r="G84" i="9"/>
  <c r="G86" i="9"/>
  <c r="E92" i="9"/>
  <c r="E94" i="9"/>
  <c r="E96" i="9"/>
  <c r="G98" i="9"/>
  <c r="E102" i="9"/>
  <c r="E106" i="9"/>
  <c r="H108" i="9"/>
  <c r="G116" i="9"/>
  <c r="C121" i="9"/>
  <c r="G123" i="9"/>
  <c r="F126" i="9"/>
  <c r="D126" i="9"/>
  <c r="H126" i="9"/>
  <c r="F128" i="9"/>
  <c r="H132" i="9"/>
  <c r="D135" i="9"/>
  <c r="H137" i="9"/>
  <c r="C140" i="9"/>
  <c r="F144" i="9"/>
  <c r="C147" i="9"/>
  <c r="E147" i="9"/>
  <c r="F149" i="9"/>
  <c r="H151" i="9"/>
  <c r="D156" i="9"/>
  <c r="C159" i="9"/>
  <c r="F159" i="9"/>
  <c r="D159" i="9"/>
  <c r="H161" i="9"/>
  <c r="E164" i="9"/>
  <c r="D169" i="9"/>
  <c r="F172" i="9"/>
  <c r="H172" i="9"/>
  <c r="E172" i="9"/>
  <c r="D174" i="9"/>
  <c r="G179" i="9"/>
  <c r="G182" i="9"/>
  <c r="E185" i="9"/>
  <c r="H188" i="9"/>
  <c r="F188" i="9"/>
  <c r="G188" i="9"/>
  <c r="C190" i="9"/>
  <c r="C196" i="9"/>
  <c r="G65" i="9"/>
  <c r="C65" i="9"/>
  <c r="G113" i="9"/>
  <c r="C113" i="9"/>
  <c r="C117" i="9"/>
  <c r="G117" i="9"/>
  <c r="G119" i="9"/>
  <c r="E119" i="9"/>
  <c r="D121" i="9"/>
  <c r="E133" i="9"/>
  <c r="G133" i="9"/>
  <c r="D133" i="9"/>
  <c r="G135" i="9"/>
  <c r="F138" i="9"/>
  <c r="G138" i="9"/>
  <c r="E140" i="9"/>
  <c r="D152" i="9"/>
  <c r="C152" i="9"/>
  <c r="G152" i="9"/>
  <c r="F162" i="9"/>
  <c r="H162" i="9"/>
  <c r="E162" i="9"/>
  <c r="F169" i="9"/>
  <c r="H182" i="9"/>
  <c r="E190" i="9"/>
  <c r="E196" i="9"/>
  <c r="F246" i="9"/>
  <c r="H246" i="9"/>
  <c r="D246" i="9"/>
  <c r="G246" i="9"/>
  <c r="E246" i="9"/>
  <c r="F270" i="9"/>
  <c r="H270" i="9"/>
  <c r="G270" i="9"/>
  <c r="E270" i="9"/>
  <c r="D270" i="9"/>
  <c r="C270" i="9"/>
  <c r="G41" i="9"/>
  <c r="C41" i="9"/>
  <c r="C57" i="9"/>
  <c r="H57" i="9"/>
  <c r="E13" i="9"/>
  <c r="D69" i="9"/>
  <c r="C109" i="9"/>
  <c r="D113" i="9"/>
  <c r="D117" i="9"/>
  <c r="C119" i="9"/>
  <c r="G121" i="9"/>
  <c r="H124" i="9"/>
  <c r="E124" i="9"/>
  <c r="G124" i="9"/>
  <c r="C133" i="9"/>
  <c r="H135" i="9"/>
  <c r="C138" i="9"/>
  <c r="F140" i="9"/>
  <c r="E145" i="9"/>
  <c r="D145" i="9"/>
  <c r="E152" i="9"/>
  <c r="C162" i="9"/>
  <c r="C165" i="9"/>
  <c r="E165" i="9"/>
  <c r="G167" i="9"/>
  <c r="C167" i="9"/>
  <c r="G169" i="9"/>
  <c r="H190" i="9"/>
  <c r="G202" i="9"/>
  <c r="C202" i="9"/>
  <c r="E202" i="9"/>
  <c r="H202" i="9"/>
  <c r="F202" i="9"/>
  <c r="F41" i="9"/>
  <c r="D57" i="9"/>
  <c r="D65" i="9"/>
  <c r="C6" i="9"/>
  <c r="H9" i="9"/>
  <c r="G11" i="9"/>
  <c r="F13" i="9"/>
  <c r="C17" i="9"/>
  <c r="G22" i="9"/>
  <c r="G24" i="9"/>
  <c r="C30" i="9"/>
  <c r="H33" i="9"/>
  <c r="H35" i="9"/>
  <c r="H37" i="9"/>
  <c r="H39" i="9"/>
  <c r="H41" i="9"/>
  <c r="G45" i="9"/>
  <c r="G47" i="9"/>
  <c r="G49" i="9"/>
  <c r="G51" i="9"/>
  <c r="E57" i="9"/>
  <c r="E65" i="9"/>
  <c r="E69" i="9"/>
  <c r="C77" i="9"/>
  <c r="C79" i="9"/>
  <c r="C81" i="9"/>
  <c r="H81" i="9"/>
  <c r="C83" i="9"/>
  <c r="C85" i="9"/>
  <c r="C87" i="9"/>
  <c r="G89" i="9"/>
  <c r="C89" i="9"/>
  <c r="C95" i="9"/>
  <c r="C97" i="9"/>
  <c r="C99" i="9"/>
  <c r="C107" i="9"/>
  <c r="D109" i="9"/>
  <c r="E113" i="9"/>
  <c r="E117" i="9"/>
  <c r="D119" i="9"/>
  <c r="H121" i="9"/>
  <c r="C124" i="9"/>
  <c r="C129" i="9"/>
  <c r="G131" i="9"/>
  <c r="H131" i="9"/>
  <c r="D131" i="9"/>
  <c r="F133" i="9"/>
  <c r="H136" i="9"/>
  <c r="F136" i="9"/>
  <c r="D138" i="9"/>
  <c r="H140" i="9"/>
  <c r="C145" i="9"/>
  <c r="F150" i="9"/>
  <c r="D150" i="9"/>
  <c r="G150" i="9"/>
  <c r="F152" i="9"/>
  <c r="E157" i="9"/>
  <c r="G157" i="9"/>
  <c r="C157" i="9"/>
  <c r="D162" i="9"/>
  <c r="D165" i="9"/>
  <c r="D167" i="9"/>
  <c r="H169" i="9"/>
  <c r="D202" i="9"/>
  <c r="D13" i="9"/>
  <c r="D24" i="9"/>
  <c r="E45" i="9"/>
  <c r="E24" i="9"/>
  <c r="F45" i="9"/>
  <c r="D17" i="9"/>
  <c r="C19" i="9"/>
  <c r="H24" i="9"/>
  <c r="H45" i="9"/>
  <c r="F57" i="9"/>
  <c r="F65" i="9"/>
  <c r="F69" i="9"/>
  <c r="D77" i="9"/>
  <c r="D79" i="9"/>
  <c r="D81" i="9"/>
  <c r="D83" i="9"/>
  <c r="D85" i="9"/>
  <c r="D87" i="9"/>
  <c r="D89" i="9"/>
  <c r="D93" i="9"/>
  <c r="C103" i="9"/>
  <c r="C105" i="9"/>
  <c r="H105" i="9"/>
  <c r="D107" i="9"/>
  <c r="E109" i="9"/>
  <c r="F113" i="9"/>
  <c r="F117" i="9"/>
  <c r="F119" i="9"/>
  <c r="F122" i="9"/>
  <c r="G122" i="9"/>
  <c r="D124" i="9"/>
  <c r="D129" i="9"/>
  <c r="C131" i="9"/>
  <c r="H133" i="9"/>
  <c r="C136" i="9"/>
  <c r="E138" i="9"/>
  <c r="C141" i="9"/>
  <c r="F141" i="9"/>
  <c r="G143" i="9"/>
  <c r="D143" i="9"/>
  <c r="F145" i="9"/>
  <c r="C150" i="9"/>
  <c r="H152" i="9"/>
  <c r="D157" i="9"/>
  <c r="H160" i="9"/>
  <c r="G160" i="9"/>
  <c r="E160" i="9"/>
  <c r="G162" i="9"/>
  <c r="F165" i="9"/>
  <c r="E167" i="9"/>
  <c r="F170" i="9"/>
  <c r="G170" i="9"/>
  <c r="D170" i="9"/>
  <c r="E200" i="9"/>
  <c r="G200" i="9"/>
  <c r="F200" i="9"/>
  <c r="D200" i="9"/>
  <c r="F203" i="9"/>
  <c r="D203" i="9"/>
  <c r="H203" i="9"/>
  <c r="E203" i="9"/>
  <c r="G226" i="9"/>
  <c r="C226" i="9"/>
  <c r="E226" i="9"/>
  <c r="F226" i="9"/>
  <c r="H226" i="9"/>
  <c r="D226" i="9"/>
  <c r="G238" i="9"/>
  <c r="F238" i="9"/>
  <c r="E238" i="9"/>
  <c r="D238" i="9"/>
  <c r="H46" i="9"/>
  <c r="G46" i="9"/>
  <c r="F48" i="9"/>
  <c r="G48" i="9"/>
  <c r="D50" i="9"/>
  <c r="F50" i="9"/>
  <c r="H148" i="9"/>
  <c r="E148" i="9"/>
  <c r="F148" i="9"/>
  <c r="D163" i="9"/>
  <c r="E163" i="9"/>
  <c r="C238" i="9"/>
  <c r="F175" i="9"/>
  <c r="D187" i="9"/>
  <c r="F187" i="9"/>
  <c r="H187" i="9"/>
  <c r="C187" i="9"/>
  <c r="F222" i="9"/>
  <c r="H222" i="9"/>
  <c r="E222" i="9"/>
  <c r="C222" i="9"/>
  <c r="G232" i="9"/>
  <c r="E251" i="9"/>
  <c r="F253" i="9"/>
  <c r="D266" i="9"/>
  <c r="D279" i="9"/>
  <c r="E296" i="9"/>
  <c r="G296" i="9"/>
  <c r="H296" i="9"/>
  <c r="D296" i="9"/>
  <c r="E304" i="9"/>
  <c r="H310" i="9"/>
  <c r="G364" i="9"/>
  <c r="H364" i="9"/>
  <c r="F364" i="9"/>
  <c r="D364" i="9"/>
  <c r="C364" i="9"/>
  <c r="C371" i="9"/>
  <c r="C230" i="9"/>
  <c r="D230" i="9"/>
  <c r="H230" i="9"/>
  <c r="H232" i="9"/>
  <c r="E264" i="9"/>
  <c r="H264" i="9"/>
  <c r="F264" i="9"/>
  <c r="E266" i="9"/>
  <c r="F304" i="9"/>
  <c r="G220" i="9"/>
  <c r="E220" i="9"/>
  <c r="C220" i="9"/>
  <c r="E230" i="9"/>
  <c r="D247" i="9"/>
  <c r="G247" i="9"/>
  <c r="G304" i="9"/>
  <c r="C332" i="9"/>
  <c r="H332" i="9"/>
  <c r="D332" i="9"/>
  <c r="F377" i="9"/>
  <c r="G377" i="9"/>
  <c r="H377" i="9"/>
  <c r="C377" i="9"/>
  <c r="D377" i="9"/>
  <c r="F401" i="9"/>
  <c r="G401" i="9"/>
  <c r="H401" i="9"/>
  <c r="E401" i="9"/>
  <c r="D401" i="9"/>
  <c r="C401" i="9"/>
  <c r="H205" i="9"/>
  <c r="F205" i="9"/>
  <c r="D205" i="9"/>
  <c r="D220" i="9"/>
  <c r="D223" i="9"/>
  <c r="C223" i="9"/>
  <c r="F230" i="9"/>
  <c r="C247" i="9"/>
  <c r="D264" i="9"/>
  <c r="E272" i="9"/>
  <c r="G272" i="9"/>
  <c r="G274" i="9"/>
  <c r="C274" i="9"/>
  <c r="E274" i="9"/>
  <c r="H277" i="9"/>
  <c r="G277" i="9"/>
  <c r="F277" i="9"/>
  <c r="D277" i="9"/>
  <c r="C287" i="9"/>
  <c r="E287" i="9"/>
  <c r="H287" i="9"/>
  <c r="C290" i="9"/>
  <c r="H290" i="9"/>
  <c r="G290" i="9"/>
  <c r="F290" i="9"/>
  <c r="E290" i="9"/>
  <c r="D290" i="9"/>
  <c r="H304" i="9"/>
  <c r="F198" i="9"/>
  <c r="H198" i="9"/>
  <c r="C215" i="9"/>
  <c r="E215" i="9"/>
  <c r="H215" i="9"/>
  <c r="F220" i="9"/>
  <c r="G230" i="9"/>
  <c r="E247" i="9"/>
  <c r="G264" i="9"/>
  <c r="D287" i="9"/>
  <c r="H291" i="9"/>
  <c r="C291" i="9"/>
  <c r="F294" i="9"/>
  <c r="H294" i="9"/>
  <c r="G294" i="9"/>
  <c r="E294" i="9"/>
  <c r="C294" i="9"/>
  <c r="C302" i="9"/>
  <c r="D302" i="9"/>
  <c r="H302" i="9"/>
  <c r="D343" i="9"/>
  <c r="C343" i="9"/>
  <c r="H343" i="9"/>
  <c r="E343" i="9"/>
  <c r="H349" i="9"/>
  <c r="F349" i="9"/>
  <c r="E349" i="9"/>
  <c r="D349" i="9"/>
  <c r="C349" i="9"/>
  <c r="D355" i="9"/>
  <c r="F355" i="9"/>
  <c r="H355" i="9"/>
  <c r="G355" i="9"/>
  <c r="E355" i="9"/>
  <c r="C355" i="9"/>
  <c r="H325" i="9"/>
  <c r="C325" i="9"/>
  <c r="D325" i="9"/>
  <c r="H356" i="9"/>
  <c r="F356" i="9"/>
  <c r="E356" i="9"/>
  <c r="D356" i="9"/>
  <c r="C356" i="9"/>
  <c r="C191" i="9"/>
  <c r="E191" i="9"/>
  <c r="D191" i="9"/>
  <c r="E198" i="9"/>
  <c r="C206" i="9"/>
  <c r="D206" i="9"/>
  <c r="E206" i="9"/>
  <c r="D211" i="9"/>
  <c r="F211" i="9"/>
  <c r="H211" i="9"/>
  <c r="G215" i="9"/>
  <c r="H223" i="9"/>
  <c r="F236" i="9"/>
  <c r="G268" i="9"/>
  <c r="H268" i="9"/>
  <c r="H272" i="9"/>
  <c r="H275" i="9"/>
  <c r="G275" i="9"/>
  <c r="F275" i="9"/>
  <c r="D275" i="9"/>
  <c r="F281" i="9"/>
  <c r="G281" i="9"/>
  <c r="H281" i="9"/>
  <c r="E288" i="9"/>
  <c r="G288" i="9"/>
  <c r="F288" i="9"/>
  <c r="D288" i="9"/>
  <c r="C288" i="9"/>
  <c r="F291" i="9"/>
  <c r="F302" i="9"/>
  <c r="E325" i="9"/>
  <c r="G343" i="9"/>
  <c r="G356" i="9"/>
  <c r="G394" i="9"/>
  <c r="C394" i="9"/>
  <c r="E394" i="9"/>
  <c r="D394" i="9"/>
  <c r="H394" i="9"/>
  <c r="F394" i="9"/>
  <c r="F209" i="9"/>
  <c r="G209" i="9"/>
  <c r="H209" i="9"/>
  <c r="E216" i="9"/>
  <c r="G216" i="9"/>
  <c r="C216" i="9"/>
  <c r="E224" i="9"/>
  <c r="G224" i="9"/>
  <c r="H224" i="9"/>
  <c r="D224" i="9"/>
  <c r="H243" i="9"/>
  <c r="C243" i="9"/>
  <c r="G243" i="9"/>
  <c r="E243" i="9"/>
  <c r="G291" i="9"/>
  <c r="G302" i="9"/>
  <c r="F325" i="9"/>
  <c r="C359" i="9"/>
  <c r="E359" i="9"/>
  <c r="D359" i="9"/>
  <c r="H359" i="9"/>
  <c r="G359" i="9"/>
  <c r="F366" i="9"/>
  <c r="H366" i="9"/>
  <c r="G366" i="9"/>
  <c r="E366" i="9"/>
  <c r="D366" i="9"/>
  <c r="C194" i="9"/>
  <c r="H194" i="9"/>
  <c r="F194" i="9"/>
  <c r="C209" i="9"/>
  <c r="D216" i="9"/>
  <c r="H219" i="9"/>
  <c r="C219" i="9"/>
  <c r="C224" i="9"/>
  <c r="D232" i="9"/>
  <c r="H236" i="9"/>
  <c r="D243" i="9"/>
  <c r="C253" i="9"/>
  <c r="G292" i="9"/>
  <c r="H292" i="9"/>
  <c r="F292" i="9"/>
  <c r="E292" i="9"/>
  <c r="C292" i="9"/>
  <c r="H303" i="9"/>
  <c r="G303" i="9"/>
  <c r="F303" i="9"/>
  <c r="E303" i="9"/>
  <c r="D303" i="9"/>
  <c r="C303" i="9"/>
  <c r="D310" i="9"/>
  <c r="C323" i="9"/>
  <c r="H323" i="9"/>
  <c r="D323" i="9"/>
  <c r="G325" i="9"/>
  <c r="E336" i="9"/>
  <c r="C336" i="9"/>
  <c r="D336" i="9"/>
  <c r="F359" i="9"/>
  <c r="C366" i="9"/>
  <c r="H279" i="9"/>
  <c r="G279" i="9"/>
  <c r="E279" i="9"/>
  <c r="G298" i="9"/>
  <c r="C298" i="9"/>
  <c r="E298" i="9"/>
  <c r="F298" i="9"/>
  <c r="H315" i="9"/>
  <c r="C315" i="9"/>
  <c r="G315" i="9"/>
  <c r="E315" i="9"/>
  <c r="E360" i="9"/>
  <c r="G360" i="9"/>
  <c r="F360" i="9"/>
  <c r="D360" i="9"/>
  <c r="C360" i="9"/>
  <c r="D367" i="9"/>
  <c r="G367" i="9"/>
  <c r="F367" i="9"/>
  <c r="E367" i="9"/>
  <c r="C367" i="9"/>
  <c r="G370" i="9"/>
  <c r="C370" i="9"/>
  <c r="E370" i="9"/>
  <c r="D370" i="9"/>
  <c r="F370" i="9"/>
  <c r="H370" i="9"/>
  <c r="C266" i="9"/>
  <c r="H266" i="9"/>
  <c r="F266" i="9"/>
  <c r="G336" i="9"/>
  <c r="H360" i="9"/>
  <c r="H367" i="9"/>
  <c r="H371" i="9"/>
  <c r="G371" i="9"/>
  <c r="E371" i="9"/>
  <c r="D371" i="9"/>
  <c r="D423" i="9"/>
  <c r="C431" i="9"/>
  <c r="D436" i="9"/>
  <c r="D455" i="9"/>
  <c r="G455" i="9"/>
  <c r="H455" i="9"/>
  <c r="C460" i="9"/>
  <c r="D460" i="9"/>
  <c r="F460" i="9"/>
  <c r="E460" i="9"/>
  <c r="H474" i="9"/>
  <c r="C474" i="9"/>
  <c r="G474" i="9"/>
  <c r="F474" i="9"/>
  <c r="E474" i="9"/>
  <c r="D474" i="9"/>
  <c r="C504" i="9"/>
  <c r="C515" i="9"/>
  <c r="D532" i="9"/>
  <c r="H553" i="9"/>
  <c r="E553" i="9"/>
  <c r="C562" i="9"/>
  <c r="D575" i="9"/>
  <c r="C596" i="9"/>
  <c r="C603" i="9"/>
  <c r="D631" i="9"/>
  <c r="H631" i="9"/>
  <c r="G631" i="9"/>
  <c r="F631" i="9"/>
  <c r="E631" i="9"/>
  <c r="E468" i="9"/>
  <c r="C468" i="9"/>
  <c r="G468" i="9"/>
  <c r="F468" i="9"/>
  <c r="D468" i="9"/>
  <c r="G416" i="9"/>
  <c r="H416" i="9"/>
  <c r="G418" i="9"/>
  <c r="E418" i="9"/>
  <c r="H418" i="9"/>
  <c r="F418" i="9"/>
  <c r="H426" i="9"/>
  <c r="E426" i="9"/>
  <c r="G426" i="9"/>
  <c r="F426" i="9"/>
  <c r="C434" i="9"/>
  <c r="D434" i="9"/>
  <c r="H434" i="9"/>
  <c r="D536" i="9"/>
  <c r="H536" i="9"/>
  <c r="C604" i="9"/>
  <c r="H604" i="9"/>
  <c r="G604" i="9"/>
  <c r="D604" i="9"/>
  <c r="F604" i="9"/>
  <c r="E604" i="9"/>
  <c r="H618" i="9"/>
  <c r="E618" i="9"/>
  <c r="D618" i="9"/>
  <c r="C618" i="9"/>
  <c r="G618" i="9"/>
  <c r="F618" i="9"/>
  <c r="E624" i="9"/>
  <c r="D624" i="9"/>
  <c r="F624" i="9"/>
  <c r="C624" i="9"/>
  <c r="H624" i="9"/>
  <c r="G346" i="9"/>
  <c r="C346" i="9"/>
  <c r="E346" i="9"/>
  <c r="D346" i="9"/>
  <c r="F353" i="9"/>
  <c r="G353" i="9"/>
  <c r="H353" i="9"/>
  <c r="C382" i="9"/>
  <c r="C407" i="9"/>
  <c r="E407" i="9"/>
  <c r="D407" i="9"/>
  <c r="C416" i="9"/>
  <c r="C418" i="9"/>
  <c r="C421" i="9"/>
  <c r="C426" i="9"/>
  <c r="G431" i="9"/>
  <c r="E434" i="9"/>
  <c r="G436" i="9"/>
  <c r="F446" i="9"/>
  <c r="D451" i="9"/>
  <c r="E451" i="9"/>
  <c r="G451" i="9"/>
  <c r="H451" i="9"/>
  <c r="F455" i="9"/>
  <c r="F461" i="9"/>
  <c r="D461" i="9"/>
  <c r="D463" i="9"/>
  <c r="H463" i="9"/>
  <c r="C463" i="9"/>
  <c r="H488" i="9"/>
  <c r="C488" i="9"/>
  <c r="G488" i="9"/>
  <c r="F488" i="9"/>
  <c r="E488" i="9"/>
  <c r="D488" i="9"/>
  <c r="C491" i="9"/>
  <c r="C494" i="9"/>
  <c r="G494" i="9"/>
  <c r="E494" i="9"/>
  <c r="H494" i="9"/>
  <c r="F494" i="9"/>
  <c r="D505" i="9"/>
  <c r="H505" i="9"/>
  <c r="G505" i="9"/>
  <c r="F505" i="9"/>
  <c r="E505" i="9"/>
  <c r="D511" i="9"/>
  <c r="H511" i="9"/>
  <c r="F511" i="9"/>
  <c r="G511" i="9"/>
  <c r="F533" i="9"/>
  <c r="C533" i="9"/>
  <c r="H533" i="9"/>
  <c r="G533" i="9"/>
  <c r="E533" i="9"/>
  <c r="D533" i="9"/>
  <c r="C536" i="9"/>
  <c r="E576" i="9"/>
  <c r="D576" i="9"/>
  <c r="C576" i="9"/>
  <c r="H576" i="9"/>
  <c r="G576" i="9"/>
  <c r="F576" i="9"/>
  <c r="C580" i="9"/>
  <c r="G580" i="9"/>
  <c r="G610" i="9"/>
  <c r="E610" i="9"/>
  <c r="D610" i="9"/>
  <c r="H610" i="9"/>
  <c r="F610" i="9"/>
  <c r="G624" i="9"/>
  <c r="F233" i="9"/>
  <c r="G233" i="9"/>
  <c r="D235" i="9"/>
  <c r="F235" i="9"/>
  <c r="H235" i="9"/>
  <c r="C239" i="9"/>
  <c r="E239" i="9"/>
  <c r="C254" i="9"/>
  <c r="D254" i="9"/>
  <c r="F305" i="9"/>
  <c r="G305" i="9"/>
  <c r="D307" i="9"/>
  <c r="F307" i="9"/>
  <c r="H307" i="9"/>
  <c r="C311" i="9"/>
  <c r="E311" i="9"/>
  <c r="G319" i="9"/>
  <c r="F334" i="9"/>
  <c r="E344" i="9"/>
  <c r="G344" i="9"/>
  <c r="F344" i="9"/>
  <c r="F346" i="9"/>
  <c r="H351" i="9"/>
  <c r="G351" i="9"/>
  <c r="C353" i="9"/>
  <c r="C362" i="9"/>
  <c r="H362" i="9"/>
  <c r="F373" i="9"/>
  <c r="F380" i="9"/>
  <c r="D382" i="9"/>
  <c r="G384" i="9"/>
  <c r="G391" i="9"/>
  <c r="D403" i="9"/>
  <c r="F403" i="9"/>
  <c r="H403" i="9"/>
  <c r="G403" i="9"/>
  <c r="F407" i="9"/>
  <c r="C412" i="9"/>
  <c r="H412" i="9"/>
  <c r="D416" i="9"/>
  <c r="D418" i="9"/>
  <c r="E421" i="9"/>
  <c r="F424" i="9"/>
  <c r="H424" i="9"/>
  <c r="G424" i="9"/>
  <c r="D426" i="9"/>
  <c r="H431" i="9"/>
  <c r="F434" i="9"/>
  <c r="H436" i="9"/>
  <c r="G446" i="9"/>
  <c r="C451" i="9"/>
  <c r="C461" i="9"/>
  <c r="E463" i="9"/>
  <c r="D472" i="9"/>
  <c r="H472" i="9"/>
  <c r="G472" i="9"/>
  <c r="F472" i="9"/>
  <c r="E472" i="9"/>
  <c r="D491" i="9"/>
  <c r="D494" i="9"/>
  <c r="C505" i="9"/>
  <c r="F509" i="9"/>
  <c r="G509" i="9"/>
  <c r="H509" i="9"/>
  <c r="C511" i="9"/>
  <c r="C530" i="9"/>
  <c r="D530" i="9"/>
  <c r="E530" i="9"/>
  <c r="G530" i="9"/>
  <c r="E536" i="9"/>
  <c r="G553" i="9"/>
  <c r="D571" i="9"/>
  <c r="G571" i="9"/>
  <c r="C571" i="9"/>
  <c r="F571" i="9"/>
  <c r="D580" i="9"/>
  <c r="E600" i="9"/>
  <c r="D600" i="9"/>
  <c r="H600" i="9"/>
  <c r="G600" i="9"/>
  <c r="H639" i="9"/>
  <c r="C639" i="9"/>
  <c r="G639" i="9"/>
  <c r="F639" i="9"/>
  <c r="E639" i="9"/>
  <c r="D639" i="9"/>
  <c r="E416" i="9"/>
  <c r="F421" i="9"/>
  <c r="C424" i="9"/>
  <c r="E432" i="9"/>
  <c r="D432" i="9"/>
  <c r="G432" i="9"/>
  <c r="H432" i="9"/>
  <c r="G434" i="9"/>
  <c r="C444" i="9"/>
  <c r="H446" i="9"/>
  <c r="F451" i="9"/>
  <c r="E461" i="9"/>
  <c r="F463" i="9"/>
  <c r="G466" i="9"/>
  <c r="C466" i="9"/>
  <c r="F466" i="9"/>
  <c r="E466" i="9"/>
  <c r="D466" i="9"/>
  <c r="C472" i="9"/>
  <c r="F491" i="9"/>
  <c r="G500" i="9"/>
  <c r="F500" i="9"/>
  <c r="G502" i="9"/>
  <c r="E502" i="9"/>
  <c r="F502" i="9"/>
  <c r="C506" i="9"/>
  <c r="D506" i="9"/>
  <c r="G506" i="9"/>
  <c r="C509" i="9"/>
  <c r="E511" i="9"/>
  <c r="F530" i="9"/>
  <c r="F536" i="9"/>
  <c r="D541" i="9"/>
  <c r="F541" i="9"/>
  <c r="C541" i="9"/>
  <c r="H541" i="9"/>
  <c r="G541" i="9"/>
  <c r="E541" i="9"/>
  <c r="H551" i="9"/>
  <c r="E551" i="9"/>
  <c r="F551" i="9"/>
  <c r="E571" i="9"/>
  <c r="E580" i="9"/>
  <c r="H591" i="9"/>
  <c r="C591" i="9"/>
  <c r="E591" i="9"/>
  <c r="C600" i="9"/>
  <c r="G608" i="9"/>
  <c r="F608" i="9"/>
  <c r="E608" i="9"/>
  <c r="D608" i="9"/>
  <c r="E176" i="9"/>
  <c r="G176" i="9"/>
  <c r="G178" i="9"/>
  <c r="C178" i="9"/>
  <c r="E178" i="9"/>
  <c r="H195" i="9"/>
  <c r="C195" i="9"/>
  <c r="E199" i="9"/>
  <c r="D212" i="9"/>
  <c r="D233" i="9"/>
  <c r="E235" i="9"/>
  <c r="F239" i="9"/>
  <c r="E248" i="9"/>
  <c r="G248" i="9"/>
  <c r="G250" i="9"/>
  <c r="C250" i="9"/>
  <c r="E250" i="9"/>
  <c r="F254" i="9"/>
  <c r="H267" i="9"/>
  <c r="C267" i="9"/>
  <c r="E271" i="9"/>
  <c r="D284" i="9"/>
  <c r="D305" i="9"/>
  <c r="E307" i="9"/>
  <c r="F311" i="9"/>
  <c r="E320" i="9"/>
  <c r="G320" i="9"/>
  <c r="G322" i="9"/>
  <c r="C322" i="9"/>
  <c r="E322" i="9"/>
  <c r="C335" i="9"/>
  <c r="E335" i="9"/>
  <c r="D335" i="9"/>
  <c r="F342" i="9"/>
  <c r="H342" i="9"/>
  <c r="G342" i="9"/>
  <c r="D344" i="9"/>
  <c r="D351" i="9"/>
  <c r="E353" i="9"/>
  <c r="E362" i="9"/>
  <c r="F382" i="9"/>
  <c r="E392" i="9"/>
  <c r="G392" i="9"/>
  <c r="F392" i="9"/>
  <c r="H399" i="9"/>
  <c r="G399" i="9"/>
  <c r="E403" i="9"/>
  <c r="H407" i="9"/>
  <c r="C410" i="9"/>
  <c r="H410" i="9"/>
  <c r="E412" i="9"/>
  <c r="F416" i="9"/>
  <c r="C419" i="9"/>
  <c r="G421" i="9"/>
  <c r="D424" i="9"/>
  <c r="C427" i="9"/>
  <c r="C432" i="9"/>
  <c r="D444" i="9"/>
  <c r="H447" i="9"/>
  <c r="C447" i="9"/>
  <c r="E447" i="9"/>
  <c r="F447" i="9"/>
  <c r="G447" i="9"/>
  <c r="G461" i="9"/>
  <c r="G463" i="9"/>
  <c r="H466" i="9"/>
  <c r="G491" i="9"/>
  <c r="C500" i="9"/>
  <c r="C502" i="9"/>
  <c r="E506" i="9"/>
  <c r="D509" i="9"/>
  <c r="H519" i="9"/>
  <c r="C519" i="9"/>
  <c r="H522" i="9"/>
  <c r="D522" i="9"/>
  <c r="C522" i="9"/>
  <c r="G522" i="9"/>
  <c r="F522" i="9"/>
  <c r="E522" i="9"/>
  <c r="H530" i="9"/>
  <c r="G536" i="9"/>
  <c r="C551" i="9"/>
  <c r="E564" i="9"/>
  <c r="G564" i="9"/>
  <c r="H571" i="9"/>
  <c r="F580" i="9"/>
  <c r="D591" i="9"/>
  <c r="F600" i="9"/>
  <c r="C608" i="9"/>
  <c r="F318" i="9"/>
  <c r="H318" i="9"/>
  <c r="D331" i="9"/>
  <c r="F331" i="9"/>
  <c r="H331" i="9"/>
  <c r="G331" i="9"/>
  <c r="G340" i="9"/>
  <c r="H340" i="9"/>
  <c r="H344" i="9"/>
  <c r="E351" i="9"/>
  <c r="F362" i="9"/>
  <c r="H382" i="9"/>
  <c r="F412" i="9"/>
  <c r="H421" i="9"/>
  <c r="G454" i="9"/>
  <c r="E454" i="9"/>
  <c r="H459" i="9"/>
  <c r="D459" i="9"/>
  <c r="H461" i="9"/>
  <c r="E464" i="9"/>
  <c r="H464" i="9"/>
  <c r="G464" i="9"/>
  <c r="F464" i="9"/>
  <c r="G476" i="9"/>
  <c r="C476" i="9"/>
  <c r="H476" i="9"/>
  <c r="F476" i="9"/>
  <c r="E476" i="9"/>
  <c r="D476" i="9"/>
  <c r="H491" i="9"/>
  <c r="H498" i="9"/>
  <c r="F498" i="9"/>
  <c r="G498" i="9"/>
  <c r="E528" i="9"/>
  <c r="D528" i="9"/>
  <c r="C528" i="9"/>
  <c r="H528" i="9"/>
  <c r="F528" i="9"/>
  <c r="H580" i="9"/>
  <c r="C263" i="9"/>
  <c r="E263" i="9"/>
  <c r="C278" i="9"/>
  <c r="D278" i="9"/>
  <c r="F329" i="9"/>
  <c r="G329" i="9"/>
  <c r="H329" i="9"/>
  <c r="F351" i="9"/>
  <c r="G362" i="9"/>
  <c r="C383" i="9"/>
  <c r="E383" i="9"/>
  <c r="D383" i="9"/>
  <c r="F390" i="9"/>
  <c r="H390" i="9"/>
  <c r="G390" i="9"/>
  <c r="G412" i="9"/>
  <c r="C422" i="9"/>
  <c r="F422" i="9"/>
  <c r="H422" i="9"/>
  <c r="G422" i="9"/>
  <c r="C484" i="9"/>
  <c r="D484" i="9"/>
  <c r="H484" i="9"/>
  <c r="G484" i="9"/>
  <c r="F484" i="9"/>
  <c r="E484" i="9"/>
  <c r="E492" i="9"/>
  <c r="G492" i="9"/>
  <c r="C492" i="9"/>
  <c r="H492" i="9"/>
  <c r="F492" i="9"/>
  <c r="D492" i="9"/>
  <c r="D517" i="9"/>
  <c r="H517" i="9"/>
  <c r="D547" i="9"/>
  <c r="F547" i="9"/>
  <c r="H547" i="9"/>
  <c r="E547" i="9"/>
  <c r="F257" i="9"/>
  <c r="G257" i="9"/>
  <c r="D259" i="9"/>
  <c r="F259" i="9"/>
  <c r="H259" i="9"/>
  <c r="C316" i="9"/>
  <c r="C318" i="9"/>
  <c r="F176" i="9"/>
  <c r="H178" i="9"/>
  <c r="H183" i="9"/>
  <c r="G183" i="9"/>
  <c r="F195" i="9"/>
  <c r="H199" i="9"/>
  <c r="F208" i="9"/>
  <c r="E214" i="9"/>
  <c r="E229" i="9"/>
  <c r="C242" i="9"/>
  <c r="H242" i="9"/>
  <c r="F248" i="9"/>
  <c r="H250" i="9"/>
  <c r="H255" i="9"/>
  <c r="G255" i="9"/>
  <c r="C257" i="9"/>
  <c r="C259" i="9"/>
  <c r="D263" i="9"/>
  <c r="F267" i="9"/>
  <c r="H271" i="9"/>
  <c r="E278" i="9"/>
  <c r="F280" i="9"/>
  <c r="E286" i="9"/>
  <c r="C295" i="9"/>
  <c r="E301" i="9"/>
  <c r="C314" i="9"/>
  <c r="H314" i="9"/>
  <c r="D316" i="9"/>
  <c r="D318" i="9"/>
  <c r="F320" i="9"/>
  <c r="H322" i="9"/>
  <c r="H327" i="9"/>
  <c r="G327" i="9"/>
  <c r="C329" i="9"/>
  <c r="E331" i="9"/>
  <c r="H335" i="9"/>
  <c r="C338" i="9"/>
  <c r="H338" i="9"/>
  <c r="D340" i="9"/>
  <c r="E342" i="9"/>
  <c r="D358" i="9"/>
  <c r="D379" i="9"/>
  <c r="F379" i="9"/>
  <c r="H379" i="9"/>
  <c r="G379" i="9"/>
  <c r="F383" i="9"/>
  <c r="G388" i="9"/>
  <c r="H388" i="9"/>
  <c r="C390" i="9"/>
  <c r="H392" i="9"/>
  <c r="D397" i="9"/>
  <c r="E399" i="9"/>
  <c r="D408" i="9"/>
  <c r="F410" i="9"/>
  <c r="D422" i="9"/>
  <c r="G430" i="9"/>
  <c r="E430" i="9"/>
  <c r="D430" i="9"/>
  <c r="H430" i="9"/>
  <c r="F430" i="9"/>
  <c r="D442" i="9"/>
  <c r="D454" i="9"/>
  <c r="D457" i="9"/>
  <c r="H457" i="9"/>
  <c r="E459" i="9"/>
  <c r="D464" i="9"/>
  <c r="C470" i="9"/>
  <c r="D470" i="9"/>
  <c r="G470" i="9"/>
  <c r="F470" i="9"/>
  <c r="E470" i="9"/>
  <c r="G496" i="9"/>
  <c r="F496" i="9"/>
  <c r="H496" i="9"/>
  <c r="D498" i="9"/>
  <c r="C503" i="9"/>
  <c r="G503" i="9"/>
  <c r="F503" i="9"/>
  <c r="E503" i="9"/>
  <c r="D503" i="9"/>
  <c r="H507" i="9"/>
  <c r="E507" i="9"/>
  <c r="G507" i="9"/>
  <c r="F507" i="9"/>
  <c r="C517" i="9"/>
  <c r="C547" i="9"/>
  <c r="C578" i="9"/>
  <c r="D578" i="9"/>
  <c r="G578" i="9"/>
  <c r="E578" i="9"/>
  <c r="H578" i="9"/>
  <c r="D589" i="9"/>
  <c r="E589" i="9"/>
  <c r="H589" i="9"/>
  <c r="F589" i="9"/>
  <c r="G598" i="9"/>
  <c r="E598" i="9"/>
  <c r="H598" i="9"/>
  <c r="D598" i="9"/>
  <c r="H649" i="9"/>
  <c r="G649" i="9"/>
  <c r="F649" i="9"/>
  <c r="E649" i="9"/>
  <c r="D649" i="9"/>
  <c r="C649" i="9"/>
  <c r="D445" i="9"/>
  <c r="E445" i="9"/>
  <c r="C445" i="9"/>
  <c r="G445" i="9"/>
  <c r="F445" i="9"/>
  <c r="D487" i="9"/>
  <c r="H487" i="9"/>
  <c r="D661" i="9"/>
  <c r="H661" i="9"/>
  <c r="G661" i="9"/>
  <c r="F661" i="9"/>
  <c r="E661" i="9"/>
  <c r="C661" i="9"/>
  <c r="E368" i="9"/>
  <c r="G368" i="9"/>
  <c r="F368" i="9"/>
  <c r="H375" i="9"/>
  <c r="G375" i="9"/>
  <c r="C386" i="9"/>
  <c r="H386" i="9"/>
  <c r="E420" i="9"/>
  <c r="F420" i="9"/>
  <c r="H420" i="9"/>
  <c r="G420" i="9"/>
  <c r="H423" i="9"/>
  <c r="C423" i="9"/>
  <c r="G428" i="9"/>
  <c r="E428" i="9"/>
  <c r="H428" i="9"/>
  <c r="F428" i="9"/>
  <c r="E504" i="9"/>
  <c r="D504" i="9"/>
  <c r="G504" i="9"/>
  <c r="E515" i="9"/>
  <c r="G515" i="9"/>
  <c r="H515" i="9"/>
  <c r="E520" i="9"/>
  <c r="C520" i="9"/>
  <c r="H520" i="9"/>
  <c r="G520" i="9"/>
  <c r="F520" i="9"/>
  <c r="D520" i="9"/>
  <c r="C532" i="9"/>
  <c r="E532" i="9"/>
  <c r="H532" i="9"/>
  <c r="G562" i="9"/>
  <c r="F562" i="9"/>
  <c r="D562" i="9"/>
  <c r="H562" i="9"/>
  <c r="F575" i="9"/>
  <c r="C575" i="9"/>
  <c r="H575" i="9"/>
  <c r="G596" i="9"/>
  <c r="H596" i="9"/>
  <c r="F596" i="9"/>
  <c r="D596" i="9"/>
  <c r="H603" i="9"/>
  <c r="D603" i="9"/>
  <c r="G603" i="9"/>
  <c r="F603" i="9"/>
  <c r="C337" i="9"/>
  <c r="C348" i="9"/>
  <c r="C361" i="9"/>
  <c r="C372" i="9"/>
  <c r="C385" i="9"/>
  <c r="C396" i="9"/>
  <c r="C409" i="9"/>
  <c r="H435" i="9"/>
  <c r="F435" i="9"/>
  <c r="C437" i="9"/>
  <c r="C439" i="9"/>
  <c r="C443" i="9"/>
  <c r="C458" i="9"/>
  <c r="D458" i="9"/>
  <c r="C478" i="9"/>
  <c r="C480" i="9"/>
  <c r="E482" i="9"/>
  <c r="C490" i="9"/>
  <c r="C518" i="9"/>
  <c r="E518" i="9"/>
  <c r="F524" i="9"/>
  <c r="C531" i="9"/>
  <c r="C535" i="9"/>
  <c r="C539" i="9"/>
  <c r="C552" i="9"/>
  <c r="G554" i="9"/>
  <c r="E565" i="9"/>
  <c r="C572" i="9"/>
  <c r="G574" i="9"/>
  <c r="E574" i="9"/>
  <c r="D581" i="9"/>
  <c r="G587" i="9"/>
  <c r="C590" i="9"/>
  <c r="H590" i="9"/>
  <c r="E592" i="9"/>
  <c r="E594" i="9"/>
  <c r="C599" i="9"/>
  <c r="G601" i="9"/>
  <c r="C616" i="9"/>
  <c r="C628" i="9"/>
  <c r="F628" i="9"/>
  <c r="E628" i="9"/>
  <c r="E635" i="9"/>
  <c r="H635" i="9"/>
  <c r="F637" i="9"/>
  <c r="E647" i="9"/>
  <c r="F653" i="9"/>
  <c r="H653" i="9"/>
  <c r="D655" i="9"/>
  <c r="H655" i="9"/>
  <c r="G655" i="9"/>
  <c r="E660" i="9"/>
  <c r="D660" i="9"/>
  <c r="F683" i="9"/>
  <c r="E683" i="9"/>
  <c r="D180" i="9"/>
  <c r="D204" i="9"/>
  <c r="D228" i="9"/>
  <c r="D252" i="9"/>
  <c r="D276" i="9"/>
  <c r="D300" i="9"/>
  <c r="D324" i="9"/>
  <c r="D326" i="9"/>
  <c r="C339" i="9"/>
  <c r="D348" i="9"/>
  <c r="D350" i="9"/>
  <c r="C363" i="9"/>
  <c r="D372" i="9"/>
  <c r="D374" i="9"/>
  <c r="C387" i="9"/>
  <c r="D396" i="9"/>
  <c r="D398" i="9"/>
  <c r="C411" i="9"/>
  <c r="C413" i="9"/>
  <c r="D415" i="9"/>
  <c r="H415" i="9"/>
  <c r="E456" i="9"/>
  <c r="D456" i="9"/>
  <c r="E516" i="9"/>
  <c r="D516" i="9"/>
  <c r="D531" i="9"/>
  <c r="G550" i="9"/>
  <c r="E550" i="9"/>
  <c r="F557" i="9"/>
  <c r="E557" i="9"/>
  <c r="D559" i="9"/>
  <c r="H559" i="9"/>
  <c r="E559" i="9"/>
  <c r="E563" i="9"/>
  <c r="G563" i="9"/>
  <c r="C563" i="9"/>
  <c r="D572" i="9"/>
  <c r="H579" i="9"/>
  <c r="F579" i="9"/>
  <c r="C579" i="9"/>
  <c r="F592" i="9"/>
  <c r="E599" i="9"/>
  <c r="H601" i="9"/>
  <c r="D628" i="9"/>
  <c r="C635" i="9"/>
  <c r="D643" i="9"/>
  <c r="H643" i="9"/>
  <c r="C653" i="9"/>
  <c r="C655" i="9"/>
  <c r="C660" i="9"/>
  <c r="H663" i="9"/>
  <c r="C663" i="9"/>
  <c r="G663" i="9"/>
  <c r="F663" i="9"/>
  <c r="H495" i="9"/>
  <c r="C495" i="9"/>
  <c r="C508" i="9"/>
  <c r="G508" i="9"/>
  <c r="G514" i="9"/>
  <c r="D514" i="9"/>
  <c r="H555" i="9"/>
  <c r="E555" i="9"/>
  <c r="E588" i="9"/>
  <c r="H588" i="9"/>
  <c r="G592" i="9"/>
  <c r="D595" i="9"/>
  <c r="E595" i="9"/>
  <c r="C602" i="9"/>
  <c r="D602" i="9"/>
  <c r="H602" i="9"/>
  <c r="G602" i="9"/>
  <c r="F605" i="9"/>
  <c r="D605" i="9"/>
  <c r="D607" i="9"/>
  <c r="H607" i="9"/>
  <c r="C607" i="9"/>
  <c r="C614" i="9"/>
  <c r="F614" i="9"/>
  <c r="E614" i="9"/>
  <c r="D676" i="9"/>
  <c r="C676" i="9"/>
  <c r="H676" i="9"/>
  <c r="G676" i="9"/>
  <c r="F676" i="9"/>
  <c r="E676" i="9"/>
  <c r="H690" i="9"/>
  <c r="G690" i="9"/>
  <c r="F690" i="9"/>
  <c r="E690" i="9"/>
  <c r="H768" i="9"/>
  <c r="G768" i="9"/>
  <c r="F768" i="9"/>
  <c r="E768" i="9"/>
  <c r="D768" i="9"/>
  <c r="D495" i="9"/>
  <c r="D508" i="9"/>
  <c r="C514" i="9"/>
  <c r="C555" i="9"/>
  <c r="F577" i="9"/>
  <c r="C577" i="9"/>
  <c r="C588" i="9"/>
  <c r="C595" i="9"/>
  <c r="E602" i="9"/>
  <c r="C605" i="9"/>
  <c r="E607" i="9"/>
  <c r="D614" i="9"/>
  <c r="C626" i="9"/>
  <c r="D626" i="9"/>
  <c r="F626" i="9"/>
  <c r="E626" i="9"/>
  <c r="H651" i="9"/>
  <c r="G651" i="9"/>
  <c r="C690" i="9"/>
  <c r="H699" i="9"/>
  <c r="G699" i="9"/>
  <c r="F699" i="9"/>
  <c r="E699" i="9"/>
  <c r="D699" i="9"/>
  <c r="C699" i="9"/>
  <c r="D836" i="9"/>
  <c r="C836" i="9"/>
  <c r="H836" i="9"/>
  <c r="G836" i="9"/>
  <c r="F836" i="9"/>
  <c r="E836" i="9"/>
  <c r="G586" i="9"/>
  <c r="H586" i="9"/>
  <c r="E612" i="9"/>
  <c r="F612" i="9"/>
  <c r="D612" i="9"/>
  <c r="G658" i="9"/>
  <c r="D658" i="9"/>
  <c r="H688" i="9"/>
  <c r="G688" i="9"/>
  <c r="F688" i="9"/>
  <c r="D690" i="9"/>
  <c r="E696" i="9"/>
  <c r="F696" i="9"/>
  <c r="D696" i="9"/>
  <c r="D724" i="9"/>
  <c r="C724" i="9"/>
  <c r="H724" i="9"/>
  <c r="G724" i="9"/>
  <c r="F724" i="9"/>
  <c r="E724" i="9"/>
  <c r="H671" i="9"/>
  <c r="G671" i="9"/>
  <c r="E684" i="9"/>
  <c r="H684" i="9"/>
  <c r="G684" i="9"/>
  <c r="F684" i="9"/>
  <c r="D684" i="9"/>
  <c r="C684" i="9"/>
  <c r="C688" i="9"/>
  <c r="C696" i="9"/>
  <c r="H711" i="9"/>
  <c r="D711" i="9"/>
  <c r="C711" i="9"/>
  <c r="G711" i="9"/>
  <c r="F711" i="9"/>
  <c r="F750" i="9"/>
  <c r="C750" i="9"/>
  <c r="G750" i="9"/>
  <c r="E750" i="9"/>
  <c r="H750" i="9"/>
  <c r="D750" i="9"/>
  <c r="D703" i="9"/>
  <c r="H703" i="9"/>
  <c r="G703" i="9"/>
  <c r="F703" i="9"/>
  <c r="E703" i="9"/>
  <c r="C703" i="9"/>
  <c r="G622" i="9"/>
  <c r="E622" i="9"/>
  <c r="D622" i="9"/>
  <c r="C622" i="9"/>
  <c r="F658" i="9"/>
  <c r="H719" i="9"/>
  <c r="G719" i="9"/>
  <c r="D800" i="9"/>
  <c r="H800" i="9"/>
  <c r="G800" i="9"/>
  <c r="F800" i="9"/>
  <c r="E800" i="9"/>
  <c r="C800" i="9"/>
  <c r="G620" i="9"/>
  <c r="E620" i="9"/>
  <c r="D620" i="9"/>
  <c r="F622" i="9"/>
  <c r="H658" i="9"/>
  <c r="C662" i="9"/>
  <c r="E662" i="9"/>
  <c r="C719" i="9"/>
  <c r="G524" i="9"/>
  <c r="D524" i="9"/>
  <c r="G526" i="9"/>
  <c r="E526" i="9"/>
  <c r="C526" i="9"/>
  <c r="H543" i="9"/>
  <c r="C543" i="9"/>
  <c r="F543" i="9"/>
  <c r="C554" i="9"/>
  <c r="D554" i="9"/>
  <c r="H567" i="9"/>
  <c r="C567" i="9"/>
  <c r="G567" i="9"/>
  <c r="D567" i="9"/>
  <c r="E587" i="9"/>
  <c r="D587" i="9"/>
  <c r="H594" i="9"/>
  <c r="G594" i="9"/>
  <c r="C601" i="9"/>
  <c r="C620" i="9"/>
  <c r="H622" i="9"/>
  <c r="D637" i="9"/>
  <c r="H637" i="9"/>
  <c r="H647" i="9"/>
  <c r="G647" i="9"/>
  <c r="E659" i="9"/>
  <c r="H659" i="9"/>
  <c r="G659" i="9"/>
  <c r="F659" i="9"/>
  <c r="D662" i="9"/>
  <c r="G694" i="9"/>
  <c r="F694" i="9"/>
  <c r="E694" i="9"/>
  <c r="H694" i="9"/>
  <c r="F701" i="9"/>
  <c r="H701" i="9"/>
  <c r="G701" i="9"/>
  <c r="E701" i="9"/>
  <c r="D701" i="9"/>
  <c r="D719" i="9"/>
  <c r="H632" i="9"/>
  <c r="E632" i="9"/>
  <c r="D632" i="9"/>
  <c r="C632" i="9"/>
  <c r="F662" i="9"/>
  <c r="E745" i="9"/>
  <c r="D745" i="9"/>
  <c r="H745" i="9"/>
  <c r="G745" i="9"/>
  <c r="F745" i="9"/>
  <c r="D809" i="9"/>
  <c r="G809" i="9"/>
  <c r="H809" i="9"/>
  <c r="F809" i="9"/>
  <c r="E809" i="9"/>
  <c r="C809" i="9"/>
  <c r="F437" i="9"/>
  <c r="G437" i="9"/>
  <c r="D439" i="9"/>
  <c r="H439" i="9"/>
  <c r="F439" i="9"/>
  <c r="E443" i="9"/>
  <c r="D443" i="9"/>
  <c r="G478" i="9"/>
  <c r="E478" i="9"/>
  <c r="E480" i="9"/>
  <c r="D480" i="9"/>
  <c r="C482" i="9"/>
  <c r="D482" i="9"/>
  <c r="G490" i="9"/>
  <c r="F490" i="9"/>
  <c r="E524" i="9"/>
  <c r="F526" i="9"/>
  <c r="D535" i="9"/>
  <c r="H535" i="9"/>
  <c r="E539" i="9"/>
  <c r="F539" i="9"/>
  <c r="E543" i="9"/>
  <c r="E552" i="9"/>
  <c r="D552" i="9"/>
  <c r="F554" i="9"/>
  <c r="D565" i="9"/>
  <c r="G565" i="9"/>
  <c r="C565" i="9"/>
  <c r="F567" i="9"/>
  <c r="F581" i="9"/>
  <c r="G581" i="9"/>
  <c r="C581" i="9"/>
  <c r="F587" i="9"/>
  <c r="D592" i="9"/>
  <c r="D594" i="9"/>
  <c r="F601" i="9"/>
  <c r="F616" i="9"/>
  <c r="E616" i="9"/>
  <c r="H620" i="9"/>
  <c r="F632" i="9"/>
  <c r="E637" i="9"/>
  <c r="D647" i="9"/>
  <c r="D659" i="9"/>
  <c r="G662" i="9"/>
  <c r="C686" i="9"/>
  <c r="H686" i="9"/>
  <c r="G686" i="9"/>
  <c r="F686" i="9"/>
  <c r="E686" i="9"/>
  <c r="H692" i="9"/>
  <c r="G692" i="9"/>
  <c r="F692" i="9"/>
  <c r="E692" i="9"/>
  <c r="C698" i="9"/>
  <c r="E698" i="9"/>
  <c r="D698" i="9"/>
  <c r="E709" i="9"/>
  <c r="D709" i="9"/>
  <c r="H709" i="9"/>
  <c r="G709" i="9"/>
  <c r="F709" i="9"/>
  <c r="C709" i="9"/>
  <c r="F719" i="9"/>
  <c r="C745" i="9"/>
  <c r="D758" i="9"/>
  <c r="G758" i="9"/>
  <c r="F758" i="9"/>
  <c r="G777" i="9"/>
  <c r="H777" i="9"/>
  <c r="G779" i="9"/>
  <c r="E779" i="9"/>
  <c r="H779" i="9"/>
  <c r="H808" i="9"/>
  <c r="C808" i="9"/>
  <c r="D808" i="9"/>
  <c r="G813" i="9"/>
  <c r="C813" i="9"/>
  <c r="E841" i="9"/>
  <c r="D841" i="9"/>
  <c r="F841" i="9"/>
  <c r="H841" i="9"/>
  <c r="G841" i="9"/>
  <c r="E808" i="9"/>
  <c r="D813" i="9"/>
  <c r="C841" i="9"/>
  <c r="C747" i="9"/>
  <c r="D747" i="9"/>
  <c r="E756" i="9"/>
  <c r="F756" i="9"/>
  <c r="D756" i="9"/>
  <c r="C773" i="9"/>
  <c r="H773" i="9"/>
  <c r="G773" i="9"/>
  <c r="E777" i="9"/>
  <c r="F779" i="9"/>
  <c r="E805" i="9"/>
  <c r="C805" i="9"/>
  <c r="D805" i="9"/>
  <c r="G805" i="9"/>
  <c r="F805" i="9"/>
  <c r="F808" i="9"/>
  <c r="H811" i="9"/>
  <c r="C811" i="9"/>
  <c r="G811" i="9"/>
  <c r="E813" i="9"/>
  <c r="C821" i="9"/>
  <c r="D821" i="9"/>
  <c r="C842" i="9"/>
  <c r="G842" i="9"/>
  <c r="D842" i="9"/>
  <c r="C855" i="9"/>
  <c r="H855" i="9"/>
  <c r="E855" i="9"/>
  <c r="D855" i="9"/>
  <c r="G855" i="9"/>
  <c r="F855" i="9"/>
  <c r="F777" i="9"/>
  <c r="H787" i="9"/>
  <c r="E787" i="9"/>
  <c r="F792" i="9"/>
  <c r="H792" i="9"/>
  <c r="G792" i="9"/>
  <c r="G808" i="9"/>
  <c r="F813" i="9"/>
  <c r="E852" i="9"/>
  <c r="G852" i="9"/>
  <c r="F852" i="9"/>
  <c r="H852" i="9"/>
  <c r="D852" i="9"/>
  <c r="F707" i="9"/>
  <c r="E707" i="9"/>
  <c r="G743" i="9"/>
  <c r="E743" i="9"/>
  <c r="H743" i="9"/>
  <c r="G747" i="9"/>
  <c r="H756" i="9"/>
  <c r="F773" i="9"/>
  <c r="D785" i="9"/>
  <c r="D787" i="9"/>
  <c r="D792" i="9"/>
  <c r="D798" i="9"/>
  <c r="F811" i="9"/>
  <c r="G821" i="9"/>
  <c r="H832" i="9"/>
  <c r="C832" i="9"/>
  <c r="D832" i="9"/>
  <c r="H842" i="9"/>
  <c r="C640" i="9"/>
  <c r="C674" i="9"/>
  <c r="E674" i="9"/>
  <c r="D674" i="9"/>
  <c r="C682" i="9"/>
  <c r="C697" i="9"/>
  <c r="C707" i="9"/>
  <c r="C722" i="9"/>
  <c r="E722" i="9"/>
  <c r="D722" i="9"/>
  <c r="C743" i="9"/>
  <c r="H747" i="9"/>
  <c r="E757" i="9"/>
  <c r="H757" i="9"/>
  <c r="C764" i="9"/>
  <c r="E785" i="9"/>
  <c r="F787" i="9"/>
  <c r="E792" i="9"/>
  <c r="E798" i="9"/>
  <c r="H821" i="9"/>
  <c r="E832" i="9"/>
  <c r="C843" i="9"/>
  <c r="D843" i="9"/>
  <c r="H843" i="9"/>
  <c r="H859" i="9"/>
  <c r="F859" i="9"/>
  <c r="E859" i="9"/>
  <c r="D859" i="9"/>
  <c r="C859" i="9"/>
  <c r="D583" i="9"/>
  <c r="H583" i="9"/>
  <c r="C634" i="9"/>
  <c r="C636" i="9"/>
  <c r="D638" i="9"/>
  <c r="D640" i="9"/>
  <c r="C642" i="9"/>
  <c r="C644" i="9"/>
  <c r="G646" i="9"/>
  <c r="E646" i="9"/>
  <c r="E648" i="9"/>
  <c r="D648" i="9"/>
  <c r="C650" i="9"/>
  <c r="D650" i="9"/>
  <c r="D652" i="9"/>
  <c r="C656" i="9"/>
  <c r="E672" i="9"/>
  <c r="F672" i="9"/>
  <c r="D672" i="9"/>
  <c r="F674" i="9"/>
  <c r="D682" i="9"/>
  <c r="C695" i="9"/>
  <c r="D697" i="9"/>
  <c r="D707" i="9"/>
  <c r="E720" i="9"/>
  <c r="F720" i="9"/>
  <c r="D720" i="9"/>
  <c r="F722" i="9"/>
  <c r="C739" i="9"/>
  <c r="G741" i="9"/>
  <c r="H741" i="9"/>
  <c r="F741" i="9"/>
  <c r="D743" i="9"/>
  <c r="H748" i="9"/>
  <c r="C748" i="9"/>
  <c r="E748" i="9"/>
  <c r="D748" i="9"/>
  <c r="C757" i="9"/>
  <c r="E764" i="9"/>
  <c r="C771" i="9"/>
  <c r="D771" i="9"/>
  <c r="H771" i="9"/>
  <c r="G771" i="9"/>
  <c r="F771" i="9"/>
  <c r="D776" i="9"/>
  <c r="H776" i="9"/>
  <c r="C776" i="9"/>
  <c r="G785" i="9"/>
  <c r="G787" i="9"/>
  <c r="E793" i="9"/>
  <c r="D793" i="9"/>
  <c r="F793" i="9"/>
  <c r="C793" i="9"/>
  <c r="G798" i="9"/>
  <c r="F822" i="9"/>
  <c r="C822" i="9"/>
  <c r="H822" i="9"/>
  <c r="E822" i="9"/>
  <c r="D822" i="9"/>
  <c r="D825" i="9"/>
  <c r="F832" i="9"/>
  <c r="C840" i="9"/>
  <c r="G840" i="9"/>
  <c r="E843" i="9"/>
  <c r="G859" i="9"/>
  <c r="H668" i="9"/>
  <c r="G668" i="9"/>
  <c r="G670" i="9"/>
  <c r="F670" i="9"/>
  <c r="E670" i="9"/>
  <c r="C672" i="9"/>
  <c r="G674" i="9"/>
  <c r="E682" i="9"/>
  <c r="D695" i="9"/>
  <c r="E697" i="9"/>
  <c r="G707" i="9"/>
  <c r="C712" i="9"/>
  <c r="H716" i="9"/>
  <c r="G716" i="9"/>
  <c r="G718" i="9"/>
  <c r="F718" i="9"/>
  <c r="E718" i="9"/>
  <c r="C720" i="9"/>
  <c r="G722" i="9"/>
  <c r="C737" i="9"/>
  <c r="D739" i="9"/>
  <c r="C741" i="9"/>
  <c r="F743" i="9"/>
  <c r="F748" i="9"/>
  <c r="C753" i="9"/>
  <c r="D757" i="9"/>
  <c r="H760" i="9"/>
  <c r="C760" i="9"/>
  <c r="G760" i="9"/>
  <c r="F764" i="9"/>
  <c r="E771" i="9"/>
  <c r="E776" i="9"/>
  <c r="C783" i="9"/>
  <c r="F783" i="9"/>
  <c r="H785" i="9"/>
  <c r="D788" i="9"/>
  <c r="E788" i="9"/>
  <c r="G788" i="9"/>
  <c r="F788" i="9"/>
  <c r="G793" i="9"/>
  <c r="C796" i="9"/>
  <c r="H798" i="9"/>
  <c r="G822" i="9"/>
  <c r="E825" i="9"/>
  <c r="C827" i="9"/>
  <c r="G832" i="9"/>
  <c r="G837" i="9"/>
  <c r="C837" i="9"/>
  <c r="H837" i="9"/>
  <c r="E837" i="9"/>
  <c r="D837" i="9"/>
  <c r="D840" i="9"/>
  <c r="F843" i="9"/>
  <c r="F846" i="9"/>
  <c r="C846" i="9"/>
  <c r="H846" i="9"/>
  <c r="D846" i="9"/>
  <c r="G846" i="9"/>
  <c r="E846" i="9"/>
  <c r="H687" i="9"/>
  <c r="D687" i="9"/>
  <c r="C687" i="9"/>
  <c r="G755" i="9"/>
  <c r="H755" i="9"/>
  <c r="H772" i="9"/>
  <c r="C772" i="9"/>
  <c r="E781" i="9"/>
  <c r="F781" i="9"/>
  <c r="E801" i="9"/>
  <c r="C801" i="9"/>
  <c r="H801" i="9"/>
  <c r="F801" i="9"/>
  <c r="D801" i="9"/>
  <c r="D830" i="9"/>
  <c r="C830" i="9"/>
  <c r="H830" i="9"/>
  <c r="F830" i="9"/>
  <c r="G830" i="9"/>
  <c r="H471" i="9"/>
  <c r="C471" i="9"/>
  <c r="F583" i="9"/>
  <c r="H615" i="9"/>
  <c r="C615" i="9"/>
  <c r="F634" i="9"/>
  <c r="G636" i="9"/>
  <c r="G638" i="9"/>
  <c r="F642" i="9"/>
  <c r="F644" i="9"/>
  <c r="F646" i="9"/>
  <c r="G648" i="9"/>
  <c r="G650" i="9"/>
  <c r="G652" i="9"/>
  <c r="D666" i="9"/>
  <c r="D668" i="9"/>
  <c r="D670" i="9"/>
  <c r="H672" i="9"/>
  <c r="C677" i="9"/>
  <c r="D679" i="9"/>
  <c r="H679" i="9"/>
  <c r="H682" i="9"/>
  <c r="E685" i="9"/>
  <c r="D685" i="9"/>
  <c r="E687" i="9"/>
  <c r="D700" i="9"/>
  <c r="C700" i="9"/>
  <c r="D710" i="9"/>
  <c r="D714" i="9"/>
  <c r="D716" i="9"/>
  <c r="D718" i="9"/>
  <c r="H720" i="9"/>
  <c r="C725" i="9"/>
  <c r="C727" i="9"/>
  <c r="G729" i="9"/>
  <c r="C729" i="9"/>
  <c r="C733" i="9"/>
  <c r="H733" i="9"/>
  <c r="D735" i="9"/>
  <c r="E737" i="9"/>
  <c r="F739" i="9"/>
  <c r="E741" i="9"/>
  <c r="C755" i="9"/>
  <c r="G757" i="9"/>
  <c r="E760" i="9"/>
  <c r="H764" i="9"/>
  <c r="E769" i="9"/>
  <c r="D769" i="9"/>
  <c r="H769" i="9"/>
  <c r="F769" i="9"/>
  <c r="C769" i="9"/>
  <c r="D772" i="9"/>
  <c r="G776" i="9"/>
  <c r="C781" i="9"/>
  <c r="E783" i="9"/>
  <c r="H788" i="9"/>
  <c r="G794" i="9"/>
  <c r="H794" i="9"/>
  <c r="E796" i="9"/>
  <c r="G801" i="9"/>
  <c r="D804" i="9"/>
  <c r="C807" i="9"/>
  <c r="D807" i="9"/>
  <c r="F807" i="9"/>
  <c r="H807" i="9"/>
  <c r="G807" i="9"/>
  <c r="G825" i="9"/>
  <c r="E827" i="9"/>
  <c r="E830" i="9"/>
  <c r="F840" i="9"/>
  <c r="G765" i="9"/>
  <c r="H765" i="9"/>
  <c r="G767" i="9"/>
  <c r="E767" i="9"/>
  <c r="H767" i="9"/>
  <c r="D784" i="9"/>
  <c r="D797" i="9"/>
  <c r="D803" i="9"/>
  <c r="C816" i="9"/>
  <c r="C818" i="9"/>
  <c r="C820" i="9"/>
  <c r="C824" i="9"/>
  <c r="D828" i="9"/>
  <c r="C839" i="9"/>
  <c r="H844" i="9"/>
  <c r="C844" i="9"/>
  <c r="G844" i="9"/>
  <c r="E853" i="9"/>
  <c r="H853" i="9"/>
  <c r="D927" i="9"/>
  <c r="C927" i="9"/>
  <c r="H927" i="9"/>
  <c r="G927" i="9"/>
  <c r="F927" i="9"/>
  <c r="E927" i="9"/>
  <c r="H734" i="9"/>
  <c r="G734" i="9"/>
  <c r="F736" i="9"/>
  <c r="G736" i="9"/>
  <c r="D738" i="9"/>
  <c r="F738" i="9"/>
  <c r="H763" i="9"/>
  <c r="G763" i="9"/>
  <c r="E784" i="9"/>
  <c r="C795" i="9"/>
  <c r="D795" i="9"/>
  <c r="F795" i="9"/>
  <c r="E797" i="9"/>
  <c r="E803" i="9"/>
  <c r="D816" i="9"/>
  <c r="D818" i="9"/>
  <c r="D820" i="9"/>
  <c r="E824" i="9"/>
  <c r="D839" i="9"/>
  <c r="C759" i="9"/>
  <c r="H759" i="9"/>
  <c r="G789" i="9"/>
  <c r="E789" i="9"/>
  <c r="G791" i="9"/>
  <c r="E791" i="9"/>
  <c r="D791" i="9"/>
  <c r="F820" i="9"/>
  <c r="G851" i="9"/>
  <c r="H851" i="9"/>
  <c r="D903" i="9"/>
  <c r="C903" i="9"/>
  <c r="E903" i="9"/>
  <c r="H903" i="9"/>
  <c r="G903" i="9"/>
  <c r="F903" i="9"/>
  <c r="F912" i="9"/>
  <c r="E912" i="9"/>
  <c r="D912" i="9"/>
  <c r="H912" i="9"/>
  <c r="G912" i="9"/>
  <c r="C912" i="9"/>
  <c r="G878" i="9"/>
  <c r="E878" i="9"/>
  <c r="F878" i="9"/>
  <c r="H878" i="9"/>
  <c r="D878" i="9"/>
  <c r="C878" i="9"/>
  <c r="F862" i="9"/>
  <c r="C862" i="9"/>
  <c r="E862" i="9"/>
  <c r="D862" i="9"/>
  <c r="H862" i="9"/>
  <c r="G948" i="9"/>
  <c r="C948" i="9"/>
  <c r="F948" i="9"/>
  <c r="E948" i="9"/>
  <c r="H948" i="9"/>
  <c r="D948" i="9"/>
  <c r="G876" i="9"/>
  <c r="F876" i="9"/>
  <c r="H876" i="9"/>
  <c r="E876" i="9"/>
  <c r="D876" i="9"/>
  <c r="C876" i="9"/>
  <c r="C954" i="9"/>
  <c r="D954" i="9"/>
  <c r="H954" i="9"/>
  <c r="F954" i="9"/>
  <c r="G954" i="9"/>
  <c r="E954" i="9"/>
  <c r="H784" i="9"/>
  <c r="C784" i="9"/>
  <c r="C797" i="9"/>
  <c r="F797" i="9"/>
  <c r="G803" i="9"/>
  <c r="C803" i="9"/>
  <c r="D824" i="9"/>
  <c r="H824" i="9"/>
  <c r="E828" i="9"/>
  <c r="C828" i="9"/>
  <c r="H828" i="9"/>
  <c r="G839" i="9"/>
  <c r="E839" i="9"/>
  <c r="H1023" i="9"/>
  <c r="G1023" i="9"/>
  <c r="F1023" i="9"/>
  <c r="E1023" i="9"/>
  <c r="D1023" i="9"/>
  <c r="C1023" i="9"/>
  <c r="C906" i="9"/>
  <c r="D906" i="9"/>
  <c r="H906" i="9"/>
  <c r="E906" i="9"/>
  <c r="G974" i="9"/>
  <c r="E974" i="9"/>
  <c r="F974" i="9"/>
  <c r="C974" i="9"/>
  <c r="D752" i="9"/>
  <c r="H752" i="9"/>
  <c r="G815" i="9"/>
  <c r="E815" i="9"/>
  <c r="E817" i="9"/>
  <c r="D817" i="9"/>
  <c r="C819" i="9"/>
  <c r="D819" i="9"/>
  <c r="F854" i="9"/>
  <c r="G856" i="9"/>
  <c r="C867" i="9"/>
  <c r="H871" i="9"/>
  <c r="G871" i="9"/>
  <c r="E898" i="9"/>
  <c r="E904" i="9"/>
  <c r="D904" i="9"/>
  <c r="C904" i="9"/>
  <c r="F906" i="9"/>
  <c r="C909" i="9"/>
  <c r="C932" i="9"/>
  <c r="H932" i="9"/>
  <c r="G932" i="9"/>
  <c r="D932" i="9"/>
  <c r="F932" i="9"/>
  <c r="D974" i="9"/>
  <c r="G854" i="9"/>
  <c r="D867" i="9"/>
  <c r="G906" i="9"/>
  <c r="D909" i="9"/>
  <c r="G914" i="9"/>
  <c r="D914" i="9"/>
  <c r="C914" i="9"/>
  <c r="F914" i="9"/>
  <c r="H919" i="9"/>
  <c r="C919" i="9"/>
  <c r="G919" i="9"/>
  <c r="E919" i="9"/>
  <c r="D919" i="9"/>
  <c r="G962" i="9"/>
  <c r="D962" i="9"/>
  <c r="C962" i="9"/>
  <c r="H962" i="9"/>
  <c r="E962" i="9"/>
  <c r="H974" i="9"/>
  <c r="D899" i="9"/>
  <c r="G899" i="9"/>
  <c r="F899" i="9"/>
  <c r="E899" i="9"/>
  <c r="C899" i="9"/>
  <c r="H922" i="9"/>
  <c r="C922" i="9"/>
  <c r="H943" i="9"/>
  <c r="C943" i="9"/>
  <c r="G943" i="9"/>
  <c r="E943" i="9"/>
  <c r="D959" i="9"/>
  <c r="H959" i="9"/>
  <c r="C959" i="9"/>
  <c r="G959" i="9"/>
  <c r="F959" i="9"/>
  <c r="H874" i="9"/>
  <c r="D874" i="9"/>
  <c r="G874" i="9"/>
  <c r="F874" i="9"/>
  <c r="C930" i="9"/>
  <c r="D930" i="9"/>
  <c r="H930" i="9"/>
  <c r="F930" i="9"/>
  <c r="E930" i="9"/>
  <c r="H946" i="9"/>
  <c r="F946" i="9"/>
  <c r="D946" i="9"/>
  <c r="C946" i="9"/>
  <c r="F960" i="9"/>
  <c r="E960" i="9"/>
  <c r="H960" i="9"/>
  <c r="G960" i="9"/>
  <c r="C960" i="9"/>
  <c r="C874" i="9"/>
  <c r="D887" i="9"/>
  <c r="H887" i="9"/>
  <c r="G887" i="9"/>
  <c r="G902" i="9"/>
  <c r="E902" i="9"/>
  <c r="G930" i="9"/>
  <c r="F936" i="9"/>
  <c r="E936" i="9"/>
  <c r="G938" i="9"/>
  <c r="D938" i="9"/>
  <c r="C938" i="9"/>
  <c r="E946" i="9"/>
  <c r="E952" i="9"/>
  <c r="D952" i="9"/>
  <c r="F952" i="9"/>
  <c r="H952" i="9"/>
  <c r="D960" i="9"/>
  <c r="E864" i="9"/>
  <c r="C864" i="9"/>
  <c r="E874" i="9"/>
  <c r="E880" i="9"/>
  <c r="D880" i="9"/>
  <c r="C882" i="9"/>
  <c r="D882" i="9"/>
  <c r="H882" i="9"/>
  <c r="G890" i="9"/>
  <c r="D890" i="9"/>
  <c r="C890" i="9"/>
  <c r="F890" i="9"/>
  <c r="E890" i="9"/>
  <c r="D941" i="9"/>
  <c r="H941" i="9"/>
  <c r="C941" i="9"/>
  <c r="G941" i="9"/>
  <c r="F941" i="9"/>
  <c r="D875" i="9"/>
  <c r="G875" i="9"/>
  <c r="F875" i="9"/>
  <c r="C875" i="9"/>
  <c r="H895" i="9"/>
  <c r="C895" i="9"/>
  <c r="G895" i="9"/>
  <c r="D895" i="9"/>
  <c r="D923" i="9"/>
  <c r="G923" i="9"/>
  <c r="F923" i="9"/>
  <c r="E923" i="9"/>
  <c r="E928" i="9"/>
  <c r="D928" i="9"/>
  <c r="H928" i="9"/>
  <c r="F928" i="9"/>
  <c r="C928" i="9"/>
  <c r="D947" i="9"/>
  <c r="G947" i="9"/>
  <c r="F947" i="9"/>
  <c r="C947" i="9"/>
  <c r="D848" i="9"/>
  <c r="H848" i="9"/>
  <c r="G860" i="9"/>
  <c r="C860" i="9"/>
  <c r="F864" i="9"/>
  <c r="E875" i="9"/>
  <c r="F880" i="9"/>
  <c r="F882" i="9"/>
  <c r="F885" i="9"/>
  <c r="E885" i="9"/>
  <c r="H885" i="9"/>
  <c r="F887" i="9"/>
  <c r="E895" i="9"/>
  <c r="F902" i="9"/>
  <c r="C923" i="9"/>
  <c r="G928" i="9"/>
  <c r="G936" i="9"/>
  <c r="H938" i="9"/>
  <c r="E947" i="9"/>
  <c r="E856" i="9"/>
  <c r="C856" i="9"/>
  <c r="G864" i="9"/>
  <c r="H875" i="9"/>
  <c r="G880" i="9"/>
  <c r="G882" i="9"/>
  <c r="F888" i="9"/>
  <c r="E888" i="9"/>
  <c r="H888" i="9"/>
  <c r="D888" i="9"/>
  <c r="C888" i="9"/>
  <c r="F895" i="9"/>
  <c r="H898" i="9"/>
  <c r="G898" i="9"/>
  <c r="H902" i="9"/>
  <c r="H923" i="9"/>
  <c r="H936" i="9"/>
  <c r="E939" i="9"/>
  <c r="C939" i="9"/>
  <c r="G939" i="9"/>
  <c r="F939" i="9"/>
  <c r="H947" i="9"/>
  <c r="D879" i="9"/>
  <c r="C879" i="9"/>
  <c r="C908" i="9"/>
  <c r="H908" i="9"/>
  <c r="G908" i="9"/>
  <c r="D917" i="9"/>
  <c r="H917" i="9"/>
  <c r="D935" i="9"/>
  <c r="H935" i="9"/>
  <c r="F975" i="9"/>
  <c r="D975" i="9"/>
  <c r="C975" i="9"/>
  <c r="H999" i="9"/>
  <c r="G999" i="9"/>
  <c r="F999" i="9"/>
  <c r="E999" i="9"/>
  <c r="D999" i="9"/>
  <c r="C999" i="9"/>
  <c r="C1002" i="9"/>
  <c r="D1002" i="9"/>
  <c r="H1002" i="9"/>
  <c r="D1019" i="9"/>
  <c r="H1019" i="9"/>
  <c r="G1019" i="9"/>
  <c r="F1019" i="9"/>
  <c r="H1158" i="9"/>
  <c r="D1158" i="9"/>
  <c r="C1158" i="9"/>
  <c r="G1158" i="9"/>
  <c r="F1158" i="9"/>
  <c r="E1158" i="9"/>
  <c r="E879" i="9"/>
  <c r="D908" i="9"/>
  <c r="C915" i="9"/>
  <c r="C917" i="9"/>
  <c r="C924" i="9"/>
  <c r="G926" i="9"/>
  <c r="E926" i="9"/>
  <c r="C935" i="9"/>
  <c r="E957" i="9"/>
  <c r="D971" i="9"/>
  <c r="G971" i="9"/>
  <c r="F971" i="9"/>
  <c r="E975" i="9"/>
  <c r="C980" i="9"/>
  <c r="H980" i="9"/>
  <c r="G980" i="9"/>
  <c r="E1000" i="9"/>
  <c r="D1000" i="9"/>
  <c r="E1002" i="9"/>
  <c r="C1019" i="9"/>
  <c r="D995" i="9"/>
  <c r="H995" i="9"/>
  <c r="G995" i="9"/>
  <c r="F995" i="9"/>
  <c r="C884" i="9"/>
  <c r="H884" i="9"/>
  <c r="G884" i="9"/>
  <c r="D893" i="9"/>
  <c r="H893" i="9"/>
  <c r="D911" i="9"/>
  <c r="H911" i="9"/>
  <c r="D951" i="9"/>
  <c r="C951" i="9"/>
  <c r="H975" i="9"/>
  <c r="C978" i="9"/>
  <c r="D978" i="9"/>
  <c r="H978" i="9"/>
  <c r="C995" i="9"/>
  <c r="G1002" i="9"/>
  <c r="G1010" i="9"/>
  <c r="H1010" i="9"/>
  <c r="F1010" i="9"/>
  <c r="E1010" i="9"/>
  <c r="D1010" i="9"/>
  <c r="C1010" i="9"/>
  <c r="G1034" i="9"/>
  <c r="H1034" i="9"/>
  <c r="F1034" i="9"/>
  <c r="E1034" i="9"/>
  <c r="D1034" i="9"/>
  <c r="C1034" i="9"/>
  <c r="D1130" i="9"/>
  <c r="C1130" i="9"/>
  <c r="H1130" i="9"/>
  <c r="G1130" i="9"/>
  <c r="F1130" i="9"/>
  <c r="E1130" i="9"/>
  <c r="H971" i="9"/>
  <c r="E976" i="9"/>
  <c r="D976" i="9"/>
  <c r="E978" i="9"/>
  <c r="F980" i="9"/>
  <c r="E995" i="9"/>
  <c r="G1000" i="9"/>
  <c r="H1095" i="9"/>
  <c r="G1095" i="9"/>
  <c r="F1095" i="9"/>
  <c r="E1095" i="9"/>
  <c r="D1095" i="9"/>
  <c r="C1095" i="9"/>
  <c r="H967" i="9"/>
  <c r="C967" i="9"/>
  <c r="G967" i="9"/>
  <c r="F978" i="9"/>
  <c r="H991" i="9"/>
  <c r="C991" i="9"/>
  <c r="G991" i="9"/>
  <c r="H1008" i="9"/>
  <c r="G1008" i="9"/>
  <c r="F1008" i="9"/>
  <c r="E1008" i="9"/>
  <c r="H1032" i="9"/>
  <c r="G1032" i="9"/>
  <c r="F1032" i="9"/>
  <c r="E1032" i="9"/>
  <c r="C956" i="9"/>
  <c r="H956" i="9"/>
  <c r="G956" i="9"/>
  <c r="D965" i="9"/>
  <c r="H965" i="9"/>
  <c r="G986" i="9"/>
  <c r="H986" i="9"/>
  <c r="F986" i="9"/>
  <c r="E986" i="9"/>
  <c r="D986" i="9"/>
  <c r="C986" i="9"/>
  <c r="D989" i="9"/>
  <c r="H989" i="9"/>
  <c r="E1079" i="9"/>
  <c r="D1079" i="9"/>
  <c r="H1079" i="9"/>
  <c r="G1079" i="9"/>
  <c r="F1079" i="9"/>
  <c r="C1079" i="9"/>
  <c r="H1102" i="9"/>
  <c r="G1102" i="9"/>
  <c r="F1102" i="9"/>
  <c r="E1102" i="9"/>
  <c r="D1102" i="9"/>
  <c r="C1102" i="9"/>
  <c r="H1172" i="9"/>
  <c r="E1172" i="9"/>
  <c r="G1172" i="9"/>
  <c r="F1172" i="9"/>
  <c r="D1172" i="9"/>
  <c r="C1172" i="9"/>
  <c r="G1220" i="9"/>
  <c r="F1220" i="9"/>
  <c r="E1220" i="9"/>
  <c r="H1220" i="9"/>
  <c r="D1220" i="9"/>
  <c r="C1220" i="9"/>
  <c r="F1128" i="9"/>
  <c r="E1128" i="9"/>
  <c r="H1128" i="9"/>
  <c r="G1128" i="9"/>
  <c r="D1128" i="9"/>
  <c r="C1128" i="9"/>
  <c r="H970" i="9"/>
  <c r="C970" i="9"/>
  <c r="H984" i="9"/>
  <c r="G984" i="9"/>
  <c r="F984" i="9"/>
  <c r="E984" i="9"/>
  <c r="G1109" i="9"/>
  <c r="F1109" i="9"/>
  <c r="H1109" i="9"/>
  <c r="E1109" i="9"/>
  <c r="D1109" i="9"/>
  <c r="C1109" i="9"/>
  <c r="G1202" i="9"/>
  <c r="H1202" i="9"/>
  <c r="D1202" i="9"/>
  <c r="C1202" i="9"/>
  <c r="F1202" i="9"/>
  <c r="E1202" i="9"/>
  <c r="C984" i="9"/>
  <c r="E1135" i="9"/>
  <c r="D1135" i="9"/>
  <c r="H1135" i="9"/>
  <c r="G1135" i="9"/>
  <c r="F1135" i="9"/>
  <c r="C1135" i="9"/>
  <c r="C858" i="9"/>
  <c r="H858" i="9"/>
  <c r="G866" i="9"/>
  <c r="C866" i="9"/>
  <c r="G950" i="9"/>
  <c r="E950" i="9"/>
  <c r="G963" i="9"/>
  <c r="G965" i="9"/>
  <c r="E970" i="9"/>
  <c r="D984" i="9"/>
  <c r="G989" i="9"/>
  <c r="C1004" i="9"/>
  <c r="H1004" i="9"/>
  <c r="G1004" i="9"/>
  <c r="D1066" i="9"/>
  <c r="E1070" i="9"/>
  <c r="D1090" i="9"/>
  <c r="D1097" i="9"/>
  <c r="H1114" i="9"/>
  <c r="G1114" i="9"/>
  <c r="D1116" i="9"/>
  <c r="G1121" i="9"/>
  <c r="F1121" i="9"/>
  <c r="F1143" i="9"/>
  <c r="E1143" i="9"/>
  <c r="D1143" i="9"/>
  <c r="H1153" i="9"/>
  <c r="G1153" i="9"/>
  <c r="G1166" i="9"/>
  <c r="H1166" i="9"/>
  <c r="D1166" i="9"/>
  <c r="G1190" i="9"/>
  <c r="C1190" i="9"/>
  <c r="E1190" i="9"/>
  <c r="D1190" i="9"/>
  <c r="C1251" i="9"/>
  <c r="F1251" i="9"/>
  <c r="H1251" i="9"/>
  <c r="G1251" i="9"/>
  <c r="E1251" i="9"/>
  <c r="D1251" i="9"/>
  <c r="E1260" i="9"/>
  <c r="G1260" i="9"/>
  <c r="H1260" i="9"/>
  <c r="D1260" i="9"/>
  <c r="C1260" i="9"/>
  <c r="G873" i="9"/>
  <c r="F886" i="9"/>
  <c r="G897" i="9"/>
  <c r="F910" i="9"/>
  <c r="G921" i="9"/>
  <c r="F934" i="9"/>
  <c r="G945" i="9"/>
  <c r="F958" i="9"/>
  <c r="G969" i="9"/>
  <c r="F982" i="9"/>
  <c r="G993" i="9"/>
  <c r="F1006" i="9"/>
  <c r="H1013" i="9"/>
  <c r="G1015" i="9"/>
  <c r="G1017" i="9"/>
  <c r="H1026" i="9"/>
  <c r="G1028" i="9"/>
  <c r="F1030" i="9"/>
  <c r="H1049" i="9"/>
  <c r="D1062" i="9"/>
  <c r="C1062" i="9"/>
  <c r="E1066" i="9"/>
  <c r="G1068" i="9"/>
  <c r="E1075" i="9"/>
  <c r="H1075" i="9"/>
  <c r="C1077" i="9"/>
  <c r="G1077" i="9"/>
  <c r="F1077" i="9"/>
  <c r="F1083" i="9"/>
  <c r="E1090" i="9"/>
  <c r="E1097" i="9"/>
  <c r="C1107" i="9"/>
  <c r="C1114" i="9"/>
  <c r="G1116" i="9"/>
  <c r="C1121" i="9"/>
  <c r="H1126" i="9"/>
  <c r="G1126" i="9"/>
  <c r="G1133" i="9"/>
  <c r="F1133" i="9"/>
  <c r="C1138" i="9"/>
  <c r="F1140" i="9"/>
  <c r="C1143" i="9"/>
  <c r="F1146" i="9"/>
  <c r="E1146" i="9"/>
  <c r="G1148" i="9"/>
  <c r="D1148" i="9"/>
  <c r="C1148" i="9"/>
  <c r="H1148" i="9"/>
  <c r="C1153" i="9"/>
  <c r="C1166" i="9"/>
  <c r="F1190" i="9"/>
  <c r="F1260" i="9"/>
  <c r="H873" i="9"/>
  <c r="H897" i="9"/>
  <c r="H921" i="9"/>
  <c r="H945" i="9"/>
  <c r="H969" i="9"/>
  <c r="G982" i="9"/>
  <c r="C988" i="9"/>
  <c r="H993" i="9"/>
  <c r="G1006" i="9"/>
  <c r="C1012" i="9"/>
  <c r="H1017" i="9"/>
  <c r="H1028" i="9"/>
  <c r="G1030" i="9"/>
  <c r="C1036" i="9"/>
  <c r="C1042" i="9"/>
  <c r="C1044" i="9"/>
  <c r="D1046" i="9"/>
  <c r="G1046" i="9"/>
  <c r="C1054" i="9"/>
  <c r="C1056" i="9"/>
  <c r="D1058" i="9"/>
  <c r="H1058" i="9"/>
  <c r="G1058" i="9"/>
  <c r="E1062" i="9"/>
  <c r="F1066" i="9"/>
  <c r="H1068" i="9"/>
  <c r="C1075" i="9"/>
  <c r="D1077" i="9"/>
  <c r="G1083" i="9"/>
  <c r="D1086" i="9"/>
  <c r="C1086" i="9"/>
  <c r="D1107" i="9"/>
  <c r="D1114" i="9"/>
  <c r="C1119" i="9"/>
  <c r="D1121" i="9"/>
  <c r="C1126" i="9"/>
  <c r="C1133" i="9"/>
  <c r="D1138" i="9"/>
  <c r="G1143" i="9"/>
  <c r="C1146" i="9"/>
  <c r="E1148" i="9"/>
  <c r="D1153" i="9"/>
  <c r="E1156" i="9"/>
  <c r="D1156" i="9"/>
  <c r="E1166" i="9"/>
  <c r="H1190" i="9"/>
  <c r="C1203" i="9"/>
  <c r="H1203" i="9"/>
  <c r="G1203" i="9"/>
  <c r="E1203" i="9"/>
  <c r="D1203" i="9"/>
  <c r="G1066" i="9"/>
  <c r="E1091" i="9"/>
  <c r="D1091" i="9"/>
  <c r="D1098" i="9"/>
  <c r="C1098" i="9"/>
  <c r="E1107" i="9"/>
  <c r="E1114" i="9"/>
  <c r="E1121" i="9"/>
  <c r="F1138" i="9"/>
  <c r="H1143" i="9"/>
  <c r="E1153" i="9"/>
  <c r="F1166" i="9"/>
  <c r="C1191" i="9"/>
  <c r="H1191" i="9"/>
  <c r="G1191" i="9"/>
  <c r="D1191" i="9"/>
  <c r="C981" i="9"/>
  <c r="C1005" i="9"/>
  <c r="C1029" i="9"/>
  <c r="E1067" i="9"/>
  <c r="D1067" i="9"/>
  <c r="C1091" i="9"/>
  <c r="E1098" i="9"/>
  <c r="E1103" i="9"/>
  <c r="D1103" i="9"/>
  <c r="F1107" i="9"/>
  <c r="D1110" i="9"/>
  <c r="C1110" i="9"/>
  <c r="F1114" i="9"/>
  <c r="H1121" i="9"/>
  <c r="G1138" i="9"/>
  <c r="G1144" i="9"/>
  <c r="F1144" i="9"/>
  <c r="G1146" i="9"/>
  <c r="F1153" i="9"/>
  <c r="D1161" i="9"/>
  <c r="C1161" i="9"/>
  <c r="H1161" i="9"/>
  <c r="G1161" i="9"/>
  <c r="C1164" i="9"/>
  <c r="H1164" i="9"/>
  <c r="E1164" i="9"/>
  <c r="C1170" i="9"/>
  <c r="H1170" i="9"/>
  <c r="E1170" i="9"/>
  <c r="C1182" i="9"/>
  <c r="H1182" i="9"/>
  <c r="F1182" i="9"/>
  <c r="F1185" i="9"/>
  <c r="C1185" i="9"/>
  <c r="H1185" i="9"/>
  <c r="G1185" i="9"/>
  <c r="E1185" i="9"/>
  <c r="E1191" i="9"/>
  <c r="H1207" i="9"/>
  <c r="F1207" i="9"/>
  <c r="E1207" i="9"/>
  <c r="C1218" i="9"/>
  <c r="G1218" i="9"/>
  <c r="H1218" i="9"/>
  <c r="E1218" i="9"/>
  <c r="D1218" i="9"/>
  <c r="E1228" i="9"/>
  <c r="H1228" i="9"/>
  <c r="F1228" i="9"/>
  <c r="D1228" i="9"/>
  <c r="C1228" i="9"/>
  <c r="H1279" i="9"/>
  <c r="C1279" i="9"/>
  <c r="E1279" i="9"/>
  <c r="F1279" i="9"/>
  <c r="D1279" i="9"/>
  <c r="F1329" i="9"/>
  <c r="G1329" i="9"/>
  <c r="E1329" i="9"/>
  <c r="D1329" i="9"/>
  <c r="H1329" i="9"/>
  <c r="C1329" i="9"/>
  <c r="D1082" i="9"/>
  <c r="H1082" i="9"/>
  <c r="G1082" i="9"/>
  <c r="G1107" i="9"/>
  <c r="E1115" i="9"/>
  <c r="D1115" i="9"/>
  <c r="D1122" i="9"/>
  <c r="C1122" i="9"/>
  <c r="H1138" i="9"/>
  <c r="F1210" i="9"/>
  <c r="H1210" i="9"/>
  <c r="E1210" i="9"/>
  <c r="D1210" i="9"/>
  <c r="C1210" i="9"/>
  <c r="H1243" i="9"/>
  <c r="G1243" i="9"/>
  <c r="F1243" i="9"/>
  <c r="E1243" i="9"/>
  <c r="C1246" i="9"/>
  <c r="H1246" i="9"/>
  <c r="F1246" i="9"/>
  <c r="G1246" i="9"/>
  <c r="E1246" i="9"/>
  <c r="D1246" i="9"/>
  <c r="E1063" i="9"/>
  <c r="H1063" i="9"/>
  <c r="C1065" i="9"/>
  <c r="G1065" i="9"/>
  <c r="F1065" i="9"/>
  <c r="E1127" i="9"/>
  <c r="D1127" i="9"/>
  <c r="D1134" i="9"/>
  <c r="C1134" i="9"/>
  <c r="F1186" i="9"/>
  <c r="D1186" i="9"/>
  <c r="C1186" i="9"/>
  <c r="C1243" i="9"/>
  <c r="E1087" i="9"/>
  <c r="D1087" i="9"/>
  <c r="H1087" i="9"/>
  <c r="F1122" i="9"/>
  <c r="C1127" i="9"/>
  <c r="E1134" i="9"/>
  <c r="H1142" i="9"/>
  <c r="G1142" i="9"/>
  <c r="D1157" i="9"/>
  <c r="G1157" i="9"/>
  <c r="F1157" i="9"/>
  <c r="E1162" i="9"/>
  <c r="F1162" i="9"/>
  <c r="G1178" i="9"/>
  <c r="E1178" i="9"/>
  <c r="E1186" i="9"/>
  <c r="D1243" i="9"/>
  <c r="E1039" i="9"/>
  <c r="H1039" i="9"/>
  <c r="C1041" i="9"/>
  <c r="F1041" i="9"/>
  <c r="E1051" i="9"/>
  <c r="H1051" i="9"/>
  <c r="C1053" i="9"/>
  <c r="F1053" i="9"/>
  <c r="D1074" i="9"/>
  <c r="C1074" i="9"/>
  <c r="F1092" i="9"/>
  <c r="E1092" i="9"/>
  <c r="D1094" i="9"/>
  <c r="C1094" i="9"/>
  <c r="H1094" i="9"/>
  <c r="G1094" i="9"/>
  <c r="E1099" i="9"/>
  <c r="D1099" i="9"/>
  <c r="H1099" i="9"/>
  <c r="G1122" i="9"/>
  <c r="F1127" i="9"/>
  <c r="F1134" i="9"/>
  <c r="E1168" i="9"/>
  <c r="H1168" i="9"/>
  <c r="D1168" i="9"/>
  <c r="H1183" i="9"/>
  <c r="C1183" i="9"/>
  <c r="F1183" i="9"/>
  <c r="E1183" i="9"/>
  <c r="D1183" i="9"/>
  <c r="G1186" i="9"/>
  <c r="E998" i="9"/>
  <c r="C1015" i="9"/>
  <c r="D1026" i="9"/>
  <c r="C1039" i="9"/>
  <c r="D1041" i="9"/>
  <c r="C1049" i="9"/>
  <c r="C1051" i="9"/>
  <c r="D1053" i="9"/>
  <c r="E1074" i="9"/>
  <c r="G1085" i="9"/>
  <c r="F1085" i="9"/>
  <c r="C1092" i="9"/>
  <c r="E1094" i="9"/>
  <c r="C1099" i="9"/>
  <c r="F1104" i="9"/>
  <c r="E1104" i="9"/>
  <c r="D1106" i="9"/>
  <c r="C1106" i="9"/>
  <c r="H1106" i="9"/>
  <c r="G1106" i="9"/>
  <c r="E1111" i="9"/>
  <c r="D1111" i="9"/>
  <c r="H1111" i="9"/>
  <c r="H1122" i="9"/>
  <c r="G1127" i="9"/>
  <c r="G1134" i="9"/>
  <c r="D1137" i="9"/>
  <c r="C1137" i="9"/>
  <c r="H1137" i="9"/>
  <c r="G1137" i="9"/>
  <c r="D1145" i="9"/>
  <c r="E1145" i="9"/>
  <c r="C1145" i="9"/>
  <c r="H1186" i="9"/>
  <c r="G1238" i="9"/>
  <c r="C1238" i="9"/>
  <c r="H1238" i="9"/>
  <c r="E1238" i="9"/>
  <c r="G1262" i="9"/>
  <c r="C1262" i="9"/>
  <c r="F1262" i="9"/>
  <c r="E1262" i="9"/>
  <c r="D1262" i="9"/>
  <c r="D1070" i="9"/>
  <c r="H1070" i="9"/>
  <c r="G1070" i="9"/>
  <c r="H1090" i="9"/>
  <c r="G1090" i="9"/>
  <c r="G1097" i="9"/>
  <c r="F1097" i="9"/>
  <c r="F1116" i="9"/>
  <c r="E1116" i="9"/>
  <c r="D1118" i="9"/>
  <c r="C1118" i="9"/>
  <c r="H1118" i="9"/>
  <c r="G1118" i="9"/>
  <c r="E1123" i="9"/>
  <c r="D1123" i="9"/>
  <c r="H1123" i="9"/>
  <c r="C1140" i="9"/>
  <c r="H1140" i="9"/>
  <c r="F1155" i="9"/>
  <c r="H1155" i="9"/>
  <c r="G1155" i="9"/>
  <c r="F1233" i="9"/>
  <c r="D1233" i="9"/>
  <c r="C1233" i="9"/>
  <c r="C1266" i="9"/>
  <c r="H1266" i="9"/>
  <c r="G1266" i="9"/>
  <c r="F1266" i="9"/>
  <c r="E1266" i="9"/>
  <c r="D1266" i="9"/>
  <c r="G1310" i="9"/>
  <c r="C1310" i="9"/>
  <c r="H1310" i="9"/>
  <c r="E1310" i="9"/>
  <c r="D1310" i="9"/>
  <c r="F1310" i="9"/>
  <c r="E1072" i="9"/>
  <c r="E1084" i="9"/>
  <c r="F1089" i="9"/>
  <c r="E1096" i="9"/>
  <c r="F1101" i="9"/>
  <c r="E1108" i="9"/>
  <c r="F1113" i="9"/>
  <c r="E1120" i="9"/>
  <c r="F1125" i="9"/>
  <c r="E1132" i="9"/>
  <c r="F1139" i="9"/>
  <c r="E1141" i="9"/>
  <c r="G1150" i="9"/>
  <c r="F1152" i="9"/>
  <c r="E1154" i="9"/>
  <c r="F1163" i="9"/>
  <c r="E1165" i="9"/>
  <c r="E1167" i="9"/>
  <c r="E1169" i="9"/>
  <c r="F1171" i="9"/>
  <c r="D1188" i="9"/>
  <c r="E1194" i="9"/>
  <c r="E1196" i="9"/>
  <c r="E1198" i="9"/>
  <c r="E1200" i="9"/>
  <c r="D1204" i="9"/>
  <c r="E1206" i="9"/>
  <c r="E1215" i="9"/>
  <c r="F1235" i="9"/>
  <c r="F1242" i="9"/>
  <c r="F1245" i="9"/>
  <c r="G1245" i="9"/>
  <c r="H1245" i="9"/>
  <c r="D1248" i="9"/>
  <c r="G1248" i="9"/>
  <c r="E1270" i="9"/>
  <c r="F1317" i="9"/>
  <c r="G1317" i="9"/>
  <c r="C1317" i="9"/>
  <c r="H1317" i="9"/>
  <c r="G1409" i="9"/>
  <c r="F1409" i="9"/>
  <c r="E1409" i="9"/>
  <c r="D1409" i="9"/>
  <c r="C1409" i="9"/>
  <c r="H1409" i="9"/>
  <c r="G1089" i="9"/>
  <c r="G1101" i="9"/>
  <c r="G1113" i="9"/>
  <c r="G1125" i="9"/>
  <c r="G1139" i="9"/>
  <c r="F1141" i="9"/>
  <c r="H1150" i="9"/>
  <c r="G1152" i="9"/>
  <c r="G1163" i="9"/>
  <c r="F1165" i="9"/>
  <c r="F1167" i="9"/>
  <c r="G1169" i="9"/>
  <c r="F1188" i="9"/>
  <c r="F1194" i="9"/>
  <c r="F1215" i="9"/>
  <c r="G1226" i="9"/>
  <c r="H1226" i="9"/>
  <c r="E1226" i="9"/>
  <c r="G1235" i="9"/>
  <c r="F1258" i="9"/>
  <c r="E1258" i="9"/>
  <c r="H1265" i="9"/>
  <c r="D1265" i="9"/>
  <c r="F1265" i="9"/>
  <c r="C1265" i="9"/>
  <c r="F1270" i="9"/>
  <c r="F1282" i="9"/>
  <c r="E1282" i="9"/>
  <c r="D1282" i="9"/>
  <c r="C1282" i="9"/>
  <c r="C1290" i="9"/>
  <c r="G1290" i="9"/>
  <c r="H1290" i="9"/>
  <c r="F1290" i="9"/>
  <c r="E1290" i="9"/>
  <c r="G1296" i="9"/>
  <c r="E1296" i="9"/>
  <c r="G1298" i="9"/>
  <c r="H1298" i="9"/>
  <c r="E1298" i="9"/>
  <c r="D1298" i="9"/>
  <c r="H1311" i="9"/>
  <c r="E1311" i="9"/>
  <c r="D1311" i="9"/>
  <c r="C1311" i="9"/>
  <c r="D1317" i="9"/>
  <c r="E1340" i="9"/>
  <c r="C1340" i="9"/>
  <c r="H1340" i="9"/>
  <c r="G1340" i="9"/>
  <c r="F1340" i="9"/>
  <c r="C1410" i="9"/>
  <c r="H1410" i="9"/>
  <c r="G1410" i="9"/>
  <c r="F1410" i="9"/>
  <c r="E1410" i="9"/>
  <c r="D1410" i="9"/>
  <c r="F1330" i="9"/>
  <c r="E1330" i="9"/>
  <c r="C1330" i="9"/>
  <c r="G1330" i="9"/>
  <c r="D1330" i="9"/>
  <c r="E1263" i="9"/>
  <c r="F1263" i="9"/>
  <c r="C1263" i="9"/>
  <c r="C1275" i="9"/>
  <c r="D1275" i="9"/>
  <c r="E1275" i="9"/>
  <c r="H1275" i="9"/>
  <c r="H1330" i="9"/>
  <c r="F1341" i="9"/>
  <c r="G1341" i="9"/>
  <c r="E1341" i="9"/>
  <c r="D1341" i="9"/>
  <c r="C1347" i="9"/>
  <c r="H1347" i="9"/>
  <c r="F1347" i="9"/>
  <c r="E1347" i="9"/>
  <c r="D1347" i="9"/>
  <c r="D1271" i="9"/>
  <c r="F1271" i="9"/>
  <c r="E1271" i="9"/>
  <c r="C1271" i="9"/>
  <c r="F1275" i="9"/>
  <c r="D1283" i="9"/>
  <c r="C1283" i="9"/>
  <c r="H1283" i="9"/>
  <c r="G1294" i="9"/>
  <c r="D1294" i="9"/>
  <c r="H1294" i="9"/>
  <c r="F1296" i="9"/>
  <c r="C1299" i="9"/>
  <c r="F1299" i="9"/>
  <c r="E1299" i="9"/>
  <c r="D1299" i="9"/>
  <c r="D1331" i="9"/>
  <c r="C1331" i="9"/>
  <c r="H1331" i="9"/>
  <c r="G1331" i="9"/>
  <c r="C1341" i="9"/>
  <c r="G1347" i="9"/>
  <c r="D1187" i="9"/>
  <c r="C1187" i="9"/>
  <c r="F1234" i="9"/>
  <c r="H1234" i="9"/>
  <c r="E1234" i="9"/>
  <c r="H1241" i="9"/>
  <c r="G1241" i="9"/>
  <c r="G1256" i="9"/>
  <c r="D1256" i="9"/>
  <c r="H1256" i="9"/>
  <c r="G1263" i="9"/>
  <c r="G1271" i="9"/>
  <c r="G1275" i="9"/>
  <c r="E1283" i="9"/>
  <c r="E1212" i="9"/>
  <c r="H1212" i="9"/>
  <c r="G1214" i="9"/>
  <c r="C1214" i="9"/>
  <c r="H1214" i="9"/>
  <c r="H1263" i="9"/>
  <c r="H1271" i="9"/>
  <c r="E1276" i="9"/>
  <c r="C1276" i="9"/>
  <c r="G1286" i="9"/>
  <c r="C1286" i="9"/>
  <c r="F1286" i="9"/>
  <c r="E1286" i="9"/>
  <c r="D1286" i="9"/>
  <c r="C1302" i="9"/>
  <c r="H1302" i="9"/>
  <c r="G1302" i="9"/>
  <c r="E1302" i="9"/>
  <c r="F1302" i="9"/>
  <c r="D1302" i="9"/>
  <c r="E1342" i="9"/>
  <c r="C1342" i="9"/>
  <c r="D1342" i="9"/>
  <c r="H1342" i="9"/>
  <c r="G1232" i="9"/>
  <c r="H1232" i="9"/>
  <c r="E1232" i="9"/>
  <c r="H1303" i="9"/>
  <c r="D1303" i="9"/>
  <c r="G1303" i="9"/>
  <c r="H1315" i="9"/>
  <c r="G1315" i="9"/>
  <c r="F1315" i="9"/>
  <c r="E1315" i="9"/>
  <c r="D1315" i="9"/>
  <c r="G1322" i="9"/>
  <c r="E1322" i="9"/>
  <c r="C1322" i="9"/>
  <c r="H1322" i="9"/>
  <c r="F1322" i="9"/>
  <c r="D1322" i="9"/>
  <c r="D1175" i="9"/>
  <c r="F1175" i="9"/>
  <c r="E1175" i="9"/>
  <c r="C1179" i="9"/>
  <c r="D1179" i="9"/>
  <c r="G1187" i="9"/>
  <c r="G1208" i="9"/>
  <c r="H1208" i="9"/>
  <c r="D1212" i="9"/>
  <c r="E1214" i="9"/>
  <c r="C1232" i="9"/>
  <c r="D1247" i="9"/>
  <c r="F1247" i="9"/>
  <c r="H1247" i="9"/>
  <c r="F1256" i="9"/>
  <c r="F1276" i="9"/>
  <c r="E1284" i="9"/>
  <c r="G1284" i="9"/>
  <c r="F1284" i="9"/>
  <c r="D1284" i="9"/>
  <c r="C1287" i="9"/>
  <c r="H1287" i="9"/>
  <c r="G1292" i="9"/>
  <c r="C1292" i="9"/>
  <c r="H1292" i="9"/>
  <c r="F1292" i="9"/>
  <c r="C1303" i="9"/>
  <c r="F1306" i="9"/>
  <c r="H1306" i="9"/>
  <c r="E1306" i="9"/>
  <c r="G1306" i="9"/>
  <c r="D1306" i="9"/>
  <c r="C1306" i="9"/>
  <c r="C1315" i="9"/>
  <c r="C1323" i="9"/>
  <c r="F1323" i="9"/>
  <c r="E1323" i="9"/>
  <c r="E1356" i="9"/>
  <c r="H1356" i="9"/>
  <c r="G1356" i="9"/>
  <c r="F1356" i="9"/>
  <c r="D1356" i="9"/>
  <c r="C1356" i="9"/>
  <c r="C1150" i="9"/>
  <c r="H1171" i="9"/>
  <c r="E1171" i="9"/>
  <c r="F1173" i="9"/>
  <c r="G1173" i="9"/>
  <c r="D1173" i="9"/>
  <c r="C1175" i="9"/>
  <c r="E1179" i="9"/>
  <c r="H1187" i="9"/>
  <c r="C1208" i="9"/>
  <c r="F1212" i="9"/>
  <c r="F1214" i="9"/>
  <c r="G1227" i="9"/>
  <c r="D1232" i="9"/>
  <c r="F1239" i="9"/>
  <c r="F1241" i="9"/>
  <c r="C1247" i="9"/>
  <c r="E1252" i="9"/>
  <c r="C1252" i="9"/>
  <c r="G1252" i="9"/>
  <c r="F1257" i="9"/>
  <c r="E1257" i="9"/>
  <c r="C1257" i="9"/>
  <c r="H1267" i="9"/>
  <c r="G1267" i="9"/>
  <c r="D1267" i="9"/>
  <c r="E1267" i="9"/>
  <c r="G1276" i="9"/>
  <c r="F1281" i="9"/>
  <c r="C1281" i="9"/>
  <c r="G1281" i="9"/>
  <c r="C1284" i="9"/>
  <c r="D1287" i="9"/>
  <c r="D1292" i="9"/>
  <c r="E1303" i="9"/>
  <c r="D1307" i="9"/>
  <c r="F1307" i="9"/>
  <c r="E1307" i="9"/>
  <c r="G1316" i="9"/>
  <c r="E1316" i="9"/>
  <c r="F1316" i="9"/>
  <c r="D1316" i="9"/>
  <c r="D1323" i="9"/>
  <c r="E1204" i="9"/>
  <c r="H1204" i="9"/>
  <c r="C1206" i="9"/>
  <c r="H1206" i="9"/>
  <c r="G1206" i="9"/>
  <c r="G1212" i="9"/>
  <c r="H1227" i="9"/>
  <c r="C1230" i="9"/>
  <c r="H1230" i="9"/>
  <c r="G1230" i="9"/>
  <c r="E1230" i="9"/>
  <c r="F1232" i="9"/>
  <c r="C1242" i="9"/>
  <c r="G1242" i="9"/>
  <c r="E1242" i="9"/>
  <c r="E1247" i="9"/>
  <c r="H1276" i="9"/>
  <c r="D1281" i="9"/>
  <c r="H1284" i="9"/>
  <c r="E1287" i="9"/>
  <c r="E1292" i="9"/>
  <c r="F1303" i="9"/>
  <c r="C1307" i="9"/>
  <c r="C1316" i="9"/>
  <c r="G1320" i="9"/>
  <c r="E1320" i="9"/>
  <c r="F1320" i="9"/>
  <c r="D1320" i="9"/>
  <c r="C1320" i="9"/>
  <c r="G1323" i="9"/>
  <c r="H1195" i="9"/>
  <c r="G1195" i="9"/>
  <c r="F1197" i="9"/>
  <c r="G1197" i="9"/>
  <c r="D1199" i="9"/>
  <c r="F1199" i="9"/>
  <c r="F1236" i="9"/>
  <c r="E1244" i="9"/>
  <c r="E1250" i="9"/>
  <c r="D1259" i="9"/>
  <c r="F1259" i="9"/>
  <c r="F1359" i="9"/>
  <c r="D1379" i="9"/>
  <c r="H1379" i="9"/>
  <c r="G1379" i="9"/>
  <c r="F1379" i="9"/>
  <c r="E1396" i="9"/>
  <c r="H1396" i="9"/>
  <c r="G1396" i="9"/>
  <c r="F1396" i="9"/>
  <c r="D1396" i="9"/>
  <c r="C1396" i="9"/>
  <c r="G1304" i="9"/>
  <c r="H1304" i="9"/>
  <c r="E1304" i="9"/>
  <c r="G1318" i="9"/>
  <c r="E1318" i="9"/>
  <c r="D1343" i="9"/>
  <c r="F1343" i="9"/>
  <c r="G1370" i="9"/>
  <c r="H1370" i="9"/>
  <c r="F1370" i="9"/>
  <c r="E1370" i="9"/>
  <c r="D1370" i="9"/>
  <c r="H1436" i="9"/>
  <c r="G1436" i="9"/>
  <c r="F1436" i="9"/>
  <c r="H1219" i="9"/>
  <c r="G1219" i="9"/>
  <c r="F1221" i="9"/>
  <c r="G1221" i="9"/>
  <c r="D1223" i="9"/>
  <c r="F1223" i="9"/>
  <c r="H1236" i="9"/>
  <c r="H1250" i="9"/>
  <c r="H1255" i="9"/>
  <c r="E1255" i="9"/>
  <c r="C1278" i="9"/>
  <c r="H1278" i="9"/>
  <c r="C1304" i="9"/>
  <c r="C1318" i="9"/>
  <c r="E1332" i="9"/>
  <c r="F1332" i="9"/>
  <c r="C1332" i="9"/>
  <c r="C1343" i="9"/>
  <c r="H1359" i="9"/>
  <c r="C1362" i="9"/>
  <c r="H1362" i="9"/>
  <c r="G1362" i="9"/>
  <c r="F1362" i="9"/>
  <c r="E1362" i="9"/>
  <c r="H1368" i="9"/>
  <c r="G1368" i="9"/>
  <c r="F1368" i="9"/>
  <c r="C1370" i="9"/>
  <c r="C1436" i="9"/>
  <c r="C1447" i="9"/>
  <c r="G1447" i="9"/>
  <c r="E1447" i="9"/>
  <c r="D1447" i="9"/>
  <c r="F1447" i="9"/>
  <c r="H1447" i="9"/>
  <c r="H1407" i="9"/>
  <c r="G1407" i="9"/>
  <c r="F1407" i="9"/>
  <c r="E1407" i="9"/>
  <c r="D1407" i="9"/>
  <c r="C1407" i="9"/>
  <c r="D1436" i="9"/>
  <c r="F1377" i="9"/>
  <c r="H1377" i="9"/>
  <c r="G1377" i="9"/>
  <c r="E1377" i="9"/>
  <c r="D1377" i="9"/>
  <c r="G1394" i="9"/>
  <c r="H1394" i="9"/>
  <c r="F1394" i="9"/>
  <c r="E1394" i="9"/>
  <c r="D1394" i="9"/>
  <c r="F1425" i="9"/>
  <c r="H1425" i="9"/>
  <c r="E1436" i="9"/>
  <c r="E1300" i="9"/>
  <c r="H1300" i="9"/>
  <c r="F1300" i="9"/>
  <c r="H1318" i="9"/>
  <c r="H1332" i="9"/>
  <c r="H1339" i="9"/>
  <c r="G1339" i="9"/>
  <c r="H1343" i="9"/>
  <c r="D1355" i="9"/>
  <c r="G1355" i="9"/>
  <c r="H1366" i="9"/>
  <c r="G1366" i="9"/>
  <c r="F1366" i="9"/>
  <c r="E1368" i="9"/>
  <c r="C1377" i="9"/>
  <c r="C1394" i="9"/>
  <c r="C1425" i="9"/>
  <c r="C1314" i="9"/>
  <c r="G1314" i="9"/>
  <c r="E1314" i="9"/>
  <c r="D1319" i="9"/>
  <c r="F1319" i="9"/>
  <c r="G1328" i="9"/>
  <c r="E1328" i="9"/>
  <c r="C1328" i="9"/>
  <c r="E1344" i="9"/>
  <c r="C1344" i="9"/>
  <c r="G1346" i="9"/>
  <c r="C1346" i="9"/>
  <c r="D1425" i="9"/>
  <c r="H1392" i="9"/>
  <c r="G1392" i="9"/>
  <c r="F1392" i="9"/>
  <c r="E1392" i="9"/>
  <c r="D1392" i="9"/>
  <c r="C1412" i="9"/>
  <c r="E1425" i="9"/>
  <c r="F1353" i="9"/>
  <c r="H1353" i="9"/>
  <c r="C1392" i="9"/>
  <c r="D1412" i="9"/>
  <c r="H1423" i="9"/>
  <c r="G1423" i="9"/>
  <c r="F1423" i="9"/>
  <c r="G1425" i="9"/>
  <c r="G1433" i="9"/>
  <c r="F1433" i="9"/>
  <c r="E1433" i="9"/>
  <c r="D1433" i="9"/>
  <c r="C1433" i="9"/>
  <c r="H1433" i="9"/>
  <c r="C1254" i="9"/>
  <c r="H1254" i="9"/>
  <c r="F1269" i="9"/>
  <c r="G1269" i="9"/>
  <c r="D1269" i="9"/>
  <c r="E1308" i="9"/>
  <c r="H1308" i="9"/>
  <c r="F1308" i="9"/>
  <c r="H1314" i="9"/>
  <c r="G1319" i="9"/>
  <c r="E1324" i="9"/>
  <c r="F1324" i="9"/>
  <c r="C1324" i="9"/>
  <c r="H1328" i="9"/>
  <c r="E1337" i="9"/>
  <c r="G1344" i="9"/>
  <c r="F1346" i="9"/>
  <c r="H1351" i="9"/>
  <c r="G1351" i="9"/>
  <c r="C1353" i="9"/>
  <c r="C1361" i="9"/>
  <c r="H1361" i="9"/>
  <c r="H1364" i="9"/>
  <c r="G1364" i="9"/>
  <c r="F1364" i="9"/>
  <c r="E1364" i="9"/>
  <c r="H1383" i="9"/>
  <c r="G1383" i="9"/>
  <c r="F1383" i="9"/>
  <c r="E1383" i="9"/>
  <c r="D1383" i="9"/>
  <c r="E1412" i="9"/>
  <c r="E1420" i="9"/>
  <c r="H1420" i="9"/>
  <c r="G1420" i="9"/>
  <c r="F1420" i="9"/>
  <c r="D1420" i="9"/>
  <c r="C1420" i="9"/>
  <c r="C1434" i="9"/>
  <c r="H1434" i="9"/>
  <c r="G1434" i="9"/>
  <c r="F1434" i="9"/>
  <c r="E1434" i="9"/>
  <c r="D1434" i="9"/>
  <c r="C1326" i="9"/>
  <c r="H1326" i="9"/>
  <c r="G1334" i="9"/>
  <c r="C1334" i="9"/>
  <c r="G1358" i="9"/>
  <c r="C1358" i="9"/>
  <c r="H1390" i="9"/>
  <c r="G1390" i="9"/>
  <c r="H1456" i="9"/>
  <c r="F1456" i="9"/>
  <c r="E1456" i="9"/>
  <c r="C1456" i="9"/>
  <c r="G1456" i="9"/>
  <c r="E1372" i="9"/>
  <c r="H1372" i="9"/>
  <c r="G1372" i="9"/>
  <c r="F1372" i="9"/>
  <c r="D1372" i="9"/>
  <c r="C1372" i="9"/>
  <c r="D1403" i="9"/>
  <c r="H1403" i="9"/>
  <c r="G1403" i="9"/>
  <c r="G1418" i="9"/>
  <c r="H1418" i="9"/>
  <c r="F1418" i="9"/>
  <c r="E1418" i="9"/>
  <c r="D1418" i="9"/>
  <c r="D1452" i="9"/>
  <c r="H1452" i="9"/>
  <c r="F1452" i="9"/>
  <c r="E1452" i="9"/>
  <c r="C1558" i="9"/>
  <c r="H1558" i="9"/>
  <c r="E1558" i="9"/>
  <c r="G1558" i="9"/>
  <c r="F1558" i="9"/>
  <c r="D1558" i="9"/>
  <c r="F1577" i="9"/>
  <c r="E1577" i="9"/>
  <c r="C1577" i="9"/>
  <c r="H1577" i="9"/>
  <c r="D1577" i="9"/>
  <c r="G1577" i="9"/>
  <c r="H1291" i="9"/>
  <c r="G1291" i="9"/>
  <c r="F1293" i="9"/>
  <c r="G1293" i="9"/>
  <c r="D1295" i="9"/>
  <c r="F1295" i="9"/>
  <c r="E1326" i="9"/>
  <c r="E1334" i="9"/>
  <c r="E1338" i="9"/>
  <c r="C1348" i="9"/>
  <c r="D1354" i="9"/>
  <c r="E1358" i="9"/>
  <c r="D1375" i="9"/>
  <c r="C1388" i="9"/>
  <c r="D1390" i="9"/>
  <c r="F1401" i="9"/>
  <c r="H1401" i="9"/>
  <c r="C1403" i="9"/>
  <c r="H1416" i="9"/>
  <c r="G1416" i="9"/>
  <c r="F1416" i="9"/>
  <c r="C1418" i="9"/>
  <c r="H1431" i="9"/>
  <c r="G1431" i="9"/>
  <c r="F1431" i="9"/>
  <c r="E1431" i="9"/>
  <c r="D1431" i="9"/>
  <c r="C1452" i="9"/>
  <c r="E1354" i="9"/>
  <c r="F1358" i="9"/>
  <c r="E1375" i="9"/>
  <c r="G1385" i="9"/>
  <c r="F1385" i="9"/>
  <c r="E1385" i="9"/>
  <c r="D1385" i="9"/>
  <c r="C1385" i="9"/>
  <c r="H1385" i="9"/>
  <c r="D1388" i="9"/>
  <c r="E1390" i="9"/>
  <c r="E1403" i="9"/>
  <c r="G1452" i="9"/>
  <c r="E1388" i="9"/>
  <c r="F1403" i="9"/>
  <c r="H1414" i="9"/>
  <c r="G1414" i="9"/>
  <c r="D1427" i="9"/>
  <c r="H1427" i="9"/>
  <c r="G1427" i="9"/>
  <c r="G1443" i="9"/>
  <c r="F1443" i="9"/>
  <c r="E1443" i="9"/>
  <c r="C1443" i="9"/>
  <c r="H1443" i="9"/>
  <c r="D1443" i="9"/>
  <c r="F1506" i="9"/>
  <c r="E1506" i="9"/>
  <c r="H1506" i="9"/>
  <c r="G1506" i="9"/>
  <c r="D1506" i="9"/>
  <c r="C1506" i="9"/>
  <c r="F1450" i="9"/>
  <c r="G1450" i="9"/>
  <c r="H1450" i="9"/>
  <c r="E1450" i="9"/>
  <c r="C1450" i="9"/>
  <c r="F1493" i="9"/>
  <c r="H1493" i="9"/>
  <c r="G1493" i="9"/>
  <c r="D1493" i="9"/>
  <c r="C1493" i="9"/>
  <c r="E1493" i="9"/>
  <c r="H1350" i="9"/>
  <c r="G1363" i="9"/>
  <c r="G1365" i="9"/>
  <c r="F1367" i="9"/>
  <c r="H1374" i="9"/>
  <c r="G1376" i="9"/>
  <c r="C1382" i="9"/>
  <c r="G1387" i="9"/>
  <c r="G1389" i="9"/>
  <c r="F1391" i="9"/>
  <c r="H1398" i="9"/>
  <c r="G1400" i="9"/>
  <c r="C1406" i="9"/>
  <c r="G1411" i="9"/>
  <c r="G1413" i="9"/>
  <c r="F1415" i="9"/>
  <c r="H1422" i="9"/>
  <c r="G1424" i="9"/>
  <c r="F1426" i="9"/>
  <c r="C1430" i="9"/>
  <c r="G1435" i="9"/>
  <c r="H1437" i="9"/>
  <c r="E1446" i="9"/>
  <c r="E1483" i="9"/>
  <c r="H1483" i="9"/>
  <c r="G1483" i="9"/>
  <c r="F1483" i="9"/>
  <c r="D1483" i="9"/>
  <c r="C1483" i="9"/>
  <c r="C1510" i="9"/>
  <c r="E1510" i="9"/>
  <c r="H1510" i="9"/>
  <c r="F1510" i="9"/>
  <c r="D1510" i="9"/>
  <c r="G1519" i="9"/>
  <c r="D1519" i="9"/>
  <c r="C1519" i="9"/>
  <c r="F1519" i="9"/>
  <c r="E1519" i="9"/>
  <c r="G1510" i="9"/>
  <c r="H1519" i="9"/>
  <c r="C1535" i="9"/>
  <c r="H1535" i="9"/>
  <c r="G1535" i="9"/>
  <c r="F1535" i="9"/>
  <c r="D1535" i="9"/>
  <c r="E1545" i="9"/>
  <c r="C1545" i="9"/>
  <c r="H1545" i="9"/>
  <c r="G1545" i="9"/>
  <c r="F1545" i="9"/>
  <c r="D1545" i="9"/>
  <c r="D1580" i="9"/>
  <c r="H1580" i="9"/>
  <c r="E1580" i="9"/>
  <c r="G1580" i="9"/>
  <c r="F1580" i="9"/>
  <c r="C1580" i="9"/>
  <c r="G1626" i="9"/>
  <c r="H1626" i="9"/>
  <c r="F1626" i="9"/>
  <c r="D1626" i="9"/>
  <c r="E1626" i="9"/>
  <c r="C1626" i="9"/>
  <c r="F1517" i="9"/>
  <c r="D1517" i="9"/>
  <c r="H1517" i="9"/>
  <c r="E1517" i="9"/>
  <c r="C1517" i="9"/>
  <c r="F1586" i="9"/>
  <c r="H1586" i="9"/>
  <c r="G1586" i="9"/>
  <c r="E1586" i="9"/>
  <c r="D1586" i="9"/>
  <c r="C1586" i="9"/>
  <c r="C1694" i="9"/>
  <c r="H1694" i="9"/>
  <c r="G1694" i="9"/>
  <c r="F1694" i="9"/>
  <c r="E1694" i="9"/>
  <c r="D1694" i="9"/>
  <c r="E1489" i="9"/>
  <c r="H1489" i="9"/>
  <c r="G1489" i="9"/>
  <c r="F1489" i="9"/>
  <c r="D1489" i="9"/>
  <c r="C1489" i="9"/>
  <c r="C1529" i="9"/>
  <c r="H1529" i="9"/>
  <c r="G1529" i="9"/>
  <c r="F1529" i="9"/>
  <c r="E1529" i="9"/>
  <c r="D1529" i="9"/>
  <c r="G1587" i="9"/>
  <c r="D1587" i="9"/>
  <c r="C1587" i="9"/>
  <c r="H1587" i="9"/>
  <c r="F1587" i="9"/>
  <c r="E1587" i="9"/>
  <c r="F1619" i="9"/>
  <c r="D1619" i="9"/>
  <c r="H1619" i="9"/>
  <c r="G1619" i="9"/>
  <c r="E1619" i="9"/>
  <c r="C1619" i="9"/>
  <c r="F1661" i="9"/>
  <c r="H1661" i="9"/>
  <c r="E1661" i="9"/>
  <c r="G1661" i="9"/>
  <c r="C1661" i="9"/>
  <c r="D1661" i="9"/>
  <c r="C1583" i="9"/>
  <c r="E1583" i="9"/>
  <c r="D1583" i="9"/>
  <c r="H1583" i="9"/>
  <c r="F1583" i="9"/>
  <c r="H1441" i="9"/>
  <c r="G1441" i="9"/>
  <c r="E1441" i="9"/>
  <c r="H1448" i="9"/>
  <c r="G1448" i="9"/>
  <c r="E1501" i="9"/>
  <c r="H1501" i="9"/>
  <c r="G1501" i="9"/>
  <c r="D1501" i="9"/>
  <c r="C1501" i="9"/>
  <c r="H1524" i="9"/>
  <c r="E1524" i="9"/>
  <c r="C1524" i="9"/>
  <c r="F1524" i="9"/>
  <c r="D1524" i="9"/>
  <c r="H1439" i="9"/>
  <c r="F1439" i="9"/>
  <c r="C1441" i="9"/>
  <c r="C1448" i="9"/>
  <c r="D1497" i="9"/>
  <c r="G1497" i="9"/>
  <c r="F1497" i="9"/>
  <c r="C1497" i="9"/>
  <c r="F1501" i="9"/>
  <c r="G1524" i="9"/>
  <c r="G1570" i="9"/>
  <c r="D1570" i="9"/>
  <c r="H1570" i="9"/>
  <c r="F1570" i="9"/>
  <c r="C1570" i="9"/>
  <c r="D1374" i="9"/>
  <c r="C1376" i="9"/>
  <c r="C1387" i="9"/>
  <c r="D1398" i="9"/>
  <c r="C1400" i="9"/>
  <c r="C1411" i="9"/>
  <c r="D1422" i="9"/>
  <c r="C1424" i="9"/>
  <c r="C1435" i="9"/>
  <c r="C1437" i="9"/>
  <c r="C1439" i="9"/>
  <c r="D1441" i="9"/>
  <c r="D1448" i="9"/>
  <c r="D1460" i="9"/>
  <c r="G1460" i="9"/>
  <c r="F1460" i="9"/>
  <c r="C1460" i="9"/>
  <c r="G1478" i="9"/>
  <c r="H1478" i="9"/>
  <c r="F1478" i="9"/>
  <c r="D1478" i="9"/>
  <c r="C1478" i="9"/>
  <c r="E1374" i="9"/>
  <c r="D1387" i="9"/>
  <c r="E1398" i="9"/>
  <c r="D1411" i="9"/>
  <c r="E1422" i="9"/>
  <c r="D1435" i="9"/>
  <c r="D1437" i="9"/>
  <c r="D1439" i="9"/>
  <c r="F1441" i="9"/>
  <c r="E1448" i="9"/>
  <c r="E1460" i="9"/>
  <c r="E1478" i="9"/>
  <c r="F1448" i="9"/>
  <c r="H1460" i="9"/>
  <c r="F1482" i="9"/>
  <c r="E1482" i="9"/>
  <c r="H1482" i="9"/>
  <c r="G1482" i="9"/>
  <c r="C1482" i="9"/>
  <c r="F1449" i="9"/>
  <c r="D1449" i="9"/>
  <c r="C1449" i="9"/>
  <c r="F1458" i="9"/>
  <c r="G1458" i="9"/>
  <c r="E1458" i="9"/>
  <c r="C1458" i="9"/>
  <c r="D1482" i="9"/>
  <c r="H1468" i="9"/>
  <c r="F1468" i="9"/>
  <c r="F1470" i="9"/>
  <c r="E1470" i="9"/>
  <c r="D1472" i="9"/>
  <c r="E1472" i="9"/>
  <c r="H1480" i="9"/>
  <c r="F1480" i="9"/>
  <c r="E1490" i="9"/>
  <c r="C1503" i="9"/>
  <c r="G1503" i="9"/>
  <c r="F1507" i="9"/>
  <c r="D1540" i="9"/>
  <c r="C1540" i="9"/>
  <c r="H1540" i="9"/>
  <c r="D1564" i="9"/>
  <c r="H1564" i="9"/>
  <c r="E1564" i="9"/>
  <c r="H1698" i="9"/>
  <c r="G1698" i="9"/>
  <c r="F1698" i="9"/>
  <c r="E1698" i="9"/>
  <c r="D1698" i="9"/>
  <c r="H1490" i="9"/>
  <c r="E1503" i="9"/>
  <c r="H1507" i="9"/>
  <c r="F1522" i="9"/>
  <c r="D1522" i="9"/>
  <c r="E1533" i="9"/>
  <c r="H1533" i="9"/>
  <c r="H1561" i="9"/>
  <c r="G1561" i="9"/>
  <c r="F1561" i="9"/>
  <c r="D1561" i="9"/>
  <c r="G1567" i="9"/>
  <c r="D1567" i="9"/>
  <c r="H1567" i="9"/>
  <c r="F1567" i="9"/>
  <c r="C1567" i="9"/>
  <c r="F1575" i="9"/>
  <c r="E1575" i="9"/>
  <c r="C1575" i="9"/>
  <c r="E1480" i="9"/>
  <c r="C1491" i="9"/>
  <c r="G1491" i="9"/>
  <c r="F1495" i="9"/>
  <c r="F1503" i="9"/>
  <c r="D1508" i="9"/>
  <c r="E1508" i="9"/>
  <c r="G1515" i="9"/>
  <c r="D1515" i="9"/>
  <c r="C1522" i="9"/>
  <c r="C1533" i="9"/>
  <c r="F1538" i="9"/>
  <c r="C1538" i="9"/>
  <c r="H1538" i="9"/>
  <c r="G1555" i="9"/>
  <c r="H1555" i="9"/>
  <c r="F1555" i="9"/>
  <c r="D1555" i="9"/>
  <c r="C1561" i="9"/>
  <c r="E1567" i="9"/>
  <c r="D1575" i="9"/>
  <c r="G1594" i="9"/>
  <c r="H1594" i="9"/>
  <c r="F1594" i="9"/>
  <c r="E1594" i="9"/>
  <c r="D1594" i="9"/>
  <c r="F1541" i="9"/>
  <c r="H1541" i="9"/>
  <c r="G1543" i="9"/>
  <c r="D1543" i="9"/>
  <c r="H1543" i="9"/>
  <c r="H1553" i="9"/>
  <c r="F1553" i="9"/>
  <c r="C1553" i="9"/>
  <c r="F1565" i="9"/>
  <c r="H1565" i="9"/>
  <c r="G1565" i="9"/>
  <c r="D1565" i="9"/>
  <c r="G1568" i="9"/>
  <c r="D1568" i="9"/>
  <c r="D1588" i="9"/>
  <c r="H1588" i="9"/>
  <c r="G1588" i="9"/>
  <c r="F1588" i="9"/>
  <c r="E1588" i="9"/>
  <c r="H1600" i="9"/>
  <c r="G1600" i="9"/>
  <c r="F1600" i="9"/>
  <c r="C1600" i="9"/>
  <c r="G1606" i="9"/>
  <c r="D1606" i="9"/>
  <c r="E1606" i="9"/>
  <c r="H1659" i="9"/>
  <c r="F1659" i="9"/>
  <c r="E1659" i="9"/>
  <c r="G1659" i="9"/>
  <c r="D1659" i="9"/>
  <c r="C1659" i="9"/>
  <c r="H1672" i="9"/>
  <c r="F1672" i="9"/>
  <c r="G1672" i="9"/>
  <c r="D1672" i="9"/>
  <c r="H1504" i="9"/>
  <c r="F1504" i="9"/>
  <c r="H1513" i="9"/>
  <c r="D1513" i="9"/>
  <c r="F1520" i="9"/>
  <c r="D1520" i="9"/>
  <c r="G1531" i="9"/>
  <c r="H1531" i="9"/>
  <c r="C1541" i="9"/>
  <c r="C1543" i="9"/>
  <c r="C1546" i="9"/>
  <c r="G1546" i="9"/>
  <c r="D1553" i="9"/>
  <c r="C1559" i="9"/>
  <c r="H1559" i="9"/>
  <c r="G1559" i="9"/>
  <c r="E1559" i="9"/>
  <c r="F1562" i="9"/>
  <c r="H1562" i="9"/>
  <c r="D1562" i="9"/>
  <c r="C1565" i="9"/>
  <c r="C1568" i="9"/>
  <c r="E1581" i="9"/>
  <c r="D1581" i="9"/>
  <c r="C1581" i="9"/>
  <c r="H1581" i="9"/>
  <c r="C1588" i="9"/>
  <c r="D1600" i="9"/>
  <c r="C1606" i="9"/>
  <c r="C1609" i="9"/>
  <c r="H1609" i="9"/>
  <c r="G1609" i="9"/>
  <c r="F1609" i="9"/>
  <c r="E1609" i="9"/>
  <c r="D1609" i="9"/>
  <c r="C1672" i="9"/>
  <c r="C1469" i="9"/>
  <c r="C1471" i="9"/>
  <c r="C1473" i="9"/>
  <c r="C1481" i="9"/>
  <c r="F1485" i="9"/>
  <c r="F1491" i="9"/>
  <c r="D1496" i="9"/>
  <c r="E1496" i="9"/>
  <c r="C1504" i="9"/>
  <c r="G1508" i="9"/>
  <c r="C1511" i="9"/>
  <c r="E1511" i="9"/>
  <c r="C1513" i="9"/>
  <c r="F1515" i="9"/>
  <c r="C1520" i="9"/>
  <c r="H1522" i="9"/>
  <c r="D1527" i="9"/>
  <c r="C1531" i="9"/>
  <c r="G1533" i="9"/>
  <c r="G1538" i="9"/>
  <c r="D1541" i="9"/>
  <c r="E1543" i="9"/>
  <c r="D1546" i="9"/>
  <c r="E1553" i="9"/>
  <c r="D1556" i="9"/>
  <c r="H1556" i="9"/>
  <c r="E1556" i="9"/>
  <c r="D1559" i="9"/>
  <c r="C1562" i="9"/>
  <c r="E1565" i="9"/>
  <c r="E1568" i="9"/>
  <c r="F1581" i="9"/>
  <c r="F1589" i="9"/>
  <c r="D1589" i="9"/>
  <c r="C1589" i="9"/>
  <c r="H1589" i="9"/>
  <c r="E1600" i="9"/>
  <c r="F1606" i="9"/>
  <c r="H1633" i="9"/>
  <c r="G1633" i="9"/>
  <c r="F1633" i="9"/>
  <c r="D1633" i="9"/>
  <c r="E1672" i="9"/>
  <c r="D1469" i="9"/>
  <c r="D1471" i="9"/>
  <c r="D1473" i="9"/>
  <c r="C1479" i="9"/>
  <c r="G1479" i="9"/>
  <c r="D1481" i="9"/>
  <c r="G1485" i="9"/>
  <c r="H1491" i="9"/>
  <c r="F1494" i="9"/>
  <c r="E1494" i="9"/>
  <c r="D1504" i="9"/>
  <c r="H1508" i="9"/>
  <c r="E1513" i="9"/>
  <c r="H1515" i="9"/>
  <c r="E1520" i="9"/>
  <c r="E1527" i="9"/>
  <c r="D1531" i="9"/>
  <c r="C1534" i="9"/>
  <c r="D1534" i="9"/>
  <c r="H1534" i="9"/>
  <c r="G1539" i="9"/>
  <c r="H1539" i="9"/>
  <c r="E1541" i="9"/>
  <c r="F1543" i="9"/>
  <c r="E1546" i="9"/>
  <c r="G1553" i="9"/>
  <c r="C1556" i="9"/>
  <c r="F1559" i="9"/>
  <c r="E1562" i="9"/>
  <c r="F1568" i="9"/>
  <c r="G1581" i="9"/>
  <c r="E1589" i="9"/>
  <c r="C1598" i="9"/>
  <c r="H1598" i="9"/>
  <c r="G1598" i="9"/>
  <c r="D1598" i="9"/>
  <c r="H1606" i="9"/>
  <c r="C1633" i="9"/>
  <c r="E1477" i="9"/>
  <c r="H1477" i="9"/>
  <c r="H1492" i="9"/>
  <c r="F1492" i="9"/>
  <c r="E1509" i="9"/>
  <c r="D1509" i="9"/>
  <c r="D1516" i="9"/>
  <c r="E1516" i="9"/>
  <c r="G1541" i="9"/>
  <c r="C1544" i="9"/>
  <c r="G1544" i="9"/>
  <c r="H1551" i="9"/>
  <c r="F1551" i="9"/>
  <c r="C1551" i="9"/>
  <c r="H1568" i="9"/>
  <c r="C1582" i="9"/>
  <c r="H1582" i="9"/>
  <c r="G1582" i="9"/>
  <c r="E1582" i="9"/>
  <c r="H1585" i="9"/>
  <c r="D1585" i="9"/>
  <c r="C1585" i="9"/>
  <c r="G1585" i="9"/>
  <c r="G1592" i="9"/>
  <c r="F1592" i="9"/>
  <c r="E1592" i="9"/>
  <c r="D1592" i="9"/>
  <c r="E1621" i="9"/>
  <c r="C1621" i="9"/>
  <c r="H1621" i="9"/>
  <c r="D1621" i="9"/>
  <c r="G1630" i="9"/>
  <c r="F1630" i="9"/>
  <c r="D1630" i="9"/>
  <c r="E1630" i="9"/>
  <c r="E1633" i="9"/>
  <c r="G1563" i="9"/>
  <c r="H1563" i="9"/>
  <c r="F1563" i="9"/>
  <c r="D1563" i="9"/>
  <c r="E1569" i="9"/>
  <c r="C1569" i="9"/>
  <c r="H1569" i="9"/>
  <c r="G1569" i="9"/>
  <c r="D1569" i="9"/>
  <c r="G1602" i="9"/>
  <c r="H1602" i="9"/>
  <c r="D1602" i="9"/>
  <c r="F1621" i="9"/>
  <c r="C1630" i="9"/>
  <c r="E1656" i="9"/>
  <c r="F1656" i="9"/>
  <c r="C1656" i="9"/>
  <c r="H1656" i="9"/>
  <c r="G1656" i="9"/>
  <c r="D1656" i="9"/>
  <c r="D1477" i="9"/>
  <c r="H1481" i="9"/>
  <c r="D1484" i="9"/>
  <c r="E1484" i="9"/>
  <c r="C1490" i="9"/>
  <c r="D1492" i="9"/>
  <c r="C1507" i="9"/>
  <c r="F1509" i="9"/>
  <c r="F1514" i="9"/>
  <c r="D1514" i="9"/>
  <c r="F1516" i="9"/>
  <c r="E1521" i="9"/>
  <c r="C1521" i="9"/>
  <c r="D1521" i="9"/>
  <c r="H1527" i="9"/>
  <c r="D1532" i="9"/>
  <c r="C1532" i="9"/>
  <c r="H1532" i="9"/>
  <c r="G1534" i="9"/>
  <c r="H1537" i="9"/>
  <c r="G1537" i="9"/>
  <c r="E1539" i="9"/>
  <c r="E1544" i="9"/>
  <c r="E1551" i="9"/>
  <c r="E1557" i="9"/>
  <c r="H1557" i="9"/>
  <c r="G1557" i="9"/>
  <c r="D1557" i="9"/>
  <c r="C1563" i="9"/>
  <c r="F1569" i="9"/>
  <c r="H1572" i="9"/>
  <c r="F1572" i="9"/>
  <c r="C1572" i="9"/>
  <c r="G1579" i="9"/>
  <c r="D1579" i="9"/>
  <c r="C1579" i="9"/>
  <c r="H1579" i="9"/>
  <c r="F1582" i="9"/>
  <c r="F1585" i="9"/>
  <c r="H1592" i="9"/>
  <c r="C1602" i="9"/>
  <c r="D1615" i="9"/>
  <c r="G1615" i="9"/>
  <c r="H1615" i="9"/>
  <c r="F1615" i="9"/>
  <c r="E1615" i="9"/>
  <c r="C1615" i="9"/>
  <c r="G1621" i="9"/>
  <c r="H1628" i="9"/>
  <c r="F1628" i="9"/>
  <c r="G1628" i="9"/>
  <c r="D1628" i="9"/>
  <c r="H1630" i="9"/>
  <c r="F1548" i="9"/>
  <c r="F1574" i="9"/>
  <c r="H1574" i="9"/>
  <c r="D1576" i="9"/>
  <c r="G1576" i="9"/>
  <c r="E1604" i="9"/>
  <c r="F1614" i="9"/>
  <c r="G1616" i="9"/>
  <c r="D1687" i="9"/>
  <c r="G1687" i="9"/>
  <c r="F1687" i="9"/>
  <c r="E1687" i="9"/>
  <c r="C1687" i="9"/>
  <c r="H1707" i="9"/>
  <c r="G1707" i="9"/>
  <c r="F1707" i="9"/>
  <c r="E1707" i="9"/>
  <c r="D1707" i="9"/>
  <c r="C1707" i="9"/>
  <c r="H1631" i="9"/>
  <c r="G1631" i="9"/>
  <c r="F1631" i="9"/>
  <c r="H1648" i="9"/>
  <c r="F1648" i="9"/>
  <c r="G1648" i="9"/>
  <c r="E1648" i="9"/>
  <c r="C1648" i="9"/>
  <c r="C1670" i="9"/>
  <c r="G1670" i="9"/>
  <c r="H1670" i="9"/>
  <c r="E1670" i="9"/>
  <c r="F1673" i="9"/>
  <c r="C1673" i="9"/>
  <c r="H1673" i="9"/>
  <c r="G1673" i="9"/>
  <c r="E1673" i="9"/>
  <c r="D1673" i="9"/>
  <c r="F1613" i="9"/>
  <c r="H1613" i="9"/>
  <c r="C1631" i="9"/>
  <c r="D1648" i="9"/>
  <c r="D1670" i="9"/>
  <c r="G1674" i="9"/>
  <c r="E1674" i="9"/>
  <c r="D1603" i="9"/>
  <c r="C1603" i="9"/>
  <c r="D1639" i="9"/>
  <c r="G1639" i="9"/>
  <c r="E1645" i="9"/>
  <c r="C1645" i="9"/>
  <c r="H1645" i="9"/>
  <c r="G1690" i="9"/>
  <c r="C1690" i="9"/>
  <c r="H1690" i="9"/>
  <c r="F1690" i="9"/>
  <c r="D1690" i="9"/>
  <c r="F1601" i="9"/>
  <c r="C1601" i="9"/>
  <c r="G1657" i="9"/>
  <c r="H1657" i="9"/>
  <c r="F1657" i="9"/>
  <c r="D1657" i="9"/>
  <c r="D1663" i="9"/>
  <c r="G1663" i="9"/>
  <c r="E1663" i="9"/>
  <c r="E1690" i="9"/>
  <c r="F1526" i="9"/>
  <c r="H1526" i="9"/>
  <c r="D1528" i="9"/>
  <c r="G1528" i="9"/>
  <c r="C1597" i="9"/>
  <c r="D1597" i="9"/>
  <c r="D1601" i="9"/>
  <c r="F1603" i="9"/>
  <c r="F1607" i="9"/>
  <c r="E1613" i="9"/>
  <c r="E1620" i="9"/>
  <c r="H1620" i="9"/>
  <c r="E1622" i="9"/>
  <c r="E1624" i="9"/>
  <c r="E1639" i="9"/>
  <c r="F1645" i="9"/>
  <c r="C1657" i="9"/>
  <c r="C1663" i="9"/>
  <c r="F1674" i="9"/>
  <c r="C1679" i="9"/>
  <c r="H1679" i="9"/>
  <c r="G1679" i="9"/>
  <c r="F1679" i="9"/>
  <c r="D1595" i="9"/>
  <c r="C1595" i="9"/>
  <c r="F1637" i="9"/>
  <c r="H1637" i="9"/>
  <c r="H1652" i="9"/>
  <c r="F1652" i="9"/>
  <c r="D1652" i="9"/>
  <c r="E1657" i="9"/>
  <c r="F1663" i="9"/>
  <c r="C1703" i="9"/>
  <c r="H1703" i="9"/>
  <c r="G1703" i="9"/>
  <c r="F1703" i="9"/>
  <c r="G1591" i="9"/>
  <c r="D1591" i="9"/>
  <c r="E1593" i="9"/>
  <c r="C1593" i="9"/>
  <c r="E1595" i="9"/>
  <c r="G1601" i="9"/>
  <c r="H1603" i="9"/>
  <c r="C1616" i="9"/>
  <c r="G1618" i="9"/>
  <c r="F1618" i="9"/>
  <c r="G1622" i="9"/>
  <c r="H1635" i="9"/>
  <c r="G1635" i="9"/>
  <c r="C1637" i="9"/>
  <c r="H1639" i="9"/>
  <c r="C1646" i="9"/>
  <c r="G1646" i="9"/>
  <c r="H1646" i="9"/>
  <c r="F1646" i="9"/>
  <c r="E1646" i="9"/>
  <c r="D1646" i="9"/>
  <c r="C1652" i="9"/>
  <c r="H1663" i="9"/>
  <c r="D1703" i="9"/>
  <c r="F1550" i="9"/>
  <c r="H1550" i="9"/>
  <c r="D1552" i="9"/>
  <c r="G1552" i="9"/>
  <c r="F1595" i="9"/>
  <c r="H1601" i="9"/>
  <c r="E1608" i="9"/>
  <c r="C1608" i="9"/>
  <c r="D1616" i="9"/>
  <c r="H1622" i="9"/>
  <c r="F1625" i="9"/>
  <c r="C1625" i="9"/>
  <c r="H1625" i="9"/>
  <c r="G1625" i="9"/>
  <c r="E1625" i="9"/>
  <c r="D1625" i="9"/>
  <c r="D1637" i="9"/>
  <c r="G1650" i="9"/>
  <c r="E1650" i="9"/>
  <c r="F1650" i="9"/>
  <c r="E1652" i="9"/>
  <c r="E1703" i="9"/>
  <c r="E1668" i="9"/>
  <c r="H1668" i="9"/>
  <c r="F1685" i="9"/>
  <c r="H1685" i="9"/>
  <c r="G1685" i="9"/>
  <c r="E1685" i="9"/>
  <c r="D1685" i="9"/>
  <c r="D1655" i="9"/>
  <c r="E1662" i="9"/>
  <c r="D1666" i="9"/>
  <c r="D1668" i="9"/>
  <c r="F1686" i="9"/>
  <c r="C1686" i="9"/>
  <c r="H1696" i="9"/>
  <c r="G1696" i="9"/>
  <c r="F1696" i="9"/>
  <c r="E1696" i="9"/>
  <c r="D1638" i="9"/>
  <c r="E1644" i="9"/>
  <c r="H1644" i="9"/>
  <c r="E1655" i="9"/>
  <c r="F1662" i="9"/>
  <c r="E1666" i="9"/>
  <c r="F1668" i="9"/>
  <c r="D1686" i="9"/>
  <c r="C1696" i="9"/>
  <c r="E1638" i="9"/>
  <c r="F1649" i="9"/>
  <c r="C1649" i="9"/>
  <c r="F1655" i="9"/>
  <c r="G1662" i="9"/>
  <c r="F1666" i="9"/>
  <c r="G1668" i="9"/>
  <c r="H1683" i="9"/>
  <c r="G1683" i="9"/>
  <c r="F1683" i="9"/>
  <c r="E1683" i="9"/>
  <c r="E1686" i="9"/>
  <c r="D1696" i="9"/>
  <c r="E1632" i="9"/>
  <c r="F1632" i="9"/>
  <c r="C1632" i="9"/>
  <c r="G1655" i="9"/>
  <c r="H1662" i="9"/>
  <c r="H1666" i="9"/>
  <c r="E1669" i="9"/>
  <c r="C1669" i="9"/>
  <c r="H1676" i="9"/>
  <c r="F1676" i="9"/>
  <c r="D1676" i="9"/>
  <c r="G1686" i="9"/>
  <c r="H1700" i="9"/>
  <c r="G1700" i="9"/>
  <c r="F1700" i="9"/>
  <c r="E1700" i="9"/>
  <c r="D1700" i="9"/>
  <c r="C1700" i="9"/>
  <c r="D1718" i="9"/>
  <c r="C1720" i="9"/>
  <c r="C1731" i="9"/>
  <c r="F1757" i="9"/>
  <c r="C1757" i="9"/>
  <c r="C1709" i="9"/>
  <c r="F1714" i="9"/>
  <c r="E1718" i="9"/>
  <c r="D1720" i="9"/>
  <c r="C1722" i="9"/>
  <c r="D1731" i="9"/>
  <c r="C1733" i="9"/>
  <c r="H1755" i="9"/>
  <c r="E1755" i="9"/>
  <c r="D1757" i="9"/>
  <c r="D1709" i="9"/>
  <c r="C1711" i="9"/>
  <c r="H1714" i="9"/>
  <c r="F1718" i="9"/>
  <c r="E1720" i="9"/>
  <c r="D1722" i="9"/>
  <c r="C1724" i="9"/>
  <c r="G1727" i="9"/>
  <c r="E1731" i="9"/>
  <c r="D1733" i="9"/>
  <c r="C1735" i="9"/>
  <c r="C1755" i="9"/>
  <c r="E1757" i="9"/>
  <c r="H1692" i="9"/>
  <c r="E1709" i="9"/>
  <c r="E1711" i="9"/>
  <c r="H1716" i="9"/>
  <c r="G1718" i="9"/>
  <c r="F1720" i="9"/>
  <c r="E1722" i="9"/>
  <c r="D1724" i="9"/>
  <c r="H1727" i="9"/>
  <c r="F1731" i="9"/>
  <c r="E1733" i="9"/>
  <c r="E1735" i="9"/>
  <c r="H1744" i="9"/>
  <c r="C1753" i="9"/>
  <c r="D1755" i="9"/>
  <c r="G1757" i="9"/>
  <c r="G1709" i="9"/>
  <c r="F1711" i="9"/>
  <c r="H1718" i="9"/>
  <c r="G1720" i="9"/>
  <c r="F1722" i="9"/>
  <c r="E1724" i="9"/>
  <c r="G1731" i="9"/>
  <c r="G1733" i="9"/>
  <c r="F1735" i="9"/>
  <c r="H1743" i="9"/>
  <c r="E1743" i="9"/>
  <c r="F1745" i="9"/>
  <c r="C1745" i="9"/>
  <c r="D1753" i="9"/>
  <c r="F1755" i="9"/>
  <c r="H1757" i="9"/>
  <c r="H1709" i="9"/>
  <c r="G1711" i="9"/>
  <c r="G1722" i="9"/>
  <c r="F1724" i="9"/>
  <c r="H1733" i="9"/>
  <c r="G1735" i="9"/>
  <c r="G1755" i="9"/>
  <c r="D1706" i="9"/>
  <c r="C1708" i="9"/>
  <c r="H1711" i="9"/>
  <c r="C1719" i="9"/>
  <c r="G1724" i="9"/>
  <c r="D1730" i="9"/>
  <c r="C1732" i="9"/>
  <c r="H1735" i="9"/>
  <c r="D1623" i="9"/>
  <c r="E1634" i="9"/>
  <c r="D1647" i="9"/>
  <c r="F1654" i="9"/>
  <c r="E1658" i="9"/>
  <c r="D1671" i="9"/>
  <c r="F1678" i="9"/>
  <c r="F1680" i="9"/>
  <c r="E1682" i="9"/>
  <c r="D1684" i="9"/>
  <c r="E1693" i="9"/>
  <c r="D1695" i="9"/>
  <c r="C1697" i="9"/>
  <c r="F1702" i="9"/>
  <c r="F1704" i="9"/>
  <c r="E1706" i="9"/>
  <c r="D1708" i="9"/>
  <c r="C1710" i="9"/>
  <c r="E1717" i="9"/>
  <c r="D1719" i="9"/>
  <c r="C1721" i="9"/>
  <c r="F1726" i="9"/>
  <c r="F1728" i="9"/>
  <c r="E1730" i="9"/>
  <c r="D1732" i="9"/>
  <c r="C1734" i="9"/>
  <c r="E1741" i="9"/>
  <c r="F1743" i="9"/>
  <c r="G1745" i="9"/>
  <c r="H1753" i="9"/>
  <c r="C1756" i="9"/>
  <c r="F1730" i="9"/>
  <c r="E1732" i="9"/>
  <c r="C1754" i="9"/>
  <c r="F1754" i="9"/>
  <c r="D1754" i="9"/>
  <c r="H1682" i="9"/>
  <c r="G1695" i="9"/>
  <c r="G1697" i="9"/>
  <c r="H1706" i="9"/>
  <c r="C1714" i="9"/>
  <c r="G1719" i="9"/>
  <c r="G1721" i="9"/>
  <c r="H1730" i="9"/>
  <c r="C1738" i="9"/>
  <c r="C1746" i="9"/>
  <c r="C1748" i="9"/>
  <c r="G1750" i="9"/>
  <c r="D1750" i="9"/>
  <c r="E1754" i="9"/>
  <c r="G1756" i="9"/>
  <c r="D1759" i="9"/>
  <c r="H1759" i="9"/>
  <c r="G1759" i="9"/>
  <c r="H1752" i="9"/>
  <c r="T14" i="23" l="1"/>
</calcChain>
</file>

<file path=xl/sharedStrings.xml><?xml version="1.0" encoding="utf-8"?>
<sst xmlns="http://schemas.openxmlformats.org/spreadsheetml/2006/main" count="71929" uniqueCount="15972">
  <si>
    <t>Item type</t>
  </si>
  <si>
    <t>Authors</t>
  </si>
  <si>
    <t>Title</t>
  </si>
  <si>
    <t>Journal</t>
  </si>
  <si>
    <t>Publication year</t>
  </si>
  <si>
    <t>Volume</t>
  </si>
  <si>
    <t>Issue</t>
  </si>
  <si>
    <t>Pages</t>
  </si>
  <si>
    <t>Date published</t>
  </si>
  <si>
    <t>ISSN</t>
  </si>
  <si>
    <t>URLs</t>
  </si>
  <si>
    <t>DOI</t>
  </si>
  <si>
    <t>Abstract</t>
  </si>
  <si>
    <t>Journal Article</t>
  </si>
  <si>
    <t>Maldonado ES,Shihab E,Tsantalis N</t>
  </si>
  <si>
    <t>Using Natural Language Processing to Automatically Detect Self-Admitted Technical Debt</t>
  </si>
  <si>
    <t>IEEE TRANSACTIONS ON SOFTWARE ENGINEERING</t>
  </si>
  <si>
    <t>1044-1062</t>
  </si>
  <si>
    <t>0098-5589</t>
  </si>
  <si>
    <t>http://dx.doi.org/10.1109/TSE.2017.2654244</t>
  </si>
  <si>
    <t>10.1109/TSE.2017.2654244</t>
  </si>
  <si>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t>
  </si>
  <si>
    <t>Siavvas M,Tsoukalas D,Jankovic M,Kehagias D,Tzovaras D</t>
  </si>
  <si>
    <t>Technical debt as an indicator of software security risk: a machine learning approach for software development enterprises</t>
  </si>
  <si>
    <t>ENTERPRISE INFORMATION SYSTEMS</t>
  </si>
  <si>
    <t>5, SI</t>
  </si>
  <si>
    <t>1751-7575</t>
  </si>
  <si>
    <t>http://dx.doi.org/10.1080/17517575.2020.1824017</t>
  </si>
  <si>
    <t>10.1080/17517575.2020.1824017</t>
  </si>
  <si>
    <t>Vulnerability prediction facilitates the development of secure software, as it enables the identification and mitigation of security risks early enough in the software development lifecycle. Although several factors have been studied for their ability to indicate software security risk, very limited attention has been given to technical debt (TD), despite its potential relevance to software security. To this end, in the present study, we investigate the ability of common TD indicators to indicate security risks in software products, both at project-level and at class-level of granularity. Our findings suggest that TD indicators may potentially act as security indicators as well.</t>
  </si>
  <si>
    <t>Li Y,Soliman M,Avgeriou P</t>
  </si>
  <si>
    <t>Identifying self-admitted technical debt in issue tracking systems using machine learning</t>
  </si>
  <si>
    <t>EMPIRICAL SOFTWARE ENGINEERING</t>
  </si>
  <si>
    <t>1382-3256</t>
  </si>
  <si>
    <t>http://dx.doi.org/10.1007/s10664-022-10128-3</t>
  </si>
  <si>
    <t>10.1007/s10664-022-10128-3</t>
  </si>
  <si>
    <t>Technical debt is a metaphor indicating sub-optimal solutions implemented for short-term benefits by sacrificing the long-term maintainability and evolvability of software. A special type of technical debt is explicitly admitted by software engineers (e.g. using a TODO comment); this is called Self-Admitted Technical Debt or SATD. Most work on automatically identifying SATD focuses on source code comments. In addition to source code comments, issue tracking systems have shown to be another rich source of SATD, but there are no approaches specifically for automatically identifying SATD in issues. In this paper, we first create a training dataset by collecting and manually analyzing 4,200 issues (that break down to 23,180 sections of issues) from seven open-source projects (i.e., Camel, Chromium, Gerrit, Hadoop, HBase, Impala, and Thrift) using two popular issue tracking systems (i.e., Jira and Google Monorail). We then propose and optimize an approach for automatically identifying SATD in issue tracking systems using machine learning. Our findings indicate that: 1) our approach outperforms baseline approaches by a wide margin with regard to the F1-score; 2) transferring knowledge from suitable datasets can improve the predictive performance of our approach; 3) extracted SATD keywords are intuitive and potentially indicating types and indicators of SATD; 4) projects using different issue tracking systems have less common SATD keywords compared to projects using the same issue tracking system; 5) a small amount of training data is needed to achieve good accuracy.</t>
  </si>
  <si>
    <t>Tsoukalas D,Mittas N,Chatzigeorgiou A,Kehagias D,Ampatzoglou A,Amanatidis T,Angelis L</t>
  </si>
  <si>
    <t>Machine Learning for Technical Debt Identification</t>
  </si>
  <si>
    <t>4892-4906</t>
  </si>
  <si>
    <t>http://dx.doi.org/10.1109/TSE.2021.3129355</t>
  </si>
  <si>
    <t>10.1109/TSE.2021.3129355</t>
  </si>
  <si>
    <t>Technical Debt (TD) is a successful metaphor in conveying the consequences of software inefficiencies and their elimination to both technical and non-technical stakeholders, primarily due to its monetary nature. The identification and quantification of TD rely heavily on the use of a small handful of sophisticated tools that check for violations of certain predefined rules, usually through static analysis. Different tools result in divergent TD estimates calling into question the reliability of findings derived by a single tool. To alleviate this issue we use 18 metrics pertaining to source code, repository activity, issue tracking, refactorings, duplication and commenting rates of each class as features for statistical and Machine Learning models, so as to classify them as High-TD or not. As a benchmark we exploit 18,857 classes obtained from 25 Java projects, whose high levels of TD has been confirmed by three leading tools. The findings indicate that it is feasible to identify TD issues with sufficient accuracy and reasonable effort: a subset of superior classifiers achieved an F$_2$2-measure score of approximately 0.79 with an associated Module Inspection ratio of approximately 0.10. Based on the results a tool prototype for automatically assessing the TD of Java projects has been implemented.</t>
  </si>
  <si>
    <t>Aversano L,Bernardi ML,Cimitile M,Iammarino M,Montano D</t>
  </si>
  <si>
    <t>Forecasting technical debt evolution in software systems: an empirical study</t>
  </si>
  <si>
    <t>FRONTIERS OF COMPUTER SCIENCE</t>
  </si>
  <si>
    <t>2095-2228</t>
  </si>
  <si>
    <t>http://dx.doi.org/10.1007/s11704-022-1541-7</t>
  </si>
  <si>
    <t>10.1007/s11704-022-1541-7</t>
  </si>
  <si>
    <t>Technical debt is considered detrimental to the long-term success of software development, but despite the numerous studies in the literature, there are still many aspects that need to be investigated for a better understanding of it. In particular, the main problems that hinder its complete understanding are the absence of a clear definition and a model for its identification, management, and forecasting. Focusing on forecasting technical debt, there is a growing notion that preventing technical debt build-up allows you to identify and address the riskiest debt items for the project before they can permanently compromise it. However, despite this high relevance, the forecast of technical debt is still little explored. To this end, this study aims to evaluate whether the quality metrics of a software system can be useful for the correct prediction of the technical debt. Therefore, the data related to the quality metrics of 8 different open-source software systems were analyzed and supplied as input to multiple machine learning algorithms to perform the prediction of the technical debt. In addition, several partitions of the initial dataset were evaluated to assess whether prediction performance could be improved by performing a data selection. The results obtained show good forecasting performance and the proposed document provides a useful approach to understanding the overall phenomenon of technical debt for practical purposes.</t>
  </si>
  <si>
    <t>Yu D,Wang L,Chen X,Chen J</t>
  </si>
  <si>
    <t>Using BiLSTM with attention mechanism to automatically detect self-admitted technical debt</t>
  </si>
  <si>
    <t>http://dx.doi.org/10.1007/s11704-020-9281-z</t>
  </si>
  <si>
    <t>10.1007/s11704-020-9281-z</t>
  </si>
  <si>
    <t>Technical debt is a metaphor for seeking short-term gains at expense of long-term code quality. Previous studies have shown that self-admitted technical debt, which is introduced intentionally, has strong negative impacts on software development and incurs high maintenance overheads. To help developers identify self-admitted technical debt, researchers have proposed many state-of-the-art methods. However, there is still room for improvement about the effectiveness of the current methods, as self-admitted technical debt comments have the characteristics of length variability, low proportion and style diversity. Therefore, in this paper, we propose a novel approach based on the bidirectional long short-term memory (BiLSTM) networks with the attention mechanism to automatically detect self-admitted technical debt by leveraging source code comments. In BiLSTM, we utilize a balanced cross entropy loss function to overcome the class unbalance problem. We experimentally investigate the performance of our approach on a public dataset including 62, 566 code comments from ten open source projects. Experimental results show that our approach achieves 81.75% in terms of precision, 72.24% in terms of recall and 75.86% in terms of F1-score on average and outperforms the state-of-the-art text mining-based method by 8.14%, 5.49% and 6.64%, respectively.</t>
  </si>
  <si>
    <t>Sharma R,Shahbazi R,Fard FH,Codabux Z,Vidoni M</t>
  </si>
  <si>
    <t>Self-admitted technical debt in R: detection and causes</t>
  </si>
  <si>
    <t>AUTOMATED SOFTWARE ENGINEERING</t>
  </si>
  <si>
    <t>0928-8910</t>
  </si>
  <si>
    <t>http://dx.doi.org/10.1007/s10515-022-00358-6</t>
  </si>
  <si>
    <t>10.1007/s10515-022-00358-6</t>
  </si>
  <si>
    <t>Self-Admitted Technical Debt (SATD) is primarily studied in Object-Oriented (OO) languages and traditionally commercial software. However, scientific software coded in dynamically-typed languages such as R differs in paradigm, and the source code comments' semantics are different (i.e., more aligned with algorithms and statistics when compared to traditional software). Additionally, many Software Engineering topics are understudied in scientific software development, with SATD detection remaining a challenge for this domain. This gap adds complexity since prior works determined SATD in scientific software does not adjust to many of the keywords identified for OO SATD, possibly hindering its automated detection. Therefore, we investigated how classification models (traditional machine learning, deep neural networks, and deep neural Pre-Trained Language Models (PTMs)) automatically detect SATD in R packages. This study aims to study the capabilities of these models to classify different TD types in this domain and manually analyze the causes of each in a representative sample. Our results show that PTMs (i.e., RoBERTa) outperform other models and work well when the number of comments labelled as a particular SATD type has low occurrences. We also found that some SATD types are more challenging to detect. We manually identified sixteen causes, including eight new causes detected by our study. The most common cause was failure to remember, in agreement with previous studies. These findings will help the R package authors automatically identify SATD in their source code and improve their code quality. In the future, checklists for R developers can also be developed by scientific communities such as rOpenSci to guarantee a higher quality of packages before submission.</t>
  </si>
  <si>
    <t>Tsoukalas D,Kehagias D,Siavvas M,Chatzigeorgiou A</t>
  </si>
  <si>
    <t>Technical debt forecasting: An empirical study on open-source repositories</t>
  </si>
  <si>
    <t>JOURNAL OF SYSTEMS AND SOFTWARE</t>
  </si>
  <si>
    <t>0164-1212</t>
  </si>
  <si>
    <t>http://dx.doi.org/10.1016/j.jss.2020.110777</t>
  </si>
  <si>
    <t>10.1016/j.jss.2020.110777</t>
  </si>
  <si>
    <t>Technical debt (TD) is commonly used to indicate additional costs caused by quality compromises that can yield short-term benefits in the software development process, but may negatively affect the long-term quality of software products. Predicting the future value of TD could facilitate decision -making tasks regarding software maintenance and assist developers and project managers in taking proactive actions regarding TD repayment. However, no notable contributions exist in the field of TD forecasting, indicating that it is a scarcely investigated field. To this end, in the present paper, we empirically evaluate the ability of machine learning (ML) methods to model and predict TD evolution. More specifically, an extensive study is conducted, based on a dataset that we constructed by obtaining weekly snapshots of fifteen open source software projects over three years and using two popular static analysis tools to extract software-related metrics that can act as TD predictors. Subsequently, based on the identified TD predictors, a set of TD forecasting models are produced using popular ML algorithms and validated for various forecasting horizons. The results of our analysis indicate that linear Regularization models are able to fit and provide meaningful forecasts of TD evolution for shorter forecasting horizons, while the non-linear Random Forest regression performs better than the linear models for longer forecasting horizons. In most of the cases, the future TD value is captured with a sufficient level of accuracy. These models can be used to facilitate planning for software evolution budget and time allocation. The approach presented in this paper provides a basis for predictive TD analysis, suitable for projects with a relatively long history. To the best of our knowledge, this is the first study that investigates the feasibility of using ML models for forecasting TD. (C) 2020 Elsevier Inc. All rights reserved.</t>
  </si>
  <si>
    <t>Deeb S,BenIdris M,Ammar H,Dzielski D</t>
  </si>
  <si>
    <t>Refactoring Cost Estimation for Architectural Technical Debt</t>
  </si>
  <si>
    <t>INTERNATIONAL JOURNAL OF SOFTWARE ENGINEERING AND KNOWLEDGE ENGINEERING</t>
  </si>
  <si>
    <t>269-288</t>
  </si>
  <si>
    <t>0218-1940</t>
  </si>
  <si>
    <t>http://dx.doi.org/10.1142/S021819402150008X</t>
  </si>
  <si>
    <t>10.1142/S021819402150008X</t>
  </si>
  <si>
    <t>Paying-off the Architectural Technical Debt by refactoring the flawed code is important to control the debt and to keep it as low as possible. Project Managers tend to delay paying off this debt because they face difficulties in comparing the cost of the refactoring against the benefits gained. These managers need to estimate the cost and the efforts required to conduct these refactoring activities as well as to decide which flaws have higher priority to be refactored. Our research is based on a dataset used by other researchers that study the technical debt. It includes more than 18,000 refactoring operations performed on 33 apache java projects. We applied the COCOMO II:2000 model to calculate the refactoring cost in person-months units per release. Furthermore, we investigated the correlation between the refactoring efforts and two static code metrics of the refactored code. The research revealed a weak correlation between the refactoring efforts and the size of the project, and a moderate correlation with the code complexity. Finally, we applied the DesigniteJava tool to verify our research results. From the analysis we found a significant correlation between the ranking of the architecture smells and the ranking of refactoring efforts for each package. Using machine learning practices, we took the architecture smells level and the code metrics of each release as an input to predict the levels of the refactoring effort of the next release. We calculated the results using our model and found that we can predict the `High' and `Very High' levels, the most significant levels from managers' perspective, with 93% accuracy.</t>
  </si>
  <si>
    <t>Alhefdhi A,Dam HK,Nugroho YS,Hata H,Ishio T,Ghose A</t>
  </si>
  <si>
    <t>A framework for conditional statement technical debt identification and description</t>
  </si>
  <si>
    <t>http://dx.doi.org/10.1007/s10515-022-00364-8</t>
  </si>
  <si>
    <t>10.1007/s10515-022-00364-8</t>
  </si>
  <si>
    <t>Technical Debt occurs when development teams favour short-term operability over long-term stability. Since this places software maintainability at risk, technical debt requires early attention to avoid paying for accumulated interest. Most of the existing work focuses on detecting technical debt using code comments, known as Self-Admitted Technical Debt (SATD). However, there are many cases where technical debt instances are not explicitly acknowledged but deeply hidden in the code. In this paper, we propose a framework that caters for the absence of SATD comments in code. Our Self-Admitted Technical Debt Identification and Description (SATDID) framework determines if technical debt should be self-admitted for an input code fragment. If that is the case, SATDID will automatically generate the appropriate descriptive SATD comment that can be attached with the code. While our approach is applicable in principle to any type of code fragments, we focus in this study on technical debt hidden in conditional statements, one of the most TD-carrying parts of code. We explore and evaluate different implementations of SATDID. The evaluation results demonstrate the applicability and effectiveness of our framework over multiple benchmarks. Comparing with the results from the benchmarks, our approach provides at least 21.35, 59.36, 31.78, and 583.33% improvements in terms of Precision, Recall, F-1, and Bleu-4 scores, respectively. In addition, we conduct a human evaluation to the SATD comments generated by SATDID. In 1-5 and 0-5 scales for Acceptability and Understandability, the total means achieved by our approach are 3.128 and 3.172, respectively.</t>
  </si>
  <si>
    <t>Huang Q,Shihab E,Xia X,Lo D,Li S</t>
  </si>
  <si>
    <t>Identifying self-admitted technical debt in open source projects using text mining</t>
  </si>
  <si>
    <t>418-451</t>
  </si>
  <si>
    <t>http://dx.doi.org/10.1007/s10664-017-9522-4</t>
  </si>
  <si>
    <t>10.1007/s10664-017-9522-4</t>
  </si>
  <si>
    <t>Technical debt is a metaphor to describe the situation in which long-term code quality is traded for short-term goals in software projects. Recently, the concept of self-admitted technical debt (SATD) was proposed, which considers debt that is intentionally introduced, e.g., in the form of quick or temporary fixes. Prior work on SATD has shown that source code comments can be used to successfully detect SATD, however, most current state-of-the-art classification approaches of SATD rely on manual inspection of the source code comments. In this paper, we proposed an automated approach to detect SATD in source code comments using text mining. In our approach, we utilize feature selection to select useful features for classifier training, and we combine multiple classifiers from different source projects to build a composite classifier that identifies SATD comments in a target project. We investigate the performance of our approach on 8 open source projects that contain 212,413 comments. Our experimental results show that, on every target project, our approach outperforms the state-of-the-art and the baselines approaches in terms of F1-score. The F1-score achieved by our approach ranges between 0.518 - 0.841, with an average of 0.737, which improves over the state-of-the-art approach proposed by Potdar and Shihab by 499.19%. When compared with the text mining-based baseline approaches, our approach significantly improves the average F1-score by at least 58.49%. When compared with a natural language processing-based baseline, our approach also significantly improves its F1-score by 27.95%. Our proposed approach can be used by project personnel to effectively identify SATD with minimal manual effort.</t>
  </si>
  <si>
    <t>Chen X,Yu D,Fan X,Wang L,Chen J</t>
  </si>
  <si>
    <t>Multiclass Classification for Self-Admitted Technical Debt Based on XGBoost</t>
  </si>
  <si>
    <t>IEEE TRANSACTIONS ON RELIABILITY</t>
  </si>
  <si>
    <t>1309-1324</t>
  </si>
  <si>
    <t>0018-9529</t>
  </si>
  <si>
    <t>http://dx.doi.org/10.1109/TR.2021.3087864</t>
  </si>
  <si>
    <t>10.1109/TR.2021.3087864</t>
  </si>
  <si>
    <t>In software development, due to the demands from users or the limitations of time and resources, developers tend to adopt suboptimal solutions to achieve quick software development. In such a way, the released software usually involves not-quite-right code that is called technical debt, which will significantly decrease the quality of software and increase the maintenance cost. Recently, the concept of self-admitted technical debt (SATD) is proposed and refers to technical debt that is self-admitted by developers in code comments. Existing studies mainly focus on detecting technical debt by classifying code comments into either ``SATD'' or ``non-SATD.'' However, different types of SATD has different impacts on software maintenance and needs to be handled by different developers. Therefore, the detected SATD should be further classified so that developers can understand and remove technical debt better. In this article, we propose a new method based on eXtreme Gradient Boosting (XGBoost) to classify SATD into multiple classes. In our approach, we first preprocess the original code comments and adopt the easy data augmentation strategy to overcome the class unbalance problem. Then, chi-square is leveraged to select representative features from the textual feature set. Finally, we apply XGBoost to train a classifier and use the trained classifier to partition each comment into the corresponding class. We experimentally investigate the effectiveness of our approach on a public dataset, including 62 566 code comments from 10 open-source projects. Experimental results show that our approach achieves 56.66% in terms of macroaveraged precision, 59.07% in terms of macroaveraged recall, and 55.77% in terms of macroaveraged F-measure on average, and outperforms the natural language processing based method by 4.98%, 5.32%, and 3.17%, respectively. In addition, the experimental results also demonstrate that the data augmentation strategy is effective in improving the effectiveness of our approach.</t>
  </si>
  <si>
    <t>Tu H,Menzies T</t>
  </si>
  <si>
    <t>DebtFree: minimizing labeling cost in self-admitted technical debt identification using semi-supervised learning</t>
  </si>
  <si>
    <t>http://dx.doi.org/10.1007/s10664-022-10121-w</t>
  </si>
  <si>
    <t>10.1007/s10664-022-10121-w</t>
  </si>
  <si>
    <t>Keeping track of and managing Self-Admitted Technical Debts (SATDs) is important for maintaining a healthy software project. Current active-learning SATD recognition tool involves manual inspection of 24% of the test comments on average to reach 90% of the recall. Among all the test comments, about 5% are SATDs. The human experts are then required to read almost a quintuple of the SATD comments which indicates the inefficiency of the tool. Plus, human experts are still prone to error: 95% of the false-positive labels from previous work were actually true positives. To solve the above problems, we propose DebtFree, a two-mode framework based on unsupervised learning for identifying SATDs. In mode1, when the existing training data is unlabeled, DebtFree starts with an unsupervised learner to automatically pseudo-label the programming comments in the training data. In contrast, in mode2 where labels are available with the corresponding training data, DebtFree starts with a pre-processor that identifies the highly prone SATDs from the test dataset. Then, our machine learning model is employed to assist human experts in manually identifying the remaining SATDs. Our experiments on 10 software projects show that both models yield statistically significant improvement in effectiveness over the state-of-the-art automated and semi-automated models. Specifically, DebtFree can reduce the labeling effort by 99% in mode1 (unlabeled training data), and up to 63% in mode2 (labeled training data) while improving the current active learner's F1 relatively to almost 100%.</t>
  </si>
  <si>
    <t>Abbas R,Albalooshi FA</t>
  </si>
  <si>
    <t>A Sequential Comparative Analysis of Software Change Proneness Prediction Using Machine Learning</t>
  </si>
  <si>
    <t>INTERNATIONAL JOURNAL OF SOFTWARE INNOVATION</t>
  </si>
  <si>
    <t>JAN-MAR 2022</t>
  </si>
  <si>
    <t>2166-7160</t>
  </si>
  <si>
    <t>http://dx.doi.org/10.4018/IJSI.297993</t>
  </si>
  <si>
    <t>10.4018/IJSI.297993</t>
  </si>
  <si>
    <t>Change-prone modules are more likely to produce defects and accumulate technical debt. Thus, developing prediction models for determining change-prone software classes is critical. Such models will allow for more efficient resource utilization during the maintenance phase and will make them more adaptable to future changes. This paper applies the study on a large dataset from a commercial software to investigate the relationships between object-oriented metrics and change-proneness. The study also compared the performance of several machine learning techniques including combining methods that were constructed by combining several single and ensemble classifiers with voting, Select-Best, and stacking scheme. The result of the study indicates a high prediction performance of many of the ensemble classifiers and the combining methods selected and proved that machine learning methods are very beneficial for predicting change-prone classes in software. The study also demonstrated that software metrics are significant indicators of class change-proneness and should be monitored regularly.</t>
  </si>
  <si>
    <t>Yu Z,Fahid FM,Tu H,Menzies T</t>
  </si>
  <si>
    <t>Identifying Self-Admitted Technical Debts With Jitterbug: A Two-Step Approach</t>
  </si>
  <si>
    <t>1676-1691</t>
  </si>
  <si>
    <t>http://dx.doi.org/10.1109/TSE.2020.3031401</t>
  </si>
  <si>
    <t>10.1109/TSE.2020.3031401</t>
  </si>
  <si>
    <t>Keeping track of and managing Self-Admitted Technical Debts (SATDs) are important to maintaining a healthy software project. This requires much time and effort from human experts to identify the SATDs manually. The current automated solutions do not have satisfactory precision and recall in identifying SATDs to fully automate the process. To solve the above problems, we propose a two-step framework called Jitterbug for identifying SATDs. Jitterbug first identifies the ``easy to find'' SATDs automatically with close to 100 percent precision using a novel pattern recognition technique. Subsequently, machine learning techniques are applied to assist human experts in manually identifying the remaining ``hard to find'' SATDs with reduced human effort. Our simulation studies on ten software projects show that Jitterbug can identify SATDs more efficiently (with less human effort) than the prior state-of-the-art methods.</t>
  </si>
  <si>
    <t>dos Reis JP,Brito e Abreu F,Carneiro GF</t>
  </si>
  <si>
    <t>Crowdsmelling: A preliminary study on using collective knowledge in code smells detection</t>
  </si>
  <si>
    <t>http://dx.doi.org/10.1007/s10664-021-10110-5</t>
  </si>
  <si>
    <t>10.1007/s10664-021-10110-5</t>
  </si>
  <si>
    <t>Code smells are seen as major source of technical debt and, as such, should be detected and removed. However, researchers argue that the subjectiveness of the code smells detection process is a major hindrance to mitigate the problem of smells-infected code. This paper presents the results of a validation experiment for the Crowdsmelling approach proposed earlier. The latter is based on supervised machine learning techniques, where the wisdom of the crowd (of software developers) is used to collectively calibrate code smells detection algorithms, thereby lessening the subjectivity issue. In the context of three consecutive years of a Software Engineering course, a total ``crowd'' of around a hundred teams, with an average of three members each, classified the presence of 3 code smells (Long Method, God Class, and Feature Envy) in Java source code. These classifications were the basis of the oracles used for training six machine learning algorithms. Over one hundred models were generated and evaluated to determine which machine learning algorithms had the best performance in detecting each of the aforementioned code smells. Good performances were obtained for God Class detection (ROC= 0.896 for Naive Bayes) and Long Method detection (ROC= 0.870 for AdaBoostM1), but much lower for Feature Envy (ROC= 0.570 for Random Forrest). The results suggest that Crowdsmelling is a feasible approach for the detection of code smells. Further validation experiments based on dynamic learning are required to a comprehensive coverage of code smells to increase external validity.</t>
  </si>
  <si>
    <t>AlOmar EA,Liu J,Addo K,Mkaouer MW,Newman C,Ouni A,Yu Z</t>
  </si>
  <si>
    <t>On the documentation of refactoring types</t>
  </si>
  <si>
    <t>http://dx.doi.org/10.1007/s10515-021-00314-w</t>
  </si>
  <si>
    <t>10.1007/s10515-021-00314-w</t>
  </si>
  <si>
    <t>Commit messages are the atomic level of software documentation. They provide a natural language description of the code change and its purpose. Messages are critical for software maintenance and program comprehension. Unlike documenting feature updates and bug fixes, little is known about how developers document their refactoring activities. Specifically, developers can perform multiple refactoring operations, including moving methods, extracting classes, renaming attributes, for various reasons, such as improving software quality, managing technical debt, and removing defects. Yet, there is no systematic study that analyzes the extent to which the documentation of refactoring accurately describes the refactoring operations performed at the source code level. Therefore, this paper challenges the ability of refactoring documentation, written in commit messages, to adequately predict the refactoring types, performed at the commit level. Our analysis relies on the text mining of commit messages to extract the corresponding features (i.e., keywords) that better represent each class (i.e., refactoring type). The extraction of text patterns, specific to each refactoring type (e.g., rename, extract, move, inline, etc.) allows the design of a model that verifies the consistency of these patterns with their corresponding refactoring. Such verification process can be achieved via automatically predicting, for a given commit, the method-level type of refactoring being applied, namely Extract Method, Inline Method, Move Method, Pull-up Method, Push-down Method, and Rename Method. We compared various classifiers, and a baseline keyword-based approach, in terms of their prediction performance, using a dataset of 5004 commits. Our main findings show that the complexity of refactoring type prediction varies from one type to another. Rename Method and Extract Method were found to be the best documented refactoring activities, while Pull-up Method, and Push-down Method were the hardest to be identified via textual descriptions. Such findings bring the attention of developers to the necessity of paying more attention to the documentation of these types.</t>
  </si>
  <si>
    <t>Sharma T,Spinellis D</t>
  </si>
  <si>
    <t>A survey on software smells</t>
  </si>
  <si>
    <t>158-173</t>
  </si>
  <si>
    <t>http://dx.doi.org/10.1016/j.jss.2017.12.034</t>
  </si>
  <si>
    <t>10.1016/j.jss.2017.12.034</t>
  </si>
  <si>
    <t>Context: Smells in software systems impair software quality and make them hard to maintain and evolve. The software engineering community has explored various dimensions concerning smells and produced extensive research related to smells. The plethora of information poses challenges to the community to comprehend the state-of-the-art tools and techniques. Objective: We aim to present the current knowledge related to software smells and identify challenges as well as opportunities in the current practices. Method: We explore the definitions of smells, their causes as well as effects, and their detection mechanisms presented in the current literature. We studied 445 primary studies in detail, synthesized the information, and documented our observations. Results: The study reveals five possible defining characteristics of smells indicator, poor solution, violates best-practices, impacts quality, and recurrence. We curate ten common factors that cause smells to occur including lack of skill or awareness and priority to features over quality. We classify existing smell detection methods into five - groups metrics, rules/heuristics, history, machine learning, and optimization-based detection. Challenges in the smells detection include the tools' proneness to false-positives and poor coverage of smells detectable by existing tools. (C) 2017 Published by Elsevier Inc.</t>
  </si>
  <si>
    <t>Publisher</t>
  </si>
  <si>
    <t>ISBN</t>
  </si>
  <si>
    <t>ISBN (alt.)</t>
  </si>
  <si>
    <t>Notes</t>
  </si>
  <si>
    <t>Pages cited</t>
  </si>
  <si>
    <t>Empirical Software Engineering</t>
  </si>
  <si>
    <t>Springer</t>
  </si>
  <si>
    <t>https://www.scopus.com/inward/record.uri?eid=2-s2.0-85133665305&amp;doi=10.1007%2fs10664-022-10128-3&amp;partnerID=40&amp;md5=fae815333129347784d1ffe275b716a1;http://dx.doi.org/10.1007/s10664-022-10128-3</t>
  </si>
  <si>
    <t>Technical debt is a metaphor indicating sub-optimal solutions implemented for short-term benefits by sacrificing the long-term maintainability and evolvability of software. A special type of technical debt is explicitly admitted by software engineers (e.g. using a TODO comment); this is called Self-Admitted Technical Debt or SATD. Most work on automatically identifying SATD focuses on source code comments. In addition to source code comments, issue tracking systems have shown to be another rich source of SATD, but there are no approaches specifically for automatically identifying SATD in issues. In this paper, we first create a training dataset by collecting and manually analyzing 4,200 issues (that break down to 23,180 sections of issues) from seven open-source projects (i.e., Camel, Chromium, Gerrit, Hadoop, HBase, Impala, and Thrift) using two popular issue tracking systems (i.e., Jira and Google Monorail). We then propose and optimize an approach for automatically identifying SATD in issue tracking systems using machine learning. Our findings indicate that: 1) our approach outperforms baseline approaches by a wide margin with regard to the F1-score; 2) transferring knowledge from suitable datasets can improve the predictive performance of our approach; 3) extracted SATD keywords are intuitive and potentially indicating types and indicators of SATD; 4) projects using different issue tracking systems have less common SATD keywords compared to projects using the same issue tracking system; 5) a small amount of training data is needed to achieve good accuracy. © 2022, The Author(s).</t>
  </si>
  <si>
    <t>Cited by: 1; All Open Access, Green Open Access, Hybrid Gold Open Access</t>
  </si>
  <si>
    <t>Conference Paper</t>
  </si>
  <si>
    <t>Shakeel Y,Alchokr R,Krüger J,Leich T,Saake G</t>
  </si>
  <si>
    <t>Incorporating Altmetrics to Support Selection and Assessment of Publications during Literature Analyses</t>
  </si>
  <si>
    <t>180 – 189</t>
  </si>
  <si>
    <t>Association for Computing Machinery</t>
  </si>
  <si>
    <t>https://www.scopus.com/inward/record.uri?eid=2-s2.0-85132368307&amp;doi=10.1145%2f3530019.3530038&amp;partnerID=40&amp;md5=c3ec9d53f1a5f1f12c0265314c2709a9;http://dx.doi.org/10.1145/3530019.3530038</t>
  </si>
  <si>
    <t>10.1145/3530019.3530038</t>
  </si>
  <si>
    <t>Background. The constantly increasing number of scientific publications poses challenges for researchers to monitor, select, and assess the publications relevant for their own research. Several guidelines for assessing publications manually during a literature analysis exist, with researchers proposing (semi-)automated techniques to facilitate such assessments. Aims. Still, research indicates that current techniques require further improvements to facilitate the analysis of large sets of publications. In this paper, we propose a semi-automatic technique with which we aim to improve in this direction by facilitating the selection and assessment of publications. Method. Our technique uses publicly available data of a publication, namely citation counts, article-level metrics, venue metrics, and altmetrics, to guide an analyst in assessing its relevance and impact. To evaluate the feasibility of our technique and the included metrics, we performed an experimental analysis to automatically assign ratings to the retrieved publications. Results. The results indicate that our technique can help an analyst in assessing publications, and reduce manual effort. Through our technique, we achieve an average accuracy of 53 % with a recall of 71 %. While precision (14 %) and F1-score (21 %) are - not surprisingly, due to the high number of irrelevant results returned by automatic searches in digital libraries - low, we see an improvement of these values for more recent reviews for which we could collect more complete data. However, some manual effort is still required for the final selection of papers. Conclusions. While it is not possible to achieve full automation for selecting and quality assessing publications, we can see that our metrics-based technique can be a helpful means to provide an initial rating for the analyst. Also, incorporating altmetrics seems to be a promising addition to rate comparably recent publications, helping researchers to further facilitate the execution of literature analyses. © 2022 Owner/Author.</t>
  </si>
  <si>
    <t>Cited by: 1; All Open Access, Bronze Open Access</t>
  </si>
  <si>
    <t>Sengamedu S,Zhao H</t>
  </si>
  <si>
    <t>Neural language models for code quality identification</t>
  </si>
  <si>
    <t>5 – 10</t>
  </si>
  <si>
    <t>Association for Computing Machinery, Inc</t>
  </si>
  <si>
    <t>https://www.scopus.com/inward/record.uri?eid=2-s2.0-85143199642&amp;doi=10.1145%2f3549034.3561175&amp;partnerID=40&amp;md5=d7c2c1efa13afe809fb522d39886fcb0;http://dx.doi.org/10.1145/3549034.3561175</t>
  </si>
  <si>
    <t>10.1145/3549034.3561175</t>
  </si>
  <si>
    <t>Neural Language Models for code have lead to interesting applications such as code completion and bug fix generation. Another type of code related application is the identification of code quality issues such as repetitive code and unnatural code. Neural language models contain implicit knowledge about such aspects. We propose a framework to detect code quality issues using neural language models. To handle repository-specific conventions, we use local or repository-specific models. The models are successful in detecting real-world code quality issues with low false positive rate. © 2022 ACM.</t>
  </si>
  <si>
    <t>Cited by: 0</t>
  </si>
  <si>
    <t>Sayago-Heredia J,Chango G,Pérez-Castillo R,Piattini M</t>
  </si>
  <si>
    <t>Exploring the Impact of Toxic Comments in Code Quality</t>
  </si>
  <si>
    <t>335 – 343</t>
  </si>
  <si>
    <t>Science and Technology Publications, Lda</t>
  </si>
  <si>
    <t>2184-4895</t>
  </si>
  <si>
    <t>https://www.scopus.com/inward/record.uri?eid=2-s2.0-85140988970&amp;doi=10.5220%2f0011039700003176&amp;partnerID=40&amp;md5=a3f710a5b2d6e27fb76a852bc53c36b5;http://dx.doi.org/10.5220/0011039700003176</t>
  </si>
  <si>
    <t>10.5220/0011039700003176</t>
  </si>
  <si>
    <t>Software development has an important human-side, which implies that developers' feelings have a significant impact to software development and could affect developers' quality, productivity, and performance. In this paper, we explore the process to find, understand and relate the effects of toxic emotions on code quality. We propose a tool and sentiments dataset, a clean set of commit messages, extracted from SonarQube code quality metrics and toxic comments obtained from GitHub. Moreover, we perform a preliminary statistical analysis of the dataset. We apply natural language processing techniques to identify toxic developer sentiments on commits that could impact code quality. Our study describes data retrieval process along with tools used for performing a preliminary analysis. The preliminary dataset is available in CSV format to facilitate queries on the data and to investigate in depth factors that impact developer emotions. Preliminary results imply that there is a relationship between toxic comments and code quality that may affect the quality of the software project. Future research will be the development of a complete dataset and an in-depth analysis for efficiency validation experiments along with a linear regression. Finally, we will estimate the code quality as a function of developers' toxic comments. Copyright © 2022 by SCITEPRESS – Science and Technology Publications, Lda. All rights reserved.</t>
  </si>
  <si>
    <t>Cited by: 0; All Open Access, Hybrid Gold Open Access</t>
  </si>
  <si>
    <t>Abe T,Kinsella I,Saxena S,Buchanan EK,Couto J,Briggs J,Kitt SL,Glassman R,Zhou J,Paninski L,Cunningham JP</t>
  </si>
  <si>
    <t>Neuroscience Cloud Analysis As a Service: An open-source platform for scalable, reproducible data analysis</t>
  </si>
  <si>
    <t>Neuron</t>
  </si>
  <si>
    <t>2771 – 2789.e7</t>
  </si>
  <si>
    <t>Cell Press</t>
  </si>
  <si>
    <t>0896-6273</t>
  </si>
  <si>
    <t>https://www.scopus.com/inward/record.uri?eid=2-s2.0-85137070907&amp;doi=10.1016%2fj.neuron.2022.06.018&amp;partnerID=40&amp;md5=d95ad5c90342b00988ae7c7d5d9a9ea8;http://dx.doi.org/10.1016/j.neuron.2022.06.018</t>
  </si>
  <si>
    <t>10.1016/j.neuron.2022.06.018</t>
  </si>
  <si>
    <t>A key aspect of neuroscience research is the development of powerful, general-purpose data analyses that process large datasets. Unfortunately, modern data analyses have a hidden dependence upon complex computing infrastructure (e.g., software and hardware), which acts as an unaddressed deterrent to analysis users. Although existing analyses are increasingly shared as open-source software, the infrastructure and knowledge needed to deploy these analyses efficiently still pose significant barriers to use. In this work, we develop Neuroscience Cloud Analysis As a Service (NeuroCAAS): a fully automated open-source analysis platform offering automatic infrastructure reproducibility for any data analysis. We show how NeuroCAAS supports the design of simpler, more powerful data analyses and that many popular data analysis tools offered through NeuroCAAS outperform counterparts on typical infrastructure. Pairing rigorous infrastructure management with cloud resources, NeuroCAAS dramatically accelerates the dissemination and use of new data analyses for neuroscientific discovery. © 2022 Elsevier Inc.</t>
  </si>
  <si>
    <t>Cited by: 2</t>
  </si>
  <si>
    <t>Huang ZJ,Shao ZQ,Fan GS,Yu HQ,Yang XG,Yang K</t>
  </si>
  <si>
    <t>Community Smell Occurrence Prediction on Multi-Granularity by Developer-Oriented Features and Process Metrics</t>
  </si>
  <si>
    <t>Journal of Computer Science and Technology</t>
  </si>
  <si>
    <t>182 – 206</t>
  </si>
  <si>
    <t>1000-9000</t>
  </si>
  <si>
    <t>https://www.scopus.com/inward/record.uri?eid=2-s2.0-85125323743&amp;doi=10.1007%2fs11390-021-1596-1&amp;partnerID=40&amp;md5=8e4c15f6f3181100378d973e884107f4;http://dx.doi.org/10.1007/s11390-021-1596-1</t>
  </si>
  <si>
    <t>10.1007/s11390-021-1596-1</t>
  </si>
  <si>
    <t>Community smells are sub-optimal developer community structures that hinder productivity. Prior studies performed smell prediction and provided refactoring guidelines from a top-down aspect to help community shepherds. Simultaneously, refactoring smells also requires bottom-up effort from every developer. However, supportive measures and guidelines for them are not available at a fine-grained level. Since recent work revealed developers’ personalities and working states could influence community smells’ emergence and variation, we build prediction models with experience, sentiment, and development process features of developers considering three smells including Organizational Silo, Lone Wolf, and Bottleneck, as well as two related classes including smelly developer and smelly quitter. We predict the five classes in the individual granularity, and we also generate forecasts for the number of smelly developers in the community granularity. The proposed models achieve F-measures ranging from 0.73 to 0.92 in individual-wide within-project, time-wise, and cross-project prediction, and mean R2 performance of 0.68 in community-wide Smelly Developer prediction. We also exploit SHAP (SHapley Additive exPlanations) to assess feature importance to explain our predictors. In conclusion, we suggest developers with heavy workload should foster more frequent communication in a straightforward and polite way to build healthier communities, and we recommend community shepherds to use the forecasting model for refactoring planning. © 2022, Institute of Computing Technology, Chinese Academy of Sciences.</t>
  </si>
  <si>
    <t>Cited by: 3</t>
  </si>
  <si>
    <t>Meng Y,Tie B,Lin D</t>
  </si>
  <si>
    <t>From SATD Recognition to an Interpretation Method Based on the Dataset</t>
  </si>
  <si>
    <t>International Journal of Software Engineering and Knowledge Engineering</t>
  </si>
  <si>
    <t>World Scientific</t>
  </si>
  <si>
    <t>https://www.scopus.com/inward/record.uri?eid=2-s2.0-85143589507&amp;doi=10.1142%2fS0218194022500693&amp;partnerID=40&amp;md5=f52a0e9b1784a7b8fc61fc1a9aefadcb;http://dx.doi.org/10.1142/S0218194022500693</t>
  </si>
  <si>
    <t>10.1142/S0218194022500693</t>
  </si>
  <si>
    <t>Technical debt describes a trade-off between short-term goals and long-term code quality during software development. Self-admitted technical debt (SATD), a type of technical debt, is intentionally introduced by developers. The existence of SATD is likely to leave hidden dangers for future changes in software systems, so identifying SATD is an essential task. Before this, many methods for recognizing SATD (such as pattern matching-based, natural language processing-based, text mining-based, etc.) have been proposed. This paper will present a pre-trained deep learning model to complete the SATD recognition task. An efficient deep learning model interpretation tool Captum can be used to understand the experimental results. At the same time, a new interpretation view is proposed for the matching-based model. Finally, combined with the research in this paper, reasonable suggestions are put forward for future SATD recognition tasks. © 2022 World Scientific Publishing Company.</t>
  </si>
  <si>
    <t>Karmakar S,Codabux Z,Vidoni M</t>
  </si>
  <si>
    <t>An Experience Report on Technical Debt in Pull Requests: Challenges and Lessons Learned</t>
  </si>
  <si>
    <t>295 – 300</t>
  </si>
  <si>
    <t>IEEE Computer Society</t>
  </si>
  <si>
    <t>1949-3770</t>
  </si>
  <si>
    <t>https://www.scopus.com/inward/record.uri?eid=2-s2.0-85139844046&amp;doi=10.1145%2f3544902.3546637&amp;partnerID=40&amp;md5=58be2f1b51158cf58cefaaec91658062;http://dx.doi.org/10.1145/3544902.3546637</t>
  </si>
  <si>
    <t>10.1145/3544902.3546637</t>
  </si>
  <si>
    <t>Background: GitHub is a collaborative platform for global software development, where Pull Requests (PRs) are essential to bridge code changes with version control. However, developers often trade software quality for faster implementation, incurring Technical Debt (TD). When developers undertake reviewers' roles and evaluate PRs, they can often detect TD instances, leading to either PR rejection or discussions. Aims: We investigated whether Pull Request Comments (PRCs) indicate TD by assessing three large-scale repositories: Spark, Kafka, and React. Method: We combined manual classification with automated detection using machine learning and deep learning models. Results: We classified two datasets and found that 37.7 and 38.7% of PRCs indicate TD, respectively. Our best model achieved F 1 = 0.85 when classifying TD during the validation phase. Conclusions: We faced several challenges during this process, which may hint that TD in PRCs is discussed differently from other software artifacts (e.g., code comments, commits, issues, or discussion forums). Thus, we present challenges and lessons learned to assist researchers in pursuing this area of research. © 2022 Association for Computing Machinery.</t>
  </si>
  <si>
    <t>Cassee N,Zampetti F,Novielli N,Serebrenik A,Di Penta M</t>
  </si>
  <si>
    <t>Self-Admitted Technical Debt and comments’ polarity: an empirical study</t>
  </si>
  <si>
    <t>https://www.scopus.com/inward/record.uri?eid=2-s2.0-85134807777&amp;doi=10.1007%2fs10664-022-10183-w&amp;partnerID=40&amp;md5=22c2a50f714a7297aea9be72975aa4a7;http://dx.doi.org/10.1007/s10664-022-10183-w</t>
  </si>
  <si>
    <t>10.1007/s10664-022-10183-w</t>
  </si>
  <si>
    <t>Self-Admitted Technical Debt (SATD) consists of annotations—typically, but not only, source code comments—pointing out incomplete features, maintainability problems, or, in general, portions of a program not-ready yet. The way a SATD comment is written, and specifically its polarity, may be a proxy indicator of the severity of the problem and, to some extent, of the priority with which it should be addressed. In this paper, we study the relationship between different types of SATD comments in source code and their polarity, to understand in which circumstances (and why) developers use negative or rather neutral comments to highlight an SATD. To address this goal, we combine a manual analysis of 1038 SATD comments from a curated dataset with a survey involving 46 professional developers. First of all, we categorize SATD content into its types. Then, we study the extent to which developers express negative sentiment in different types of SATD as a proxy for priority, and whether they believe this can be considered as an acceptable practice. Finally, we look at whether such annotations contain additional details such as bug references and developers’ names/initials. Results of the study indicate that SATD comments are mainly used for annotating poor implementation choices (≃ 41%) and partially implemented functionality (≃ 22%). The latter may depend from “waiting” for other features being implemented, and this makes SATD comments more negatives than in other cases. Around 30% of the survey respondents agree on using/interpreting negative sentiment as a proxy for priority, while 50% of them indicate that it would be better to discuss SATD on issue trackers and not in the source code. However, while our study indicates that open-source developers use links to external systems, such as bug identifiers, to annotate high-priority SATD, better tool support is required for SATD management. © 2022, The Author(s).</t>
  </si>
  <si>
    <t>Cited by: 2; All Open Access, Green Open Access, Hybrid Gold Open Access</t>
  </si>
  <si>
    <t>van den Bos P,Huisman M</t>
  </si>
  <si>
    <t>The Integration of Testing and Program Verification: A Position Paper</t>
  </si>
  <si>
    <t>Lecture Notes in Computer Science (including subseries Lecture Notes in Artificial Intelligence and Lecture Notes in Bioinformatics)</t>
  </si>
  <si>
    <t>13560 LNCS</t>
  </si>
  <si>
    <t>524 – 538</t>
  </si>
  <si>
    <t>Springer Science and Business Media Deutschland GmbH</t>
  </si>
  <si>
    <t>0302-9743</t>
  </si>
  <si>
    <t>https://www.scopus.com/inward/record.uri?eid=2-s2.0-85138213545&amp;doi=10.1007%2f978-3-031-15629-8_28&amp;partnerID=40&amp;md5=b4f4521ec4954fb96f487eb1571ac4be;http://dx.doi.org/10.1007/978-3-031-15629-8_28</t>
  </si>
  <si>
    <t>10.1007/978-3-031-15629-8_28</t>
  </si>
  <si>
    <t>Formal analysis techniques for software systems are becoming more and more powerful, and have been used on non-trivial examples. We argue that the next step forward is to combine these different techniques in a single framework, which makes it possible to (i) analyse different parts of the system with different techniques, (ii) apply different techniques on a single component, and (iii) seamlessly combine the results of the various analysis. We describe our vision of how this integration can be achieved for the analysis techniques of testing and deductive verification. We end with an overview of research challenges that need to be addressed to achieve this vision. © 2022, The Author(s), under exclusive license to Springer Nature Switzerland AG.</t>
  </si>
  <si>
    <t>AbuHassan A,Alshayeb M,Ghouti L</t>
  </si>
  <si>
    <t>Detection of Design Smells Using Adaptive Neuro-Fuzzy Approaches</t>
  </si>
  <si>
    <t>International Journal of Fuzzy Systems</t>
  </si>
  <si>
    <t>1927 – 1943</t>
  </si>
  <si>
    <t>1562-2479</t>
  </si>
  <si>
    <t>https://www.scopus.com/inward/record.uri?eid=2-s2.0-85125222267&amp;doi=10.1007%2fs40815-022-01248-5&amp;partnerID=40&amp;md5=9f7e9f99ac22a96db4a97550f0f8e2c5;http://dx.doi.org/10.1007/s40815-022-01248-5</t>
  </si>
  <si>
    <t>10.1007/s40815-022-01248-5</t>
  </si>
  <si>
    <t>Software evolution, an integral part of the software development process, encompasses frequent and numerous changes and updates that may lead to complex and poor-quality systems. Software engineers and quality practitioners continually refactor the software components to mitigate the negative effects of code and design smells. Although these smells are not directly connected to design and coding bugs, they are high indicators of technical debt that may arise as bugs in future software releases. Therefore, refactoring plays a significant role in the overall software evolution process. To fix the underlying code and design smells, they must be first detected and classified. As code smells have been the focus of research in the literature, this paper focuses on detecting design smells. A novel design smell detection scheme is proposed using adaptive neuro-fuzzy approaches. This scheme can be seamlessly integrated with any refactoring scheduling and prioritization models as it is efficiently designed using a fast-training scheme based on a neuro-fuzzy architecture. In addition, the design smell detection solution relies on a reduced set of software metrics. A large custom dataset with more than 30,000 class records is created to assess the performance of the design smell detection solution. The reported performance scores confirm the superiority of the proposed technique over the existing ones. The accuracy, precision, recall, and area-under-the-curve (AUC) scores attained 0.97, 0.98, 0.98, and 0.99, respectively. Thanks to the high detection scores, design smell refactoring sequencing and prioritization routines can be further enhanced. © 2022, The Author(s) under exclusive licence to Taiwan Fuzzy Systems Association.</t>
  </si>
  <si>
    <t>Subramanya R,Sierla S,Vyatkin V</t>
  </si>
  <si>
    <t>From DevOps to MLOps: Overview and Application to Electricity Market Forecasting</t>
  </si>
  <si>
    <t>Applied Sciences (Switzerland)</t>
  </si>
  <si>
    <t>MDPI</t>
  </si>
  <si>
    <t>2076-3417</t>
  </si>
  <si>
    <t>https://www.scopus.com/inward/record.uri?eid=2-s2.0-85139914234&amp;doi=10.3390%2fapp12199851&amp;partnerID=40&amp;md5=bb511d78b795e3322d6f03596b346bed;http://dx.doi.org/10.3390/app12199851</t>
  </si>
  <si>
    <t>10.3390/app12199851</t>
  </si>
  <si>
    <t>In the Software Development Life Cycle (SDLC), Development and Operations (DevOps) has been proven to deliver reliable, scalable software within a shorter time. Due to the explosion of Machine Learning (ML) applications, the term Machine Learning Operations (MLOps) has gained significant interest among ML practitioners. This paper explains the DevOps and MLOps processes relevant to the implementation of MLOps. The contribution of this paper towards the MLOps framework is threefold: First, we review the state of the art in MLOps by analyzing the related work in MLOps. Second, we present an overview of the leading DevOps principles relevant to MLOps. Third, we derive an MLOps framework from the MLOps theory and apply it to a time-series forecasting application in the hourly day-ahead electricity market. The paper concludes with how MLOps could be generalized and applied to two more use cases with minor changes. © 2022 by the authors.</t>
  </si>
  <si>
    <t>Cited by: 0; All Open Access, Gold Open Access, Green Open Access</t>
  </si>
  <si>
    <t>Lomio F,Moreschini S,Lenarduzzi V</t>
  </si>
  <si>
    <t>A machine and deep learning analysis among SonarQube rules, product, and process metrics for fault prediction</t>
  </si>
  <si>
    <t>https://www.scopus.com/inward/record.uri?eid=2-s2.0-85139207178&amp;doi=10.1007%2fs10664-022-10164-z&amp;partnerID=40&amp;md5=5bd679506e1ae15182248eea4ea994f4;http://dx.doi.org/10.1007/s10664-022-10164-z</t>
  </si>
  <si>
    <t>10.1007/s10664-022-10164-z</t>
  </si>
  <si>
    <t>Background: Developers spend more time fixing bugs refactoring the code to increase the maintainability than developing new features. Researchers investigated the code quality impact on fault-proneness, focusing on code smells and code metrics. Objective: We aim at advancing fault-inducing commit prediction using different variables, such as SonarQube rules, product, process metrics, and adopting different techniques. Method: We designed and conducted an empirical study among 29 Java projects analyzed with SonarQube and SZZ algorithm to identify fault-inducing and fault-fixing commits, computing different product and process metrics. Moreover, we investigated fault-proneness using different Machine and Deep Learning models. Results: We analyzed 58,125 commits containing 33,865 faults and infected by more than 174 SonarQube rules violated 1.8M times, on which 48 software product and process metrics were calculated. Results clearly identified a set of features that provided a highly accurate fault prediction (more than 95% AUC). Regarding the performance of the classifiers, Deep Learning provided a higher accuracy compared with Machine Learning models. Conclusion: Future works might investigate whether other static analysis tools, such as FindBugs or Checkstyle, can provide similar or different results. Moreover, researchers might consider the adoption of time series analysis and anomaly detection techniques. © 2022, The Author(s).</t>
  </si>
  <si>
    <t>Li Y,Liu A,Zhao L,Zhang X</t>
  </si>
  <si>
    <t>Hybrid Model with Multi-Level Code Representation for Multi-Label Code Smell Detection (077)</t>
  </si>
  <si>
    <t>https://www.scopus.com/inward/record.uri?eid=2-s2.0-85144500788&amp;doi=10.1142%2fS0218194022500723&amp;partnerID=40&amp;md5=713fe1c3accb07320e0e1949420b2092;http://dx.doi.org/10.1142/S0218194022500723</t>
  </si>
  <si>
    <t>10.1142/S0218194022500723</t>
  </si>
  <si>
    <t>Code smell is an indicator of potential problems in a software design that have a negative impact on readability and maintainability. Hence, detecting code smells in a timely and effective manner can provide guides for developers in refactoring. Fortunately, many approaches like metric-based, heuristic-based, machine-learning-based and deep-learning-based have been proposed to detect code smells. However, existing methods, using the simple code representation to describe different code smells unilaterally, cannot efficiently extract enough rich information from source code. In addition, one code snippet often has several code smells at the same time and there is a lack of multi-label code smell detection based on deep learning. In this paper, we present a large-scale dataset for the multi-label code smell detection task since there is still no publicly sufficient dataset for this task. The release of this dataset would push forward the research in this field. Based on it, we propose a hybrid model with multi-level code representation to further optimize the code smell detection. First, we parse the code into the abstract syntax tree (AST) with control and data flow edges and the graph convolution network is applied to get the prediction at the syntactic and semantic level. Then we use the bidirectional long-short term memory network with attention mechanism to analyze the code tokens at the token-level in the meanwhile. Finally, we get the fusion prediction result of the models. Experimental results illustrate that our proposed model outperforms the state-of-the-art methods not only in single code smell detection but also in multi-label code smell detection. © 2022 World Scientific Publishing Company.</t>
  </si>
  <si>
    <t>Li S,Guo J,Gao Y,Lou J,Yang D,Xiao Y,Zhou Y,Liu T</t>
  </si>
  <si>
    <t>How to manage a task-oriented virtual assistant software project: an experience report; [管理面向任务的虚拟助手软件系统的经验性研究]</t>
  </si>
  <si>
    <t>Frontiers of Information Technology and Electronic Engineering</t>
  </si>
  <si>
    <t>749 – 762</t>
  </si>
  <si>
    <t>Zhejiang University</t>
  </si>
  <si>
    <t>2095-9184</t>
  </si>
  <si>
    <t>https://www.scopus.com/inward/record.uri?eid=2-s2.0-85130705823&amp;doi=10.1631%2fFITEE.2100467&amp;partnerID=40&amp;md5=5dd77d10e1754a20c5cce0c213fd2adc;http://dx.doi.org/10.1631/FITEE.2100467</t>
  </si>
  <si>
    <t>10.1631/FITEE.2100467</t>
  </si>
  <si>
    <t>Task-oriented virtual assistants are software systems that provide users with a natural language interface to complete domain-specific tasks. With the recent technological advances in natural language processing and machine learning, an increasing number of task-oriented virtual assistants have been developed. However, due to the well-known complexity and difficulties of the natural language understanding problem, it is challenging to manage a task-oriented virtual assistant software project. Meanwhile, the management and experience related to the development of virtual assistants are hardly studied or shared in the research community or industry, to the best of our knowledge. To bridge this knowledge gap, in this paper, we share our experience and the lessons that we have learned at managing a task-oriented virtual assistant software project at Microsoft. We believe that our practices and the lessons learned can provide a useful reference for other researchers and practitioners who aim to develop a virtual assistant system. Finally, we have developed a requirement management tool, named SpecSpace, which can facilitate the management of virtual assistant projects. © 2022, Zhejiang University Press.</t>
  </si>
  <si>
    <t>Wu X,Zheng W,Xia X,Lo D</t>
  </si>
  <si>
    <t>Data Quality Matters: A Case Study on Data Label Correctness for Security Bug Report Prediction</t>
  </si>
  <si>
    <t>IEEE Transactions on Software Engineering</t>
  </si>
  <si>
    <t>2541 – 2556</t>
  </si>
  <si>
    <t>Institute of Electrical and Electronics Engineers Inc.</t>
  </si>
  <si>
    <t>https://www.scopus.com/inward/record.uri?eid=2-s2.0-85102303730&amp;doi=10.1109%2fTSE.2021.3063727&amp;partnerID=40&amp;md5=a8493f3a2190202e1859e9c7701469b0;http://dx.doi.org/10.1109/TSE.2021.3063727</t>
  </si>
  <si>
    <t>10.1109/TSE.2021.3063727</t>
  </si>
  <si>
    <t>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 © 1976-2012 IEEE.</t>
  </si>
  <si>
    <t>Cited by: 32</t>
  </si>
  <si>
    <t>Zhong C,Huang H,Zhang H,Li S</t>
  </si>
  <si>
    <t>Impacts, causes, and solutions of architectural smells in microservices: An industrial investigation</t>
  </si>
  <si>
    <t>Software - Practice and Experience</t>
  </si>
  <si>
    <t>2574 – 2597</t>
  </si>
  <si>
    <t>John Wiley and Sons Ltd</t>
  </si>
  <si>
    <t>0038-0644</t>
  </si>
  <si>
    <t>https://www.scopus.com/inward/record.uri?eid=2-s2.0-85135893425&amp;doi=10.1002%2fspe.3138&amp;partnerID=40&amp;md5=81d2a407816f0eee2cee3b48947ce001;http://dx.doi.org/10.1002/spe.3138</t>
  </si>
  <si>
    <t>10.1002/spe.3138</t>
  </si>
  <si>
    <t>As a recently predominant architecture style, MicroService Architecture (MSA) is likely to suffer the issues of poor maintainability due to inappropriate microservice boundaries. Architectural Smell (AS), as a metaphor for potential architectural issues that may have negative impacts on software maintenance, can be used to pinpoint refactoring opportunity for evolving microservice boundary. However, existing studies mostly focus on AS detection with little further investigation on the possible impacts, causes, and solutions of AS, which does little help in addressing the bad smells in architecture. Our goal in this study is to bridge this gap by investigating the possible impacts, causes, and solutions of AS in MSA-based systems. An industrial case study is carried out to collect repository data and practitioners' views on six typical ASes in a real MSA-based telecommunication system. Statistical Analysis and Coding techniques are used in the analyses of quantitative and qualitative data respectively. The results show that AS influences the modularity, modifiability, analyzability, and testability of the MSA-based system, which further induce extra cross-team communication, change- and fault-prone microservices. To explore the causes for AS, a five-aspect conceptual classification with technology, project, organization, business, and professional is proposed, in which the business and organization aspects take the major roles. Both technical and non-technical solutions are distilled to deal with ASes despite potential constraints. These results and their comparison to current literature are discussed, which provide practical implications in coping with AS in microservices. © 2022 John Wiley &amp; Sons Ltd.</t>
  </si>
  <si>
    <t>Li H,Qu Y,Liu Y,Chen R,Ai J,Guo S</t>
  </si>
  <si>
    <t>Self-admitted technical debt detection by learning its comprehensive semantics via graph neural networks</t>
  </si>
  <si>
    <t>2152 – 2176</t>
  </si>
  <si>
    <t>https://www.scopus.com/inward/record.uri?eid=2-s2.0-85132899254&amp;doi=10.1002%2fspe.3117&amp;partnerID=40&amp;md5=990b74421e742e1a74b2402204c48097;http://dx.doi.org/10.1002/spe.3117</t>
  </si>
  <si>
    <t>10.1002/spe.3117</t>
  </si>
  <si>
    <t>The goal of software development is to deliver software products with high quality and free from defects, but resource and time constraints often cause the developers to submit incomplete or temporary patches of codes and further bear the additional burden. Therefore, the investigations on identifying self-admitted technical debt (SATD) to improve code quality have been conducted in recent years. However, missing syntactic structure information and the imbalance distribution bias shorten the SATD identification performance. Addressing to this issue, we present a graph neural network based SATD identification model (GNNSI) to improve the performance. Specifically, we obtain the structure information of the missing SATD in a compositional way to obtain different feature maps for different comments, and use focal loss to handle the imbalance between SATD and non-SATD classes in the comments. Then extensive experiments on 10 open source projects are conducted, and the results show that GNNSI outperforms the baselines and can help developers to better predict SATDs. © 2022 John Wiley &amp; Sons Ltd.</t>
  </si>
  <si>
    <t>Marcolini A,Bussola N,Arbitrio E,Amgad M,Jurman G,Furlanello C</t>
  </si>
  <si>
    <t>histolab: A Python library for reproducible Digital Pathology preprocessing with automated testing</t>
  </si>
  <si>
    <t>SoftwareX</t>
  </si>
  <si>
    <t>Elsevier B.V.</t>
  </si>
  <si>
    <t>2352-7110</t>
  </si>
  <si>
    <t>https://www.scopus.com/inward/record.uri?eid=2-s2.0-85141781984&amp;doi=10.1016%2fj.softx.2022.101237&amp;partnerID=40&amp;md5=09d5a5f60a2912d9eab325b704f61f8a;http://dx.doi.org/10.1016/j.softx.2022.101237</t>
  </si>
  <si>
    <t>10.1016/j.softx.2022.101237</t>
  </si>
  <si>
    <t>Deep Learning (DL) is rapidly permeating the field of Digital Pathology with algorithms successfully applied to ease daily clinical practice and to discover novel associations. However, most DL workflows for Digital Pathology include custom code for data preprocessing, usually tailored to data and tasks of interest, resulting in software that is error-prone and hard to understand, peer-review, and test. In this work, we introduce histolab, a Python package designed to standardize the preprocessing of Whole Slide Images in a reproducible environment, supported by automated testing. In addition, the package provides functions for building datasets of WSI tiles, including augmentation and morphological operators, a tile scoring framework, and stain normalization methods. histolab is modular, extensible, and easily integrable into DL pipelines, with support of the OpenSlide and large_image backends. To guarantee robustness, histolab embraces software engineering best practices such as multiplatform automated testing and Continuous Integration. © 2022 The Author(s)</t>
  </si>
  <si>
    <t>Cited by: 0; All Open Access, Gold Open Access</t>
  </si>
  <si>
    <t>Reis JP,Abreu FB,Carneiro GF</t>
  </si>
  <si>
    <t>https://www.scopus.com/inward/record.uri?eid=2-s2.0-85126535966&amp;doi=10.1007%2fs10664-021-10110-5&amp;partnerID=40&amp;md5=4532d1f2c2f16aac1c17a49eb93c0e31;http://dx.doi.org/10.1007/s10664-021-10110-5</t>
  </si>
  <si>
    <t>Code smells are seen as major source of technical debt and, as such, should be detected and removed. However, researchers argue that the subjectiveness of the code smells detection process is a major hindrance to mitigate the problem of smells-infected code. This paper presents the results of a validation experiment for the Crowdsmelling approach proposed earlier. The latter is based on supervised machine learning techniques, where the wisdom of the crowd (of software developers) is used to collectively calibrate code smells detection algorithms, thereby lessening the subjectivity issue. In the context of three consecutive years of a Software Engineering course, a total “crowd” of around a hundred teams, with an average of three members each, classified the presence of 3 code smells (Long Method, God Class, and Feature Envy) in Java source code. These classifications were the basis of the oracles used for training six machine learning algorithms. Over one hundred models were generated and evaluated to determine which machine learning algorithms had the best performance in detecting each of the aforementioned code smells. Good performances were obtained for God Class detection (ROC= 0.896 for Naive Bayes) and Long Method detection (ROC= 0.870 for AdaBoostM1), but much lower for Feature Envy (ROC= 0.570 for Random Forrest). The results suggest that Crowdsmelling is a feasible approach for the detection of code smells. Further validation experiments based on dynamic learning are required to a comprehensive coverage of code smells to increase external validity. © 2022, The Author(s), under exclusive licence to Springer Science+Business Media, LLC, part of Springer Nature.</t>
  </si>
  <si>
    <t>Cited by: 1; All Open Access, Green Open Access</t>
  </si>
  <si>
    <t>Alkharabsheh K,Alawadi S,Ignaim K,Zanoon N,Crespo Y,Manso E,Taboada JA</t>
  </si>
  <si>
    <t>Prioritization of god class design smell: A multi-criteria based approach</t>
  </si>
  <si>
    <t>Journal of King Saud University - Computer and Information Sciences</t>
  </si>
  <si>
    <t>9332 – 9342</t>
  </si>
  <si>
    <t>King Saud bin Abdulaziz University</t>
  </si>
  <si>
    <t>1319-1578</t>
  </si>
  <si>
    <t>https://www.scopus.com/inward/record.uri?eid=2-s2.0-85139724292&amp;doi=10.1016%2fj.jksuci.2022.09.011&amp;partnerID=40&amp;md5=8e0853d562e8df7a8e1c751e9bebddee;http://dx.doi.org/10.1016/j.jksuci.2022.09.011</t>
  </si>
  <si>
    <t>10.1016/j.jksuci.2022.09.011</t>
  </si>
  <si>
    <t>Context: Design smell Prioritization is a significant activity that tunes the process of software quality enhancement and raises its life cycle. Objective: A multi-criteria merge strategy for Design Smell prioritization is described. The strategy is exemplified with the case of God Class Design Smell. Method: An empirical adjustment of the strategy is performed using a dataset of 24 open source projects. Empirical evaluation was conducted in order to check how is the top ranked God Classes obtained by the proposed technique compared against the top ranked God class according to the opinion of developers involved in each of the projects in the dataset. Results: Results of the evaluation show the strategy should be improved. Analysis of the differences between projects where respondents answer correlates with the strategy and those projects where there is no correlation should be done. © 2022 The Author(s)</t>
  </si>
  <si>
    <t>Wang J,Yang Y,Wang S,Chen C,Wang D,Wang Q</t>
  </si>
  <si>
    <t>Context-Aware Personalized Crowdtesting Task Recommendation</t>
  </si>
  <si>
    <t>3131 – 3144</t>
  </si>
  <si>
    <t>https://www.scopus.com/inward/record.uri?eid=2-s2.0-85106729716&amp;doi=10.1109%2fTSE.2021.3081171&amp;partnerID=40&amp;md5=67f37fe295058a12ed25afe41c5f8b51;http://dx.doi.org/10.1109/TSE.2021.3081171</t>
  </si>
  <si>
    <t>10.1109/TSE.2021.3081171</t>
  </si>
  <si>
    <t>Crowdsourced software testing (short for crowdtesting) is a special type of crowdsourcing. It requires that crowdworkers master appropriate skill-sets and commit significant effort for completing a task. Abundant uncertainty may arise during a crowdtesting process due to imperfect information between the task requester and crowdworkers. For example, a worker frequently chooses tasks in an ad hoc manner in crowdtesting context, and an inappropriate task selection may lead to the worker's failing to detect any bugs, and significant testing effort unpaid and wasted. Recent studies have explored methods for supporting task requesters to make informed decisions on task pricing, worker recommendation, and so on. Unfortunately, very few study offers decision making support from the crowdworkers' perspectives. We motivate this study through a pilot study, revealing the large portion (74 percent) of unpaid crowdworkers' effort due to the inappropriate task choice. Drawn from our previous work on context-aware crowdworker recommendations, we advocate a more effective alternative to manual task selection would be to provide contextualized and personalized task recommendation considering the diverse distribution of worker preference and expertise, with objectives to increase their winning chances and to potentially reduce the frequency of unpaid crowd work. This paper proposes a context-aware personalized task recommendation approach PTRec, consisting of a testing context model and a learning-based task recommendation model to aid dynamic worker decision in selecting crowdtesting tasks. The testing context model is constructed in two perspectives, i.e., process context and resource context, to capture the in-process progress-oriented information and crowdworkers' characteristics respectively. Built on top of this context model, the learning-based task recommendation model extracts 60 features automatically, and employs random forest learner to generate dynamic and personalized task recommendation which matches workers' expertise and interest. The evaluation is conducted on 636 crowdtesting tasks involving 2,404 crowdworkers from one of the largest crowdtesting platforms, and results show our approach can achieve an average precision of 82 percent, average recall of 84 percent, and save an estimated average of 81 percent effort originally spent on exploring, significantly outperforming four commonly-used and state-of-the-art baselines. This indicates its potential in recommending proper tasks to workers so as to improve bug detection efficiency and increase their monetary earnings. © 1976-2012 IEEE.</t>
  </si>
  <si>
    <t>Bibiano AC,Uchôa A,Assunção WK,Tenório D,Colanzi TE,Vergilio SR,Garcia A</t>
  </si>
  <si>
    <t>Composite refactoring: Representations, characteristics and effects on software projects</t>
  </si>
  <si>
    <t>Information and Software Technology</t>
  </si>
  <si>
    <t>0950-5849</t>
  </si>
  <si>
    <t>https://www.scopus.com/inward/record.uri?eid=2-s2.0-85145966825&amp;doi=10.1016%2fj.infsof.2022.107134&amp;partnerID=40&amp;md5=581350936b5b9365cc7476ca1738340b;http://dx.doi.org/10.1016/j.infsof.2022.107134</t>
  </si>
  <si>
    <t>10.1016/j.infsof.2022.107134</t>
  </si>
  <si>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 2022 Elsevier B.V.</t>
  </si>
  <si>
    <t>Kim M,Kim Y,Jeong H,Heo J,Kim S,Chung H,Lee E</t>
  </si>
  <si>
    <t>An empirical study of deep transfer learning-based program repair for Kotlin projects</t>
  </si>
  <si>
    <t>1441 – 1452</t>
  </si>
  <si>
    <t>https://www.scopus.com/inward/record.uri?eid=2-s2.0-85143077577&amp;doi=10.1145%2f3540250.3558967&amp;partnerID=40&amp;md5=b10423b7968eeb52f2424d3966d2e3c6;http://dx.doi.org/10.1145/3540250.3558967</t>
  </si>
  <si>
    <t>10.1145/3540250.3558967</t>
  </si>
  <si>
    <t>Deep learning-based automated program repair (DL-APR) can automatically fix software bugs and has received significant attention in the industry because of its potential to significantly reduce software development and maintenance costs. The Samsung mobile experience (MX) team is currently switching from Java to Kotlin projects. This study reviews the application of DL-APR, which automatically fixes defects that arise during this switching process; however, the shortage of Kotlin defect-fixing datasets in Samsung MX team precludes us from fully utilizing the power of deep learning. Therefore, strategies are needed to effectively reuse the pretrained DL-APR model. This demand can be met using the Kotlin defect-fixing datasets constructed from industrial and open-source repositories, and transfer learning. This study aims to validate the performance of the pretrained DL-APR model in fixing defects in the Samsung Kotlin projects, then improve its performance by applying transfer learning. We show that transfer learning with open source and industrial Kotlin defect-fixing datasets can improve the defect-fixing performance of the existing DL-APR by 307%. Furthermore, we confirmed that the performance was improved by 532% compared with the baseline DL-APR model as a result of transferring the knowledge of an industrial (non-defect) bug-fixing dataset. We also discovered that the embedded vectors and overlapping code tokens of the code-change pairs are valuable features for selecting useful knowledge transfer instances by improving the performance of APR models by up to 696%. Our study demonstrates the possibility of applying transfer learning to practitioners who review the application of DL-APR to industrial software. © 2022 ACM.</t>
  </si>
  <si>
    <t>Cited by: 1</t>
  </si>
  <si>
    <t>Dey S</t>
  </si>
  <si>
    <t>Evidence-driven Data Requirements Engineering and Data Uncertainty Assessment of Machine Learning-based Safety-critical Systems</t>
  </si>
  <si>
    <t>219 – 224</t>
  </si>
  <si>
    <t>1090-705X</t>
  </si>
  <si>
    <t>https://www.scopus.com/inward/record.uri?eid=2-s2.0-85140993400&amp;doi=10.1109%2fRE54965.2022.00027&amp;partnerID=40&amp;md5=088e3e57c27f23bdf34af1a739a65a79;http://dx.doi.org/10.1109/RE54965.2022.00027</t>
  </si>
  <si>
    <t>10.1109/RE54965.2022.00027</t>
  </si>
  <si>
    <t>Reliance on data-centric machine learning (ML) models in complex systems has posed numerous challenges in the software engineering process, especially when the system is deployed in a high-risk environment Due to the inherent uncertainty of such ML models, the safety assurance of these systems is now a primary concern. Recently, many researchers are focusing on assuring safe outcomes of ML models. However, not enough attention is paid to evaluating the training data uncertainty before indulging in ML training. Currently, there are no specific guidelines on how to perceive, elicit and specify data requirements and assure the data quality depending on the ML objective and problem domain. To address these gaps, this research provides guidelines for a systematic data requirements engineering and data uncertainty assessment process involving diverse stakeholders. A three-layered framework is proposed that helps to explore the data space and elicit verifiable data requirements. Such requirements can facilitate the evaluation of the collective confidence of the experts in data quality. To accommodate epistemic uncertainty of such assessment (inconclusive due to lack of knowledge) Dempster Shafer's theory of evidence is used. The application of this theory within the proposed framework aims to address the identified research gaps. © 2022 IEEE.</t>
  </si>
  <si>
    <t>Chen J,Xia X,Lo D,Grundy J</t>
  </si>
  <si>
    <t>Why Do Smart Contracts Self-Destruct? Investigating the Selfdestruct Function on Ethereum</t>
  </si>
  <si>
    <t>ACM Transactions on Software Engineering and Methodology</t>
  </si>
  <si>
    <t>1049-331X</t>
  </si>
  <si>
    <t>https://www.scopus.com/inward/record.uri?eid=2-s2.0-85130710048&amp;doi=10.1145%2f3488245&amp;partnerID=40&amp;md5=bfecfcbf1c8e6522cc763a93063351e6;http://dx.doi.org/10.1145/3488245</t>
  </si>
  <si>
    <t>10.1145/3488245</t>
  </si>
  <si>
    <t>The selfdestruct function is provided by Ethereum smart contracts to destroy a contract on the blockchain system. However, it is a double-edged sword for developers. On the one hand, using the selfdestruct function enables developers to remove smart contracts (SCs)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 selfdestruct 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self-destructed contracts (also called predecessor contracts) and their updated version (successor contracts) by computing the code similarity. By analyzing the difference between the predecessor contracts and their successor contracts, we found five reasons that led to the death of the contracts; two of them (i.e., Unmatched ERC20 Token and Limits of Permission) might affect the life span of contracts. We developed a tool named LifeScope to detect these problems. LifeScope reports 0 false positives or negatives in detecting Unmatched ERC20 Token. In terms of Limits of Permission, LifeScope achieves 77.89% of F-measure and 0.8673 of AUC in average. According to the feedback of developers who exclude selfdestruct functions, we propose suggestions to help developers use selfdestruct functions in Ethereum smart contracts better. © 2021 Association for Computing Machinery.</t>
  </si>
  <si>
    <t>Ding J,Fan G,Yu H,Huang Z</t>
  </si>
  <si>
    <t>Automatic Identification of High-Impact Bug Report by Product and Test Code Quality</t>
  </si>
  <si>
    <t>893 – 916</t>
  </si>
  <si>
    <t>https://www.scopus.com/inward/record.uri?eid=2-s2.0-85133877682&amp;doi=10.1142%2fS021819402250036X&amp;partnerID=40&amp;md5=e4bb8c9eedf8a89d47d6d2c367c02f4f;http://dx.doi.org/10.1142/S021819402250036X</t>
  </si>
  <si>
    <t>10.1142/S021819402250036X</t>
  </si>
  <si>
    <t>Bug reports are submitted by the software stakeholders to foster the location and elimination of bugs. However, in large-scale software systems, it may be impossible to track and solve every bug, and thus developers should pay more attention to High-Impact Bugs (HIBs). Previous studies analyzed textual descriptions to automatically identify HIBs, but they ignored the quality of code, which may also indicate the cause of HIBs. To address this issue, we integrate the features reflecting the quality of production (i.e. CK metrics) and test code (i.e.Test smells) into our textual similarity based model to identify HIBs. Our model outperforms the compared baseline by up to 39% in terms of AUC-ROC and 64% in terms of F-Measure. Then, we explain the behavior of our model by using SHAP to calculate the importance of each feature, and we apply case studies to empirically demonstrate the relationship between the most important features and HIB. The results show that several test smells (e.g. Assertion Roulette, Conditional Test Logic, Duplicate Assert, Sleepy Test) and product metrics (e.g. NOC, LCC, PF, and ProF) have important contributions to HIB identification. © 2022 World Scientific Publishing Company.</t>
  </si>
  <si>
    <t>Cheng KS,Ahn TH,Song M</t>
  </si>
  <si>
    <t>Debugging Support for Machine Learning Applications in Bioengineering Text Corpora</t>
  </si>
  <si>
    <t>1062 – 1069</t>
  </si>
  <si>
    <t>https://www.scopus.com/inward/record.uri?eid=2-s2.0-85136974177&amp;doi=10.1109%2fCOMPSAC54236.2022.00166&amp;partnerID=40&amp;md5=286130a29f16628da067387c615dbb24;http://dx.doi.org/10.1109/COMPSAC54236.2022.00166</t>
  </si>
  <si>
    <t>10.1109/COMPSAC54236.2022.00166</t>
  </si>
  <si>
    <t>Modeling in machine learning (ML) is becoming an essential part of software systems in practice. Validating ML applications is a challenging and time-consuming process for developers since the accuracy of prediction heavily relies on generated models. ML applications are written by relatively more data-driven programming based on the blackbox of ML frameworks. If all of the datasets and the ML application need to be individually investigated, the ML debugging tasks would take a lot of time and effort. To address this limitation, we present a novel debugging technique for machine learning applications, called MLDBUG that helps ML application developers inspect the training data and the generated features for the ML model. Inspired by software debugging for reproducing the potential reported bugs, MLDBUG takes as input an ML application and its training datasets to build the ML models, helping ML application developers easily reproduce and understand anomalies on the ML application. We have implemented an Eclipse plugin for MLDBUG which allows developers to validate the prediction behavior of their ML applications, the ML model, and the training data on the Eclipse IDE. In our evaluation, we used 23,500 documents in the bioengineering research domain. We assessed the MLDBUG's capability of how effectively our debugging technique can help ML application developers investi-gate the connection between the produced features and the labels in the training model and the relationship between the training instances and the instances the model predicts. © 2022 IEEE.</t>
  </si>
  <si>
    <t>Zhao Y,Yang Y,Zhou Y,Ding Z</t>
  </si>
  <si>
    <t>DEPICTER: A Design-Principle Guided and Heuristic-Rule Constrained Software Refactoring Approach</t>
  </si>
  <si>
    <t>IEEE Transactions on Reliability</t>
  </si>
  <si>
    <t>698 – 715</t>
  </si>
  <si>
    <t>https://www.scopus.com/inward/record.uri?eid=2-s2.0-85128603213&amp;doi=10.1109%2fTR.2022.3159851&amp;partnerID=40&amp;md5=34f70bed258ee2f6c67413470fb980d1;http://dx.doi.org/10.1109/TR.2022.3159851</t>
  </si>
  <si>
    <t>10.1109/TR.2022.3159851</t>
  </si>
  <si>
    <t>Software refactoring is one of the most significant practices in software maintenance as the quality of software design tends to deteriorate during software evolution. But, refactoring software is a very challenging task as it requires a holistic view of the entire software system. To this end, recent studies introduced search-based algorithms to facilitate software refactoring. However, they still have the following major limitations: 1) the searched solutions may violate the design principles as their fitness functions do not directly reflect the degree of software's compliance with design principles; 2) most approaches start the searching process from a completely random initial population, which may lead to unoptimal solutions. In this article, we aim to develop effective search-based refactoring approach to recommend better refactoring activities for developers which can improve the degree of software's compliance with design principles as well as the software design quality. We propose DEPICTER, a design-principle guided and heuristic-rule constrained software refactoring recommendation approach. In particular, DEPICTER uses non-dominated sorting genetic algorithm (NSGA)-II genetic algorithm and employs design-principle metrics as fitness functions. Besides, DEPICTER leverages heuristic rules to improve the quality of initial population for subsequent generic evolution. Our evaluations, based on four widely used systems, show that DEPICTER is effective for guiding the development of better refactoring models in practice. © 1963-2012 IEEE.</t>
  </si>
  <si>
    <t>Ardimento P,Aversano L,Bernardi ML,Cimitile M,Iammarino M</t>
  </si>
  <si>
    <t>Using deep temporal convolutional networks to just-in-time forecast technical debt principal</t>
  </si>
  <si>
    <t>Journal of Systems and Software</t>
  </si>
  <si>
    <t>Elsevier Inc.</t>
  </si>
  <si>
    <t>https://www.scopus.com/inward/record.uri?eid=2-s2.0-85136614376&amp;doi=10.1016%2fj.jss.2022.111481&amp;partnerID=40&amp;md5=6c676d95e43f78692316b4691625146c;http://dx.doi.org/10.1016/j.jss.2022.111481</t>
  </si>
  <si>
    <t>10.1016/j.jss.2022.111481</t>
  </si>
  <si>
    <t>Technical debt is a widely used metaphor to summarize all the consequences of poorly written code. Managing technical debt is important for software developers to allow adequate planning for software maintenance and improvement activities, such as refactoring and preventing system degradation. Several studies in the literature investigate the identification of technical debt and its consequences. This work aims to explore a deep learning approach to just-in-time predict the impact on technical debt when changes are performed on the source code. In this way the developer can work better, trying to improve the quality of the code that is being modified. Knowing what the TD trend will be in just-in-time source code with the change made is the key to avoiding a project taking a long time to remediate or improve. The model exploits the knowledge of quality and ad-hoc process metrics evolution over time. To validate the approach, a large dataset, including metrics evaluated from commits of ten Java software projects, was built. The results obtained show the effectiveness of the proposed approach in predicting the Technical Debt accumulation within the source code. © 2022 Elsevier Inc.</t>
  </si>
  <si>
    <t>de Hond AA,Leeuwenberg AM,Hooft L,Kant IM,Nijman SW,van Os HJ,Aardoom JJ,Debray TP,Schuit E,van Smeden M,Reitsma JB,Steyerberg EW,Chavannes NH,Moons KG</t>
  </si>
  <si>
    <t>Guidelines and quality criteria for artificial intelligence-based prediction models in healthcare: a scoping review</t>
  </si>
  <si>
    <t>npj Digital Medicine</t>
  </si>
  <si>
    <t>Nature Research</t>
  </si>
  <si>
    <t>2398-6352</t>
  </si>
  <si>
    <t>https://www.scopus.com/inward/record.uri?eid=2-s2.0-85122738619&amp;doi=10.1038%2fs41746-021-00549-7&amp;partnerID=40&amp;md5=0d7d18844b4bdc7089ecaf87c2457fb6;http://dx.doi.org/10.1038/s41746-021-00549-7</t>
  </si>
  <si>
    <t>10.1038/s41746-021-00549-7</t>
  </si>
  <si>
    <t>While the opportunities of ML and AI in healthcare are promising, the growth of complex data-driven prediction models requires careful quality and applicability assessment before they are applied and disseminated in daily practice. This scoping review aimed to identify actionable guidance for those closely involved in AI-based prediction model (AIPM) development, evaluation and implementation including software engineers, data scientists, and healthcare professionals and to identify potential gaps in this guidance. We performed a scoping review of the relevant literature providing guidance or quality criteria regarding the development, evaluation, and implementation of AIPMs using a comprehensive multi-stage screening strategy. PubMed, Web of Science, and the ACM Digital Library were searched, and AI experts were consulted. Topics were extracted from the identified literature and summarized across the six phases at the core of this review: (1) data preparation, (2) AIPM development, (3) AIPM validation, (4) software development, (5) AIPM impact assessment, and (6) AIPM implementation into daily healthcare practice. From 2683 unique hits, 72 relevant guidance documents were identified. Substantial guidance was found for data preparation, AIPM development and AIPM validation (phases 1–3), while later phases clearly have received less attention (software development, impact assessment and implementation) in the scientific literature. The six phases of the AIPM development, evaluation and implementation cycle provide a framework for responsible introduction of AI-based prediction models in healthcare. Additional domain and technology specific research may be necessary and more practical experience with implementing AIPMs is needed to support further guidance. © 2022, The Author(s).</t>
  </si>
  <si>
    <t>Cited by: 24; All Open Access, Gold Open Access, Green Open Access</t>
  </si>
  <si>
    <t>Miloudi C,Cheikhi L,Abran A</t>
  </si>
  <si>
    <t>Systematic Review of Machine Learning-Based Open-Source Software Maintenance Effort Estimation</t>
  </si>
  <si>
    <t>Recent Advances in Computer Science and Communications</t>
  </si>
  <si>
    <t>Bentham Science Publishers</t>
  </si>
  <si>
    <t>2666-2558</t>
  </si>
  <si>
    <t>https://www.scopus.com/inward/record.uri?eid=2-s2.0-85143977206&amp;doi=10.2174%2f2666255816666220609110712&amp;partnerID=40&amp;md5=4d4bca6f178d40ff4531940a93a67f66;http://dx.doi.org/10.2174/2666255816666220609110712</t>
  </si>
  <si>
    <t>10.2174/2666255816666220609110712</t>
  </si>
  <si>
    <t>Background: Software maintenance is known as a laborious activity in the software lifecycle and is often considered more expensive than other activities. Open-Source Software (OSS) has gained considerable acceptance in the industry recently, and the Maintenance Effort Estimation (MEE) of such software has emerged as an important research topic. In this context, researchers have conducted a number of open-source software maintenance effort estimation (O-MEE) studies based on statistical as well as machine learning techniques for better estimation. Objective: The objective of this study is to perform a systematic literature review (SLR) to analyze and summarize the empirical evidence of O-MEE ML techniques in current research through a set of five Research Questions (RQs) related to several criteria (e.g. data pre-processing tasks, data mining tasks, tuning parameter methods, accuracy criteria and statistical tests, as well as ML techniques reported in the literature that outperformed). Methods: We performed a systematic literature review of 36 primary empirical studies published from 2000 to June 2020, selected based on an automated search of six digital databases. Results: The findings show that Bayesian networks, decision tree, support vector machines and instance-based reasoning were the ML techniques most used; few studies opted for ensemble or hybrid techniques. Researchers have paid less attention to O-MEE data pre-processing in terms of feature selection, methods that handle missing values and imbalanced datasets, and tuning parameters of ML techniques. Classification data mining is the task most addressed using different accuracy criteria such as Precision, Recall, and Accuracy, as well as Wilcoxon and Mann-Whitney statistical tests. Conclusion: This SLR identifies a number of gaps in the current research and suggests areas for further investigation. For instance, since OSS includes different data source formats, researchers should pay more attention to data pre-processing and develop new models using ensemble techniques since they have proved to perform better. © 2023 Bentham Science Publishers.</t>
  </si>
  <si>
    <t>Oishwee SJ,Codabux Z,Stakhanova N</t>
  </si>
  <si>
    <t>An exploratory study on the relationship of smells and design issues with software vulnerabilities</t>
  </si>
  <si>
    <t>16 – 20</t>
  </si>
  <si>
    <t>https://www.scopus.com/inward/record.uri?eid=2-s2.0-85143129520&amp;doi=10.1145%2f3549035.3561182&amp;partnerID=40&amp;md5=1788a77586625ba6676d4d45a694b27d;http://dx.doi.org/10.1145/3549035.3561182</t>
  </si>
  <si>
    <t>10.1145/3549035.3561182</t>
  </si>
  <si>
    <t>Software vulnerabilities are one of the leading causes of the loss of confidential data resulting in financial damages in the industry. As a result, software companies strive to discover potential vulnerabilities before the software is deployed. While traditionally, software metrics have been widely used to uncover vulnerabilities, more recent studies have been looking at code smells to detect vulnerabilities. This preliminary study explores the relationship between smells, design issues, and software vulnerabilities. As smells and design issues are indicators of potential problems in the software, establishing a relationship with vulnerabilities can be helpful for vulnerability prediction. In this study, we analyzed 561 versions of nine open-source software by exploring the smells and design issues in the vulnerable and non-vulnerable classes. We found that some smells and design issues have a statistically significant relationship with the vulnerable classes. However, after a manual analysis of the code segments containing the vulnerabilities, we found no indication that smells or design issues induce the vulnerabilities. In fact, they were still present in those code segments even after the vulnerabilities were resolved. © 2022 ACM.</t>
  </si>
  <si>
    <t>Rahman MR,Imtiaz N,Storey MA,Williams L</t>
  </si>
  <si>
    <t>Why secret detection tools are not enough: It’s not just about false positives - An industrial case study</t>
  </si>
  <si>
    <t>https://www.scopus.com/inward/record.uri?eid=2-s2.0-85126790322&amp;doi=10.1007%2fs10664-021-10109-y&amp;partnerID=40&amp;md5=ec6b16f333f2b757f75f6ee5ccf333b5;http://dx.doi.org/10.1007/s10664-021-10109-y</t>
  </si>
  <si>
    <t>10.1007/s10664-021-10109-y</t>
  </si>
  <si>
    <t>Checked-in secrets in version-controlled software projects pose security risks to software and services. Secret detection tools can identify the presence of secrets in the code, commit changesets, and project version control history. As these tools can generate false positives, developers are provided with mechanisms to bypass the warnings generated from these tools. Providing this override mechanism can result in developers sometimes exposing secrets in software repositories. The goal of this article is to aid software security practitioners in understanding why‘ secrets are checked into repositories, despite being warned by tools, through an industrial case study of analysis of usage data of a secret detection tool and a survey of developers who bypassed the tool alert. In this case study, we analyzed the usage data of a checked-in secret detection tool used widely by a software company and we surveyed developers who bypassed the warnings generated by the tool. From the case study, we found that, despite developers classified 50% of the warning as false positive, developers also bypassed the warning due to time constraints, working with non-shipping projects, technical challenges of eliminating secrets completely from the version control history, technical debts, and perceptions that check-ins are low risk. We advocate practitioners and researchers to investigate the findings of our study further to improve secret detection tools and related development practices. We also advocate that organizations should insert secondary checks, as is done by the company we studied, to capture occasions where developers incorrectly bypass secret detection tools. © 2022, The Author(s), under exclusive licence to Springer Science+Business Media, LLC, part of Springer Nature.</t>
  </si>
  <si>
    <t>Cited by: 1; All Open Access, Bronze Open Access, Green Open Access</t>
  </si>
  <si>
    <t>Minh D,Wang HX,Li YF,Nguyen TN</t>
  </si>
  <si>
    <t>Explainable artificial intelligence: a comprehensive review</t>
  </si>
  <si>
    <t>Artificial Intelligence Review</t>
  </si>
  <si>
    <t>3503 – 3568</t>
  </si>
  <si>
    <t>Springer Science and Business Media B.V.</t>
  </si>
  <si>
    <t>0269-2821</t>
  </si>
  <si>
    <t>https://www.scopus.com/inward/record.uri?eid=2-s2.0-85119363874&amp;doi=10.1007%2fs10462-021-10088-y&amp;partnerID=40&amp;md5=b0350e42829fc11e87c2b049ced10642;http://dx.doi.org/10.1007/s10462-021-10088-y</t>
  </si>
  <si>
    <t>10.1007/s10462-021-10088-y</t>
  </si>
  <si>
    <t>Thanks to the exponential growth in computing power and vast amounts of data, artificial intelligence (AI) has witnessed remarkable developments in recent years, enabling it to be ubiquitously adopted in our daily lives. Even though AI-powered systems have brought competitive advantages, the black-box nature makes them lack transparency and prevents them from explaining their decisions. This issue has motivated the introduction of explainable artificial intelligence (XAI), which promotes AI algorithms that can show their internal process and explain how they made decisions. The number of XAI research has increased significantly in recent years, but there lacks a unified and comprehensive review of the latest XAI progress. This review aims to bridge the gap by discovering the critical perspectives of the rapidly growing body of research associated with XAI. After offering the readers a solid XAI background, we analyze and review various XAI methods, which are grouped into (i) pre-modeling explainability, (ii) interpretable model, and (iii) post-modeling explainability. We also pay attention to the current methods that dedicate to interpret and analyze deep learning methods. In addition, we systematically discuss various XAI challenges, such as the trade-off between the performance and the explainability, evaluation methods, security, and policy. Finally, we show the standard approaches that are leveraged to deal with the mentioned challenges. © 2021, The Author(s), under exclusive licence to Springer Nature B.V.</t>
  </si>
  <si>
    <t>Cited by: 14</t>
  </si>
  <si>
    <t>Markov IL,Wang H,Kasturi NS,Singh S,Garrard MR,Huang Y,Yuen SW,Tran S,Wang Z,Glotov I,Gupta T,Chen P,Huang B,Xie X,Belkin M,Uryasev S,Howie S,Bakshy E,Zhou N</t>
  </si>
  <si>
    <t>Looper: An End-to-End ML Platform for Product Decisions</t>
  </si>
  <si>
    <t>3513 – 3523</t>
  </si>
  <si>
    <t>https://www.scopus.com/inward/record.uri?eid=2-s2.0-85137148155&amp;doi=10.1145%2f3534678.3539059&amp;partnerID=40&amp;md5=720a53193bc867a210bfe5d306148f35;http://dx.doi.org/10.1145/3534678.3539059</t>
  </si>
  <si>
    <t>10.1145/3534678.3539059</t>
  </si>
  <si>
    <t>Modern software systems and products increasingly rely on machine learning models to make data-driven decisions based on interactions with users, infrastructure and other systems. For broader adoption, this practice must (i) accommodate product engineers without ML backgrounds, (ii) support finegrain product-metric evaluation and (iii) optimize for product goals. To address shortcomings of prior platforms, we introduce general principles for and the architecture of an ML platform, Looper, with simple APIs for decision-making and feedback collection. Looper covers the end-to-end ML lifecycle from collecting training data and model training to deployment and inference, and extends support to personalization, causal evaluation with heterogenous treatment effects, and Bayesian tuning for product goals. During the 2021 production deployment, Looper simultaneously hosted 440-1,000 ML models that made 4-6 million real-time decisions per second. We sum up experiences of platform adopters and describe their learning curve. © 2022 ACM.</t>
  </si>
  <si>
    <t>Cited by: 0; All Open Access, Green Open Access</t>
  </si>
  <si>
    <t>López JA,Cánovas Izquierdo JL,Cuadrado JS</t>
  </si>
  <si>
    <t>ModelSet: a dataset for machine learning in model-driven engineering</t>
  </si>
  <si>
    <t>Software and Systems Modeling</t>
  </si>
  <si>
    <t>967 – 986</t>
  </si>
  <si>
    <t>1619-1366</t>
  </si>
  <si>
    <t>https://www.scopus.com/inward/record.uri?eid=2-s2.0-85117576971&amp;doi=10.1007%2fs10270-021-00929-3&amp;partnerID=40&amp;md5=4dfe6f4506c21606c462b383c383b789;http://dx.doi.org/10.1007/s10270-021-00929-3</t>
  </si>
  <si>
    <t>10.1007/s10270-021-00929-3</t>
  </si>
  <si>
    <t>The application of machine learning (ML) algorithms to address problems related to model-driven engineering (MDE) is currently hindered by the lack of curated datasets of software models. There are several reasons for this, including the lack of large collections of good quality models, the difficulty to label models due to the required domain expertise, and the relative immaturity of the application of ML to MDE. In this work, we present ModelSet, a labelled dataset of software models intended to enable the application of ML to address software modelling problems. To create it we have devised a method designed to facilitate the exploration and labelling of model datasets by interactively grouping similar models using off-the-shelf technologies like a search engine. We have built an Eclipse plug-in to support the labelling process, which we have used to label 5,466 Ecore meta-models and 5,120 UML models with its category as the main label plus additional secondary labels of interest. We have evaluated the ability of our labelling method to create meaningful groups of models in order to speed up the process, improving the effectiveness of classical clustering methods. We showcase the usefulness of the dataset by applying it in a real scenario: enhancing the MAR search engine. We use ModelSet to train models able to infer useful metadata to navigate search results. The dataset and the tooling are available at https://figshare.com/s/5a6c02fa8ed20782935c and a live version at http://modelset.github.io. © 2021, The Author(s).</t>
  </si>
  <si>
    <t>Cited by: 2; All Open Access, Hybrid Gold Open Access</t>
  </si>
  <si>
    <t>Ishida AO,Kontogiannis K,Brealey C</t>
  </si>
  <si>
    <t>Extracting Micro Service Dependencies Using Log Analysis</t>
  </si>
  <si>
    <t>82 – 92</t>
  </si>
  <si>
    <t>https://www.scopus.com/inward/record.uri?eid=2-s2.0-85143443375&amp;doi=10.1109%2fSTC55697.2022.00020&amp;partnerID=40&amp;md5=7bc794e67cd0e17137ca00fd4783c72b;http://dx.doi.org/10.1109/STC55697.2022.00020</t>
  </si>
  <si>
    <t>10.1109/STC55697.2022.00020</t>
  </si>
  <si>
    <t>Microservice architecture is an architectural style that supports the design and implementation of very scalable systems by distributing complex functionality to highly granular components. These highly granular components are referred to as microservices and can be dynamically deployed on Docker containers. These microservice architecture systems are very extensible since new microservices can be added or replaced as the system evolves. In such highly granular architectures, a major challenge that arises is how to quickly identify whether any changes in the system's structure violates any policies or design constraints. Examples of policies and design constraints include whether a microservice can call or pass data to another microservice, and whether data handled by one microservice can be stored in a specific database. In order to perform such type of analysis a model that denotes call and data dependencies between microservices must be constructed. In this paper, we present a technique that is based on log analysis and probabilistic reasoning to yield a labeled, typed, directed multigraph that represents call and data exchanges between microservices in a given deployment. This dependency graph can serve as input to analysis engines to be used for identifying design and policy violations as the system evolves or being updated. The proposed dependency graph creation approach has been applied to a medium size open source microservice system with very promising results. © 2022 IEEE.</t>
  </si>
  <si>
    <t>Li M,Yu H,Fan G,Zhou Z,Huang J</t>
  </si>
  <si>
    <t>ClassSum: a deep learning model for class-level code summarization</t>
  </si>
  <si>
    <t>Neural Computing and Applications</t>
  </si>
  <si>
    <t>0941-0643</t>
  </si>
  <si>
    <t>https://www.scopus.com/inward/record.uri?eid=2-s2.0-85139548360&amp;doi=10.1007%2fs00521-022-07877-z&amp;partnerID=40&amp;md5=47a63c70a0c87e77eb2c6c16544d405d;http://dx.doi.org/10.1007/s00521-022-07877-z</t>
  </si>
  <si>
    <t>10.1007/s00521-022-07877-z</t>
  </si>
  <si>
    <t>Code summaries are clear and concise natural language descriptions of program entities. Meaningful code summaries assist developers in better understanding. Code summarization refers to the task of generating a natural language summary from a code snippet. Most researches on code summarization focus on automatically generating summaries for methods or functions. However, in an object-oriented language such as Java, class is the basic programming unit rather than method. To fill this gap, in this paper, we investigate how to generate summaries for Java classes utilizing deep learning-based approaches. We propose a novel encoder–decoder model called ClassSum to generate functionality descriptions for Java classes and build a dataset containing 172,639 pairs from 3185 repositories hosted on Github. Since the code of class is much longer and more complicated, encoding a whole class via neural network is more challenging than encoding a method. On the other hand, the content within a class may be incomplete. To overcome this difficulty, we reduce the code of a class by only keeping its key elements, namely class signatures, method signatures and attribute names. To utilize both lexical and structural information of code, our model takes token sequence and abstract syntax tree of the reduced class content as inputs. ClassSum and five baselines (designed for method-level code summarization) are evaluated on our dataset. Experiment results show that summaries generated by ClassSum are more accurate and readable than those generated by baselines. Our dataset is available at https://github.com/classsum/ClassSum. © 2022, The Author(s), under exclusive licence to Springer-Verlag London Ltd., part of Springer Nature.</t>
  </si>
  <si>
    <t>Pavlič L,Hliš T,Heričko M,Beranič T</t>
  </si>
  <si>
    <t>The Gap between the Admitted and the Measured Technical Debt: An Empirical Study</t>
  </si>
  <si>
    <t>https://www.scopus.com/inward/record.uri?eid=2-s2.0-85136925659&amp;doi=10.3390%2fapp12157482&amp;partnerID=40&amp;md5=4c43ef6cf54db27bed12247567f76c4c;http://dx.doi.org/10.3390/app12157482</t>
  </si>
  <si>
    <t>10.3390/app12157482</t>
  </si>
  <si>
    <t>Technical debt is a well understood and used concept in IT development. The metaphor, rooted in the financial world, captures the amount of work that development teams owe to a product. Every time developers take a shortcut within development, the technical debt accumulates. Technical debt identification can be accomplished via manual reporting on the technical debt items, which is called self-admitted technical debt. Several specialised methods and tools have also emerged that promise to measure the technical debt. Based on experience in the community, the impression emerged that the measured technical debt is of a significantly different amount than the self-admitted debt. In this context, we decided to perform empirical research on the possible gap between the two. We investigated 14 production-grade software products while determining the amount of accumulated technical debt via (a) a self-admitting procedure and (b) measuring the debt. The outcomes show clearly the significant difference in the technical debt reported by the two methods. We urge development and quality-assurance teams not to rely on technical debt measurement alone. The tools demonstrated their strength in identifying low-level code technical debt items that violate a set of predefined rules. However, developers should have additional insight into violations, based on the interconnected source code and its relation to the domain and higher-level design decisions. © 2022 by the authors.</t>
  </si>
  <si>
    <t>Ge X,Fang C,Qian M,Ge Y,Qing M</t>
  </si>
  <si>
    <t>Locality-based security bug report identification via active learning</t>
  </si>
  <si>
    <t>https://www.scopus.com/inward/record.uri?eid=2-s2.0-85126326567&amp;doi=10.1016%2fj.infsof.2022.106899&amp;partnerID=40&amp;md5=e579bc75422f866aa090b43a06220ad5;http://dx.doi.org/10.1016/j.infsof.2022.106899</t>
  </si>
  <si>
    <t>10.1016/j.infsof.2022.106899</t>
  </si>
  <si>
    <t>Context: Security bug report (SBR) identification is a crucial way to eliminate security-critical vulnerabilities during software development. Objective: In recent years, many approaches have utilized supervised machine learning (SML) techniques in the SBR identification. However, such approaches often require a large number of labelled bug reports, which are often hard to obtain in practice. Active learning is a potential approach to reducing the manual labelling cost while maintaining good performance. Nevertheless, the existing active learning-based SBR identification approach still yields poor performance due to ignoring the locality in bug reports. Method: To address the above problems, we propose locality-based SBR identification via active learning. Our approach recommends a small part of instances based on locality in bug reports, asks for their labels, and learns the SBR classifier. Specifically, our approach relies on the locality to construct the initial training set, which is designed to address how to start during active learning. Moreover, our approach applies the locality into the query process, which is designed to improve which instance should be queried next during active learning. Result: We conduct experiments on large-scale bug reports (nearly 125K) from six real-world projects. In comparison with three state-of-the-art SML-based and active learning-based SBR identification approaches, our approach can obtain the maximum values of F-Measure (0.8176) and AUC (0.8631). Moreover, our approach requires 16.60% to 71.40% of all bug reports when achieving the optimal performance in these six projects, which improves three approaches from 9.82% to 64.19% on average. Conclusion: As shown from the experimental results, our approach can be more effective and efficient to identify SBRs than the existing approaches. © 2022 Elsevier B.V.</t>
  </si>
  <si>
    <t>Azuma H,Matsumoto S,Kamei Y,Kusumoto S</t>
  </si>
  <si>
    <t>An empirical study on self-admitted technical debt in Dockerfiles</t>
  </si>
  <si>
    <t>https://www.scopus.com/inward/record.uri?eid=2-s2.0-85124006010&amp;doi=10.1007%2fs10664-021-10081-7&amp;partnerID=40&amp;md5=d27f46fbd645e3b250241cfaa84d2245;http://dx.doi.org/10.1007/s10664-021-10081-7</t>
  </si>
  <si>
    <t>10.1007/s10664-021-10081-7</t>
  </si>
  <si>
    <t>In software development, ad hoc solutions that are intentionally implemented by developers are called self-admitted technical debt (SATD). Because the existence of SATD spreads poor implementations, it is necessary to remove it as soon as possible. Meanwhile, container virtualization has been attracting attention in recent years as a technology to support infrastructure such as servers. Currently, Docker is the de facto standard for container virtualization. In Docker, a file describing how to build a container (Dockerfile) is a set of procedural instructions; thus, it can be considered as a kind of source code. Moreover, because Docker is a relatively new technology, there are few developers who have accumulated good or bad practices for building Docker container. Hence, it is likely that Dockerfiles contain many SATDs, as is the case with general programming language source code analyzed in previous SATD studies. The goal of this paper is to categorize SATDs in Dockerfiles and to share knowledge with developers and researchers. To achieve this goal, we conducted a manual classification for SATDs in Dockerfile. We found that about 3.0% of the comments in Dockerfile are SATD. In addition, we have classified SATDs into five classes and eleven subclasses. Among them, there are some SATDs specific to Docker, such as SATDs for version fixing and for integrity check. The three most common classes of SATD were related to lowering maintainability, testing, and defects. © 2022, The Author(s).</t>
  </si>
  <si>
    <t>Ali MA,Yap NK,Ghani AA,Zulzalil H,Admodisastro NI,Najafabadi AA</t>
  </si>
  <si>
    <t>A Systematic Mapping of Quality Models for AI Systems, Software and Components</t>
  </si>
  <si>
    <t>https://www.scopus.com/inward/record.uri?eid=2-s2.0-85137790866&amp;doi=10.3390%2fapp12178700&amp;partnerID=40&amp;md5=fe8697202d4e7ca0e3253705da5e022c;http://dx.doi.org/10.3390/app12178700</t>
  </si>
  <si>
    <t>10.3390/app12178700</t>
  </si>
  <si>
    <t>Recently, there has been a significant increase in the number of Artificial Intelligence (AI) systems, software, and components. As a result, it is crucial to evaluate their quality. Quality models for AI have in fact been proposed, but there is a lack of Systematic Mapping Studies (SMS) for quality models in AI systems, software, and components. The goal of this paper is to understand, classify, and critically evaluate existing quality models for AI systems, software, and components. This study conducts an SMS to investigate quality models proposed by various authors in the past. The study only found quality models for AI systems and software. So far, the SMS has revealed no work on AI software component quality models. Finally, the limitations of the quality models and the implications for future research and development efforts are discussed. © 2022 by the authors.</t>
  </si>
  <si>
    <t>Cited by: 1; All Open Access, Gold Open Access</t>
  </si>
  <si>
    <t>Yang Y,Xia X,Lo D,Bi T,Grundy J,Yang X</t>
  </si>
  <si>
    <t>Predictive Models in Software Engineering: Challenges and Opportunities</t>
  </si>
  <si>
    <t>https://www.scopus.com/inward/record.uri?eid=2-s2.0-85130759581&amp;doi=10.1145%2f3503509&amp;partnerID=40&amp;md5=9fe3adb7cd22469cc37df72481195af2;http://dx.doi.org/10.1145/3503509</t>
  </si>
  <si>
    <t>10.1145/3503509</t>
  </si>
  <si>
    <t>Predictive models are one of the most important techniques that are widely applied in many areas of software engineering. There have been a large number of primary studies that apply predictive models and that present well-performed studies in various research domains, including software requirements, software design and development, testing and debugging, and software maintenance. This article is a first attempt to systematically organize knowledge in this area by surveying a body of 421 papers on predictive models published between 2009 and 2020. We describe the key models and approaches used, classify the different models, summarize the range of key application areas, and analyze research results. Based on our findings, we also propose a set of current challenges that still need to be addressed in future work and provide a proposed research road map for these opportunities. © 2022 Association for Computing Machinery.</t>
  </si>
  <si>
    <t>Raffin T,Reichenstein T,Klier D,Kühl A,Franke J</t>
  </si>
  <si>
    <t>Qualitative assessment of the impact of manufacturing-specific influences on Machine Learning Operations</t>
  </si>
  <si>
    <t>136 – 141</t>
  </si>
  <si>
    <t>2212-8271</t>
  </si>
  <si>
    <t>https://www.scopus.com/inward/record.uri?eid=2-s2.0-85145215606&amp;doi=10.1016%2fj.procir.2022.10.063&amp;partnerID=40&amp;md5=a1a0ae626adb720c71e03c5c1b65d4ed;http://dx.doi.org/10.1016/j.procir.2022.10.063</t>
  </si>
  <si>
    <t>10.1016/j.procir.2022.10.063</t>
  </si>
  <si>
    <t>Machine Learning Operations (MLOps) enables the streamlining of the development and deployment processes of machine learning models; thus, manufacturers can utilize the inherent flexibility and adaptability of Deep Learning at scale to further optimize their processes. This publication provides insights into the challenges that companies face while striving for the efficient operationalization of machine learning algorithms. Moreover, a mapping of capabilities and requirements is presented to provide a baseline for the qualitative analysis of the current state of the art. In conclusion, this article discusses the shortcomings of the existing literature and provides novel implications for MLOps systems in manufacturing. © 2022 Elsevier B.V.. All rights reserved.</t>
  </si>
  <si>
    <t>Oliveira J,Souza M,Flauzino M,Durelli R,Figueiredo E</t>
  </si>
  <si>
    <t>Can Source Code Analysis Indicate Programming Skills? A Survey with Developers</t>
  </si>
  <si>
    <t>Communications in Computer and Information Science</t>
  </si>
  <si>
    <t>1621 CCIS</t>
  </si>
  <si>
    <t>156 – 171</t>
  </si>
  <si>
    <t>1865-0929</t>
  </si>
  <si>
    <t>https://www.scopus.com/inward/record.uri?eid=2-s2.0-85137987405&amp;doi=10.1007%2f978-3-031-14179-9_11&amp;partnerID=40&amp;md5=3310f3bcde2403572c5a9cfda7ee46d0;http://dx.doi.org/10.1007/978-3-031-14179-9_11</t>
  </si>
  <si>
    <t>10.1007/978-3-031-14179-9_11</t>
  </si>
  <si>
    <t>Background: Both open-source and proprietary software systems have become increasingly complex. Despite their growing complexity and increasing size, software systems must satisfy strict release requirements that impose quality, putting significant pressure on developers. Therefore, software projects’ success depends on the identification and hiring of qualified developers. Several approaches aim to address this problem by automatically proposing models and tools to automatically identify programming skills through source code. However, we still lack empirical knowledge on the applicability of these models in practice. Aims: Our goal is to evaluate and compare two models proposed to support programming skill identification. Method: This paper presents a survey with 110 developers from GitHub. This survey was conducted to evaluate the applicability of two models for computing programming skills of developers based on the metrics Changed Files and Changed Lines of Code. Results: Based on the survey results, we conclude that both models often fail to identify the developer’s programming skills. Concerning precision, the Changed Files model obtained 54% to identify programming languages, 53% for back-end &amp; front-end profiles, and 45% for testing skills. About the Changed Lines of Code model, we obtained 36% of precision to identify programming languages, 45% for back-end &amp; front-end profiles, and 30% for testing. Conclusion: Practitioners can use our survey to refine the practical evaluation of professional skills for several purposes, from hiring procedures to the evaluation of team. © 2022, The Author(s), under exclusive license to Springer Nature Switzerland AG.</t>
  </si>
  <si>
    <t>Nguyen Thanh B,Nguyen N. H M,Le Thi My H</t>
  </si>
  <si>
    <t>Ml-Codesmell: A code smell prediction dataset for machine learning approaches</t>
  </si>
  <si>
    <t>368 – 374</t>
  </si>
  <si>
    <t>https://www.scopus.com/inward/record.uri?eid=2-s2.0-85143818622&amp;doi=10.1145%2f3568562.3568643&amp;partnerID=40&amp;md5=43139ace24d7194f74ebbc8119f0170f;http://dx.doi.org/10.1145/3568562.3568643</t>
  </si>
  <si>
    <t>10.1145/3568562.3568643</t>
  </si>
  <si>
    <t>In recent years, many studies on detecting code smells in source code have published datasets with limited characteristics, such as the ambiguity of code smell definitions leads to different interpretations for each code smell, the number of samples of the datasets is small, and the features of the datasets are heterogeneous. Therefore, comparing performance between detecting code smell models is challenging, and the datasets are often not reusable in other code smell detection studies. In this work, we propose the ml-Codesmell dataset created by analyzing source code and extracting massive source code metrics with many labelled code smells. The proposed dataset has been used to train and predict code smell using machine learning algorithms. Based on the high confidential F1-score in evaluation, the ml-Codesmell dataset demonstrates a strong correlation between features and labels. Regarding these advantages, the ml-Codesmell dataset is expected to be helpful for studies on detecting code smell using machine learning approaches in software development. © 2022 ACM.</t>
  </si>
  <si>
    <t>Yang Y,Ronchieri E,Canaparo M</t>
  </si>
  <si>
    <t>Natural Language Processing Application on Commit Messages: A Case Study on HEP Software</t>
  </si>
  <si>
    <t>https://www.scopus.com/inward/record.uri?eid=2-s2.0-85141871666&amp;doi=10.3390%2fapp122110773&amp;partnerID=40&amp;md5=68da77451b330b3c748a87a531f560c2;http://dx.doi.org/10.3390/app122110773</t>
  </si>
  <si>
    <t>10.3390/app122110773</t>
  </si>
  <si>
    <t>Version Control and Source Code Management Systems, such as GitHub, contain a large amount of unstructured historical information of software projects. Recent studies have introduced Natural Language Processing (NLP) to help software engineers retrieve information from a very large collection of unstructured data. In this study, we have extended our previous study by increasing our datasets and machine learning and clustering techniques. We have followed a complex methodology made up of various steps. Starting from the raw commit messages we have employed NLP techniques to build a structured database. We have extracted their main features and used them as input of different clustering algorithms. Once each entry was labelled, we applied supervised machine learning techniques to build a prediction and classification model. We have developed a machine learning-based model to automatically classify commit messages of a software project. Our model exploits a ground-truth dataset that includes commit messages obtained from various GitHub projects belonging to the High Energy Physics context. The contribution of this paper is two-fold: it proposes a ground-truth database and it provides a machine learning prediction model that automatically identifies the more change-prone areas of code. Our model has obtained a very high average accuracy (0.9590), precision (0.9448), recall (0.9382), and F1-score (0.9360). © 2022 by the authors.</t>
  </si>
  <si>
    <t>Xiao T,Wang D,McIntosh S,Hata H,Kula RG,Ishio T,Matsumoto K</t>
  </si>
  <si>
    <t>Characterizing and Mitigating Self-Admitted Technical Debt in Build Systems</t>
  </si>
  <si>
    <t>4214 – 4228</t>
  </si>
  <si>
    <t>https://www.scopus.com/inward/record.uri?eid=2-s2.0-85140801792&amp;doi=10.1109%2fTSE.2021.3115772&amp;partnerID=40&amp;md5=3a9de7995a8751a8ec08017658d9927e;http://dx.doi.org/10.1109/TSE.2021.3115772</t>
  </si>
  <si>
    <t>10.1109/TSE.2021.3115772</t>
  </si>
  <si>
    <t>Technical Debt is a metaphor used to describe the situation in which long-term software artifact quality is traded for short-term goals in software projects. In recent years, the concept of self-admitted technical debt (SATD) was proposed, which focuses on debt that is intentionally introduced and described by developers. Although prior work has made important observations about admitted technical debt in source code, little is known about SATD in build systems. In this paper, we set out to better understand the characteristics of SATD in build systems. To do so, through a qualitative analysis of 500 SATD comments in the Maven build system of 291 projects, we characterize SATD by location and rationale (reason and purpose). Our results show that limitations in tools and libraries, and complexities of dependency management are the most frequent causes, accounting for 50% and 24% of the comments. We also find that developers often document SATD as issues to be fixed later. As a first step towards the automatic detection of SATD rationale, we train classifiers to detect the two most frequently occurring reasons and the four most frequently occurring purposes of SATD in the content of comments in Maven build systems. The classifier performance is promising, achieving an F1-score of 0.71-0.79. Finally, within 16 identified 'ready-to-be-addressed' SATD instances, the three SATD submitted by pull requests and the five SATD submitted by issue reports were resolved after developers were made aware. Our work presents the first step towards understanding technical debt in build systems and opens up avenues for future work, such as tool support to track and manage SATD backlogs. © 1976-2012 IEEE.</t>
  </si>
  <si>
    <t>Qu Y,Eric Wong W,Li D</t>
  </si>
  <si>
    <t>Empirical Research for Self-Admitted Technical Debt Detection in Blockchain Software Projects</t>
  </si>
  <si>
    <t>International Journal of Performability Engineering</t>
  </si>
  <si>
    <t>149 – 157</t>
  </si>
  <si>
    <t>Totem Publishers Ltd</t>
  </si>
  <si>
    <t>0973-1318</t>
  </si>
  <si>
    <t>https://www.scopus.com/inward/record.uri?eid=2-s2.0-85129090211&amp;doi=10.23940%2fijpe.22.03.p1.149157&amp;partnerID=40&amp;md5=6eb4ec32913da662e18fb3dc353f6089;http://dx.doi.org/10.23940/ijpe.22.03.p1.149157</t>
  </si>
  <si>
    <t>10.23940/ijpe.22.03.p1.149157</t>
  </si>
  <si>
    <t>Blockchain technology has been used in various fields including digital currencies, distributed storage, and more. The issue of SATD detection for open source blockchain software systems has not been studied. We provide an in-depth analysis of the code comments of open blockchain source software projects. A pre-trained model based on cost-sensitivity is proposed, which is compared with the baseline model on several evaluation metrics. The results were statistically analyzed. The results show that the pre-trained model based on natural language understanding is able to achieve better classification performance. Our method improves 102% over the baseline method in the F1 metric. © 2022 Totem Publishers Ltd. All rights reserved.</t>
  </si>
  <si>
    <t>Sun K,Shi X,Gao H,Kuang H,Ma X,Rong G,Shao D,Zhao Z,Zhang H</t>
  </si>
  <si>
    <t>Incorporating Pre-trained Transformer Models into TextCNN for Sentiment Analysis on Software Engineering Texts</t>
  </si>
  <si>
    <t>127 – 136</t>
  </si>
  <si>
    <t>https://www.scopus.com/inward/record.uri?eid=2-s2.0-85139564518&amp;doi=10.1145%2f3545258.3545273&amp;partnerID=40&amp;md5=db5b95948075f89c5c9f286542a97339;http://dx.doi.org/10.1145/3545258.3545273</t>
  </si>
  <si>
    <t>10.1145/3545258.3545273</t>
  </si>
  <si>
    <t>Software information sites (e.g., Jira, Stack Overflow) are now wide-ly used in software development. These online platforms for collaborative development preserve a large amount of Software Engineering (SE) texts. These texts enable researchers to detect developers' attitudes toward their daily development by analyzing the sentiments expressed in the texts. Unfortunately, recent works reported that neither off-the-shelf tools nor SE-specified tools for sentiment analysis on SE texts can provide satisfying and reliable results. In this paper, we propose to incorporate pre-trained transformer models into the sentence-classification oriented deep learning framework named TextCNN to better capture the unique expression of sentiments in SE texts. Specifically, we introduce an optimized BERT model named RoBERTa as the word embedding layer of TextCNN, along with additional residual connections between RoBERTa and TextCNN for better cooperation in our training framework. An empirical evaluation based on four datasets from different software information sites shows that our training framework can achieve overall better accuracy and generalizability than the four baselines. © 2022 Association for Computing Machinery.</t>
  </si>
  <si>
    <t>Dou Q,Chen J,Gao J,Huang Z</t>
  </si>
  <si>
    <t>Class Change Prediction by Incorporating Community Smell: An Empirical Study</t>
  </si>
  <si>
    <t>1369 – 1388</t>
  </si>
  <si>
    <t>https://www.scopus.com/inward/record.uri?eid=2-s2.0-85139632016&amp;doi=10.1142%2fS0218194022500528&amp;partnerID=40&amp;md5=78a61bc2bc8a02f231d385a13f5a5a0e;http://dx.doi.org/10.1142/S0218194022500528</t>
  </si>
  <si>
    <t>10.1142/S0218194022500528</t>
  </si>
  <si>
    <t>To adapt to changing software requirements, developers need to maintain and modify software through code changes. Predicting change-prone code can help developers to reduce the cost of software maintenance in advance. Prior work confirmed code smell intensity is a reliable metric for predicting change-prone classes. Community smell is a derivation of the concept of code smell in open-source software development community, it refers to poor communication and collaboration problems among developers. We add community smell to existing change prediction models, and propose a software class change prediction model integrating process metrics, code smell intensity metrics, anti-pattern metrics and community smell metrics, which takes into account the technicality and organizational aspects of software development. Experimental results demonstrate that when Multilayer Perceptron is used to build a change prediction model, community smell improves the baseline model by 4.4% and 31.5% in terms of F-Measure and Recall. In addition, community smell improves baseline model performance to a greater extent in terms of Recall and Precision than code smell-related information. © 2022 World Scientific Publishing Company.</t>
  </si>
  <si>
    <t>Ndukwe IG,Licorish SA,Tahir A,MacDonell SG</t>
  </si>
  <si>
    <t>How have views on Software Quality differed over time? Research and practice viewpoints</t>
  </si>
  <si>
    <t>https://www.scopus.com/inward/record.uri?eid=2-s2.0-85140313968&amp;doi=10.1016%2fj.jss.2022.111524&amp;partnerID=40&amp;md5=e4388fc3234b17723764df2587024515;http://dx.doi.org/10.1016/j.jss.2022.111524</t>
  </si>
  <si>
    <t>10.1016/j.jss.2022.111524</t>
  </si>
  <si>
    <t>Context: Over the years, there has been debate about what constitutes software quality and how it should be measured. This controversy has caused uncertainty across the software engineering community, affecting levels of commitment to the many potential determinants of quality among developers. An up-to-date catalogue of software quality views could provide developers with contemporary guidelines and templates. In fact, it is necessary to learn about views on the quality of code on frequently used online collaboration platforms (e.g., Stack Overflow), given that the quality of code snippets can affect the quality of software products developed. If quality models are unsuitable for aiding developers because they lack relevance, developers will hold relaxed or inappropriate views of software quality, thereby lacking awareness and commitment to such practices. Objective: We aim to explore differences in interest in quality characteristics across research and practice. We also seek to identify quality characteristics practitioners consider important when judging code snippet quality. First, we examine the literature for quality characteristics used frequently for judging software quality, followed by the quality characteristics commonly used by researchers to study code snippet quality. Finally, we investigate quality characteristics used by practitioners to judge the quality of code snippets. Methods: We conducted two systematic literature reviews followed by semi-structured interviews of 50 practitioners to address this gap. Results: The outcomes of the semi-structured interviews revealed that most practitioners judged the quality of code snippets using five quality dimensions: Functionality, Readability, Efficiency, Security and Reliability. However, other dimensions were also considered (i.e., Reusability, Maintainability, Usability, Compatibility and Completeness). This outcome differed from how the researchers judged code snippet quality. Conclusion: Practitioners today mainly rely on code snippets from online code resources, and specific models or quality characteristics are emphasised based on their need to address distinct concerns (e.g., mobile vs web vs standalone applications, regular vs machine learning applications, or open vs closed source applications). Consequently, software quality models should be adapted for the domain of consideration and not seen as one-size-fits-all. This study will lead to targeted support for various clusters of the software development community. © 2022 Elsevier Inc.</t>
  </si>
  <si>
    <t>Garbin C,Marques O</t>
  </si>
  <si>
    <t>Assessing Methods and Tools to Improve Reporting, Increase Transparency, and Reduce Failures in Machine Learning Applications in Health Care</t>
  </si>
  <si>
    <t>Radiology: Artificial Intelligence</t>
  </si>
  <si>
    <t>Radiological Society of North America Inc.</t>
  </si>
  <si>
    <t>2638-6100</t>
  </si>
  <si>
    <t>https://www.scopus.com/inward/record.uri?eid=2-s2.0-85130079716&amp;doi=10.1148%2fryai.210127&amp;partnerID=40&amp;md5=d5d22d7e66045d130c3277d01e953a8a;http://dx.doi.org/10.1148/ryai.210127</t>
  </si>
  <si>
    <t>10.1148/ryai.210127</t>
  </si>
  <si>
    <t>Artificial intelligence applications for health care have come a long way. Despite the remarkable progress, there are several examples of unfulfilled promises and outright failures. There is still a struggle to translate successful research into successful real-world applications. Machine learning (ML) products diverge from traditional software products in fundamental ways. Particularly, the main component of an ML solution is not a specific piece of code that is written for a specific purpose; rather, it is a generic piece of code, a model, customized by a training process driven by hyperparameters and a dataset. Datasets are usually large, and models are opaque. Therefore, datasets and models cannot be inspected in the same, direct way as traditional software products. Other methods are needed to detect failures in ML products. This report investigates recent advancements that promote auditing, supported by transparency, as a mechanism to detect potential failures in ML products for health care applications. It reviews practices that apply to the early stages of the ML lifecycle, when datasets and models are created; these stages are unique to ML products. Concretely, this report demonstrates how two recently proposed checklists, datasheets for datasets and model cards, can be adopted to increase the transparency of crucial stages of the ML lifecycle, using ChestX-ray8 and CheXNet as examples. The adoption of checklists to document the strengths, limitations, and applications of datasets and models in a structured format leads to increased transparency, allowing early detection of potential problems and opportunities for improvement. © RSNA, 2022.</t>
  </si>
  <si>
    <t>Cited by: 2; All Open Access, Green Open Access</t>
  </si>
  <si>
    <t>Siebert J,Joeckel L,Heidrich J,Trendowicz A,Nakamichi K,Ohashi K,Namba I,Yamamoto R,Aoyama M</t>
  </si>
  <si>
    <t>Construction of a quality model for machine learning systems</t>
  </si>
  <si>
    <t>Software Quality Journal</t>
  </si>
  <si>
    <t>307 – 335</t>
  </si>
  <si>
    <t>0963-9314</t>
  </si>
  <si>
    <t>https://www.scopus.com/inward/record.uri?eid=2-s2.0-85133116259&amp;doi=10.1007%2fs11219-021-09557-y&amp;partnerID=40&amp;md5=e24fca2c7254408c8ac21156402db9a3;http://dx.doi.org/10.1007/s11219-021-09557-y</t>
  </si>
  <si>
    <t>10.1007/s11219-021-09557-y</t>
  </si>
  <si>
    <t>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 © 2021, The Author(s).</t>
  </si>
  <si>
    <t>Cited by: 6; All Open Access, Hybrid Gold Open Access</t>
  </si>
  <si>
    <t>Washizaki H,Khomh F,Gueheneuc YG,Takeuchi H,Natori N,Doi T,Okuda S</t>
  </si>
  <si>
    <t>Software-Engineering Design Patterns for Machine Learning Applications</t>
  </si>
  <si>
    <t>Computer</t>
  </si>
  <si>
    <t>30 – 39</t>
  </si>
  <si>
    <t>0018-9162</t>
  </si>
  <si>
    <t>https://www.scopus.com/inward/record.uri?eid=2-s2.0-85127556940&amp;doi=10.1109%2fMC.2021.3137227&amp;partnerID=40&amp;md5=3eb34e179a76702bdadd740d865d7ff6;http://dx.doi.org/10.1109/MC.2021.3137227</t>
  </si>
  <si>
    <t>10.1109/MC.2021.3137227</t>
  </si>
  <si>
    <t>In this study, a multivocal literature review identified 15 software-engineering design patterns for machine learning applications. Findings suggest that there are opportunities to increase the patternsâÂ€Â™ adoption in practice by raising awareness of such patterns within the community. © 2022 IEEE.</t>
  </si>
  <si>
    <t>Cited by: 4; All Open Access, Hybrid Gold Open Access</t>
  </si>
  <si>
    <t>Book</t>
  </si>
  <si>
    <t>Human-AI Teaming: STATE-OF-THE-ART AND RESEARCH NEEDS (2022)</t>
  </si>
  <si>
    <t>National Academies Press</t>
  </si>
  <si>
    <t>https://www.scopus.com/inward/record.uri?eid=2-s2.0-85137870233&amp;doi=10.17226%2f26355&amp;partnerID=40&amp;md5=ef286727f97093c5b272d45d400b6d87;http://dx.doi.org/10.17226/26355</t>
  </si>
  <si>
    <t>10.17226/26355</t>
  </si>
  <si>
    <t>Although artificial intelligence (AI) has many potential benefits, it has also been shown to suffer from a number of challenges for successful performance in complex real-world environments such as military operations, including brittleness, perceptual limitations, hidden biases, and lack of a model of causation important for understanding and predicting future events. These limitations mean that AI will remain inadequate for operating on its own in many complex and novel situations for the foreseeable future, and that AI will need to be carefully managed by humans to achieve their desired utility. Human-AI Teaming: State-of-the-Art and Research Needs examines the factors that are relevant to the design and implementation of AI systems with respect to human operations. This report provides an overview of the state of research on human-AI teaming to determine gaps and future research priorities and explores critical human-systems integration issues for achieving optimal performance. © 2022 by the National Academy of Sciences. All rights reserved.</t>
  </si>
  <si>
    <t>1 – 126</t>
  </si>
  <si>
    <t>Krasanakis E,Symeonidis A</t>
  </si>
  <si>
    <t>Fast Library Recommendation in Software Dependency Graphs with Symmetric Partially Absorbing Random Walks</t>
  </si>
  <si>
    <t>Future Internet</t>
  </si>
  <si>
    <t>1999-5903</t>
  </si>
  <si>
    <t>https://www.scopus.com/inward/record.uri?eid=2-s2.0-85129358472&amp;doi=10.3390%2ffi14050124&amp;partnerID=40&amp;md5=b0c1e797271729e90fce836dbd73bd5d;http://dx.doi.org/10.3390/fi14050124</t>
  </si>
  <si>
    <t>10.3390/fi14050124</t>
  </si>
  <si>
    <t>To help developers discover libraries suited to their software projects, automated approaches often start from already employed libraries and recommend more based on co-occurrence patterns in other projects. The most accurate project–library recommendation systems employ Graph Neural Networks (GNNs) that learn latent node representations for link prediction. However, GNNs need to be retrained when dependency graphs are updated, for example, to recommend libraries for new projects, and are thus unwieldy for scalable deployment. To avoid retraining, we pro-pose that recommendations can instead be performed with graph filters; by analyzing dependency graph dynamics emulating human-driven library discovery, we identify low-pass filtering with memory as a promising direction and introduce a novel filter, called symmetric partially absorbing random walks, which infers rather than trains the parameters of filters with node-specific memory to guarantee low-pass filtering. Experiments on a dependency graph between Android projects and third-party libraries show that our approach makes recommendations with a quality and diversifica-tion loosely comparable to those state-of-the-art GNNs without computationally intensive retraining for new predictions. © 2022 by the authors. Licensee MDPI, Basel, Switzerland.</t>
  </si>
  <si>
    <t>Zahrin MF,Osman MH,Halin AA,Hassan S,Haron A</t>
  </si>
  <si>
    <t>Issues in Requirements Specification in Malaysia‟s Public Sector: An Evidence from a Semi-Structured Survey and a Static Analysis</t>
  </si>
  <si>
    <t>International Journal of Advanced Computer Science and Applications</t>
  </si>
  <si>
    <t>284 – 292</t>
  </si>
  <si>
    <t>Science and Information Organization</t>
  </si>
  <si>
    <t>2158-107X</t>
  </si>
  <si>
    <t>https://www.scopus.com/inward/record.uri?eid=2-s2.0-85143878845&amp;doi=10.14569%2fIJACSA.2022.0131132&amp;partnerID=40&amp;md5=3559f9562be7ac2b9c30930c49fe73bc;http://dx.doi.org/10.14569/IJACSA.2022.0131132</t>
  </si>
  <si>
    <t>10.14569/IJACSA.2022.0131132</t>
  </si>
  <si>
    <t>Requirement specifications (RS) are essential and fundamental artefacts in system development. RS is the primary reference in software development and is commonly written in natural language. Bad requirement quality, such as requirement smells, may lead to project delay, cost overrun, and failure. Focusing on requirement quality in the Malaysian government, this paper investigates the methods for preparing Malay RS and personnel competencies to identify the root cause of this issue. We conducted semi-structured interviews that involved 17 respondents from eight critical Malaysian public sector agencies. This study found that ambiguity, incompleteness, and inconsistency are the top three requirement smells that cause project delays and failures. Furthermore, based on our static analysis, we collected the initial Malay RS documents from various Malaysian public sector agencies; we found that 30% of the RS were ambiguous. Our analysis also found that respondents with more than 10 years of experience could manually identify the smells in RS. Most respondents chose the Public Sector Application Systems Engineering (KRISA) handbook as a guideline for preparing Malay RS documents. Respondents acknowledged a correlation between the quality of RS and project delays and failures. © 2022, International Journal of Advanced Computer Science and Applications.All Rights Reserved.</t>
  </si>
  <si>
    <t>Obrien D,Biswas S,Imtiaz S,Abdalkareem R,Shihab E,Rajan H</t>
  </si>
  <si>
    <t>23 shades of self-admitted technical debt: an empirical study on machine learning software</t>
  </si>
  <si>
    <t>734 – 746</t>
  </si>
  <si>
    <t>https://www.scopus.com/inward/record.uri?eid=2-s2.0-85143052180&amp;doi=10.1145%2f3540250.3549088&amp;partnerID=40&amp;md5=221e967fa43a46b13ca4902687512b64;http://dx.doi.org/10.1145/3540250.3549088</t>
  </si>
  <si>
    <t>10.1145/3540250.3549088</t>
  </si>
  <si>
    <t>In software development, the term technical debt(TD) is used to characterize short-term solutions and workarounds implemented in source code which may incur a long-term cost. Technical debt has a variety of forms and can thus affect multiple qualities of software including but not limited to its legibility, performance, and structure. In this paper, we have conducted a comprehensive study on the technical debts in machine learning (ML) based software. TD can appear differently in ML software by infecting the data that ML models are trained on, thus affecting the functional behavior of ML systems. The growing inclusion of ML components in modern software systems have introduced a new set of TDs. Does ML software have similar TDs to traditional software? If not, what are the new types of ML specific TDs? Which ML pipeline stages do these debts appear? Do these debts differ in ML tools and applications and when they get removed? Currently, we do not know the state of the ML TDs in the wild. To address these questions, we mined 68,820 self-admitted technical debts (SATD) from all the revisions of a curated dataset consisting of 2,641 popular ML repositories from GitHub, along with their introduction and removal. By applying an open-coding scheme and following upon prior works, we provide a comprehensive taxonomy of ML SATDs. Our study analyzes ML SATD type organizations, their frequencies within stages of ML software, the differences between ML SATDs in applications and tools, and quantifies the removal of ML SATDs. The findings discovered suggest implications for ML developers and researchers to create maintainable ML systems. © 2022 Owner/Author.</t>
  </si>
  <si>
    <t>Cited by: 0; All Open Access, Bronze Open Access</t>
  </si>
  <si>
    <t>Muse BA,Nagy C,Cleve A,Khomh F,Antoniol G</t>
  </si>
  <si>
    <t>FIXME: synchronize with database! An empirical study of data access self-admitted technical debt</t>
  </si>
  <si>
    <t>https://www.scopus.com/inward/record.uri?eid=2-s2.0-85133655153&amp;doi=10.1007%2fs10664-022-10119-4&amp;partnerID=40&amp;md5=a82bedea7c29214a99502b2e7668e6e3;http://dx.doi.org/10.1007/s10664-022-10119-4</t>
  </si>
  <si>
    <t>10.1007/s10664-022-10119-4</t>
  </si>
  <si>
    <t>Developers sometimes choose design and implementation shortcuts due to the pressure from tight release schedules. However, shortcuts introduce technical debt that increases as the software evolves. The debt needs to be repaid as fast as possible to minimize its impact on software development and software quality. Sometimes, technical debt is admitted by developers in comments and commit messages. Such debt is known as self-admitted technical debt (SATD). In data-intensive systems, where data manipulation is a critical functionality, the presence of SATD in the data access logic could seriously harm performance and maintainability. Understanding the composition and distribution of the SATDs across software systems and their evolution could provide insights into managing technical debt efficiently. We present a large-scale empirical study on the prevalence, composition, and evolution of SATD in data-intensive systems. We analyzed 83 open-source systems relying on relational databases as well as 19 systems relying on NoSQL databases. We detected SATD in source code comments obtained from different snapshots of the subject systems. To understand the evolution dynamics of SATDs, we conducted a survival analysis. Next, we performed a manual analysis of 361 sample data-access SATDs, investigating the composition of data-access SATDs and the reasons behind their introduction and removal. We identified 15 new SATD categories, out of which 11 are specific to database access operations. We found that most of the data-access SATDs are introduced in the later stages of change history rather than at the beginning. We also observed that bug fixing and refactoring are the main reasons behind the introduction of data-access SATDs. © 2022, The Author(s), under exclusive licence to Springer Science+Business Media, LLC, part of Springer Nature.</t>
  </si>
  <si>
    <t>Niu C,Gao O,Lu W,Liu W,Lai T</t>
  </si>
  <si>
    <t>Reg-SA-UNet++: A Lightweight Landslide Detection Network Based on Single-Temporal Images Captured Postlandslide</t>
  </si>
  <si>
    <t>IEEE Journal of Selected Topics in Applied Earth Observations and Remote Sensing</t>
  </si>
  <si>
    <t>9746 – 9759</t>
  </si>
  <si>
    <t>1939-1404</t>
  </si>
  <si>
    <t>https://www.scopus.com/inward/record.uri?eid=2-s2.0-85141605926&amp;doi=10.1109%2fJSTARS.2022.3219897&amp;partnerID=40&amp;md5=8666402555025111c6b3fde9268cef8b;http://dx.doi.org/10.1109/JSTARS.2022.3219897</t>
  </si>
  <si>
    <t>10.1109/JSTARS.2022.3219897</t>
  </si>
  <si>
    <t>Landslide detection based on remote sensing images is an effective method for rapidly and accurately detecting landslide regions, which can aid in disaster prevention and mitigation. Landslide detection methods based on semantic segmentation can be used to delineate the scope of landslides while detecting their location. Most existing models use multitemporal or geological data to improve accuracy. However, the large amount of data introduces additional parameters, consuming significant computing resources. Therefore, this article proposes Reg-SA-UNet++, a model for landslide detection, which uses a single-temporal image captured postlandslide. Reg-SA-UNet++ is based on UNet++ with the following modifications: deep supervised pruning is removed for fewer model parameters and increased detection accuracy; RegNet is employed to replace the convolutional blocks in the encoding process to reduce the number of parameters and improve feature acquisition and attention modules are added at the connection of the convolutional blocks of each layer to strengthen the model's attention to landslide features. The overall accuracy and F1 score of the Reg-SA-UNet++ model for the constructed landslide dataset (93.37% and 92.41%, respectively) and landslide mapping (97.09% and 96.10%, respectively) verify the effectiveness of the proposed model in detecting landslides from remote sensing images. © 2008-2012 IEEE.</t>
  </si>
  <si>
    <t>Automated Software Engineering</t>
  </si>
  <si>
    <t>https://www.scopus.com/inward/record.uri?eid=2-s2.0-85139266625&amp;doi=10.1007%2fs10515-022-00364-8&amp;partnerID=40&amp;md5=5594a1cab0fa5dcfebf980c07c055d4e;http://dx.doi.org/10.1007/s10515-022-00364-8</t>
  </si>
  <si>
    <t>Technical Debt occurs when development teams favour short-term operability over long-term stability. Since this places software maintainability at risk, technical debt requires early attention to avoid paying for accumulated interest. Most of the existing work focuses on detecting technical debt using code comments, known as Self-Admitted Technical Debt (SATD). However, there are many cases where technical debt instances are not explicitly acknowledged but deeply hidden in the code. In this paper, we propose a framework that caters for the absence of SATD comments in code. Our Self-Admitted Technical Debt Identification and Description (SATDID) framework determines if technical debt should be self-admitted for an input code fragment. If that is the case, SATDID will automatically generate the appropriate descriptive SATD comment that can be attached with the code. While our approach is applicable in principle to any type of code fragments, we focus in this study on technical debt hidden in conditional statements, one of the most TD-carrying parts of code. We explore and evaluate different implementations of SATDID. The evaluation results demonstrate the applicability and effectiveness of our framework over multiple benchmarks. Comparing with the results from the benchmarks, our approach provides at least 21.35, 59.36, 31.78, and 583.33% improvements in terms of Precision, Recall, F-1, and Bleu-4 scores, respectively. In addition, we conduct a human evaluation to the SATD comments generated by SATDID. In 1-5 and 0–5 scales for Acceptability and Understandability, the total means achieved by our approach are 3.128 and 3.172, respectively. © 2022, The Author(s).</t>
  </si>
  <si>
    <t>Cited by: 0; All Open Access, Green Open Access, Hybrid Gold Open Access</t>
  </si>
  <si>
    <t>Wilch J,Fischer J,Langer N,Felger M,Bengel M,Vogel-Heuser B</t>
  </si>
  <si>
    <t>Erste Schritte einer automatischen Funktionalitätssemantik zur Verbesserung von SPS Softwaremodularität; [Towards automatic generation of functionality semantics to improve PLC software modularization]</t>
  </si>
  <si>
    <t>At-Automatisierungstechnik</t>
  </si>
  <si>
    <t>181 – 191</t>
  </si>
  <si>
    <t>De Gruyter Oldenbourg</t>
  </si>
  <si>
    <t>0178-2312</t>
  </si>
  <si>
    <t>https://www.scopus.com/inward/record.uri?eid=2-s2.0-85124675907&amp;doi=10.1515%2fauto-2021-0138&amp;partnerID=40&amp;md5=b3966aaa27a1c952aae158f73486bc5c;http://dx.doi.org/10.1515/auto-2021-0138</t>
  </si>
  <si>
    <t>10.1515/auto-2021-0138</t>
  </si>
  <si>
    <t>Functions of automated Production Systems (aPS) can be realized by control software (SW), whose high quality and short development time are, therefore, vital. To achieve both, SW should be modular and, thereby, reusable. Static code analysis can help improve the modularization of existing software, e. g., by automatically analyzing control and information flow. However, manual code reviews are still typically required because planning a SW's modularization requires a semantic understanding of its functionality. This paper presents an approach to, instead, identify SW functionality automatically and evaluates it with SW from three aPS manufacturers. © 2022 Wilch et al., published by De Gruyter.</t>
  </si>
  <si>
    <t>Cited by: 1; All Open Access, Hybrid Gold Open Access</t>
  </si>
  <si>
    <t>Liu Y,Wu YJ,Peng X,Yan YD</t>
  </si>
  <si>
    <t>God Class Detection Approach Based on Graph Model and Isolation Forest; [基于图模型和孤立森林的上帝类检测方法]</t>
  </si>
  <si>
    <t>Ruan Jian Xue Bao/Journal of Software</t>
  </si>
  <si>
    <t>4046 – 4060</t>
  </si>
  <si>
    <t>Chinese Academy of Sciences</t>
  </si>
  <si>
    <t>1000-9825</t>
  </si>
  <si>
    <t>https://www.scopus.com/inward/record.uri?eid=2-s2.0-85142345060&amp;doi=10.13328%2fj.cnki.jos.006373&amp;partnerID=40&amp;md5=e4f797bc24d00de3288ab44afed5ce7f;http://dx.doi.org/10.13328/j.cnki.jos.006373</t>
  </si>
  <si>
    <t>10.13328/j.cnki.jos.006373</t>
  </si>
  <si>
    <t>God class refers to a class that carries heavy tasks and responsibilities. The common feature of God class is that it contains a large number of attributes and methods, and has multiple dependencies with other classes in the system. God class is a typical code smell, which has a negative impact on the development and maintenance of the software. In recent years, many studies have been devoted to discovering or refactoring the God class; however, the detection ability of existing methods is not strong, and the detection precision is not high enough. This study proposes a God class detection approach based on graph model and isolation forest algorithm, which can be divided into two stages: The stage of the graph structure information analysis and the stage of intra-class measurement evaluation. In the stage of the graph structure information analysis, inter-class method call graphs and intra-class structure graphs are established, respectively. The isolation forest algorithm is used to reduce the detection range of God class. In the stage of the intra-class measurement evaluation, the impact of the scale and architecture of the project is taken into account, and the average value of the God class related measurement indicators in the project is used as the benchmark. An experiment is designed to determine the scale factors, and the product of the average value and the scale factors are used as the threshold for the detection to obtain the God class detection result. The experimental results on the code smell benchmark data set show that the method proposed in this article improves the precision and F1 value by 25.8 percentage points and 33.39 percentage points, respectively, compared to an existing God class detection method, with a high recall at the same time. © 2022 Chinese Academy of Sciences. All rights reserved.</t>
  </si>
  <si>
    <t>Menezes G,Braga W,Fontão A,Hora A,Cafeo B</t>
  </si>
  <si>
    <t>Assessing the Impact of Code Samples Evolution on Developers' Questions</t>
  </si>
  <si>
    <t>321 – 330</t>
  </si>
  <si>
    <t>https://www.scopus.com/inward/record.uri?eid=2-s2.0-85139132343&amp;doi=10.1145%2f3555228.3555250&amp;partnerID=40&amp;md5=b1d72504567443cd4c6e5fb61825895e;http://dx.doi.org/10.1145/3555228.3555250</t>
  </si>
  <si>
    <t>10.1145/3555228.3555250</t>
  </si>
  <si>
    <t>To accelerate the learning process of technical resources by developers, organizations such as Amazon, Google, and Microsoft have been provided and maintained the so-called code samples. Code samples are special software projects made available in public repositories with the main goal of teaching and clarifying developers' doubts related to the use of frameworks, libraries, or other technical resources. Since code samples are software projects themselves, they change over time. If these changes do not preserve essential characteristics of code samples such as size and code simplicity throughout evolution, they may lose their usefulness and can be another source of questions. We investigated the evolution of code samples as well as whether and how it may raise questions from the developers about the code samples themselves. In this way, we analyzed the evolution of 186 code samples provided by Android, AWS, Azure, Spring Boot, and Spring Cloud, assessing metrics related to the size and complexity of over 15,184 commits. We also explored more than 1,500 developers' questions in Stack Overflow to understand the relation between these questions and code samples' evolution. We observed that organizations may not be preserving key characteristics of code samples during evolution. Our analysis also indicates that some untamed metrics are related to a rise of questions about code samples. © 2022 ACM.</t>
  </si>
  <si>
    <t>Erdogan TG,Altunel H,Tarhan AK</t>
  </si>
  <si>
    <t>Tools/frameworks that support development process of AI-based software: validations in white literature</t>
  </si>
  <si>
    <t>CEUR-WS</t>
  </si>
  <si>
    <t>1613-0073</t>
  </si>
  <si>
    <t>https://www.scopus.com/inward/record.uri?eid=2-s2.0-85142863387&amp;partnerID=40&amp;md5=219aaa958011f40bb75bd6fc1c8444ce</t>
  </si>
  <si>
    <t>Context: Artificial Intelligence (AI)-based software has gained increasing interest, especially in the last decade, due to advancements in underlying technologies and demands in varying business domains. With the proliferation to develop such software, there appears a need for developing methods and supporting tools/frameworks. Purpose: In this paper, we focus on tools/frameworks to automate AI-based software development process, from a holistic view. We review the scientific studies that were empirically validated and also evaluate their proposals with respect to basic characteristics including theme, research methods, types, domains, and a number of cases in empirical validations. Method: We elicit relevant studies (with the contribution type of tool or framework) from a larger set of primary studies identified by a systematic literature review on AI-based software development process. We select 14 primary studies in this context and analyze them with respect to the purposes of the proposals. Results: We review tools/frameworks that support AI-based software development process under four headings: software system development process, the development process of fair software, model development process, and model deployment and operation processes. We observe that domains of empirical validation are diverse while the number of empirical cases applied for validation is limited. Also, only half of the primary studies provide links to their proposals as open-source, which is very important for the repeatability of the empirical validations. © 2022 Copyright for this paper by its authors.</t>
  </si>
  <si>
    <t>Kangwanwisit P,Choetkiertikul M,Ragkhitwetsagul C,Sunetnanta T,Maipradit R,Hata H,Matsumoto K</t>
  </si>
  <si>
    <t>A component recommendation model for issues in software projects</t>
  </si>
  <si>
    <t>https://www.scopus.com/inward/record.uri?eid=2-s2.0-85136220815&amp;doi=10.1109%2fJCSSE54890.2022.9836311&amp;partnerID=40&amp;md5=7e08ec074e19ea7c325df9850b4d6f97;http://dx.doi.org/10.1109/JCSSE54890.2022.9836311</t>
  </si>
  <si>
    <t>10.1109/JCSSE54890.2022.9836311</t>
  </si>
  <si>
    <t>In modern software development projects, developer teams usually adopt an issue-driven approach to increase their productivity. The component of an issue report implicitly or-ganize issues in a software project (e.g, defects, new feature requests, and tasks) into a group of issues that have similar characteristics. A component of an issue report is an important attribute needed to be identified in an issue triaging process. Thus, assigning the correct component(s) to an issue is crucial in issue resolution. However, it is a challenging task since large-scale projects contain a considerable amount of components (e.g. almost one-hundred components in the Bamboo project) and it can increase significantly as the project evolves over time. In this paper, we propose an approach that uses textual feature extraction and machine learning techniques with Binary Relevance (BR) to develop a component recommendation model to support the task of assigning component(s) to an issue. The empirical evaluation over 60,000 issue reports shows that our proposed models outperform the baseline benchmarks and other techniques by achieving on average 0.480 Precision@1, 0.616 Recall@3, 0.432 MAP, and 0.596 MRR. © 2022 IEEE.</t>
  </si>
  <si>
    <t>Abdul Hamid UZ,Irimescu DS,Zaman MT</t>
  </si>
  <si>
    <t>Challenges of Complex Software Development for Emerging Technologies in Automotive Industry: Bridging the Gap of Knowledge between the Industry Practitioners</t>
  </si>
  <si>
    <t>SAE International</t>
  </si>
  <si>
    <t>0148-7191</t>
  </si>
  <si>
    <t>https://www.scopus.com/inward/record.uri?eid=2-s2.0-85128067243&amp;doi=10.4271%2f2022-01-0109&amp;partnerID=40&amp;md5=4db7822e205f435db6a5d96d164cbbef;http://dx.doi.org/10.4271/2022-01-0109</t>
  </si>
  <si>
    <t>10.4271/2022-01-0109</t>
  </si>
  <si>
    <t>Automotive is currently one of the most rapidly evolving industries in the world. Topics such as ride-sharing, connectivity, electrification and automation saw the fastest developments in the industry. These include the more extended influence of software and computer science expertise into the previously a more mechanical-engineering based industry. However, complex software development is a relatively new topic for the automotive industry, which brings a lot of challenges which were unforeseen in the past. For example, changes in development methodology have seen the discussions of agile methodology adoption into the said industry. Moreover, concepts inherent to the field of software engineering, such as 'technical debt' and 'feature prioritization' which arose due to unsystematized software development should also be highlighted. To yield the new innovations into the market safely, the challenges of software development for emerging technologies in the automotive industry should be understood. This paper highlights the challenges related to complex software development in the automotive industry. It highlights the pain points which need to be addressed for further improvements. The paper is aimed specifically at educating the practitioners, researchers, product and business experts in the automotive industry about the importance of producing good software quality for the automotive software-based product. The authors are convinced the paper will benefit the practitioners in the industry as well as the generic audience with interests in this topic. It will also bridge the knowledge gap between ‘computer science'-background and ‘conventional automotive'-background engineers in the automotive software development and safety topics. © 2022 SAE International. All Rights Reserved.</t>
  </si>
  <si>
    <t>Frontiers of Computer Science</t>
  </si>
  <si>
    <t>Higher Education Press Limited Company</t>
  </si>
  <si>
    <t>https://www.scopus.com/inward/record.uri?eid=2-s2.0-85141566820&amp;doi=10.1007%2fs11704-022-1541-7&amp;partnerID=40&amp;md5=4a88983a1a39182776f8ffe63ca8a9df;http://dx.doi.org/10.1007/s11704-022-1541-7</t>
  </si>
  <si>
    <t>Technical debt is considered detrimental to the long-term success of software development, but despite the numerous studies in the literature, there are still many aspects that need to be investigated for a better understanding of it. In particular, the main problems that hinder its complete understanding are the absence of a clear definition and a model for its identification, management, and forecasting. Focusing on forecasting technical debt, there is a growing notion that preventing technical debt build-up allows you to identify and address the riskiest debt items for the project before they can permanently compromise it. However, despite this high relevance, the forecast of technical debt is still little explored. To this end, this study aims to evaluate whether the quality metrics of a software system can be useful for the correct prediction of the technical debt. Therefore, the data related to the quality metrics of 8 different open-source software systems were analyzed and supplied as input to multiple machine learning algorithms to perform the prediction of the technical debt. In addition, several partitions of the initial dataset were evaluated to assess whether prediction performance could be improved by performing a data selection. The results obtained show good forecasting performance and the proposed document provides a useful approach to understanding the overall phenomenon of technical debt for practical purposes. © 2023, Higher Education Press.</t>
  </si>
  <si>
    <t>Coskun T,Halepmollasi R,Hanifi K,Fouladi RF,De Cnudde PC,Tosun A</t>
  </si>
  <si>
    <t>Profiling developers to predict vulnerable code changes</t>
  </si>
  <si>
    <t>32 – 41</t>
  </si>
  <si>
    <t>https://www.scopus.com/inward/record.uri?eid=2-s2.0-85143197967&amp;doi=10.1145%2f3558489.3559069&amp;partnerID=40&amp;md5=aa575bcbfb3041317cdc8d2bbdc8cad1;http://dx.doi.org/10.1145/3558489.3559069</t>
  </si>
  <si>
    <t>10.1145/3558489.3559069</t>
  </si>
  <si>
    <t>Software vulnerability prediction and management have caught the interest of researchers and practitioners, recently. Various techniques that are usually based on characteristics of the code artefacts are also offered to predict software vulnerabilities. While other studies achieve promising results, the role of developers in inducing vulnerabilities has not been studied yet. We aim to profile the vulnerability inducing and vulnerability fixing behaviors of developers in software projects using Heterogeneous Information Network (HIN) analysis. We also investigate the impact of developer profiles in predicting vulnerability inducing commits, and compare the findings against the approach based on the code metrics. We adopt Random Walk with Restart (RWR) algorithm on HIN and the aggregation of code metrics for extracting all the input features. We utilize traditional machine learning algorithms namely, Naive Bayes (NB), Support Vector Machine (SVM), Random Forest (RF) and eXtreme Gradient Boosting (XGBoost) to build the prediction models.We report our empirical analysis to predict vulnerability inducing commits of four Apache projects. The technique based on code metrics achieves 90% success for the recall measure, whereas the technique based on profiling developer behavior achieves 71% success. When we use the feature sets obtained with the two techniques together, we achieve 89% success. © 2022 Owner/Author.</t>
  </si>
  <si>
    <t>Mujahid S,Abdalkareem R,Shihab E</t>
  </si>
  <si>
    <t>What are the characteristics of highly-selected packages? A case study on the npm ecosystem</t>
  </si>
  <si>
    <t>https://www.scopus.com/inward/record.uri?eid=2-s2.0-85144557305&amp;doi=10.1016%2fj.jss.2022.111588&amp;partnerID=40&amp;md5=dabb3f2bf70e7b634ad2697de0abcf44;http://dx.doi.org/10.1016/j.jss.2022.111588</t>
  </si>
  <si>
    <t>10.1016/j.jss.2022.111588</t>
  </si>
  <si>
    <t>With the popularity of software ecosystems, the number of open source components (known as packages) has grown rapidly. Identifying high-quality and well-maintained packages from a large pool of packages to depend on is a basic and important problem, as it is beneficial for various applications, such as package recommendation and package search. However, no systematic and comprehensive work focuses on addressing this problem except in online discussions or informal literature and interviews. To fill this gap, in this paper, we conducted a mixed qualitative and quantitative analysis to understand how developers identify and select relevant open source packages. In particular, we started by surveying 118 JavaScript developers from the npm ecosystem to qualitatively understand the factors that make a package to be highly-selected within the npm ecosystem. The survey results showed that JavaScript developers believe that highly-selected packages are well-documented, receive a high number of stars on GitHub, have a large number of downloads, and do not suffer from vulnerabilities. Then, we conducted an experiment to quantitatively validate the developers’ perception of the factors that make a highly-selected package. In this analysis, we collected and mined historical data from 2,527 packages divided into highly-selected and not highly-selected packages. For each package in the dataset, we collected quantitative data to present the factors studied in the developers’ survey. Next, we used regression analysis to quantitatively investigate which of the studied factors are the most important. Our regression analysis complements our survey results about highly-selected packages. In particular, the results showed that highly-selected packages tend to be correlated by the number of downloads, stars, and how large the package's readme file is. © 2022 Elsevier Inc.</t>
  </si>
  <si>
    <t>Subramonyam H,Im J,Seifert C,Adar E</t>
  </si>
  <si>
    <t>Solving Separation-of-Concerns Problems in Collaborative Design of Human-AI Systems through Leaky Abstractions</t>
  </si>
  <si>
    <t>https://www.scopus.com/inward/record.uri?eid=2-s2.0-85130578634&amp;doi=10.1145%2f3491102.3517537&amp;partnerID=40&amp;md5=1b63920694e882a66ec29dccf3453ef9;http://dx.doi.org/10.1145/3491102.3517537</t>
  </si>
  <si>
    <t>10.1145/3491102.3517537</t>
  </si>
  <si>
    <t>In conventional software development, user experience (UX) designers and engineers collaborate through separation of concerns (SoC): designers create human interface specifications, and engineers build to those specifications. However, we argue that Human-AI systems thwart SoC because human needs must shape the design of the AI interface, the underlying AI sub-components, and training data. How do designers and engineers currently collaborate on AI and UX design? To find out, we interviewed 21 industry professionals (UX researchers, AI engineers, data scientists, and managers) across 14 organizations about their collaborative work practices and associated challenges. We find that hidden information encapsulated by SoC challenges collaboration across design and engineering concerns. Practitioners describe inventing ad-hoc representations exposing low-level design and implementation details (which we characterize as leaky abstractions) to punctureSoC and share information across expertise boundaries. We identify how leaky abstractions are employed to collaborate at the AI-UX boundary and formalize a process of creating and using leaky abstractions. © 2022 ACM.</t>
  </si>
  <si>
    <t>Mumtaz H,Singh P,Blincoe K</t>
  </si>
  <si>
    <t>Analyzing the Relationship between Community and Design Smells in Open-Source Software Projects: An Empirical Study</t>
  </si>
  <si>
    <t>23 – 33</t>
  </si>
  <si>
    <t>https://www.scopus.com/inward/record.uri?eid=2-s2.0-85139866098&amp;doi=10.1145%2f3544902.3546249&amp;partnerID=40&amp;md5=309fc549aa1c9db1d05b461fff95f0c4;http://dx.doi.org/10.1145/3544902.3546249</t>
  </si>
  <si>
    <t>10.1145/3544902.3546249</t>
  </si>
  <si>
    <t>Background: Software smells reflect the sub-optimal patterns in the software. In a similar way, community smells consider the sub-optimal patterns in the organizational and social structures of software teams. Related work performed empirical studies to identify the relationship between community smells and software smells at the architecture and code levels. However, how community smells relate with design smells is still unknown. Aims: In this paper, we empirically investigate the relationship between community smells and design smells during the evolution of software projects. Method: We apply three statistical methods: correlation, trend, and information gain analysis to empirically examine the relationship between community and design smells in 100 releases of 10 large-scale Apache open-source software projects. Results: Our results reveal that the relationship between community and design smells varies across the analyzed projects. We find significant correlations and trend similarities for one type of community smell (when developers work in isolation without peer communication-Missing Links) with design smells in most of the analyzed projects. Furthermore, the results of our statistical model disclose that community smells are more relevant for design smells compared to other community-related factors. Conclusion: Our results find that the relationship of community smells (in particular, the Missing Links smell) exists with design smells. Based on our findings, we discuss specific community smell refactoring techniques that should be done together when refactoring design smells so that the problems associated with the social and technical (design) aspects of the projects can be managed concurrently. © 2022 Association for Computing Machinery.</t>
  </si>
  <si>
    <t>Chandramouli P,Codabux Z,Vidoni M</t>
  </si>
  <si>
    <t>analyzeR: A SonarQube plugin for analyzing object-oriented R Packages</t>
  </si>
  <si>
    <t>https://www.scopus.com/inward/record.uri?eid=2-s2.0-85131438314&amp;doi=10.1016%2fj.softx.2022.101113&amp;partnerID=40&amp;md5=3743d4c140bc0b123ee54ada82f7f857;http://dx.doi.org/10.1016/j.softx.2022.101113</t>
  </si>
  <si>
    <t>10.1016/j.softx.2022.101113</t>
  </si>
  <si>
    <t>Automated Static Analysis Tools (ASATs) analyze source-code to capture defects and ensure higher quality. SonarQube is a renown ASAT that supports mainstream programming languages. However, R programming is not included. R is an increasingly popular multi-paradigm and package-based programming environment for scientific programming. Nevertheless, R's Object-Oriented (OO) functionalities are implemented through three different systems: S3, S4, and R6, and seldom used by developers. We present analyzeR, an advanced SonarQube plugin to examine R packages built in any of the current OO models. It implements widely-used, commonly-accepted OO metrics and displays the results using SonarQube's graphical interface for increased usability, implementing an array of metrics. © 2022 The Author(s)</t>
  </si>
  <si>
    <t>Mei S,Liu C,Wang Q,Su H</t>
  </si>
  <si>
    <t>Model Provenance Management in MLOps Pipeline</t>
  </si>
  <si>
    <t>45 – 50</t>
  </si>
  <si>
    <t>https://www.scopus.com/inward/record.uri?eid=2-s2.0-85129606574&amp;doi=10.1145%2f3512850.3512861&amp;partnerID=40&amp;md5=343b94b2a5df815aba6e3461091a3697;http://dx.doi.org/10.1145/3512850.3512861</t>
  </si>
  <si>
    <t>10.1145/3512850.3512861</t>
  </si>
  <si>
    <t>Machine learning engineering is an important technology that has attracted the attention of academia and industry in the past two years. For AI to become a productivity of enterprises, it must be engineered to solve the problems of model development, deployment, management, prediction, and other lifecycle management, and MLOps system is the most concerned technology in the current machine learning engineering process. This paper starts from the training evolution process of intelligent computing models in machine learning engineering, focuses on the influence of data, training algorithms, and requirement indicators on the model evolution process, and gives the definition of Model Provenance and its evolutionary correlation elements. Based on the concept of model lineage, this paper designs a method to manage the model evolution process in the MLOps system and implements the related system. © 2022 Association for Computing Machinery. All rights reserved.</t>
  </si>
  <si>
    <t>Khan B,Naseem R,Alam I,Khan I,Alasmary H,Rahman T</t>
  </si>
  <si>
    <t>Analysis of Tree-Family Machine Learning Techniques for Risk Prediction in Software Requirements</t>
  </si>
  <si>
    <t>IEEE Access</t>
  </si>
  <si>
    <t>98220 – 98231</t>
  </si>
  <si>
    <t>2169-3536</t>
  </si>
  <si>
    <t>https://www.scopus.com/inward/record.uri?eid=2-s2.0-85139215662&amp;doi=10.1109%2fACCESS.2022.3206382&amp;partnerID=40&amp;md5=f8deba300522a5711553a896b6fe4009;http://dx.doi.org/10.1109/ACCESS.2022.3206382</t>
  </si>
  <si>
    <t>10.1109/ACCESS.2022.3206382</t>
  </si>
  <si>
    <t>Risk prediction is the most sensitive and critical activity in the Software Development Life Cycle (SDLC). It might determine whether the project succeeds or fails. To increase the success probability of a software project, the risk should be predicted at the early stages. This study proposed a novel model based on the requirement risk dataset to predict software requirement risks using Tree-Family -Machine-Learning (TF-ML) approaches. Moreover, the proposed model is compared with the state-of-the-art models to determine the best-suited methodology based on the nature of the dataset. These strategies are assessed and evaluated using a variety of metrics. The findings of this study may be reused as a baseline for future studies and research, allowing the results of any proposed approach, model, or framework to be benchmarked and easily checked. © 2013 IEEE.</t>
  </si>
  <si>
    <t>Garrone A,Minisi S,Oneto L,Dambra C,Borinato M,Sanetti P,Vignola G,Papa F,Mazzino N,Anguita D</t>
  </si>
  <si>
    <t>Simple Non Regressive Informed Machine Learning Model for Prescriptive Maintenance of Track Circuits in a Subway Environment</t>
  </si>
  <si>
    <t>Lecture Notes in Networks and Systems</t>
  </si>
  <si>
    <t>546 LNNS</t>
  </si>
  <si>
    <t>74 – 83</t>
  </si>
  <si>
    <t>2367-3370</t>
  </si>
  <si>
    <t>https://www.scopus.com/inward/record.uri?eid=2-s2.0-85137988427&amp;doi=10.1007%2f978-3-031-16281-7_8&amp;partnerID=40&amp;md5=dad7cafe9c434552e9314e6bd36641f5;http://dx.doi.org/10.1007/978-3-031-16281-7_8</t>
  </si>
  <si>
    <t>10.1007/978-3-031-16281-7_8</t>
  </si>
  <si>
    <t>A Track Circuit (TC) System enables automatic train detection and protection functions. A typical TC failure is the False Occupancy (FO), i.e., a TC results occupied for a certain period of time when there is no train on it. FO can be resolved by manually driving a train on the faulty TC with a waste of time and resources. After a FO, operators, based on their experience, need to decide if there is an actual need for maintenance or if the problem is due to other temporary causes. In this paper, we propose a Simple Informed Machine Learning (ML) based model able to automatically prescribe maintenance after a FO fully leveraging on the operator experience. However, ML models in modern industrial MLOps pipelines demand continuous data collection, model re-training, testing, and monitoring, creating a large technical debt. In fact, one of the main requirements of these pipelines is to not be regressive, i.e., not simply improve average performance but not introduce mistakes previously not present (negative flips). In this work we face this problem by empowering the proposed ML with Non Regressive properties. Results on real data coming from a portion of an Italian Metro managed by Hitachi Rail STS will support our proposal. © 2023, The Author(s), under exclusive license to Springer Nature Switzerland AG.</t>
  </si>
  <si>
    <t>Raffin T,Reichenstein T,Werner J,Kühl A,Franke J</t>
  </si>
  <si>
    <t>A reference architecture for the operationalization of machine learning models in manufacturing</t>
  </si>
  <si>
    <t>130 – 135</t>
  </si>
  <si>
    <t>https://www.scopus.com/inward/record.uri?eid=2-s2.0-85145195886&amp;doi=10.1016%2fj.procir.2022.10.062&amp;partnerID=40&amp;md5=b113cca22bbc100c5dce5c2f1ab856ea;http://dx.doi.org/10.1016/j.procir.2022.10.062</t>
  </si>
  <si>
    <t>10.1016/j.procir.2022.10.062</t>
  </si>
  <si>
    <t>Inherent characteristics of machine learning algorithms such as their probabilistic nature, their reliance on large datasets as well as their need for constant retraining pose major challenges to the operationalization of machine learning models (MLOps) in the manufacturing domain. As such systems are known to quickly accumulate technical debt due to system-level interdependencies of code, data, and models, clear abstractions boundaries are mandatory. Therefore, this publication derives a systematic functional decomposition of an MLOps system tailored to the manufacturing industry into specific domains and contexts. Moreover, a concrete deployment view is provided, and possible future research directions are discussed. © 2022 Elsevier B.V.. All rights reserved.</t>
  </si>
  <si>
    <t>Bandara M,Rabhi FA,Bano M</t>
  </si>
  <si>
    <t>A knowledge-driven approach for designing data analytics platforms</t>
  </si>
  <si>
    <t>Requirements Engineering</t>
  </si>
  <si>
    <t>0947-3602</t>
  </si>
  <si>
    <t>https://www.scopus.com/inward/record.uri?eid=2-s2.0-85136515962&amp;doi=10.1007%2fs00766-022-00385-5&amp;partnerID=40&amp;md5=0f37b786a6059be379f420cf0d54e1f2;http://dx.doi.org/10.1007/s00766-022-00385-5</t>
  </si>
  <si>
    <t>10.1007/s00766-022-00385-5</t>
  </si>
  <si>
    <t>Big data analytics technologies are rapidly expanding across all industry sectors as organisations try to make analytics an integral part of their everyday decision-making. Although there are many software tools and libraries to assist analysts and software engineers in developing solutions, organisations are looking for flexible analytics platforms that can address their specific objectives and requirements. To minimise costs, such platforms also need to co-exist with existing IT infrastructures and reuse knowledge and resources already accumulated within the organisation. To address such needs, this paper proposes the Data Analytics Solution Engineering (DASE) framework—a knowledge-driven approach supported by semantic web technologies for requirements engineering, design and development of new data analytics platforms. It includes a meta-model that captures data analytics platform requirements via a Knowledge Base, a set of guidelines that organisations can follow in engineering data analytics platforms and a reference architecture that demonstrates how to use these guidelines. We evaluate the DASE framework through two case studies and demonstrate how it can facilitate knowledge-based and requirements-driven data analytics platform engineering. The resulting data analytics platforms are observed to be user friendly, easy to maintain and flexible in handling changes to requirements. This work contributes to the body of knowledge in knowledge-driven requirements engineering, and data analytics platform engineering by providing a meta-model and a reference architecture that can be tailored to different analytics application domains. © 2022, The Author(s).</t>
  </si>
  <si>
    <t>Dai H,Jin M,Chen X,Li N,Tu Z,Wang Y</t>
  </si>
  <si>
    <t>Survey of Data-Driven Application Self-Adaptive Technology; [数据驱动的应用自适应技术综述]</t>
  </si>
  <si>
    <t>Jisuanji Yanjiu yu Fazhan/Computer Research and Development</t>
  </si>
  <si>
    <t>2549 – 2568</t>
  </si>
  <si>
    <t>Science Press</t>
  </si>
  <si>
    <t>1000-1239</t>
  </si>
  <si>
    <t>https://www.scopus.com/inward/record.uri?eid=2-s2.0-85141530424&amp;doi=10.7544%2fissn1000-1239.20210221&amp;partnerID=40&amp;md5=35aaf67fcd4f78ddedf070f57389918e;http://dx.doi.org/10.7544/issn1000-1239.20210221</t>
  </si>
  <si>
    <t>10.7544/issn1000-1239.20210221</t>
  </si>
  <si>
    <t>Self-adaptation has always been a hot topic in the interdisciplinary field of software engineering and service computing. By perceiving the changes of themselves and the environment, applications dynamically adjust their behaviors and processes to continue achieving service goals efficiently under the circumstances of the non-deterministic changes of environment and requirements. With the recent development of big data and artificial intelligence(AI), traditional model-based control methods in software engineering are no longer suitable for dynamic and complex service computing environments nowadays. In contrast, the data-driven approach does not rely on mathematical models and expert knowledge but is based on probability and mathematical statistics. By applying the feedback data of service operation, the approach gradually learns and understands the complex and changeable environmental feedback, and then learns the model of the adaptive system. Therefore, the data-driven self-adaptive service computing has the characteristics of perceptibility, adaptability, autonomy and collaboration, etc. It is suitable for more complex application scenarios, such as the Internet of things, intelligent transportation and distributed computing. Based on the self-adaptive framework and the related characteristics of cognitive computing, a data-driven intelligent adaptive framework is proposed. And then, we have reviewed the application of representation learning, pattern recognition, decision planning and rule evolution in data-driven adaptive technology in recent years, respectively. It mainly explores the application of machine learning, deep learning and reinforcement learning in these technologies. And finally, it concludes the development of self-adaption and looks forward to the future trends. © 2022, Science Press. All right reserved.</t>
  </si>
  <si>
    <t>Shollo A,Hopf K,Thiess T,Müller O</t>
  </si>
  <si>
    <t>Shifting ML value creation mechanisms: A process model of ML value creation</t>
  </si>
  <si>
    <t>Journal of Strategic Information Systems</t>
  </si>
  <si>
    <t>0963-8687</t>
  </si>
  <si>
    <t>https://www.scopus.com/inward/record.uri?eid=2-s2.0-85134657563&amp;doi=10.1016%2fj.jsis.2022.101734&amp;partnerID=40&amp;md5=175971429ebb05ca7fbb20449d1f19bd;http://dx.doi.org/10.1016/j.jsis.2022.101734</t>
  </si>
  <si>
    <t>10.1016/j.jsis.2022.101734</t>
  </si>
  <si>
    <t>Advancements in artificial intelligence (AI) technologies are rapidly changing the competitive landscape. In the search for an appropriate strategic response, firms are currently engaging in a large variety of AI projects. However, recent studies suggest that many companies are falling short in creating tangible business value through AI. As the current scientific body of knowledge lacks empirically-grounded research studies for explaining this phenomenon, we conducted an exploratory interview study focusing on 56 applications of machine learning (ML) in 29 different companies. Through an inductive qualitative analysis, we uncover three broad types and five subtypes of ML value creation mechanisms, identify necessary but not sufficient conditions for successfully leveraging them, and observe that organizations, in their efforts to create value, dynamically shift from one ML value creation mechanism to another by reconfiguring their ML applications (i.e., the shifting practice). We synthesize these findings into a process model of ML value creation, which illustrates how organizations engage in (resource) orchestration by shifting between ML value creation mechanisms as their capabilities evolve and business conditions change. Our model provides an alternative explanation for the current high failure rate of ML projects. © 2022 The Authors</t>
  </si>
  <si>
    <t>Vidoni M,Cunico ML</t>
  </si>
  <si>
    <t>On technical debt in mathematical programming: An exploratory study</t>
  </si>
  <si>
    <t>Mathematical Programming Computation</t>
  </si>
  <si>
    <t>781 – 818</t>
  </si>
  <si>
    <t>1867-2949</t>
  </si>
  <si>
    <t>https://www.scopus.com/inward/record.uri?eid=2-s2.0-85135494534&amp;doi=10.1007%2fs12532-022-00225-1&amp;partnerID=40&amp;md5=1e4c72f3a4ebd7dbef859d32d04d3331;http://dx.doi.org/10.1007/s12532-022-00225-1</t>
  </si>
  <si>
    <t>10.1007/s12532-022-00225-1</t>
  </si>
  <si>
    <t>The Technical Debt (TD) metaphor describes development shortcuts taken for expediency that cause the degradation of internal software quality. It has served the discourse between engineers and management regarding how to invest resources in maintenance and extend into scientific software (both the tools, the algorithms and the analysis conducted with it). Mathematical programming has been considered ‘special purpose programming’, meant to program and simulate particular problem types (e.g., symbolic mathematics through Matlab). Likewise, more traditional mathematical programming has been considered ‘modelling programming’ to program models by providing programming structures required for mathematical formulations (e.g., GAMS, AMPL, AIMMS). Because of this, other authors have argued the need to consider mathematical programming as closely related to software development. As a result, this paper presents a novel exploration of TD in mathematical programming by assessing self-reported practices through a survey, which gathered 168 complete responses. This study discovered potential debts manifested through smells and attitudinal causes towards them. Results uncovered a trend to refactor and polish the final mathematical model and use version control and detailed comments. Nonetheless, we uncovered traces of negative practices regarding Code Debt and Documentation Debt, alongside hints indicating that most TD is deliberately introduced (i.e., modellers are aware that their practices are not the best). We aim to discuss the idea that TD is also present in mathematical programming and that it may hamper the reproducibility and maintainability of the models created. The overall goal is to outline future areas of work that can lead to changing current modellers’ habits and assist in extending existing mathematical programming (both practice and research) to eventually manage TD in mathematical programming. © 2022, The Author(s).</t>
  </si>
  <si>
    <t>1309 – 1324</t>
  </si>
  <si>
    <t>https://www.scopus.com/inward/record.uri?eid=2-s2.0-85112213035&amp;doi=10.1109%2fTR.2021.3087864&amp;partnerID=40&amp;md5=0f63845850e3cdcaee3de5471d5bb511;http://dx.doi.org/10.1109/TR.2021.3087864</t>
  </si>
  <si>
    <t>In software development, due to the demands from users or the limitations of time and resources, developers tend to adopt suboptimal solutions to achieve quick software development. In such a way, the released software usually involves not-quite-right code that is called technical debt, which will significantly decrease the quality of software and increase the maintenance cost. Recently, the concept of self-admitted technical debt (SATD) is proposed and refers to technical debt that is self-admitted by developers in code comments. Existing studies mainly focus on detecting technical debt by classifying code comments into either 'SATD' or 'non-SATD.' However, different types of SATD has different impacts on software maintenance and needs to be handled by different developers. Therefore, the detected SATD should be further classified so that developers can understand and remove technical debt better. In this article, we propose a new method based on eXtreme Gradient Boosting (XGBoost) to classify SATD into multiple classes. In our approach, we first preprocess the original code comments and adopt the easy data augmentation strategy to overcome the class unbalance problem. Then, chi-square is leveraged to select representative features from the textual feature set. Finally, we apply XGBoost to train a classifier and use the trained classifier to partition each comment into the corresponding class. We experimentally investigate the effectiveness of our approach on a public dataset, including 62 566 code comments from 10 open-source projects. Experimental results show that our approach achieves 56.66% in terms of macroaveraged precision, 59.07% in terms of macroaveraged recall, and 55.77% in terms of macroaveraged F-measure on average, and outperforms the natural language processing based method by 4.98%, 5.32%, and 3.17%, respectively. In addition, the experimental results also demonstrate that the data augmentation strategy is effective in improving the effectiveness of our approach. © 1963-2012 IEEE.</t>
  </si>
  <si>
    <t>Pecorelli F,Lujan S,Lenarduzzi V,Palomba F,De Lucia A</t>
  </si>
  <si>
    <t>On the adequacy of static analysis warnings with respect to code smell prediction</t>
  </si>
  <si>
    <t>https://www.scopus.com/inward/record.uri?eid=2-s2.0-85126520334&amp;doi=10.1007%2fs10664-022-10126-5&amp;partnerID=40&amp;md5=e40c0e839e1f2ff67ac13072e9c4ed3c;http://dx.doi.org/10.1007/s10664-022-10126-5</t>
  </si>
  <si>
    <t>10.1007/s10664-022-10126-5</t>
  </si>
  <si>
    <t>Code smells are poor implementation choices that developers apply while evolving source code and that affect program maintainability. Multiple automated code smell detectors have been proposed: while most of them relied on heuristics applied over software metrics, a recent trend concerns the definition of machine learning techniques. However, machine learning-based code smell detectors still suffer from low accuracy: one of the causes is the lack of adequate features to feed machine learners. In this paper, we face this issue by investigating the role of static analysis warnings generated by three state-of-the-art tools to be used as features of machine learning models for the detection of seven code smell types. We conduct a three-step study in which we (1) verify the relation between static analysis warnings and code smells and the potential predictive power of these warnings; (2) build code smell prediction models exploiting and combining the most relevant features coming from the first analysis; (3) compare and combine the performance of the best code smell prediction model with the one achieved by a state of the art approach. The results reveal the low performance of the models exploiting static analysis warnings alone, while we observe significant improvements when combining the warnings with additional code metrics. Nonetheless, we still find that the best model does not perform better than a random model, hence leaving open the challenges related to the definition of ad-hoc features for code smell prediction. © 2022, The Author(s).</t>
  </si>
  <si>
    <t>Hasabnis N</t>
  </si>
  <si>
    <t>Are machine programming systems using right source-code measures to select code repositories?</t>
  </si>
  <si>
    <t>11 – 16</t>
  </si>
  <si>
    <t>https://www.scopus.com/inward/record.uri?eid=2-s2.0-85143196742&amp;doi=10.1145%2f3549034.3561176&amp;partnerID=40&amp;md5=01ede058d4a352799db0aba344a26716;http://dx.doi.org/10.1145/3549034.3561176</t>
  </si>
  <si>
    <t>10.1145/3549034.3561176</t>
  </si>
  <si>
    <t>Machine programming (MP) is an emerging field at the intersection of deterministic and probabilistic computing, and it aims to assist software and hardware engineers, among other applications. Along with powerful compute resources, MP systems often rely on vast amount of open-source code to learn interesting properties about code and programming and solve problems in the areas of debugging, code recommendation, auto-completion, etc. Unfortunately, several of the existing MP systems either do not consider quality of code repositories or use atypical quality measures than those typically used in software engineering community to select them. As such, impact of quality of code repositories on the performance of these systems needs to be studied. In this preliminary paper, we evaluate impact of different quality repositories on the performance of a candidate MP system. Towards that objective, we develop a framework, named GitRank, to rank open-source repositories on quality, maintainability, and popularity by leveraging existing research on this topic. We then apply GitRank to evaluate correlation between the quality measures used by the candidate MP system and the quality measures used by our framework. Our preliminary results reveal some correlation between the quality measures used in GitRank and ControlFlag's performance, suggesting that some of the measures used in GitRank are applicable to ControlFlag. But it also raises questions around right quality measures for code repositories used in MP systems. We believe that our findings also generate interesting insights towards code quality measures that affect performance of MP systems. © 2022 ACM.</t>
  </si>
  <si>
    <t>Whang SE,Roh Y,Song H,Lee JG</t>
  </si>
  <si>
    <t>Data collection and quality challenges in deep learning: a data-centric AI perspective</t>
  </si>
  <si>
    <t>VLDB Journal</t>
  </si>
  <si>
    <t>1066-8888</t>
  </si>
  <si>
    <t>https://www.scopus.com/inward/record.uri?eid=2-s2.0-85145500796&amp;doi=10.1007%2fs00778-022-00775-9&amp;partnerID=40&amp;md5=740b7669cfff7a156276cfc294feb9a5;http://dx.doi.org/10.1007/s00778-022-00775-9</t>
  </si>
  <si>
    <t>10.1007/s00778-022-00775-9</t>
  </si>
  <si>
    <t>Data-centric AI is at the center of a fundamental shift in software engineering where machine learning becomes the new software, powered by big data and computing infrastructure. Here, software engineering needs to be re-thought where data become a first-class citizen on par with code. One striking observation is that a significant portion of the machine learning process is spent on data preparation. Without good data, even the best machine learning algorithms cannot perform well. As a result, data-centric AI practices are now becoming mainstream. Unfortunately, many datasets in the real world are small, dirty, biased, and even poisoned. In this survey, we study the research landscape for data collection and data quality primarily for deep learning applications. Data collection is important because there is lesser need for feature engineering for recent deep learning approaches, but instead more need for large amounts of data. For data quality, we study data validation, cleaning, and integration techniques. Even if the data cannot be fully cleaned, we can still cope with imperfect data during model training using robust model training techniques. In addition, while bias and fairness have been less studied in traditional data management research, these issues become essential topics in modern machine learning applications. We thus study fairness measures and unfairness mitigation techniques that can be applied before, during, or after model training. We believe that the data management community is well poised to solve these problems. © 2023, The Author(s), under exclusive licence to Springer-Verlag GmbH Germany, part of Springer Nature.</t>
  </si>
  <si>
    <t>Tsantalis N,Ketkar A,Dig D</t>
  </si>
  <si>
    <t>RefactoringMiner 2.0</t>
  </si>
  <si>
    <t>930 – 950</t>
  </si>
  <si>
    <t>https://www.scopus.com/inward/record.uri?eid=2-s2.0-85127582313&amp;doi=10.1109%2fTSE.2020.3007722&amp;partnerID=40&amp;md5=6c1d2b43f85bf226ddb7d2c2da6cce3c;http://dx.doi.org/10.1109/TSE.2020.3007722</t>
  </si>
  <si>
    <t>10.1109/TSE.2020.3007722</t>
  </si>
  <si>
    <t>Refactoring detection is crucial for a variety of applications and tasks: (i) empirical studies about code evolution, (ii) tools for library API migration, (iii) code reviews and change comprehension. However, recent research has questioned the accuracy of the state-of-the-art refactoring mining tools, which poses threats to the reliability of the detected refactorings. Moreover, the majority of refactoring mining tools depend on code similarity thresholds. Finding universal threshold values that can work well for all projects, regardless of their architectural style, application domain, and development practices is extremely challenging. Therefore, in a previous work [N. Tsantalis, M. Mansouri, L. M. Eshkevari, D. Mazinanian, and D. Dig, Accurate and efficient refactoring detection in commit history, in 40th International Conference on Software Engineering, 2018, pp. 483-494], we introduced the first refactoring mining tool that does not require any code similarity thresholds to operate. In this work, we extend our tool to support low-level refactorings that take place within the body of methods. To evaluate our tool, we created one of the most accurate, complete, and representative refactoring oracles to date, including 7,226 true instances for 40 different refactoring types detected by one (minimum) up to six (maximum) different tools, and validated by one up to four refactoring experts. Our evaluation showed that our approach achieves the highest average precision (99.6 percent) and recall (94 percent) among all competitive tools, and on median is 2.6 times faster than the second faster competitive tool. © 1976-2012 IEEE.</t>
  </si>
  <si>
    <t>Cited by: 22</t>
  </si>
  <si>
    <t>Sothilingam R,Pant V,Yu E</t>
  </si>
  <si>
    <t>Using i* to Analyze Collaboration Challenges in MLOps Project Teams</t>
  </si>
  <si>
    <t>1 – 6</t>
  </si>
  <si>
    <t>https://www.scopus.com/inward/record.uri?eid=2-s2.0-85139960075&amp;partnerID=40&amp;md5=47d94a3671b3bf9cb72e0214142b20a1</t>
  </si>
  <si>
    <t>The rapidly growing interest of applying continuous software engineering practices from DevOps in Machine Learning (ML) software projects has led to the relatively new area of Machine Learning Operations (MLOps). The need for software engineers to collaborate with data scientists, ML Engineers, DevOps Engineers, and other specialists has contributed to the emergence of MLOps. MLOps introduces unique challenges involving the intersection of infrastructure engineering to the exploratory model development process of ML. The collaboration of team members of diverse skills and knowledge is required due to the need for continuous evolution and monitoring of both ML systems and the underlying infrastructure. The capabilities of i* modeling are potentially a good fit for the the unique characteristics of MLOps with respect to the analysis of nuances in strategic interests between actors of diverse disciplinary backgrounds that commonly face challenges during collaboration. In this work, we use i* Strategic Rationale modeling of actor relationships to analyze and resolve common conflicts and challenges faced in MLOps project teams during collaboration in the development of production ML systems. Examples from common key MLOps challenges are used to illustrate. © 2022 Copyright for this paper by its authors. Use permitted under Creative Commons License Attribution 4.0 International (CC BY 4.0)</t>
  </si>
  <si>
    <t>Iliadis A,Acker A</t>
  </si>
  <si>
    <t>The seer and the seen: Surveying Palantir’s surveillance platform</t>
  </si>
  <si>
    <t>Information Society</t>
  </si>
  <si>
    <t>334 – 363</t>
  </si>
  <si>
    <t>Routledge</t>
  </si>
  <si>
    <t>0197-2243</t>
  </si>
  <si>
    <t>https://www.scopus.com/inward/record.uri?eid=2-s2.0-85136864939&amp;doi=10.1080%2f01972243.2022.2100851&amp;partnerID=40&amp;md5=672b21f6c2efd4a2b0b56a786a3812ef;http://dx.doi.org/10.1080/01972243.2022.2100851</t>
  </si>
  <si>
    <t>10.1080/01972243.2022.2100851</t>
  </si>
  <si>
    <t>Palantir is among the most secretive and understudied surveillance firms globally. The company supplies information technology solutions for data integration and tracking to police and government agencies, humanitarian organizations, and corporations. To illuminate and learn more about Palantir’s opaque surveillance practices, we begin by sketching Palantir’s company history and contract network, followed by an explanation of key terms associated with Palantir’s technology area and a description of the firm’s platform ecosystem. We then summarize current scholarship on Palantir’s continuing role in policing, intelligence, and security operations. Our primary contribution and analysis are a computational topic modeling of Palantir’s surveillance patents (n = 155), including their topics and themes. We end by discussing the concept of infrastructuring to understand Palantir as a surveillance platform, where we theorize information standards like administrative metadata as phenomena for structuring social worlds in and through access to digital information. © 2022 The Author(s). Published with license by Taylor &amp; Francis Group, LLC.</t>
  </si>
  <si>
    <t>Giordano G,Palomba F,Ferrucci F</t>
  </si>
  <si>
    <t>On the use of artificial intelligence to deal with privacy in IoT systems: A systematic literature review</t>
  </si>
  <si>
    <t>https://www.scopus.com/inward/record.uri?eid=2-s2.0-85136467284&amp;doi=10.1016%2fj.jss.2022.111475&amp;partnerID=40&amp;md5=9e3462d0a71d4fe859f0ab8331727169;http://dx.doi.org/10.1016/j.jss.2022.111475</t>
  </si>
  <si>
    <t>10.1016/j.jss.2022.111475</t>
  </si>
  <si>
    <t>The Internet of Things (IoT) refers to a network of Internet-enabled devices that can make different operations, like sensing, communicating, and reacting to changes arising in the surrounding environment. Nowadays, the number of IoT devices is already higher than the world population. These devices operate by exchanging data between them, sometimes through an intermediate cloud infrastructure, and may be used to enable a wide variety of novel services that can potentially improve the quality of life of billions of people. Nonetheless, all that glitters is not gold: the increasing adoption of IoT comes with several privacy concerns due to the lack or loss of control over the sensitive data exchanged by these devices. This represents a key challenge for software engineering researchers attempting to address those privacy concerns by proposing (semi-)automated solutions to identify sources of privacy leaks. In this respect, a notable trend is represented by the adoption of smart solutions, that is, the definition of techniques based on artificial intelligence (AI) algorithms. This paper proposes a systematic literature review of the research in smart detection of privacy concerns in IoT devices. Following well-established guidelines, we identify 152 primary studies that we analyze under three main perspectives: (1) What are the privacy concerns addressed with AI-enabled techniques; (2) What are the algorithms employed and how they have been configured/validated; and (3) Which are the domains targeted by these techniques. The key results of the study identified six main tasks targeted through the use of artificial intelligence, like Malware Detection or Network Analysis. Support Vector Machine is the technique most frequently used in literature, however in many cases researchers do not explicitly indicate the domain where to use artificial intelligence algorithms. We conclude the paper by distilling several lessons learned and implications for software engineering researchers. © 2022</t>
  </si>
  <si>
    <t>Ampatzoglou A,Chatzigeorgiou A,Arvanitou EM,Bibi S</t>
  </si>
  <si>
    <t>SDK4ED: A platform for technical debt management</t>
  </si>
  <si>
    <t>1879 – 1902</t>
  </si>
  <si>
    <t>https://www.scopus.com/inward/record.uri?eid=2-s2.0-85129838215&amp;doi=10.1002%2fspe.3093&amp;partnerID=40&amp;md5=e22cde9c69e6b91c1c529527fdfe7b10;http://dx.doi.org/10.1002/spe.3093</t>
  </si>
  <si>
    <t>10.1002/spe.3093</t>
  </si>
  <si>
    <t>Technical debt management is of paramount importance for the software industry, since maintenance is the costlier activity in the software development lifecycle. In this article, we present the SDK4ED platform that enables efficient technical debt management (i.e., measurement, evolution analysis, prevention, etc.) at the code level, and evaluate its capabilities in an industrial setting. The SDK4ED platform is the outcome of a 3-year project, including several software industries. Since, the research rigor of the approaches that reside in SDK4ED have already been validated, in this work we focus: (a) on the presentation of the platform per se; (b) the evaluation of its industrial relevance; (c) the usability of the platform; as well as (d) the financial implications of its usage. © 2022 John Wiley &amp; Sons Ltd.</t>
  </si>
  <si>
    <t>Rwemalika R,Habchi S,Papadakis M,Le Traon Y,Brasseur MC</t>
  </si>
  <si>
    <t>Smells in system user interactive tests</t>
  </si>
  <si>
    <t>https://www.scopus.com/inward/record.uri?eid=2-s2.0-85144233627&amp;doi=10.1007%2fs10664-022-10251-1&amp;partnerID=40&amp;md5=24193ec1fce17ebbd4c76a8a54956f0c;http://dx.doi.org/10.1007/s10664-022-10251-1</t>
  </si>
  <si>
    <t>10.1007/s10664-022-10251-1</t>
  </si>
  <si>
    <t>Test smells are known as bad development practices that reflect poor design and implementation choices in software tests. Over the last decade, there are few attempts to study test smells in the context of system tests that interact with the System Under Test through a Graphical User Interface. To fill the gap, we conduct an exploratory analysis of test smells occurring in System User Interactive Tests (SUIT). We thus, compose a catalog of 35 SUIT-specific smells, identified through a multi-vocal literature review, and show how they differ from smells encountered in unit tests. We also conduct an empirical analysis to assess the diffuseness and removal of these smells in 48 industrial repositories and 12 open-source projects. Our results show that the same type of smells tends to appear in both industrial and open-source projects, but they are not addressed in the same way. We also find that smells originating from a combination of multiple code locations appear more often than those that are localized on a single line. This happens because of the difficulty to observe non-local smells without tool support. Furthermore, we find that smell-removing actions are not frequent with less than 50% of the affected tests ever undergoing a smell removal. Interestingly, while smell-removing actions are rare, some smells disappear while discarding tests, i.e., these smells do not appear in follow-up tests that replace the discarded ones. © 2022, The Author(s), under exclusive licence to Springer Science+Business Media, LLC, part of Springer Nature.</t>
  </si>
  <si>
    <t>Habibullah KM,Gay G,Horkoff J</t>
  </si>
  <si>
    <t>Non-functional requirements for machine learning: understanding current use and challenges among practitioners</t>
  </si>
  <si>
    <t>https://www.scopus.com/inward/record.uri?eid=2-s2.0-85145825727&amp;doi=10.1007%2fs00766-022-00395-3&amp;partnerID=40&amp;md5=4a5638f6e5bce046053ffbabdadcdb06;http://dx.doi.org/10.1007/s00766-022-00395-3</t>
  </si>
  <si>
    <t>10.1007/s00766-022-00395-3</t>
  </si>
  <si>
    <t>Systems that rely on Machine Learning (ML systems) have differing demands on quality—known as non-functional requirements (NFRs)—from traditional systems. NFRs for ML systems may differ in their definition, measurement, scope, and comparative importance. Despite the importance of NFRs in ensuring the quality ML systems, our understanding of all of these aspects is lacking compared to our understanding of NFRs in traditional domains. We have conducted interviews and a survey to understand how NFRs for ML systems are perceived among practitioners from both industry and academia. We have identified the degree of importance that practitioners place on different NFRs, including cases where practitioners are in agreement or have differences of opinion. We explore how NFRs are defined and measured over different aspects of a ML system (i.e., model, data, or whole system). We also identify challenges associated with NFR definition and measurement. Finally, we explore differences in perspective between practitioners in industry, academia, or a blended context. This knowledge illustrates how NFRs for ML systems are treated in current practice, and helps to guide future RE for ML efforts. © 2023, The Author(s).</t>
  </si>
  <si>
    <t>Garcia J,Kouroshfar E,Ghorbani N,Malek S</t>
  </si>
  <si>
    <t>Forecasting Architectural Decay from Evolutionary History</t>
  </si>
  <si>
    <t>2439 – 2454</t>
  </si>
  <si>
    <t>https://www.scopus.com/inward/record.uri?eid=2-s2.0-85101745918&amp;doi=10.1109%2fTSE.2021.3060068&amp;partnerID=40&amp;md5=ee66c4a20c1af0b5beffcd87f575d9ad;http://dx.doi.org/10.1109/TSE.2021.3060068</t>
  </si>
  <si>
    <t>10.1109/TSE.2021.3060068</t>
  </si>
  <si>
    <t>As a software system evolves, its architecture tends to decay, leading to the occurrence of architectural elements that become resistant to maintenance or prone to defects. To address this problem, engineers can significantly benefit from determining which architectural elements will decay before that decay actually occurs. Forecasting decay allows engineers to take steps to prevent decay, such as focusing maintenance resources on the architectural elements most likely to decay. To that end, we construct novel models that predict the quality of an architectural element by utilizing multiple architectural views (both structural and semantic) and architectural metrics as features for prediction. We conduct an empirical study using our prediction models on 38 versions of five systems. Our findings show that we can predict low architectural quality, i.e., architectural decay, with high performance - even for cases of decay that suddenly occur in an architectural module. We further report the factors that best predict architectural quality. © 1976-2012 IEEE.</t>
  </si>
  <si>
    <t>Kalouptsoglou I,Tsoukalas D,Siavvas M,Kehagias D,Chatzigeorgiou A,Ampatzoglou A</t>
  </si>
  <si>
    <t>Time Series Forecasting of Software Vulnerabilities Using Statistical and Deep Learning Models</t>
  </si>
  <si>
    <t>Electronics (Switzerland)</t>
  </si>
  <si>
    <t>2079-9292</t>
  </si>
  <si>
    <t>https://www.scopus.com/inward/record.uri?eid=2-s2.0-85138727978&amp;doi=10.3390%2felectronics11182820&amp;partnerID=40&amp;md5=01dcc373fcf1c5021560dfa50bc4a8e7;http://dx.doi.org/10.3390/electronics11182820</t>
  </si>
  <si>
    <t>10.3390/electronics11182820</t>
  </si>
  <si>
    <t>Software security is a critical aspect of modern software products. The vulnerabilities that reside in their source code could become a major weakness for enterprises that build or utilize these products, as their exploitation could lead to devastating financial consequences. Therefore, the development of mechanisms capable of identifying and discovering software vulnerabilities has recently attracted the interest of the research community. Besides the studies that examine software attributes in order to predict the existence of vulnerabilities in software components, there are also studies that attempt to predict the future number of vulnerabilities based on the already reported vulnerabilities of a project. In this paper, the evolution of vulnerabilities in a horizon of up to 24 months ahead is predicted using a univariate time series forecasting approach. Both statistical and deep learning models are developed and compared based on security data coming from five popular software projects. In contrast to related literature, the results indicate that the capacity of Deep Learning and statistical models in forecasting the evolution of software vulnerabilities, as well as the selection of the best-performing model, depends on the respective software project. In some cases, statistical models provided better accuracy, whereas in other cases, Deep Learning models demonstrated better predictive power. However, the difference in their performance was not found to be statistically significant. In general, the two model categories produced similar forecasts for the number of vulnerabilities expected in the future, without significant diversities. © 2022 by the authors.</t>
  </si>
  <si>
    <t>Wang J,Yang Y,Wang S,Hu J,Wang Q</t>
  </si>
  <si>
    <t>Context-and Fairness-Aware In-Process Crowdworker Recommendation</t>
  </si>
  <si>
    <t>https://www.scopus.com/inward/record.uri?eid=2-s2.0-85130682205&amp;doi=10.1145%2f3487571&amp;partnerID=40&amp;md5=24c28b573faab1626d25d89feb28de3b;http://dx.doi.org/10.1145/3487571</t>
  </si>
  <si>
    <t>10.1145/3487571</t>
  </si>
  <si>
    <t>Identifying and optimizing open participation is essential to the success of open software development. Existing studies highlighted the importance of worker recommendation for crowdtesting tasks in order to improve bug detection efficiency, i.e., detect more bugs with fewer workers. However, there are a couple of limitations in existing work. First, these studies mainly focus on one-Time recommendations based on expertise matching at the beginning of a new task. Second, the recommendation results suffer from severe popularity bias, i.e., highly experienced workers are recommended in almost all the tasks, while less experienced workers rarely get recommended. This article argues the need for context-and fairness-Aware in-process crowdworker recommendation in order to address these limitations. We motivate this study through a pilot study, revealing the prevalence of long-sized non-yielding windows, i.e., no new bugs are revealed in consecutive test reports during the process of a crowdtesting task. This indicates the potential opportunity for accelerating crowdtesting by recommending appropriate workers in a dynamic manner, so that the non-yielding windows could be shortened. Besides, motivated by the popularity bias in existing crowdworker recommendation approach, this study also aims at alleviating the unfairness in recommendations.Driven by these observations, this article proposes a context-and fairness-Aware in-process crowdworker recommendation approach, iRec2.0, to detect more bugs earlier, shorten the non-yielding windows, and alleviate the unfairness in recommendations. It consists of three main components: (1) the modeling of dynamic testing context, (2) the learning-based ranking component, and (3) the multi-objective optimization-based re-ranking component. The evaluation is conducted on 636 crowdtesting tasks from one of the largest crowdtesting platforms, and results show the potential of iRec2.0 in improving the cost-effectiveness of crowdtesting by saving the cost, shortening the testing process, and alleviating the unfairness among workers. In detail, iRec2.0 could shorten the non-yielding window by a median of 50%-66% in different application scenarios, and consequently have potential of saving testing cost by a median of 8%-12%. Meanwhile, the recommendation frequency of the crowdworker drop from 34%-60% to 5%-26% under different scenarios, indicating its potential in alleviating the unfairness among crowdworkers. © 2022 Association for Computing Machinery.</t>
  </si>
  <si>
    <t>Alomar EA,Wang T,Raut V,Mkaouer MW,Newman C,Ouni A</t>
  </si>
  <si>
    <t>Refactoring for reuse: an empirical study</t>
  </si>
  <si>
    <t>Innovations in Systems and Software Engineering</t>
  </si>
  <si>
    <t>105 – 135</t>
  </si>
  <si>
    <t>1614-5046</t>
  </si>
  <si>
    <t>https://www.scopus.com/inward/record.uri?eid=2-s2.0-85123066032&amp;doi=10.1007%2fs11334-021-00422-6&amp;partnerID=40&amp;md5=3fff891353aeee11ee10e74f82f79508;http://dx.doi.org/10.1007/s11334-021-00422-6</t>
  </si>
  <si>
    <t>10.1007/s11334-021-00422-6</t>
  </si>
  <si>
    <t>Refactoring is the de-facto practice to optimize software health. While several studies propose refactoring strategies to optimize software design through applying design patterns and removing design defects, little is known about how developers actually refactor their code to improve its reuse. Therefore, we extract, from 1,828 open source projects, a set of refactorings that were intended to improve the software reusability. We analyze the impact of reusability refactorings on the state-of-the-art reusability metrics, and we compare the distribution of reusability refactoring types, with the distribution of the remaining mainstream refactorings. Overall, we found that the distribution of refactoring types, applied in the context of reusability, is different from the distribution of refactoring types in mainstream development. In the refactorings performed to improve reusability, source files are subject to more design level types of refactorings. Reusability refactorings significantly impact, high-level code elements, such as packages, classes, and methods, while typical refactorings, impact all code elements, including identifiers, and parameters. These findings provide practical insights into the current practice of refactoring in the context of code reuse involving the act of refactoring. © 2022, The Author(s), under exclusive licence to Springer-Verlag London Ltd., part of Springer Nature.</t>
  </si>
  <si>
    <t>Shanbhag S,Chimalakonda S,Sharma VS,Kaulgud V</t>
  </si>
  <si>
    <t>Towards a Catalog of Energy Patterns in Deep Learning Development</t>
  </si>
  <si>
    <t>150 – 159</t>
  </si>
  <si>
    <t>https://www.scopus.com/inward/record.uri?eid=2-s2.0-85132359794&amp;doi=10.1145%2f3530019.3530035&amp;partnerID=40&amp;md5=b840f2d862131c038d7b65cf61a475b8;http://dx.doi.org/10.1145/3530019.3530035</t>
  </si>
  <si>
    <t>10.1145/3530019.3530035</t>
  </si>
  <si>
    <t>The exponential rise of deep learning, aided by the availability of several frameworks and specialized hardware, has led to its application in a wide variety of domains. The availability of GPUs has made it easier to train networks with a huge number of parameters. However, this rise has come at the expense of ever-increasing energy requirements and carbon footprint. While the existing work tries to combat this issue by proposing optimizations in the hardware and the neural network architectures, there is an absence of general energy efficiency guidelines for deep learning developers. In this paper, we propose an initial catalog of 8 energy patterns for developing deep learning applications by analyzing 1361 posts from Stack Overflow. Our hope is that these energy patterns may help the developers adopt energy efficient practices in their deep learning projects. A survey with 14 deep learning developers showed us that the developers are largely in agreement with the usefulness of the catalog from an energy efficiency perspective. A detailed description of the catalog, along with the posts related to each energy pattern, is available at the following link: https://rishalab.github.io/dl_energy_patterns/ © 2022 ACM.</t>
  </si>
  <si>
    <t>1676 – 1691</t>
  </si>
  <si>
    <t>https://www.scopus.com/inward/record.uri?eid=2-s2.0-85096147180&amp;doi=10.1109%2fTSE.2020.3031401&amp;partnerID=40&amp;md5=6ccbd34b4c58d5bca5a9cd37fc2cec63;http://dx.doi.org/10.1109/TSE.2020.3031401</t>
  </si>
  <si>
    <t>Keeping track of and managing Self-Admitted Technical Debts (SATDs) are important to maintaining a healthy software project. This requires much time and effort from human experts to identify the SATDs manually. The current automated solutions do not have satisfactory precision and recall in identifying SATDs to fully automate the process. To solve the above problems, we propose a two-step framework called Jitterbug for identifying SATDs. Jitterbug first identifies the 'easy to find' SATDs automatically with close to 100 percent precision using a novel pattern recognition technique. Subsequently, machine learning techniques are applied to assist human experts in manually identifying the remaining 'hard to find' SATDs with reduced human effort. Our simulation studies on ten software projects show that Jitterbug can identify SATDs more efficiently (with less human effort) than the prior state-of-the-art methods. © 1976-2012 IEEE.</t>
  </si>
  <si>
    <t>Cited by: 7; All Open Access, Green Open Access</t>
  </si>
  <si>
    <t>Xiao L,Cai Y,Kazman R,Mo R,Feng Q</t>
  </si>
  <si>
    <t>Detecting the Locations and Predicting the Maintenance Costs of Compound Architectural Debts</t>
  </si>
  <si>
    <t>3686 – 3715</t>
  </si>
  <si>
    <t>https://www.scopus.com/inward/record.uri?eid=2-s2.0-85112159655&amp;doi=10.1109%2fTSE.2021.3102221&amp;partnerID=40&amp;md5=943b8bd3c53f068d0d969a19676ec455;http://dx.doi.org/10.1109/TSE.2021.3102221</t>
  </si>
  <si>
    <t>10.1109/TSE.2021.3102221</t>
  </si>
  <si>
    <t>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 © 1976-2012 IEEE.</t>
  </si>
  <si>
    <t>Feng J,Pennello G,Petrick N,Sahiner B,Pirracchio R,Gossmann A</t>
  </si>
  <si>
    <t>Sequential algorithmic modification with test data reuse</t>
  </si>
  <si>
    <t>674 – 684</t>
  </si>
  <si>
    <t>Association For Uncertainty in Artificial Intelligence (AUAI)</t>
  </si>
  <si>
    <t>https://www.scopus.com/inward/record.uri?eid=2-s2.0-85143261277&amp;partnerID=40&amp;md5=c1a55cd1bd7f0e35fb6f0a419d867e8f</t>
  </si>
  <si>
    <t>After initial release of a machine learning algorithm, the model can be fine-tuned by retraining on subsequently gathered data, adding newly discovered features, or more. Each modification introduces a risk of deteriorating performance and must be validated on a test dataset. It may not always be practical to assemble a new dataset for testing each modification, especially when most modifications are minor or are implemented in rapid succession. Recent work has shown how one can repeatedly test modifications on the same dataset and protect against overfitting by (i) discretizing test results along a grid and (ii) applying a Bonferroni correction to adjust for the total number of modifications considered by an adaptive developer. However, the standard Bonferroni correction is overly conservative when most modifications are beneficial and/or highly correlated. This work investigates more powerful approaches using alpha-recycling and sequentially-rejective graphical procedures (SRGPs). We introduce two novel extensions that account for correlation between adaptively chosen algorithmic modifications: the first leverages the correlation between consecutive modifications using flexible fixed sequence tests, and the second leverages the correlation between the proposed modifications and those generated by a hypothetical prespecified model updating procedure. In empirical analyses, both SRGPs control the error rate of approving deleterious modifications and approve significantly more beneficial modifications than previous approaches. © 2022 Proceedings of the 38th Conference on Uncertainty in Artificial Intelligence, UAI 2022. All right reserved.</t>
  </si>
  <si>
    <t>Melo A,Fagundes R,Lenarduzzi V,Santos WB</t>
  </si>
  <si>
    <t>Identification and measurement of Requirements Technical Debt in software development: A systematic literature review</t>
  </si>
  <si>
    <t>https://www.scopus.com/inward/record.uri?eid=2-s2.0-85136734876&amp;doi=10.1016%2fj.jss.2022.111483&amp;partnerID=40&amp;md5=909b9bd77d3ee232970fab3ecc4ee05c;http://dx.doi.org/10.1016/j.jss.2022.111483</t>
  </si>
  <si>
    <t>10.1016/j.jss.2022.111483</t>
  </si>
  <si>
    <t>Context: Requirements Technical Debt are related to the distance between the ideal value of the specification and the actual implementation of the system, which are consequences of strategic decisions for immediate gains, or unintended changes in context. To ensure the evolution of the software, it is necessary to to manage TD. Identification and measurement are the first two stages of the management process; however, they are poorly explored in academic research in requirements engineering. Objective: We aimed to investigating which evidence helps to strengthen the TD requirements management process, including identification and measurement. Method: We conducted a Systematic Literature Review through manual and automatic searches considering 7499 studies from 2010 to 2020, and including 66 primary studies. Results: We identified some causes related to Technical Debt requirements, existing strategies to help in the identification and measurement, and metrics to support the measurement stage. Conclusion: The studies on Requirements Technical Debt are still preliminary, especially regarding management software. Yet, however, the interpersonal aspects that prove difficult in the implementation of such activities are not sufficiently addressed. Finally, the provision of metrics to help measure technical debt is part of the contribution of this search, providing insights into the application in its requirements context. © 2022 The Author(s)</t>
  </si>
  <si>
    <t>Liu K,Yang G,Chen X,Zhou Y</t>
  </si>
  <si>
    <t>EL-CodeBert: Better Exploiting CodeBert to Support Source Code-Related Classification Tasks</t>
  </si>
  <si>
    <t>147 – 155</t>
  </si>
  <si>
    <t>https://www.scopus.com/inward/record.uri?eid=2-s2.0-85139550283&amp;doi=10.1145%2f3545258.3545260&amp;partnerID=40&amp;md5=9aba7f032c2458e08bd7b45e065c9fa2;http://dx.doi.org/10.1145/3545258.3545260</t>
  </si>
  <si>
    <t>10.1145/3545258.3545260</t>
  </si>
  <si>
    <t>With the development of deep learning and natural language processing techniques, the performance of many source code-related tasks can be improved by using pre-trained models. Of these pre-trained models, CodeBert is a bi-modal pre-trained model for programming languages and natural languages, which has been successfully used in current source code-related tasks. These previous studies mainly use the output vector of CodeBert's last layer as the code semantic representation for fine-tuning downstream source code-related tasks. However, this setting may miss the valuable representational information, which may be captured by other layers of CodeBert. To better exploit the representational information in each layer of CodeBert for fine-tuning downstream source code-related tasks, we propose an approach EL-CodeBert. Our approach first extracts the representational information in each layer of CodeBert and views them as a representational information sequence. Then our approach learns the importance of representational information in each layer through the bidirectional recurrent neural network (i.e., Bi-LSTM) and the attention mechanism. To verify the effectiveness of our proposed approach, we select four downstream source code-related classification tasks (i.e., code smell classification, code language classification, technical debt classification, and code comment classification). After compared with state-of-the-art baselines for these tasks, EL-CodeBert can achieve better performance in most performance measures. Finally, we also conduct ablation studies to verify the rationality of the component setting in our proposed approach. © 2022 Association for Computing Machinery.</t>
  </si>
  <si>
    <t>Stanciulescu S,Yin L,Filkov V</t>
  </si>
  <si>
    <t>Code, quality, and process metrics in graduated and retired ASFI projects</t>
  </si>
  <si>
    <t>495 – 506</t>
  </si>
  <si>
    <t>https://www.scopus.com/inward/record.uri?eid=2-s2.0-85143060620&amp;doi=10.1145%2f3540250.3549132&amp;partnerID=40&amp;md5=b770784d1e8725eee04282384db54881;http://dx.doi.org/10.1145/3540250.3549132</t>
  </si>
  <si>
    <t>10.1145/3540250.3549132</t>
  </si>
  <si>
    <t>Recent work on open source sustainability shows that successful trajectories of projects in the Apache Software Foundation Incubator (ASFI) can be predicted early on, using a set of socio-technical measures. Because OSS projects are socio-technical systems centered around code artifacts, we hypothesize that sustainable projects may exhibit different code and process patterns than unsustainable ones, and that those patterns can grow more apparent as projects evolve over time. Here we studied the code and coding processes of over 200 ASFI projects, and found that ASFI graduated projects have different patterns of code quality and complexity than retired ones. Likewise for the coding processes - e.g., feature commits or bug-fixing commits are correlated with project graduation success. We find that minor contributors and major contributors (who contribute =95% commits) associate with graduation outcomes, implying that having also developers who contribute fewer commits are important for a project's success. This study provides evidence that OSS projects, especially nascent ones, can benefit from introspection and instrumentation using multidimensional modeling of the whole system, including code, processes, and code quality measures, and how they are interconnected over time. © 2022 Owner/Author.</t>
  </si>
  <si>
    <t>Pinheiro D,Bezerra CI,Uchôa A</t>
  </si>
  <si>
    <t>How do Trivial Refactorings Affect Classification Prediction Models?</t>
  </si>
  <si>
    <t>81 – 90</t>
  </si>
  <si>
    <t>https://www.scopus.com/inward/record.uri?eid=2-s2.0-85139956051&amp;doi=10.1145%2f3559712.3559720&amp;partnerID=40&amp;md5=817a2c79ae9bb6d217a57efcd944f25f;http://dx.doi.org/10.1145/3559712.3559720</t>
  </si>
  <si>
    <t>10.1145/3559712.3559720</t>
  </si>
  <si>
    <t>Refactoring is defined as a transformation that changes the internal structure of the source code without changing the external behavior. Keeping the external behavior means that after applying the refactoring activity, the software must produce the same output as before the activity. The refactoring activity can bring several benefits, such as: removing code with low structural quality, avoiding or reducing technical debt, improving code maintainability, reuse or readability. In this way, the benefits extend to internal and external quality attributes. The literature on software refactoring suggests carrying out studies that invest in improving automated solutions for detecting and correcting refactoring. Furthermore, few studies investigate the influence that a less complex type of refactoring can have on predicting more complex refactorings. This paper investigates how less complex (trivial) refactorings affect the prediction of more complex (non-trivial) refactorings. To do this, we classify refactorings based on their triviality, extract metrics from the code, contextualize the data and train machine learning algorithms to investigate the effect caused. Our results suggest that: (i) machine learning with tree-based models (Random Forest and Decision Tree) performed very well when trained with code metrics to detect refactorings; (ii) separating trivial from non-trivial refactorings into different classes resulted in a more efficient model, indicative of improving the accuracy of automated solutions based on machine learning; and, (iii) using balancing techniques that increase or decrease samples randomly is not the best strategy to improve datasets composed of code metrics. © 2022 ACM.</t>
  </si>
  <si>
    <t>Alami A,Pardo R,Cohn ML,Wasowski A</t>
  </si>
  <si>
    <t>Pull Request Governance in Open Source Communities</t>
  </si>
  <si>
    <t>4838 – 4856</t>
  </si>
  <si>
    <t>https://www.scopus.com/inward/record.uri?eid=2-s2.0-85126671710&amp;doi=10.1109%2fTSE.2021.3128356&amp;partnerID=40&amp;md5=2373adee78cf4a2e38c603d43371032a;http://dx.doi.org/10.1109/TSE.2021.3128356</t>
  </si>
  <si>
    <t>10.1109/TSE.2021.3128356</t>
  </si>
  <si>
    <t>Pull requests facilitate inclusion and improvement of contributions in distributed software projects, especially in open source communities. An author makes a pull request to present a contribution as a candidate for inclusion in a code base. The request is inspected by maintainers and reviewers. The initiated process of review and collaborative improvement can be loaded with debates, opinions, and emotions. It heavily influences the atmosphere in the community. It can demotivate and detract contributors or it can fail to guard the code quality. Both problems put the existence of a community at risk. This mixed methods study aims to elucidate the mechanisms of evaluating pull requests in diverse open source software communities from the perspectives of developers and maintainers. We interviewed 30 participants from five different communities and conducted a survey with N=387 respondents. The data shows that acceptance of contributions in open source depends not only on technical criteria, but also significantly on social and strategic aspects. As a result, we identify three governance styles for pull requests: (1) protective, (2) equitable, and (3) lenient. While the protective style values trustworthiness and reliability of the contributor, the lenient style believes in creating a positive and welcoming environment where contributors are mentored to evolve contributions until the community standards are met. Each of the governance styles safeguards the quality of the project code in different ways. We hope that this material will help researchers and community managers to obtain a more nuanced view on the peculiarities of different communities and the strengths and weakness of their pull requests evaluation process. © 1976-2012 IEEE.</t>
  </si>
  <si>
    <t>Gezici B,Tarhan AK</t>
  </si>
  <si>
    <t>Systematic literature review on software quality for AI-based software</t>
  </si>
  <si>
    <t>https://www.scopus.com/inward/record.uri?eid=2-s2.0-85126524793&amp;doi=10.1007%2fs10664-021-10105-2&amp;partnerID=40&amp;md5=94d980b399bb6b673a9d2fb6da4c952f;http://dx.doi.org/10.1007/s10664-021-10105-2</t>
  </si>
  <si>
    <t>10.1007/s10664-021-10105-2</t>
  </si>
  <si>
    <t>There is a widespread demand for Artificial Intelligence (AI) software, specifically Machine Learning (ML). It is getting increasingly popular and being adopted in various applications we use daily. AI-based software quality is different from traditional software quality because it generally addresses distinct and more complex kinds of problems. With the fast advance of AI technologies and related techniques, how to build high-quality AI-based software becomes a very prominent subject. This paper aims at investigating the state of the art on software quality (SQ) for AI-based systems and identifying quality attributes, applied models, challenges, and practices that are reported in the literature. We carried out a systematic literature review (SLR) from 1988 to 2020 to (i) analyze and understand related primary studies and (ii) synthesize limitations and open challenges to drive future research. Our study provides a road map for researchers to understand quality challenges, attributes, and practices in the context of software quality for AI-based software better. From the empirical evidence that we have gathered by this SLR, we suggest future work on this topic be structured under three categories which are Definition/Specification, Design/Evaluation, and Process/Socio-technical. © 2022, The Author(s), under exclusive licence to Springer Science+Business Media, LLC, part of Springer Nature.</t>
  </si>
  <si>
    <t>Figalist I,Elsner C,Bosch J,Olsson HH</t>
  </si>
  <si>
    <t>Breaking the vicious circle: A case study on why AI for software analytics and business intelligence does not take off in practice</t>
  </si>
  <si>
    <t>https://www.scopus.com/inward/record.uri?eid=2-s2.0-85119991290&amp;doi=10.1016%2fj.jss.2021.111135&amp;partnerID=40&amp;md5=89a7ed2b6b11a2e95db84791e2ba8bdc;http://dx.doi.org/10.1016/j.jss.2021.111135</t>
  </si>
  <si>
    <t>10.1016/j.jss.2021.111135</t>
  </si>
  <si>
    <t>In recent years, the application of artificial intelligence (AI) has become an integral part of a wide range of areas, including software engineering. By analyzing various data sources generated in software engineering, it can provide valuable insights into customer behavior, product performance, bugs and errors, and many more. In practice, however, AI for software analytics and business intelligence often remains at a prototypical stage, and the results are rarely used to make decisions based on data. To understand the underlying causes of this phenomenon, we conduct an explanatory case study consisting of and interview study and a survey on the challenges of realizing and utilizing artificial intelligence in the context of software-intensive businesses. As a result, we identify a vicious circle that prevents practitioners from moving from prototypical AI-based analytics to continuous and productively usable software analytics and business intelligence solutions. In order to break the vicious circle in a targeted manner, we identify a set of solutions based on existing literature as well as the previously conducted interviews and survey. Finally, these solutions are validated by a focus group of experts. © 2021 Elsevier Inc.</t>
  </si>
  <si>
    <t>Silva RC,Farah PR,Vergilio SR</t>
  </si>
  <si>
    <t>Machine Learning for Change-Prone Class Prediction: A History-Based Approach</t>
  </si>
  <si>
    <t>289 – 298</t>
  </si>
  <si>
    <t>https://www.scopus.com/inward/record.uri?eid=2-s2.0-85139116318&amp;doi=10.1145%2f3555228.3555249&amp;partnerID=40&amp;md5=6c3e2a2a7ec5b9c84c464e2b7e82c009;http://dx.doi.org/10.1145/3555228.3555249</t>
  </si>
  <si>
    <t>10.1145/3555228.3555249</t>
  </si>
  <si>
    <t>Classes have a very dynamic life cycle in object-oriented software projects. They can be created, modified or removed due to different reasons. The prediction of prone-change classes in the early stages of the project positively impact the team's productivity, the allocation of resources, and the quality of the software developed. Existing work uses Machine Learning (ML) and different kind of class metrics. But a limitation of existing work that they do not consider the temporal dependency between instances in the datasets. To fulfill such gap, this work introduces an approach based on the change history of the class in different releases from public repositories. The approach uses the Sliding Window method, and adopts as predictors structural and evolutionary metrics, as well as frequency and diversity of smells. Five projects and four ML algorithms are used in the evaluation. In the great majority of the cases our approach overcomes a traditional approach considering all the indicators. Random Forest presents the best performance and the use of smell-related information does not impact the results. © 2022 ACM.</t>
  </si>
  <si>
    <t>Aftab Jilani A,Sherin S,Ijaz S,Zohaib Iqbal M,Uzair Khan M</t>
  </si>
  <si>
    <t>Deriving and evaluating a fault model for testing data science applications</t>
  </si>
  <si>
    <t>Journal of Software: Evolution and Process</t>
  </si>
  <si>
    <t>2047-7481</t>
  </si>
  <si>
    <t>https://www.scopus.com/inward/record.uri?eid=2-s2.0-85126361168&amp;doi=10.1002%2fsmr.2449&amp;partnerID=40&amp;md5=3cdc6ecc89f6f54c3fe47a0ab41f7662;http://dx.doi.org/10.1002/smr.2449</t>
  </si>
  <si>
    <t>10.1002/smr.2449</t>
  </si>
  <si>
    <t>Data science (DS) applications not only suffer from traditional software faults but may also suffer from data-specific and model-related faults. Fault models play an important role in evaluating and designing tests for testing DS applications. The existing fault models do not consider DS specific faults. In this study, we built a fault model DS applications. We investigate the faults by using diverse approaches: (i) a multi-vocal literature survey of published literature, (ii) semi-structured interviews of industry experts. The Multi-vocal study allows us to synthesize the existing knowledge from researchers and practitioners. Qualitative data from semi-structured interviews provide us with insights into the nature of faults encountered by practitioners. We combine the results of (i) and (ii) to derive a detailed fault model. The developed fault model is further validated through a quantitative survey of industry practitioners, and the respondents were asked to identify the faults from our proposed fault model that they have experienced and classify those faults based on their severity as perceived by practitioners and its frequency. The results show that practitioners consider prediction bias and model decay as the most severe faults while data sampling and splitting faults along with feature engineering faults are the most frequent. © 2022 John Wiley &amp; Sons, Ltd.</t>
  </si>
  <si>
    <t>Mehrpour S,LaToza TD</t>
  </si>
  <si>
    <t>Can static analysis tools find more defects?: A qualitative study of design rule violations found by code review</t>
  </si>
  <si>
    <t>https://www.scopus.com/inward/record.uri?eid=2-s2.0-85141711105&amp;doi=10.1007%2fs10664-022-10232-4&amp;partnerID=40&amp;md5=33688bd6b7dc703c2f4e84423900cb6b;http://dx.doi.org/10.1007/s10664-022-10232-4</t>
  </si>
  <si>
    <t>10.1007/s10664-022-10232-4</t>
  </si>
  <si>
    <t>Static analysis tools find defects in code, checking code against rules to reveal potential defects. Many studies have evaluated these tools by measuring their ability to detect known defects in code. But these studies measure the current state of tools rather than their future potential to find more defects. To investigate the prospects for tools to find more defects, we conducted a study where we formulated each issue raised by a code reviewer as a violation of a rule, which we then compared to what static analysis tools might potentially check. We first gathered a corpus of 1323 defects found through code review. Through a qualitative analysis process, for each defect we identified a violated rule and the type of Static Analysis Tool (SAT) which might check this rule. We found that SATs might, in principle, be used to detect as many as 76% of code review defects, considerably more than current tools have been demonstrated to successfully detect. Among a variety of types of SATs, Style Checkers and AST Pattern Checkers had the broadest coverage of defects, each with the potential to detect 25% of all code review defects. We found that static analysis tools might be able to detect more code review defects by better supporting the creation of project-specific rules. We also investigated the characteristics of code review defects not detectable by traditional static analysis techniques, which to detect might require tools which simulate human judgements about code. © 2022, The Author(s), under exclusive licence to Springer Science+Business Media, LLC, part of Springer Nature.</t>
  </si>
  <si>
    <t>Harris S,Bonnici T,Keen T,Lilaonitkul W,White MJ,Swanepoel N</t>
  </si>
  <si>
    <t>Clinical deployment environments: Five pillars of translational machine learning for health</t>
  </si>
  <si>
    <t>Frontiers in Digital Health</t>
  </si>
  <si>
    <t>Frontiers Media S.A.</t>
  </si>
  <si>
    <t>2673-253X</t>
  </si>
  <si>
    <t>https://www.scopus.com/inward/record.uri?eid=2-s2.0-85137825739&amp;doi=10.3389%2ffdgth.2022.939292&amp;partnerID=40&amp;md5=19debbf63d58827dc80975cfcbb37474;http://dx.doi.org/10.3389/fdgth.2022.939292</t>
  </si>
  <si>
    <t>10.3389/fdgth.2022.939292</t>
  </si>
  <si>
    <t>Machine Learning for Health (ML4H) has demonstrated efficacy in computer imaging and other self-contained digital workflows, but has failed to substantially impact routine clinical care. This is no longer because of poor adoption of Electronic Health Records Systems (EHRS), but because ML4H needs an infrastructure for development, deployment and evaluation within the healthcare institution. In this paper, we propose a design pattern called a Clinical Deployment Environment (CDE). We sketch the five pillars of the CDE: (1) real world development supported by live data where ML4H teams can iteratively build and test at the bedside (2) an ML-Ops platform that brings the rigour and standards of continuous deployment to ML4H (3) design and supervision by those with expertise in AI safety (4) the methods of implementation science that enable the algorithmic insights to influence the behaviour of clinicians and patients and (5) continuous evaluation that uses randomisation to avoid bias but in an agile manner. The CDE is intended to answer the same requirements that bio-medicine articulated in establishing the translational medicine domain. It envisions a transition from “real-world” data to “real-world” development. 2022 Harris, Bonnici, Keen, Lilaonitkul, White and Swanepoel.</t>
  </si>
  <si>
    <t>Cited by: 1; All Open Access, Gold Open Access, Green Open Access</t>
  </si>
  <si>
    <t>Nezamoddini N,Gholami A</t>
  </si>
  <si>
    <t>A Survey of Adaptive Multi-Agent Networks and Their Applications in Smart Cities</t>
  </si>
  <si>
    <t>Smart Cities</t>
  </si>
  <si>
    <t>318 – 346</t>
  </si>
  <si>
    <t>2624-6511</t>
  </si>
  <si>
    <t>https://www.scopus.com/inward/record.uri?eid=2-s2.0-85126778720&amp;doi=10.3390%2fsmartcities5010019&amp;partnerID=40&amp;md5=ad99304296a8cd15d699ce60c751b19a;http://dx.doi.org/10.3390/smartcities5010019</t>
  </si>
  <si>
    <t>10.3390/smartcities5010019</t>
  </si>
  <si>
    <t>The world is moving toward a new connected world in which millions of intelligent processing devices communicate with each other to provide services in transportation, telecommunication, and power grids in the future’s smart cities. Distributed computing is considered one of the efficient platforms for processing and management of massive amounts of data collected by smart devices. This can be implemented by utilizing multi-agent systems (MASs) with multiple autonomous computational entities by memory and computation capabilities and the possibility of message-passing between them. These systems provide a dynamic and self-adaptive platform for managing distributed large-scale systems, such as the Internet-of-Things (IoTs). Despite, the potential applicability of MASs in smart cities, very few practical systems have been deployed using agent-oriented systems. This research surveys the existing techniques presented in the literature that can be utilized for implementing adaptive multi-agent networks in smart cities. The related literature is categorized based on the steps of designing and controlling these adaptive systems. These steps cover the techniques required to define, monitor, plan, and evaluate the performance of an autonomous MAS. At the end, the challenges and barriers for the utilization of these systems in current smart cities, and insights and directions for future research in this domain, are presented. © 2022 by the authors. Licensee MDPI, Basel, Switzerland.</t>
  </si>
  <si>
    <t>Jebnoun H,Rahman MS,Khomh F,Muse BA</t>
  </si>
  <si>
    <t>Clones in deep learning code: what, where, and why?</t>
  </si>
  <si>
    <t>https://www.scopus.com/inward/record.uri?eid=2-s2.0-85128076663&amp;doi=10.1007%2fs10664-021-10099-x&amp;partnerID=40&amp;md5=7d41c487cf4ea704150f95df0048e545;http://dx.doi.org/10.1007/s10664-021-10099-x</t>
  </si>
  <si>
    <t>10.1007/s10664-021-10099-x</t>
  </si>
  <si>
    <t>Deep Learning applications are becoming increasingly popular worldwide. Developers of deep learning systems like in every other context of software development strive to write more efficient code in terms of performance, complexity, and maintenance. The continuous evolution of deep learning systems imposing tighter development timelines and their increasing complexity may result in bad design decisions by the developers. Besides, due to the use of common frameworks and repetitive implementation of similar tasks, deep learning developers are likely to use the copy-paste practice leading to clones in deep learning code. Code clone is considered to be a bad software development practice since developers can inadvertently fail to properly propagate changes to all clones fragments during a maintenance activity. However, to the best of our knowledge, no study has investigated code cloning practices in deep learning development. The majority of research on deep learning systems mostly focusing on improving the dependability of the models. Given the negative impacts of clones on software quality reported in the studies on traditional systems and the inherent complexity of maintaining deep learning systems (e.g., bug fixing), it is very important to understand the characteristics and potential impacts of code clones on deep learning systems. This paper examines the frequency, distribution, and impacts of code clones and the code cloning practices in deep learning systems. To accomplish this, we use the NiCad clone detection tool to detect clones from 59 Python, 14 C#, and 6 Java based deep learning systems and an equal number of traditional software systems. We then analyze the comparative frequency and distribution of code clones in deep learning systems and the traditional ones. Further, we study the distribution of the detected code clones by applying a location based taxonomy. In addition, we study the correlation between bugs and code clones to assess the impacts of clones on the quality of the studied systems. Finally, we introduce a code clone taxonomy related to deep learning programs based on 6 DL software systems (from 59 DL systems) and identify the deep learning system development phases in which cloning has the highest risk of faults. Our results show that code cloning is a frequent practice in deep learning systems and that deep learning developers often clone code from files contain in distant repositories in the system. In addition, we found that code cloning occurs more frequently during DL model construction, model training, and data pre-processing. And that hyperparameters setting is the phase of deep learning model construction during which cloning is the riskiest, since it often leads to faults. © 2022, The Author(s), under exclusive licence to Springer Science+Business Media, LLC, part of Springer Nature.</t>
  </si>
  <si>
    <t>Gupta A,Gandhi R,Kumar V</t>
  </si>
  <si>
    <t>Investigating Bad Smells with Feature Selection and Machine Learning Approaches</t>
  </si>
  <si>
    <t>Springer Series in Reliability Engineering</t>
  </si>
  <si>
    <t>53 – 65</t>
  </si>
  <si>
    <t>1614-7839</t>
  </si>
  <si>
    <t>https://www.scopus.com/inward/record.uri?eid=2-s2.0-85138138017&amp;doi=10.1007%2f978-3-031-05347-4_4&amp;partnerID=40&amp;md5=f9e68a6614f02b4b28c0c540c19fa754;http://dx.doi.org/10.1007/978-3-031-05347-4_4</t>
  </si>
  <si>
    <t>10.1007/978-3-031-05347-4_4</t>
  </si>
  <si>
    <t>Code Smell is a piece of code that is designed and implemented poorly and it gives adverse effect on the software quality and maintenance. Now, a day’s machine learning based techniques have been extensively used towards code smell research. The main objective of this research is to optimise the features of Android code smells in terms of software metrics using feature selection technique based on Correlation on 2896 instances of open-source projects which are extracted from GitHub. Further, we have examined the performance measures like accuracy, precision, F-measure and execution time etc. with the reduced features data set of Android code smells. This paper also discussed about implementation of correlation-based feature selection algorithm to reduce the features of code smells. Then, the data has been analyzed with 4 machine learning algorithms that are Logistic Regression, Stochastic Gradient Descent (SGD), Simple Logistic and Sequential minimal optimization (SMO). The performance metrics for the above-mentioned machine learning algorithms with and without performing the feature selection have been compared. The computed outcome shows that the best accuracy and lesser execution time for all 3 considered Android code smells have been achieved using Logistic Regression algorithm. After feature selection the accuracy has increased up to 16%, 25% and 4.7% for NLMR, MIM and DTWC code smells respectively. Meanwhile, the other performance measures have also been increased. © 2023, The Author(s), under exclusive license to Springer Nature Switzerland AG.</t>
  </si>
  <si>
    <t>Openja M,Morovati MM,An L,Khomh F,Abidi M</t>
  </si>
  <si>
    <t>Technical debts and faults in open-source quantum software systems: An empirical study</t>
  </si>
  <si>
    <t>https://www.scopus.com/inward/record.uri?eid=2-s2.0-85135699101&amp;doi=10.1016%2fj.jss.2022.111458&amp;partnerID=40&amp;md5=9290b68aebc2338832c078b171b8b2cc;http://dx.doi.org/10.1016/j.jss.2022.111458</t>
  </si>
  <si>
    <t>10.1016/j.jss.2022.111458</t>
  </si>
  <si>
    <t>Quantum computing is a rapidly growing field attracting the interest of both researchers and software developers. Supported by its numerous open-source tools, developers can now build, test, or run their quantum algorithms. Although the maintenance practices for traditional software systems have been extensively studied, the maintenance of quantum software is still a new field of study but a critical part to ensure the quality of a whole quantum computing system. In this work, we set out to investigate the distribution and evolution of technical debts in quantum software and their relationship with fault occurrences. Understanding these problems could guide future quantum development and provide maintenance recommendations for the key areas where quantum software developers and researchers should pay more attention. In this paper, we empirically studied 118 open-source quantum projects, which were selected from GitHub. The projects are categorized into 10 categories. We found that the studied quantum software suffers from the issues of code convention violation, error-handling, and code design. We also observed a statistically significant correlation between code design, redundant code or code convention, and the occurrences of faults in quantum software. © 2022 Elsevier Inc.</t>
  </si>
  <si>
    <t>Komolov S,Dlamini G,Megha S,Mazzara M</t>
  </si>
  <si>
    <t>Towards Predicting Architectural Design Patterns: A Machine Learning Approach</t>
  </si>
  <si>
    <t>Computers</t>
  </si>
  <si>
    <t>2073-431X</t>
  </si>
  <si>
    <t>https://www.scopus.com/inward/record.uri?eid=2-s2.0-85140604339&amp;doi=10.3390%2fcomputers11100151&amp;partnerID=40&amp;md5=3b49fdbcd1605c628da34e7a18bf2cf1;http://dx.doi.org/10.3390/computers11100151</t>
  </si>
  <si>
    <t>10.3390/computers11100151</t>
  </si>
  <si>
    <t>Software architecture plays an important role in software development, especially in software quality and maintenance. Understanding the impact of certain architectural patterns on software quality and verification of software requirements has become increasingly difficult with the increasing complexity of codebases in recent years. Researchers over the years have proposed automated approaches based on machine learning. However, there is a lack of benchmark datasets and more accurate machine learning (ML) approaches. This paper presents an ML-based approach for software architecture detection, namely, MVP (Model–View–Presenter) and MVVM (Model–View–ViewModel). Firstly, we present a labeled dataset that consists of 5973 data points retrieved from GitHub. Nine ML methods are applied for detection of software architecture from source code metrics. Using precision, recall, accuracy, and F1 score, the outstanding ML model performance is 83%, 83%, 83%, and 83%, respectively. The ML model’s performance is validated using k-fold validation (k = 5). Our approach outperforms when compared with the state-of-the-art. © 2022 by the authors.</t>
  </si>
  <si>
    <t>Li Y,Zhang X</t>
  </si>
  <si>
    <t>Multi-Label Code Smell Detection with Hybrid Model based on Deep Learning</t>
  </si>
  <si>
    <t>42 – 47</t>
  </si>
  <si>
    <t>Knowledge Systems Institute Graduate School</t>
  </si>
  <si>
    <t>2325-9000</t>
  </si>
  <si>
    <t>https://www.scopus.com/inward/record.uri?eid=2-s2.0-85137169224&amp;doi=10.18293%2fSEKE2022-077&amp;partnerID=40&amp;md5=e695951cfd6d99c0f122334445dc3e2f;http://dx.doi.org/10.18293/SEKE2022-077</t>
  </si>
  <si>
    <t>10.18293/SEKE2022-077</t>
  </si>
  <si>
    <t>Code smell is an indicator of potential problems in a software design that have a negative impact on readability and maintainability. Hence, it is essential for developers to make out the code smell to get tips on code maintenance in time. Fortunately, many approaches like metric-based, heuristic-based, machine-learning based and deep-learning based have been proposed to detect code smells. However, existing methods, using the simple code representation to describe different code smells unilaterally, cannot efficiently extract enough rich information from source code. What is more, one code snippet often has several code smells at the same time and there is a lack of multi-label code smell detection based on deep learning. In this paper, we propose a hybrid model with multi-level code representation to further optimize the code smell detection. First, we parse the code into the abstract syntax tree(AST) with control and data flow edges and the graph convolution network is applied to get the prediction at the syntactic and semantic level. Then we use the bidirectional long-short term memory network with attention mechanism to analyze the code tokens at the token-level in the meanwhile. Finally we get the fusion prediction result of the models. Experimental results show that our model can perform outstanding not only in single code smell detection but also in multi-label code smell detection. © 2022 Knowledge Systems Institute Graduate School. All rights reserved.</t>
  </si>
  <si>
    <t>Feng J,Phillips RV,Malenica I,Bishara A,Hubbard AE,Celi LA,Pirracchio R</t>
  </si>
  <si>
    <t>Clinical artificial intelligence quality improvement: towards continual monitoring and updating of AI algorithms in healthcare</t>
  </si>
  <si>
    <t>https://www.scopus.com/inward/record.uri?eid=2-s2.0-85131510401&amp;doi=10.1038%2fs41746-022-00611-y&amp;partnerID=40&amp;md5=09f7394d60d732fda84bd5dc1c8a133e;http://dx.doi.org/10.1038/s41746-022-00611-y</t>
  </si>
  <si>
    <t>10.1038/s41746-022-00611-y</t>
  </si>
  <si>
    <t>Machine learning (ML) and artificial intelligence (AI) algorithms have the potential to derive insights from clinical data and improve patient outcomes. However, these highly complex systems are sensitive to changes in the environment and liable to performance decay. Even after their successful integration into clinical practice, ML/AI algorithms should be continuously monitored and updated to ensure their long-term safety and effectiveness. To bring AI into maturity in clinical care, we advocate for the creation of hospital units responsible for quality assurance and improvement of these algorithms, which we refer to as “AI-QI” units. We discuss how tools that have long been used in hospital quality assurance and quality improvement can be adapted to monitor static ML algorithms. On the other hand, procedures for continual model updating are still nascent. We highlight key considerations when choosing between existing methods and opportunities for methodological innovation. © 2022, The Author(s).</t>
  </si>
  <si>
    <t>Cited by: 11; All Open Access, Gold Open Access, Green Open Access</t>
  </si>
  <si>
    <t>Sabbah AF,Hanani AA</t>
  </si>
  <si>
    <t>Self-admitted technical debt classification using natural language processing word embeddings</t>
  </si>
  <si>
    <t>International Journal of Electrical and Computer Engineering</t>
  </si>
  <si>
    <t>2142 – 2155</t>
  </si>
  <si>
    <t>Institute of Advanced Engineering and Science</t>
  </si>
  <si>
    <t>2088-8708</t>
  </si>
  <si>
    <t>https://www.scopus.com/inward/record.uri?eid=2-s2.0-85143850045&amp;doi=10.11591%2fijece.v13i2.pp2142-2155&amp;partnerID=40&amp;md5=9c388e0b9412ec029b31c305d83d2be7;http://dx.doi.org/10.11591/ijece.v13i2.pp2142-2155</t>
  </si>
  <si>
    <t>10.11591/ijece.v13i2.pp2142-2155</t>
  </si>
  <si>
    <t>Recent studies show that it is possible to detect technical dept automatically from source code comments intentionally created by developers, a phenomenon known as self-admitted technical debt. This study proposes a system by which a comment or commit is classified as one of five dept types, namely, requirement, design, defect, test, and documentation. In addition to the traditional term frequency-inverse document frequency (TF-IDF), several word embeddings methods produced by different pre-trained language models were used for feature extraction, such as Word2Vec, GolVe, bidirectional encoder representations from transformers (BERT), and FastText. The generated features were used to train a set of classifiers including naive Bayes (NB), random forest (RF), support vector machines (SVM), and two configurations of convolutional neural network (CNN). Two datasets were used to train and test the proposed systems. Our collected dataset (A-dataset) includes a total of 1,513 comments and commits manually labeled. Additionally, a dataset, consisting of 4,071 labeled comments, used in previous studies (M-dataset) was also used in this study. The RF classifier achieved an accuracy of 0.822 with A-dataset and 0.820 with the M-dataset. CNN with A-dataset achieved an accuracy of 0.838 using BERT features. With M-dataset, the CNN achieves an accuracy of 0.809 and 0.812 with BERT and Word2Vec, respectively. © 2023 Institute of Advanced Engineering and Science. All rights reserved.</t>
  </si>
  <si>
    <t>Sahlabadi M,Muniyandi RC,Shukur Z,Qamar F</t>
  </si>
  <si>
    <t>Lightweight Software Architecture Evaluation for Industry: A Comprehensive Review</t>
  </si>
  <si>
    <t>Sensors</t>
  </si>
  <si>
    <t>1424-8220</t>
  </si>
  <si>
    <t>https://www.scopus.com/inward/record.uri?eid=2-s2.0-85124087646&amp;doi=10.3390%2fs22031252&amp;partnerID=40&amp;md5=3a859bf853571991698e1468de6a64d8;http://dx.doi.org/10.3390/s22031252</t>
  </si>
  <si>
    <t>10.3390/s22031252</t>
  </si>
  <si>
    <t>Processes for evaluating software architecture (SA) help to investigate problems and potential risks in SA. It is derived from many studies that proposed a plethora of systematic SA evaluation methods, while industrial practitioners currently refrain from applying them since they are heavyweight. Nowadays, heterogeneous software architectures are organized based on the new infrastructure. Hardware and associated software allow different systems, such as embedded, sensor‐based, modern AI, and cloud‐based systems, to cooperate efficiently. It brings more complexities to SA evaluation. Alternatively, lightweight architectural evaluation methods have been proposed to satisfy the practitioner’s concerns, but practitioners still do not adopt these methods. This study employs a systematic literature review with a text analysis of SA’s definitions to propose a comparison framework for SA. It identifies lightweight features and factors to improve the architectural evaluation methods among industrial practitioners. The features are determined based on the practitioner’s concerns by analyzing the architecture’s definitions from stakeholders and reviewing architectural evaluation methods. The lightweight factors are acquired by studying the five most commonly used lightweight methods and the Architecture‐based Tradeoff Analysis Method (ATAM), the most well‐known heavyweight method. Subsequently, the research addresses these features and factors. © 2022 by the authors. Licensee MDPI, Basel, Switzerland.</t>
  </si>
  <si>
    <t>Cited by: 4; All Open Access, Gold Open Access, Green Open Access</t>
  </si>
  <si>
    <t>Mohammed MA,Hassine J,Alshayeb M</t>
  </si>
  <si>
    <t>GSDetector: a tool for automatic detection of bad smells in GRL goal models</t>
  </si>
  <si>
    <t>International Journal on Software Tools for Technology Transfer</t>
  </si>
  <si>
    <t>889 – 910</t>
  </si>
  <si>
    <t>1433-2779</t>
  </si>
  <si>
    <t>https://www.scopus.com/inward/record.uri?eid=2-s2.0-85136031948&amp;doi=10.1007%2fs10009-022-00662-2&amp;partnerID=40&amp;md5=62b6771758aa2c39164fa2130570b45d;http://dx.doi.org/10.1007/s10009-022-00662-2</t>
  </si>
  <si>
    <t>10.1007/s10009-022-00662-2</t>
  </si>
  <si>
    <t>Goal models play a significant role in the early stages of the requirements engineering process. These models are subject to quality problems (a.k.a., bad smells) that may disseminate to the later stages of the requirements engineering process and even to the other stages in software development. To avoid this negative impact, it is important to detect and correct these problems as early as possible. However, the manual detection of these smells is generally tedious, cumbersome, and error-prone. In this paper, we report on an Eclipse plugin tool, called GSDetector (GRL Smells Detector), that automates the detection of Goal-oriented Requirements Language (GRL) bad smells. We first introduce and articulate four new GRL-based bad smells. To detect the instances of these smells, a set of metric-based rules is introduced. Factors that affect setting thresholds are also presented and explained to help modelers specify these rules by setting effective thresholds. GSDetector was evaluated using 5 case studies of different sizes that consider the different scenarios in building GRL models. The obtained results show that GSDetector was able to detect all the existing instances of bad smells with respect to the specified thresholds. The manual inspection of these instances revealed that the modelers were giving the system to be developed more attention than the strategic needs of the stakeholder leading to the appearance of these instances. In conclusion, the proposed bad smells and developed tool provide a useful approach to help identify and analyze quality improvement opportunities in GRL models. © 2022, The Author(s), under exclusive licence to Springer-Verlag GmbH Germany, part of Springer Nature.</t>
  </si>
  <si>
    <t>Díaz-de-Arcaya J,Torre-Bastida AI,Miñón R,Almeida A</t>
  </si>
  <si>
    <t>Orfeon: An AIOps framework for the goal-driven operationalization of distributed analytical pipelines</t>
  </si>
  <si>
    <t>Future Generation Computer Systems</t>
  </si>
  <si>
    <t>18 – 35</t>
  </si>
  <si>
    <t>0167-739X</t>
  </si>
  <si>
    <t>https://www.scopus.com/inward/record.uri?eid=2-s2.0-85140303949&amp;doi=10.1016%2fj.future.2022.10.008&amp;partnerID=40&amp;md5=ec6643aa4d2b049fb3935341cfd2ccb6;http://dx.doi.org/10.1016/j.future.2022.10.008</t>
  </si>
  <si>
    <t>10.1016/j.future.2022.10.008</t>
  </si>
  <si>
    <t>The use of Artificial Intelligence solutions keeps raising in the business domain. However, this adoption has not brought the expected results to companies so far. There are several reasons that make Artificial Intelligence solutions particularly complicated to adopt by businesses, such as the knowledge gap between the data science and operations teams. In this paper, we tackle the operationalization of distributed analytical pipelines in heterogeneous production environments, which span across different computational layers. In particular, we present a system called Orfeon, which can leverage different objectives and yields an optimized deployment for these pipelines. In addition, we offer the mathematical formulation of the problem alongside the objectives in hand (i.e. resilience, performance, and cost). Next, we propose a scenario utilizing cloud and edge infrastructural devices, in which we demonstrate how the system can optimize these objectives, without incurring scalability issues in terms of time nor memory. Finally, we compare the usefulness of Orfeon with a variety of tools in the field of machine learning operationalization and conclude that it is able to outperform these tools under the analyzed criteria, making it an appropriate system for the operationalization of machine learning pipelines. © 2022 Elsevier B.V.</t>
  </si>
  <si>
    <t>Prenner JA,Robbes R</t>
  </si>
  <si>
    <t>Making the Most of Small Software Engineering Datasets with Modern Machine Learning</t>
  </si>
  <si>
    <t>5050 – 5067</t>
  </si>
  <si>
    <t>https://www.scopus.com/inward/record.uri?eid=2-s2.0-85121844776&amp;doi=10.1109%2fTSE.2021.3135465&amp;partnerID=40&amp;md5=1410d9efd8f71992be0a957c0c044f54;http://dx.doi.org/10.1109/TSE.2021.3135465</t>
  </si>
  <si>
    <t>10.1109/TSE.2021.3135465</t>
  </si>
  <si>
    <t>This paper provides a starting point for Software Engineering (SE) researchers and practitioners faced with the problem of training machine learning models on small datasets. Due to the high costs associated with labeling data, in Software Engineering, there exist many small (&lt; 5,000 samples) and medium-sized (&lt;100,000 samples) datasets. While deep learning has set the state of the art in many machine learning tasks, it is only recently that it has proven effective on small-sized datasets, primarily thanks to pre-training, a semi-supervised learning technique that leverages abundant unlabelled data alongside scarce labelled data. In this work, we evaluate pre-trained Transformer models on a selection of 13 smaller datasets from the SE literature, covering both, source code and natural language. Our results suggest that pre-trained Transformers are competitive and in some cases superior to previous models, especially for tasks involving natural language; whereas for source code tasks, in particular for very small datasets, traditional machine learning methods often has the edge. In addition, we experiment with several techniques that ought to aid training on small datasets, including active learning, data augmentation, soft labels, self-training and intermediate-task fine-tuning, and issue recommendations on when they are effective. We also release all the data, scripts, and most importantly pre-trained models for the community to reuse on their own datasets. © 1976-2012 IEEE.</t>
  </si>
  <si>
    <t>Miloudi C,Cheikhi L,Abran A,Idri A</t>
  </si>
  <si>
    <t>OPEN SOURCE SOFTWARE MAINTENANCE EFFORT ESTIMATION: A SYSTEMATIC MAPPING STUDY</t>
  </si>
  <si>
    <t>Journal of Engineering Science and Technology</t>
  </si>
  <si>
    <t>3843 – 3861</t>
  </si>
  <si>
    <t>Taylor's University</t>
  </si>
  <si>
    <t>1823-4690</t>
  </si>
  <si>
    <t>https://www.scopus.com/inward/record.uri?eid=2-s2.0-85142894372&amp;partnerID=40&amp;md5=34601942019f57b92637bce02323ce72</t>
  </si>
  <si>
    <t>Software maintenance activities are considered as the most expensive ones within the software lifecycle. Software engineering researchers have strived to improve maintenance effort estimation (MEE) of Open Source Software (OSS) through many empirical studies for maintenance effort estimation in open source software (O-MEE). This study objective is to review the published studies in O-MEE to summarize the existing body of knowledge of this research topic. We performed a systematic map of the empirical studies on O-MEE published from 2000 up to June 2020. The 65 selected primary studies were analysed and classified according to their publications’ years, channels and venues, OSS projects used as datasets, research approaches, estimation techniques, metrics used as independent variables as well as dependent variables (e.g., maintenance effort). The findings of this mapping study revealed that researchers have paid a considerable amount of attention to O-MEE in the last decade. Moreover, information on effort being rarely directly available in OSS, researchers have used indirect effort substitutes as dependent variables. The most used estimation techniques were Regression Analysis, Bayesian Networks and Decision Tree. We identified two promising emergent approaches in O-MEE: machine learning technique and estimation of the effort indirectly based on size measures such as lines of code and function points. © School of Engineering, Taylor’s University.</t>
  </si>
  <si>
    <t>https://www.scopus.com/inward/record.uri?eid=2-s2.0-85127825250&amp;doi=10.1007%2fs10664-022-10121-w&amp;partnerID=40&amp;md5=6b976295e4a0ab64440d5bea832c353d;http://dx.doi.org/10.1007/s10664-022-10121-w</t>
  </si>
  <si>
    <t>Keeping track of and managing Self-Admitted Technical Debts (SATDs) is important for maintaining a healthy software project. Current active-learning SATD recognition tool involves manual inspection of 24% of the test comments on average to reach 90% of the recall. Among all the test comments, about 5% are SATDs. The human experts are then required to read almost a quintuple of the SATD comments which indicates the inefficiency of the tool. Plus, human experts are still prone to error: 95% of the false-positive labels from previous work were actually true positives. To solve the above problems, we propose DebtFree, a two-mode framework based on unsupervised learning for identifying SATDs. In mode1, when the existing training data is unlabeled, DebtFree starts with an unsupervised learner to automatically pseudo-label the programming comments in the training data. In contrast, in mode2 where labels are available with the corresponding training data, DebtFree starts with a pre-processor that identifies the highly prone SATDs from the test dataset. Then, our machine learning model is employed to assist human experts in manually identifying the remaining SATDs. Our experiments on 10 software projects show that both models yield statistically significant improvement in effectiveness over the state-of-the-art automated and semi-automated models. Specifically, DebtFree can reduce the labeling effort by 99% in mode1 (unlabeled training data), and up to 63% in mode2 (labeled training data) while improving the current active learner’s F1 relatively to almost 100%. © 2022, The Author(s), under exclusive licence to Springer Science+Business Media, LLC, part of Springer Nature.</t>
  </si>
  <si>
    <t>Shi L,Mu F,Chen X,Wang S,Wang J,Yang Y,Li G,Xia X,Wang Q</t>
  </si>
  <si>
    <t>Are we building on the rock? on the importance of data preprocessing for code summarization</t>
  </si>
  <si>
    <t>107 – 119</t>
  </si>
  <si>
    <t>https://www.scopus.com/inward/record.uri?eid=2-s2.0-85143083037&amp;doi=10.1145%2f3540250.3549145&amp;partnerID=40&amp;md5=755c48f934db8d98a8616912ddebd634;http://dx.doi.org/10.1145/3540250.3549145</t>
  </si>
  <si>
    <t>10.1145/3540250.3549145</t>
  </si>
  <si>
    <t>Code summarization, the task of generating useful comments given the code, has long been of interest. Most of the existing code summarization models are trained and validated on widely-used code comment benchmark datasets. However, little is known about the quality of the benchmark datasets built from real-world projects. Are the benchmark datasets as good as expected? To bridge the gap, we conduct a systematic research to assess and improve the quality of four benchmark datasets widely used for code summarization tasks. First, we propose an automated code-comment cleaning tool that can accurately detect noisy data caused by inappropriate data preprocessing operations from existing benchmark datasets. Then, we apply the tool to further assess the data quality of the four benchmark datasets, based on the detected noises. Finally, we conduct comparative experiments to investigate the impact of noisy data on the performance of code summarization models. The results show that these data preprocessing noises widely exist in all four benchmark datasets, and removing these noisy data leads to a significant improvement on the performance of code summarization. We believe that the findings and insights will enable a better understanding of data quality in code summarization tasks, and pave the way for relevant research and practice. © 2022 Owner/Author.</t>
  </si>
  <si>
    <t>Cited by: 0; All Open Access, Bronze Open Access, Green Open Access</t>
  </si>
  <si>
    <t>Venkata SK,Young P,Bell M,Green A</t>
  </si>
  <si>
    <t>Alexa, Is This a Historical Record?</t>
  </si>
  <si>
    <t>Journal on Computing and Cultural Heritage</t>
  </si>
  <si>
    <t>1556-4673</t>
  </si>
  <si>
    <t>https://www.scopus.com/inward/record.uri?eid=2-s2.0-85127828513&amp;doi=10.1145%2f3479008&amp;partnerID=40&amp;md5=7d5197acbbe6613fa26c33417326f668;http://dx.doi.org/10.1145/3479008</t>
  </si>
  <si>
    <t>10.1145/3479008</t>
  </si>
  <si>
    <t>Digital transformation in government has brought an increase in the scale, variety, and complexity of records and greater levels of disorganised data. Current practices for selecting records for transfer to The National Archives (TNA) were developed to deal with paper records and are struggling to deal with this shift. This article examines the background to the problem and outlines a project that TNA undertook to research the feasibility of using commercially available artificial intelligence tools to aid selection. The project AI for Selection evaluated a range of commercial solutions varying from off-the-shelf products to cloud-hosted machine learning platforms, as well as a benchmarking tool developed in-house. Suitability of tools depended on several factors, including requirements and skills of transferring bodies as well as the tools' usability and configurability. This article also explores questions around trust and explainability of decisions made when using AI for sensitive tasks such as selection. © 2021 Association for Computing Machinery.</t>
  </si>
  <si>
    <t>Amasaki S,Aman H,Yokogawa T</t>
  </si>
  <si>
    <t>An extended study on applicability and performance of homogeneous cross-project defect prediction approaches under homogeneous cross-company effort estimation situation</t>
  </si>
  <si>
    <t>https://www.scopus.com/inward/record.uri?eid=2-s2.0-85123756783&amp;doi=10.1007%2fs10664-021-10103-4&amp;partnerID=40&amp;md5=5e8365fd313b1a1216d95a2ee5e12f65;http://dx.doi.org/10.1007/s10664-021-10103-4</t>
  </si>
  <si>
    <t>10.1007/s10664-021-10103-4</t>
  </si>
  <si>
    <t>Software effort estimation (SEE) models have been studied for decades. One of serious but typical situations for data-oriented models is the availability of datasets for training models. Cross-company software effort estimation (CCSEE) is a research topic to utilize project data outside an organization. The same problem was identified in software defect prediction research, and Cross-project defect prediction (CPDP) has been studied. CPDP and CCSEE shared the motivation and developed approaches for the same problem. A question arisen that CPDP approaches were applicable to CCSEE. This study explored this question with a survey and an empirical study focusing on homogeneous approaches. We first examined 24 homogeneous CPDP approach implementations provided in a CPDP framework and found more than half of the approaches were applicable. Next, we used the results of two past studies to check whether the applicable CPDP approaches covered strategies taken in past CPDP studies. The empirical experiment was then conducted to evaluate the estimation performance of the applicable CPDP approaches. CPDP approaches were configured with some machine learning techniques if available, and ten CCSEE dataset configurations were supplied for evaluation. The result was also compared with the results of those two past studies to find the commonalities and the differences between CPDP and CCSEE. The answers to the research questions revealed the our CPDP selection covered the strategies that CPDP approaches had taken. The empirical results supported the simple merge with no instance weighting, no feature selection, no data transformation, nor the simple voting. It was not necessarily surprising according CPDP and CCSEE studies, but had not been explored with CPDP approaches under CCSEE situation. A practical implication is: Combine cross-company data to make effort estimates. © 2022, The Author(s), under exclusive licence to Springer Science+Business Media, LLC, part of Springer Nature.</t>
  </si>
  <si>
    <t>Nikolaidis N,Ampatzoglou A,Chatzigeorgiou A,Tsekeridou S,Piperidis A</t>
  </si>
  <si>
    <t>Technical Debt in Service-Oriented Software Systems</t>
  </si>
  <si>
    <t>13709 LNCS</t>
  </si>
  <si>
    <t>265 – 281</t>
  </si>
  <si>
    <t>https://www.scopus.com/inward/record.uri?eid=2-s2.0-85142683338&amp;doi=10.1007%2f978-3-031-21388-5_19&amp;partnerID=40&amp;md5=c3af08459cf0233cd5db9d511d5918d9;http://dx.doi.org/10.1007/978-3-031-21388-5_19</t>
  </si>
  <si>
    <t>10.1007/978-3-031-21388-5_19</t>
  </si>
  <si>
    <t>Service-Oriented Architectures (SOA) have become a standard for developing software applications, including but not limited to cloud-based ones and enterprise systems. When using SOA, the software engineers organize the desired functionality into self-contained and independent services, that are invoked through end-points (API calls). At the maintenance phase, the tickets (bugs, functional updates, new features, etc.) usually correspond to specific services. Therefore, for maintenance-related estimates it makes sense to use as unit of analysis the service-per se, rather than the complete project (too coarse-grained analysis) or a specific class (too fine-grained analysis). Currently, some of the most emergent maintenance estimates are related to Technical Debt (TD), i.e., the additional maintenance cost incurred due to code or design inefficiencies. In the literature, there is no established way on how to quantify TD at the service level. To this end, in this paper, we present a novel methodology to measure the TD of each service considering the underlying code that sup-ports the corresponding endpoint. The proposed methodology relies on the method call graph, initiated by the service end-point, and traverses all methods that provide the service functionality. To evaluate the usefulness of this approach, we have conducted an industrial study, validating the methodology (and the accompanying tool) with respect to usefulness, obtained benefits, and usability. © 2022, The Author(s), under exclusive license to Springer Nature Switzerland AG.</t>
  </si>
  <si>
    <t>Varoquaux G,Cheplygina V</t>
  </si>
  <si>
    <t>Machine learning for medical imaging: methodological failures and recommendations for the future</t>
  </si>
  <si>
    <t>https://www.scopus.com/inward/record.uri?eid=2-s2.0-85128221731&amp;doi=10.1038%2fs41746-022-00592-y&amp;partnerID=40&amp;md5=505a4e8bb93249a2eebe325bbce17005;http://dx.doi.org/10.1038/s41746-022-00592-y</t>
  </si>
  <si>
    <t>10.1038/s41746-022-00592-y</t>
  </si>
  <si>
    <t>Research in computer analysis of medical images bears many promises to improve patients’ health. However, a number of systematic challenges are slowing down the progress of the field, from limitations of the data, such as biases, to research incentives, such as optimizing for publication. In this paper we review roadblocks to developing and assessing methods. Building our analysis on evidence from the literature and data challenges, we show that at every step, potential biases can creep in. On a positive note, we also discuss on-going efforts to counteract these problems. Finally we provide recommendations on how to further address these problems in the future. © 2022, The Author(s).</t>
  </si>
  <si>
    <t>Cited by: 22; All Open Access, Gold Open Access, Green Open Access</t>
  </si>
  <si>
    <t>Nikolaidis N,Zisis D,Ampatzoglou A,Mittas N,Chatzigeorgiou A</t>
  </si>
  <si>
    <t>Using machine learning to guide the application of software refactorings: A preliminary exploration</t>
  </si>
  <si>
    <t>23 – 28</t>
  </si>
  <si>
    <t>https://www.scopus.com/inward/record.uri?eid=2-s2.0-85143200411&amp;doi=10.1145%2f3549034.3561178&amp;partnerID=40&amp;md5=a66daf76542fd2789255770359375870;http://dx.doi.org/10.1145/3549034.3561178</t>
  </si>
  <si>
    <t>10.1145/3549034.3561178</t>
  </si>
  <si>
    <t>Refactorings constitute the most direct and comprehensible ap-proach for addressing software quality issues, stemming directly from identified code smells. Nevertheless, despite their popularity in both the research and industrial communities: (a) the effect of a refactoring is not guaranteed to be successful; and (b) the plethora of available refactoring opportunities does not allow their compre-hensive application. Thus, there is a need of guidance, on when to apply a refactoring opportunity, and when the development team shall postpone it. The notion of interest, forms one of the major pil-lars of the Technical Debt metaphor expressing the additional maintenance effort that will be required because of the accumulated debt. To assess the benefits of refactorings and guide when a refac-toring should take place, we first present the results of an empirical study assessing and quantifying the impact of various refactorings on Technical Debt Interest (building a real-world training set) and use machine learning approaches for guiding the application of fu-ture refactorings. To estimate interest, we rely on the FITTED framework, which for each object-oriented class assesses its dis-tance from the best-quality peer; whereas the refactorings that are applied throughout the history of a software project are extracted with the RefactoringMiner tool. The dataset of this study involves 4,166 refactorings applied across 26,058 revisions of 10 Apache projects. The results suggest that the majority of refactorings reduce Technical Debt interest; however, considering all refactoring appli-cations, it cannot be claimed that the mean impact differs from zero, confirming the results of previous studies highlighting mixed ef-fects from the application of refactorings. To alleviate this problem, we have built an adequately accurate (∼70%) model for the predic-tion of whether or not a refactoring should take place, in order to reduce Technical Debt interest. © 2022 ACM.</t>
  </si>
  <si>
    <t>Gupta A,Chauhan NK</t>
  </si>
  <si>
    <t>A Severity-Based Classification Assessment of Code Smells in Kotlin and Java Application</t>
  </si>
  <si>
    <t>Arabian Journal for Science and Engineering</t>
  </si>
  <si>
    <t>1831 – 1848</t>
  </si>
  <si>
    <t>2193-567X</t>
  </si>
  <si>
    <t>https://www.scopus.com/inward/record.uri?eid=2-s2.0-85113951811&amp;doi=10.1007%2fs13369-021-06077-6&amp;partnerID=40&amp;md5=aa0e8c52cc8e9051c96d2ad449e5a171;http://dx.doi.org/10.1007/s13369-021-06077-6</t>
  </si>
  <si>
    <t>10.1007/s13369-021-06077-6</t>
  </si>
  <si>
    <t>Code smells instigate due to the consistent adoption of bad programming and implementation styles during the evolution of the software which adversely affects the software quality. They are essentially focused and prioritized for their effective removal based on their severity. The study proposed a hybrid approach for inspecting the severity based on the code smell intensity in Kotlin language and comparing the code smells which are found equivalent in Java language. The research work is examined on five common code smells that are complex method, large class long method, long parameter list, string literal duplication, and too many methods over 30 open-source systems (15 Kotlin/15 Java). The experiment compares different machine learning algorithms for the computation of human-readable code smell detection rules for Kotlin, where the JRip algorithm proved to be the best machine learning algorithm with 96% and 97% of overall precision and accuracy, validated at 10-fold cross-validation. Further, the severity of code smell at the class level is evaluated for prioritization of applications written in Kotlin and Java language. Moreover, the process of severity computation is semiautomated using the CART model, and thus, metric-based severity classification rules are achieved. The experimentation provides a complete understanding of prioritization of code smells in Kotlin and Java and helps to attain prioritized refactoring which will enhance the utilization of resources and minimize the overhead rework cost. © 2021, King Fahd University of Petroleum &amp; Minerals.</t>
  </si>
  <si>
    <t>Fahrudy D,‘uyun S</t>
  </si>
  <si>
    <t>Classification of Student Graduation by Naïve Bayes Method by Comparing between Random Oversampling and Feature Selections of Information Gain and Forward Selection</t>
  </si>
  <si>
    <t>International Journal on Informatics Visualization</t>
  </si>
  <si>
    <t>798 – 808</t>
  </si>
  <si>
    <t>Politeknik Negeri Padang</t>
  </si>
  <si>
    <t>2549-9904</t>
  </si>
  <si>
    <t>https://www.scopus.com/inward/record.uri?eid=2-s2.0-85145953212&amp;doi=10.30630%2fjoiv.6.4.982&amp;partnerID=40&amp;md5=200d0cc812ef636961a286a488f7df5a;http://dx.doi.org/10.30630/joiv.6.4.982</t>
  </si>
  <si>
    <t>10.30630/joiv.6.4.982</t>
  </si>
  <si>
    <t>— Class-imbalanced data with high attribute dimensions in datasets frequently contribute to issues in a classification process that can affect algorithms’ performance in the computing process because there are imbalanced numbers of data in each class and irrelevant attributes that must be processed. Therefore, some techniques need to overcome the class-imbalanced data and feature selection to reduce data complexity and irrelevant features. Therefore, this study applied random oversampling (ROs) method to overcome the class-imbalanced data and two feature selections (information gain and forward selection) compared to determine which feature selection is superior, more effective, and more appropriate to apply. The feature selection results were then used to classify the student graduation by creating a classification model of Naïve Bayes algorithm. This study indicated an increase in the average accuracy of the Naïve Bayes method without the ROs pre-processing and the feature selection (81.83%), with the ROs (83.84%), with information gain with three selected features (86.03%) and forward selection with two selected features (86.42%); consequently, these led to increased accuracy of 4.2% from no pre-processing to information gain and 4.59% from no pre-processing to forward selection. Therefore, the best feature selection was the forward selection with two selected features (GPA of the 8th semester and the overall GPA), and the ROs, and both feature selections were proven to improve the performance of the Naïve Bayes method. © 2022, Politeknik Negeri Padang. All rights reserved.</t>
  </si>
  <si>
    <t>Pfrommer J,Usländer T,Beyerer J</t>
  </si>
  <si>
    <t>KI-Engineering – AI Systems Engineering</t>
  </si>
  <si>
    <t>756 – 766</t>
  </si>
  <si>
    <t>https://www.scopus.com/inward/record.uri?eid=2-s2.0-85139069929&amp;doi=10.1515%2fauto-2022-0076&amp;partnerID=40&amp;md5=9320f12cb22195680926acd268700a72;http://dx.doi.org/10.1515/auto-2022-0076</t>
  </si>
  <si>
    <t>10.1515/auto-2022-0076</t>
  </si>
  <si>
    <t>KI-Engineering – translated as AI Systems Engineering – aims at the development of a new engineering practice in the intersection of Systems Engineering and Artificial Intelligence. Its goal is to professionalize the use of AI methods in a systems engineering context. The article defines KI-Engineering and compares it with historical examples of research disciplines that founded engineering disciplines. It furthermore discusses the long-term challenges where further development is needed and which results were already achieved in the context of the Competence Center for KI-Engineering (CC-KING). © 2022 the author(s), published by De Gruyter.</t>
  </si>
  <si>
    <t>23rd International Conference on Product-Focused Software Process Improvement, PROFES 2022</t>
  </si>
  <si>
    <t>https://www.scopus.com/inward/record.uri?eid=2-s2.0-85142754958&amp;partnerID=40&amp;md5=cd4bf0518dae3491537836c50064e080</t>
  </si>
  <si>
    <t>The proceedings contain 55 papers. The special focus in this conference is on Product-Focused Software Process Improvement. The topics include: Data-Driven Improvement of Static Application Security Testing Service: An Experience Report in Visma; near Failure Analysis Using Dynamic Behavioural Data; a Process Model of Product Strategy Development: A Case of a B2B SaaS Product; communication Skills Requirements of Junior Software Engineers − Analysis of Job Ads; benefit Considerations in Project Decisions; towards Situational Process Management for Professional Education Programmes; change Management in Cloud-Based Offshore Software Development: A Researchers Perspective; half-Empty Offices in Flexible Work Arrangements: Why Are Employees Not Returning?; technical Debt in Service-Oriented Software Systems; Managing the Root Causes of “Internal API Hell”: An Experience Report; an Investigation of Entropy and Refactoring in Software Evolution; “To Clean Code or Not to Clean Code” A Survey Among Practitioners; counter the Uncertainties in a Dynamic World: An Approach to Creating Outcome-Driven Product Roadmaps; designing Platforms for Crowd-Based Software Prototype Validation: A Design Science Study; rapid Delivery of Software: The Effect of Alignment on Time to Market; exploring the “Why”, “How”, and “What” of Continuous Digital Service Innovation; why Traditional Product Roadmaps Fail in Dynamic Markets: Global Insights; understanding Low-Code or No-Code Adoption in Software Startups: Preliminary Results from a Comparative Case Study; Test Case Selection with Incremental ML; inferring Metamorphic Relations from JavaDocs: A Deep Dive into the MeMo Approach; requirements for Anomaly Detection Techniques for Microservices; an Evaluation of Cross-Project Defect Prediction Approaches on Cross-Personalized Defect Prediction; a/B Testing in the Small: An Empirical Exploration of Controlled Experimentation on Internal Tools; TEP-GNN: Accurate Execution Time Prediction of Functional Tests Using Graph Neural Networks; improving Software Regression Testing Using a Machine Learning-Based Method for Test Type Selection.</t>
  </si>
  <si>
    <t>Tommasel A,Diaz-Pace JA</t>
  </si>
  <si>
    <t>Identifying emerging smells in software designs based on predicting package dependencies</t>
  </si>
  <si>
    <t>Engineering Applications of Artificial Intelligence</t>
  </si>
  <si>
    <t>Elsevier Ltd</t>
  </si>
  <si>
    <t>0952-1976</t>
  </si>
  <si>
    <t>https://www.scopus.com/inward/record.uri?eid=2-s2.0-85135130833&amp;doi=10.1016%2fj.engappai.2022.105209&amp;partnerID=40&amp;md5=dfeac6767cd0654f1ee0925e2fe7c8ef;http://dx.doi.org/10.1016/j.engappai.2022.105209</t>
  </si>
  <si>
    <t>10.1016/j.engappai.2022.105209</t>
  </si>
  <si>
    <t>Software systems naturally evolve, and this evolution often brings design problems that contribute to system degradation. Architectural smells are typical symptoms of such problems, and several of these smells are related to undesired dependencies among packages. The early detection of smells is essential for software engineers to plan ahead for maintenance or refactoring efforts. Although tools for identifying smells exist, they detect the smells once they already exist in the source code when their undesired dependencies are already created. In this work, we explore a forward-looking approach for identifying smells that can emerge in the next system version based on inferring package dependencies that are likely to appear in the system. Our approach takes the current design structure of the system as a network, along with information from previous versions, and applies link prediction techniques from the field of social network analysis. In particular, we consider a group of smells known as instability smells (cyclic dependency, hub-like dependency, and unstable dependency), which fit well with the link prediction model. The approach includes a feedback mechanism to progressively reduce false positives in predictions. An evaluation based on six open-source projects showed that, under certain considerations, the proposed approach can satisfactorily predict missing dependencies and smell configurations thereof. The feedback mechanism led to improvements of up to three times the initial precision values. Furthermore, we have developed a tool for practitioners to apply the approach in their projects. © 2022 Elsevier Ltd</t>
  </si>
  <si>
    <t>Zhao Y,Wang Y,Zhang Y,Zhang D,Gong Y,Jin D</t>
  </si>
  <si>
    <t>ST-TLF: Cross-version defect prediction framework based transfer learning</t>
  </si>
  <si>
    <t>https://www.scopus.com/inward/record.uri?eid=2-s2.0-85130914931&amp;doi=10.1016%2fj.infsof.2022.106939&amp;partnerID=40&amp;md5=aff2dfe1953b66c3deb49d9a8d33cfc2;http://dx.doi.org/10.1016/j.infsof.2022.106939</t>
  </si>
  <si>
    <t>10.1016/j.infsof.2022.106939</t>
  </si>
  <si>
    <t>Context: Cross-version defect prediction (CVDP) is a practical scenario in which defect prediction models are derived from defect data of historical versions to predict potential defects in the current version. Prior research employed defect data of the latest historical version as the training set using the empirical recommended method, ignoring the concept drift between versions, which undermines the accuracy of CVDP. Objective: We customized a Selected Training set and Transfer Learning Framework (ST-TLF) with two objectives: a) to obtain the best training set for the version at hand, proposing an approach to select the training set from the historical data; b) to eliminate the concept drift, designing a transfer strategy for CVDP. Method: To evaluate the performance of ST-TLF, we investigated three research problems, covering the generalization of ST-TLF for multiple classifiers, the accuracy of our training set matching methods, and the performance of ST-TLF in CVDP compared against state-of-the-art approaches. Results: The results reflect that (a) the eight classifiers we examined are all boosted under our ST-TLF, where SVM improves 49.74% considering MCC, as is similar to others; (b) when performing the best training set matching, the accuracy of the method proposed by us is 82.4%, while the experience recommended method is only 41.2%; (c) comparing the 12 control methods, our ST-TLF (with BayesNet), against the best contrast method P15-NB, improves the average MCC by 18.84%. Conclusions: Our framework ST-TLF with various classifiers can work well in CVDP. The training set selection method we proposed can effectively match the best training set for the current version, breaking through the limitation of relying on experience recommendation, which has been ignored in other studies. Also, ST-TLF can efficiently elevate the CVDP performance compared with random forest and 12 control methods. © 2022 Elsevier B.V.</t>
  </si>
  <si>
    <t>Mboweni T,Masombuka T,Dongmo C</t>
  </si>
  <si>
    <t>A Systematic Review of Machine Learning DevOps</t>
  </si>
  <si>
    <t>https://www.scopus.com/inward/record.uri?eid=2-s2.0-85138929045&amp;doi=10.1109%2fICECET55527.2022.9872968&amp;partnerID=40&amp;md5=52ac5a1450f66dbb285066b96f28b923;http://dx.doi.org/10.1109/ICECET55527.2022.9872968</t>
  </si>
  <si>
    <t>10.1109/ICECET55527.2022.9872968</t>
  </si>
  <si>
    <t>DevOps and Machine Learning (ML) on their own are insufficient in certain organisational context. To achieve the desired results, industries are now combining the benefits of DevOps automation and machine learning capabilities. This synergy is known as Machine Learning DevOps (ML-DevOps). However, there is currently no shared vision, strategy, or guidance across industry enterprises on how to use ML-DevOps for application development. While still in its infancy, ML-DevOps has showed some prospects to become a dynamic approach for developing and delivering secure, robust, and scalable applications. This article describes a systematic review of peer-reviewed conference papers and journal articles on ML-DevOps from 2015 to 2022 to ascertain the state-of-the-art and then identify any gaps in the current literature. Using empirical analysis, we systematically examined more than 60 studies that primarily deal with ML-DevOps (commonly referred to as MLOps). We combined meta analysis, document analysis and triangulation to map how ML-DevOps is currently understood and how it compares and differs from related approaches such as DevOps. The articles used were accessed via credible scholarly databases. The results of our search strategy retrieved articles that primarily discuss the topics of ML and DevOps synergy. The review of the existing literature shows a paucity of studies that strictly investigate ML-DevOps/MLOps. In most cases, the focus of these studies is on clarifying the meaning of MLOps. Our study discovered that although there are common elements in the definitions of MLOps, there remains a lack of standardisation on how it is defined, which sometimes cause some misconceptions and ambiguity. Finally, although there is significant literature written on MLOps, the review did not find evidence that there is a common understanding amongst scholars and experts on how MLOps should be implemented and institutionalized across industry to create a common vision. © 2022 IEEE.</t>
  </si>
  <si>
    <t>https://www.scopus.com/inward/record.uri?eid=2-s2.0-85137115700&amp;doi=10.1007%2fs10515-022-00358-6&amp;partnerID=40&amp;md5=60e9bbb2d585fef5ef2c8b29353bb634;http://dx.doi.org/10.1007/s10515-022-00358-6</t>
  </si>
  <si>
    <t>Self-Admitted Technical Debt (SATD) is primarily studied in Object-Oriented (OO) languages and traditionally commercial software. However, scientific software coded in dynamically-typed languages such as R differs in paradigm, and the source code comments’ semantics are different (i.e., more aligned with algorithms and statistics when compared to traditional software). Additionally, many Software Engineering topics are understudied in scientific software development, with SATD detection remaining a challenge for this domain. This gap adds complexity since prior works determined SATD in scientific software does not adjust to many of the keywords identified for OO SATD, possibly hindering its automated detection. Therefore, we investigated how classification models (traditional machine learning, deep neural networks, and deep neural Pre-Trained Language Models (PTMs)) automatically detect SATD in R packages. This study aims to study the capabilities of these models to classify different TD types in this domain and manually analyze the causes of each in a representative sample. Our results show that PTMs (i.e., RoBERTa) outperform other models and work well when the number of comments labelled as a particular SATD type has low occurrences. We also found that some SATD types are more challenging to detect. We manually identified sixteen causes, including eight new causes detected by our study. The most common cause was failure to remember, in agreement with previous studies. These findings will help the R package authors automatically identify SATD in their source code and improve their code quality. In the future, checklists for R developers can also be developed by scientific communities such as rOpenSci to guarantee a higher quality of packages before submission. © 2022, The Author(s).</t>
  </si>
  <si>
    <t>Eldh S</t>
  </si>
  <si>
    <t>On Technical Debt in Software Testing - Observations from Industry</t>
  </si>
  <si>
    <t>13702 LNCS</t>
  </si>
  <si>
    <t>301 – 323</t>
  </si>
  <si>
    <t>https://www.scopus.com/inward/record.uri?eid=2-s2.0-85142686832&amp;doi=10.1007%2f978-3-031-19756-7_17&amp;partnerID=40&amp;md5=e7512dbcb4102e5308e13e7d16800931;http://dx.doi.org/10.1007/978-3-031-19756-7_17</t>
  </si>
  <si>
    <t>10.1007/978-3-031-19756-7_17</t>
  </si>
  <si>
    <t>Testing large complex systems in an agile way of working was a tough transition for systems having large active legacy and honouring backward compatibility. Transition from manual test to full test execution automation resulted in increased speed and manifested technical debt. The agile way of working in continuous build and test, creates a lot of repetition by execution of the same tests. Overlap between agile teams producing similar test cases, causes a constant growth of the test suites. Despite the obvious improvement of automating millions of test cases, the numbers provide a false sense of security for management on how well the system is tested. The causes of technical debt should be addressed, instead of managing the symptoms. Technical debt in software testing could be addressed by refactoring, supported by known techniques like cloning, similarity analysis, test suite reduction, optimization and reducing known test smells. Increasing the system quality can also be improved by utilizing metrics, e.g. code coverage and mutation score or use one of the many automated test design technologies. Why this is not addressed in the industry has many causes. In this paper we describe observations from several industries, with the focus on large complex systems. The contribution lies in reflecting on observations made in the last decade, and providing a vision which identifies improvements in the area of test automation and technical debt in software test, i.e. test code, test suites, test organisation, strategy and execution. Our conclusion is that many test technologies are now mature enough to be brought into regular use. The main hindrance is skills and incentive to do so for the developer, as well as a lack of well educated testers. © 2022, The Author(s), under exclusive license to Springer Nature Switzerland AG.</t>
  </si>
  <si>
    <t>Shahidi M,Ashtiani M,Zakeri-Nasrabadi M</t>
  </si>
  <si>
    <t>An automated extract method refactoring approach to correct the long method code smell</t>
  </si>
  <si>
    <t>https://www.scopus.com/inward/record.uri?eid=2-s2.0-85123722465&amp;doi=10.1016%2fj.jss.2022.111221&amp;partnerID=40&amp;md5=4217939de66ecf1ec4cf865419c65124;http://dx.doi.org/10.1016/j.jss.2022.111221</t>
  </si>
  <si>
    <t>10.1016/j.jss.2022.111221</t>
  </si>
  <si>
    <t>Long Method is amongst the most common code smells in software systems. Despite various attempts to detect the long method code smell, few automated approaches are presented to refactor this smell. Extract Method refactoring is mainly applied to eliminate the Long Method smell. However, current approaches still face serious problems such as insufficient accuracy in detecting refactoring opportunities, limitations on correction types, the need for human intervention in the refactoring process, and lack of attention to object-oriented principles, mainly single responsibility and cohesion–coupling principles. This paper aims to automatically identify and refactor the long method smells in Java codes using advanced graph analysis techniques, addressing the aforementioned difficulties. First, a graph representing project entities is created. Then, long method smells are detected, considering the methods’ dependencies and sizes. All possible refactorings are then extracted and ranked by a modularity metric, emphasizing high cohesion and low coupling classes for the detected methods. Finally, a proper name is assigned to the extracted method based on its responsibility. Subsequently, the best destination class is determined such that design modularity is maximized. Experts’ opinion is used to evaluate the proposed approach on five different Java projects. The results show the applicability of the proposed method in establishing the single responsibility principle with a 21% improvement compared to the state-of-the-art extract method refactoring approaches. © 2022 Elsevier Inc.</t>
  </si>
  <si>
    <t>Martínez-Fernández S,Bogner J,Franch X,Oriol M,Siebert J,Trendowicz A,Vollmer AM,Wagner S</t>
  </si>
  <si>
    <t>Software Engineering for AI-Based Systems: A Survey</t>
  </si>
  <si>
    <t>https://www.scopus.com/inward/record.uri?eid=2-s2.0-85130727000&amp;doi=10.1145%2f3487043&amp;partnerID=40&amp;md5=fbf7ac61842908f81cd945ae6a1009e4;http://dx.doi.org/10.1145/3487043</t>
  </si>
  <si>
    <t>10.1145/3487043</t>
  </si>
  <si>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 © 2022 Copyright held by the owner/author(s).</t>
  </si>
  <si>
    <t>Cited by: 6; All Open Access, Green Open Access</t>
  </si>
  <si>
    <t>Tsay J,Braz A,Hirzel M,Shinnar A,Mummert T</t>
  </si>
  <si>
    <t>Extracting enhanced artificial intelligence model metadata from software repositories</t>
  </si>
  <si>
    <t>https://www.scopus.com/inward/record.uri?eid=2-s2.0-85138474182&amp;doi=10.1007%2fs10664-022-10206-6&amp;partnerID=40&amp;md5=8d0df4e706b91f4276677017bfa1fc25;http://dx.doi.org/10.1007/s10664-022-10206-6</t>
  </si>
  <si>
    <t>10.1007/s10664-022-10206-6</t>
  </si>
  <si>
    <t>While artificial intelligence (AI) models have improved at understanding large-scale data, understanding AI models themselves at any scale is difficult. For example, even two models that implement the same network architecture may differ in frameworks, datasets, or even domains. Furthermore, attempting to use either model often requires much manual effort to understand it. As software engineering and AI development share many of the same languages and tools, techniques in mining software repositories should enable more scalable insights into AI models and AI development. However, much of the relevant metadata around models are not easily extractable. This paper (an extension of our MSR 2020 paper) presents a library called AIMMX for AI Model Metadata eXtraction from software repositories into enhanced metadata that conforms to a flexible metadata schema. We evaluated AIMMX against 7,998 open-source models from three sources: model zoos, arXiv AI papers, and state-of-the-art AI papers. We also explored how AIMMX can enable studies and tools to advance engineering support for AI development. As preliminary examples, we present an exploratory analysis for data and method reproducibility over the models in the evaluation dataset and a catalog tool for discovering and managing models. We also demonstrate the flexibility of extracted metadata by using the evaluation dataset in an existing natural language processing (NLP) analysis platform to identify trends in the dataset. Overall, we hope AIMMX fosters research towards better AI development. © 2022, The Author(s), under exclusive licence to Springer Science+Business Media, LLC, part of Springer Nature.</t>
  </si>
  <si>
    <t>Montes D,Peerapatanapokin P,Schultz J,Guo C,Jiang W,Davis JC</t>
  </si>
  <si>
    <t>Discrepancies among pre-trained deep neural networks: a new threat to model zoo reliability</t>
  </si>
  <si>
    <t>1605 – 1609</t>
  </si>
  <si>
    <t>https://www.scopus.com/inward/record.uri?eid=2-s2.0-85143050726&amp;doi=10.1145%2f3540250.3560881&amp;partnerID=40&amp;md5=dc1e8d7ad14a1339e755d34c7a59146e;http://dx.doi.org/10.1145/3540250.3560881</t>
  </si>
  <si>
    <t>10.1145/3540250.3560881</t>
  </si>
  <si>
    <t>Training deep neural networks (DNNs) takes significant time and resources. A practice for expedited deployment is to use pre-trained deep neural networks (PTNNs), often from model zoos - collections of PTNNs; yet, the reliability of model zoos remains unexamined. In the absence of an industry standard for the implementation and performance of PTNNs, engineers cannot confidently incorporate them into production systems. As a first step, discovering potential discrepancies between PTNNs across model zoos would reveal a threat to model zoo reliability. Prior works indicated existing variances in deep learning systems in terms of accuracy. However, broader measures of reliability for PTNNs from model zoos are unexplored. This work measures notable discrepancies between accuracy, latency, and architecture of 36 PTNNs across four model zoos. Among the top 10 discrepancies, we find differences of 1.23%-2.62% in accuracy and 9%-131% in latency. We also find mismatches in architecture for well-known DNN architectures (e.g., ResNet and AlexNet). Our findings call for future works on empirical validation, automated tools for measurement, and best practices for implementation. © 2022 Owner/Author.</t>
  </si>
  <si>
    <t>Socha K,Borg M,Henriksson J</t>
  </si>
  <si>
    <t>SMIRK: A machine learning-based pedestrian automatic emergency braking system with a complete safety case</t>
  </si>
  <si>
    <t>Software Impacts</t>
  </si>
  <si>
    <t>2665-9638</t>
  </si>
  <si>
    <t>https://www.scopus.com/inward/record.uri?eid=2-s2.0-85134628533&amp;doi=10.1016%2fj.simpa.2022.100352&amp;partnerID=40&amp;md5=fda78d822c21fe568d2eb9b5aa5a1fc6;http://dx.doi.org/10.1016/j.simpa.2022.100352</t>
  </si>
  <si>
    <t>10.1016/j.simpa.2022.100352</t>
  </si>
  <si>
    <t>SMIRK is a pedestrian automatic emergency braking system that facilitates research on safety-critical systems embedding machine learning components. As a fully transparent driver-assistance system, SMIRK can support future research on trustworthy AI systems, e.g., verification &amp; validation, requirements engineering, and testing. SMIRK is implemented for the simulator ESI Pro-SiVIC with core components including a radar sensor, a mono camera, a YOLOv5 model, and an anomaly detector. ISO/PAS 21448 SOTIF guided the development, and we present a complete safety case for a restricted ODD using the AMLAS methodology. Finally, all training data used to train the perception system is publicly available. © 2022 The Authors</t>
  </si>
  <si>
    <t>de Lima BS,Garcia RE,Eler DM</t>
  </si>
  <si>
    <t>Toward prioritization of self-admitted technical debt: an approach to support decision to payment</t>
  </si>
  <si>
    <t>729 – 755</t>
  </si>
  <si>
    <t>https://www.scopus.com/inward/record.uri?eid=2-s2.0-85123247050&amp;doi=10.1007%2fs11219-021-09578-7&amp;partnerID=40&amp;md5=f8da8fe1b0e0b26ae3df1d4da5e4e904;http://dx.doi.org/10.1007/s11219-021-09578-7</t>
  </si>
  <si>
    <t>10.1007/s11219-021-09578-7</t>
  </si>
  <si>
    <t>Technical Debt (TD) is a metaphor that describes the cost–benefit relationship between postponing technical development activities and the consequences of this long-term postponement. The lack of TD Management compromises the Software’s internal quality. It makes its maintenance complex and costly. TD instances are called Self-Admitted Technical Debt (SATD) when intentionally committed and documented through comments in the source code. Several studies explore the identification of SATD, but approaches to support the payment stage are lacking, particularly approaches to indicate which SATD priority for payment. This paper presents an approach to support the prioritization activity in SATD payment. The Prioritization Approach focuses on creating associations between SATD associations and problems found in the source code, identified by Automatic Static Analysis. The results demonstrate that using the issues found on source code and SATD description (found in comments) has greater precision to establish the priority among the SATD compared to the SATD description on comments. We applied the approach proposed to different software projects, and the results support developers’ prioritization. © 2021, The Author(s), under exclusive licence to Springer Science+Business Media, LLC, part of Springer Nature.</t>
  </si>
  <si>
    <t>Zhu K,Yin M,Zhu D,Zhang X,Gao C,Jiang J</t>
  </si>
  <si>
    <t>SCGRU: A general approach for identifying multiple classes of self-admitted technical debt with text generation oversampling</t>
  </si>
  <si>
    <t>https://www.scopus.com/inward/record.uri?eid=2-s2.0-85140061860&amp;doi=10.1016%2fj.jss.2022.111514&amp;partnerID=40&amp;md5=9329cc3dbfc999f365f92b66463c4b1b;http://dx.doi.org/10.1016/j.jss.2022.111514</t>
  </si>
  <si>
    <t>10.1016/j.jss.2022.111514</t>
  </si>
  <si>
    <t>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documention debt. © 2022 Elsevier Inc.</t>
  </si>
  <si>
    <t>Albuquerque D,Guimaraes E,Tonin G,Rodriguez P,Perkusich M,Almeida H,Perkusich A,Chagas F</t>
  </si>
  <si>
    <t>Managing Technical Debt Using Intelligent Techniques - A Systematic Mapping Study</t>
  </si>
  <si>
    <t>1–19</t>
  </si>
  <si>
    <t>https://www.scopus.com/inward/record.uri?eid=2-s2.0-85140768355&amp;doi=10.1109%2fTSE.2022.3214764&amp;partnerID=40&amp;md5=9fce7275e531f9a22b02c8a6c8590670;http://dx.doi.org/10.1109/TSE.2022.3214764</t>
  </si>
  <si>
    <t>10.1109/TSE.2022.3214764</t>
  </si>
  <si>
    <t>Technical Debt (TD) is a metaphor reflecting technical compromises that can yield short-term benefits but might hurt the long-term health of a software system. With the increasing amount of data generated when performing software development activities, an emergent research field has gained attention: applying Intelligent Techniques to solve Software Engineering problems. Intelligent Techniques were used to explore data for knowledge discovery, reasoning, learning, planning, perception, or supporting decision-making. Although these techniques can be promising, there is no structured understanding related to their application to support Technical Debt Management (TDM) activities. Within this context, this study aims to investigate to what extent the literature has proposed and evaluated solutions based on Intelligent Techniques to support TDM activities. To this end, we performed a Systematic Mapping Study (SMS) to investigate to what extent the literature has proposed and evaluated solutions based on Intelligent Techniques to support TDM activities. In total, 150 primary studies were identified and analyzed, dated from 2012 to 2021. The results indicated a growing interest in applying Intelligent Techniques to support TDM activities, the most used: Machine Learning and Reasoning under uncertainty. Intelligent Techniques aimed to assist mainly TDM activities related to identification, measurement, and monitoring. Design TD, Code TD, and Architectural TD are the TD types in the spotlight. Most studies were categorized at automation levels 1 and 2, meaning that existing approaches still require substantial human intervention. Symbolists and Analogizers are levels of explanation presented by most Intelligent Techniques, implying that these solutions conclude a general truth after considering a sufficient number of particular cases. Moreover, we also cataloged the empirical research types, contributions, and validation strategies described in primary studies. Based on our findings, we argue that there is still room to improve the use of Intelligent Techniques to support TDM activities. The open issues that emerged from this study can represent future opportunities for practitioners and researchers. IEEE</t>
  </si>
  <si>
    <t>Li Z,Qi X,Yu Q,Liang P,Mo R,Yang C</t>
  </si>
  <si>
    <t>Exploring multi-programming-language commits and their impacts on software quality: An empirical study on Apache projects</t>
  </si>
  <si>
    <t>https://www.scopus.com/inward/record.uri?eid=2-s2.0-85138185453&amp;doi=10.1016%2fj.jss.2022.111508&amp;partnerID=40&amp;md5=4973a97ef53382eb1abfa96c96ec2362;http://dx.doi.org/10.1016/j.jss.2022.111508</t>
  </si>
  <si>
    <t>10.1016/j.jss.2022.111508</t>
  </si>
  <si>
    <t>Context: Modern software systems (e.g., Apache Spark) are usually written in multiple programming languages (PLs). There is little understanding on the phenomenon of multi-programming-language commits (MPLCs), which involve modified source files written in multiple PLs. Objective: This work aims to explore MPLCs and their impacts on development difficulty and software quality. Methods: We performed an empirical study on eighteen non-trivial Apache projects with 197,566 commits. Results:: (1) the most commonly used PL combination consists of all the four PLs, i.e., C/C++, Java, JavaScript, and Python; (2) 9% of the commits from all the projects are MPLCs, and the proportion of MPLCs in 83% of the projects goes to a relatively stable level; (3) more than 90% of the MPLCs from all the projects involve source files in two PLs; (4) the change complexity of MPLCs is significantly higher than that of non-MPLCs; (5) issues fixed in MPLCs take significantly longer to be resolved than issues fixed in non-MPLCs in 89% of the projects; (6) MPLCs do not show significant effects on issue reopen; (7) source files undergoing MPLCs tend to be more bug-prone; and (8) MPLCs introduce more bugs than non-MPLCs. Conclusions: MPLCs are related to increased development difficulty and decreased software quality. © 2022 Elsevier Inc.</t>
  </si>
  <si>
    <t>Wang Y,Crankshaw D,Yadwadkar NJ,Berger D,Kozyrakis C,Bianchini R</t>
  </si>
  <si>
    <t>SOL: Safe on-node learning in cloud platforms</t>
  </si>
  <si>
    <t>622 – 634</t>
  </si>
  <si>
    <t>https://www.scopus.com/inward/record.uri?eid=2-s2.0-85126392549&amp;doi=10.1145%2f3503222.3507704&amp;partnerID=40&amp;md5=c53d349ec86b82dc3288d33fcf766aac;http://dx.doi.org/10.1145/3503222.3507704</t>
  </si>
  <si>
    <t>10.1145/3503222.3507704</t>
  </si>
  <si>
    <t>Cloud platforms run many software agents on each server node. These agents manage all aspects of node operation, and in some cases frequently collect data and make decisions. Unfortunately, their behavior is typically based on pre-defined static heuristics or offline analysis; they do not leverage on-node machine learning (ML). In this paper, we first characterize the spectrum of node agents in Azure, and identify the classes of agents that are most likely to benefit from on-node ML. We then propose SOL, an extensible framework for designing ML-based agents that are safe and robust to the range of failure conditions that occur in production. SOL provides a simple API to agent developers and manages the scheduling and running of the agent-specific functions they write. We illustrate the use of SOL by implementing three ML-based agents that manage CPU cores, node power, and memory placement. Our experiments show that (1) ML substantially improves our agents, and (2) SOL ensures that agents operate safely under a variety of failure conditions. We conclude that ML-based agents show significant potential and that SOL can help build them. © 2022 ACM.</t>
  </si>
  <si>
    <t>Raji ID,Kumar IE,Horowitz A,Selbst A</t>
  </si>
  <si>
    <t>The Fallacy of AI Functionality</t>
  </si>
  <si>
    <t>959 – 972</t>
  </si>
  <si>
    <t>https://www.scopus.com/inward/record.uri?eid=2-s2.0-85133005994&amp;doi=10.1145%2f3531146.3533158&amp;partnerID=40&amp;md5=205ca6f2e3d8df6d95c6dce290e423f5;http://dx.doi.org/10.1145/3531146.3533158</t>
  </si>
  <si>
    <t>10.1145/3531146.3533158</t>
  </si>
  <si>
    <t>Deployed AI systems often do not work. They can be constructed haphazardly, deployed indiscriminately, and promoted deceptively. However, despite this reality, scholars, the press, and policymakers pay too little attention to functionality. This leads to technical and policy solutions focused on ethicalor value-aligned deployments, often skipping over the prior question of whether a given system functions, or provides any benefits at all. To describe the harms of various types of functionality failures, we analyze a set of case studies to create a taxonomy of known AI functionality issues. We then point to policy and organizational responses that are often overlooked and become more readily available once functionality is drawn into focus. We argue that functionality is a meaningful AI policy challenge, operating as a necessary first step towards protecting affected communities from algorithmic harm. © 2022 ACM.</t>
  </si>
  <si>
    <t>Hickok M</t>
  </si>
  <si>
    <t>Public procurement of artificial intelligence systems: new risks and future proofing</t>
  </si>
  <si>
    <t>AI and Society</t>
  </si>
  <si>
    <t>0951-5666</t>
  </si>
  <si>
    <t>https://www.scopus.com/inward/record.uri?eid=2-s2.0-85139714305&amp;doi=10.1007%2fs00146-022-01572-2&amp;partnerID=40&amp;md5=79f4bcde3e95971b7b4e890873c722cc;http://dx.doi.org/10.1007/s00146-022-01572-2</t>
  </si>
  <si>
    <t>10.1007/s00146-022-01572-2</t>
  </si>
  <si>
    <t>Public entities around the world are increasingly deploying artificial intelligence (AI) and algorithmic decision-making systems to provide public services or to use their enforcement powers. The rationale for the public sector to use these systems is similar to private sector: increase efficiency and speed of transactions and lower the costs. However, public entities are first and foremost established to meet the needs of the members of society and protect the safety, fundamental rights, and wellbeing of those they serve. Currently AI systems are deployed by the public sector at various administrative levels without robust due diligence, monitoring, or transparency. This paper critically maps out the challenges in procurement of AI systems by public entities and the long-term implications necessitating AI-specific procurement guidelines and processes. This dual-prong exploration includes the new complexities and risks introduced by AI systems, and the institutional capabilities impacting the decision-making process. AI-specific public procurement guidelines are urgently needed to protect fundamental rights and due process. © 2022, The Author(s), under exclusive licence to Springer-Verlag London Ltd., part of Springer Nature.</t>
  </si>
  <si>
    <t>Bhuiyan FA,Prowell S,Shahriar H,Wu F,Rahman A</t>
  </si>
  <si>
    <t>Shifting Left for Machine Learning: An Empirical Study of Security Weaknesses in Supervised Learning-based Projects</t>
  </si>
  <si>
    <t>https://www.scopus.com/inward/record.uri?eid=2-s2.0-85136993161&amp;doi=10.1109%2fCOMPSAC54236.2022.00130&amp;partnerID=40&amp;md5=aa780049b7b7c1157c4879595abc7b7b;http://dx.doi.org/10.1109/COMPSAC54236.2022.00130</t>
  </si>
  <si>
    <t>10.1109/COMPSAC54236.2022.00130</t>
  </si>
  <si>
    <t>Context: Supervised learning-based projects (SLPs), i.e., software projects that use supervised learning algorithms, such as decision trees are useful for performing classification-related tasks. Yet, security weaknesses, such as the use of hard-coded passwords in SLPs, can make SLPs susceptible to security attacks. A characterization of security weaknesses in SLPs can help practitioners understand the security weaknesses that are frequent in SLPs and adopt adequate mitigation strategies. Objective: The goal of this paper is to help practitioners se-curely develop supervised learning-based projects by conducting an empirical study of security weaknesses in supervised learning-based projects. Methodology: We conduct an empirical study by quantifying the frequency of security weaknesses in 278 open source SLPs. Results: We identify 22 types of security weaknesses that occur in SLPs. We observe 'use of potentially dangerous function' to be the most frequently occurring security weakness in SLPs. Of the identified 3,964 security weaknesses, 23.79 % and 40.49 % respectively, appear for source code files used to train and test models. We also observe evidence of co-location, e.g., instances of command injection co-locates with instances of potentially dangerous function. Conclusion: Based on our findings, we advocate for a shift left approach for SLP development with security-focused code reviews, and application of security static analysis. © 2022 IEEE.</t>
  </si>
  <si>
    <t>Borrego G,González-López S,Palacio RR</t>
  </si>
  <si>
    <t>Tags’ Recommender to Classify Architectural Knowledge Applying Language Models</t>
  </si>
  <si>
    <t>Mathematics</t>
  </si>
  <si>
    <t>2227-7390</t>
  </si>
  <si>
    <t>https://www.scopus.com/inward/record.uri?eid=2-s2.0-85124089577&amp;doi=10.3390%2fmath10030446&amp;partnerID=40&amp;md5=edba7034083e27c3edb9e300c1ca7fac;http://dx.doi.org/10.3390/math10030446</t>
  </si>
  <si>
    <t>10.3390/math10030446</t>
  </si>
  <si>
    <t>Agile global software engineering challenges architectural knowledge (AK) management since face-to-face interactions are preferred over comprehensive documentation, which causes AK loss over time. The AK condensation concept was proposed to reduce AK losing, using the AK shared through unstructured electronic media. A crucial part of this concept is a classification mechanism to ease AK recovery in the future. We developed a Slack complement as a classification mechanism based on social tagging, which recommends tags according to a chat/message topic, using natural language processing (NLP) techniques. We evaluated two tagging modes: NLP-assisted versus alphabetical auto-completion, in terms of correctness and time to select a tag. Fifty-two participants used the complement emulating an agile and global scenario and gave us their complement’s perceptions about usefulness, ease of use, and work integration. Messages tagged through NLP recommendations showed fewer semantic errors, and participants spent less time selecting a tag. They perceived the component as very usable, useful, and easy to be integrated into the daily work. These results indicated that a tag recommendation system is necessary to classify the shared AK accurately and quickly. We will improve the NLP techniques to evaluate AK condensation in a long-term test as future work. © 2022 by the authors. Licensee MDPI, Basel, Switzerland.</t>
  </si>
  <si>
    <t>Adkins D,Alsallakh B,Cheema A,Kokhlikyan N,McReynolds E,Mishra P,Procope C,Sawruk J,Wang E,Zvyagina P</t>
  </si>
  <si>
    <t>Prescriptive and Descriptive Approaches to Machine-Learning Transparency</t>
  </si>
  <si>
    <t>https://www.scopus.com/inward/record.uri?eid=2-s2.0-85129765694&amp;doi=10.1145%2f3491101.3519724&amp;partnerID=40&amp;md5=78845bac017e1f1e34591118a2c1221c;http://dx.doi.org/10.1145/3491101.3519724</t>
  </si>
  <si>
    <t>10.1145/3491101.3519724</t>
  </si>
  <si>
    <t>Specialized documentation techniques have been developed to communicate key facts about machine-learning (ML) systems and the datasets and models they rely on. Techniques such as Datasheets, FactSheets, and Model Cards have taken a mainly descriptive approach, providing various details about the system components. While the above information is essential for product developers and external experts to assess whether the ML system meets their requirements, other stakeholders might find it less actionable. In particular, ML engineers need guidance on how to mitigate potential shortcomings in order to fix bugs or improve the system's performance. We survey approaches that aim to provide such guidance in a prescriptive way. We further propose a preliminary approach, called Method Cards, which aims to increase the transparency and reproducibility of ML systems by providing prescriptive documentation of commonly-used ML methods and techniques. We showcase our proposal with an example in small object detection, and demonstrate how Method Cards can communicate key considerations for model developers. We further highlight avenues for improving the user experience of ML engineers based on Method Cards. © 2022 ACM.</t>
  </si>
  <si>
    <t>Yuan L,Yu S,Yang Z,Duan M,Li K</t>
  </si>
  <si>
    <t>A data balancing approach based on generative adversarial network</t>
  </si>
  <si>
    <t>768 – 776</t>
  </si>
  <si>
    <t>https://www.scopus.com/inward/record.uri?eid=2-s2.0-85144817300&amp;doi=10.1016%2fj.future.2022.12.024&amp;partnerID=40&amp;md5=7a875bbeb1eb88634bca573c15c8da9d;http://dx.doi.org/10.1016/j.future.2022.12.024</t>
  </si>
  <si>
    <t>10.1016/j.future.2022.12.024</t>
  </si>
  <si>
    <t>Intrusion detection is an effective means of ensuring the proper functioning of industrial control systems (ICSs). Most intrusion detection algorithms learn the historical ICS data to gain the ability to identify and detect intrusions. However, there is little abnormal historical data used to train intrusion detection systems, so algorithms cannot fully learn the characteristics of erroneous data and cannot fully utilize an algorithm. We propose a data balancing method called B-GAN. It is based on generative adversarial networks used to solve the data imbalance problem. The method improves the ability of intrusion detection models to identify intrusions. ICS datasets are continuously built, so the generator and discriminator of B-GAN use the long short-term memory (LSTM) networks model. They can better capture the features of the data and generate high-quality anomaly samples. The performance bottleneck of traditional models is caused by data imbalance, but this has been improved. Our proposed method balances different open datasets, and a dataset balanced by B-GAN has been verified with standard intrusion detection methods. The experimental results demonstrate an improvement in the performance of intrusion detection. © 2022 Elsevier B.V.</t>
  </si>
  <si>
    <t>Mondal AK,Schneider KA,Roy B,Roy CK</t>
  </si>
  <si>
    <t>A survey of software architectural change detection and categorization techniques</t>
  </si>
  <si>
    <t>https://www.scopus.com/inward/record.uri?eid=2-s2.0-85138322340&amp;doi=10.1016%2fj.jss.2022.111505&amp;partnerID=40&amp;md5=dee1d5a976361fa08e28cbf9d03dbdc6;http://dx.doi.org/10.1016/j.jss.2022.111505</t>
  </si>
  <si>
    <t>10.1016/j.jss.2022.111505</t>
  </si>
  <si>
    <t>Software architecture is defined as the structural construction, design decisions implementation, evolution and knowledge sharing mechanisms of a system. Software architecture documentation help architects with decision making, guide developers during implementation, and preserve architectural decisions so that future caretakers are able to better understand an architect's solution. Many modern-day software development teams are focusing more on architectural consistency of software design to better cope with the cost-time-efforts, continuous integration, software glitches, security backdoors, regulatory inspections, human values, and so on. Therefore, in order to better reflect the software design challenges, the development teams review the architectural design either on a regular basis or after completing certain milestones or releases. However, many studies have focused on architectural change detection and classification as the essential steps for reviewing design, discovering architectural tactics and knowledge, analyzing software stability, tracing and auditing software development history, recovering design decisions, generating design summary, and so on. In this paper, we survey state-of-the-art architectural change detection and categorization techniques and identify future research directions. To the best of our knowledge, our survey is the first comprehensive report on this area. However, in this survey, we compare available techniques using various quality attributes relevant to software architecture for different implementation levels and types. Moreover, our analysis shows that there is a lack of lightweight techniques (in terms of human intervention, algorithmic complexity, and frequency of usage) feasible to process hundreds and thousands of change revisions of a project. We also realize that rigorous focuses are required for capturing the design decision associativity of the architectural change detection techniques for practical use in the design review process. However, our survey on architectural change classification shows that existing automatic change classification techniques are not promising enough to use for real-world scenarios and reliable post analysis of causes of architectural change is not possible without manual intervention. There is also a lack of empirical data to construct an architectural change taxonomy, and further exploration in this direction would add much value to architectural change management. © 2022 Elsevier Inc.</t>
  </si>
  <si>
    <t>Xavier L,Montandon JE,Ferreira F,Brito R,Valente MT</t>
  </si>
  <si>
    <t>On the documentation of self-admitted technical debt in issues</t>
  </si>
  <si>
    <t>https://www.scopus.com/inward/record.uri?eid=2-s2.0-85138419041&amp;doi=10.1007%2fs10664-022-10203-9&amp;partnerID=40&amp;md5=d16c0df54ae10ff190933b33b98e4b1a;http://dx.doi.org/10.1007/s10664-022-10203-9</t>
  </si>
  <si>
    <t>10.1007/s10664-022-10203-9</t>
  </si>
  <si>
    <t>Self-Admitted Technical Debt (Satd) is a particular case of Technical Debt (TD) in which developers rely on source code comments (Satd-C) or labeled issues (Satd-I) to report their sub-optimal technical solutions. In this paper, we first explore a sample of 286 Satd-I instances collected from five open source projects, including Microsoft Visual Studio Code and GitLab Community Edition. We show that in 45% of the studied issues TD was introduced to ship earlier (i.e., to deliver faster), and in almost 60% it refers to Design flaws. Besides, we report that most developers pay Satd-I to reduce its costs or interests (66%). To complement the previous exploratory results, we investigate the adoption of tools to support Satd-I documentation. For that, we build a large-scale dataset of 72K Satd-C and 20K Satd-I instances, extracted from 190 GitHub projects. We also implement a prototype tool, called AdmiTD, to automatically report Satd-C as GitHub issues. We use this dataset and tool to reveal that developers are not interested in the automatic transformation of Satd-C in Satd-I. Moreover, we show that it might not be feasible to create a tool to recommend explicit links between Satd-C and Satd-I instances. © 2022, The Author(s), under exclusive licence to Springer Science+Business Media, LLC, part of Springer Nature.</t>
  </si>
  <si>
    <t>Liu MX,Kittur A,Myers BA</t>
  </si>
  <si>
    <t>Crystalline: Lowering the Cost for Developers to Collect and Organize Information for Decision Making</t>
  </si>
  <si>
    <t>https://www.scopus.com/inward/record.uri?eid=2-s2.0-85130511823&amp;doi=10.1145%2f3491102.3501968&amp;partnerID=40&amp;md5=7d3739af1735aa4431f7d199c3cfbc40;http://dx.doi.org/10.1145/3491102.3501968</t>
  </si>
  <si>
    <t>10.1145/3491102.3501968</t>
  </si>
  <si>
    <t>Developers perform online sensemaking on a daily basis, such as researching and choosing libraries and APIs. Prior research has introduced tools that help developers capture information from various sources and organize it into structures useful for subsequent decision-making. However, it remains a laborious process for developers to manually identify and clip content, maintaining its provenance and synthesizing it with other content. In this work, we introduce a new system called Crystalline that automatically collects and organizes information into tabular structures as the user searches and browses the web. It leverages natural language processing to automatically group similar criteria together to reduce clutter, and uses passive behavioral signals such as mouse movement and dwell time to infer what information to collect and how to visualize and prioritize it. Our user study suggests that developers are able to create comparison tables about 20% faster with a 60% reduction in operational cost without sacrificing the quality of the tables. © 2022 Owner/Author.</t>
  </si>
  <si>
    <t>Cited by: 6; All Open Access, Bronze Open Access, Green Open Access</t>
  </si>
  <si>
    <t>Zhao S,Shi C,Ren S,Mohsin H</t>
  </si>
  <si>
    <t>Correlation Feature Mining Model Based on Dual Attention for Feature Envy Detection</t>
  </si>
  <si>
    <t>634 – 639</t>
  </si>
  <si>
    <t>https://www.scopus.com/inward/record.uri?eid=2-s2.0-85137168457&amp;doi=10.18293%2fSEKE2022-009&amp;partnerID=40&amp;md5=91d9a9e3b89efa403d99868e2a43a0d7;http://dx.doi.org/10.18293/SEKE2022-009</t>
  </si>
  <si>
    <t>10.18293/SEKE2022-009</t>
  </si>
  <si>
    <t>Feature Envy is a code smell due to the abnormal calling relationships between methods and classes, which adversely affects software scalability and maintainability. Existing methods mainly use various technologies to model abnormal relationships to detect feature envy. However, these methods only rely on local features such as entity names, which is not robust enough. Moreover, the mining depth of correlation features between entities involved in feature envy is limited. In this paper, we propose a correlation feature mining model based on dual attention to detect feature envy. Firstly, we propose a multi-view-based entity representation strategy, which enhanced the robustness of the model while improving the suitability of the correlation feature and model. Secondly, we add attention mechanism to the channel dimension and spatial dimension of CNN to control the flow of information and capture the correlation features between entities more accurately. Finally, the evaluation results on projects both with and without feature envy injected show that our proposed approach outperforms the state-of-the-art methods. © 2022 Knowledge Systems Institute Graduate School. All rights reserved.</t>
  </si>
  <si>
    <t>Yu J,Zhao K,Liu J,Liu X,Xu Z,Wang X</t>
  </si>
  <si>
    <t>Exploiting gated graph neural network for detecting and explaining self-admitted technical debts</t>
  </si>
  <si>
    <t>https://www.scopus.com/inward/record.uri?eid=2-s2.0-85123200409&amp;doi=10.1016%2fj.jss.2022.111219&amp;partnerID=40&amp;md5=cf75dd4e6f74b76ab89df4be724ddc5c;http://dx.doi.org/10.1016/j.jss.2022.111219</t>
  </si>
  <si>
    <t>10.1016/j.jss.2022.111219</t>
  </si>
  <si>
    <t>Self-admitted technical debt (SATD) refers to a specific type of technical debt that is introduced intentionally in the software development and maintenance processes. SATD enables practitioners to take some temporary solutions instead of making comprehensive decisions, which will lead to the high complexity of the software. However, most existing studies relied on manual methods for detecting SATDs. A recent study proposed a method HATD that used a hybrid attention-based method to automatically detect SATDs and it achieved the state-of-the-art performance. However, HATD mainly focused on the locality of the comment instances and lacked of the relationship between long-distance and discontinuous comment instances. To address such an issue, in this work, we propose a novel approach named GGSATD. Specifically, GGSATD first builds the graph for comment instances and then employs the gated graph neural network to iteratively update node representation. The global representation can be obtained by the soft attention mechanism and pooling operation. Experiments on 10 projects show that our GGSATD method obtains promising performance against five baseline methods in both within-project and cross-project scenarios. Extended experiments on seven real-world projects illustrate the effectiveness of our GGSATD method. © 2022 Elsevier Inc.</t>
  </si>
  <si>
    <t>Siddique S,Hridoy AA,Khushbu SA,Das AK</t>
  </si>
  <si>
    <t>CVD: An Improved Approach of Software Vulnerability Detection for Object Oriented Programming Languages Using Deep Learning</t>
  </si>
  <si>
    <t>559 LNNS</t>
  </si>
  <si>
    <t>145 – 164</t>
  </si>
  <si>
    <t>https://www.scopus.com/inward/record.uri?eid=2-s2.0-85141687357&amp;doi=10.1007%2f978-3-031-18461-1_10&amp;partnerID=40&amp;md5=e0dcff8ddb04c6d6c4314b57f711be75;http://dx.doi.org/10.1007/978-3-031-18461-1_10</t>
  </si>
  <si>
    <t>10.1007/978-3-031-18461-1_10</t>
  </si>
  <si>
    <t>Software vulnerability poses a significant security threat to the simultaneous expansion of the digital revolution. With increasing numbers of software and their vulnerabilities, detecting vulnerabilities accurately is a substantial challenge. Various static and deep learning approaches are executed to make the tasks more manageable, but detection accuracy is still a significant factor. In this paper, we are introducing Common Vulnerability Detector (CVD), a deep learning-based vulnerability detection system that can analyze Object-Oriented Programming (OOP) Language assembled source codes and can detect vulnerabilities with the highest accuracy. We implemented a highly optimized Convolutional Recurrent Neural Network (CRNN) for source code analysis to achieve this. By implementing this model on a SARD dataset of C Sharp source codes, CVD could successfully detect six common and dangerous vulnerabilities with an accuracy of 96.10% and F1 score of 96.40%. We compared CVD with all the known and popular methods and CVD outperformed all of them. According to the performance and results, our proposed CVD model is a promising step in vulnerability detection. Furthermore, this model can be the stair for something revolutionary in the world of vulnerability detection. © 2023, The Author(s), under exclusive license to Springer Nature Switzerland AG.</t>
  </si>
  <si>
    <t>4892 – 4906</t>
  </si>
  <si>
    <t>https://www.scopus.com/inward/record.uri?eid=2-s2.0-85120086359&amp;doi=10.1109%2fTSE.2021.3129355&amp;partnerID=40&amp;md5=30dc3dec9e0bfb49943f97c2e25285d5;http://dx.doi.org/10.1109/TSE.2021.3129355</t>
  </si>
  <si>
    <t>Technical Debt (TD) is a successful metaphor in conveying the consequences of software inefficiencies and their elimination to both technical and non-technical stakeholders, primarily due to its monetary nature. The identification and quantification of TD rely heavily on the use of a small handful of sophisticated tools that check for violations of certain predefined rules, usually through static analysis. Different tools result in divergent TD estimates calling into question the reliability of findings derived by a single tool. To alleviate this issue we use 18 metrics pertaining to source code, repository activity, issue tracking, refactorings, duplication and commenting rates of each class as features for statistical and Machine Learning models, so as to classify them as High-TD or not. As a benchmark we exploit 18,857 classes obtained from 25 Java projects, whose high levels of TD has been confirmed by three leading tools. The findings indicate that it is feasible to identify TD issues with sufficient accuracy and reasonable effort: a subset of superior classifiers achieved an F2-measure score of approximately 0.79 with an associated Module Inspection ratio of approximately 0.10. Based on the results a tool prototype for automatically assessing the TD of Java projects has been implemented. © 1976-2012 IEEE.</t>
  </si>
  <si>
    <t>Amraoui YE,Blay-Fornarino M,Collet P,Precioso F,Muller J</t>
  </si>
  <si>
    <t>Evolvable SPL management with partial knowledge: an application to anomaly detection in time series</t>
  </si>
  <si>
    <t>A</t>
  </si>
  <si>
    <t>222 – 233</t>
  </si>
  <si>
    <t>https://www.scopus.com/inward/record.uri?eid=2-s2.0-85139171392&amp;doi=10.1145%2f3546932.3547008&amp;partnerID=40&amp;md5=c85b5e51885c4d9efaa5efa08bc88997;http://dx.doi.org/10.1145/3546932.3547008</t>
  </si>
  <si>
    <t>10.1145/3546932.3547008</t>
  </si>
  <si>
    <t>In Machine Learning (ML), the resolution of anomaly detection problems in time series presents a great diversity of practices as it can correspond to many different contexts. These practices cover both grasping the business problem and designing the solution itself. By practice, we designate explicit and implicit steps toward resolving a problem, while a solution corresponds to a combination of algorithms selected for their performance on a given problem. Two related issues arise. The first one is that the practices are individual and not explicitly mutualized. The second one is that choosing one solution over another is all the more difficult to justify because the space of solutions and the evaluation criteria are vast and evolve rapidly with the advances in ML. To solve these issues and tame the evolving diversity in ML, a Software Product Line (SPL) approach can be envisaged to represent the variable set of solutions. However, this requires characterizing an ML business problem through an explicit set of criteria and justifying one ML solution over all others. The resolution of anomaly detection problems is thus different from finding the best configuration workflow from past configurations but lies more in guiding the configuration towards a solution that may never have been studied before. This paper proposes an SPL approach that capitalizes on past practices by exploiting a variability-aware representation to detect new criteria and constraints when practices adopt different solutions to seemingly similar problems. We report on the evaluation of our approach using a set of applications from the literature and an ML software company. We show how the analysis of practices makes it possible to consolidate the knowledge contained in the SPL. © 2022 ACM.</t>
  </si>
  <si>
    <t>Lenarduzzi V,Pecorelli F,Saarimaki N,Lujan S,Palomba F</t>
  </si>
  <si>
    <t>A critical comparison on six static analysis tools: Detection, agreement, and precision</t>
  </si>
  <si>
    <t>https://www.scopus.com/inward/record.uri?eid=2-s2.0-85144822206&amp;doi=10.1016%2fj.jss.2022.111575&amp;partnerID=40&amp;md5=7d40feaac35c2f25b5c56707c0cf4c5a;http://dx.doi.org/10.1016/j.jss.2022.111575</t>
  </si>
  <si>
    <t>10.1016/j.jss.2022.111575</t>
  </si>
  <si>
    <t>Background: Developers use Static Analysis Tools (SATs) to control for potential quality issues in source code, including defects and technical debt. Tool vendors have devised quite a number of tools, which makes it harder for practitioners to select the most suitable one for their needs. To better support developers, researchers have been conducting several studies on SATs to favor the understanding of their actual capabilities. Aims: Despite the work done so far, there is still a lack of knowledge regarding (1) what is their agreement, and (2) what is the precision of their recommendations. We aim at bridging this gap by proposing a large-scale comparison of six popular SATs for Java projects: Better Code Hub, CheckStyle, Coverity Scan, FindBugs, PMD, and SonarQube. Methods: We analyze 47 Java projects applying 6 SATs. To assess their agreement, we compared them by manually analyzing – at line – and class-level — whether they identify the same issues. Finally, we evaluate the precision of the tools against a manually-defined ground truth. Results: The key results show little to no agreement among the tools and a low degree of precision. Conclusion: Our study provides the first overview on the agreement among different tools as well as an extensive analysis of their precision that can be used by researchers, practitioners, and tool vendors to map the current capabilities of the tools and envision possible improvements. © 2022 The Author(s)</t>
  </si>
  <si>
    <t>Madeyski L,Lewowski T</t>
  </si>
  <si>
    <t>Detecting code smells using industry-relevant data</t>
  </si>
  <si>
    <t>https://www.scopus.com/inward/record.uri?eid=2-s2.0-85143501730&amp;doi=10.1016%2fj.infsof.2022.107112&amp;partnerID=40&amp;md5=9e857fb22bc1228dbbe79b75d3b7a639;http://dx.doi.org/10.1016/j.infsof.2022.107112</t>
  </si>
  <si>
    <t>10.1016/j.infsof.2022.107112</t>
  </si>
  <si>
    <t>Context: Code smells are patterns in source code associated with an increased defect rate and a higher maintenance effort than usual, but without a clear definition. Code smells are often detected using rules hard-coded in detection tools. Such rules are often set arbitrarily or derived from data sets tagged by reviewers without the necessary industrial know-how. Conclusions from studying such data sets may be unreliable or even harmful, since algorithms may achieve higher values of performance metrics on them than on models tagged by experts, despite not being industrially useful. Objective: Our goal is to investigate the performance of various machine learning algorithms for automated code smell detection trained on code smell data set(MLCQ) derived from actively developed and industry-relevant projects and reviews performed by experienced software developers. Method: We assign the severity of the smell to the code sample according to a consensus between the severities assigned by the reviewers, use the Matthews Correlation Coefficient (MCC) as our main performance metric to account for the entire confusion matrix, and compare the median value to account for non-normal distributions of performance. We compare 6720 models built using eight machine learning techniques. The entire process is automated and reproducible. Results: Performance of compared techniques depends heavily on analyzed smell. The median value of our performance metric for the best algorithm was 0.81 for Long Method, 0.31 for Feature Envy, 0.51 for Blob, and 0.57 for Data Class. Conclusions: Random Forest and Flexible Discriminant Analysis performed the best overall, but in most cases the performance difference between them and the median algorithm was no more than 10% of the latter. The performance results were stable over multiple iterations. Although the F-score omits one quadrant of the confusion matrix (and thus may differ from MCC), in code smell detection, the actual differences are minimal. © 2022 Elsevier B.V.</t>
  </si>
  <si>
    <t>Quintana MA,Palacio RR,Soto GB,González-López S</t>
  </si>
  <si>
    <t>Agile Development Methodologies and Natural Language Processing: A Mapping Review</t>
  </si>
  <si>
    <t>https://www.scopus.com/inward/record.uri?eid=2-s2.0-85144734803&amp;doi=10.3390%2fcomputers11120179&amp;partnerID=40&amp;md5=8e7462afaf721f217f380c5e66ef3c0e;http://dx.doi.org/10.3390/computers11120179</t>
  </si>
  <si>
    <t>10.3390/computers11120179</t>
  </si>
  <si>
    <t>Agile software development is one of the most important development paradigms these days. However, there are still some challenges to consider to reduce problems during the documentation process. Some assistive methods have been created to support developers in their documentation activities. In this regard, Natural Language Processing (NLP) can be used to create various related tools (such as assistants) to help with the documentation process. This paper presents the current state-of-the-art NLP techniques used in the agile development documentation process. A mapping review was done to complete the objective, the search strategy is used to obtain relevant studies from ScienceDirect, IEEE Xplore, ACM Digital Library, SpringerLink, and Willey. The search results after inclusion and exclusion criteria application left 47 relevant papers identified. These papers were analyzed to obtain the most used NLP techniques and NLP toolkits. The toolkits were also classified by the kind of techniques that are available in each of them. In addition, the behavior of the research area over time was analyzed using the relevant paper found by year. We found that performance measuring methods are not standardized, and, in consequence, the works are not easily comparable. In general, the number of related works and its distribution per year shows a growing trend of the works related to this topic in recent years; this indicates that the adoption of NLP techniques to improve agile methodologies is increasing. © 2022 by the authors.</t>
  </si>
  <si>
    <t>Singh S,Jalal M,Kaur S</t>
  </si>
  <si>
    <t>Bug Classification Depend Upon Refactoring Area of Code</t>
  </si>
  <si>
    <t>Journal of The Institution of Engineers (India): Series B</t>
  </si>
  <si>
    <t>2250-2106</t>
  </si>
  <si>
    <t>https://www.scopus.com/inward/record.uri?eid=2-s2.0-85145750026&amp;doi=10.1007%2fs40031-022-00836-1&amp;partnerID=40&amp;md5=c3c27b4e2e6e93adc2285c0b4897029b;http://dx.doi.org/10.1007/s40031-022-00836-1</t>
  </si>
  <si>
    <t>10.1007/s40031-022-00836-1</t>
  </si>
  <si>
    <t>Due to rapid development in the software industry, various software is being developed, which compromises the software quality. As long as time passes, the software which compromises with the quality starts showing bugs which adversely affect the working of the software system. Sometimes software undergo repeated addition of functionality, so various classes and functions in software systems become bulky and cause smells in code. Code smells also degrade the software quality, increasing the software system's maintenance cost. So these bad smells should be appropriately detected and eliminated from the software system well on time. With the identification of smells in code, one could easily map the refactoring area of code to improve the code. Improving the code will help in preventive maintenance to identify the bugs quickly. To solve this problem, the current study will focus on the five types of code smells: Data Class, God Class, Feature Envy, Refuse Parent Request and Brain method for identification of bugs in the code. The data set used for this study includes the smell extraction and identification from two versions of Eclipse, i.e. Eclipse 3.6 and Eclipse 3.7, which are renowned open soured industry size software systems. Later on, supervised machine learning classifiers j48, Random Forest, and Naive Bayes are used to identify the bugs in code at the class level. The results show that j48 performed well and provides high accuracy for the identification of bugs with the help of bad smells. © 2023, The Institution of Engineers (India).</t>
  </si>
  <si>
    <t>Aniche M,Maziero E,Durelli R,Durelli VH</t>
  </si>
  <si>
    <t>The Effectiveness of Supervised Machine Learning Algorithms in Predicting Software Refactoring</t>
  </si>
  <si>
    <t>1432 – 1450</t>
  </si>
  <si>
    <t>https://www.scopus.com/inward/record.uri?eid=2-s2.0-85128856166&amp;doi=10.1109%2fTSE.2020.3021736&amp;partnerID=40&amp;md5=f794a4fd06e73f135cc1d917dcb23a74;http://dx.doi.org/10.1109/TSE.2020.3021736</t>
  </si>
  <si>
    <t>10.1109/TSE.2020.3021736</t>
  </si>
  <si>
    <t>Refactoring is the process of changing the internal structure of software to improve its quality without modifying its external behavior. Empirical studies have repeatedly shown that refactoring has a positive impact on the understandability and maintainability of software systems. However, before carrying out refactoring activities, developers need to identify refactoring opportunities. Currently, refactoring opportunity identification heavily relies on developers' expertise and intuition. In this paper, we investigate the effectiveness of machine learning algorithms in predicting software refactorings. More specifically, we train six different machine learning algorithms (i.e., Logistic Regression, Naive Bayes, Support Vector Machine, Decision Trees, Random Forest, and Neural Network) with a dataset comprising over two million refactorings from 11,149 real-world projects from the Apache, F-Droid, and GitHub ecosystems. The resulting models predict 20 different refactorings at class, method, and variable-levels with an accuracy often higher than 90 percent. Our results show that (i) Random Forests are the best models for predicting software refactoring, (ii) process and ownership metrics seem to play a crucial role in the creation of better models, and (iii) models generalize well in different contexts. © 1976-2012 IEEE.</t>
  </si>
  <si>
    <t>Cited by: 13; All Open Access, Green Open Access</t>
  </si>
  <si>
    <t>Caballero-Espinosa E,Carver JC,Stowers K</t>
  </si>
  <si>
    <t>Community smells—The sources of social debt: A systematic literature review</t>
  </si>
  <si>
    <t>https://www.scopus.com/inward/record.uri?eid=2-s2.0-85139314025&amp;doi=10.1016%2fj.infsof.2022.107078&amp;partnerID=40&amp;md5=9dd3c67e43d6488ea5af6fd53225439c;http://dx.doi.org/10.1016/j.infsof.2022.107078</t>
  </si>
  <si>
    <t>10.1016/j.infsof.2022.107078</t>
  </si>
  <si>
    <t>Context: Social debt describes the accumulation of unforeseen project costs (or potential costs) from sub-optimal software development processes. Community smells are sociotechnical anti-patterns and one source of social debt. Because community smells impact software teams, development processes, outcomes, and organizations, we to understand their impact on software engineering. Objective: To provide an overview of community smells in social debt, based on published literature, and describe future research. Method: We conducted a systematic literature review (SLR) to identify properties, understand origins and evolution, and describe the emergence of community smells. This SLR explains the impact of community smells on teamwork and team performance. Results: We include 25 studies. Social debt describes the impacts of poor socio-technical decisions on work environments, people, software products, and society. For each of the 30 community smells identified as sources of social debt, we provide a detailed description, management approaches, organizational strategies, and mitigation effectiveness. We identify five groups of management approaches: organizational strategies, frameworks, models, tools, and guidelines. We describe 11 common properties of community smells. We develop the Community Smell Stages Framework to concisely describe the origin and evolution of community smells. We then describe the causes and effects for each community smell. We identify and describe 8 types of causes and 11 types of effects related to the community smells. Finally, we provide 8 comprehensive Sankey diagrams that offer insights into threats the community smells pose to teamwork factors and team performance. Conclusion: Community smells explain the influence work conditions have on software developers. The literature is scarce and focuses on a small number of community smells. Thus, the community smells still need more research. This review helps by organizing the state of the art about community smells. Our contributions provide motivations for future research and provide educational material for software engineering professionals. © 2022 Elsevier B.V.</t>
  </si>
  <si>
    <t>Oni O,Letier E</t>
  </si>
  <si>
    <t>Analyzing Uncertainty in Release Planning: A Method and Experiment for Fixed-Date Release Cycles</t>
  </si>
  <si>
    <t>https://www.scopus.com/inward/record.uri?eid=2-s2.0-85130736612&amp;doi=10.1145%2f3490487&amp;partnerID=40&amp;md5=daec68db4ef0fa69ebb519aa3c85d1ae;http://dx.doi.org/10.1145/3490487</t>
  </si>
  <si>
    <t>10.1145/3490487</t>
  </si>
  <si>
    <t>Release planning - deciding what features to implement in upcoming releases of a software system - is a critical activity in iterative software development. Many release planning methods exist, but most ignore the inevitable uncertainty in estimating software development effort and business value. The article's objective is to study whether analyzing uncertainty during release planning generates better release plans than if uncertainty is ignored. To study this question, we have developed a novel release planning method under uncertainty, called BEARS, that models uncertainty using Bayesian probability distributions and recommends release plans that maximize expected net present value and expected punctuality. We then compare release plans recommended by BEARS to those recommended by methods that ignore uncertainty on 32 release planning problems. The experiment shows that BEARS recommends release plans with higher expected net present value and expected punctuality than methods that ignore uncertainty, thereby indicating the harmful effects of ignoring uncertainty during release planning. These results highlight the importance of eliciting and analyzing uncertainty in software effort and value estimations and call for increased research in these areas. © 2021 by the owner/author(s).</t>
  </si>
  <si>
    <t>Lavin A,Gilligan-Lee CM,Visnjic A,Ganju S,Newman D,Ganguly S,Lange D,Baydin AG,Sharma A,Gibson A,Zheng S,Xing EP,Mattmann C,Parr J,Gal Y</t>
  </si>
  <si>
    <t>Technology readiness levels for machine learning systems</t>
  </si>
  <si>
    <t>Nature Communications</t>
  </si>
  <si>
    <t>2041-1723</t>
  </si>
  <si>
    <t>https://www.scopus.com/inward/record.uri?eid=2-s2.0-85140248769&amp;doi=10.1038%2fs41467-022-33128-9&amp;partnerID=40&amp;md5=7f39ed3a9fe7ceedb33e533a011c142a;http://dx.doi.org/10.1038/s41467-022-33128-9</t>
  </si>
  <si>
    <t>10.1038/s41467-022-33128-9</t>
  </si>
  <si>
    <t>The development and deployment of machine learning systems can be executed easily with modern tools, but the process is typically rushed and means-to-an-end. Lack of diligence can lead to technical debt, scope creep and misaligned objectives, model misuse and failures, and expensive consequences. Engineering systems, on the other hand, follow well-defined processes and testing standards to streamline development for high-quality, reliable results. The extreme is spacecraft systems, with mission critical measures and robustness throughout the process. Drawing on experience in both spacecraft engineering and machine learning (research through product across domain areas), we’ve developed a proven systems engineering approach for machine learning and artificial intelligence: the Machine Learning Technology Readiness Levels framework defines a principled process to ensure robust, reliable, and responsible systems while being streamlined for machine learning workflows, including key distinctions from traditional software engineering, and a lingua franca for people across teams and organizations to work collaboratively on machine learning and artificial intelligence technologies. Here we describe the framework and elucidate with use-cases from physics research to computer vision apps to medical diagnostics. © 2022, The Author(s).</t>
  </si>
  <si>
    <t>Farina M,Zhdanov P,Karimov A,Lavazza A</t>
  </si>
  <si>
    <t>AI and society: a virtue ethics approach</t>
  </si>
  <si>
    <t>https://www.scopus.com/inward/record.uri?eid=2-s2.0-85137877053&amp;doi=10.1007%2fs00146-022-01545-5&amp;partnerID=40&amp;md5=d8c22f1754387bc87f8704756d6dcd9e;http://dx.doi.org/10.1007/s00146-022-01545-5</t>
  </si>
  <si>
    <t>10.1007/s00146-022-01545-5</t>
  </si>
  <si>
    <t>Advances in artificial intelligence and robotics stand to change many aspects of our lives, including our values. If trends continue as expected, many industries will undergo automation in the near future, calling into question whether we can still value the sense of identity and security our occupations once provided us with. Likewise, the advent of social robots driven by AI, appears to be shifting the meaning of numerous, long-standing values associated with interpersonal relationships, like friendship. Furthermore, powerful actors’ and institutions’ increasing reliance on AI to make decisions that may affect how people live their lives may have a significant impact on privacy while also raising issues about algorithmic transparency and human control. In this paper, building and expanding on previous works, we will look at how the deployment of Artificial Intelligence technology may lead to changes in identity, security, and other crucial values (such as friendship, fairness, and privacy). We will discuss what challenges we may face in the process, while critically reflecting on whether such changes may be desirable. Finally, drawing on a series of considerations underlying virtue ethics, we will formulate a set of preliminary suggestions, which—we hope—can be used to more carefully guide the future roll out of AI technologies for human flourishing; that is, for social and moral good. © 2022, The Author(s), under exclusive licence to Springer-Verlag London Ltd., part of Springer Nature.</t>
  </si>
  <si>
    <t>Rebai S,Alizadeh V,Kessentini M,Fehri H,Kazman R</t>
  </si>
  <si>
    <t>Enabling Decision and Objective Space Exploration for Interactive Multi-Objective Refactoring</t>
  </si>
  <si>
    <t>1560 – 1578</t>
  </si>
  <si>
    <t>https://www.scopus.com/inward/record.uri?eid=2-s2.0-85130746978&amp;doi=10.1109%2fTSE.2020.3024814&amp;partnerID=40&amp;md5=034fb9df203b827551ffe9dfd4e2a737;http://dx.doi.org/10.1109/TSE.2020.3024814</t>
  </si>
  <si>
    <t>10.1109/TSE.2020.3024814</t>
  </si>
  <si>
    <t>Due to the conflicting nature of quality measures, there are always multiple refactoring options to fix quality issues. Thus, interaction with developers is critical to inject their preferences. While several interactive techniques have been proposed, developers still need to examine large numbers of possible refactorings, which makes the interaction time-consuming. Furthermore, existing interactive tools are limited to the 'objective space' to show developers the impacts of refactorings on quality attributes. However, the 'decision space' is also important since developers may want to focus on specific code locations. In this paper, we propose an interactive approach that enables developers to pinpoint their preference simultaneously in the objective (quality metrics) and decision (code location) spaces. Developers may be interested in looking at refactoring strategies that can improve a specific quality attribute, such as extendibility (objective space), but such strategies may be related to different code locations (decision space). A plethora of solutions is generated at first using multi-objective search that tries to find the possible trade-offs between quality objectives. Then, an unsupervised learning algorithm clusters the trade-off solutions based on their quality metrics, and another clustering algorithm is applied within each cluster of the objective space to identify solutions related to different code locations. The objective and decision spaces can now be explored more efficiently by the developer, who can give feedback on a smaller number of solutions. This feedback is then used to generate constraints for the optimization process, to focus on the developer's regions of interest in both the decision and objective spaces. A manual validation of selected refactoring solutions by developers confirms that our approach outperforms state of the art refactoring techniques. © 1976-2012 IEEE.</t>
  </si>
  <si>
    <t>Kokol P</t>
  </si>
  <si>
    <t>Software Quality: How Much Does It Matter?</t>
  </si>
  <si>
    <t>https://www.scopus.com/inward/record.uri?eid=2-s2.0-85137414123&amp;doi=10.3390%2felectronics11162485&amp;partnerID=40&amp;md5=4d514e3ac1a30021822ef2d6f0b908b2;http://dx.doi.org/10.3390/electronics11162485</t>
  </si>
  <si>
    <t>10.3390/electronics11162485</t>
  </si>
  <si>
    <t>Interconnected computers and software systems have become an indispensable part of people’s lives in the period of digital transformation. Consequently, software quality research is becoming more and more critical. There have been multiple attempts to synthesise knowledge gained in software quality research; however, they were focused mainly on single aspects of software quality and did not structure the knowledge holistically. To fill this gap, we harvested software quality publications indexed in the Scopus bibliographic database. We analysed them using synthetic content analysis which is a triangulation of bibliometrics and content analysis. The search resulted in 15,468 publications. The performance bibliometric analysis showed that the production of research publications relating to software quality is currently following an exponential growth trend and that the software quality research community is growing. The most productive country was the United States, followed by China. The synthetic content analysis revealed that the published knowledge could be structured into six themes, the most important being the themes regarding software quality improvement by enhancing software engineering, advanced software testing and improved defect and fault prediction with machine learning and data mining. © 2022 by the author.</t>
  </si>
  <si>
    <t>Jung JY,Steinberger T,King JL,Ackerman MS</t>
  </si>
  <si>
    <t>How Domain Experts Work with Data: Situating Data Science in the Practices and Settings of Craftwork</t>
  </si>
  <si>
    <t>Proceedings of the ACM on Human-Computer Interaction</t>
  </si>
  <si>
    <t>CSCW1</t>
  </si>
  <si>
    <t>2573-0142</t>
  </si>
  <si>
    <t>https://www.scopus.com/inward/record.uri?eid=2-s2.0-85128418414&amp;doi=10.1145%2f3512905&amp;partnerID=40&amp;md5=5ddea5edbb7cda4f0fc36e84feef1893;http://dx.doi.org/10.1145/3512905</t>
  </si>
  <si>
    <t>10.1145/3512905</t>
  </si>
  <si>
    <t>Domain experts play an essential role in data science by helping data scientists situate their technical work beyond the statistical analysis of large datasets. How domain experts themselves may engage with data science tools as a type of end-user remains largely invisible. Understanding data science as domain expert-driven depends on understanding how domain experts use data. Drawing on an ethnographic study of a craft brewery in Korea, we show how craft brewers worked with data by situating otherwise abstract data within their brewing practices and settings. We contribute theoretical insight into how domain experts use data distinctly from technical data scientists in terms of their view of data (situated vs. abstract), purposes for engaging with data (guiding processes over predicting outcomes), and overall goals of using data (flexible control vs. precision). We propose four ways in which working with data can be supported through the design of data science tools, and discuss how craftwork can be a useful lens for integrating domain expert-driven understandings of data science into CSCW and HCI research. © 2022 ACM.</t>
  </si>
  <si>
    <t>Dautov R,Husom EJ,Gonidis F,Papatzelos S,Malamas N</t>
  </si>
  <si>
    <t>Bridging the Gap Between Java and Python in Mobile Software Development to Enable MLOps</t>
  </si>
  <si>
    <t>363 – 368</t>
  </si>
  <si>
    <t>2161-9646</t>
  </si>
  <si>
    <t>https://www.scopus.com/inward/record.uri?eid=2-s2.0-85142676326&amp;doi=10.1109%2fWiMob55322.2022.9941679&amp;partnerID=40&amp;md5=ffeebd57cd963a1cd94ec48e1e7c56b7;http://dx.doi.org/10.1109/WiMob55322.2022.9941679</t>
  </si>
  <si>
    <t>10.1109/WiMob55322.2022.9941679</t>
  </si>
  <si>
    <t>The role of Machine Learning (ML) engineers in mobile development has become increasingly important in recent years, as more and more business-critical mobile applications depend on AI components. Many development teams already include dedicated ML engineers who aim to follow agile development practices in their work, as part of the larger MLOps concept. However, the availability of MLOps tools tailored specifically towards mobile platforms is scarce, often due the limited support for non-native programming languages such as Python, as well as the unsuitability of native programming languages such as Java and Kotlin to support ML-related programming tasks. This paper aims to address this gap and describes a plug-in architecture for developing, deploying and running data ingestion and processing components written in Python on the Android platform. With the possibility to pass a user-defined schema with the data format and structure, the proposed architecture ensures that time-series datasets are correctly interpreted by multiple ML modules dealing with both data ingestion and processing,. The proposed approach benefits from modularity, extensibility, customisation, and separation of concerns, which enable ML engineers to be fully involved in a mobile development lifecycle following agile MLOps practices. © 2022 IEEE.</t>
  </si>
  <si>
    <t>Oliveira A,Oizumi W,Sousa L,Assunção WK,Garcia A,Lucena C,Cedrim D</t>
  </si>
  <si>
    <t>A characterization study of testing contributors and their contributions in open source projects</t>
  </si>
  <si>
    <t>311 – 320</t>
  </si>
  <si>
    <t>https://www.scopus.com/inward/record.uri?eid=2-s2.0-85139115973&amp;doi=10.1145%2f3555228.3555243&amp;partnerID=40&amp;md5=6cff46e7f5d2ebd3a471c921ec449c46;http://dx.doi.org/10.1145/3555228.3555243</t>
  </si>
  <si>
    <t>10.1145/3555228.3555243</t>
  </si>
  <si>
    <t>Design degradation problems occur as a result of sub-optimal decisions that negatively impact internal software quality. These problems can affect isolated elements (e.g., a class) or multiple code elements (e.g., components). When neglected, design degradation increases maintenance costs. In this scenario, refactoring is paramount to keep internal software quality. However, the identification and removal of design degradation problems are not trivial tasks. For example, architectural documentation is an artifact that facilitates the identification of architectural problems, but often the documentation is unavailable or outdated. Hence, developers rely on the source code, mainly by identifying code smells. A code smell is a sub-optimal decision in the system implementation that can often be considered a counterpart of design degradation problems. Code smells allow developers to spot a design degradation problem and use them to reason about which refactoring operations need to be applied. Certain groups of code smells, called smell patterns, seem to indicate some specific design degradation problems. Intending to investigate the usefulness of smell patterns to help developers in the identification and removal of design degradation problems, we have conducted a quasi-experiment with 13 professional developers. Developers agree that smell patterns are indicators of design degradation problems, but their perceptions are influenced by factors such as the development platform (e.g., Android), type of functionality, and effort for refactoring the problem. Furthermore, they see as degradation problems only the sub-optimal decisions not intentionally taken. Among the smell patterns investigated, the patterns for Fat Interface, Concern Overload, and Scattered Concern were the most useful indicators of design degradation. We also observed that refactorings associated with code smells contribute to the (partial) removal of degradation problems. Our results led us to develop an automated tool to support developers during the identification and removal of some design degradation problems. © 2022 ACM.</t>
  </si>
  <si>
    <t>von Hahn T,Mechefske CK</t>
  </si>
  <si>
    <t>Machine Learning in CNC Machining: Best Practices</t>
  </si>
  <si>
    <t>Machines</t>
  </si>
  <si>
    <t>2075-1702</t>
  </si>
  <si>
    <t>https://www.scopus.com/inward/record.uri?eid=2-s2.0-85144704030&amp;doi=10.3390%2fmachines10121233&amp;partnerID=40&amp;md5=e5fa100d835fe550ee8f64a2c9407fa0;http://dx.doi.org/10.3390/machines10121233</t>
  </si>
  <si>
    <t>10.3390/machines10121233</t>
  </si>
  <si>
    <t>Building machine learning (ML) tools, or systems, for use in manufacturing environments is a challenge that extends far beyond the understanding of the ML algorithm. Yet, these challenges, outside of the algorithm, are less discussed in literature. Therefore, the purpose of this work is to practically illustrate several best practices, and challenges, discovered while building an ML system to detect tool wear in metal CNC machining. Namely, one should focus on the data infrastructure first; begin modeling with simple models; be cognizant of data leakage; use open-source software; and leverage advances in computational power. The ML system developed in this work is built upon classical ML algorithms and is applied to a real-world manufacturing CNC dataset. The best-performing random forest model on the CNC dataset achieves a true positive rate (sensitivity) of 90.3% and a true negative rate (specificity) of 98.3%. The results are suitable for deployment in a production environment and demonstrate the practicality of the classical ML algorithms and techniques used. The system is also tested on the publicly available UC Berkeley milling dataset. All the code is available online so others can reproduce and learn from the results. © 2022 by the authors.</t>
  </si>
  <si>
    <t>Furia CA,Torkar R,Feldt R</t>
  </si>
  <si>
    <t>Applying Bayesian Analysis Guidelines to Empirical Software Engineering Data: The Case of Programming Languages and Code Quality</t>
  </si>
  <si>
    <t>https://www.scopus.com/inward/record.uri?eid=2-s2.0-85130710474&amp;doi=10.1145%2f3490953&amp;partnerID=40&amp;md5=f51af049efd96e1b1de161be45f7c130;http://dx.doi.org/10.1145/3490953</t>
  </si>
  <si>
    <t>10.1145/3490953</t>
  </si>
  <si>
    <t>Statistical analysis is the tool of choice to turn data into information and then information into empirical knowledge. However, the process that goes from data to knowledge is long, uncertain, and riddled with pitfalls. To be valid, it should be supported by detailed, rigorous guidelines that help ferret out issues with the data or model and lead to qualified results that strike a reasonable balance between generality and practical relevance. Such guidelines are being developed by statisticians to support the latest techniques for Bayesian data analysis. In this article, we frame these guidelines in a way that is apt to empirical research in software engineering.To demonstrate the guidelines in practice, we apply them to reanalyze a GitHub dataset about code quality in different programming languages. The dataset's original analysis [Ray et al. 55] and a critical reanalysis [Berger et al. 6] have attracted considerable attention-in no small part because they target a topic (the impact of different programming languages) on which strong opinions abound. The goals of our reanalysis are largely orthogonal to this previous work, as we are concerned with demonstrating, on data in an interesting domain, how to build a principled Bayesian data analysis and to showcase its benefits. In the process, we will also shed light on some critical aspects of the analyzed data and of the relationship between programming languages and code quality-such as the impact of project-specific characteristics other than the used programming language.The high-level conclusions of our exercise will be that Bayesian statistical techniques can be applied to analyze software engineering data in a way that is principled, flexible, and leads to convincing results that inform the state-of-The-Art while highlighting the boundaries of its validity. The guidelines can support building solid statistical analyses and connecting their results. Thus, they can help buttress continued progress in empirical software engineering research. © 2022 Copyright held by the owner/author(s). Publication rights licensed to ACM.</t>
  </si>
  <si>
    <t>Schröder T,Schulz M</t>
  </si>
  <si>
    <t>Monitoring machine learning models: a categorization of challenges and methods</t>
  </si>
  <si>
    <t>Data Science and Management</t>
  </si>
  <si>
    <t>105 – 116</t>
  </si>
  <si>
    <t>KeAi Communications Co.</t>
  </si>
  <si>
    <t>2666-7649</t>
  </si>
  <si>
    <t>https://www.scopus.com/inward/record.uri?eid=2-s2.0-85138821813&amp;doi=10.1016%2fj.dsm.2022.07.004&amp;partnerID=40&amp;md5=348c88078d7989ba95bacfb5871756d6;http://dx.doi.org/10.1016/j.dsm.2022.07.004</t>
  </si>
  <si>
    <t>10.1016/j.dsm.2022.07.004</t>
  </si>
  <si>
    <t>The importance of software based on machine learning is growing rapidly, but the potential of prototypes may not be realized in operation. This study identified six categories of challenges for verification and validation of machine learning applications during production. Subsequently, monitoring was analyzed as a possible solution to mitigate those challenges. Capturing relevant data and model metrics may reveal problems at an early stage, allowing for targeted countermeasures. This study presents a taxonomy of methods and metrics currently addressed in scientific literature and compares these categories with case studies from practice. © 2022 Xi'an Jiaotong University</t>
  </si>
  <si>
    <t>Zhao K,Liu J,Xu Z,Liu X,Xue L,Xie Z,Zhou Y,Wang X</t>
  </si>
  <si>
    <t>Graph4Web: A relation-aware graph attention network for web service classification</t>
  </si>
  <si>
    <t>https://www.scopus.com/inward/record.uri?eid=2-s2.0-85129456347&amp;doi=10.1016%2fj.jss.2022.111324&amp;partnerID=40&amp;md5=d1ee3c4d7db360934c312053a0be1dee;http://dx.doi.org/10.1016/j.jss.2022.111324</t>
  </si>
  <si>
    <t>10.1016/j.jss.2022.111324</t>
  </si>
  <si>
    <t>Software reuse is a popular way to utilize existing software components to ensure the quality of newly developed software in service-oriented architecture. However, how to find a suitable web service from existing repositories to meet requirements is still an open issue. Among others, web service classification is one of the most essential and effective means for web service recommendation. Previous studies have concerned this problem, but a critical issue, i.e., the semantic and syntactic information for the web service, is often ignored. To address such an issue, in this work, we propose Graph4Web, which uses a relation-aware graph attention network for web service classification. Specifically, we first parse the web service description sequence into the dependency graph and initialize the embedding vector of each node in the graph by tuning the pre-trained BERT model. We further propose a relation-aware graph attention layer to learn and update the node embedding vector by aggregating the information of neighborhood nodes and the distinct types of relationships between nodes. In addition, we introduce the self-attention mechanism to acquire the high-level global representation for web service classification. Various experiments demonstrate that Graph4Web has better classification performance compared with seven baseline methods with three indicators. © 2022 Elsevier Inc.</t>
  </si>
  <si>
    <t>Qiu L,Feng W</t>
  </si>
  <si>
    <t>Resolution of English Event Pronouns Based on Machine Learning</t>
  </si>
  <si>
    <t>Mobile Information Systems</t>
  </si>
  <si>
    <t>Hindawi Limited</t>
  </si>
  <si>
    <t>1574-017X</t>
  </si>
  <si>
    <t>https://www.scopus.com/inward/record.uri?eid=2-s2.0-85136567400&amp;doi=10.1155%2f2022%2f8560873&amp;partnerID=40&amp;md5=c00f8c72198b883b144bc0dd914ea843;http://dx.doi.org/10.1155/2022/8560873</t>
  </si>
  <si>
    <t>10.1155/2022/8560873</t>
  </si>
  <si>
    <t>As the basis of machine translation, anaphora aims to let the machine determine the entity or event to which the sentence refers by exploring the anaphora relationship between sentences. Prior to this, the research on anaphora resolution mainly focused on the resolution of entity anaphora. Through unremitting efforts, the elimination of entity-reference relationship has achieved great success, but the equally important event reference has been stagnant. This means that we can promote the development of machine translation by enhancing event reference. In this paper, a new method is proposed, which uses the latest machine learning algorithm to eliminate English event pronouns. Through feature extraction, data preprocessing, and the introduction of end-to-end double-loop neural network and attention mechanism, the network's ability to acquire contextual features is improved, and finally, the purpose of eliminating English event pronouns is achieved. In the experimental part, this paper also conducts training and testing on the latest data set KBP. It is found that the model algorithm proposed in this paper can perform the task of experimental setup well, and the value of 40.3% F1 is given under CONLL evaluation index. This proves that the model can understand semantic information very effectively and extract relevant information from the given semantic information. © 2022 Lu Qiu and Wei Feng.</t>
  </si>
  <si>
    <t>Vidoni M,Codabux Z,Fard FH</t>
  </si>
  <si>
    <t>Infinite technical debt</t>
  </si>
  <si>
    <t>https://www.scopus.com/inward/record.uri?eid=2-s2.0-85129512886&amp;doi=10.1016%2fj.jss.2022.111336&amp;partnerID=40&amp;md5=2b6bf85134c2819dcdba1c0f1bf045e0;http://dx.doi.org/10.1016/j.jss.2022.111336</t>
  </si>
  <si>
    <t>10.1016/j.jss.2022.111336</t>
  </si>
  <si>
    <t>Code ridden with Technical Debt (TD) has motivated software engineers to keep the quality of systems under control to ease future maintenance tasks. In the last decade, there have been significant advances regarding TD management (TDM). However, research about incorporating TDM into the software development lifecycle remains scarce, and existing approaches aim to control TD through different processes. This proposal leverages the concept of infinite games from game theory to posit a different perspective. We argue that TD cannot be entirely removed and that its effects or consequences cannot be considered “managed” even when an occurrence (i.e., a smell) is repaid. Rather than using a mathematical approach, we present TDM in terms of the four components of infinite games (players, rules, goals, and time), its tradeoffs and relationships, to discuss its potential impact on TDM activities. As this is an incipient area, our goal is to motivate a change of mindset regarding TDM, stimulating reflective thinking and thus, posing a new line of research. We conclude with a series of potential research questions organised into three key areas. © 2022 Elsevier Inc.</t>
  </si>
  <si>
    <t>Kapitsaki GM,Tselikas ND,Kyriakou KI,Papoutsoglou M</t>
  </si>
  <si>
    <t>Help me with this: A categorization of open source software problems</t>
  </si>
  <si>
    <t>https://www.scopus.com/inward/record.uri?eid=2-s2.0-85135904165&amp;doi=10.1016%2fj.infsof.2022.107034&amp;partnerID=40&amp;md5=3170cbda783c04eee3e6131155efdb50;http://dx.doi.org/10.1016/j.infsof.2022.107034</t>
  </si>
  <si>
    <t>10.1016/j.infsof.2022.107034</t>
  </si>
  <si>
    <t>Context: Free and Open Source Software is widely used in the research community and the software industry. In this context, developers come across various issues they need to handle in order to use and create software responsibly and without causing legal violations. For instance, using open source software that carries a specific license or how contributions to open source software should be handled are among the issues that need to be considered. Objective: As practitioners turn primarily to Q&amp;A sites to seek help, it is important to understand which specific open source software issues they face. In this research, our main objective is to provide a categorization of open source software problems present in the user questions of the Open Source Stack Exchange site and perform a meta-analysis on the encountered questions. Method: We have performed a qualitative study analyzing manually 1,500 most popular posts in the Open Source Stack Exchange site and have mapped them to categories and more generic clusters. The coding task was performed in iterations with the participation of three of the authors. Agreement was calculated and cases of disagreement were resolved. Meta-analysis on questions and answers was also performed for discussion purposes. Results: We have created 26 categories of problems discussed in the Open Source Stack Exchange site, and grouped them into 6 clusters. Our results show that posts on license texts/conditions and license/copyright notices are more common, whereas posts on license differences are the most popular in terms of views by other users. Conclusion: The results can assist any participant of the open source software community to understand on which basic issues she should focus on to gain a good understanding of open source software. They are also useful for improving education on open source software and community support using the implications presented for each category. © 2022 Elsevier B.V.</t>
  </si>
  <si>
    <t>Theunissen T,van Heesch U,Avgeriou P</t>
  </si>
  <si>
    <t>A mapping study on documentation in Continuous Software Development</t>
  </si>
  <si>
    <t>https://www.scopus.com/inward/record.uri?eid=2-s2.0-85116891092&amp;doi=10.1016%2fj.infsof.2021.106733&amp;partnerID=40&amp;md5=0b35a193194226616e7512f98d3e32f5;http://dx.doi.org/10.1016/j.infsof.2021.106733</t>
  </si>
  <si>
    <t>10.1016/j.infsof.2021.106733</t>
  </si>
  <si>
    <t>Context: With an increase in Agile, Lean, and DevOps software methodologies over the last years (collectively referred to as Continuous Software Development (CSD)), we have observed that documentation is often poor. Objective: This work aims at collecting studies on documentation challenges, documentation practices, and tools that can support documentation in CSD. Method: A systematic mapping study was conducted to identify and analyze research on documentation in CSD, covering publications between 2001 and 2019. Results: A total of 63 studies were selected. We found 40 studies related to documentation practices and challenges, and 23 studies related to tools used in CSD. The challenges include: informal documentation is hard to understand, documentation is considered as waste, productivity is measured by working software only, documentation is out-of-sync with the software and there is a short-term focus. The practices include: non-written and informal communication, the usage of development artifacts for documentation, and the use of architecture frameworks. We also made an inventory of numerous tools that can be used for documentation purposes in CSD. Overall, we recommend the usage of executable documentation, modern tools and technologies to retrieve information and transform it into documentation, and the practice of minimal documentation upfront combined with detailed design for knowledge transfer afterwards. Conclusion: It is of paramount importance to increase the quantity and quality of documentation in CSD. While this remains challenging, practitioners will benefit from applying the identified practices and tools in order to mitigate the stated challenges. © 2021 The Authors</t>
  </si>
  <si>
    <t>Hu J,Zhu P,Qi Y,Zhu Q,Li X</t>
  </si>
  <si>
    <t>A patent registration and trading system based on blockchain</t>
  </si>
  <si>
    <t>Expert Systems with Applications</t>
  </si>
  <si>
    <t>0957-4174</t>
  </si>
  <si>
    <t>https://www.scopus.com/inward/record.uri?eid=2-s2.0-85128300131&amp;doi=10.1016%2fj.eswa.2022.117094&amp;partnerID=40&amp;md5=8abd4d36f0b2f01984d190f731d23a5a;http://dx.doi.org/10.1016/j.eswa.2022.117094</t>
  </si>
  <si>
    <t>10.1016/j.eswa.2022.117094</t>
  </si>
  <si>
    <t>The traditional process of patent registration and trading is very complex, often hindered by challenges related to information security and patent traceability. As a popular emergent technology, blockchain has several useful characteristics such as tamper proof, distributed data management, timestamp, asymmetric encryption, and smart contract. Built upon these characteristics, this paper develops a patent registration and trading system for improved information security, immutability, transparency, and traceability. This system includes functions of patent registration and storage, patent trading, user privacy protection during patent registration and trading process, and overall data access control. To validate the applicability of the proposed system, this paper builds a blockchain environment to simulate a patent registration and trading process. We further conduct a security analysis and an efficiency analysis to compare the proposed patent registration and trading process with the traditional process. Through these comparisons we show that the proposed blockchain-aided patent registration and trading system is effective in resolving several key patent protection challenges. Theoretical and managerial implications are also discussed to highlight the significance of our proposed method. © 2022</t>
  </si>
  <si>
    <t>Kozanidis N,Verdecchia R,Guzmán E</t>
  </si>
  <si>
    <t>Asking about Technical Debt: Characteristics and Automatic Identification of Technical DebtQuestions on Stack Overflow</t>
  </si>
  <si>
    <t>45 – 56</t>
  </si>
  <si>
    <t>https://www.scopus.com/inward/record.uri?eid=2-s2.0-85139832258&amp;doi=10.1145%2f3544902.3546245&amp;partnerID=40&amp;md5=edbb24b01f3bad71665e5dd0778fd6e1;http://dx.doi.org/10.1145/3544902.3546245</t>
  </si>
  <si>
    <t>10.1145/3544902.3546245</t>
  </si>
  <si>
    <t>Background: Q&amp;A sites allow to study how users reference and request support on technical debt. To date only few studies, focusing on narrow aspects, investigate technical debt on Stack Overflow. Aims: We aim at gaining an in-depth understanding on the characteristics of technical debt questions on Stack Overflow. In addition, we assessifidentificationstrategiesbasedonmachinelearning canbe used to automatically identify and classify technical debt questions. Method: We use automated and manual processes to identify technical debt questions on Stack Overflow. The final set of 415 questions is analyzed to study (i) technical debt types, (ii) question length, (iii) perceived urgency, (iv) sentiment, and (v) themes. Natural language processing and machine learning techniques are used to assess if questions can be identified and classified automatically. Results: Architecture debt is the most recurring debt type, followed by code and design debt. Most questions display mild urgency, with frequency of higher urgency steadily declining as urgency rises. Question length varies across debt types. Sentiment ismostly neutral. 29 recurrentthemes emerge.Machinelearning can beusedtoidentify technical debt questions and binary urgency, but not debt types. Conclusions: Different patterns emerge from the analysis of technical debt questions on Stack Overflow. The results provide further insights on the phenomenon, and support the adoption of a more comprehensive strategy to identify technical debt questions. © 2022 Association for Computing Machinery.</t>
  </si>
  <si>
    <t>Lano K,Kolahdouz-Rahimi S,Fang S</t>
  </si>
  <si>
    <t>Model Transformation Development Using Automated Requirements Analysis, Metamodel Matching, and Transformation by Example</t>
  </si>
  <si>
    <t>https://www.scopus.com/inward/record.uri?eid=2-s2.0-85130755580&amp;doi=10.1145%2f3471907&amp;partnerID=40&amp;md5=f15e997dedf7462b07afecd215b95b6a;http://dx.doi.org/10.1145/3471907</t>
  </si>
  <si>
    <t>10.1145/3471907</t>
  </si>
  <si>
    <t>In this article, we address how the production of model transformations (MT) can be accelerated by automation of transformation synthesis from requirements, examples, and metamodels. We introduce a synthesis process based on metamodel matching, correspondence patterns between metamodels, and completeness and consistency analysis of matches. We describe how the limitations of metamodel matching can be addressed by combining matching with automated requirements analysis and model transformation by example (MTBE) techniques.We show that in practical examples a large percentage of required transformation functionality can usually be constructed automatically, thus potentially reducing development effort. We also evaluate the efficiency of synthesised transformations.Our novel contributions are:The concept of correspondence patterns between metamodels of a transformation.Requirements analysis of transformations using natural language processing (NLP) and machine learning (ML).Symbolic MTBE using predictive specificationto infer transformations from examples.Transformation generation in multiple MT languages and in Java, from an abstract intermediate language. © 2021 Association for Computing Machinery.</t>
  </si>
  <si>
    <t>Khalajzadeh H,Abdelrazek M,Grundy J,Hosking J,He Q</t>
  </si>
  <si>
    <t>Survey and Analysis of Current End-User Data Analytics Tool Support</t>
  </si>
  <si>
    <t>IEEE Transactions on Big Data</t>
  </si>
  <si>
    <t>152 – 165</t>
  </si>
  <si>
    <t>2332-7790</t>
  </si>
  <si>
    <t>https://www.scopus.com/inward/record.uri?eid=2-s2.0-85123681647&amp;doi=10.1109%2fTBDATA.2019.2921774&amp;partnerID=40&amp;md5=6e88382f167f730e2264f02d89055666;http://dx.doi.org/10.1109/TBDATA.2019.2921774</t>
  </si>
  <si>
    <t>10.1109/TBDATA.2019.2921774</t>
  </si>
  <si>
    <t>There has been a very large growth in interest in big data analytics to discover patterns and insights. A major challenge in this domain is the need to combine domain knowledge - what the data means (semantics) and what it is used for - with advanced data analytics and visualization techniques to mine and communicate important information from the huge volumes of raw data. Many data analytics tools have been developed for both research and practice to assist in specifying, integrating and deploying data analytics applications. However, delivering such big data analytics applications requires a capable team with different skillsets including data scientists, software engineers and domain experts. Such teams and skillsets usually take a long time to build and have high running costs. An alternative is to provide domain experts and data scientists - the end users - with tools they can use to create and deploy complex data analytics application solutions directly with less technical skills required. In this paper we present a survey and analysis of several current research and practice approaches to supporting data analytics for end-users, identifying key strengths, weaknesses and opportunities for future research. © 2015 IEEE.</t>
  </si>
  <si>
    <t>Raouf I,Khan A,Khalid S,Sohail M,Azad MM,Kim HS</t>
  </si>
  <si>
    <t>Sensor-Based Prognostic Health Management of Advanced Driver Assistance System for Autonomous Vehicles: A Recent Survey</t>
  </si>
  <si>
    <t>https://www.scopus.com/inward/record.uri?eid=2-s2.0-85138607469&amp;doi=10.3390%2fmath10183233&amp;partnerID=40&amp;md5=b48c2401e1e3e2f65556676d01e9f6aa;http://dx.doi.org/10.3390/math10183233</t>
  </si>
  <si>
    <t>10.3390/math10183233</t>
  </si>
  <si>
    <t>Recently, the advanced driver assistance system (ADAS) of autonomous vehicles (AVs) has offered substantial benefits to drivers. Improvement of passenger safety is one of the key factors for evolving AVs. An automated system provided by the ADAS in autonomous vehicles is a salient feature for passenger safety in modern vehicles. With an increasing number of electronic control units and a combination of multiple sensors, there are now sufficient computing aptitudes in the car to support ADAS deployment. An ADAS is composed of various sensors: radio detection and ranging (RADAR), cameras, ultrasonic sensors, and LiDAR. However, continual use of multiple sensors and actuators of the ADAS can lead to failure of AV sensors. Thus, prognostic health management (PHM) of ADAS is important for smooth and continuous operation of AVs. The PHM of AVs has recently been introduced and is still progressing. There is a lack of surveys available related to sensor-based PHM of AVs in the literature. Therefore, the objective of the current study was to identify sensor-based PHM, emphasizing different fault identification and isolation (FDI) techniques with challenges and gaps existing in this field. © 2022 by the authors.</t>
  </si>
  <si>
    <t>Hutchinson B,Rostamzadeh N,Greer C,Heller K,Prabhakaran V</t>
  </si>
  <si>
    <t>Evaluation Gaps in Machine Learning Practice</t>
  </si>
  <si>
    <t>1859 – 1876</t>
  </si>
  <si>
    <t>https://www.scopus.com/inward/record.uri?eid=2-s2.0-85132973032&amp;doi=10.1145%2f3531146.3533233&amp;partnerID=40&amp;md5=9e21497ca3771ba71cf57ac1ea6e5296;http://dx.doi.org/10.1145/3531146.3533233</t>
  </si>
  <si>
    <t>10.1145/3531146.3533233</t>
  </si>
  <si>
    <t>Forming a reliable judgement of a machine learning (ML) model's appropriateness for an application ecosystem is critical for its responsible use, and requires considering a broad range of factors including harms, benefits, and responsibilities. In practice, however, evaluations of ML models frequently focus on only a narrow range of decontextualized predictive behaviours. We examine the evaluation gaps between the idealized breadth of evaluation concerns and the observed narrow focus of actual evaluations. Through an empirical study of papers from recent high-profile conferences in the Computer Vision and Natural Language Processing communities, we demonstrate a general focus on a handful of evaluation methods. By considering the metrics and test data distributions used in these methods, we draw attention to which properties of models are centered in the field, revealing the properties that are frequently neglected or sidelined during evaluation. By studying these properties, we demonstrate the machine learning discipline's implicit assumption of a range of commitments which have normative impacts; these include commitments to consequentialism, abstractability from context, the quantifiability of impacts, the limited role of model inputs in evaluation, and the equivalence of different failure modes. Shedding light on these assumptions enables us to question their appropriateness for ML system contexts, pointing the way towards more contextualized evaluation methodologies for robustly examining the trustworthiness of ML models. © 2022 Owner/Author.</t>
  </si>
  <si>
    <t>Luburić N,Vidaković D,Slivka J,Prokić S,Grujić KG,Kovačević A,Sladić G</t>
  </si>
  <si>
    <t>Clean Code Tutoring: Makings of a Foundation</t>
  </si>
  <si>
    <t>137 – 148</t>
  </si>
  <si>
    <t>2184-5026</t>
  </si>
  <si>
    <t>https://www.scopus.com/inward/record.uri?eid=2-s2.0-85136171774&amp;doi=10.5220%2f0010800900003182&amp;partnerID=40&amp;md5=ebcae109f6d28a22e099817431223138;http://dx.doi.org/10.5220/0010800900003182</t>
  </si>
  <si>
    <t>10.5220/0010800900003182</t>
  </si>
  <si>
    <t>High-quality code enables sustainable software development, which is a prerequisite of a healthy digital society. To train software engineers to write higher-quality code, we developed an intelligent tutoring system (ITS) grounded in recent advances in ITS design. Its hallmark feature is the refactoring challenge subsystem, which enables engineers to develop procedural knowledge for analyzing code quality and improving it through refactoring. We conducted a focus group discussion with five working software engineers to get feedback for our system. We further conducted a controlled experiment with 51 software engineering learners, where we compared learning outcomes from using our ITS with educational pages offered by a learning management system. We examined the correctness of knowledge, level of knowledge retention after one week and the learners’ perceived engagement. We found no statistically significant difference between the two groups, establishing that our system does not lead to worse learning outcomes. Additionally, instructors can analyze challenge submissions to identify common incorrect coding patterns and unexpected correct solutions to improve the challenges and related hints. We discuss how our instructors benefited from the challenge subsystem, shed light on the need for a specialized ITS design grounded in contemporary theory, and examine the broader educational potential. Copyright © 2022 by SCITEPRESS – Science and Technology Publications, Lda. All rights reserved.</t>
  </si>
  <si>
    <t>Tulili TR,Capiluppi A,Rastogi A</t>
  </si>
  <si>
    <t>Burnout in software engineering: A systematic mapping study</t>
  </si>
  <si>
    <t>https://www.scopus.com/inward/record.uri?eid=2-s2.0-85145552474&amp;doi=10.1016%2fj.infsof.2022.107116&amp;partnerID=40&amp;md5=63fb58b47d0f5d42d267e2dec0fbadd7;http://dx.doi.org/10.1016/j.infsof.2022.107116</t>
  </si>
  <si>
    <t>10.1016/j.infsof.2022.107116</t>
  </si>
  <si>
    <t>Context: Burnout is a work-related syndrome that, similar to many occupations, influences most software developers. For decades, studies in software engineering(SE) have explored the causes of burnout and its consequences among IT professionals. Objective: This paper is a systematic mapping study (SMS) of the studies on burnout in SE, exploring its causes and consequences, and how it is studied (e.g., choice of data). Method: We conducted a systematic mapping study and identified 92 relevant research articles dating as early as the early 1990s, focusing on various aspects and approaches to detect burnout in software developers and IT professionals. Results: Our study shows that early research on burnout was primarily qualitative, which has steadily moved to more quantitative, data-driven in the last decade. The emergence of machine learning (ML) approaches to detect burnout in developers has become a de-facto standard. Conclusion: Our study summarises what we now know about burnout, how software artifacts indicate burnout, and how machine learning can help its early detection. As a comprehensive analysis of past and present research works in the field, we believe this paper can help future research and practice focus on the grand challenges ahead and offer necessary tools. © 2022 The Author(s)</t>
  </si>
  <si>
    <t>https://www.scopus.com/inward/record.uri?eid=2-s2.0-85122086312&amp;doi=10.1007%2fs10515-021-00314-w&amp;partnerID=40&amp;md5=21ab1e846b58b044f8c0976ad0d90046;http://dx.doi.org/10.1007/s10515-021-00314-w</t>
  </si>
  <si>
    <t>Commit messages are the atomic level of software documentation. They provide a natural language description of the code change and its purpose. Messages are critical for software maintenance and program comprehension. Unlike documenting feature updates and bug fixes, little is known about how developers document their refactoring activities. Specifically, developers can perform multiple refactoring operations, including moving methods, extracting classes, renaming attributes, for various reasons, such as improving software quality, managing technical debt, and removing defects. Yet, there is no systematic study that analyzes the extent to which the documentation of refactoring accurately describes the refactoring operations performed at the source code level. Therefore, this paper challenges the ability of refactoring documentation, written in commit messages, to adequately predict the refactoring types, performed at the commit level. Our analysis relies on the text mining of commit messages to extract the corresponding features (i.e., keywords) that better represent each class (i.e., refactoring type). The extraction of text patterns, specific to each refactoring type (e.g., rename, extract, move, inline, etc.) allows the design of a model that verifies the consistency of these patterns with their corresponding refactoring. Such verification process can be achieved via automatically predicting, for a given commit, the method-level type of refactoring being applied, namely Extract Method, Inline Method, Move Method, Pull-up Method, Push-down Method, and Rename Method. We compared various classifiers, and a baseline keyword-based approach, in terms of their prediction performance, using a dataset of 5004 commits. Our main findings show that the complexity of refactoring type prediction varies from one type to another. Rename Method and Extract Method were found to be the best documented refactoring activities, while Pull-up Method, and Push-down Method were the hardest to be identified via textual descriptions. Such findings bring the attention of developers to the necessity of paying more attention to the documentation of these types. © 2021, The Author(s), under exclusive licence to Springer Science+Business Media, LLC, part of Springer Nature.</t>
  </si>
  <si>
    <t>Cited by: 4; All Open Access, Green Open Access</t>
  </si>
  <si>
    <t>Moreschini S</t>
  </si>
  <si>
    <t>Applications of MLOps in the Cognitive Cloud Continuum</t>
  </si>
  <si>
    <t>650 – 655</t>
  </si>
  <si>
    <t>https://www.scopus.com/inward/record.uri?eid=2-s2.0-85142688414&amp;doi=10.1007%2f978-3-031-21388-5_51&amp;partnerID=40&amp;md5=56790ac98ea4f9733cca41a00bfca010;http://dx.doi.org/10.1007/978-3-031-21388-5_51</t>
  </si>
  <si>
    <t>10.1007/978-3-031-21388-5_51</t>
  </si>
  <si>
    <t>Background. Since the rise of Machine Learning, the automation of software development has been a desired feature. MLOps is targeted to have the same impact on software development as DevOps had in the last decade. Objectives. The goal of the research is threefold: (RQ1) to analyze which MLOps tools and platforms can be used in the Cognitive Cloud Continuum, (RQ2) to investigate which combination of such tools and platforms is more beneficial, and (RQ3) to define how to distribute MLOps to nodes across the Cognitive Cloud Continuum. Methods. The work can be divided into three main blocks: analysis, proposal and identification, and application. The first part builds the foundations of the work, the second proposes a vision on the evolution of MLOps then identifies the key concepts while the third validates the previous steps through practical applications. Contribution. The thesis’s contribution is a set of MLOps pipelines that practitioners could adopt in different contexts and a practical implementation of an MLOps system in the Cognitive Cloud Continuum. © 2022, The Author(s), under exclusive license to Springer Nature Switzerland AG.</t>
  </si>
  <si>
    <t>Sotto-Mayor B,Elmishali A,Kalech M,Abreu R</t>
  </si>
  <si>
    <t>Exploring Design smells for smell-based defect prediction</t>
  </si>
  <si>
    <t>https://www.scopus.com/inward/record.uri?eid=2-s2.0-85135175342&amp;doi=10.1016%2fj.engappai.2022.105240&amp;partnerID=40&amp;md5=5919f74f3f5bfdcd53d6a92b4525d83d;http://dx.doi.org/10.1016/j.engappai.2022.105240</t>
  </si>
  <si>
    <t>10.1016/j.engappai.2022.105240</t>
  </si>
  <si>
    <t>Defect prediction is commonly used to reduce the effort from the testing phase of software development. A promising strategy is to use machine learning techniques to predict which software components may be defective. Features are key factors to the prediction's success, and thus extracting significant features can improve the model's accuracy. In particular, code smells are a category of those features that have been shown to improve the prediction performance significantly. However, Design code smells, a state-of-the-art collection of code smells based on the violations of the object-oriented programming principles, have not been studied in the context of defect prediction. In this paper, we study the performance of defect prediction models by training multiple classifiers for 97 real projects. We compare using Design code smells as features and using other Traditional smells from the literature and both. Moreover, we cluster and analyze the models’ performance based on the categories of Design code smells. We conclude that the models trained with both the Design code smells and the smells from the literature performed the best, with an improvement of 4.1% for the AUC score, compared to models trained with only Traditional smells. Consequently, Design smells are a good addition to the smells commonly studied in the literature for defect prediction. © 2022 Elsevier Ltd</t>
  </si>
  <si>
    <t>Khan JY,Uddin G</t>
  </si>
  <si>
    <t>Automatic Detection and Analysis of Technical Debts in Peer-Review Documentation of R Packages</t>
  </si>
  <si>
    <t>765 – 776</t>
  </si>
  <si>
    <t>https://www.scopus.com/inward/record.uri?eid=2-s2.0-85135854723&amp;doi=10.1109%2fSANER53432.2022.00094&amp;partnerID=40&amp;md5=4c9da8d1316ef9598988ead9e9825b79;http://dx.doi.org/10.1109/SANER53432.2022.00094</t>
  </si>
  <si>
    <t>10.1109/SANER53432.2022.00094</t>
  </si>
  <si>
    <t>Technical debt (TD) is a metaphor for code-related problems that arise as a result of prioritizing speedy delivery over perfect code. Given that the reduction of TDs can have long-term positive impact in the software engineering life-cycle (SDLC), TDs are studied extensively in the literature. However, very few of the existing research focused on the technical debts of R programming language despite its popularity and usage. Recent research by Codabux et al. [21] finds that R packages can have 10 diverse TD types analyzing peer-review documentation. However, the findings are based on the manual analysis of a small sample of R package review comments. In this paper, we develop a suite of Machine Learning (ML) classifiers to detect the 10 TDs automatically. The best performing classifier is based on the deep ML model BERT, which achieves F1-scores of 0.71 - 0.91. We then apply the trained BERT models on all available peer-review issue comments from two platforms, rOpenSci and BioConductor (13.5K review comments coming from a total of 1297 R packages). We conduct an empirical study on the prevalence and evolution of 10 TDs in the two R platforms. We discovered documentation debt is the most prevalent among all types of TD, and it is also expanding rapidly. We also find that R packages of generic platform (i.e. rOpenSci) are more prone to TD compared to domain-specific platform (i.e. BioConductor). Our empirical study findings can guide future improvements opportunities in R package documentation. Our ML models can be used to automatically monitor the prevalence and evolution of TDs in R package documentation. © 2022 IEEE.</t>
  </si>
  <si>
    <t>Zhu H,He X,Xu L</t>
  </si>
  <si>
    <t>HatCUP: Hybrid Analysis and Attention based Just-In-Time Comment Updating</t>
  </si>
  <si>
    <t>619 – 630</t>
  </si>
  <si>
    <t>https://www.scopus.com/inward/record.uri?eid=2-s2.0-85133211210&amp;doi=10.1145%2f3524610.3527901&amp;partnerID=40&amp;md5=66bfdc062ab20d62b4b1d3b78e58fe20;http://dx.doi.org/10.1145/3524610.3527901</t>
  </si>
  <si>
    <t>10.1145/3524610.3527901</t>
  </si>
  <si>
    <t>When changing code, developers sometimes neglect updating the related comments, bringing inconsistent or outdated comments. These comments increase the cost of program understanding and greatly reduce software maintainability. Researchers have put forward some solutions, such as CUP and HEBCUP, which update comments efficiently for simple code changes (i.e. modifying of a single token), but not good enough for complex ones. In this paper, we propose an approach named HatCUP (Hybrid Analysis and Attention based Comment UPdater), to provide a new mechanism for comment updating task. HatCUP pays attention to hybrid analysis and information. First, HatCUP considers the code structure change information and introduces a structureguided attention mechanism combined with code change graph analysis and optimistic data flow dependency analysis. With a generally popular RNN-based encoder-decoder architecture, HatCUP takes the action of the code edits, the syntax, semantics and structure code changes, and old comments as inputs and generates a structural representation of the changes in the current code snippet. Furthermore, instead of directly generating new comments, HatCUP proposes a new edit or nonedit mechanism to mimic human editing behavior, by generating a sequence of edit actions and constructing a modified RNN model to integrate newly developed components. Evaluation on a popular dataset demonstrates that HatCUP outper-forms the state-of-the-art deep learning-based approaches (CUP) by 53.8% for accuracy, 31.3% for recall and 14.3% for METEOR of the original metrics. Compared with the heuristic-based approach (HEBCUP), HatCUP also shows better overall performance. © 2022 ACM.</t>
  </si>
  <si>
    <t>Gomes M,Pereira R,Silva M,de Vasconcelos JB,Rocha Á</t>
  </si>
  <si>
    <t>KPI’s for Evaluation of DevOps Teams</t>
  </si>
  <si>
    <t>470 LNNS</t>
  </si>
  <si>
    <t>142 – 156</t>
  </si>
  <si>
    <t>https://www.scopus.com/inward/record.uri?eid=2-s2.0-85130230261&amp;doi=10.1007%2f978-3-031-04829-6_13&amp;partnerID=40&amp;md5=fa7d3f8c0353bd6e3bfe56c6fcee07df;http://dx.doi.org/10.1007/978-3-031-04829-6_13</t>
  </si>
  <si>
    <t>10.1007/978-3-031-04829-6_13</t>
  </si>
  <si>
    <t>In an era of digital transformation, where in the last decades has increased the need of embrace change rapidly, it’s important that organizations make their transformation in the path of continue being competitive. To this, organizations have started adopting agile methodologies so that they can respond faster to the daily change. DevOps allows companies to gain a leverage in reach their goals and increasing their velocity in react to change. This way, measure DevOps teams’ performance is a bigger and bigger necessity of the organizations so that they can identify improvement points. A Systematic Literature Review was performed and were identified 13 Key Performance Indicators were identified. Among them, those referred to the quality and results of testing are the most referred and implemented. © 2022, The Author(s), under exclusive license to Springer Nature Switzerland AG.</t>
  </si>
  <si>
    <t>Amit I,Feitelson DG</t>
  </si>
  <si>
    <t>Corrective commit probability: a measure of the effort invested in bug fixing</t>
  </si>
  <si>
    <t>817 – 861</t>
  </si>
  <si>
    <t>https://www.scopus.com/inward/record.uri?eid=2-s2.0-85111879543&amp;doi=10.1007%2fs11219-021-09564-z&amp;partnerID=40&amp;md5=203eb1056e8d2fefbf0be9f538add891;http://dx.doi.org/10.1007/s11219-021-09564-z</t>
  </si>
  <si>
    <t>10.1007/s11219-021-09564-z</t>
  </si>
  <si>
    <t>The effort invested in software development should ideally be devoted to the implementation of new features. But some of the effort is invariably also invested in corrective maintenance, that is in fixing bugs. Not much is known about what fraction of software development work is devoted to bug fixing, and what factors affect this fraction. We suggest the Corrective Commit Probability (CCP), which measures the probability that a commit reflects corrective maintenance, as an estimate of the relative effort invested in fixing bugs. We identify corrective commits by applying a linguistic model to the commit messages, achieving an accuracy of 93%, higher than any previously reported model. We compute the CCP of all large active GitHub projects (7,557 projects with 200+ commits in 2019). This leads to the creation of an investment scale, suggesting that the bottom 10% of projects spend less than 6% of their total effort on bug fixing, while the top 10% of projects spend at least 39% of their effort on bug fixing — more than 6 times more. Being a process metric, CCP is conditionally independent of source code metrics, enabling their evaluation and investigation. Analysis of project attributes shows that lower CCP (that is, lower relative investment in bug fixing) is associated with smaller files, lower coupling, use of languages like JavaScript and C# as opposed to PHP and C++, fewer code smells, lower project age, better perceived quality, fewer developers, lower developer churn, better onboarding, and better productivity. © 2021, The Author(s), under exclusive licence to Springer Science+Business Media, LLC, part of Springer Nature.</t>
  </si>
  <si>
    <t>Penn J</t>
  </si>
  <si>
    <t>Algorithmic Silence: A Call to Decomputerize</t>
  </si>
  <si>
    <t>Journal of Social Computing</t>
  </si>
  <si>
    <t>337 – 356</t>
  </si>
  <si>
    <t>2688-5255</t>
  </si>
  <si>
    <t>https://www.scopus.com/inward/record.uri?eid=2-s2.0-85135144392&amp;doi=10.23919%2fJSC.2021.0023&amp;partnerID=40&amp;md5=a6efa18907e9c52d0029ad7f44d06b45;http://dx.doi.org/10.23919/JSC.2021.0023</t>
  </si>
  <si>
    <t>10.23919/JSC.2021.0023</t>
  </si>
  <si>
    <t>Tech critics become technocrats when they overlook the daunting administrative density of a digital-first society. The author implores critics to reject structural dependencies on digital tools rather than naturalize their integration through critique and reform. At stake is the degree to which citizens must defer to unelected experts to navigate such density. Democracy dies in the darkness of sysadmin. The argument and a candidate solution proceed as follows. Since entropy is intrinsic to all physical systems, including digital systems, perfect automation is a fiction. Concealing this fiction, however, are five historical forces usually treated in isolation: ghost work, technical debt, intellectual debt, the labor of algorithmic critique, and various types of participatory labor. The author connects these topics to emphasize the systemic impositions of digital decision tools, which compound entangled genealogies of oppression and temporal attrition. In search of a harmonious balance between the use of 'AI' tools and the non-digital decision systems they are meant to supplant, the author draws inspiration from an unexpected source: musical notation. Just as musical notes require silence to be operative, the author positions algorithmic silence-the deliberate exclusion of highly abstract digital decision systems from human decision-making environments-as a strategic corrective to the fiction of total automation. Facial recognition bans and the Right to Disconnect are recent examples of algorithmic silence as an active trend. © 2020 Tsinghua University Press.</t>
  </si>
  <si>
    <t>Park D,Cho H,Lee S</t>
  </si>
  <si>
    <t>Classifying Issues into Custom Labels in GitBot</t>
  </si>
  <si>
    <t>28 – 32</t>
  </si>
  <si>
    <t>https://www.scopus.com/inward/record.uri?eid=2-s2.0-85135091651&amp;doi=10.1145%2f3528228.3528404&amp;partnerID=40&amp;md5=610513b0ee0578d8cf88054fd74bfd26;http://dx.doi.org/10.1145/3528228.3528404</t>
  </si>
  <si>
    <t>10.1145/3528228.3528404</t>
  </si>
  <si>
    <t>GitBots are bots in Git repositories to automate repetitive tasks that occur in software development, testing and maintenance. Git-Bots are expected to perform the repetitive tasks that are normally done by humans, such as feedback on issue reports and answers to questions. However, studies on GitBots for labeling issue reports fall short of replacing developers' labeling tasks. Developers still manually attach labels to issues. In this paper, we introduce an issue labeling bot classifying issue reports into custom labels that developers define by themselves so that our bot could attach labels in a similar way to human behavior. © 2022 ACM.</t>
  </si>
  <si>
    <t>Biswas S,Wardat M,Rajan H</t>
  </si>
  <si>
    <t>The Art and Practice of Data Science Pipelines: A Comprehensive Study of Data Science Pipelines In Theory, In-The-Small, and In-The-Large</t>
  </si>
  <si>
    <t>2091 – 2103</t>
  </si>
  <si>
    <t>0270-5257</t>
  </si>
  <si>
    <t>https://www.scopus.com/inward/record.uri?eid=2-s2.0-85126722651&amp;doi=10.1145%2f3510003.3510057&amp;partnerID=40&amp;md5=32bc1353c5a30725f17692a86ae682d6;http://dx.doi.org/10.1145/3510003.3510057</t>
  </si>
  <si>
    <t>10.1145/3510003.3510057</t>
  </si>
  <si>
    <t>Increasingly larger number of software systems today are including data science components for descriptive, predictive, and prescriptive analytics. The collection of data science stages from acquisition, to cleaning/curation, to modeling, and so on are referred to as data science pipelines. To facilitate research and practice on data science pipelines, it is essential to understand their nature. What are the typical stages of a data science pipeline? How are they connected? Do the pipelines differ in the theoretical representations and that in the practice? Today we do not fully understand these architectural characteristics of data science pipelines. In this work, we present a three-pronged comprehensive study to answer this for the state-of-the-art, data science in-the-small, and data science in-the-large, Our study analyzes three datasets: a collection of 71 proposals for data science pipelines and related concepts in theory, a collection of over 105 implementations of curated data science pipelines from Kaggle competitions to understand data science in-the-small, and a collection of 21 mature data science projects from GitHub to understand data science in-the-large. Our study has led to three representations of data science pipelines that capture the essence of our subjects in theory, in-the-small, and in-the-large. © 2022 ACM.</t>
  </si>
  <si>
    <t>Cited by: 3; All Open Access, Bronze Open Access, Green Open Access</t>
  </si>
  <si>
    <t>Chkoniya V</t>
  </si>
  <si>
    <t>Handbook of research on applied data science and artificial intelligence in business and industry</t>
  </si>
  <si>
    <t>IGI Global</t>
  </si>
  <si>
    <t>https://www.scopus.com/inward/record.uri?eid=2-s2.0-85128143850&amp;doi=10.4018%2f9781799869856&amp;partnerID=40&amp;md5=c68135660fe735db4c9025cfefebddd2;http://dx.doi.org/10.4018/9781799869856</t>
  </si>
  <si>
    <t>10.4018/9781799869856</t>
  </si>
  <si>
    <t>The contemporary world lives on the data produced at an unprecedented speed through social networks and the internet of things (IoT). Data has been called the new global currency, and its rise is transforming entire industries, providing a wealth of opportunities. Applied data science research is necessary to derive useful information from big data for the effective and efficient utilization to solve real-world problems. A broad analytical set allied with strong business logic is fundamental in today's corporations. Organizations work to obtain competitive advantage by analyzing the data produced within and outside their organizational limits to support their decision-making processes. This book aims to provide an overview of the concepts, tools, and techniques behind the fields of data science and artificial intelligence (AI) applied to business and industries. The Handbook of Research on Applied Data Science and Artificial Intelligence in Business and Industry discusses all stages of data science to AI and their application to real problems across industries-from science and engineering to academia and commerce. This book brings together practice and science to build successful data solutions, showing how to uncover hidden patterns and leverage them to improve all aspects of business performance by making sense of data from both web and offline environments. Covering topics including applied AI, consumer behavior analytics, and machine learning, this text is essential for data scientists, IT specialists, managers, executives, software and computer engineers, researchers, practitioners, academicians, and students. © 2021 by IGI Global. All rights reserved.</t>
  </si>
  <si>
    <t>1 – cxlii</t>
  </si>
  <si>
    <t>Mahadi A,Ernst NA,Tongay K</t>
  </si>
  <si>
    <t>Conclusion stability for natural language based mining of design discussions</t>
  </si>
  <si>
    <t>https://www.scopus.com/inward/record.uri?eid=2-s2.0-85117726027&amp;doi=10.1007%2fs10664-021-10009-1&amp;partnerID=40&amp;md5=6fb1cafc8822987601a714d4a6249c9e;http://dx.doi.org/10.1007/s10664-021-10009-1</t>
  </si>
  <si>
    <t>10.1007/s10664-021-10009-1</t>
  </si>
  <si>
    <t>Developer discussions range from in-person hallway chats to comment chains on bug reports. Being able to identify discussions that touch on software design would be helpful in documentation and refactoring software. Design mining is the application of machine learning techniques to correctly label a given discussion artifact, such as a pull request, as pertaining (or not) to design. In this paper we demonstrate a simple example of how design mining works. We then show how conclusion stability is poor on different artifact types and different projects. We show two techniques—augmentation and context specificity—that greatly improve the conclusion stability and cross-project relevance of design mining. Our new approach achieves AUC of 0.88 on within dataset classification and 0.80 on the cross-dataset classification task. © 2021, The Author(s), under exclusive licence to Springer Science+Business Media, LLC, part of Springer Nature.</t>
  </si>
  <si>
    <t>Henriksen A,Enni S,Bechmann A</t>
  </si>
  <si>
    <t>Situated Accountability: Ethical Principles, Certification Standards, and Explanation Methods in Applied AI</t>
  </si>
  <si>
    <t>574 – 585</t>
  </si>
  <si>
    <t>https://www.scopus.com/inward/record.uri?eid=2-s2.0-85112462721&amp;doi=10.1145%2f3461702.3462564&amp;partnerID=40&amp;md5=671b14c6ba997a948a5be4d1cac6d0ef;http://dx.doi.org/10.1145/3461702.3462564</t>
  </si>
  <si>
    <t>10.1145/3461702.3462564</t>
  </si>
  <si>
    <t>Artificial intelligence (AI) has the potential to benefit humans and society by its employment in important sectors. However, the risks of negative consequences have underscored the importance of accountability for AI systems, their outcomes, and the users of such systems. In recent years, various accountability mechanisms have been put forward in pursuit of the responsible design, development, and use of AI. In this article, we provide an in-depth study of three such mechanisms, as we analyze Scandinavian AI developers' encounter with (1) ethical principles, (2) certification standards, and (3) explanation methods. By doing so, we contribute to closing a gap in the literature between discussions of accountability on the research and policy level, and accountability as a responsibility put on the shoulders of developers in practice. Our study illustrates important flaws in the current enactment of accountability as an ethical and social value which, if left unchecked, risks undermining the pursuit of responsible AI. By bringing attention to these flaws, the article signals where further work is needed in order to build effective accountability systems for AI. © 2021 ACM.</t>
  </si>
  <si>
    <t>https://www.scopus.com/inward/record.uri?eid=2-s2.0-85106961235&amp;doi=10.1007%2fs11704-020-9281-z&amp;partnerID=40&amp;md5=002b16d30c3111a8288dbd251d14acba;http://dx.doi.org/10.1007/s11704-020-9281-z</t>
  </si>
  <si>
    <t>Technical debt is a metaphor for seeking short-term gains at expense of long-term code quality. Previous studies have shown that self-admitted technical debt, which is introduced intentionally, has strong negative impacts on software development and incurs high maintenance overheads. To help developers identify self-admitted technical debt, researchers have proposed many state-of-the-art methods. However, there is still room for improvement about the effectiveness of the current methods, as self-admitted technical debt comments have the characteristics of length variability, low proportion and style diversity. Therefore, in this paper, we propose a novel approach based on the bidirectional long short-term memory (BiLSTM) networks with the attention mechanism to automatically detect self-admitted technical debt by leveraging source code comments. In BiLSTM, we utilize a balanced cross entropy loss function to overcome the class unbalance problem. We experimentally investigate the performance of our approach on a public dataset including 62, 566 code comments from ten open source projects. Experimental results show that our approach achieves 81.75% in terms of precision, 72.24% in terms of recall and 75.86% in terms of F1-score on average and outperforms the state-of-the-art text mining-based method by 8.14%, 5.49% and 6.64%, respectively. © 2021, Higher Education Press.</t>
  </si>
  <si>
    <t>Alhusain S</t>
  </si>
  <si>
    <t>Predicting Relative Thresholds for Object Oriented Metrics</t>
  </si>
  <si>
    <t>55 – 63</t>
  </si>
  <si>
    <t>https://www.scopus.com/inward/record.uri?eid=2-s2.0-85114787941&amp;doi=10.1109%2fTechDebt52882.2021.00015&amp;partnerID=40&amp;md5=07e01d870b606471858b7d8d55d4f1f8;http://dx.doi.org/10.1109/TechDebt52882.2021.00015</t>
  </si>
  <si>
    <t>10.1109/TechDebt52882.2021.00015</t>
  </si>
  <si>
    <t>Object-oriented software metrics provide a numerical characterization of software quality. They have also been used in the assessment and identification of technical debt. However, metrics generally need to be used with thresholds as reference points that help to interpret their values properly and objectively. The problem is that, while there are many proposed metrics, there are relatively few studies on thresholds and threshold calculation methods; hence, the effective application of metrics in practice has been limited. Moreover, although it has been acknowledged that thresholds should not be absolute, but rather relative to certain contextual factors, the context is still not considered in most threshold studies. In this paper, the relationship between system size (as a contextual factor) and metric thresholds is investigated. The objective is to build predictive models that estimate thresholds based solely on system size, and to assess the feasibility of this approach as a threshold estimation method. An empirical study is conducted for this purpose using 36 defect- prediction datasets and six metrics. The results show that the proposed threshold estimation method is feasible, and it can achieve an accuracy remarkably comparable to more complex threshold models. © 2021 IEEE.</t>
  </si>
  <si>
    <t>Nazliel K,Kayabay K,Gokalp MO,Gokalp E,Eren E</t>
  </si>
  <si>
    <t>Data Science Technology Selection: Development of a Decision-Making Approach</t>
  </si>
  <si>
    <t>172 – 178</t>
  </si>
  <si>
    <t>https://www.scopus.com/inward/record.uri?eid=2-s2.0-85134194795&amp;doi=10.1109%2fTEMSCONEUROPE54743.2022.9802054&amp;partnerID=40&amp;md5=d15c6dd83ba2312925aeebe5b4d8cb1a;http://dx.doi.org/10.1109/TEMSCONEUROPE54743.2022.9802054</t>
  </si>
  <si>
    <t>10.1109/TEMSCONEUROPE54743.2022.9802054</t>
  </si>
  <si>
    <t>Developments in data science and related fields have created plentiful technologies for the business world. The rapid developments in new technologies obstruct analytics teams' data science technology identification, selection, and management processes. Utilizing an improper set of tools, teams encounter problems and inefficiencies when managing their technology architecture. We undertake this problem by providing a technology selection approach synthesizing quantitative multi-criteria decision-making methods with qualitative group decision-making approaches. The purpose of this study is to develop a comprehensive technology selection methodology for Data Science that satisfies principles for developing a strategic technology management toolkit. Following the principles for developing technology management tools, the proposed methodology enables the decision-makers to compare the data science tools and select the most suitable alternative according to their data science project requirements. The practitioners can identify the technology categories, functional and non-functional requirements, differentiating features, and possible technology stacks. While the existing studies in this domain consider the technology selection problem in isolation and investigate a subset of technologies, our approach considers the end-to-end data science processes from the technology management perspective to provide data experts with a systematic approach exposing integrable technologies. © 2022 IEEE.</t>
  </si>
  <si>
    <t>Almahmoud J,Deline R,Drucker SM</t>
  </si>
  <si>
    <t>How Teams Communicate about the Quality of ML Models: A Case Study at an International Technology Company</t>
  </si>
  <si>
    <t>GROUP</t>
  </si>
  <si>
    <t>https://www.scopus.com/inward/record.uri?eid=2-s2.0-85110459361&amp;doi=10.1145%2f3463934&amp;partnerID=40&amp;md5=385ea0093a63086a0dbc8814e2f74ed6;http://dx.doi.org/10.1145/3463934</t>
  </si>
  <si>
    <t>10.1145/3463934</t>
  </si>
  <si>
    <t>Machine learning (ML) has become a crucial component in software products, either as part of the user experience or used internally by software teams. Prior studies have explored how ML is affecting development team roles beyond data scientists, including user experience designers, program managers, developers and operations engineers. However, there has been little investigation of how team members in different roles on the team communicate about ML, in particular about the quality of models. We use the general term quality to look beyond technical issues of model evaluation, such as accuracy and overfitting, to any issue affecting whether a model is suitable for use, including ethical, engineering, operations, and legal considerations. What challenges do teams face in discussing the quality of ML models? What work practices mitigate those challenges? To address these questions, we conducted a mixed-methods study at a large software company, first interviewing15 employees in a variety of roles, then surveying 168 employees to broaden our understanding. We found several challenges, including a mismatch between user-focused and model-focused notions of performance, misunderstandings about the capabilities and limitations of evolving ML technology, and difficulties in understanding concerns beyond one's own role. We found several mitigation strategies, including the use of demos during discussions to keep the team customer-focused. © 2021 Owner/Author.</t>
  </si>
  <si>
    <t>Gheibi O,Weyns D,Quin F</t>
  </si>
  <si>
    <t>Applying Machine Learning in Self-adaptive Systems</t>
  </si>
  <si>
    <t>ACM Transactions on Autonomous and Adaptive Systems</t>
  </si>
  <si>
    <t>1556-4665</t>
  </si>
  <si>
    <t>https://www.scopus.com/inward/record.uri?eid=2-s2.0-85113807787&amp;doi=10.1145%2f3469440&amp;partnerID=40&amp;md5=ac2ec772179d5bb925bf67779e557769;http://dx.doi.org/10.1145/3469440</t>
  </si>
  <si>
    <t>10.1145/3469440</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</si>
  <si>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 © 2021 Owner/Author.</t>
  </si>
  <si>
    <t>Cited by: 21; All Open Access, Bronze Open Access, Green Open Access</t>
  </si>
  <si>
    <t>Mota JS,Tives HA,Canedo ED</t>
  </si>
  <si>
    <t>Tool for measuring productivity in software development teams</t>
  </si>
  <si>
    <t>Information (Switzerland)</t>
  </si>
  <si>
    <t>2078-2489</t>
  </si>
  <si>
    <t>https://www.scopus.com/inward/record.uri?eid=2-s2.0-85116384967&amp;doi=10.3390%2finfo12100396&amp;partnerID=40&amp;md5=f20bbec9a18cd9688ae764449c03d8fd;http://dx.doi.org/10.3390/info12100396</t>
  </si>
  <si>
    <t>10.3390/info12100396</t>
  </si>
  <si>
    <t>Despite efforts to define productivity, there is no consensus in the software industry regarding what the term productivity means and, instead of having only one metric or factor that describes productivity, it is defined by a set of aspects. Our objective is to develop a tool that supports the productivity measurement of software development teams according to the factors found in the literature. We divided these factors into four groups: People, Product, Organization, and Open Source Software Projects. We developed a web system containing the factors that influence productivity identified in this work, called Productive, to support software development teams in measuring their productivity. After developed the tool, we monitored its use over eight weeks with two small software development teams. From the results, we found that software development companies can use the system to support monitoring team productivity. The results also point to an improvement in productivity while using the system, and a survey applied to users demonstrates the users’ positive perception regarding the results obtained. In future work, we will monitor the use of the tool and investigate the users’ perceptions in other project contexts. © 2021 by the authors. Licensee MDPI, Basel, Switzerland.</t>
  </si>
  <si>
    <t>Siavvas M,Kehagias D,Tzovaras D,Gelenbe E</t>
  </si>
  <si>
    <t>A hierarchical model for quantifying software security based on static analysis alerts and software metrics</t>
  </si>
  <si>
    <t>431 – 507</t>
  </si>
  <si>
    <t>https://www.scopus.com/inward/record.uri?eid=2-s2.0-85106207514&amp;doi=10.1007%2fs11219-021-09555-0&amp;partnerID=40&amp;md5=b0ecf71985d4ef4c10438eabe73da349;http://dx.doi.org/10.1007/s11219-021-09555-0</t>
  </si>
  <si>
    <t>10.1007/s11219-021-09555-0</t>
  </si>
  <si>
    <t>Despite the acknowledged importance of quantitative security assessment in secure software development, current literature still lacks an efficient model for measuring internal software security risk. To this end, in this paper, we introduce a hierarchical security assessment model (SAM), able to assess the internal security level of software products based on low-level indicators, i.e., security-relevant static analysis alerts and software metrics. The model, following the guidelines of ISO/IEC 25010, and based on a set of thresholds and weights, systematically aggregates these low-level indicators in order to produce a high-level security score that reflects the internal security level of the analyzed software. The proposed model is practical, since it is fully automated and operationalized in the form of a standalone tool and as part of a broader Computer-Aided Software Engineering (CASE) platform. In order to enhance its reliability, the thresholds of the model were calibrated based on a repository of 100 popular software applications retrieved from Maven Repository. Furthermore, its weights were elicited in a way to chiefly reflect the knowledge expressed by the Common Weakness Enumeration (CWE), through a novel weights elicitation approach grounded on popular decision-making techniques. The proposed model was evaluated on a large repository of 150 open-source software applications retrieved from GitHub and 1200 classes retrieved from the OWASP Benchmark. The results of the experiments revealed the capacity of the proposed model to reliably assess internal security at both product level and class level of granularity, with sufficient discretion power. They also provide preliminary evidence for the ability of the model to be used as the basis for vulnerability prediction. To the best of our knowledge, this is the first fully automated, operationalized and sufficiently evaluated security assessment model in the modern literature. © 2021, The Author(s), under exclusive licence to Springer Science+Business Media, LLC, part of Springer Nature.</t>
  </si>
  <si>
    <t>Wen F,Nagy C,Lanza M,Bavota G</t>
  </si>
  <si>
    <t>Quick remedy commits and their impact on mining software repositories</t>
  </si>
  <si>
    <t>https://www.scopus.com/inward/record.uri?eid=2-s2.0-85118233931&amp;doi=10.1007%2fs10664-021-10051-z&amp;partnerID=40&amp;md5=60ee8216c8d94a47bf71be4b24839ff1;http://dx.doi.org/10.1007/s10664-021-10051-z</t>
  </si>
  <si>
    <t>10.1007/s10664-021-10051-z</t>
  </si>
  <si>
    <t>Most changes during software maintenance and evolution are not atomic changes, but rather the result of several related changes affecting different parts of the code. It may happen that developers omit needed changes, thus leaving a task partially unfinished, introducing technical debt or injecting bugs. We present a study investigating “quick remedy commits” performed by developers to implement changes omitted in previous commits. With quick remedy commits we refer to commits that (i) quickly follow a commit performed by the same developer, and (ii) aim at remedying issues introduced as the result of code changes omitted in the previous commit (e.g., fix references to code components that have been broken as a consequence of a rename refactoring) or simply improve the previously committed change (e.g., improve the name of a newly introduced variable). Through a manual analysis of 500 quick remedy commits, we define a taxonomy categorizing the types of changes that developers tend to omit. The taxonomy can (i) guide the development of tools aimed at detecting omitted changes and (ii) help researchers in identifying corner cases that must be properly handled. For example, one of the categories in our taxonomy groups the reverted commits, meaning changes that are undone in a subsequent commit. We show that not accounting for such commits when mining software repositories can undermine one’s findings. In particular, our results show that considering completely reverted commits when mining software repositories accounts, on average, for 0.07 and 0.27 noisy data points when dealing with two typical MSR data collection tasks (i.e., bug-fixing commits identification and refactoring operations mining, respectively). © 2021, The Author(s).</t>
  </si>
  <si>
    <t>Coppola R,Ardito L</t>
  </si>
  <si>
    <t>Quality assessment methods for textual conversational interfaces: A multivocal literature review</t>
  </si>
  <si>
    <t>https://www.scopus.com/inward/record.uri?eid=2-s2.0-85118863045&amp;doi=10.3390%2finfo12110437&amp;partnerID=40&amp;md5=e38a833f0d268ecacdb0bc53af1c48d4;http://dx.doi.org/10.3390/info12110437</t>
  </si>
  <si>
    <t>10.3390/info12110437</t>
  </si>
  <si>
    <t>The evaluation and assessment of conversational interfaces is a complex task since such software products are challenging to validate through traditional testing approaches. We conducted a systematic Multivocal Literature Review (MLR), on five different literature sources, to provide a view on quality attributes, evaluation frameworks, and evaluation datasets proposed to provide aid to the researchers and practitioners of the field. We came up with a final pool of 118 contributions, including grey (35) and white literature (83). We categorized 123 different quality attributes and metrics under ten different categories and four macro-categories: Relational, Conversational, User-Centered and Quantitative attributes. While Relational and Conversational attributes are most commonly explored by the scientific literature, we testified a predominance of User-Centered Attributes in industrial literature. We also identified five different academic frameworks/tools to automatically compute sets of metrics, and 28 datasets (subdivided into seven different categories based on the type of data contained) that can produce conversations for the evaluation of conversational interfaces. Our analysis of literature highlights that a high number of qualitative and quantitative attributes are available in the literature to evaluate the performance of conversational interfaces. Our categorization can serve as a valid entry point for researchers and practitioners to select the proper functional and non-functional aspects to be evaluated for their products. © 2021 by the authors. Licensee MDPI, Basel, Switzerland.</t>
  </si>
  <si>
    <t>Testi M,Ballabio M,Frontoni E,Iannello G,Moccia S,Soda P,Vessio G</t>
  </si>
  <si>
    <t>MLOps: A Taxonomy and a Methodology</t>
  </si>
  <si>
    <t>63606 – 63618</t>
  </si>
  <si>
    <t>https://www.scopus.com/inward/record.uri?eid=2-s2.0-85132730765&amp;doi=10.1109%2fACCESS.2022.3181730&amp;partnerID=40&amp;md5=a3eef8516db1852a0c7a8230031a8fa1;http://dx.doi.org/10.1109/ACCESS.2022.3181730</t>
  </si>
  <si>
    <t>10.1109/ACCESS.2022.3181730</t>
  </si>
  <si>
    <t>Over the past few decades, the substantial growth in enterprise-data availability and the advancements in Artificial Intelligence (AI) have allowed companies to solve real-world problems using Machine Learning (ML). ML Operations (MLOps) represents an effective strategy for bringing ML models from academic resources to useful tools for solving problems in the corporate world. The current literature on MLOps is still mostly disconnected and sporadic. In this work, we review the existing scientific literature and we propose a taxonomy for clustering research papers on MLOps. In addition, we present methodologies and operations aimed at defining an ML pipeline to simplify the release of ML applications in the industry. The pipeline is based on ten steps: business problem understanding, data acquisition, ML methodology, ML training &amp; testing, continuous integration, continuous delivery, continuous training, continuous monitoring, explainability, and sustainability. The scientific and business interest and the impact of MLOps have grown significantly over the past years: the definition of a clear and standardized methodology for conducting MLOps projects is the main contribution of this paper. © 2022 IEEE.</t>
  </si>
  <si>
    <t>Panighrahi R,Kuanar SK,Kumar L</t>
  </si>
  <si>
    <t>Cross-Project Software Refactoring Prediction Using Optimized Deep Learning Neural Network With the Aid of Attribute Selection</t>
  </si>
  <si>
    <t>International Journal of Open Source Software and Processes</t>
  </si>
  <si>
    <t>1942-3926</t>
  </si>
  <si>
    <t>https://www.scopus.com/inward/record.uri?eid=2-s2.0-85130738070&amp;doi=10.4018%2fIJOSSP.300756&amp;partnerID=40&amp;md5=242b5facb6672ebf14f1465c699beb8f;http://dx.doi.org/10.4018/IJOSSP.300756</t>
  </si>
  <si>
    <t>10.4018/IJOSSP.300756</t>
  </si>
  <si>
    <t>Cross-project refactoring prediction is prominent research that comprises model training from one project database and testing it for a database under a separate project. While performing the refactoring process on the cross project, software programs want to be restructured by modifying or adding the source code. However, recognizing a piece of code for predicting refactoring purposes remains a challenge for software designers. To date, the entire refactoring procedure is highly dependent on the skills and software inventers. In this manuscript, a deep learning model is utilized to introduce a predictive model for refactoring to highlight classes that need to be refactored. Specifically, the deep learning technique is utilized along with the proposed attribute selection phases to predict refactoring at the class level. The planned optimized deep learning-based method for cross-project refactoring prediction is experimentally conducted on open-source project and accuracy is found to be 0.9648 as compared to other mentioned methods. Copyright © 2022, IGI Global</t>
  </si>
  <si>
    <t>Gupta A,Sharma D,Phulli K</t>
  </si>
  <si>
    <t>A Multi-criteria Decision-Making Approach to Analyze Python Code Smells</t>
  </si>
  <si>
    <t>Lecture Notes in Electrical Engineering</t>
  </si>
  <si>
    <t>103 – 117</t>
  </si>
  <si>
    <t>1876-1100</t>
  </si>
  <si>
    <t>https://www.scopus.com/inward/record.uri?eid=2-s2.0-85134289823&amp;doi=10.1007%2f978-981-19-1111-8_10&amp;partnerID=40&amp;md5=f6ae2b197b0baa3e83bc80307c825f2d;http://dx.doi.org/10.1007/978-981-19-1111-8_10</t>
  </si>
  <si>
    <t>10.1007/978-981-19-1111-8_10</t>
  </si>
  <si>
    <t>Frequent modifications in the software leads to the issues in the code which deteriorates software quality. The suitable approach to rectify it is to refactor it. Consequently, this research devises a ranking using the MCDM approach for prioritizing Python-based code smells. This order ranking has been studied over 10,552 classes for five generic code smells diffused in 20 Python software. The software metrics extracted over these python classes have been considered as multiple criteria which are processed using rule-based machine learning approach. In this study, an approach providing compromised solution—VIKOR have been practiced along with TOPSIS and WASPAS methods. Additionally, the MCDM approaches have utilized Shannon’s Entropy and CRITIC method as weight estimation techniques. The extracted vital software metrics achieved over 90% accuracy. The prominent outcome portrays that the most dominant smell is Collapsible “IF” which needs to be refactored at the early stage. This should be accompanied by Cognitive Complexity smell so as to attain sustainable development environment. © 2022, The Author(s), under exclusive license to Springer Nature Singapore Pte Ltd.</t>
  </si>
  <si>
    <t>Hegedus P,Ferenc R</t>
  </si>
  <si>
    <t>Static Code Analysis Alarms Filtering Reloaded: A New Real-World Dataset and its ML-Based Utilization</t>
  </si>
  <si>
    <t>55090 – 55101</t>
  </si>
  <si>
    <t>https://www.scopus.com/inward/record.uri?eid=2-s2.0-85130831259&amp;doi=10.1109%2fACCESS.2022.3176865&amp;partnerID=40&amp;md5=076fec26a06a409dfca74a915e07acae;http://dx.doi.org/10.1109/ACCESS.2022.3176865</t>
  </si>
  <si>
    <t>10.1109/ACCESS.2022.3176865</t>
  </si>
  <si>
    <t>Even though Static Code Analysis (SCA) tools are integrated into many modern software building and testing pipelines, their practical impact is still seriously hindered by the excessive number of false positive warnings they usually produce. To cope with this problem, researchers have proposed several post-processing methods that aim to filter out false hits (or equivalently identify 'actionable' warnings) after the SCA tool produced its results. However, we found that most of these approaches are targeted (i.e., deal with only a few SCA warning types) and evaluated on synthetic benchmarks or small-scale manually collected data sets (i.e., with typical sample sizes of several hundred). In this paper, we present a dataset containing 224,484 real-world warning samples fixed (true positives) or explicitly ignored (false positives) by the developers, which we collected from 9,958 different open-source Java projects from GitHub using a data mining approach. Additionally, we utilize this rich dataset to train a code embedding-based machine learning model for filtering false positive warnings produced by 160 different SonarQube rule checks, one of the most widely adopted SCA tools today. This is the most extensive real-world public dataset and study we know of in this area. Our method works with an accuracy of 91% (best F1-score of 81.3% and AUC of 95.3%) for the classification of SonarQube warnings. © 2013 IEEE.</t>
  </si>
  <si>
    <t>Restrepo L,Aguilar J,Toro M,Suescún E</t>
  </si>
  <si>
    <t>A sustainable-development approach for self-adaptive cyber–physical system's life cycle: A systematic mapping study</t>
  </si>
  <si>
    <t>https://www.scopus.com/inward/record.uri?eid=2-s2.0-85107766571&amp;doi=10.1016%2fj.jss.2021.111010&amp;partnerID=40&amp;md5=d448645aacc3ff1b088bd1b3a1cb12db;http://dx.doi.org/10.1016/j.jss.2021.111010</t>
  </si>
  <si>
    <t>10.1016/j.jss.2021.111010</t>
  </si>
  <si>
    <t>Cyber–Physical Systems (CPS) refer to a new generation of systems where the cyber and physical layers are –strongly– interconnected. The development of these systems requires two fundamental parts. First, the design of sustainable architectures –centered on adaptation, throughout a System-Development Life-Cycle (SDLC)– to develop robust and economically profitable products. Second, the use of self-adaptive techniques to adjust CPSs to the evolving circumstances of their operation context. This work presents a systematic mapping study (SMS) that discusses different approaches used to develop self-adaptive CPSs (SA-CPSs) at each stage of the SDLC, focused on sustainability. The results show trends such as (i) Designs are not limited to particular application domains, (ii) Performance was the most commonly used attribute, and (iii) Monitor–Analyze–Plan–Execute over a shared Knowledge (MAPE-K) is the predominant feedback loop applied in the cyber layer. The results also raise challenges such as (i) How to design and evaluate sustainable SA-CPSs, (ii) How to apply unit and integration testing in the development of SA-CPSs, and (iii) How to develop feedback loops on SA-CPSs with the integration of machine-learning techniques. © 2021 Elsevier Inc.</t>
  </si>
  <si>
    <t>Gärtler M,Khaydarov V,Klöpper B,Urbas L</t>
  </si>
  <si>
    <t>The Machine Learning Life Cycle in Chemical Operations – Status and Open Challenges</t>
  </si>
  <si>
    <t>Chemie-Ingenieur-Technik</t>
  </si>
  <si>
    <t>2063 – 2080</t>
  </si>
  <si>
    <t>John Wiley and Sons Inc</t>
  </si>
  <si>
    <t>0009-286X</t>
  </si>
  <si>
    <t>https://www.scopus.com/inward/record.uri?eid=2-s2.0-85118802542&amp;doi=10.1002%2fcite.202100134&amp;partnerID=40&amp;md5=aa4fe2396d451ce1717a73069e7d063b;http://dx.doi.org/10.1002/cite.202100134</t>
  </si>
  <si>
    <t>10.1002/cite.202100134</t>
  </si>
  <si>
    <t>Artificial intelligence (AI) has received a lot of attention with many publications in recent years. Interestingly related projects in the industry are mostly still in their early stages. We are convinced that progress will only be possible if the entire machine learning (ML) life cycle is considered. Our study focuses on the practical challenges, uses a recent study as foundation and adopts the life-cycle description, highlights the life-cycle practices in other domains and formulates research directions that can help to improve the utilization of AI and machine learning in the process industry. © 2021 The Authors. Chemie Ingenieur Technik published by Wiley-VCH GmbH.</t>
  </si>
  <si>
    <t>Cited by: 6</t>
  </si>
  <si>
    <t>Cao L</t>
  </si>
  <si>
    <t>Estimating Efforts for Various Activities in Agile Software Development: An Empirical Study</t>
  </si>
  <si>
    <t>83311 – 83321</t>
  </si>
  <si>
    <t>https://www.scopus.com/inward/record.uri?eid=2-s2.0-85135744097&amp;doi=10.1109%2fACCESS.2022.3196923&amp;partnerID=40&amp;md5=7d3a77dd28b2f0fd1e8ec1cfda510d1a;http://dx.doi.org/10.1109/ACCESS.2022.3196923</t>
  </si>
  <si>
    <t>10.1109/ACCESS.2022.3196923</t>
  </si>
  <si>
    <t>Effort estimation is an important practice in agile software development. The agile community believes that developers' estimates get more accurate over time due to the cumulative effect of learning from short and frequent feedback. However, there is no empirical evidence of an improvement in estimation accuracy over time, nor have prior studies examined effort estimation in different development activities, which are associated with substantial costs. This study fills the knowledge gap in the field of software estimation in agile software development by investigating estimations across time and different development activities based on data collected from a large agile project. This study investigated effort estimation in various development activities, including feature development, bug fixing, and refactoring in agile software development. The results indicate that estimation of agile development does not improve over time, as claimed in the literature. Our data also indicate that no difference exists in the magnitude of estimation errors between feature tasks and bug-fixing/refactoring tasks, while bug-fixing and refactoring tasks are overestimated more frequently than feature tasks. This study also contributes to our knowledge about overestimation and underestimation patterns in agile software development. © 2013 IEEE.</t>
  </si>
  <si>
    <t>Ranasinghe P,Chandimali N,Wijesiriwardana C</t>
  </si>
  <si>
    <t>Systematic Exploration and Classification of Useful Comments in Stack Overflow</t>
  </si>
  <si>
    <t>766 – 774</t>
  </si>
  <si>
    <t>https://www.scopus.com/inward/record.uri?eid=2-s2.0-85126811133&amp;doi=10.14569%2fIJACSA.2022.0130289&amp;partnerID=40&amp;md5=a89502cbb254764652288a5a824a481e;http://dx.doi.org/10.14569/IJACSA.2022.0130289</t>
  </si>
  <si>
    <t>10.14569/IJACSA.2022.0130289</t>
  </si>
  <si>
    <t>Stack Overflow is a public platform for developers to share their knowledge on programming with an engaged community. Crowdsourced programming knowledge is not only generated through questions and answers but also through comments which are commonly known as developer discussions. Despite the availability of standard commenting guidelines on Stack Overflow, some users tend to post comments not adhering to those guidelines. This practice affects the quality of the developer discussion, thus adversely affecting the knowledgesharing process. Literature reveals that analyzing the comments could facilitate the process of learning and knowledge sharing. Therefore, this study intends to extract and classify useful comments into three categories: request clarification, constructive criticism, and relevant information. In this study, the classification of useful comments was performed using the Support Vector Machine (SVM) algorithm with five different kernels. Feature engineering was conducted to identify the possibility of concatenating ten external features with textual features. During the feature evaluation, it was identified that only TFIDF and N-grams scores help classify useful comments. The evaluation results confirm Radial Basis Function (RBF) kernel of the SVM classification algorithm performs best in classifying useful comments in Stack Overflow regardless of the usage of the optimal combinations of hyperparameters © 2022, International Journal of Advanced Computer Science and Applications.All Rights Reserved.</t>
  </si>
  <si>
    <t>Method Cards for Prescriptive Machine-Learning Transparency</t>
  </si>
  <si>
    <t>90 – 100</t>
  </si>
  <si>
    <t>https://www.scopus.com/inward/record.uri?eid=2-s2.0-85133432739&amp;doi=10.1145%2f3522664.3528600&amp;partnerID=40&amp;md5=46e2f7c7db65fa8a996456de137f238d;http://dx.doi.org/10.1145/3522664.3528600</t>
  </si>
  <si>
    <t>10.1145/3522664.3528600</t>
  </si>
  <si>
    <t>Specialized documentation techniques have been developed to communicate key facts about machine-learning (ML) systems and the datasets and models they rely on. Techniques such as Datasheets, AI FactSheets, and Model Cards have taken a mainly descriptive approach, providing various details about the system components. While the above information is essential for product developers and external experts to assess whether the ML system meets their requirements, other stakeholders might find it less actionable. In particular, ML engineers need guidance on how to mitigate potential shortcomings in order to fix bugs or improve the system's performance. We propose a documentation artifact that aims to provide such guidance in a prescriptive way. Our proposal, called Method Cards, aims to increase the transparency and reproducibility of ML systems by allowing stakeholders to reproduce the models, understand the rationale behind their designs, and introduce adaptations in an informed way. We showcase our proposal with an example in small object detection, and demonstrate how Method Cards can communicate key considerations that help increase the transparency and reproducibility of the detection model. We further highlight avenues for improving the user experience of ML engineers based on Method Cards. CCS CONCEPTS •Software and its engineering Documentation; •Computing methodologies Machine learning. © 2022 ACM.</t>
  </si>
  <si>
    <t>Cited by: 2; All Open Access, Bronze Open Access</t>
  </si>
  <si>
    <t>Chen T,Li M</t>
  </si>
  <si>
    <t>Multi-objectivizing software configuration tuning</t>
  </si>
  <si>
    <t>453 – 465</t>
  </si>
  <si>
    <t>https://www.scopus.com/inward/record.uri?eid=2-s2.0-85116294210&amp;doi=10.1145%2f3468264.3468555&amp;partnerID=40&amp;md5=2789ae7f809557fa2e4a5b4cd7a7f1ca;http://dx.doi.org/10.1145/3468264.3468555</t>
  </si>
  <si>
    <t>10.1145/3468264.3468555</t>
  </si>
  <si>
    <t>Automatically tuning software configuration for optimizing a single performance attribute (e.g., minimizing latency) is not trivial, due to the nature of the configuration systems (e.g., complex landscape and expensive measurement). To deal with the problem, existing work has been focusing on developing various effective optimizers. However, a prominent issue that all these optimizers need to take care of is how to avoid the search being trapped in local optima-a hard nut to crack for software configuration tuning due to its rugged and sparse landscape, and neighboring configurations tending to behave very differently. Overcoming such in an expensive measurement setting is even more challenging. In this paper, we take a different perspective to tackle this issue. Instead of focusing on improving the optimizer, we work on the level of optimization model. We do this by proposing a meta multi-objectivization model (MMO) that considers an auxiliary performance objective (e.g., throughput in addition to latency). What makes this model unique is that we do not optimize the auxiliary performance objective, but rather use it to make similarly-performing while different configurations less comparable (i.e. Pareto nondominated to each other), thus preventing the search from being trapped in local optima. Experiments on eight real-world software systems/environments with diverse performance attributes reveal that our MMO model is statistically more effective than state-of-the-art single-objective counterparts in overcoming local optima (up to 42% gain), while using as low as 24% of their measurements to achieve the same (or better) performance result. © 2021 ACM.</t>
  </si>
  <si>
    <t>Cited by: 3; All Open Access, Green Open Access</t>
  </si>
  <si>
    <t>Myllyaho L,Raatikainen M,Männistö T,Nurminen JK,Mikkonen T</t>
  </si>
  <si>
    <t>On misbehaviour and fault tolerance in machine learning systems</t>
  </si>
  <si>
    <t>https://www.scopus.com/inward/record.uri?eid=2-s2.0-85116351574&amp;doi=10.1016%2fj.jss.2021.111096&amp;partnerID=40&amp;md5=8c5aa6e19ea2dc2cba467254b20cb554;http://dx.doi.org/10.1016/j.jss.2021.111096</t>
  </si>
  <si>
    <t>10.1016/j.jss.2021.111096</t>
  </si>
  <si>
    <t>Machine learning (ML) provides us with numerous opportunities, allowing ML systems to adapt to new situations and contexts. At the same time, this adaptability raises uncertainties concerning the run-time product quality or dependability, such as reliability and security, of these systems. Systems can be tested and monitored, but this does not provide protection against faults and failures in adapted ML systems themselves. We studied software designs that aim at introducing fault tolerance in ML systems so that possible problems in ML components of the systems can be avoided. The research was conducted as a case study, and its data was collected through five semi-structured interviews with experienced software architects. We present a conceptualisation of the misbehaviour of ML systems, the perceived role of fault tolerance, and the designs used. Common patterns to incorporating ML components in design in a fault tolerant fashion have started to emerge. ML models are, for example, guarded by monitoring the inputs and their distribution, and enforcing business rules on acceptable outputs. Multiple, specialised ML models are used to adapt to the variations and changes in the surrounding world, and simpler fall-over techniques like default outputs are put in place to have systems up and running in the face of problems. However, the general role of these patterns is not widely acknowledged. This is mainly due to the relative immaturity of using ML as part of a complete software system: the field still lacks established frameworks and practices beyond training to implement, operate, and maintain the software that utilises ML. ML software engineering needs further analysis and development on all fronts. © 2021 The Author(s)</t>
  </si>
  <si>
    <t>Sambasivan N,Kapania S,Highfll H</t>
  </si>
  <si>
    <t>Everyone wants to do the model work, not the data work: Data cascades in high-stakes ai</t>
  </si>
  <si>
    <t>https://www.scopus.com/inward/record.uri?eid=2-s2.0-85104619239&amp;doi=10.1145%2f3411764.3445518&amp;partnerID=40&amp;md5=fb2bed912073ee7b2dadc6eb1b068427;http://dx.doi.org/10.1145/3411764.3445518</t>
  </si>
  <si>
    <t>10.1145/3411764.3445518</t>
  </si>
  <si>
    <t>AI models are increasingly applied in high-stakes domains like health and conservation. Data quality carries an elevated signifcance in high-stakes AI due to its heightened downstream impact, impacting predictions like cancer detection, wildlife poaching, and loan allocations. Paradoxically, data is the most under-valued and de-glamorised aspect of AI. In this paper,we report on data practices in high-stakes AI, from interviews with 53 AI practitioners in India, East and West African countries, and USA. We defne, identify, and present empirical evidence on Data Cascades-compounding events causing negative, downstream efects from data issues-triggered by conventional AI/ML practices that undervalue data quality. Data cascades are pervasive (92% prevalence), invisible, delayed, but often avoidable. We discuss HCI opportunities in designing and incentivizing data excellence as a frst-class citizen of AI, resulting in safer and more robust systems for all. © 2021 ACM.</t>
  </si>
  <si>
    <t>Cited by: 109</t>
  </si>
  <si>
    <t>Mondal AK,Roy CK,Schneider KA,Roy B,Nath SS</t>
  </si>
  <si>
    <t>Semantic slicing of architectural change commits: Towards semantic design review</t>
  </si>
  <si>
    <t>https://www.scopus.com/inward/record.uri?eid=2-s2.0-85117924888&amp;doi=10.1145%2f3475716.3484487&amp;partnerID=40&amp;md5=7477753012d271fbd0106804685ba436;http://dx.doi.org/10.1145/3475716.3484487</t>
  </si>
  <si>
    <t>10.1145/3475716.3484487</t>
  </si>
  <si>
    <t>Software architectural changes involve more than one module or component and are complex to analyze compared to local code changes. Development teams aiming to review architectural aspects (design) of a change commit consider many essential scenarios such as access rules and restrictions on usage of program entities across modules. Moreover, design review is essential when proper architectural formulations are paramount for developing and deploying a system. Untangling architectural changes, recovering semantic design, and producing design notes are the crucial tasks of the design review process. To support these tasks, we construct a lightweight tool [4] that can detect and decompose semantic slices of a commit containing architectural instances. A semantic slice consists of a description of relational information of involved modules, their classes, methods and connected modules in a change instance, which is easy to understand to a reviewer.We extract various directory and naming structures (DANS) properties from the source code for developing our tool. Utilizing the DANS properties, our tool first detects architectural change instances based on our defined metric and then decomposes the slices (based on string processing). Our preliminary investigation with ten open-source projects (developed in Java and Kotlin) reveals that the DANS properties produce highly reliable precision and recall (93-100%) for detecting and generating architectural slices. Our proposed tool will serve as the preliminary approach for the semantic design recovery and design summary generation for the project releases. © 2021 IEEE Computer Society. All rights reserved.</t>
  </si>
  <si>
    <t>Haas R,Elsner D,Juergens E,Pretschner A,Apel S</t>
  </si>
  <si>
    <t>How can manual testing processes be optimized? developer survey, optimization guidelines, and case studies</t>
  </si>
  <si>
    <t>1281 – 1291</t>
  </si>
  <si>
    <t>https://www.scopus.com/inward/record.uri?eid=2-s2.0-85116297167&amp;doi=10.1145%2f3468264.3473922&amp;partnerID=40&amp;md5=7621c921868ff843237b2ef5213e0e7c;http://dx.doi.org/10.1145/3468264.3473922</t>
  </si>
  <si>
    <t>10.1145/3468264.3473922</t>
  </si>
  <si>
    <t>Manual software testing is tedious and costly as it involves significant human effort. Yet, it is still widely applied in industry and will be in the foreseeable future. Although there is arguably a great need for optimization of manual testing processes, research focuses mostly on optimization techniques for automated tests. Accordingly, there is no precise understanding of the practices and processes of manual testing in industry nor about pitfalls and optimization potential that is untapped. To shed light on this issue, we conducted a survey among 38 testing professionals from 16 companies, to investigate their manual testing processes and to identify potential for optimization. We synthesize guidelines when optimization techniques from automated testing can be implemented for manual testing. By means of case studies on two industrial software projects, we show that fault detection likelihood, test feedback time and test creation efforts can be improved when following our guidelines. © 2021 ACM.</t>
  </si>
  <si>
    <t>Autili M,Malavolta I,Perucci A,Scoccia GL,Verdecchia R</t>
  </si>
  <si>
    <t>Software engineering techniques for statically analyzing mobile apps: research trends, characteristics, and potential for industrial adoption</t>
  </si>
  <si>
    <t>Journal of Internet Services and Applications</t>
  </si>
  <si>
    <t>1867-4828</t>
  </si>
  <si>
    <t>https://www.scopus.com/inward/record.uri?eid=2-s2.0-85111259233&amp;doi=10.1186%2fs13174-021-00134-x&amp;partnerID=40&amp;md5=5c136ceacd6b205d6983203370b97239;http://dx.doi.org/10.1186/s13174-021-00134-x</t>
  </si>
  <si>
    <t>10.1186/s13174-021-00134-x</t>
  </si>
  <si>
    <t>Mobile platforms are rapidly and continuously changing, with support for new sensors, APIs, and programming abstractions. Static analysis is gaining a growing interest, allowing developers to predict properties about the run-time behavior of mobile apps without executing them. Over the years, literally hundreds of static analysis techniques have been proposed, ranging from structural and control-flow analysis to state-based analysis.In this paper, we present a systematic mapping study aimed at identifying, evaluating and classifying characteristics, trends and potential for industrial adoption of existing research in static analysis of mobile apps. Starting from over 12,000 potentially relevant studies, we applied a rigorous selection procedure resulting in 261 primary studies along a time span of 9 years. We analyzed each primary study according to a rigorously-defined classification framework. The results of this study give a solid foundation for assessing existing and future approaches for static analysis of mobile apps, especially in terms of their industrial adoptability.Researchers and practitioners can use the results of this study to (i) identify existing research/technical gaps to target, (ii) understand how approaches developed in academia can be successfully transferred to industry, and (iii) better position their (past and future) approaches for static analysis of mobile apps. © 2021, The Author(s).</t>
  </si>
  <si>
    <t>Giorgio L,Nicola M,Fabio S,Andrea S</t>
  </si>
  <si>
    <t>Continuous Defect Prediction in CI/CD Pipelines: A Machine Learning-Based Framework</t>
  </si>
  <si>
    <t>13196 LNAI</t>
  </si>
  <si>
    <t>591 – 606</t>
  </si>
  <si>
    <t>https://www.scopus.com/inward/record.uri?eid=2-s2.0-85135020559&amp;doi=10.1007%2f978-3-031-08421-8_41&amp;partnerID=40&amp;md5=8fba1eb478d33077040752bd1c7f76b7;http://dx.doi.org/10.1007/978-3-031-08421-8_41</t>
  </si>
  <si>
    <t>10.1007/978-3-031-08421-8_41</t>
  </si>
  <si>
    <t>Recent advances in information technology has led to an increasing number of applications to be developed and maintained daily by product teams. Ensuring that a software application works as expected and that it is absent of bugs requires a lot of time and resources. Thanks to the recent adoption of DevOps methodologies, it is often the case where code commits and application builds are centralized and standardized. Thanks to this new approach, it is now possible to retrieve log and build data to ease the development and management operations of product teams. However, even if such approaches include code control to detect unit or integration errors, they do not check for the presence of logical bugs that can raise after code builds. For such reasons in this work we propose a framework for continuous defect prediction based on machine learning algorithms trained on a publicly available dataset. The framework is composed of a machine learning model for detecting the presence of logical bugs in code on the basis of the available data generated by DevOps tools and a dashboard to monitor the software projects status. We also describe the serverless architecture we designed for hosting the aforementioned framework. © 2022, The Author(s), under exclusive license to Springer Nature Switzerland AG.</t>
  </si>
  <si>
    <t>Studer S,Bui TB,Drescher C,Hanuschkin A,Winkler L,Peters S,Müller KR</t>
  </si>
  <si>
    <t>Towards CRISP-ML(Q): A Machine Learning Process Model with Quality Assurance Methodology</t>
  </si>
  <si>
    <t>Machine Learning and Knowledge Extraction</t>
  </si>
  <si>
    <t>392 – 413</t>
  </si>
  <si>
    <t>2504-4990</t>
  </si>
  <si>
    <t>https://www.scopus.com/inward/record.uri?eid=2-s2.0-85117583710&amp;doi=10.3390%2fmake3020020&amp;partnerID=40&amp;md5=2db6c87fe56c2b4551d91e69aa651e69;http://dx.doi.org/10.3390/make3020020</t>
  </si>
  <si>
    <t>10.3390/make3020020</t>
  </si>
  <si>
    <t>Machine learning is an established and frequently used technique in industry and academia, but a standard process model to improve success and efficiency of machine learning applications is still missing. Project organizations and machine learning practitioners face manifold challenges and risks when developing machine learning applications and have a need for guidance to meet business expectations. This paper therefore proposes a process model for the development of machine learning applications, covering six phases from defining the scope to maintaining the deployed machine learning application. Business and data understanding are executed simultaneously in the first phase, as both have considerable impact on the feasibility of the project. The next phases are comprised of data preparation, modeling, evaluation, and deployment. Special focus is applied to the last phase, as a model running in changing real-time environments requires close monitoring and maintenance to reduce the risk of performance degradation over time. With each task of the process, this work proposes quality assurance methodology that is suitable to address challenges in machine learning development that are identified in the form of risks. The methodology is drawn from practical experience and scientific literature, and has proven to be general and stable. The process model expands on CRISP-DM, a data mining process model that enjoys strong industry support, but fails to address machine learning specific tasks. The presented work proposes an industry- and application-neutral process model tailored for machine learning applications with a focus on technical tasks for quality assurance. © 2021 by the authors.</t>
  </si>
  <si>
    <t>Cited by: 31; All Open Access, Gold Open Access, Green Open Access</t>
  </si>
  <si>
    <t>Van Oort B,Cruz L,Loni B,Van Deursen A</t>
  </si>
  <si>
    <t>Project smells' - Experiences in Analysing the Software Quality of ML Projects with mllint</t>
  </si>
  <si>
    <t>211 – 220</t>
  </si>
  <si>
    <t>https://www.scopus.com/inward/record.uri?eid=2-s2.0-85132828703&amp;doi=10.1109%2fICSE-SEIP55303.2022.9794115&amp;partnerID=40&amp;md5=e98012d4d684cd76149215af71dc8b4a;http://dx.doi.org/10.1109/ICSE-SEIP55303.2022.9794115</t>
  </si>
  <si>
    <t>10.1109/ICSE-SEIP55303.2022.9794115</t>
  </si>
  <si>
    <t>Machine Learning (ML) projects incur novel challenges in their development and productionisation over traditional software applications, though established principles and best practices in ensuring the project's software quality still apply. While using static analysis to catch code smells has been shown to improve software quality attributes, it is only a small piece of the software quality puzzle, especially in the case of ML projects given their additional challenges and lower degree of Software Engineering (SE) experience in the data scientists that develop them. We introduce the novel concept of project smells which consider deficits in project management as a more holistic perspective on software quality in ML projects. An open-source static analysis tool mllint was also implemented to help detect and mitigate these. Our research evaluates this novel concept of project smells in the industrial context of ING, a global bank and large software- and data-intensive organisation. We also investigate the perceived importance of these project smells for proof-of-concept versus production-ready ML projects, as well as the perceived obstructions and benefits to using static analysis tools such as mllint. Our findings indicate a need for context-aware static analysis tools, that fit the needs of the project at its current stage of development, while requiring minimal configuration effort from the user. © 2022 IEEE.</t>
  </si>
  <si>
    <t>Waseem M,Liang P,Shahin M,Ahmad A,Nassab AR</t>
  </si>
  <si>
    <t>On the nature of issues in five open source microservices systems: An empirical study</t>
  </si>
  <si>
    <t>201 – 210</t>
  </si>
  <si>
    <t>https://www.scopus.com/inward/record.uri?eid=2-s2.0-85108903083&amp;doi=10.1145%2f3463274.3463337&amp;partnerID=40&amp;md5=43cbb812acb1d1ca47f4aba0f2e52851;http://dx.doi.org/10.1145/3463274.3463337</t>
  </si>
  <si>
    <t>10.1145/3463274.3463337</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</si>
  <si>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</si>
  <si>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Cited by: 5; All Open Access, Green Open Access</t>
  </si>
  <si>
    <t>Bogner J,Verdecchia R,Gerostathopoulos I</t>
  </si>
  <si>
    <t>Characterizing Technical Debt and Antipatterns in AI-Based Systems: A Systematic Mapping Study</t>
  </si>
  <si>
    <t>64 – 73</t>
  </si>
  <si>
    <t>https://www.scopus.com/inward/record.uri?eid=2-s2.0-85114832074&amp;doi=10.1109%2fTechDebt52882.2021.00016&amp;partnerID=40&amp;md5=d2a18c8a42af690521e2a1a5b47df62c;http://dx.doi.org/10.1109/TechDebt52882.2021.00016</t>
  </si>
  <si>
    <t>10.1109/TechDebt52882.2021.00016</t>
  </si>
  <si>
    <t>Background: With the rising popularity of Artificial Intelligence (AI), there is a growing need to build large and complex AI-based systems in a cost-effective and manageable way. Like with traditional software, Technical Debt (TD) will emerge naturally over time in these systems, therefore leading to challenges and risks if not managed appropriately. The influence of data science and the stochastic nature of AI-based systems may also lead to new types of TD or antipatterns, which are not yet fully understood by researchers and practitioners. Objective: The goal of our study is to provide a clear overview and characterization of the types of TD (both established and new ones) that appear in AI-based systems, as well as the antipatterns and related solutions that have been proposed. Method: Following the process of a systematic mapping study, 21 primary studies are identified and analyzed. Results: Our results show that (i) established TD types, variations of them, and four new TD types (data, model, configuration, and ethics debt) are present in AI-based systems, (ii) 72 antipatterns are discussed in the literature, the majority related to data and model deficiencies, and (iii) 46 solutions have been proposed, either to address specific TD types, antipatterns, or TD in general. Conclusions: Our results can support AI professionals with reasoning about and communicating aspects of TD present in their systems. Additionally, they can serve as a foundation for future research to further our understanding of TD in AI-based systems. © 2021 IEEE.</t>
  </si>
  <si>
    <t>Shome A,Cruz L,Van Deursen A</t>
  </si>
  <si>
    <t>Data Smells in Public Datasets</t>
  </si>
  <si>
    <t>205 – 216</t>
  </si>
  <si>
    <t>https://www.scopus.com/inward/record.uri?eid=2-s2.0-85133444061&amp;doi=10.1145%2f3522664.3528621&amp;partnerID=40&amp;md5=20b42838920033b3571918d9ccb1ef03;http://dx.doi.org/10.1145/3522664.3528621</t>
  </si>
  <si>
    <t>10.1145/3522664.3528621</t>
  </si>
  <si>
    <t>The adoption of Artificial Intelligence (AI) in high-stakes domains such as healthcare, wildlife preservation, autonomous driving and criminal justice system calls for a data-centric approach to AI. Data scientists spend the majority of their time studying and wrangling the data, yet tools to aid them with data analysis are lacking. This study identifies the recurrent data quality issues in public datasets. Analogous to code smells, we introduce a novel catalogue of data smells that can be used to indicate early signs of problems or technical debt in machine learning systems. To understand the prevalence of data quality issues in datasets, we analyse 25 public datasets and identify 14 data smells. © 2022 ACM.</t>
  </si>
  <si>
    <t>Almadi SH,Hooshyar D,Ahmad RB</t>
  </si>
  <si>
    <t>Bad smells of gang of four design patterns: A decade systematic literature review</t>
  </si>
  <si>
    <t>Sustainability (Switzerland)</t>
  </si>
  <si>
    <t>2071-1050</t>
  </si>
  <si>
    <t>https://www.scopus.com/inward/record.uri?eid=2-s2.0-85115170584&amp;doi=10.3390%2fsu131810256&amp;partnerID=40&amp;md5=4fb2fc036cbe512bcde25df6c544d84e;http://dx.doi.org/10.3390/su131810256</t>
  </si>
  <si>
    <t>10.3390/su131810256</t>
  </si>
  <si>
    <t>Gang of Four (GoF) design patterns are widely approved solutions for recurring software design problems, and their benefits to software quality are extensively studied. However, the occurrence of bad smells in design patterns increases the crisis of degenerating design patterns’ structure and behavior. Their occurrences are detrimental to the benefits of design patterns and they influence software sustainability by increasing maintenance costs and energy consumption. Despite the destructive roles of bad smells in such designs, there are an absence of studies systematically reviewing bad smells of GoF design patterns. This study systematically reviews a 10-year state of the art sample, identifying 16 studies investigating this phenomenon. Following a thorough evaluation of the full contents, we observed that the occurrence of bad smells have been investigated in proportion to four granularity levels of analysis: Design level, category level, pattern level, and role level. We identified 28 bad smells, categorized under code smells and grime symptoms, and emphasized their relationship with GoF pattern types and categories. The utilization of design pattern bad smell detection approaches and datasets were also discussed. Consequently, we observed that the research phenomenon is growing intensively, with a prominent focus of studies analyzing code smell occurrences rather than grime occurrences, at various granularity levels. Finally, we uncovered research gaps and areas with significant potentials for future research. © 2021 by the authors. Licensee MDPI, Basel, Switzerland.</t>
  </si>
  <si>
    <t>Cited by: 2; All Open Access, Gold Open Access</t>
  </si>
  <si>
    <t>Dlamini G,Ergasheva S,Kholmatova Z,Kruglov A,Sadovykh A,Succi G,Timchenko A,Vasquez X,Zouev E</t>
  </si>
  <si>
    <t>Metrics for Software Process Quality Assessment in the Late Phases of SDLC</t>
  </si>
  <si>
    <t>506 LNNS</t>
  </si>
  <si>
    <t>639 – 655</t>
  </si>
  <si>
    <t>https://www.scopus.com/inward/record.uri?eid=2-s2.0-85135055907&amp;doi=10.1007%2f978-3-031-10461-9_44&amp;partnerID=40&amp;md5=f779adfd5f5b27e1a5e2ca6ccd4c50a9;http://dx.doi.org/10.1007/978-3-031-10461-9_44</t>
  </si>
  <si>
    <t>10.1007/978-3-031-10461-9_44</t>
  </si>
  <si>
    <t>The software systems worldwide increase in a density on a daily basis. The success in nowadays competitive market requires sustainable and quality software product. Controversially to the quantity of software products, the quality and cost of the software are tend to depend on several aspects. However, they are not fully inculcated yet as a fundamentally essential. The full control over the software quality requires software metrics to be introduced. By effective usage of software quality metrics one can monitor the software development process, minimize the cost, track the resource usage and maintain the expected results. This paper reviews the late phases and the existing software quality models to track software process quality metrics in these late phases. And based on the summarized studies we describe our system architecture in the way to evaluate the software quality with embedded external systems. This paper find outs additional metrics we can measure with the help of our framework. © 2022, The Author(s), under exclusive license to Springer Nature Switzerland AG.</t>
  </si>
  <si>
    <t>Magaia N,Gomes P,Silva L,Sousa B,Mavromoustakis CX,Mastorakis G</t>
  </si>
  <si>
    <t>Development of Mobile IoT Solutions: Approaches, Architectures, and Methodologies</t>
  </si>
  <si>
    <t>IEEE Internet of Things Journal</t>
  </si>
  <si>
    <t>16452 – 16472</t>
  </si>
  <si>
    <t>2327-4662</t>
  </si>
  <si>
    <t>https://www.scopus.com/inward/record.uri?eid=2-s2.0-85098747435&amp;doi=10.1109%2fJIOT.2020.3046441&amp;partnerID=40&amp;md5=2590b03f81218d081d6390b18c6c74c9;http://dx.doi.org/10.1109/JIOT.2020.3046441</t>
  </si>
  <si>
    <t>10.1109/JIOT.2020.3046441</t>
  </si>
  <si>
    <t>Modern Living, as we know it, has been impacted meaningfully by the Internet of Things (IoT). IoT consists of a network of things that collect data from machines (e.g., mobile devices) and people. Mobile application development is a flourishing tendency, given the increasing popularity of smartphones. Nowadays, users are accessing their desired services on the smartphone by means of dedicated applications as the latter offers a more customized and prompt service. In addition, companies are also looking to persuade users by offering interactive and effective mobile applications. Mobile application developers are using IoT to develop better applications. However, there is no generalized consensus on the selection of best architecture or even the most suitable communications protocols to be used on an IoT application development. Therefore, this article aims at presenting approaches, architectures, and methodologies relevant to the development of mobile IoT solutions. © 2014 IEEE.</t>
  </si>
  <si>
    <t>Mathioudaki M,Tsoukalas D,Siavvas M,Kehagias D</t>
  </si>
  <si>
    <t>Comparing Univariate and Multivariate Time Series Models for Technical Debt Forecasting</t>
  </si>
  <si>
    <t>13380 LNCS</t>
  </si>
  <si>
    <t>62 – 78</t>
  </si>
  <si>
    <t>https://www.scopus.com/inward/record.uri?eid=2-s2.0-85135922174&amp;doi=10.1007%2f978-3-031-10542-5_5&amp;partnerID=40&amp;md5=10c18f25a4197f7c8479fc1e4acf8cd7;http://dx.doi.org/10.1007/978-3-031-10542-5_5</t>
  </si>
  <si>
    <t>10.1007/978-3-031-10542-5_5</t>
  </si>
  <si>
    <t>Technical debt (TD) is a successful and widely used metaphor that expresses the quality compromises that can yield short-term benefits but may negatively affect the overall quality of a software product in the long run. There is a vast variety of techniques and methodologies that have been proposed over the past years to enable the identification and estimation of TD during the software development cycle. However, it is only until recently that researchers have turned towards the investigation of methods that focus on forecasting its future evolution. Getting insights on the future evolution of TD can enable on-time decision-making and allow stakeholders to plan preventive strategies regarding TD repayment. In our previous studies, we have investigated time series analysis and Machine Learning techniques in order to produce reliable TD forecasts. In our current attempt, we aim to explore the capabilities of a statistical ARIMA model both in a univariate and a multivariate fashion. More specifically, the present paper investigates whether the adoption of an ARIMA model that takes into account, in addition to the TD value itself, various TD-related indicators may lead to more accurate TD predictions than its univariate alternative. For this purpose, dedicated models are constructed, evaluated, and compared on a dataset of five long-lived, open-source software applications. © 2022, The Author(s), under exclusive license to Springer Nature Switzerland AG.</t>
  </si>
  <si>
    <t>Song Q,Borg M,Engstrom E,Ardo H,Rico S</t>
  </si>
  <si>
    <t>Exploring ML testing in practice - Lessons learned from an interactive rapid review with Axis Communications</t>
  </si>
  <si>
    <t>10 – 21</t>
  </si>
  <si>
    <t>https://www.scopus.com/inward/record.uri?eid=2-s2.0-85128924924&amp;doi=10.1145%2f3522664.3528596&amp;partnerID=40&amp;md5=b19b71e3e173b3c989c17c49db592374;http://dx.doi.org/10.1145/3522664.3528596</t>
  </si>
  <si>
    <t>10.1145/3522664.3528596</t>
  </si>
  <si>
    <t>There is a growing interest in industry and academia in machine learning (ML) testing. We believe that industry and academia need to learn together to produce rigorous and relevant knowledge. In this study, we initiate a collaboration between stakeholders from one case company, one research institute, and one university. To establish a common view of the problem domain, we applied an interactive rapid review of the state of the art. Four researchers from Lund University and RISE Research Institutes and four practitioners from Axis Communications reviewed a set of 180 primary studies on ML testing. We developed a taxonomy for the communication around ML testing challenges and results and identified a list of 12 review questions relevant for Axis Communications. The three most important questions (data testing, metrics for assessment, and test generation) were mapped to the literature, and an in-depth analysis of the 35 primary studies matching the most important question (data testing) was made. A final set of the five best matches were analysed and we reflect on the criteria for applicability and relevance for the industry. The taxonomies are helpful for communication but not final. Furthermore, there was no perfect match to the case company's investigated review question (data testing). However, we extracted relevant approaches from the five studies on a conceptual level to support later context-specific improvements. We found the interactive rapid review approach useful for triggering and aligning communication between the different stakeholders. © 2022 ACM.</t>
  </si>
  <si>
    <t>Zhang JM,Harman M,Ma L,Liu Y</t>
  </si>
  <si>
    <t>Machine Learning Testing: Survey, Landscapes and Horizons</t>
  </si>
  <si>
    <t>https://www.scopus.com/inward/record.uri?eid=2-s2.0-85123224381&amp;doi=10.1109%2fTSE.2019.2962027&amp;partnerID=40&amp;md5=6bcb2de3ce3cbcef90ece1cf886dda83;http://dx.doi.org/10.1109/TSE.2019.2962027</t>
  </si>
  <si>
    <t>10.1109/TSE.2019.2962027</t>
  </si>
  <si>
    <t>This paper provides a comprehensive survey of techniques for testing machine learning systems; Machine Learning Testing (ML testing) research. It covers 144 papers on testing properties (e.g., correctness, robustness, and fairness), testing components (e.g., the data, learning program, and framework), testing workflow (e.g., test generation and test evaluation), and application scenarios (e.g., autonomous driving, machine translation). The paper also analyses trends concerning datasets, research trends, and research focus, concluding with research challenges and promising research directions in ML testing. © 1976-2012 IEEE.</t>
  </si>
  <si>
    <t>Cited by: 84; All Open Access, Green Open Access</t>
  </si>
  <si>
    <t>Gerdes A</t>
  </si>
  <si>
    <t>A participatory data-centric approach to AI Ethics by Design</t>
  </si>
  <si>
    <t>Applied Artificial Intelligence</t>
  </si>
  <si>
    <t>Taylor and Francis Ltd.</t>
  </si>
  <si>
    <t>0883-9514</t>
  </si>
  <si>
    <t>https://www.scopus.com/inward/record.uri?eid=2-s2.0-85121394933&amp;doi=10.1080%2f08839514.2021.2009222&amp;partnerID=40&amp;md5=bae762ff03709aaf0fe7fc2212394421;http://dx.doi.org/10.1080/08839514.2021.2009222</t>
  </si>
  <si>
    <t>10.1080/08839514.2021.2009222</t>
  </si>
  <si>
    <t>Data-driven artificial intelligence (AI) based on machine learning techniques (ML) has increasingly become an enabler in critical societal domains. However, the introduction of ML systems is often accompanied by unjustified, biased, and discriminated outcomes with severe consequences for the individuals affected. Consequently, in recent years value-based design methods have sought to anticipate and mitigate moral wrongdoing by drawing attention to ethical and epistemic challenges related to the design of AI systems. This article presents a participatory data-centric approach to AI Ethics by Design by promoting and refining insights from contributions within the family of value-sensitive design methods. The approach provides a practicable outlook on addressing epistemic and ethical issues related to data activities in early ML development project stages. Hence, the article seeks to enhance opportunities for ethically informed AI design by stressing the need for bridge building to cultivate a shared understanding among system developers and domain experts about a given data domain and its relatedness to a specific practice. © 2021 The Author(s). Published with license by Taylor &amp; Francis Group, LLC.</t>
  </si>
  <si>
    <t>Jentzsch S,Hochgeschwender N</t>
  </si>
  <si>
    <t>A qualitative study of Machine Learning practices and engineering challenges in Earth Observation</t>
  </si>
  <si>
    <t>IT - Information Technology</t>
  </si>
  <si>
    <t>235 – 247</t>
  </si>
  <si>
    <t>1611-2776</t>
  </si>
  <si>
    <t>https://www.scopus.com/inward/record.uri?eid=2-s2.0-85111779360&amp;doi=10.1515%2fitit-2020-0045&amp;partnerID=40&amp;md5=7bd5e680aee015e6562ce010d11a8a07;http://dx.doi.org/10.1515/itit-2020-0045</t>
  </si>
  <si>
    <t>10.1515/itit-2020-0045</t>
  </si>
  <si>
    <t>Machine Learning (ML) is ubiquitously on the advance. Like many domains, Earth Observation (EO) also increasingly relies on ML applications, where ML methods are applied to process vast amounts of heterogeneous and continuous data streams to answer socially and environmentally relevant questions. However, developing such ML-based EO systems remains challenging: Development processes and employed workflows are often barely structured and poorly reported. The application of ML methods and techniques is considered to be opaque and the lack of transparency is contradictory to the responsible development of ML-based EO applications. To improve this situation a better understanding of the current practices and engineering-related challenges in developing ML-based EO applications is required. In this paper, we report observations from an exploratory study where five experts shared their view on ML engineering in semi-structured interviews. We analysed these interviews with coding techniques as often applied in the domain of empirical software engineering. The interviews provide informative insights into the practical development of ML applications and reveal several engineering challenges. In addition, interviewees participated in a novel workflow sketching task, which provided a tangible reflection of implicit processes. Overall, the results confirm a gap between theoretical conceptions and real practices in ML development even though workflows were sketched abstractly as textbook-like. The results pave the way for a large-scale investigation on requirements for ML engineering in EO. © 2021 Jentzsch and Hochgeschwender, published by De Gruyter 2021.</t>
  </si>
  <si>
    <t>Bao L,Xia X,Lo D,Murphy GC</t>
  </si>
  <si>
    <t>A Large Scale Study of Long-Time Contributor Prediction for GitHub Projects</t>
  </si>
  <si>
    <t>1277 – 1298</t>
  </si>
  <si>
    <t>https://www.scopus.com/inward/record.uri?eid=2-s2.0-85067069426&amp;doi=10.1109%2fTSE.2019.2918536&amp;partnerID=40&amp;md5=a2151994a7598589135bd21ee5ac5251;http://dx.doi.org/10.1109/TSE.2019.2918536</t>
  </si>
  <si>
    <t>10.1109/TSE.2019.2918536</t>
  </si>
  <si>
    <t>The continuous contributions made by long time contributors (LTCs) are a key factor enabling open source software (OSS) projects to be successful and survival. We study Github as it has a large number of OSS projects and millions of contributors, which enables the study of the transition from newcomers to LTCs. In this paper, we investigate whether we can effectively predict newcomers in OSS projects to be LTCs based on their activity data that is collected from Github. We collect Github data from GHTorrent, a mirror of Github data. We select the most popular 917 projects, which contain 75,046 contributors. We determine a developer as a LTC of a project if the time interval between his/her first and last commit in the project is larger than a certain time TT. In our experiment, we use three different settings on the time interval: 1, 2, and 3 years. There are 9,238, 3,968, and 1,577 contributors who become LTCs of a project in three settings of time interval, respectively. To build a prediction model, we extract many features from the activities of developers on Github, which group into five dimensions: developer profile, repository profile, developer monthly activity, repository monthly activity, and collaboration network. We apply several classifiers including naive Bayes, SVM, decision tree, kNN and random forest. We find that random forest classifier achieves the best performance with AUCs of more than 0.75 in all three settings of time interval for LTCs. We also investigate the most important features that differentiate newcomers who become LTCs from newcomers who stay in the projects for a short time. We find that the number of followers is the most important feature in all three settings of the time interval studied. We also find that the programming language and the average number of commits contributed by other developers when a newcomer joins a project also belong to the top 10 most important features in all three settings of time interval for LTCs. Finally, we provide several implications for action based on our analysis results to help OSS projects retain newcomers. © 1976-2012 IEEE.</t>
  </si>
  <si>
    <t>Cited by: 15; All Open Access, Green Open Access</t>
  </si>
  <si>
    <t>Uchoa A,Barbosa C,Coutinho D,Oizumi W,Assuncao WK,Vergilio SR,Pereira JA,Oliveira A,Garcia A</t>
  </si>
  <si>
    <t>Predicting design impactful changes in modern code review: A large-scale empirical study</t>
  </si>
  <si>
    <t>471 – 482</t>
  </si>
  <si>
    <t>https://www.scopus.com/inward/record.uri?eid=2-s2.0-85113692154&amp;doi=10.1109%2fMSR52588.2021.00059&amp;partnerID=40&amp;md5=e3b61bb3742bb8a903734d99f7ac9a6f;http://dx.doi.org/10.1109/MSR52588.2021.00059</t>
  </si>
  <si>
    <t>10.1109/MSR52588.2021.00059</t>
  </si>
  <si>
    <t>Companies have adopted modern code review as a key technique for continuously monitoring and improving the quality of software changes. One of the main motivations for this is the early detection of design impactful changes, to prevent that design-degrading ones prevail after each code review. Even though design degradation symptoms often lead to changes' rejections, practices of modern code review alone are actually not sufficient to avoid or mitigate design decay. Software design degrades whenever one or more symptoms of poor structural decisions, usually represented by smells, end up being introduced by a change. Design degradation may be related to both technical and social aspects in collaborative code reviews. Unfortunately, there is no study that investigates if code review stakeholders, e.g, reviewers, could benefit from approaches to distinguish and predict design impactful changes with technical and/or social aspects. By analyzing 57, 498 reviewed code changes from seven open-source systems, we report an investigation on prediction of design impactful changes in modern code review. We evaluated the use of six ML algorithms to predict design impactful changes. We also extracted and assessed 41 different features based on both social and technical aspects. Our results show that Random Forest and Gradient Boosting are the best algorithms. We also observed that the use of technical features results in more precise predictions. However, the use of social features alone, which are available even before the code review starts (e.g., for team managers or change assigners), also leads to highly-accurate prediction. Therefore social and/or technical prediction models can be used to support further design inspection of suspicious changes early in a code review process. Finally, we provide an enriched dataset that allows researchers to investigate the context behind design impactful changes during the code review process. © 2021 IEEE.</t>
  </si>
  <si>
    <t>Cited by: 9</t>
  </si>
  <si>
    <t>Ahuja MK,Gotlieb A,Spieker H</t>
  </si>
  <si>
    <t>Testing Deep Learning Models: A First Comparative Study of Multiple Testing Techniques</t>
  </si>
  <si>
    <t>130 – 137</t>
  </si>
  <si>
    <t>https://www.scopus.com/inward/record.uri?eid=2-s2.0-85133240340&amp;doi=10.1109%2fICSTW55395.2022.00035&amp;partnerID=40&amp;md5=01f6e545a8cb5bb23e9c141023fb1a91;http://dx.doi.org/10.1109/ICSTW55395.2022.00035</t>
  </si>
  <si>
    <t>10.1109/ICSTW55395.2022.00035</t>
  </si>
  <si>
    <t>Deep Learning (DL) has revolutionized the capabilities of vision-based systems (VBS) in critical applications such as autonomous driving, robotic surgery, critical infrastructure surveillance, air and maritime traffic control, etc. By analyzing images, voice, videos, or any type of complex signals, DL has considerably increased the situation awareness of these systems. At the same time, while relying more and more on trained DL models, the reliability and robustness of VBS have been challenged and it has become crucial to test thoroughly these models to assess their capabilities and potential errors. To discover faults in DL models, existing software testing methods have been adapted and refined accordingly. In this article, we provide an overview of these software testing methods, namely differential, metamorphic, mutation, and combinatorial testing, as well as adversarial perturbation testing and review some challenges in their deployment for boosting perception systems used in VBS. We also provide a first experimental comparative study on a classical benchmark used in VBS and discuss its results. © 2022 IEEE.</t>
  </si>
  <si>
    <t>Matsui BM,Goya DH</t>
  </si>
  <si>
    <t>MLOps: Five Steps to Guide its Effective Implementation</t>
  </si>
  <si>
    <t>33 – 34</t>
  </si>
  <si>
    <t>https://www.scopus.com/inward/record.uri?eid=2-s2.0-85133482896&amp;doi=10.1145%2f3522664.3528611&amp;partnerID=40&amp;md5=3d7f0333e39bd60db3d1fa94973610a1;http://dx.doi.org/10.1145/3522664.3528611</t>
  </si>
  <si>
    <t>10.1145/3522664.3528611</t>
  </si>
  <si>
    <t>DevOps practices have increasingly been applied to software development and engineering, as well as the machine learning lifecycle - in a process also known as MLOps. Today, many companies and professionals have been working and writing on this topic. However, in the academic and scientific literature, few results can be found on MLOps and how to implement it efficiently. This paper presents five essential steps to guide the understanding and practice of MLOps, which, based on the authors' research and experience, can assist in its effective implementation. The study aims to serve as a reference guide for all those who wish to learn more about the topic and intend to implement MLOps practices in the development of their systems. CCS CONCEPTS • Software and its engineering → Software creation and management; • Computing methodologies → Machine learning. © 2022 ACM.</t>
  </si>
  <si>
    <t>Guo ZQ,Liu SR,Tan TT,Li YH,Chen L,Zhou YM,Xu BW</t>
  </si>
  <si>
    <t>Self-admitted Technical Debt Research: Problem, Progress, and Challenges; [自承认技术债的研究: 问题、进展与挑战]</t>
  </si>
  <si>
    <t>26 – 54</t>
  </si>
  <si>
    <t>https://www.scopus.com/inward/record.uri?eid=2-s2.0-85125390377&amp;doi=10.13328%2fj.cnki.jos.006292&amp;partnerID=40&amp;md5=f48287fa35af4f748f998426e742f354;http://dx.doi.org/10.13328/j.cnki.jos.006292</t>
  </si>
  <si>
    <t>10.13328/j.cnki.jos.006292</t>
  </si>
  <si>
    <t>Technical debt is a metaphor that refers to sacrifice the long-term code quality to satisfy the short-term goals. In particular, the technical debts introduced intentionally by developers are called self-admitted technical debt (SATD), which usually exist in software projects in the form of code comments. The SATDs bring great challenges to quality and robustness of software. In order to facilitate finding and paying back them as soon as possible for assuring software quality, in recent years, great progress has been made in the field of investigating the characteristics of SATD and proposing the identification models for SATD. Nevertheless, it is still challenging to apply them in practice. This paper offers a systematic survey of recent research achievements in SATD. First, the research problems are introduced in this field. Then, the current main research work is described in detail. After that, related techniques are discussed. Finally, the opportunities and challenges in this field are summarized and the research directions in the future are outlined. © Copyright 2022, Institute of Software, the Chinese Academy of Sciences. All rights reserved.</t>
  </si>
  <si>
    <t>Gao Z,Xia X,Lo D,Grundy J,Zimmermann T</t>
  </si>
  <si>
    <t>Automating the removal of obsolete TODO comments</t>
  </si>
  <si>
    <t>218 – 229</t>
  </si>
  <si>
    <t>https://www.scopus.com/inward/record.uri?eid=2-s2.0-85116210160&amp;doi=10.1145%2f3468264.3468553&amp;partnerID=40&amp;md5=6ce12a520cb3da739efe05874cbde11d;http://dx.doi.org/10.1145/3468264.3468553</t>
  </si>
  <si>
    <t>10.1145/3468264.3468553</t>
  </si>
  <si>
    <t>TODO comments are very widely used by software developers to describe their pending tasks during software development. However, after performing the task developers sometimes neglect or simply forget to remove the TODO comment, resulting in obsolete TODO comments. These obsolete TODO comments can confuse development teams and may cause the introduction of bugs in the future, decreasing the software's quality and maintainability. Manually identifying obsolete TODO comments is time-consuming and expensive. It is thus necessary to detect obsolete TODO comments and remove them automatically before they cause any unwanted side effects. In this work, we propose a novel model, named TDCleaner, to identify obsolete TODO comments in software projects. TDCleaner can assist developers in just-in-time checking of TODO comments status and avoid leaving obsolete TODO comments. Our approach has two main stages: offline learning and online prediction. During offline learning, we first automatically establish training samples and leverage three neural encoders to capture the semantic features of TODO comment, code change and commit message respectively. TDCleaner then automatically learns the correlations and interactions between different encoders to estimate the final status of the TODO comment. For online prediction, we check a TODO comment's status by leveraging the offline trained model to judge the TODO comment's likelihood of being obsolete. We built our dataset by collecting TODO comments from the top-10,000 Python and Java Github repositories and evaluated TDCleaner on them. Extensive experimental results show the promising performance of our model over a set of benchmarks. We also performed an in-the-wild evaluation with real-world software projects, we reported 18 obsolete TODO comments identified by TDCleaner to Github developers and 9 of them have already been confirmed and removed by the developers, demonstrating the practical usage of our approach. © 2021 ACM.</t>
  </si>
  <si>
    <t>Cited by: 9; All Open Access, Green Open Access</t>
  </si>
  <si>
    <t>Pellegrin F,Yücel Z,Monden A,Leelaprute P</t>
  </si>
  <si>
    <t>Task estimation for software company employees based on computer interaction logs</t>
  </si>
  <si>
    <t>https://www.scopus.com/inward/record.uri?eid=2-s2.0-85110356731&amp;doi=10.1007%2fs10664-021-10006-4&amp;partnerID=40&amp;md5=a859d2636665b7971e10581368126272;http://dx.doi.org/10.1007/s10664-021-10006-4</t>
  </si>
  <si>
    <t>10.1007/s10664-021-10006-4</t>
  </si>
  <si>
    <t>Digital tools and services collect a growing amount of log data. In the software development industry, such data are integral and boast valuable information on user and system behaviors with a significant potential of discovering various trends and patterns. In this study, we focus on one of those potential aspects, which is task estimation. In that regard, we perform a case study by analyzing computer recorded activities of employees from a software development company. Specifically, our purpose is to identify the task of each employee. To that end, we build a hierarchical framework with a 2-stage recognition and devise a method relying on Bayesian estimation which accounts for temporal correlation of tasks. After pre-processing, we run the proposed hierarchical scheme to initially distinguish infrequent and frequent tasks. At the second stage, infrequent tasks are discriminated between them such that the task is identified definitively. The higher performance rate of the proposed method makes it favorable against the association rule-based methods and conventional classification algorithms. Moreover, our method offers significant potential to be implemented on similar software engineering problems. Our contributions include a comprehensive evaluation of a Bayesian estimation scheme on real world data and offering reinforcements against several challenges in the data set (samples with different measurement scales, dependence characteristics, imbalance, and with insignificant pieces of information). © 2021, The Author(s), under exclusive licence to Springer Science+Business Media, LLC, part of Springer Nature.</t>
  </si>
  <si>
    <t>Haki K,Rieder A,Buchmann L,W.Schneider A</t>
  </si>
  <si>
    <t>Digital nudging for technical debt management at Credit Suisse</t>
  </si>
  <si>
    <t>European Journal of Information Systems</t>
  </si>
  <si>
    <t>0960-085X</t>
  </si>
  <si>
    <t>https://www.scopus.com/inward/record.uri?eid=2-s2.0-85134470450&amp;doi=10.1080%2f0960085X.2022.2088413&amp;partnerID=40&amp;md5=3a94c12ed8b85afa521143bbf56b05fc;http://dx.doi.org/10.1080/0960085X.2022.2088413</t>
  </si>
  <si>
    <t>10.1080/0960085X.2022.2088413</t>
  </si>
  <si>
    <t>Technical debt (TD) is a technical compromise wherein the ability to maintain information technology (IT) applications over the long term is sacrificed for short-term goals. TD occurs when software development teams undergo constant pressure to release applications swiftly, on a tight schedule. The accumulation of TD, which often leads to a significant cost surplus, presents a ubiquitous challenge in technology-driven organisations. To keep TD levels under control, many organisations implement top-down mechanisms that impose enterprise-wide principles on software development teams. This clinical research presents a complementary but distinct approach to managing TD. A digital nudge was introduced at Credit Suisse, a global financial services company, to help raise awareness and understanding, and stimulate actions related to TD decision-making in software development teams. This paper reports on the nudge’s clinical design, implementation, impact, and evaluation. As the nudge was effective in reducing TD in IT applications after one year of use, we demonstrate that digital nudges are viable means for guiding collective decisions in complex decision environments like that of TD management. Our findings have several implications for research and practice. © 2022 The Author(s). Published by Informa UK Limited, trading as Taylor &amp; Francis Group.</t>
  </si>
  <si>
    <t>Tokui S,Tokumoto S,Yoshii A,Ishikawa F,Nakagawa T,Munakata K,Kikuchi S</t>
  </si>
  <si>
    <t>NeuRecover: Regression-Controlled Repair of Deep Neural Networks with Training History</t>
  </si>
  <si>
    <t>1111 – 1121</t>
  </si>
  <si>
    <t>https://www.scopus.com/inward/record.uri?eid=2-s2.0-85131034061&amp;doi=10.1109%2fSANER53432.2022.00128&amp;partnerID=40&amp;md5=347a90f993aa9b818a9cd39394d80740;http://dx.doi.org/10.1109/SANER53432.2022.00128</t>
  </si>
  <si>
    <t>10.1109/SANER53432.2022.00128</t>
  </si>
  <si>
    <t>Systematic techniques to improve quality of deep neural networks (DNNs) are critical given the increasing demand for practical applications including safety-critical ones. The key challenge comes from the little controllability in updating DNNs. Retraining to fix some behavior often has a destructive impact on other behavior, causing regressions, i.e., the updated DNN fails with inputs correctly handled by the original one. This problem is crucial when engineers are required to investigate failures in intensive assurance activities for safety or trust. Search-based repair techniques for DNNs have potentials to tackle this challenge by enabling localized updates only on 'responsible parameters' inside the DNN. However, the potentials have not been explored to realize sufficient controllability to suppress regressions in DNN repair tasks. In this paper, we propose a novel DNN repair method that makes use of the training history for judging which DNN parameters should be changed or not to suppress regressions. We implemented the method into a tool called Neurecover and evaluated it with three datasets. Our method outperformed the existing method by achieving often less than a quarter, even a tenth in some cases, number of regressions. Our method is especially effective when the repair requirements are tight to fix specific failure types. In such cases, our method showed stably low rates (&lt;2 %) of regressions, which were in many cases a tenth of regressions caused by retraining. © 2022 IEEE.</t>
  </si>
  <si>
    <t>John MM,Olsson HH,Bosch J</t>
  </si>
  <si>
    <t>Towards MLOps: A Framework and Maturity Model</t>
  </si>
  <si>
    <t>334 – 341</t>
  </si>
  <si>
    <t>https://www.scopus.com/inward/record.uri?eid=2-s2.0-85119201202&amp;doi=10.1109%2fSEAA53835.2021.00050&amp;partnerID=40&amp;md5=14b048530f744c613608b5f7ac8f82cf;http://dx.doi.org/10.1109/SEAA53835.2021.00050</t>
  </si>
  <si>
    <t>10.1109/SEAA53835.2021.00050</t>
  </si>
  <si>
    <t>The adoption of continuous software engineering practices such as DevOps (Development and Operations) in business operations has contributed to significantly shorter software development and deployment cycles. Recently, the term MLOps (Machine Learning Operations) has gained increasing interest as a practice that brings together data scientists and operations teams. However, the adoption of MLOps in practice is still in its infancy and there are few common guidelines on how to effectively integrate it into existing software development practices. In this paper, we conduct a systematic literature review and a grey literature review to derive a framework that identifies the activities involved in the adoption of MLOps and the stages in which companies evolve as they become more mature and advanced. We validate this framework in three case companies and show how they have managed to adopt and integrate MLOps in their large-scale software development companies. The contribution of this paper is threefold. First, we review contemporary literature to provide an overview of the state-of-the-art in MLOps. Based on this review, we derive an MLOps framework that details the activities involved in the continuous development of machine learning models. Second, we present a maturity model in which we outline the different stages that companies go through in evolving their MLOps practices. Third, we validate our framework in three embedded systems case companies and map the companies to the stages in the maturity model. © 2021 IEEE.</t>
  </si>
  <si>
    <t>Marques A,Murphy GC</t>
  </si>
  <si>
    <t>Evaluating the Use of Semantics for Identifying Task-relevant Textual Information</t>
  </si>
  <si>
    <t>240 – 251</t>
  </si>
  <si>
    <t>https://www.scopus.com/inward/record.uri?eid=2-s2.0-85135814472&amp;doi=10.1109%2fSANER53432.2022.00039&amp;partnerID=40&amp;md5=8de238549893d91d497d59d5920f5719;http://dx.doi.org/10.1109/SANER53432.2022.00039</t>
  </si>
  <si>
    <t>10.1109/SANER53432.2022.00039</t>
  </si>
  <si>
    <t>The information a developer seeks to aid the completion of a task typically exists across a range of artifacts. For example, for a task that requires upgrading to a new version of an API component, a developer may seek information in the API's official documentation, check community discussions about the newer version, and so on. To aid developers in locating the portion of the text that might be useful in these artifacts, prior work has used syntactic properties of the text, and an artifact's meta-data, to automatically identify relevant text for particular kinds of artifacts. Although effective, these techniques rely on assumptions about an artifact's structure or content that prevent applying them across the different types of artifacts that a developer may come across in their daily work. In this paper, we investigate whether techniques building on approaches to interpret the meaning, or semantics, of the text help to overcome these limitations. Particularly, we introduce six semantic-based techniques and evaluate that they can identify up to 58% of the text that developers deem relevant to Android development tasks. When compared to a state-of-the-art approach, we find that our techniques achieve comparable recall values, identifying 63% of the small fraction of the task-relevant text of Stack Overflow artifacts, but without the need for artifact-specific information. © 2022 IEEE.</t>
  </si>
  <si>
    <t>Bushong V,Abdelfattah AS,Maruf AA,Das D,Lehman A,Jaroszewski E,Coffey M,Cerny T,Frajtak K,Tisnovsky P,Bures M</t>
  </si>
  <si>
    <t>On microservice analysis and architecture evolution: A systematic mapping study</t>
  </si>
  <si>
    <t>https://www.scopus.com/inward/record.uri?eid=2-s2.0-85114092290&amp;doi=10.3390%2fapp11177856&amp;partnerID=40&amp;md5=79ee91293fdde1ec01f229442d4c5e8d;http://dx.doi.org/10.3390/app11177856</t>
  </si>
  <si>
    <t>10.3390/app11177856</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</si>
  <si>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</si>
  <si>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Cited by: 12; All Open Access, Gold Open Access</t>
  </si>
  <si>
    <t>Serban A,Visser J</t>
  </si>
  <si>
    <t>Adapting Software Architectures to Machine Learning Challenges</t>
  </si>
  <si>
    <t>152 – 163</t>
  </si>
  <si>
    <t>https://www.scopus.com/inward/record.uri?eid=2-s2.0-85135860484&amp;doi=10.1109%2fSANER53432.2022.00029&amp;partnerID=40&amp;md5=c05b0ee4ebadf35d988ad552d51ac1a3;http://dx.doi.org/10.1109/SANER53432.2022.00029</t>
  </si>
  <si>
    <t>10.1109/SANER53432.2022.00029</t>
  </si>
  <si>
    <t>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 © 2022 IEEE.</t>
  </si>
  <si>
    <t>Self-admitted technical debt in R Packages: An exploratory study</t>
  </si>
  <si>
    <t>179 – 189</t>
  </si>
  <si>
    <t>https://www.scopus.com/inward/record.uri?eid=2-s2.0-85113676757&amp;doi=10.1109%2fMSR52588.2021.00030&amp;partnerID=40&amp;md5=89bd6587de88862245793e28edbd5fcb;http://dx.doi.org/10.1109/MSR52588.2021.00030</t>
  </si>
  <si>
    <t>10.1109/MSR52588.2021.00030</t>
  </si>
  <si>
    <t>Self-Admitted Technical Debt (SATD) is a particular case of Technical Debt (TD) where developers explicitly acknowledge their sub-optimal implementation decisions. Though previous studies have demonstrated that SATD is common in software projects and negatively impacts their maintenance, they have mostly approached software systems coded in traditional object-oriented programming (OOP), such as Java, C++ or.NET. This paper studies SATD in R packages, and reports results of a three-part study. The first part mined more than 500 R packages available on GitHub, and manually analysed more than 164k of comments to generate a dataset. The second part administered a crowd-sourcing to analyse the quality of the extracted comments, while the third part conducted a survey to address developers' perspectives regarding SATD comments. The main findings indicate that a large amount of outdated code is left commented, with SATD accounting for about 3% of comments. Code Debt was the most common type, but there were also traces of Algorithm Debt, and there is a considerable amount of comments dedicated to circumventing CRAN checks. Moreover, package authors seldom address the SATD they encounter and often add it as self-reminders. © 2021 IEEE.</t>
  </si>
  <si>
    <t>Cited by: 5</t>
  </si>
  <si>
    <t>Yang N,Cuijpers P,Schiffelers R,Lukkien J,Serebrenik A</t>
  </si>
  <si>
    <t>Single-state state machines in model-driven software engineering: an exploratory study</t>
  </si>
  <si>
    <t>https://www.scopus.com/inward/record.uri?eid=2-s2.0-85114747740&amp;doi=10.1007%2fs10664-021-10015-3&amp;partnerID=40&amp;md5=fe1494adfcb4b48a9a4e62153f695d2f;http://dx.doi.org/10.1007/s10664-021-10015-3</t>
  </si>
  <si>
    <t>10.1007/s10664-021-10015-3</t>
  </si>
  <si>
    <t>Context: 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 Objective: We aim for understanding the phenomenon of using SSSMs in practice as understanding why developers violate the modeling guidelines is the first step towards improvement of modeling tools and practice. Method: 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 Results: 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 Conclusions: Based on our results, we provide implications for developers and tool builders. Furthermore, we formulate hypotheses about the effectiveness of SSSMs, the impacts of SSSMs on development, maintenance and verification as well as the evolution of SSSMs. © 2021, The Author(s).</t>
  </si>
  <si>
    <t>Virmajoki J,Knutas A,Kasurinen J</t>
  </si>
  <si>
    <t>Detecting Code Smells with AI: a Prototype Study</t>
  </si>
  <si>
    <t>1393 – 1398</t>
  </si>
  <si>
    <t>https://www.scopus.com/inward/record.uri?eid=2-s2.0-85133951759&amp;doi=10.23919%2fMIPRO55190.2022.9803727&amp;partnerID=40&amp;md5=26707e38b212fa540ee51b729c81f95d;http://dx.doi.org/10.23919/MIPRO55190.2022.9803727</t>
  </si>
  <si>
    <t>10.23919/MIPRO55190.2022.9803727</t>
  </si>
  <si>
    <t>Artificial intelligence is one of the key advances in computing. AI has applications in improving the quality of software, supporting software development tools, and providing smartness to the systems we develop. In this paper, we study the adaptability of AI in a simple software engineering-related problem, a code smell analysis. Code smells are characteristics in the source code that indicate that there is a deeper problem, and they are a long-term nuisance for the developers. The code smells are not syntax or semantics errors, they simply are a product of too many fixes, changes and additions grinding down the code coherence. While it might be easy to refactor to get rid of code smells, first they need to be discovered. In this paper, our research group demonstrates a prototype for detecting these code smells. The prototype was implemented in Python, using machine learning, neural networks, and deep learning as a basis. Training and testing data were taken from external data storages. As a result, the prototype was able to detect two different code smells successfully, with a relatively small amount of training data. In addition, we identified issues that need to be addressed when the line of research and prototype development is pursued further. © 2022 Croatian Society MIPRO.</t>
  </si>
  <si>
    <t>AlOmar EA,Christians B,Busho M,AlKhalid AH,Ouni A,Newman C,Mkaouer MW</t>
  </si>
  <si>
    <t>SATDBailiff-mining and tracking self-admitted technical debt</t>
  </si>
  <si>
    <t>Science of Computer Programming</t>
  </si>
  <si>
    <t>0167-6423</t>
  </si>
  <si>
    <t>https://www.scopus.com/inward/record.uri?eid=2-s2.0-85115889625&amp;doi=10.1016%2fj.scico.2021.102693&amp;partnerID=40&amp;md5=5dbc6d48d322c359a08ff5baedd3732b;http://dx.doi.org/10.1016/j.scico.2021.102693</t>
  </si>
  <si>
    <t>10.1016/j.scico.2021.102693</t>
  </si>
  <si>
    <t>Self-Admitted Technical Debt (SATD) is a metaphorical concept to describe the self-documented addition of technical debt to a software project in the form of source code comments. SATD can linger in projects and degrade source-code quality, but it can also be more visible than unintentionally added or undocumented technical debt. Understanding the implications of adding SATD to a software project is important because developers can benefit from a better understanding of the quality trade-offs they are making. However, empirical studies, analyzing the survivability and removal of SATD comments, are challenged by potential code changes or SATD comment updates that may interfere with properly tracking their appearance, existence, and removal. In this paper, we propose SATDBailiff, a tool that uses an existing state-of-the-art SATD detection tool, to identify SATD in method comments, then properly track their lifespan. SATDBailiff is given as input links to open source projects, and its output is a list of all identified SATDs, and for each detected SATD, SATDBailiff reports all its associated changes, including any updates to its text, all the way to reporting its removal. The goal of SATDBailiff is to aid researchers and practitioners in better tracking SATDs instances, and providing them with a reliable tool that can be easily extended. SATDBailiff was validated using a dataset of previously detected and manually validated SATD instances. SATDBailiff is publicly available as an open source, along with the manual analysis of SATD instances associated with its validation, on the project website. © 2021 Elsevier B.V.</t>
  </si>
  <si>
    <t>Vega C,Kratochvil M,Satagopam V,Schneider R</t>
  </si>
  <si>
    <t>Translational Challenges of Biomedical Machine Learning Solutions in Clinical and Laboratory Settings</t>
  </si>
  <si>
    <t>13347 LNBI</t>
  </si>
  <si>
    <t>353 – 358</t>
  </si>
  <si>
    <t>https://www.scopus.com/inward/record.uri?eid=2-s2.0-85133153613&amp;doi=10.1007%2f978-3-031-07802-6_30&amp;partnerID=40&amp;md5=bb38e6afb779e1d9ea89781395994d79;http://dx.doi.org/10.1007/978-3-031-07802-6_30</t>
  </si>
  <si>
    <t>10.1007/978-3-031-07802-6_30</t>
  </si>
  <si>
    <t>The ever increasing use of artificial intelligence (AI) methods in biomedical sciences calls for closer inter-disciplinary collaborations that transfer the domain knowledge from life scientists to computer science researchers and vice-versa. We highlight two general areas where the use of AI-based solutions designed for clinical and laboratory settings has proven problematic. These are used to demonstrate common sources of translational challenges that often stem from the differences in data interpretation between the clinical and research view, and the unmatched expectations and requirements on the result quality metrics. We outline how explicit interpretable inference reporting might be used as a guide to overcome such translational challenges. We conclude with several recommendations for safer translation of machine learning solutions into real-world settings. © 2022, Springer Nature Switzerland AG.</t>
  </si>
  <si>
    <t>Fujii TY,Hayashi VT,Arakaki R,Ruggiero WV,Bulla R,Hayashi FH,Khalil KA</t>
  </si>
  <si>
    <t>A Digital Twin Architecture Model Applied with MLOps Techniques to Improve Short-Term Energy Consumption Prediction</t>
  </si>
  <si>
    <t>https://www.scopus.com/inward/record.uri?eid=2-s2.0-85124255974&amp;doi=10.3390%2fmachines10010023&amp;partnerID=40&amp;md5=28d3d472ad035d91998efc6df04c705e;http://dx.doi.org/10.3390/machines10010023</t>
  </si>
  <si>
    <t>10.3390/machines10010023</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</si>
  <si>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 © 2021 by the authors. Licensee MDPI, Basel, Switzerland.</t>
  </si>
  <si>
    <t>Cited by: 5; All Open Access, Gold Open Access</t>
  </si>
  <si>
    <t>Towards an AI-driven business development framework: A multi-case study</t>
  </si>
  <si>
    <t>https://www.scopus.com/inward/record.uri?eid=2-s2.0-85125909057&amp;doi=10.1002%2fsmr.2432&amp;partnerID=40&amp;md5=81497923d97888427d6200fc1d3459cf;http://dx.doi.org/10.1002/smr.2432</t>
  </si>
  <si>
    <t>10.1002/smr.2432</t>
  </si>
  <si>
    <t>Artificial intelligence (AI) and the use of machine learning (ML) and deep learning (DL) technologies are becoming increasingly popular in companies. These technologies enable companies to leverage big quantities of data to improve system performance and accelerate business development. However, despite the appeal of ML/DL, there is a lack of systematic and structured methods and processes to help data scientists and other company roles and functions to develop, deploy and evolve models. In this paper, based on multi-case study research in six companies, we explore practices and challenges practitioners experience in developing ML/DL models as part of large software-intensive embedded systems. Based on our empirical findings, we derive a conceptual framework in which we identify three high-level activities that companies perform in parallel with the development, deployment and evolution of models. Within this framework, we outline activities, iterations and triggers that optimize model design as well as roles and company functions. In this way, we provide practitioners with a blueprint for effectively integrating ML/DL model development into the business to achieve better results than other (algorithmic) approaches. In addition, we show how this framework helps companies solve the challenges we have identified and discuss checkpoints for terminating the business case. © 2022 The Authors. Journal of Software: Evolution and Process published by John Wiley &amp; Sons Ltd.</t>
  </si>
  <si>
    <t>Temporal convolutional networks for just-in-time design smells prediction using fine-grained software metrics</t>
  </si>
  <si>
    <t>Neurocomputing</t>
  </si>
  <si>
    <t>454 – 471</t>
  </si>
  <si>
    <t>0925-2312</t>
  </si>
  <si>
    <t>https://www.scopus.com/inward/record.uri?eid=2-s2.0-85114013884&amp;doi=10.1016%2fj.neucom.2021.08.010&amp;partnerID=40&amp;md5=26e9153ed73c29aac86c53e23f208994;http://dx.doi.org/10.1016/j.neucom.2021.08.010</t>
  </si>
  <si>
    <t>10.1016/j.neucom.2021.08.010</t>
  </si>
  <si>
    <t>Software systems quality is strongly influenced by the presence of design problems and wrong constructs introduced during software evolution. Design smells are recognized to be indicators of such problems since their presence can indicate violations of the fundamental software design principles. This explains the interest of software researchers and developers in new approaches performing design smell early detection. In this paper, the adoption of a just-in-time design smell prediction approach is proposed. The approach uses a variant of Temporal Convolutional Networks (TCN) to predict the presence of design smells before they are introduced in the model. In comparison to other studies, in the proposed approach we focus on commit-level fine-grained product metrics and process metrics (i.e., ownership and seniority) to make deep neural networks training suitable. The validation is performed on a large dataset composed of six open source systems. The results show good prediction performance for some design smells and for all the considered design smells categories. The experiment performed shows that, with respect to baseline prediction models (i.e., LSTM,CNN and RF), the proposed TCN variant trained on the identified metrics, gives better results. © 2021 Elsevier B.V.</t>
  </si>
  <si>
    <t>Sala I,Tommasel A,Arcelli Fontana F</t>
  </si>
  <si>
    <t>DebtHunter: A machine learning-based approach for detecting self-admitted technical debt</t>
  </si>
  <si>
    <t>278 – 283</t>
  </si>
  <si>
    <t>https://www.scopus.com/inward/record.uri?eid=2-s2.0-85108905885&amp;doi=10.1145%2f3463274.3464455&amp;partnerID=40&amp;md5=72d95961bb20e726db887900f1cb3f6d;http://dx.doi.org/10.1145/3463274.3464455</t>
  </si>
  <si>
    <t>10.1145/3463274.3464455</t>
  </si>
  <si>
    <t>Due to limited time, budget or resources, a team is prone to introduce code that does not follow the best software development practices. This code that introduces instability in the software projects is known as Technical Debt (TD). Often, TD intentionally manifests in source code, which is known as Self-Admitted Technical Debt (SATD). This paper presents DebtHunter, a natural language processing (NLP)- and machine learning (ML)- based approach for identifying and classifying SATD in source code comments. The proposed classification approach combines two classification phases for differentiating between the multiple debt types. Evaluations over 10 open source systems, containing more than 259k comments, showed that the approach was able to improve the performance of others in the literature. The presented approach is supported by a tool that can help developers to effectively manage SATD. The tool complements the analysis over Java source code by allowing developers to also examine the associated issue tracker. DebtHunter can be used in a continuous evolution environment to monitor the development process and make developers aware of how and where SATD is introduced, thus helping them to manage and resolve it. © 2021 ACM.</t>
  </si>
  <si>
    <t>Pizzini A</t>
  </si>
  <si>
    <t>Behavior-based test smells refactoring : Toward an automatic approach to refactoring Eager Test and Lazy Test smells</t>
  </si>
  <si>
    <t>261 – 263</t>
  </si>
  <si>
    <t>https://www.scopus.com/inward/record.uri?eid=2-s2.0-85132434050&amp;doi=10.1109%2fICSE-Companion55297.2022.9793823&amp;partnerID=40&amp;md5=c6a0344b1e5ab02c263e4e5140c2d432;http://dx.doi.org/10.1109/ICSE-Companion55297.2022.9793823</t>
  </si>
  <si>
    <t>10.1109/ICSE-Companion55297.2022.9793823</t>
  </si>
  <si>
    <t>Software testing is an essential part of the development process, and like many software artifacts, tests are affected by smells, harming comprehension and maintainability. Several studies are related to test smell identification, but few studies are related to refactoring. Most proposed approaches are semi-automated, with the developer as a safety net. This paper presents a proposal for automatic refactoring of Eager Test and Lazy Test smells based on identifying the behavior of tests and, consequently, the behavior of the System Under Test (SUT). The approach will be evaluated with private source code repositories to identify its impact on quality attributes. © 2022 IEEE.</t>
  </si>
  <si>
    <t>Ochodek M,Staron M,Meding W,Söder O</t>
  </si>
  <si>
    <t>Automated Code Review Comment Classification to Improve Modern Code Reviews</t>
  </si>
  <si>
    <t>Lecture Notes in Business Information Processing</t>
  </si>
  <si>
    <t>439 LNBIP</t>
  </si>
  <si>
    <t>23 – 40</t>
  </si>
  <si>
    <t>1865-1348</t>
  </si>
  <si>
    <t>https://www.scopus.com/inward/record.uri?eid=2-s2.0-85128925243&amp;doi=10.1007%2f978-3-031-04115-0_3&amp;partnerID=40&amp;md5=7cebbd7dddbf4281addae297ccc02fa3;http://dx.doi.org/10.1007/978-3-031-04115-0_3</t>
  </si>
  <si>
    <t>10.1007/978-3-031-04115-0_3</t>
  </si>
  <si>
    <t>Modern Code Reviews (MCRs) are a widely-used quality assurance mechanism in continuous integration and deployment. Unfortunately, in medium and large projects, the number of changes that need to be integrated, and consequently the number of comments triggered during MCRs could be overwhelming. Therefore, there is a need for quickly recognizing which comments are concerning issues that need prompt attention to guide the focus of the code authors, reviewers, and quality managers. The goal of this study is to design a method for automated classification of review comments to identify the needed change faster and with higher accuracy. We conduct a Design Science Research study on three open-source systems. We designed a method (CommentBERT) for automated classification of the code-review comments based on the BERT (Bidirectional Encoder Representations from Transformers) language model and a new taxonomy of comments. When applied to 2,672 comments from Wireshark, The Mono Framework, and Open Network Automation Platform (ONAP) projects, the method achieved accuracy, measured using Matthews Correlation Coefficient, of 0.46–0.82 (Wireshark), 0.12–0.8 (ONAP), and 0.48–0.85 (Mono). Based on the results, we conclude that the proposed method seems promising and could be potentially used to build machine-learning-based tools to support MCRs as long as there is a sufficient number of historical code-review comments to train the model. © 2022, Springer Nature Switzerland AG.</t>
  </si>
  <si>
    <t>Zampetti F,Fucci G,Serebrenik A,Di Penta M</t>
  </si>
  <si>
    <t>Self-admitted technical debt practices: a comparison between industry and open-source</t>
  </si>
  <si>
    <t>https://www.scopus.com/inward/record.uri?eid=2-s2.0-85115753395&amp;doi=10.1007%2fs10664-021-10031-3&amp;partnerID=40&amp;md5=8f5452f0b97e1e6b6713650ecbe1a2d5;http://dx.doi.org/10.1007/s10664-021-10031-3</t>
  </si>
  <si>
    <t>10.1007/s10664-021-10031-3</t>
  </si>
  <si>
    <t>Self-admitted technical debt (SATD) consists of annotations, left by developers as comments in the source code or elsewhere, as a reminder about pieces of software manifesting technical debt (TD), i.e., “not being ready yet”. While previous studies have investigated SATD management and its relationship with software quality, there is little understanding of the extent and circumstances to which developers admit TD. This paper reports the results of a study in which we asked developers from industry and open-source about their practices in annotating source code and other artifacts for self-admitting TD. The study consists of two phases. First, we conducted 10 interviews to gather a first understanding of the phenomenon and to prepare a survey questionnaire. Then, we surveyed 52 industrial developers as well as 49 contributors to open-source projects. Results of the study show how the TD annotation practices, as well as the typical content of SATD comments, are very similar between open-source and industry. At the same time, our results highlight how, while open-source code is spread of comments admitting the need for improvements, SATD in industry may be dictated by organizational guidelines but, at the same time, implicitly discouraged by the fear of admitting responsibilities. Results also highlight the need for tools helping developers to achieve a better TD awareness. © 2021, The Author(s), under exclusive licence to Springer Science+Business Media, LLC, part of Springer Nature.</t>
  </si>
  <si>
    <t>Dilhara M,Ketkar A,Dig D</t>
  </si>
  <si>
    <t>Understanding Software-2.0: A Study of Machine Learning Library Usage and Evolution</t>
  </si>
  <si>
    <t>https://www.scopus.com/inward/record.uri?eid=2-s2.0-85112100545&amp;doi=10.1145%2f3453478&amp;partnerID=40&amp;md5=280818c136419ff6529d7eff1f603bbf;http://dx.doi.org/10.1145/3453478</t>
  </si>
  <si>
    <t>10.1145/3453478</t>
  </si>
  <si>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 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 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 © 2021 ACM.</t>
  </si>
  <si>
    <t>Cited by: 6; All Open Access, Bronze Open Access</t>
  </si>
  <si>
    <t>Matsui M,Sugisaki T,Okada K,Koshizuka N</t>
  </si>
  <si>
    <t>AlphaSQL: Open Source Software Tool for Automatic Dependency Resolution, Parallelization and Validation for SQL and Data</t>
  </si>
  <si>
    <t>38 – 45</t>
  </si>
  <si>
    <t>https://www.scopus.com/inward/record.uri?eid=2-s2.0-85134882117&amp;doi=10.1109%2fICDEW55742.2022.00010&amp;partnerID=40&amp;md5=ce6e09b887565f27864ec5d52fda846b;http://dx.doi.org/10.1109/ICDEW55742.2022.00010</t>
  </si>
  <si>
    <t>10.1109/ICDEW55742.2022.00010</t>
  </si>
  <si>
    <t>Improved performance of database systems has enabled faster SQL querying and more complex data processing. However, as the data becomes more complex and larger, SQL data processing becomes more difficult and costly. Typical problems include changing SQL queries and data schema resolution in complex dependencies by hand. In addition, human errors can lead to complex cyclic dependency problems. To mitigate these problems, we developed AlphaSQL: an open-source software tool for SQL data processing. AlphaSQL mainly supports three techniques to automate data preparation by SQL: (1) extracting a directed acyclic graph (DAG) based on dependencies between SQL and data, (2) validating the schema included in the whole DAG, and (3) parallelizing the queries based on the DAG. We applied AlphaSQL to a real-world data analysis and machine learning project where we analyzed 1445 logs obtained from static validation for git commits and 3243 execution logs. Our analysis showed that AlphaSQL detected various errors with high precision and recall, part of which existing tools could not catch (e.g., missing resources and schema mismatches). AlphaSQL would enable more maintainable data management using SQL. © 2022 IEEE.</t>
  </si>
  <si>
    <t>Wang X,Tang X,Dong Z,Zhen L</t>
  </si>
  <si>
    <t>Research on rapid development platform of PLC control system</t>
  </si>
  <si>
    <t>High Technology Letters</t>
  </si>
  <si>
    <t>210 – 217</t>
  </si>
  <si>
    <t>Inst. of Scientific and Technical Information of China</t>
  </si>
  <si>
    <t>1006-6748</t>
  </si>
  <si>
    <t>https://www.scopus.com/inward/record.uri?eid=2-s2.0-85108729050&amp;doi=10.3772%2fj.issn.1006-6748.2021.02.012&amp;partnerID=40&amp;md5=e7497e1fd7258da8b532a4783feea21e;http://dx.doi.org/10.3772/j.issn.1006-6748.2021.02.012</t>
  </si>
  <si>
    <t>10.3772/j.issn.1006-6748.2021.02.012</t>
  </si>
  <si>
    <t>In the field of industrial process control, a fast-development platform for programmable logic controller (PLC) systems is designed in order to solve two main problems of rapid development of PLC control system and programmability of controlling software. In the aspect of design, the platform is composed of hardware controlling and software monitoring and is taking industrial computer as the core. Under the Windows environment, the platform establishes the control instruction set, develops the configuration function and visual programming function of the monitoring software and it integrates PLC controller based on Visual Basic software. In order to achieve the function of data monitoring, it has realized the serial communication between computer and PLC by using RS-485 and RS-232 serial ports line communication. The platform designs the intelligent instruction scheduling strategy by studying the encoding and decoding rules of the communication instruction set. It proposes a method for rapidly developing control programs by adopting the expert control mode, which enables clients to develop and modify programs conveniently by importing instructions in a non-coded manner. After experimental testing, the platform is proved successful achieving both the rapid development of PLC control system and the rapid modification of monitoring software. Copyright © by HIGH TECHNOLOGY LETTERS PRESS.</t>
  </si>
  <si>
    <t>Meng L,Li Y,Chen L,Wang Z,Wu D,Zhou Y,Xu B</t>
  </si>
  <si>
    <t>Measuring discrimination to boost comparative testing for multiple deep learning models</t>
  </si>
  <si>
    <t>385 – 396</t>
  </si>
  <si>
    <t>https://www.scopus.com/inward/record.uri?eid=2-s2.0-85115682958&amp;doi=10.1109%2fICSE43902.2021.00045&amp;partnerID=40&amp;md5=b8cf36a834806fa4c837a5593efc5b27;http://dx.doi.org/10.1109/ICSE43902.2021.00045</t>
  </si>
  <si>
    <t>10.1109/ICSE43902.2021.00045</t>
  </si>
  <si>
    <t>The boom of DL technology leads to massive DL models built and shared, which facilitates the acquisition and reuse of DL models. For a given task, we encounter multiple DL models available with the same functionality, which are considered as candidates to achieve this task. Testers are expected to compare multiple DL models and select the more suitable ones w.r.t. the whole testing context. Due to the limitation of labeling effort, testers aim to select an efficient subset of samples to make an as precise rank estimation as possible for these models. To tackle this problem, we propose Sample Discrimination based Selection (SDS) to select efficient samples that could discriminate multiple models, i.e., the prediction behaviors (right/wrong) of these samples would be helpful to indicate the trend of model performance. To evaluate SDS, we conduct an extensive empirical study with three widely-used image datasets and 80 real world DL models. The experiment results show that, compared with state-of-the-art baseline methods, SDS is an effective and efficient sample selection method to rank multiple DL models. © 2021 IEEE.</t>
  </si>
  <si>
    <t>Kolltveit AB,Li J</t>
  </si>
  <si>
    <t>Operationalizing Machine Learning Models - A Systematic Literature Review</t>
  </si>
  <si>
    <t>1 – 8</t>
  </si>
  <si>
    <t>https://www.scopus.com/inward/record.uri?eid=2-s2.0-85135082967&amp;doi=10.1145%2f3526073.3527584&amp;partnerID=40&amp;md5=9ba43681c42e6c48a85436e54df633b1;http://dx.doi.org/10.1145/3526073.3527584</t>
  </si>
  <si>
    <t>10.1145/3526073.3527584</t>
  </si>
  <si>
    <t>Deploying machine learning (ML) models to production with the same level of rigor and automation as traditional software systems has shown itself to be a non-trivial task, requiring extra care and infrastructure to deal with the additional challenges. Although many studies focus on adapting ML software engineering (SE) approaches and techniques, few studies have summarized the status and challenges of operationalizing ML models. Model operationalization encompasses all steps after model training and evaluation, including packaging the model in a format appropriate for deployment, publishing to a model registry or storage, integrating the model into a broader software system, serving, and monitoring. This study is the first systematic literature review investigating the techniques, tools, and infrastructures to operationalize ML models. After reviewing 24 primary studies, the results show that there are a number of tools for most use cases to operationalize ML models and cloud deployment in particular. The review also revealed several research opportunities, such as dynamic model-switching, continuous model-monitoring, and efficient edge ML deployments. CCS CONCEPTS • General and reference → Surveys and overviews; • Computing methodologies → Machine learning; • Software and its engineering → Software development techniques. © 2022 ACM.</t>
  </si>
  <si>
    <t>Atouani A,Kirchhof JC,Kusmenko E,Rumpe B</t>
  </si>
  <si>
    <t>Artifact and reference models for generative machine learning frameworks and build systems</t>
  </si>
  <si>
    <t>55 – 68</t>
  </si>
  <si>
    <t>https://www.scopus.com/inward/record.uri?eid=2-s2.0-85120851738&amp;doi=10.1145%2f3486609.3487199&amp;partnerID=40&amp;md5=27f2355ad1f01d8ae15538d7647a3068;http://dx.doi.org/10.1145/3486609.3487199</t>
  </si>
  <si>
    <t>10.1145/3486609.3487199</t>
  </si>
  <si>
    <t>Machine learning is a discipline which has become ubiquitous in the last few years. While the research of machine learning algorithms is very active and continues to reveal astonishing possibilities on a regular basis, the wide usage of these algorithms is shifting the research focus to the integration, maintenance, and evolution of AI-driven systems. Although there is a variety of machine learning frameworks on the market, there is little support for process automation and DevOps in machine learning-driven projects. In this paper, we discuss how metamodels can support the development of deep learning frameworks and help deal with the steadily increasing variety of learning algorithms. In particular, we present a deep learning-oriented artifact model which serves as a foundation for build automation and data management in iterative, machine learning-driven development processes. Furthermore, we show how schema and reference models can be used to structure and maintain a versatile deep learning framework. Feasibility is demonstrated on several state-of-the-art examples from the domains of image and natural language processing as well as decision making and autonomous driving. © 2021 ACM.</t>
  </si>
  <si>
    <t>Sofian H,Yunus NA,Ahmad R</t>
  </si>
  <si>
    <t>Systematic Mapping: Artificial Intelligence Techniques in Software Engineering</t>
  </si>
  <si>
    <t>51021 – 51040</t>
  </si>
  <si>
    <t>https://www.scopus.com/inward/record.uri?eid=2-s2.0-85130778732&amp;doi=10.1109%2fACCESS.2022.3174115&amp;partnerID=40&amp;md5=e36e8ee7999d57a6b18554a0dc5d434f;http://dx.doi.org/10.1109/ACCESS.2022.3174115</t>
  </si>
  <si>
    <t>10.1109/ACCESS.2022.3174115</t>
  </si>
  <si>
    <t>Artificial Intelligence (AI) has become a core feature of today's real-world applications, making it a trending topic within the software engineering (SE) community. The rise in the availability of AI techniques encompasses the capability to make rapid, automated, impactful decisions and predictions, leading to the adoption of AI techniques in SE. With industry revolution 4.0, the role of software engineering has become critical for developing productive, efficient, and quality software. Thus, there is a major need for AI techniques to be applied to enhance and improve the critical activities within the software engineering phases. Software is developed through intelligent software engineering phases. This paper concerns a systematic mapping study that aimed to characterize the publication landscape of AI techniques in software engineering. Gaps are identified and discussed by mapping these AI techniques against the SE phases to which they contributed. Many systematic mapping review papers have been produced only for a specific AI technique or a specific SE phase or activity. Hence, to our best of knowledge within the last decade, there is no systematic mapping review that has fully explored the overall trends in AI techniques and their application to all SE phases. © 2013 IEEE.</t>
  </si>
  <si>
    <t>Enterprise Information Systems</t>
  </si>
  <si>
    <t>https://www.scopus.com/inward/record.uri?eid=2-s2.0-85091426748&amp;doi=10.1080%2f17517575.2020.1824017&amp;partnerID=40&amp;md5=cda4cfb39edc69c3987dbadb2f2f44bf;http://dx.doi.org/10.1080/17517575.2020.1824017</t>
  </si>
  <si>
    <t>Vulnerability prediction facilitates the development of secure software, as it enables the identification and mitigation of security risks early enough in the software development lifecycle. Although several factors have been studied for their ability to indicate software security risk, very limited attention has been given to technical debt (TD), despite its potential relevance to software security. To this end, in the present study, we investigate the ability of common TD indicators to indicate security risks in software products, both at project-level and at class-level of granularity. Our findings suggest that TD indicators may potentially act as security indicators as well. © 2020 Informa UK Limited, trading as Taylor &amp; Francis Group.</t>
  </si>
  <si>
    <t>Cited by: 8; All Open Access, Green Open Access</t>
  </si>
  <si>
    <t>Heck P,Schouten G,Cruz L</t>
  </si>
  <si>
    <t>A software engineering perspective on building production-ready machine learning systems</t>
  </si>
  <si>
    <t>https://www.scopus.com/inward/record.uri?eid=2-s2.0-85113229165&amp;doi=10.4018%2f978-1-7998-6985-6.ch002&amp;partnerID=40&amp;md5=0c2583157b8c5dc3f4a9a18b611d9b1d;http://dx.doi.org/10.4018/978-1-7998-6985-6.ch002</t>
  </si>
  <si>
    <t>10.4018/978-1-7998-6985-6.ch002</t>
  </si>
  <si>
    <t>This chapter discusses how to build production-ready machine learning systems. There are several challenges involved in accomplishing this, each with its specific solutions regarding practices and tool support. The chapter presents those solutions and introduces MLOps (machine learning operations, also called machine learning engineering) as an overarching and integrated approach in which data engineers, data scientists, software engineers, and operations engineers integrate their activities to implement validated machine learning applications managed from initial idea to daily operation in a production environment. This approach combines agile software engineering processes with the machine learning-specific workflow. Following the principles of MLOps is paramount in building high-quality production-ready machine learning systems. The current state of MLOps is discussed in terms of best practices and tool support. The chapter ends by describing future developments that are bound to improve and extend the tool support for implementing an MLOps approach. © 2021, IGI Global.</t>
  </si>
  <si>
    <t>23 – 54</t>
  </si>
  <si>
    <t>Quaranta L</t>
  </si>
  <si>
    <t>Assessing the Quality of Computational Notebooks for a Frictionless Transition from Exploration to Production</t>
  </si>
  <si>
    <t>256 – 260</t>
  </si>
  <si>
    <t>https://www.scopus.com/inward/record.uri?eid=2-s2.0-85132395661&amp;doi=10.1109%2fICSE-Companion55297.2022.9793798&amp;partnerID=40&amp;md5=8340ae7a93b28121554e6125d6f393e4;http://dx.doi.org/10.1109/ICSE-Companion55297.2022.9793798</t>
  </si>
  <si>
    <t>10.1109/ICSE-Companion55297.2022.9793798</t>
  </si>
  <si>
    <t>The massive trend of integrating data-driven AI capabilities into traditional software systems is rising new intriguing challenges. One of such challenges is achieving a smooth transition from the explorative phase of Machine Learning projects - in which data scientists build prototypical models in the lab - to their production phase - in which software engineers translate prototypes into production-ready AI components. To narrow down the gap between these two phases, tools and practices adopted by data scientists might be improved by incorporating consolidated software engineering solutions. In particular, computational notebooks have a prominent role in determining the quality of data science prototypes. In my research project, I address this challenge by studying the best practices for collaboration with computational notebooks and proposing proof-of-concept tools to foster guidelines compliance.CCS CONCEPTS • Software and its engineering; • Computing methodologies → Machine learning; © 2022 IEEE.</t>
  </si>
  <si>
    <t>Lei L,Sun S,Zhang Y,Liu H,Xu W</t>
  </si>
  <si>
    <t>Psic-net: Pixel-wise segmentation and image-wise classification network for surface defects</t>
  </si>
  <si>
    <t>https://www.scopus.com/inward/record.uri?eid=2-s2.0-85116431854&amp;doi=10.3390%2fmachines9100221&amp;partnerID=40&amp;md5=a71bf41a66e5e3a04601d285a26887b1;http://dx.doi.org/10.3390/machines9100221</t>
  </si>
  <si>
    <t>10.3390/machines9100221</t>
  </si>
  <si>
    <t>Recent years have witnessed the widespread research of the surface defect detection technology based on machine vision, which has spawned various effective detection methods. In particular, the rise of deep learning has allowed the surface defect detection technology to develop further. However, these methods based on deep learning still have some drawbacks. For example, the size of the sample data is not large enough to support deep learning; the location and recognition of surface defects are not accurate enough; the real-time performance of segmentation and classification is not satisfactory. In the context, this paper proposes an end-to-end convolutional neural network model: the pixel-wise segmentation and image-wise classification network (PSIC-Net). With the innovative design of a three-stage network structure, improved loss function and a two-step training mode, PSIC-Net can accurately and quickly segment and classify surface defects with a small dataset of training data. This model was evaluated with three public datasets, and compared with the most advanced defect detection methods. All the performance metrics prove the effectiveness and advancement of PSIC-Net. © 2021 by the authors. Licensee MDPI, Basel, Switzerland.</t>
  </si>
  <si>
    <t>Cited by: 7; All Open Access, Gold Open Access</t>
  </si>
  <si>
    <t>Ashok K,Gurulakshmi AB,Prakash MB,Poornima RM,Sneha NS,Gowtham V</t>
  </si>
  <si>
    <t>A Survey on Design and Application Approaches in Women-Safety Systems</t>
  </si>
  <si>
    <t>101 – 110</t>
  </si>
  <si>
    <t>https://www.scopus.com/inward/record.uri?eid=2-s2.0-85133212644&amp;doi=10.1109%2fICACCS54159.2022.9784981&amp;partnerID=40&amp;md5=9ac32a170b9cfc0d8c93261883ebdf9c;http://dx.doi.org/10.1109/ICACCS54159.2022.9784981</t>
  </si>
  <si>
    <t>10.1109/ICACCS54159.2022.9784981</t>
  </si>
  <si>
    <t>In the Modern World, women are no longer considered as the minor group. They share the same power, privileges, rights, and opportunities as men. They have been excelled in many fields and contributing to the development of the entire globe. But, in many developing and under developed countries, still women community has not raised up, specifically due to the challenges they face in terms of unethical physical harassment from the society. This paper presents a comprehensive survey on design and application approaches in women safety systems. There are many promising technologies relied on women security systems using IoT, Embedded, Artificial Intelligence, Machine Learning, Augmented Reality, android Mobile apps etc. We have undergone with a comparative analysis of such techniques and open research issues that would enable the researchers to design a complete women security system for the beneficial of the entire women community in global level. © 2022 IEEE.</t>
  </si>
  <si>
    <t>De Stefano M,Pecorelli F,Palomba F,De Lucia A</t>
  </si>
  <si>
    <t>Comparing within-and cross-project machine learning algorithms for code smell detection</t>
  </si>
  <si>
    <t>https://www.scopus.com/inward/record.uri?eid=2-s2.0-85113825122&amp;doi=10.1145%2f3472674.3473978&amp;partnerID=40&amp;md5=ef08e821bd0aa076a2350dadfe5034f8;http://dx.doi.org/10.1145/3472674.3473978</t>
  </si>
  <si>
    <t>10.1145/3472674.3473978</t>
  </si>
  <si>
    <t>Code smells represent a well-known problem in software engineering, since they are a notorious cause of loss of comprehensibility and maintainability. The most recent efforts in devising automatic machine learning-based code smell detection techniques have achieved unsatisfying results so far. This could be explained by the fact that all these approaches follow a within-project classification, i.e. training and test data are taken from the same source project, which combined with the imbalanced nature of the problem, produces datasets with a very low number of instances belonging to the minority class (i.e. smelly instances). In this paper, we propose a cross-project machine learning approach and compare its performance with a within-project alternative. The core idea is to use transfer learning to increase the overall number of smelly instances in the training datasets. Our results have shown that cross-project classification provides very similar performance with respect to within-project. Despite this finding does not yet provide a step forward in increasing the performance of ML techniques for code smell detection, it sets the basis for further investigations. © 2021 ACM.</t>
  </si>
  <si>
    <t>Al Alamin MA,Uddin G</t>
  </si>
  <si>
    <t>Quality assurance challenges for machine learning software applications during software development life cycle phases</t>
  </si>
  <si>
    <t>https://www.scopus.com/inward/record.uri?eid=2-s2.0-85117528533&amp;doi=10.1109%2fICAS49788.2021.9551151&amp;partnerID=40&amp;md5=034597a94dab459da2f9c12133a67165;http://dx.doi.org/10.1109/ICAS49788.2021.9551151</t>
  </si>
  <si>
    <t>10.1109/ICAS49788.2021.9551151</t>
  </si>
  <si>
    <t>In the past decades, the revolutionary advances of Machine Learning (ML) have shown a rapid adoption of ML models into software systems of diverse types. Such Machine Learning Software Applications (MLSAs) are gaining importance in our daily lives. As such, the Quality Assurance (QA) of MLSAs is of paramount importance. Several research efforts are dedicated to determining the specific challenges we can face while adopting ML models into software systems. However, we are aware of no research that offered a holistic view of the distribution of those ML quality assurance challenges across the various phases of software development life cycles (SDLC). This paper conducts an in-depth literature review of a large volume of research papers that focused on the quality assurance of ML models. We developed a taxonomy of MLSA quality assurance issues by mapping the various ML adoption challenges across different phases of SDLC. We provide recommendations and research opportunities to improve SDLC practices based on the taxonomy. This mapping can help prioritize quality assurance efforts of MLSAs where the adoption of ML models can be considered crucial. © 2021 IEEE.</t>
  </si>
  <si>
    <t>Giordano G,Fasulo A,Catolino G,Palomba F,Ferrucci F,Gravino C</t>
  </si>
  <si>
    <t>On the Evolution of Inheritance and Delegation Mechanisms and Their Impact on Code Quality</t>
  </si>
  <si>
    <t>947 – 958</t>
  </si>
  <si>
    <t>https://www.scopus.com/inward/record.uri?eid=2-s2.0-85135795681&amp;doi=10.1109%2fSANER53432.2022.00113&amp;partnerID=40&amp;md5=adfadeb536fc69a0106a71907100f942;http://dx.doi.org/10.1109/SANER53432.2022.00113</t>
  </si>
  <si>
    <t>10.1109/SANER53432.2022.00113</t>
  </si>
  <si>
    <t>Source code reuse is considered one of the holy grails of modern software development. Indeed, it has been widely demonstrated that this activity decreases software development and maintenance costs while increasing its overall trustwor-thiness. The Object-Oriented (OO) paradigm provides different internal mechanisms to favor code reuse, i.e., specification inheritance, implementation inheritance, and delegation. While previous studies investigated how inheritance relations impact source code quality, there is still a lack of understanding of their evolutionary aspects and, more particular, of how these mechanisms may impact source code quality over time. To bridge this gap of knowledge, this paper proposes an empirical investigation into the evolution of specification inheritance, implementation inheritance, and delegation and their impact on the variability of source code quality attributes. First, we assess how the implementation of those mechanisms varies over 15 releases of three software systems. Second, we devise a statistical approach with the aim of understanding how inheritance and delegation let source code quality - as indicated by the severity of code smells - vary in either positive or negative manner. The key results of the study indicate that inheritance and delegation evolve over time, but not in a statistically significant manner. At the same time, their evolution often leads code smell severity to be reduced, hence possibly contributing to improve code maintainability. © 2022 IEEE.</t>
  </si>
  <si>
    <t>Zdravković M,Panetto H</t>
  </si>
  <si>
    <t>Artificial intelligence-enabled enterprise information systems</t>
  </si>
  <si>
    <t>https://www.scopus.com/inward/record.uri?eid=2-s2.0-85129589031&amp;doi=10.1080%2f17517575.2021.1973570&amp;partnerID=40&amp;md5=7623b2d60f5b16aa1d32b4fc8e3dbe7b;http://dx.doi.org/10.1080/17517575.2021.1973570</t>
  </si>
  <si>
    <t>10.1080/17517575.2021.1973570</t>
  </si>
  <si>
    <t>Arzt S</t>
  </si>
  <si>
    <t>Security and quality: Two sides of the same coin?</t>
  </si>
  <si>
    <t>7 – 12</t>
  </si>
  <si>
    <t>https://www.scopus.com/inward/record.uri?eid=2-s2.0-85110191786&amp;doi=10.1145%2f3460946.3464315&amp;partnerID=40&amp;md5=7f23c7c0429f797c9fddeefbea178a8c;http://dx.doi.org/10.1145/3460946.3464315</t>
  </si>
  <si>
    <t>10.1145/3460946.3464315</t>
  </si>
  <si>
    <t>Poor software quality may hinder future extensions to software code. In contrast to functional bugs, such hidden issues are not immediately visible to developers and users, and the software may still be fully usable. Consequently, developers are not forced to fix these issues, not even to investigate them. Security vulnerabilities are hidden isssues as well. However, they can put systems and users' data at risk and lead to financial losses as well as liability and fines under data protection acts. Therefore, from a risk minimization perspective, avoiding security issues may seem more critical than avoiding quality issues when dealing with limited development resources. In this paper, we show that both types of hidden issues are correlated. Our study of more than 400 real-world Android apps shows that apps with a high number of quality issues are likely to also have a higher number of security vulnerabilities. We argue that security and quality issues should be seen as two sides of the same coin. We investigate which types of quality problems correlate with which types of security issues and give insights into potential causes. © 2021 ACM.</t>
  </si>
  <si>
    <t>Yedida R,Menzies T</t>
  </si>
  <si>
    <t>How to Improve Deep Learning for Software Analytics (a case study with code smell detection)</t>
  </si>
  <si>
    <t>156 – 166</t>
  </si>
  <si>
    <t>https://www.scopus.com/inward/record.uri?eid=2-s2.0-85134010393&amp;doi=10.1145%2f3524842.3528458&amp;partnerID=40&amp;md5=d8401c36c5326b84dda8e37b616b2012;http://dx.doi.org/10.1145/3524842.3528458</t>
  </si>
  <si>
    <t>10.1145/3524842.3528458</t>
  </si>
  <si>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 The prior study from TSE'21 proposing this novel 'fuzzy sampling' was somewhat limited in that the method was tested on defect prediction, but nothing else. Like defect prediction, code smell detection datasets have a class imbalance (which motivated 'fuzzy sampling'). Hence, in this work we test if fuzzy sampling is useful for code smell detection. The results of this paper show that we can achieve better than state-of-the-art results on code smell detection with fuzzy oversampling. For example, for 'feature envy', we were able to achieve 99+% AUC across all our datasets, and on 8/10 datasets for 'misplaced class'. While our specific results refer to code smell detection, they do suggest other lessons for other kinds of analytics. For example: (a) try better preprocessing before trying complex learners (b) include simpler learners as a baseline in software analytics (c) try 'fuzzy sampling' as one such baseline. In order to support others trying to reproduce/extend/refute this work, all our code and data is available online at https://github.com/yrahul3910/code-smell-detection. © 2022 ACM.</t>
  </si>
  <si>
    <t>Sobrinho E,Maia M</t>
  </si>
  <si>
    <t>On the Interplay of Smells Large Class, Complex Class and Duplicate Code</t>
  </si>
  <si>
    <t>https://www.scopus.com/inward/record.uri?eid=2-s2.0-85117107487&amp;doi=10.1145%2f3474624.3474716&amp;partnerID=40&amp;md5=ac7d1b466b1109700dbed4017e4dd0d8;http://dx.doi.org/10.1145/3474624.3474716</t>
  </si>
  <si>
    <t>10.1145/3474624.3474716</t>
  </si>
  <si>
    <t>Bad smells have been defined to describe potential problems in code, possibly pointing out refactoring opportunities. Several empirical studies have highlighted that smells have a negative impact on comprehension and maintainability. Consequently, several approaches have been proposed to detect and restructure them. However, studies on the inter-relationship of occurrence of different types of smells in source code are still lacking, especially those focused on the quantification of this inter-relationship. In this work, we aim at understand and quantify the possible the inter-relation of smells Large Class - LC, Complex Class - CC and Duplicate Code - DC. In particular, we investigate patterns of LC and CC regarding the presence or absence of duplicate code. We conduct a quantitative study on five open source projects, and also a qualitative analysis to measure and understand the association of specific smells. As one of the main results, we highlight that there are occurrence patternsamong these smells, for example: either in Complex Class or in the co-occurrence of Large Class and Complex Class, clones tend to be more prevalent in highly complex classes than less complex classes. The found patterns could be used to improve the performance of detection tools or even help in refactoring tasks. © 2021 ACM.</t>
  </si>
  <si>
    <t>Alshammari T,Alshayeb M</t>
  </si>
  <si>
    <t>Toward a Software Bad Smell Prioritization Model for Software Maintainability</t>
  </si>
  <si>
    <t>9157 – 9177</t>
  </si>
  <si>
    <t>https://www.scopus.com/inward/record.uri?eid=2-s2.0-85107476543&amp;doi=10.1007%2fs13369-021-05766-6&amp;partnerID=40&amp;md5=7c6d14a531632b154462eeb447c74a7c;http://dx.doi.org/10.1007/s13369-021-05766-6</t>
  </si>
  <si>
    <t>10.1007/s13369-021-05766-6</t>
  </si>
  <si>
    <t>Bad smells are indicators of possible problems in software. Refactoring is usually undertaken to eradicate bad smells. Many studies have investigated the impact of bad smells on software quality, however, only a few have proposed methods to prioritize bad smells. The objective of this paper is to propose a model to prioritize bad smells based on their impact on software maintainability. We use the analytical hierarchy process (AHP) to prioritize bad smells based on their maintainability impact by measuring the code before and after refactoring. The model is validated against five bad smells and five open-source projects. In addition, a visualization of the relationships between classes’ maintainability and its bad smells’ ranking is presented. The prioritization model can help software practitioners in prioritizing their effort and better utilizing their resources. The proposed prioritization model provides an effective method to prioritize the impact of bad smells on maintainability and it can be extended to prioritize the impact of bad smells on other quality attributes. © 2021, King Fahd University of Petroleum &amp; Minerals.</t>
  </si>
  <si>
    <t>Paschali ME,Volioti C,Ampatzoglou A,Gkagkas A,Stamelos I,Chatzigeorgiou A</t>
  </si>
  <si>
    <t>Implementing game requirements using design patterns</t>
  </si>
  <si>
    <t>https://www.scopus.com/inward/record.uri?eid=2-s2.0-85118479420&amp;doi=10.1002%2fsmr.2399&amp;partnerID=40&amp;md5=8b23b60c3e7565eb74045937f71d58cd;http://dx.doi.org/10.1002/smr.2399</t>
  </si>
  <si>
    <t>10.1002/smr.2399</t>
  </si>
  <si>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 © 2021 John Wiley &amp; Sons, Ltd.</t>
  </si>
  <si>
    <t>Smith MJ,Cito J,Lu K,Veeramachaneni K</t>
  </si>
  <si>
    <t>Enabling Collaborative Data Science Development with the Ballet Framework</t>
  </si>
  <si>
    <t>CSCW2</t>
  </si>
  <si>
    <t>https://www.scopus.com/inward/record.uri?eid=2-s2.0-85117899094&amp;doi=10.1145%2f3479575&amp;partnerID=40&amp;md5=2588531cb9eb7a52ed8be8a66ae0167a;http://dx.doi.org/10.1145/3479575</t>
  </si>
  <si>
    <t>10.1145/3479575</t>
  </si>
  <si>
    <t>While the open-source software development model has led to successful large-scale collaborations in building software systems, data science projects are frequently developed by individuals or small teams. We describe challenges to scaling data science collaborations and present a conceptual framework and ML programming model to address them. We instantiate these ideas in Ballet, the first lightweight framework for collaborative, open-source data science through a focus on feature engineering, and an accompanying cloud-based development environment. Using our framework, collaborators incrementally propose feature definitions to a repository which are each subjected to software and ML performance validation and can be automatically merged into an executable feature engineering pipeline. We leverage Ballet to conduct a case study analysis of an income prediction problem with 27 collaborators, and discuss implications for future designers of collaborative projects. © 2021 Owner/Author.</t>
  </si>
  <si>
    <t>Abrecht S,Gauerhof L,Gladisch C,Groh K,Heinzemann C,Woehrle M</t>
  </si>
  <si>
    <t>Testing deep learning-based visual perception for automated driving</t>
  </si>
  <si>
    <t>ACM Transactions on Cyber-Physical Systems</t>
  </si>
  <si>
    <t>2378-962X</t>
  </si>
  <si>
    <t>https://www.scopus.com/inward/record.uri?eid=2-s2.0-85116015581&amp;doi=10.1145%2f3450356&amp;partnerID=40&amp;md5=7fe6a18118c9d7e10ce3d791abf1e244;http://dx.doi.org/10.1145/3450356</t>
  </si>
  <si>
    <t>10.1145/3450356</t>
  </si>
  <si>
    <t>Due to the impressive performance of deep neural networks (DNNs) for visual perception, there is an increased demand for their use in automated systems. However, to use deep neural networks in practice, novel approaches are needed, e.g., for testing. In this work, we focus on the question of how to test deep learning-based visual perception functions for automated driving. Classical approaches for testing are not sufficient: A purely statistical approach based on a dataset split is not enough, as testing needs to address various purposes and not only average case performance. Additionally, a complete specification is elusive due to the complexity of the perception task in the open context of automated driving. In this article, we review and discuss existing work on testing DNNs for visual perception with a special focus on automated driving for test input and test oracle generation as well as test adequacy. We conclude that testing of DNNs in this domain requires several diverse test sets. We show how such tests sets can be constructed based on the presented approaches addressing different purposes based on the presented methods and identify open research questions. © 2021 Copyright held by the owner/author(s). Publication rights licensed to ACM.</t>
  </si>
  <si>
    <t>Yang C,Liang P,Fu L,Li Z</t>
  </si>
  <si>
    <t>Self-claimed assumptions in deep learning frameworks: An exploratory study</t>
  </si>
  <si>
    <t>139 – 148</t>
  </si>
  <si>
    <t>https://www.scopus.com/inward/record.uri?eid=2-s2.0-85108911065&amp;doi=10.1145%2f3463274.3463333&amp;partnerID=40&amp;md5=4a568f34dc6d1a5a679e650b292eda5c;http://dx.doi.org/10.1145/3463274.3463333</t>
  </si>
  <si>
    <t>10.1145/3463274.3463333</t>
  </si>
  <si>
    <t>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 084 SCAs are scattered across 1, 775 files in the nine DL frameworks, ranging from 1, 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 © 2021 ACM.</t>
  </si>
  <si>
    <t>Nugroho YS,Gunawan D,Putri DA,Islam S,Alhefdhi A</t>
  </si>
  <si>
    <t>A Study of Vulnerability Identifiers in Code Comments: Source, Purpose, and Severity</t>
  </si>
  <si>
    <t>Journal of Communications Software and Systems</t>
  </si>
  <si>
    <t>165 – 174</t>
  </si>
  <si>
    <t>Croatian Communications and Information Society</t>
  </si>
  <si>
    <t>1845-6421</t>
  </si>
  <si>
    <t>https://www.scopus.com/inward/record.uri?eid=2-s2.0-85132017814&amp;doi=10.24138%2fjcomss-2021-0124&amp;partnerID=40&amp;md5=433ca07519e588d0f73779fdd74a311c;http://dx.doi.org/10.24138/jcomss-2021-0124</t>
  </si>
  <si>
    <t>10.24138/jcomss-2021-0124</t>
  </si>
  <si>
    <t>Software vulnerability is one of the weaknesses in computer security that challenges developers to rectify. Software maintainers rely on code comments to maintain their source code, including fixing vulnerability issues. To facilitate understanding the security issues in the related code, vulnerability identifiers are commonly included in code comments. However, not all vulnerability-related code comments describe clearly the purposes of the inclusion of the identifiers. Based on this evidence, we investigate the importance of vulnerability identifiers contained in source code comments, which is the novelty of this paper. We performed a study of 1,491 code comments that refer to vulnerability identifiers to define their categories. We then applied a mixed-method approach to classifying the types of the related repository and code, the rationale of identifier references, and the severity level of vulnerabilities in the code. The results indicate that vulnerability identifiers in code comments are useful to notify security issues for the related source code, and our study widens up chances for future work to further investigate these problems. © 2022 CCIS.</t>
  </si>
  <si>
    <t>Di Salle A,Rota A,Nguyen PT,Di Ruscio D,Fontana FA,Sala I</t>
  </si>
  <si>
    <t>PILOT: Synergy between Text Processing and Neural Networks to Detect Self-Admitted Technical Debt</t>
  </si>
  <si>
    <t>41 – 45</t>
  </si>
  <si>
    <t>https://www.scopus.com/inward/record.uri?eid=2-s2.0-85134302388&amp;doi=10.1145%2f3524843.3528093&amp;partnerID=40&amp;md5=8d57749be70d4ed3ecd5c51bc6373c9e;http://dx.doi.org/10.1145/3524843.3528093</t>
  </si>
  <si>
    <t>10.1145/3524843.3528093</t>
  </si>
  <si>
    <t>During the development phase, software programmers usually introduce code that contains issues intentionally left for additional treatment. To allow for future fixing, they mark such code using textual comments, resulting in Self-Admitted Technical Debt (SATD). Detecting SATD contained in source code has become crucial in the development cycle since it helps program-mers locate issues that need to be solved, thus improving code quality. We introduce PILOT, a technical debt detector built on top of a combination of different natural language processing (NLP) and machine learning (ML) techniques. First, the semantic among SATD comments is captured using feature extraction steps. Then, neural network algorithms are applied to classify comments, represented as vectors. We built a PILOT prototype with a feed-forward neural network and evaluated it using real-world datasets as proof of concept. The empirical evaluation shows that PILOT obtains an encouraging performance and outperforms a well-established baseline. We anticipate that our tool will come in handy, as once being embedded in the IDE, it can help developers recognize SATD manifested in their code, allowing them to conveniently identify and fix issues. © 2022 ACM.</t>
  </si>
  <si>
    <t>Scheuerman MK,Hanna A,Denton E</t>
  </si>
  <si>
    <t>Do Datasets Have Politics? Disciplinary Values in Computer Vision Dataset Development</t>
  </si>
  <si>
    <t>https://www.scopus.com/inward/record.uri?eid=2-s2.0-85117904176&amp;doi=10.1145%2f3476058&amp;partnerID=40&amp;md5=6a7e3da439d4d71574bbbd8bbb0f7ee1;http://dx.doi.org/10.1145/3476058</t>
  </si>
  <si>
    <t>10.1145/3476058</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</si>
  <si>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 © 2021 Owner/Author.</t>
  </si>
  <si>
    <t>Cited by: 30; All Open Access, Bronze Open Access, Green Open Access</t>
  </si>
  <si>
    <t>Barclay I,Taylor H,Preece A,Taylor I,Verma D,de Mel G</t>
  </si>
  <si>
    <t>A framework for fostering transparency in shared artificial intelligence models by increasing visibility of contributions</t>
  </si>
  <si>
    <t>Concurrency and Computation: Practice and Experience</t>
  </si>
  <si>
    <t>1532-0626</t>
  </si>
  <si>
    <t>https://www.scopus.com/inward/record.uri?eid=2-s2.0-85097032199&amp;doi=10.1002%2fcpe.6129&amp;partnerID=40&amp;md5=35021be6327c7408aa2e08f0431f2531;http://dx.doi.org/10.1002/cpe.6129</t>
  </si>
  <si>
    <t>10.1002/cpe.6129</t>
  </si>
  <si>
    <t>Increased adoption of artificial intelligence (AI) systems into scientific workflows will result in an increasing technical debt as the distance between the data scientists and engineers who develop AI system components and scientists, researchers and other users grows. This could quickly become problematic, particularly where guidance or regulations change and once-acceptable best practice becomes outdated, or where data sources are later discredited as biased or inaccurate. This paper presents a novel method for deriving a quantifiable metric capable of ranking the overall transparency of the process pipelines used to generate AI systems, such that users, auditors and other stakeholders can gain confidence that they will be able to validate and trust the data sources and contributors in the AI systems that they rely on. The methodology for calculating the metric, and the type of criteria that could be used to make judgements on the visibility of contributions to systems are evaluated through models published at ModelHub and PyTorch Hub, popular archives for sharing science resources, and is found to be helpful in driving consideration of the contributions made to generating AI systems and approaches toward effective documentation and improving transparency in machine learning assets shared within scientific communities. © 2020 John Wiley &amp; Sons, Ltd.</t>
  </si>
  <si>
    <t>Martinez J,Quintano N,Ruiz A,Santamaria I,De Soria IM,Arias J</t>
  </si>
  <si>
    <t>Security Debt: Characteristics, Product Life-Cycle Integration and Items</t>
  </si>
  <si>
    <t>1 – 5</t>
  </si>
  <si>
    <t>https://www.scopus.com/inward/record.uri?eid=2-s2.0-85114808598&amp;doi=10.1109%2fTechDebt52882.2021.00009&amp;partnerID=40&amp;md5=760ad1ec91e35a2653864031ab66b940;http://dx.doi.org/10.1109/TechDebt52882.2021.00009</t>
  </si>
  <si>
    <t>10.1109/TechDebt52882.2021.00009</t>
  </si>
  <si>
    <t>Industries from very diverse domains are realising that security should not be treated in a reactive way (e.g., once the cyberattack has happened). This way, security-related requirements and risks need to be continuously managed, and the need of integrating technical measures should be continuously assessed. In some cases, some decisions led, intentionally or unintentionally, to debt related to security aspects. This security debt is thus incurred when limited approaches or solutions are applied to reach the expected security levels of the system in operation. Identifying and making explicit security debt items is a challenge for companies. In this work, we analyse the literature on security debt to provide initial insights on the topic. Concretely, we discuss its definition, identify its most salient characteristics, present approaches for integrating its management in the product life-cycle, and to present categories and examples of security debt items. © 2021 IEEE.</t>
  </si>
  <si>
    <t>Coutinho D,Uchoa A,Barbosa C,Soares V,Garcia A,Schots M,Pereira J,Assuncao WK</t>
  </si>
  <si>
    <t>On the Influential Interactive Factors on Degrees of Design Decay: A Multi-Project Study</t>
  </si>
  <si>
    <t>753 – 764</t>
  </si>
  <si>
    <t>https://www.scopus.com/inward/record.uri?eid=2-s2.0-85135844683&amp;doi=10.1109%2fSANER53432.2022.00093&amp;partnerID=40&amp;md5=62bde2afe6ae815cd0a60e016081683d;http://dx.doi.org/10.1109/SANER53432.2022.00093</t>
  </si>
  <si>
    <t>10.1109/SANER53432.2022.00093</t>
  </si>
  <si>
    <t>Developers constantly perform code changes throughout the lifetime of a project. These changes may induce the introduction of design problems (design decay) over time, which may be reduced or accelerated by interacting with different factors (e.g., refactorings) that underlie each change. However, existing studies lack evidence about how these factors interact and influence design decay. Thus, this paper reports a study aimed at investigating whether and how (associations of) process and developer factors influence design decay. We studied seven software systems, containing an average of 45K commits in more than six years of project history. Design decay was characterized in terms of five internal quality attributes: cohesion, coupling, complexity, inheritance, and size. We observed and characterized 12 (sub-)factors and how they associate with design decay. To this end, we employed association rule mining. Moreover, we also differentiate between the associations found on modules with varying levels of decay. Process- and developer-related factors played a key role in discriminating these different levels of design decay. Then, we focused on analyzing the effects of potentially interacting factors regarding slightly- and largely-decayed modules. Finally, we observed diverging decay patterns in these modules. For example, individually, the developer-related sub-factor that represented first-time contributors, as well as the process-related one that represented the size of a change did not have negative effects on the changed classes. However, when analyzing specific factor interactions, we saw that changes in which both of these factors interacted tended to have a negative effect on the code, leading to decay. © 2022 IEEE.</t>
  </si>
  <si>
    <t>Gong J,Chen T</t>
  </si>
  <si>
    <t>Does Configuration Encoding Matter in Learning Software Performance? An Empirical Study on Encoding Schemes</t>
  </si>
  <si>
    <t>482 – 494</t>
  </si>
  <si>
    <t>https://www.scopus.com/inward/record.uri?eid=2-s2.0-85134065747&amp;doi=10.1145%2f3524842.3528431&amp;partnerID=40&amp;md5=a0abf95d46544d32bfc42882d4d48bcf;http://dx.doi.org/10.1145/3524842.3528431</t>
  </si>
  <si>
    <t>10.1145/3524842.3528431</t>
  </si>
  <si>
    <t>Learning and predicting the performance of a configurable software system helps to provide better quality assurance. One important engineering decision therein is how to encode the configuration into the model built. Despite the presence of different encoding schemes, there is still little understanding of which is better and under what circumstances, as the community often relies on some general beliefs that inform the decision in an ad-hoc manner. To bridge this gap, in this paper, we empirically compared the widely used encoding schemes for software performance learning, namely label, scaled label, and one-hot encoding. The study covers five systems, seven models, and three encoding schemes, leading to 105 cases of investigation. Our key findings reveal that: (1) conducting trial-and-error to find the best encoding scheme in a case by case manner can be rather expensive, requiring up to 400+ hours on some models and systems; (2) the one-hot encoding often leads to the most accurate results while the scaled label encoding is generally weak on accuracy over different models; (3) conversely, the scaled label encoding tends to result in the fastest training time across the models/systems while the one-hot encoding is the slowest; (4) for all models studied, label and scaled label encoding often lead to relatively less biased outcomes between accuracy and training time, but the paired model varies according to the system. We discuss the actionable suggestions derived from our findings, hoping to provide a better understanding of this topic for the community. To promote open science, the data and code of this work can be publicly accessed at https://github.com/ideas-Iabo/MSR2022-encoding-study. © 2022 ACM.</t>
  </si>
  <si>
    <t>Pina D,Goldman A,Seaman C</t>
  </si>
  <si>
    <t>Sonarlizer Xplorer: A tool to mine Github projects and identify technical debt items using SonarQube</t>
  </si>
  <si>
    <t>71 – 75</t>
  </si>
  <si>
    <t>https://www.scopus.com/inward/record.uri?eid=2-s2.0-85134315914&amp;doi=10.1145%2f3524843.3528098&amp;partnerID=40&amp;md5=1a201b18e5d31dd3e44aa186650d9338;http://dx.doi.org/10.1145/3524843.3528098</t>
  </si>
  <si>
    <t>10.1145/3524843.3528098</t>
  </si>
  <si>
    <t>The advancement of artificial intelligence and the imple-mentation of machine learning capabilities in programming languages such as Python, along with cloud services, allow researchers to apply methods to cluster and predict behav-iors and patterns in software engineering data. On the other hand, these methods need a large amount of data in order to work with high accuracy in different contexts. This paper introduces Sonarlizer Xplorer: a tool that captures a large number of technical debt items and code metrics from pub-lic GitHub projects. Sonarlizer Xplorer is composed of two sub-tools. The first is Github Xplorer, responsible for mining public Github repositories from an initial project. The second is Sonarlizer, responsible for taking projects and analyzing them using SonarQube. We used the tool over four months, collecting technical debt items and code metrics on almost 46,000 public Java projects. In addition, we mined over 57 million repositories and 4 million users. © 2022 ACM.</t>
  </si>
  <si>
    <t>Nahar N,Zhou S,Lewis G,Kastner C</t>
  </si>
  <si>
    <t>Collaboration Challenges in Building ML-Enabled Systems: Communication, Documentation, Engineering, and Process</t>
  </si>
  <si>
    <t>413 – 425</t>
  </si>
  <si>
    <t>https://www.scopus.com/inward/record.uri?eid=2-s2.0-85132607290&amp;doi=10.1145%2f3510003.3510209&amp;partnerID=40&amp;md5=3676e6f20f4bf446710a797ff34465e5;http://dx.doi.org/10.1145/3510003.3510209</t>
  </si>
  <si>
    <t>10.1145/3510003.3510209</t>
  </si>
  <si>
    <t>The introduction of machine learning (ML) components in software projects has created the need for software engineers to collabo-rate with data scientists and other specialists. While collaboration can always be challenging, ML introduces additional challenges with its exploratory model development process, additional skills and knowledge needed, difficulties testing ML systems, need for continuous evolution and monitoring, and non-traditional quality requirements such as fairness and explainability. Through inter-views with 45 practitioners from 28 organizations, we identified key collaboration challenges that teams face when building and deploying ML systems into production. We report on common col-laboration points in the development of production ML systems for requirements, data, and integration, as well as corresponding team patterns and challenges. We find that most of these challenges center around communication, documentation, engineering, and process, and collect recommendations to address these challenges. © 2022 ACM.</t>
  </si>
  <si>
    <t>Codabux Z,Vidoni M,Fard FH</t>
  </si>
  <si>
    <t>Technical debt in the peer-review documentation of r packages: A ropensci case study</t>
  </si>
  <si>
    <t>195 – 206</t>
  </si>
  <si>
    <t>https://www.scopus.com/inward/record.uri?eid=2-s2.0-85113671827&amp;doi=10.1109%2fMSR52588.2021.00032&amp;partnerID=40&amp;md5=19746d77c9346e359d7189aeefbb7e36;http://dx.doi.org/10.1109/MSR52588.2021.00032</t>
  </si>
  <si>
    <t>10.1109/MSR52588.2021.00032</t>
  </si>
  <si>
    <t>Context: Technical Debt (TD) is a metaphor used to describe code that is not quite right.Although TD studies have gained momentum, TD has yet to be studied as thoroughly in non-Object-Oriented (OO) or scientific software such as R. R is a multi-paradigm programming language, whose popularity in data science and statistical applications has amplified in recent years. Due to R's inherent ability to expand through user-contributed packages, several community-led organizations were created to organize and peer-review packages in a concerted effort to increase their quality. Nonetheless, it is well-known that most R users do not have a technical programming background, being from multiple disciplines. Objective: The goal of this study is to investigate TD in the documentation of the peer-review of R packages led by rOpenSci. Method: We collected over 5, 000 comments from 157 packages that had been reviewed and approved to be published at rOpenSci. We manually analyzed a sample dataset of these comments posted by package authors, editors of rOpenSci, and reviewers during the review process to investigate the types of TD present in these reviews. Results: The findings of our study include (i) a taxonomy of TD derived from our analysis of the peer-reviews (ii) documentation debt as being the most prevalent type of debt (iii) different user roles are concerned with different types of TD. For instance, reviewers tend to report some types of TD more than other roles, and the types of TD they report are different from those reported by the authors of a package. Conclusion: TD analysis in scientific software or peer-review is almost non-existent. Our study is a pioneer but within the context of R packages. However, our findings can serve as a starting point for replication studies, given our public datasets, to perform similar analyses in other scientific software or to investigate the rationale behind our findings. © 2021 IEEE.</t>
  </si>
  <si>
    <t>Lenarduzzi V,Martini A,Saarimaki N,Tamburri DA</t>
  </si>
  <si>
    <t>Technical Debt Impacting Lead-Times: An Exploratory Study</t>
  </si>
  <si>
    <t>188 – 195</t>
  </si>
  <si>
    <t>https://www.scopus.com/inward/record.uri?eid=2-s2.0-85119188059&amp;doi=10.1109%2fSEAA53835.2021.00032&amp;partnerID=40&amp;md5=aa61a2e188974a7848c87e65473cb369;http://dx.doi.org/10.1109/SEAA53835.2021.00032</t>
  </si>
  <si>
    <t>10.1109/SEAA53835.2021.00032</t>
  </si>
  <si>
    <t>Background: Technical Debt is a consolidated notion in software engineering research and practice. However, the estimation of its impact (interest of the debt) is still imprecise and requires heavy empirical and experimental inquiry. Objective: We aim at developing a data-driven approach to calculate the interest of Technical Debt in terms of delays in resolving affected tasks.Method: We conducted a case study to estimate the Technical Debt interest by analyzing its association with the lead time variation of resolving related Jira issues.Results: Data-driven approaches could significantly change the Technical Debt estimation and improve the removing Technical Debt prioritization. Our case study shows that the presence of Code Technical Debt did not affect the lead time for resolving the issues.Conclusion: Future works include the further refinement of this approach and its application to a larger data-set and on different type of issues. © 2021 IEEE.</t>
  </si>
  <si>
    <t>Bhandari G,Naseer A,Moonen L</t>
  </si>
  <si>
    <t>CVEfixes: Automated collection of vulnerabilities and their fixes from open-source software</t>
  </si>
  <si>
    <t>https://www.scopus.com/inward/record.uri?eid=2-s2.0-85113649225&amp;doi=10.1145%2f3475960.3475985&amp;partnerID=40&amp;md5=587cce7d3192fade582f1bfb832c322f;http://dx.doi.org/10.1145/3475960.3475985</t>
  </si>
  <si>
    <t>10.1145/3475960.3475985</t>
  </si>
  <si>
    <t>Data-driven research on the automated discovery and repair of security vulnerabilities in source code requires comprehensive datasets of real-life vulnerable code and their fixes. To assist in such research, we propose a method to automatically collect and curate a comprehensive vulnerability dataset from Common Vulnerabilities and Exposures (CVE) records in the National Vulnerability Database (NVD). We implement our approach in a fully automated dataset collection tool and share an initial release of the resulting vulnerability dataset named CVEfixes. The CVEfixes collection tool automatically fetches all available CVE records from the NVD, gathers the vulnerable code and corresponding fixes from associated open-source repositories, and organizes the collected information in a relational database. Moreover, the dataset is enriched with meta-data such as programming language, and detailed code and security metrics at five levels of abstraction. The collection can easily be repeated to keep up-to-date with newly discovered or patched vulnerabilities. The initial release of CVEfixes spans all published CVEs up to 9 June 2021, covering 5365 CVE records for 1754 open-source projects that were addressed in a total of 5495 vulnerability fixing commits. CVEfixes supports various types of data-driven software security research, such as vulnerability prediction, vulnerability classification, vulnerability severity prediction, analysis of vulnerability-related code changes, and automated vulnerability repair. © 2021 Owner/Author.</t>
  </si>
  <si>
    <t>Cited by: 9; All Open Access, Bronze Open Access, Green Open Access</t>
  </si>
  <si>
    <t>Rosa G,Pascarella L,Scalabrino S,Tufano R,Bavota G,Lanza M,Oliveto R</t>
  </si>
  <si>
    <t>Evaluating SZZ implementations through a developer-informed oracle</t>
  </si>
  <si>
    <t>436 – 447</t>
  </si>
  <si>
    <t>https://www.scopus.com/inward/record.uri?eid=2-s2.0-85115698007&amp;doi=10.1109%2fICSE43902.2021.00049&amp;partnerID=40&amp;md5=1681c7698bd596159fdedcea721b1357;http://dx.doi.org/10.1109/ICSE43902.2021.00049</t>
  </si>
  <si>
    <t>10.1109/ICSE43902.2021.00049</t>
  </si>
  <si>
    <t>The SZZ algorithm for identifying bug-inducing changes has been widely used to evaluate defect prediction techniques and to empirically investigate when, how, and by whom bugs are introduced. Over the years, researchers have proposed several heuristics to improve the SZZ accuracy, providing various implementations of SZZ. However, fairly evaluating those implementations on a reliable oracle is an open problem: SZZ evaluations usually rely on (i) the manual analysis of the SZZ output to classify the identified bug-inducing commits as true or false positives; or (ii) a golden set linking bug-fixing and bug-inducing commits. In both cases, these manual evaluations are performed by researchers with limited knowledge of the studied subject systems. Ideally, there should be a golden set created by the original developers of the studied systems. We propose a methodology to build a 'developer-informed' oracle for the evaluation of SZZ variants. We use Natural Language Processing (NLP) to identify bug-fixing commits in which developers explicitly reference the commit(s) that introduced a fixed bug. This was followed by a manual filtering step aimed at ensuring the quality and accuracy of the oracle. Once built, we used the oracle to evaluate several variants of the SZZ algorithm in terms of their accuracy. Our evaluation helped us to distill a set of lessons learned to further improve the SZZ algorithm. © 2021 IEEE.</t>
  </si>
  <si>
    <t>Fucci G,Cassee N,Zampetti F,Novielli N,Serebrenik A,Di Penta M</t>
  </si>
  <si>
    <t>Waiting around or job half-done? Sentiment in self-admitted technical debt</t>
  </si>
  <si>
    <t>403 – 414</t>
  </si>
  <si>
    <t>https://www.scopus.com/inward/record.uri?eid=2-s2.0-85113677128&amp;doi=10.1109%2fMSR52588.2021.00052&amp;partnerID=40&amp;md5=f978cf4c05eeb8a3053e953ff502b973;http://dx.doi.org/10.1109/MSR52588.2021.00052</t>
  </si>
  <si>
    <t>10.1109/MSR52588.2021.00052</t>
  </si>
  <si>
    <t>Self-Admitted Technical Debt (SATD) represents the admission, made through source code comments or other channels, of portions of a program being poorly implemented, containing provisional solutions or, in general, simply being not ready yet. To better understand developers' habits in SATD annotation, and possibly support their exploitation in tool support, this paper provides an in-depth analysis of the content provided in SATD comments, and the expressed sentiment. We manually inspect and classify 1038 instances from an existing dataset, grouping them along a taxonomy composed of 41 categories (of which 9 top-level ones), identifying their sentiment, and the presence of external references such as author names or issue IDs. Results of our study indicate that (i) the SATD content is crosscutting along life-cycle dimensions identified in previous work, (ii) comments related to functional problems or on-hold SATD are generally more negative than poor implementation choices or partially implemented functionality, and (iii) despite observations from previous literature, only a minority of SATD comments leverage external references. © 2021 IEEE.</t>
  </si>
  <si>
    <t>Cited by: 12</t>
  </si>
  <si>
    <t>Velez TC,Khatchadourian R,Bagherzadeh M,Raja A</t>
  </si>
  <si>
    <t>Challenges in Migrating Imperative Deep Learning Programs to Graph Execution: An Empirical Study</t>
  </si>
  <si>
    <t>469 – 481</t>
  </si>
  <si>
    <t>https://www.scopus.com/inward/record.uri?eid=2-s2.0-85134015186&amp;doi=10.1145%2f3524842.3528455&amp;partnerID=40&amp;md5=f99b22ed26c0adaeced649d417ab6848;http://dx.doi.org/10.1145/3524842.3528455</t>
  </si>
  <si>
    <t>10.1145/3524842.3528455</t>
  </si>
  <si>
    <t>Efficiency is essential to support responsiveness w.r.t. ever-growing datasets, especially for Deep Learning (DL) systems. DL frameworks have traditionally embraced deferred execution-style DL code that supports symbolic, graph-based Deep Neural Network (DNN) computation. While scalable, such development tends to produce DL code that is error-prone, non-intuitive, and difficult to debug. Consequently, more natural, less error-prone imperative DL frameworks encouraging eager execution have emerged at the expense of run-time performance. While hybrid approaches aim for the 'best of both worlds,' the challenges in applying them in the real world are largely unknown. We conduct a data-driven analysis of challenges-and resultant bugs-involved in writing reliable yet performant imperative DL code by studying 250 open-source projects, consisting of 19.7 MLOC, along with 470 and 446 manually examined code patches and bug reports, respectively. The results indicate that hybridization: (i) is prone to API misuse, (ii) can result in performance degradation-the opposite of its intention, and (iii) has limited application due to execution mode incompatibility. We put forth several recommendations, best practices, and anti-patterns for effectively hybridizing imperative DL code, potentially benefiting DL practitioners, API designers, tool developers, and educators. © 2022 ACM.</t>
  </si>
  <si>
    <t>Sturm T,Gerlach JP,Pumplun L,Mesbah N,Peters F,Tauchert C,Nan N,Buxmann P</t>
  </si>
  <si>
    <t>Coordinating human and machine learning for effective organizational learning</t>
  </si>
  <si>
    <t>MIS Quarterly: Management Information Systems</t>
  </si>
  <si>
    <t>1581 – 1602</t>
  </si>
  <si>
    <t>University of Minnesota</t>
  </si>
  <si>
    <t>0276-7783</t>
  </si>
  <si>
    <t>https://www.scopus.com/inward/record.uri?eid=2-s2.0-85114697629&amp;doi=10.25300%2fMISQ%2f2021%2f16543&amp;partnerID=40&amp;md5=b53e4d8014ae591404107447c5e1ced1;http://dx.doi.org/10.25300/MISQ/2021/16543</t>
  </si>
  <si>
    <t>10.25300/MISQ/2021/16543</t>
  </si>
  <si>
    <t>With the rise of machine learning (ML), humans are no longer the only ones capable of learning and contributing to an organization’s stock of knowledge. We study how organizations can coordinate human learning and ML in order to learn effectively as a whole. Based on a series of agent-based simulations, we find that, first, ML can reduce an organization’s demand for human explorative learning that is aimed at uncovering new ideas; second, adjustments to ML systems made by humans are largely beneficial, but this effect can diminish or even become harmful under certain conditions; and third, reliance on knowledge created by ML systems can facilitate organizational learning in turbulent environments, but this requires significant investments in the initial setup of these systems as well as adequately coordinating them with humans. These insights contribute to rethinking organizational learning in the presence of ML and can aid organizations in reallocating scarce resources to facilitate organizational learning in practice. © 2021 University of Minnesota. All rights reserved.</t>
  </si>
  <si>
    <t>Kim M,Kim Y,Lee E</t>
  </si>
  <si>
    <t>An Empirical Study of IR-based Bug Localization for Deep Learning-based Software</t>
  </si>
  <si>
    <t>128 – 139</t>
  </si>
  <si>
    <t>https://www.scopus.com/inward/record.uri?eid=2-s2.0-85133287701&amp;doi=10.1109%2fICST53961.2022.00024&amp;partnerID=40&amp;md5=e33a6bc1b5ab5fd6a473bf68ee6e214b;http://dx.doi.org/10.1109/ICST53961.2022.00024</t>
  </si>
  <si>
    <t>10.1109/ICST53961.2022.00024</t>
  </si>
  <si>
    <t>As the impact of deep-learning-based software (DLSW) increases, automatic debugging techniques for guaranteeing DLSW quality are becoming increasingly important. Information-retrieval-based bug localization (IRBL) techniques can aid in debugging by automatically localizing buggy entities (files and functions). The low-cost advantage of IRBL can alleviate the difficulty of identifying bug locations due to the complexity of DLSW. However, there are significant differences between DLSW and traditional software, and these differences lead to differences in search space and query quality for IRBL. That is, IRBL performance must be validated in DLSW. We empirically validated IRBL performance for DLSW from the following four perspectives: 1) similarity model, 2) query generation, 3) ranking model for buggy file localization, and 4) ranking model for buggy function localization. Based on four research questions and a large-scale experiment using 2,365 bug reports from 136 DLSW projects, we confirmed the salient char-acteristics of DLSW from the perspective of IRBL and derived four recommendations for practical IRBL usage in DLSW from the empirical results. Regarding IRBL performance, we validated that IRBL performance with the combination of bug-related features outperformed that of using only file similarity by 15 % and IRBL ranked buggy files and functions on average of 1.6th and 2.9th, respectively. Our study is valuable as a baseline for IRBL researchers and as a guideline for DLSW developers who wish to apply IRBL to ensure DLSW quality. © 2022 IEEE.</t>
  </si>
  <si>
    <t>Sotto-Mayor B,Kalech M</t>
  </si>
  <si>
    <t>Cross-project smell-based defect prediction</t>
  </si>
  <si>
    <t>Soft Computing</t>
  </si>
  <si>
    <t>14171 – 14181</t>
  </si>
  <si>
    <t>1432-7643</t>
  </si>
  <si>
    <t>https://www.scopus.com/inward/record.uri?eid=2-s2.0-85116381167&amp;doi=10.1007%2fs00500-021-06254-7&amp;partnerID=40&amp;md5=743616e25bff5647b6164600c2caca81;http://dx.doi.org/10.1007/s00500-021-06254-7</t>
  </si>
  <si>
    <t>10.1007/s00500-021-06254-7</t>
  </si>
  <si>
    <t>Defect prediction is a technique introduced to optimize the testing phase of the software development pipeline by predicting which components in the software may contain defects. Its methodology trains a classifier with data regarding a set of features measured on each component from the target software project to predict whether the component may be defective or not. However, suppose the defective information is not available in the training set. In that case, we need to rely on an alternate approach that uses the training set of external projects to train the classifier. This approached is called cross-project defect prediction. Bad code smells are a category of features that have been previously explored in defect prediction and have been shown to be a good predictor of defects. Code smells are patterns of poor development in the code and indicate flaws in its design and implementation. Although they have been previously studied in the context of defect prediction, they have not been studied as features for cross-project defect prediction. In our experiment, we train defect prediction models for 100 projects to evaluate the predictive performance of the bad code smells. We implemented four cross-project approaches known in the literature and compared the performance of 37 smells with 56 code metrics, commonly used for defect prediction. The results show that the cross-project defect prediction models trained with code smells significantly improved 6.50 % on the ROC AUC compared against the code metrics. © 2021, The Author(s), under exclusive licence to Springer-Verlag GmbH Germany, part of Springer Nature.</t>
  </si>
  <si>
    <t>Uchôa A</t>
  </si>
  <si>
    <t>Unveiling multiple facets of design degradation in modern code review</t>
  </si>
  <si>
    <t>1615 – 1619</t>
  </si>
  <si>
    <t>https://www.scopus.com/inward/record.uri?eid=2-s2.0-85116222356&amp;doi=10.1145%2f3468264.3473099&amp;partnerID=40&amp;md5=244f6b3170ba17eda024d2ade7a25a58;http://dx.doi.org/10.1145/3468264.3473099</t>
  </si>
  <si>
    <t>10.1145/3468264.3473099</t>
  </si>
  <si>
    <t>Software design is a key concern in code review through which developers actively discuss and improve each code change. Nevertheless, code review is predominantly a cooperative task influenced by both technical and social aspects. Consequently, these aspects can play a key role in how software design degrades as well as contributing to accelerating or reversing the degradation during the process of each single code change's review. However, there is little understanding about such social and technical aspects relates to either the reduction or the increase of design degradation as the project evolves. Consequently, the scarce knowledge on this topic helps little in properly guiding developers along design-driven code reviews. Our goal in this Doctoral research is three-fold: (1) to characterize the impact of code review and their practices on design degradation over time; (2) to understand the contribution of technical and social aspects to design degradation; and (3) to propose a conceptual framework to support design-decision making during code review. Our preliminary results show that the majority of code reviews had little to no design degradation impact, and that technical and social aspects contribute to distinguishing and predicting design impactful changes. © 2021 ACM.</t>
  </si>
  <si>
    <t>Monroe WS,Skidmore FM,Odaibo DG,Tanik MM</t>
  </si>
  <si>
    <t>HihO: accelerating artificial intelligence interpretability for medical imaging in IoT applications using hierarchical occlusion: Opening the black box</t>
  </si>
  <si>
    <t>6027 – 6038</t>
  </si>
  <si>
    <t>https://www.scopus.com/inward/record.uri?eid=2-s2.0-85091770310&amp;doi=10.1007%2fs00521-020-05379-4&amp;partnerID=40&amp;md5=17baedb91c4a7ae3379bb063b065662b;http://dx.doi.org/10.1007/s00521-020-05379-4</t>
  </si>
  <si>
    <t>10.1007/s00521-020-05379-4</t>
  </si>
  <si>
    <t>In the medical imaging domain, nonlinear warping has enabled pixel-by-pixel mapping of one image dataset to a reference dataset. This co-registration of data allows for robust, pixel-wise, statistical maps to be developed in the domain, leading to new insights regarding disease mechanisms. Deep learning technologies have given way to some impressive discoveries. In some applications, deep learning algorithms have surpassed the abilities of human image readers to classify data. As long as endpoints are clearly defined, and the input data volume is large enough, deep learning networks can often converge and reach prediction, classification and segmentation with success rates as high or higher than human operators. However, machine learning and deep learning algorithms are complex. Interpretability is not always a product of the classifications performed. Visualization techniques have been developed to add a layer of interpretability. The work presented here builds on a framework for augmenting statistical findings in medical imaging workflows with machine learning results. Utilizing the framework, visualization techniques for the machine learning portion are compared in an application, and a novel, lightweight technique for machine learning visualization is proposed as a means of increasing the portability of machine learning interpretability to Internet of Things applications. The novel visualization, hierarchical occlusion, can improve time to visualization by three orders of magnitude over a traditional occlusion sensitivity algorithm. © 2020, Springer-Verlag London Ltd., part of Springer Nature.</t>
  </si>
  <si>
    <t>Takahashi A,Sae-Lim N,Hayashi S,Saeki M</t>
  </si>
  <si>
    <t>An extensive study on smell-aware bug localization</t>
  </si>
  <si>
    <t>https://www.scopus.com/inward/record.uri?eid=2-s2.0-85107653377&amp;doi=10.1016%2fj.jss.2021.110986&amp;partnerID=40&amp;md5=1d4f23a24b8e2a94ef969e4d1bc63859;http://dx.doi.org/10.1016/j.jss.2021.110986</t>
  </si>
  <si>
    <t>10.1016/j.jss.2021.110986</t>
  </si>
  <si>
    <t>Bug localization is an important aspect of software maintenance because it can locate modules that should be changed to fix a specific bug. Our previous study showed that the accuracy of the information retrieval (IR)-based bug localization technique improved when used in combination with code smell information. Although this technique showed promise, the study showed limited usefulness because of the small number of: (1) projects in the dataset, (2) types of smell information, and (3) baseline bug localization techniques used for assessment. This paper presents an extension of our previous experiments on Bench4BL, the largest bug localization benchmark dataset available for bug localization. In addition, we generalized the smell-aware bug localization technique to allow different configurations of smell information, which were combined with various bug localization techniques. Our results confirmed that our technique can improve the performance of IR-based bug localization techniques for the class level even when large datasets are processed. Furthermore, because of the optimized configuration of the smell information, our technique can enhance the performance of most state-of-the-art bug localization techniques. © 2021 The Author(s)</t>
  </si>
  <si>
    <t>Cited by: 4; All Open Access, Green Open Access, Hybrid Gold Open Access</t>
  </si>
  <si>
    <t>Abdalkareem R,Mujahid S,Shihab E</t>
  </si>
  <si>
    <t>A Machine Learning Approach to Improve the Detection of CI Skip Commits</t>
  </si>
  <si>
    <t>2740 – 2754</t>
  </si>
  <si>
    <t>https://www.scopus.com/inward/record.uri?eid=2-s2.0-85121724655&amp;doi=10.1109%2fTSE.2020.2967380&amp;partnerID=40&amp;md5=f4fe5940b6a57963b6a85c641ee0d5fb;http://dx.doi.org/10.1109/TSE.2020.2967380</t>
  </si>
  <si>
    <t>10.1109/TSE.2020.2967380</t>
  </si>
  <si>
    <t>Continuous integration (CI) frameworks, such as Travis CI, are growing in popularity, encouraged by market trends towards speeding up the release cycle and building higher-quality software. A key facilitator of CI is to automatically build and run tests whenever a new commit is submitted/pushed. Despite the many advantages of using CI, it is known that the CI process can take a very long time to complete. One of the core causes for such delays is the fact that some commits (e.g., cosmetic changes) unnecessarily kick off the CI process. Therefore, the main goal of this paper is to automate the process of determining which commits can be CI skipped through the use of machine learning techniques. We first extracted 23 features from historical data of ten software repositories. Second, we conduct a study on the detection of CI skip commits using machine learning where we built a decision tree classifier. We then examine the accuracy of using the decision tree in detecting CI skip commits. Our results show that the decision tree can identify CI skip commits with an average AUC equal to 0.89. Furthermore, the top node analysis shows that the number of developers who changed the modified files, the CI-Skip rules, and commit message are the most important features to detect CI skip commits. Finally, we investigate the generalizability of identifying CI skip commits through applying cross-project validation, and our results show that the general classifier achieves an average 0.74 of AUC values. © 1976-2012 IEEE.</t>
  </si>
  <si>
    <t>Granlund T,Stirbu V,Mikkonen T</t>
  </si>
  <si>
    <t>Towards Regulatory-Compliant MLOps: Oravizio’s Journey from a Machine Learning Experiment to a Deployed Certified Medical Product</t>
  </si>
  <si>
    <t>SN Computer Science</t>
  </si>
  <si>
    <t>2662-995X</t>
  </si>
  <si>
    <t>https://www.scopus.com/inward/record.uri?eid=2-s2.0-85121619577&amp;doi=10.1007%2fs42979-021-00726-1&amp;partnerID=40&amp;md5=47ff107c34d146132fcdcef8d8912562;http://dx.doi.org/10.1007/s42979-021-00726-1</t>
  </si>
  <si>
    <t>10.1007/s42979-021-00726-1</t>
  </si>
  <si>
    <t>Agile software development embraces change and manifests working software over comprehensive documentation and responding to change over following a plan. The ability to continuously release software has enabled a development approach where experimental features are put to use, and, if they stand the test of real use, they remain in production. Examples of such features include machine learning (ML) models, which are usually pre-trained, but can still evolve in production. However, many domains require more plan-driven approach to avoid hazard to environment and humans, and to mitigate risks in the process. In this paper, we start by presenting continuous software engineering practices in a regulated context, and then apply the results to the emerging practice of MLOps, or continuous delivery of ML features. Furthermore, as a practical contribution, we present a case study regarding Oravizio, first CE-certified medical software for assessing the risks of joint replacement surgeries. Towards the end of the paper, we also reflect the Oravizio experiences to MLOps in regulatory context. © 2021, The Author(s).</t>
  </si>
  <si>
    <t>Fu L,Liang P,Li X,Yang C</t>
  </si>
  <si>
    <t>A machine learning based ensemble method for automatic multiclass classification of decisions</t>
  </si>
  <si>
    <t>40 – 49</t>
  </si>
  <si>
    <t>https://www.scopus.com/inward/record.uri?eid=2-s2.0-85108908952&amp;doi=10.1145%2f3463274.3463325&amp;partnerID=40&amp;md5=60491fb66bd1538f1f429e96ba5627cd;http://dx.doi.org/10.1145/3463274.3463325</t>
  </si>
  <si>
    <t>10.1145/3463274.3463325</t>
  </si>
  <si>
    <t>Stakeholders make various types of decisions with respect to requirements, design, management, and so on during the software development life cycle. Nevertheless, these decisions are typically not well documented and classified due to limited human resources, time, and budget. To this end, automatic approaches provide a promising way. In this paper, we aimed at automatically classifying decisions into five types to help stakeholders better document and understand decisions. First, we collected a dataset from the Hibernate developer mailing list. We then experimented and evaluated 270 configurations regarding feature selection, feature extraction techniques, and machine learning classifiers to seek the best configuration for classifying decisions. Especially, we applied an ensemble learning method and constructed ensemble classifiers to compare the performance between ensemble classifiers and base classifiers. Our experiment results show that (1) feature selection can decently improve the classification results; (2) ensemble classifiers can outperform base classifiers provided that ensemble classifiers are well constructed; (3) BoW + 50% features selected by feature selection with an ensemble classifier that combines Naïve Bayes (NB), Logistic Regression (LR), and Support Vector Machine (SVM) achieves the best classification result (with a weighted precision of 0.750, a weighted recall of 0.739, and a weighted F1-score of 0.727) among all the configurations. Our work can benefit various types of stakeholders in software development through providing an automatic approach for effectively classifying decisions into specific types that are relevant to their interests. © 2021 ACM.</t>
  </si>
  <si>
    <t>Berardi D,Giallorenzo S,Melis A,Prandini M,Mauro J,Montesi F</t>
  </si>
  <si>
    <t>Microservice security: a systematic literature review</t>
  </si>
  <si>
    <t>PeerJ Computer Science</t>
  </si>
  <si>
    <t>PeerJ Inc.</t>
  </si>
  <si>
    <t>2376-5992</t>
  </si>
  <si>
    <t>https://www.scopus.com/inward/record.uri?eid=2-s2.0-85124010553&amp;doi=10.7717%2fPEERJ-CS.779&amp;partnerID=40&amp;md5=2da6ad89b2502afe108635947f601ea9;http://dx.doi.org/10.7717/PEERJ-CS.779</t>
  </si>
  <si>
    <t>10.7717/PEERJ-CS.779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</si>
  <si>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</si>
  <si>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Cited by: 5; All Open Access, Gold Open Access, Green Open Access</t>
  </si>
  <si>
    <t>Ardo AA,Bass JM,Gaber T</t>
  </si>
  <si>
    <t>An Empirical Investigation of Agile Information Systems Development for Cybersecurity</t>
  </si>
  <si>
    <t>437 LNBIP</t>
  </si>
  <si>
    <t>567 – 581</t>
  </si>
  <si>
    <t>https://www.scopus.com/inward/record.uri?eid=2-s2.0-85125253380&amp;doi=10.1007%2f978-3-030-95947-0_40&amp;partnerID=40&amp;md5=cea67de019236d3eb4b5bc679e072624;http://dx.doi.org/10.1007/978-3-030-95947-0_40</t>
  </si>
  <si>
    <t>10.1007/978-3-030-95947-0_40</t>
  </si>
  <si>
    <t>Cybersecurity has been identified as a major challenge confronting the digital world, neglecting cybersecurity techniques during software design and development increases the risk of malicious attacks. Thus, there is a need to make security an integral part of the agile information system development process. In this exploratory study, we empirically explore the agile security practices adopted by software developers and security professionals. Data was collected by conducting ten semi-structured interviews with agile practitioners from seven companies in the United Kingdom (UK). The study was conducted between August–November 2020. An approach informed by grounded theory was used for data analysis including Open coding, Memoing, Constant comparison and Theoretical saturation. The security practices identified in this study were categorized into roles, ceremonies and artefacts and mapped onto the different phases of the Software Development Lifecycle (SDLC). We discovered practitioners use five artefacts: security backlog documentation, software security baseline standards, security test plan templates, information security and security audit checklists; and that there are more artefacts than roles and ceremonies. Also, while most practitioners rely on automated tools for software security testing, only one practitioner mentioned conducting security tests manually. These practices that we have identified comprise a novel taxonomy which form the main research contribution of this paper. © 2022, Springer Nature Switzerland AG.</t>
  </si>
  <si>
    <t>Foorthuis R</t>
  </si>
  <si>
    <t>On the nature and types of anomalies: a review of deviations in data</t>
  </si>
  <si>
    <t>International Journal of Data Science and Analytics</t>
  </si>
  <si>
    <t>297 – 331</t>
  </si>
  <si>
    <t>2364-415X</t>
  </si>
  <si>
    <t>https://www.scopus.com/inward/record.uri?eid=2-s2.0-85111796535&amp;doi=10.1007%2fs41060-021-00265-1&amp;partnerID=40&amp;md5=e331f62f57ae194d27d91ea3dea0744b;http://dx.doi.org/10.1007/s41060-021-00265-1</t>
  </si>
  <si>
    <t>10.1007/s41060-021-00265-1</t>
  </si>
  <si>
    <t>Anomalies are occurrences in a dataset that are in some way unusual and do not fit the general patterns. The concept of the anomaly is typically ill defined and perceived as vague and domain-dependent. Moreover, despite some 250 years of publications on the topic, no comprehensive and concrete overviews of the different types of anomalies have hitherto been published. By means of an extensive literature review this study therefore offers the first theoretically principled and domain-independent typology of data anomalies and presents a full overview of anomaly types and subtypes. To concretely define the concept of the anomaly and its different manifestations, the typology employs five dimensions: data type, cardinality of relationship, anomaly level, data structure, and data distribution. These fundamental and data-centric dimensions naturally yield 3 broad groups, 9 basic types, and 63 subtypes of anomalies. The typology facilitates the evaluation of the functional capabilities of anomaly detection algorithms, contributes to explainable data science, and provides insights into relevant topics such as local versus global anomalies. © 2021, The Author(s).</t>
  </si>
  <si>
    <t>Cited by: 12; All Open Access, Green Open Access, Hybrid Gold Open Access</t>
  </si>
  <si>
    <t>Van Der Goes M</t>
  </si>
  <si>
    <t>Scaling enterprise recommender systems for decentralization</t>
  </si>
  <si>
    <t>592 – 594</t>
  </si>
  <si>
    <t>https://www.scopus.com/inward/record.uri?eid=2-s2.0-85115663250&amp;doi=10.1145%2f3460231.3474616&amp;partnerID=40&amp;md5=711f74c0b36c14623717196a1238efa3;http://dx.doi.org/10.1145/3460231.3474616</t>
  </si>
  <si>
    <t>10.1145/3460231.3474616</t>
  </si>
  <si>
    <t>Within decentralized organizations, the local demand for recommender systems to support business processes grows. The diversity in data sources and infrastructure challenges central engineering teams. Achieving a high delivery velocity without technical debt requires a scalable approach in the development and operations of recommender systems. At the HEINEKEN Company, we execute a machine learning operations method with five best practices: pipeline automation, data availability, exchangeable artifacts, observability, and policy-based security. Creating a culture of self-service, automation, and collaboration to scale recommender systems for decentralization. We demonstrate a practical use case of a self-service ML workspace deployment and a recommender system, that scale faster to subsidiaries and with less technical debt. This enables HEINEKEN to globally support applications that generate insights with local business impact. © 2021 Owner/Author.</t>
  </si>
  <si>
    <t>Chen T</t>
  </si>
  <si>
    <t>Lifelong Dynamic Optimization for Self-Adaptive Systems: Fact or Fiction?</t>
  </si>
  <si>
    <t>78 – 89</t>
  </si>
  <si>
    <t>https://www.scopus.com/inward/record.uri?eid=2-s2.0-85134078512&amp;doi=10.1109%2fSANER53432.2022.00022&amp;partnerID=40&amp;md5=83912dd89d5bb13fff0e59bf8748443b;http://dx.doi.org/10.1109/SANER53432.2022.00022</t>
  </si>
  <si>
    <t>10.1109/SANER53432.2022.00022</t>
  </si>
  <si>
    <t>When faced with changing environment, highly-configurable software systems need to dynamically search for promising adaptation plan that keeps the best possible performance, e.g., higher throughput or smaller latency - a typical planning problem for self-adaptive systems (SASs). However, given the rugged and complex search landscape with multiple local optima, such a SAS planning is challenging especially in dynamic environments. In this paper, we propose LiDOS, a lifelong dynamic optimization framework for SAS planning. What makes LiDOS unique is that to handle the 'dynamic', we formulate the SAS planning as a multi-modal optimization problem, aiming to preserve the useful information for better dealing with the local optima issue under dynamic environment changes. This differs from existing planners in that the 'dynamic' is not explicitly handled during the search process in planning. As such, the search and planning in LiDOS run continuously over the lifetime of SAS, terminating only when it is taken offline or the search space has been covered under an environment. Experimental results on three real-world SASs show that the concept of explicitly handling dynamic as part of the search in the SAS planning is effective, as LiDOS outperforms its stationary counterpart overall with up to 10× improvement. It also achieves better results in general over state-of-the-art planners and with 1.4× to 10× speedup on generating promising adaptation plans. © 2022 IEEE.</t>
  </si>
  <si>
    <t>Bessghaier N,Ouni A,Mkaouer MW</t>
  </si>
  <si>
    <t>A longitudinal exploratory study on code smells in server side web applications</t>
  </si>
  <si>
    <t>901 – 941</t>
  </si>
  <si>
    <t>https://www.scopus.com/inward/record.uri?eid=2-s2.0-85113593339&amp;doi=10.1007%2fs11219-021-09567-w&amp;partnerID=40&amp;md5=4b23a0a229f5fbf8f3608c82dcc0182b;http://dx.doi.org/10.1007/s11219-021-09567-w</t>
  </si>
  <si>
    <t>10.1007/s11219-021-09567-w</t>
  </si>
  <si>
    <t>Modern web applications have become one of the largest parts of the current software market over years, bringing cross-platform compatibility and data integration advantages that encouraged businesses to shift toward their adoption. Like any software application, code smells can be manifested as violations of implementation and design standards which could impact the maintainability, comprehensibility and performance of web applications. While there have been extensive studies on traditional code smells recently, little knowledge is available on code smells in web-based applications (web apps). As web applications are split into their client and server sides, we present in this study a first step in exploring the code smells diffuseness and effect on the server side of web applications. To this end, we conduct an exploratory study on a total of 430 releases from 10 long-lived open-source web-based applications on 12 common code smell types. We aim to better understand and gain insights into the diffuseness of code smells, their co-occurrences and effects on the change- and fault-proneness in server side code. Our study delivers several important findings. First, code smells are not equally diffused in web apps server side, among which smells related to complex, and large code components display high diffuseness and frequency rates. Second, the co-occurrence phenomenon is highly common, but the association degree between code smell pairs is weak. Code smells related to large size and high complexity exhibit a higher degree of co-occurrences. Third, smelly files are more likely to change than smell-free files, whereas not all smell types are likely to cause equal change sizes in the code base. Fourth, smelly files are more vulnerable to faults than smell-free files, and 86% of smelly files are more likely to manifest more faults than other files. Hence, developers should be aware of the existence of code smells in their web applications and consider detecting and refactoring them from their code bases, using appropriate tools. © 2021, The Author(s), under exclusive licence to Springer Science+Business Media, LLC, part of Springer Nature.</t>
  </si>
  <si>
    <t>Sarmento C,Massoni T,Serebrenik A,Catolino G,Tamburri D,Palomba F</t>
  </si>
  <si>
    <t>Gender Diversity and Community Smells: A Double-Replication Study on Brazilian Software Teams</t>
  </si>
  <si>
    <t>273 – 283</t>
  </si>
  <si>
    <t>https://www.scopus.com/inward/record.uri?eid=2-s2.0-85133692894&amp;doi=10.1109%2fSANER53432.2022.00043&amp;partnerID=40&amp;md5=e7fabf15f8c5c0dc44830467eb9dd6fd;http://dx.doi.org/10.1109/SANER53432.2022.00043</t>
  </si>
  <si>
    <t>10.1109/SANER53432.2022.00043</t>
  </si>
  <si>
    <t>Social debts in software teams are gaining increasing attention from the research community due to their potential adverse effects on software quality. For instance, community smells are indicators of sub-optimal organizational structures and may well lead to the emergence of social debt. Previous studies analyzed which factors influence the emergence/mitigation of such smells. In particular, studies by Catolino et al. showed how factors related to team composition, particularly gender diversity, correlated to the mitigation of community smells. However, a confirmation survey on 60 practitioners suggested that these results were not aligned with the experts' perceptions. In a separate survey, Catolino et al. collected the most common team refactoring strategies for those community smells. In this work we replicate two studies by those authors, focusing on the Brazilian software teams; culture-specific expectations on the behavior of people of different genders might have affected the perception of the importance of gender diversity and refactoring strategies when mitigating community smells. We translated the survey instrument used by Catolino et al. to Brazilian Portuguese and recruited 184 Brazilian developers. Re-sults did not show significant differences from the original study; indeed, participants perceived gender diversity as less valuable to mitigate community smells than such factors like experience or team size. Additionally, we performed a qualitative analysis of an open question within the questionnaire for the refactoring strategies. Brazilian developers agree with the original studies for most smells, mainly promoting restructuring communities, creating a communication plan and mentoring. We believe these results provide further evidence on the problem and its implications when managing software teams, avoiding technical debt and maintenance issues due to team communication and coordination problems. © 2022 IEEE.</t>
  </si>
  <si>
    <t>Bansal K,Rohil H</t>
  </si>
  <si>
    <t>Literature review of finding duplicate bugs in open source systems</t>
  </si>
  <si>
    <t>389 – 396</t>
  </si>
  <si>
    <t>https://www.scopus.com/inward/record.uri?eid=2-s2.0-85115089502&amp;doi=10.1109%2fCCICT53244.2021.00077&amp;partnerID=40&amp;md5=666b322f865fa7a27f1a09da66caf7f4;http://dx.doi.org/10.1109/CCICT53244.2021.00077</t>
  </si>
  <si>
    <t>10.1109/CCICT53244.2021.00077</t>
  </si>
  <si>
    <t>Bug triage aimed at enhancing the quality of bug reports. Triaging also ensures that the bug report has enough information that makes sense to developers. It also checks for duplicates as well as ensuring that the report filled correctly in the associated project. Bug triage is important because it helps to prioritize and schedule the required set of actions aimed at fixing a bug. Searching and identifying duplicates in bug triage reporting is an essential element because it helps to save time and effort as well as enforcing version control. To detect and recommend duplicates in bug report triage various techniques are used. These techniques are essential because the automated process of bug reporting tends to point to the same root cause of an issue despite using different reporting parameters. An important technique used for checking duplicates in bug reporting triage involves the combination of non-repudiation classification and clustering. © 2021 IEEE.</t>
  </si>
  <si>
    <t>Tu H,Yu Z,Menzies T</t>
  </si>
  <si>
    <t>Better Data Labelling with EMBLEM (and how that Impacts Defect Prediction)</t>
  </si>
  <si>
    <t>278 – 294</t>
  </si>
  <si>
    <t>https://www.scopus.com/inward/record.uri?eid=2-s2.0-85098414166&amp;doi=10.1109%2fTSE.2020.2986415&amp;partnerID=40&amp;md5=638abf74d76cd60698871916833f90ae;http://dx.doi.org/10.1109/TSE.2020.2986415</t>
  </si>
  <si>
    <t>10.1109/TSE.2020.2986415</t>
  </si>
  <si>
    <t>Standard automatic methods for recognizing problematic development commits can be greatly improved via the incremental application of human+artificial expertise. In this approach, called EMBLEM, an AI tool first explore the software development process to label commits that are most problematic. Humans then apply their expertise to check those labels (perhaps resulting in the AI updating the support vectors within their SVM learner). We recommend this human+AI partnership, for several reasons. When a new domain is encountered, EMBLEM can learn better ways to label which comments refer to real problems. Also, in studies with 9 open source software projects, labelling via EMBLEM's incremental application of human+AI is at least an order of magnitude cheaper than existing methods (≈ eight times). Further, EMBLEM is very effective. For the data sets explored here, EMBLEM better labelling methods significantly improved P_opt20Popt20 and G-scores performance in nearly all the projects studied here. © 1976-2012 IEEE.</t>
  </si>
  <si>
    <t>Iammarino M,Zampetti F,Aversano L,Di Penta M</t>
  </si>
  <si>
    <t>An empirical study on the co-occurrence between refactoring actions and Self-Admitted Technical Debt removal</t>
  </si>
  <si>
    <t>https://www.scopus.com/inward/record.uri?eid=2-s2.0-85104701235&amp;doi=10.1016%2fj.jss.2021.110976&amp;partnerID=40&amp;md5=465d320d5df377851f8a956da06c8c8f;http://dx.doi.org/10.1016/j.jss.2021.110976</t>
  </si>
  <si>
    <t>10.1016/j.jss.2021.110976</t>
  </si>
  <si>
    <t>Technical Debt (TD) concerns the lack of an adequate solution in a software project, from its design to the source code. Its admittance through source code comments, issues, or commit messages is referred to as Self-Admitted Technical Debt (SATD). Previous research has studied SATD from different perspectives, including its distribution, impact on software quality, and removal. In this paper, we investigate the relationship between refactoring and SATD removal. By leveraging a dataset of SATD and their removals in four open-source projects and by using an automated refactoring detection tool, we study the co-occurrence of refactoring and SATD removals. Results of the study indicate that refactoring is more likely to co-occur with SATD removals than with other commits, however, in most cases, they belong to different quality improvement activities performed at the same time. Moreover, if looking closely at refactoring actions co-occurring with SATD removal in the same code entities, a relationship between these activities can be found. Finally, we found how both source code quality metrics and SATD removals play a statistically significant role in the likelihood that the commit applies a refactoring action. © 2021 Elsevier Inc.</t>
  </si>
  <si>
    <t>Cited by: 8</t>
  </si>
  <si>
    <t>Marantos C,Siavvas M,Tsoukalas D,Lamprakos CP,Papadopoulos L,Boryszko P,Filus K,Domanska J,Ampatzoglou A,Chatzigeorgiou A,Gelenbe E,Kehagias D,Soudris D</t>
  </si>
  <si>
    <t>SDK4ED: One-click platform for Energy-aware, Maintainable and Dependable Applications</t>
  </si>
  <si>
    <t>981 – 986</t>
  </si>
  <si>
    <t>https://www.scopus.com/inward/record.uri?eid=2-s2.0-85130851259&amp;doi=10.23919%2fDATE54114.2022.9774586&amp;partnerID=40&amp;md5=19eb0ccd49d048c84328829fffa2c2d5;http://dx.doi.org/10.23919/DATE54114.2022.9774586</t>
  </si>
  <si>
    <t>10.23919/DATE54114.2022.9774586</t>
  </si>
  <si>
    <t>Developing modern secure and low-energy applications in a short time imposes new challenges and creates the need of designing new software tools to assist developers in all phases of application development. The design of such tools cannot be considered a trivial task, as they should be able to provide optimization of multiple quality requirements. In this paper, we introduce the SDK4ED platform, which incorporates advanced methods and tools for measuring and optimizing maintainability, dependability and energy. The presented solution offers a com-plete tool-flow for providing indicators and optimization meth-ods with emphasis on embedded software. Effective forecasting models and decision-making solutions are also implemented to improve the quality of the software, respecting the constraints imposed on maintenance standards, energy consumption limits and security vulnerabilities. The use of the SDK4ED platform is demonstrated in a healthcare embedded application. © 2022 EDAA.</t>
  </si>
  <si>
    <t>MLOps: A Guide to its Adoption in the Context of Responsible AI</t>
  </si>
  <si>
    <t>45 – 49</t>
  </si>
  <si>
    <t>https://www.scopus.com/inward/record.uri?eid=2-s2.0-85135059663&amp;doi=10.1145%2f3526073.3527591&amp;partnerID=40&amp;md5=3e69d49eaecd420d1a03d09b2da925b1;http://dx.doi.org/10.1145/3526073.3527591</t>
  </si>
  <si>
    <t>10.1145/3526073.3527591</t>
  </si>
  <si>
    <t>DevOps practices have increasingly been applied to software development as well as the machine learning lifecycle, in a process known as MLOps. Currently, many professionals have written about this topic, but still few results can be found in the academic and scientific literature on MLOps and how to to implement it effectively. Considering aspects of responsible AI, this number is even lower, opening up a field of research with many possibilities. This article presents five steps to guide the understanding and adoption of MLOps in the context of responsible AI. The study aims to serve as a reference guide for all those who wish to learn more about the topic and intend to implement MLOps practices to develop their systems, following responsible AI principles.CCS CONCEPTS• Software and its engineering → Software creation and management; • Computing methodologies → Machine learning. © 2022 ACM.</t>
  </si>
  <si>
    <t>Qu Y,Bao T,Chen X,Li L,Dou X,Yuan M,Wang H</t>
  </si>
  <si>
    <t>Do we need to pay technical debt in blockchain software systems?</t>
  </si>
  <si>
    <t>Connection Science</t>
  </si>
  <si>
    <t>2026 – 2047</t>
  </si>
  <si>
    <t>0954-0091</t>
  </si>
  <si>
    <t>https://www.scopus.com/inward/record.uri?eid=2-s2.0-85133288451&amp;doi=10.1080%2f09540091.2022.2067125&amp;partnerID=40&amp;md5=73770d01b2a5a6366da4aa4f93d906c2;http://dx.doi.org/10.1080/09540091.2022.2067125</t>
  </si>
  <si>
    <t>10.1080/09540091.2022.2067125</t>
  </si>
  <si>
    <t>For blockchain software systems, framework developers may introduce technical debts that application developers are not aware of. Because these technical debts can have a negative impact on software projects, we need to investigate the issue of technical debt in blockchain software systems. We wanted to investigate what types of self-introduced technical debt exist in open-source blockchain software systems, and how these technical debts are distributed. We have selected six most popular blockchain software projects from GitHub. Then the code comments from these software projects were extracted and manually labelled. Finally, the code comments were statistically analysed. We propose a new type of technical debt, resource debt, which is explicitly identified by the framework developers and requires special attention in subsequent production systems. Six types of technical debt are prevalent and there is not any algorithm debt. In addition, we find that the code comments containing technical debt are not entirely determined by task tags. SATD is prevalent in blockchain projects. There is more significant variability between different application software projects for different technical debts. The results of the study imply that for detecting SATD, deep semantic discovery models should be used, such as pre-trained models. © 2022 The Author(s). Published by Informa UK Limited, trading as Taylor &amp; Francis Group.</t>
  </si>
  <si>
    <t>Yin M,Zhu K,Xiao H,Zhu D,Jiang J</t>
  </si>
  <si>
    <t>Deep neural network ensembles for detecting self-admitted technical debt</t>
  </si>
  <si>
    <t>Journal of Intelligent and Fuzzy Systems</t>
  </si>
  <si>
    <t>93 – 105</t>
  </si>
  <si>
    <t>IOS Press BV</t>
  </si>
  <si>
    <t>1064-1246</t>
  </si>
  <si>
    <t>https://www.scopus.com/inward/record.uri?eid=2-s2.0-85131722859&amp;doi=10.3233%2fJIFS-211273&amp;partnerID=40&amp;md5=b652457a51f3b4ed24a912c23cde3af3;http://dx.doi.org/10.3233/JIFS-211273</t>
  </si>
  <si>
    <t>10.3233/JIFS-211273</t>
  </si>
  <si>
    <t>Effectively identifying self-admitted technical debt (SATD) from project source code comments helps developers quickly find and repay these debts, thereby reducing its negative impact. Previous studies used techniques based on patterns, text mining, natural language processing, and neural networks to detect SATD. Compared with these above, Convolutional Neural Networks (CNN) have the strong feature extraction ability. Deep network ensembles are demonstrated great potential for the task of sentences classification. In order to boost the performance of CNN-based SATD detecting, we propose a deep neural network ensemble contribute to ensemble learning in a simple yet effective way. Specifically, CNN, CNN-LSTM (convolutional neural network and long short-term memory), and DPCNN (Deep Pyramid Convolutional Neural Networks) are used as individual classifiers to diversify the deep network ensembles. In order to improve the explainability, we introduce attention to measure the contribution of feature words to SATD classification. 62,285 source code comments from 10 projects were used in our experiments. The results show that our approach can effectively reduce misjudgment and detect more SATD, especially for cross-project, so as to greatly improve the detection accuracy. © 2022 - IOS Press. All rights reserved.</t>
  </si>
  <si>
    <t>Sellitto G,Iannone E,Codabux Z,Lenarduzzi V,De Lucia A,Palomba F,Ferrucci F</t>
  </si>
  <si>
    <t>Toward Understanding the Impact of Refactoring on Program Comprehension</t>
  </si>
  <si>
    <t>731 – 742</t>
  </si>
  <si>
    <t>https://www.scopus.com/inward/record.uri?eid=2-s2.0-85135840854&amp;doi=10.1109%2fSANER53432.2022.00090&amp;partnerID=40&amp;md5=63f51861cf572d4cbaa31fb89269b825;http://dx.doi.org/10.1109/SANER53432.2022.00090</t>
  </si>
  <si>
    <t>10.1109/SANER53432.2022.00090</t>
  </si>
  <si>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 © 2022 IEEE.</t>
  </si>
  <si>
    <t>Zou B,Choobchian P,Rozenberg J</t>
  </si>
  <si>
    <t>Cyber resilience of autonomous mobility systems: cyber-attacks and resilience-enhancing strategies</t>
  </si>
  <si>
    <t>Journal of Transportation Security</t>
  </si>
  <si>
    <t>137 – 155</t>
  </si>
  <si>
    <t>1938-7741</t>
  </si>
  <si>
    <t>https://www.scopus.com/inward/record.uri?eid=2-s2.0-85102291373&amp;doi=10.1007%2fs12198-021-00230-w&amp;partnerID=40&amp;md5=b63ddf3488fb779f4917217e8731846d;http://dx.doi.org/10.1007/s12198-021-00230-w</t>
  </si>
  <si>
    <t>10.1007/s12198-021-00230-w</t>
  </si>
  <si>
    <t>The increasing cyber connectivity of vehicles and between vehicles and infrastructure will drastically reshape mobility in the coming decades. While the advent of connected mobility is expected to benefit travelers and the society by smoothing traffic, improving rider convenience, and reducing accidents, the augmented cyber components in connected and autonomous vehicles and related infrastructure also give rise to cyber-attacks to the transportation system. And yet, little attention has been paid to transportation cyber resilience. This paper thus proposes an investigation on this topic with a comprehensive literature review. The cyber components and plausible autonomous mobility systems (AMS) operation scenarios are discussed, before identifying possible cyber-attacks to AMS at both vehicle and system levels. The discussion then moves to existing practices to enhance cybersecurity, and a number of strategies are investigated toward enhancing AMS cyber resilience. At the vehicle level, creating layers and separation to reduce cyber component connectivity and deploying an independent procedure for data collection and processing are important in vehicle design and manufacturing. At the system level, recommended strategies include keeping redundancy in transportation capacity, maintaining a separate road network, and deploying different sub-autonomous mobility systems. © 2021, The Author(s), under exclusive licence to Springer Science+Business Media, LLC part of Springer Nature.</t>
  </si>
  <si>
    <t>Cited by: 10</t>
  </si>
  <si>
    <t>Vidoni M</t>
  </si>
  <si>
    <t>Beyond Hard and Soft OR: operational research from a software engineering perspective</t>
  </si>
  <si>
    <t>Journal of the Operational Research Society</t>
  </si>
  <si>
    <t>693 – 715</t>
  </si>
  <si>
    <t>0160-5682</t>
  </si>
  <si>
    <t>https://www.scopus.com/inward/record.uri?eid=2-s2.0-85101476335&amp;doi=10.1080%2f01605682.2020.1865848&amp;partnerID=40&amp;md5=3cc10e6956c3732df5ec17d90661da5c;http://dx.doi.org/10.1080/01605682.2020.1865848</t>
  </si>
  <si>
    <t>10.1080/01605682.2020.1865848</t>
  </si>
  <si>
    <t>This paper argues that current practice in the Operational Research (OR) discipline needs to tackle management problems from a broader point of view by including a new perspective. While Hard OR is posed as the means to a solution, and Soft OR covers the stakeholder/business perspective, this paper proposes OR Engineering to tackle the model/program perspective. This proposal is substantiated by an empirical study that explored OR history and the rise of “wicked problems” in contrast to Software Engineering (SE) history and the idea of “no silver bullet”. The main findings are five areas for future works, intertwined between Soft OR and OR Engineering: agility, documentation of versioning, technical debt, systems testing and architecture. Overall, although the goal may be ambitious, this paper aims to stimulate reflective thinking and promote a novel and different line of action and research among OR and SE practitioners present and future. © Operational Research Society 2021.</t>
  </si>
  <si>
    <t>Guo Z,Liu S,Liu J,Li Y,Chen L,Lu H,Zhou Y</t>
  </si>
  <si>
    <t>How Far Have We Progressed in Identifying Self-admitted Technical Debts? A Comprehensive Empirical Study</t>
  </si>
  <si>
    <t>https://www.scopus.com/inward/record.uri?eid=2-s2.0-85112052871&amp;doi=10.1145%2f3447247&amp;partnerID=40&amp;md5=64e9a5d0a33bf2cdbda8593b4b2d2ac4;http://dx.doi.org/10.1145/3447247</t>
  </si>
  <si>
    <t>10.1145/3447247</t>
  </si>
  <si>
    <t>Background. Self-admitted technical debt (SATD) is a special kind of technical debt that is intentionally introduced and remarked by code comments. Those technical debts reduce the quality of software and increase the cost of subsequent software maintenance. Therefore, it is necessary to find out and resolve these debts in time. Recently, many automatic approaches have been proposed to identify SATD. Problem. Popular IDEs support a number of predefined task annotation tags for indicating SATD in comments, which have been used in many projects. However, such clear prior knowledge is neglected by existing SATD identification approaches when identifying SATD. Objective. We aim to investigate how far we have really progressed in the field of SATD identification by comparing existing approaches with a simple approach that leverages the predefined task tags to identify SATD. Method. We first propose a simple heuristic approach that fuzzily Matches task Annotation Tags (MAT) in comments to identify SATD. In nature, MAT is an unsupervised approach, which does not need any data to train a prediction model and has a good understandability. Then, we examine the real progress in SATD identification by comparing MAT against existing approaches. Result. The experimental results reveal that: (1) MAT has a similar or even superior performance for SATD identification compared with existing approaches, regardless of whether non-effort-aware or effort-aware evaluation indicators are considered; (2) the SATDs (or non-SATDs) correctly identified by existing approaches are highly overlapped with those identified by MAT; and (3) supervised approaches misclassify many SATDs marked with task tags as non-SATDs, which can be easily corrected by their combinations with MAT. Conclusion. It appears that the problem of SATD identification has been (unintentionally) complicated by our community, i.e., the real progress in SATD comments identification is not being achieved as it might have been envisaged. We hence suggest that, when many task tags are used in the comments of a target project, future SATD identification studies should use MAT as an easy-to-implement baseline to demonstrate the usefulness of any newly proposed approach. © 2021 ACM.</t>
  </si>
  <si>
    <t>Wang X,Liu X,Wu H,Liu J,Chen X,Xu Z</t>
  </si>
  <si>
    <t>Jointly learning invocations and descriptions for context-aware mashup tagging with graph attention network</t>
  </si>
  <si>
    <t>World Wide Web</t>
  </si>
  <si>
    <t>1386-145X</t>
  </si>
  <si>
    <t>https://www.scopus.com/inward/record.uri?eid=2-s2.0-85135860301&amp;doi=10.1007%2fs11280-022-01087-2&amp;partnerID=40&amp;md5=5746eca924cd50933c0b438f7a8f8bae;http://dx.doi.org/10.1007/s11280-022-01087-2</t>
  </si>
  <si>
    <t>10.1007/s11280-022-01087-2</t>
  </si>
  <si>
    <t>With the growing prosperity of the Web service economy, more and more mashups have been developed that combine multiple Web APIs to achieve more powerful functionalities to accommodate complex business requirements. Consequently, mashup tagging has become an emerging task that is essential for managing and retrieving enormous service resources. Most of the existing mashup tagging methods are limited in several critical aspects such as the lack of explicit modeling for high-order connectivity, the neglect of discriminating the different importance of neighbors related to mashups adaptively, and achieving less desirable performance. To address the above limitations, in this paper, we propose a Context-Aware method to learn invocations patterns and descriptions for Mashup Tagging, named CAMT. Specifically, we explicitly model the high-order connectivity with two-graph evolution patterns (including the mashup-API-tag graph and the mashup-API-word graph) based on a graph neural network, and recursively propagating embeddings from neighbors of the target node to update its representation. Finally, a multi-head attention mechanism is exploited to discriminate the importance of neighbors adaptively. Comprehensive experiments on the real-world dataset demonstrate the effectiveness of CAMT when compared with many state-of-the-art baselines. For example, we achieve 10.7/9.6/12.7/9.0% gains in terms of P@5 / R@5 / MRR@5 / NDCG@5 metrics for mashup tagging, respectively. In addition, our model can achieve not only higher accuracy but also higher diversity and lower computational overhead. © 2022, The Author(s), under exclusive licence to Springer Science+Business Media, LLC, part of Springer Nature.</t>
  </si>
  <si>
    <t>Tsoukalas D,Chatzigeorgiou A,Ampatzoglou A,Mittas N,Kehagias D</t>
  </si>
  <si>
    <t>TD Classifier: Automatic Identification of Java Classes with High Technical Debt</t>
  </si>
  <si>
    <t>76 – 80</t>
  </si>
  <si>
    <t>https://www.scopus.com/inward/record.uri?eid=2-s2.0-85134339792&amp;doi=10.1145%2f3524843.3528094&amp;partnerID=40&amp;md5=2a8a5e59891f65285d081b654ca70701;http://dx.doi.org/10.1145/3524843.3528094</t>
  </si>
  <si>
    <t>10.1145/3524843.3528094</t>
  </si>
  <si>
    <t>To date, the identification and quantification of Technical Debt (TD) rely heavily on a few sophisticated tools that check for violations of certain predefined rules, usually through static analysis. Different tools result in divergent TD estimates calling into question the reliability of findings derived by a single tool. To alleviate this issue, we present a tool that employs machine learning on a dataset built upon the convergence of three widely-adopted TD Assessment tools to automatically assess the class-level TD for any arbitrary Java project. The proposed tool is able to classify software classes as high-TD or not, by synthesizing source code and repository ac-tivity information retrieved by employing four popular open source analyzers. The classification results are combined with proper vi-sualization techniques, to enable the identification of classes that are more likely to be problematic. To demonstrate the proposed tool and evaluate its usefulness, a case study is conducted based on a real-world open-source software project. The proposed tool is expected to facilitate TD management activities and enable fur-ther experimentation through its use in an academic or industrial setting. Video: https://youtu.be/umgXU8u7lIA Running Instance: http://160.40.52.130:3000/tdclassifier Source Code: https://gitlab.seis.iti.gr/root/td-classifier.git © 2022 ACM.</t>
  </si>
  <si>
    <t>Warnett SJ,Zdun U</t>
  </si>
  <si>
    <t>Architectural Design Decisions for Machine Learning Deployment</t>
  </si>
  <si>
    <t>https://www.scopus.com/inward/record.uri?eid=2-s2.0-85132038889&amp;doi=10.1109%2fICSA53651.2022.00017&amp;partnerID=40&amp;md5=f41006061ada3ac78eb59d7d797684be;http://dx.doi.org/10.1109/ICSA53651.2022.00017</t>
  </si>
  <si>
    <t>10.1109/ICSA53651.2022.00017</t>
  </si>
  <si>
    <t>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 © 2022 IEEE.</t>
  </si>
  <si>
    <t>Wang W,Wang C,Wang Z,Yuan M,Luo X,Kurths J,Gao Y</t>
  </si>
  <si>
    <t>Abnormal detection technology of industrial control system based on transfer learning</t>
  </si>
  <si>
    <t>Applied Mathematics and Computation</t>
  </si>
  <si>
    <t>0096-3003</t>
  </si>
  <si>
    <t>https://www.scopus.com/inward/record.uri?eid=2-s2.0-85111809296&amp;doi=10.1016%2fj.amc.2021.126539&amp;partnerID=40&amp;md5=1f8edde4745d0e3326d461b07ef7e5f0;http://dx.doi.org/10.1016/j.amc.2021.126539</t>
  </si>
  <si>
    <t>10.1016/j.amc.2021.126539</t>
  </si>
  <si>
    <t>In industrial control systems, industrial infrastructure is often attacked by hackers. Due to the serious sample imbalance in industrial control data, the traditional machine learning method has poor performance in anomaly detection. In this paper, TrAdaboost algorithm is applied to industrial control anomaly detection. The samples that are easy to classify are taken as the source domain data, and the samples with poor classification effect are taken as the target domain. The source domain data is used to guide the target domain data training. Then, we improve the traditional TrAdaboost algorithm from two aspects of initial weight and final classifier, and apply it to industrial control anomaly detection. Finally, the performance of the algorithm on two different industrial control data sets is verified. And the improved algorithm is compared with other traditional algorithms. The experimental results show that the improved TrAdaboost algorithm has a significant advantage in predicting categories with a small sample size. This algorithm can accurately identify a few abnormal samples. Moreover, the F1 value, recall and precision value of the improved TrAdaboost algorithm on the two data sets have been significantly improved. This indicates that the improved TrAdaboost algorithm greatly improves the overall prediction accuracy of the model. © 2021</t>
  </si>
  <si>
    <t>Beisbart C</t>
  </si>
  <si>
    <t>Opacity thought through: on the intransparency of computer simulations</t>
  </si>
  <si>
    <t>Synthese</t>
  </si>
  <si>
    <t>11643 – 11666</t>
  </si>
  <si>
    <t>0039-7857</t>
  </si>
  <si>
    <t>https://www.scopus.com/inward/record.uri?eid=2-s2.0-85110456711&amp;doi=10.1007%2fs11229-021-03305-2&amp;partnerID=40&amp;md5=7049dcdbefb9f1ad30a067d78bc0453b;http://dx.doi.org/10.1007/s11229-021-03305-2</t>
  </si>
  <si>
    <t>10.1007/s11229-021-03305-2</t>
  </si>
  <si>
    <t>Computer simulations are often claimed to be opaque and thus to lack transparency. But what exactly is the opacity of simulations? This paper aims to answer that question by proposing an explication of opacity. Such an explication is needed, I argue, because the pioneering definition of opacity by P. Humphreys and a recent elaboration by Durán and Formanek are too narrow. While it is true that simulations are opaque in that they include too many computations and thus cannot be checked by hand, this doesn’t exhaust what we might want to call the opacity of simulations. I thus make a fresh start with the natural idea that the opacity of a method is its disposition to resist knowledge and understanding. I draw on recent work on understanding and elaborate the idea by a systematic investigation into what type of knowledge and what type of understanding are required if opacity is to be avoided and why the required sort of understanding, in particular, is difficult to achieve. My proposal is that a method is opaque to the degree that it’s difficult for humans to know and to understand why its outcomes arise. This proposal allows for a comparison between different methods regarding opacity. It further refers to a kind of epistemic access that is important in scientific work with simulations. © 2021, The Author(s).</t>
  </si>
  <si>
    <t>Cited by: 3; All Open Access, Green Open Access, Hybrid Gold Open Access</t>
  </si>
  <si>
    <t>Winkler D,Novak P,Vyskocil J,Meixner K,Biffl S</t>
  </si>
  <si>
    <t>Industry 4.0 Asset-based Risk Mitigation for Production Operation</t>
  </si>
  <si>
    <t>278 – 285</t>
  </si>
  <si>
    <t>2161-8070</t>
  </si>
  <si>
    <t>https://www.scopus.com/inward/record.uri?eid=2-s2.0-85117021916&amp;doi=10.1109%2fCASE49439.2021.9551419&amp;partnerID=40&amp;md5=34a2402b07b2e40af452b20905260b9f;http://dx.doi.org/10.1109/CASE49439.2021.9551419</t>
  </si>
  <si>
    <t>10.1109/CASE49439.2021.9551419</t>
  </si>
  <si>
    <t>During engineering and operation of flexible robot-based production systems meeting the Industry 4.0 (I40) paradigm, engineers require guidance to analyze and resolve issues that may disturb the production process. Challenging issues stem from causes in several heterogeneous engineering disciplines. Unfortunately, current risk mitigation guidelines frequently focus on isolated components and not on risks of the entire system. This fragmented guidance is hard to apply for engineers who are not aware of existing dependencies between components of different types. Therefore, risks in the engineering and operation of I40 components are hard to identify and mitigate. In this paper, we propose the Industry 4.0 Asset-based Risk Mitigation (I4ARM) approach, providing knowledge for efficient root cause analysis to non-experts based on (a) a minimal model for knowledge representation as an I40 asset network with cause-effect annotations and (b) the I4ARM method for model building and risk mitigation with structured guidance. We build on the I40 asset network concept, cause-effect analysis, and decision trees to enable efficient and effective risk mitigation with structured guidance. I4ARM facilitates for engineers (a) defining an Industry 4.0 asset network and relationships, (b) identifying risks, and (c) supporting risk mitigation. We conceptually evaluate I4ARM for a real-world I40 use case. The results showed that the I40 Asset Network with cause-effect relationships and decision trees is usable and useful both for experienced and novice engineers to efficiently and systematically mitigate risks in I40 environments. © 2021 IEEE.</t>
  </si>
  <si>
    <t>Yan A,Zhong H,Song D,Jia L</t>
  </si>
  <si>
    <t>The Symptoms, Causes, and Repairs of Workarounds in Apache Issue Trackers</t>
  </si>
  <si>
    <t>364 – 365</t>
  </si>
  <si>
    <t>https://www.scopus.com/inward/record.uri?eid=2-s2.0-85132402735&amp;doi=10.1109%2fICSE-Companion55297.2022.9793745&amp;partnerID=40&amp;md5=b6feeaf27e1792837f5a4c5eb2480562;http://dx.doi.org/10.1109/ICSE-Companion55297.2022.9793745</t>
  </si>
  <si>
    <t>10.1109/ICSE-Companion55297.2022.9793745</t>
  </si>
  <si>
    <t>In issue tracker systems, a bug report can be resolved as workaround. Since the definition of workarounds is vague, many research questions on workarounds are still open. For example, what are the symptoms of bugs which are resolved as workarounds? Why does a bug report have to be resolved as workarounds? What are the repairs and impacts of workarounds? In this paper, we conduct an empirical study to explore the above research questions. In particular, we analyzed 221 real workarounds that were collected from 88 Apache projects. Our results lead to ten findings and our answers to all the above questions. Our findings are useful to understand workarounds and to improve software projects and issue trackers. © 2022 IEEE.</t>
  </si>
  <si>
    <t>Dzhusupova R,Bosch J,Olsson HH</t>
  </si>
  <si>
    <t>The Goldilocks Framework: Towards Selecting the Optimal Approach to Conducting AI Projects</t>
  </si>
  <si>
    <t>124 – 135</t>
  </si>
  <si>
    <t>https://www.scopus.com/inward/record.uri?eid=2-s2.0-85133479649&amp;doi=10.1145%2f3522664.3528595&amp;partnerID=40&amp;md5=83a1b754243ef30238b6a8f7155dc75a;http://dx.doi.org/10.1145/3522664.3528595</t>
  </si>
  <si>
    <t>10.1145/3522664.3528595</t>
  </si>
  <si>
    <t>Artificial intelligence is increasingly becoming important to businesses since many companies have realized the benefits of applying Machine Learning (ML) and Deep Learning (DL) into their operations. Nevertheless, ML/DL technologies' industrial development and deployment examples are still rare and generally confined within a small cluster of large international companies who are struggling to apply ML more broadly and deploy their use cases at a large scale. Meanwhile, current AI market has started offering various solutions and services. Thus, organizations must understand how to acquire AI technology based on their business strategy and available resources. This paper discusses the industrial experience of developing and deploying ML/DL use cases to support organizations in their transformation towards AI. We identify how various factors, like cost, schedule, and intellectual property, can be affected by the choice of approach towards ML/DL project development and deployment within large international engineering corporations. As a research result, we present a framework that covers the trade-offs between those various factors and can support engineering companies to choose the best approach based on their long-term business strategies and, therefore, would help to accomplish their ML/DL project deployment successfully. © 2022 ACM.</t>
  </si>
  <si>
    <t>Zhuang G,Qu Y,Li L,Dou X,Li M</t>
  </si>
  <si>
    <t>An Empirical Study of Gradient-based Explainability Techniques for Self-admitted Technical Debt Detection</t>
  </si>
  <si>
    <t>Journal of Internet Technology</t>
  </si>
  <si>
    <t>631 – 641</t>
  </si>
  <si>
    <t>Taiwan Academic Network Management Committee</t>
  </si>
  <si>
    <t>1607-9264</t>
  </si>
  <si>
    <t>https://www.scopus.com/inward/record.uri?eid=2-s2.0-85133204295&amp;doi=10.53106%2f160792642022052303021&amp;partnerID=40&amp;md5=cf299fe5b610d06f963041f07a5afefb;http://dx.doi.org/10.53106/160792642022052303021</t>
  </si>
  <si>
    <t>10.53106/160792642022052303021</t>
  </si>
  <si>
    <t>Self-Admitted Technical Debt (SATD) is an intentionally introduced software code comment describing potential defects or other technical debt. Currently, deep learning is widely used in fields such as Natural Language Processing. Deep learning can be used for SATD detection, but there is a class imbalance problem and a large number of easily classified SATD instances that may potentially affect the loss value. As a result, we proposed a weighted focal loss function based on particle swarm to address the problem. Meanwhile, there is no empirical research based on local explanations for SATD detection. We have investigated local interpretation models such as Saliency Maps, Integrated Gradients, which are currently widely used in deep learning, and conducted empirical research for shared data sets. The research results show that our proposed weighted focal loss function can achieve the best performance for SATD detection; our model achieves 12.27%, 5.97%, and 5.62% improvement in Precision, Recall, and AUC compared to the baseline model, respectively; Local explanation models, including Saliency Maps and Integrated Gradients can cover nearly half of the manually labeled paradigms; these two interpretation models can also discover potential new paradigms. © 2022 Taiwan Academic Network Management Committee. All rights reserved.</t>
  </si>
  <si>
    <t>Dilhara M</t>
  </si>
  <si>
    <t>Discovering repetitive code changes in ML systems</t>
  </si>
  <si>
    <t>1683 – 1685</t>
  </si>
  <si>
    <t>https://www.scopus.com/inward/record.uri?eid=2-s2.0-85116304893&amp;doi=10.1145%2f3468264.3473493&amp;partnerID=40&amp;md5=c6582bf8e064e1baf52f02043f2e8b99;http://dx.doi.org/10.1145/3468264.3473493</t>
  </si>
  <si>
    <t>10.1145/3468264.3473493</t>
  </si>
  <si>
    <t>Similar to software evolution in other software systems, ML software systems evolve with many repetitive changes. Despite some research and tooling for repetitive code changes that exist in Java and other languages, there is a lack of such tools for Python. Given the significant rise of ML software development, and that many ML developers are not professionally trained developers, the lack of software evolution tools for ML code is even more critical. To bring the ML developers' toolset into the 21st century, we implemented an approach to adapt and reuse the vast ecosystem of Java static analysis tools for Python. Using this approach, we adapted two software evolution tools, RefactoringMiner and CPATMiner, to Python. With the tools, we conducted the first and most fine-grained study on code change patterns in 59 ML systems and surveyed 253 developers. We recommend empirically-justified, actionable opportunities for tool builders and release the tools for researchers. © 2021 Owner/Author.</t>
  </si>
  <si>
    <t>Gottigundala T,Sereesathien S,Da Silva B</t>
  </si>
  <si>
    <t>Qualitatively Analyzing PR Rejection Reasons from Conversations in Open-Source Projects</t>
  </si>
  <si>
    <t>109 – 112</t>
  </si>
  <si>
    <t>https://www.scopus.com/inward/record.uri?eid=2-s2.0-85113641285&amp;doi=10.1109%2fCHASE52884.2021.00021&amp;partnerID=40&amp;md5=264d946ee693a1ffb5e33eb2946a9490;http://dx.doi.org/10.1109/CHASE52884.2021.00021</t>
  </si>
  <si>
    <t>10.1109/CHASE52884.2021.00021</t>
  </si>
  <si>
    <t>Software developers have largely relied on pull requests as a mechanism of collaboration in their projects. Researchers have collected and analyzed pull request data in different ways for different reasons. In particular, we have qualitatively analyzed pull request conversation data to understand the main reasons for pull request rejection from a developer's perspective. In this paper, we report results from ongoing research on identifying and categorizing pull request rejection factors. Two software developers, co-Authors of this paper, manually analyzed 605 rejected PRs from Hexo and ESLint. We found that the most frequent reasons for PR rejection may vary depending on the project size and popularity. Still, some common rejection factors include implementing unnecessary functionality, conflicting PRs, agreement to make PR reattempts, and inactivity. Code quality issues are not among the most frequent reasons. © 2021 IEEE.</t>
  </si>
  <si>
    <t>Peruma A,Alomar EA,Newman CD,Mkaouer MW,Ouni A</t>
  </si>
  <si>
    <t>Refactoring Debt: Myth or Reality? An Exploratory Study on the Relationship between Technical Debt and Refactoring</t>
  </si>
  <si>
    <t>127 – 131</t>
  </si>
  <si>
    <t>https://www.scopus.com/inward/record.uri?eid=2-s2.0-85134067292&amp;doi=10.1145%2f3524842.3528527&amp;partnerID=40&amp;md5=2f1e84d0830061e07690e5dc2defc3c2;http://dx.doi.org/10.1145/3524842.3528527</t>
  </si>
  <si>
    <t>10.1145/3524842.3528527</t>
  </si>
  <si>
    <t>To meet project timelines or budget constraints, developers intentionally deviate from writing optimal code to feasible code in what is known as incurring Technical Debt (TD). Furthermore, as part of planning their correction, developers document these deficiencies as comments in the code (i.e., self-admitted technical debt or SATD). As a means of improving source code quality, developers often apply a series of refactoring operations to their codebase. In this study, we explore developers repaying this debt through refactoring operations by examining occurrences of SATD removal in the code of 76 open-source Java systems. Our findings show that TD payment usually occurs with refactoring activities and developers refactor their code to remove TD for specific reasons. We envision our findings supporting vendors in providing tools to better support developers in the automatic repayment of technical debt. © 2022 ACM.</t>
  </si>
  <si>
    <t>Renda A,Ding Y,Carbin M</t>
  </si>
  <si>
    <t>Programming with neural surrogates of programs</t>
  </si>
  <si>
    <t>18 – 38</t>
  </si>
  <si>
    <t>https://www.scopus.com/inward/record.uri?eid=2-s2.0-85119054640&amp;doi=10.1145%2f3486607.3486748&amp;partnerID=40&amp;md5=e0fd265593d5f7ba6d534bc11202e392;http://dx.doi.org/10.1145/3486607.3486748</t>
  </si>
  <si>
    <t>10.1145/3486607.3486748</t>
  </si>
  <si>
    <t>Surrogates, models that mimic the behavior of programs, form the basis of a variety of development workflows. We study three surrogate-based design patterns, evaluating each in case studies on a large-scale CPU simulator. With surrogate compilation, programmers develop a surrogate that mimics the behavior of a program to deploy to end-users in place of the original program. Surrogate compilation accelerates the CPU simulator under study by 1.6×. With surrogate adaptation, programmers develop a surrogate of a program then retrain that surrogate on a different task. Surrogate adaptation decreases the simulator's error by up to 50%. With surrogate optimization, programmers develop a surrogate of a program, optimize input parameters of the surrogate, then plug the optimized input parameters back into the original program. Surrogate optimization finds simulation parameters that decrease the simulator's error by 5% compared to the error induced by expert-set parameters. In this paper we formalize this taxonomy of surrogate-based design patterns. We further describe the programming methodology common to all three design patterns. Our work builds a foundation for the emerging class of workflows based on programming with surrogates of programs. © 2021 Owner/Author.</t>
  </si>
  <si>
    <t>Foidl H,Felderer M,Ramler R</t>
  </si>
  <si>
    <t>Data Smells: Categories, Causes and Consequences, and Detection of Suspicious Data in AI-based Systems</t>
  </si>
  <si>
    <t>229 – 239</t>
  </si>
  <si>
    <t>https://www.scopus.com/inward/record.uri?eid=2-s2.0-85133411277&amp;doi=10.1145%2f3522664.3528590&amp;partnerID=40&amp;md5=4ccc26a1a57379126b4d3150b1f12927;http://dx.doi.org/10.1145/3522664.3528590</t>
  </si>
  <si>
    <t>10.1145/3522664.3528590</t>
  </si>
  <si>
    <t>High data quality is fundamental for today's AI-based systems. However, although data quality has been an object of research for decades, there is a clear lack of research on potential data quality issues (e.g., ambiguous, extraneous values). These kinds of issues are latent in nature and thus often not obvious. Nevertheless, they can be associated with an increased risk of future problems in AI-based systems (e.g., technical debt, data-induced faults). As a counterpart to code smells in software engineering, we refer to such issues as Data Smells. This article conceptualizes data smells and elaborates on their causes, consequences, detection, and use in the context of AI-based systems. In addition, a catalogue of 36 data smells divided into three categories (i.e., Believability Smells, Understandability Smells, Consistency Smells) is presented. Moreover, the article outlines tool support for detecting data smells and presents the result of an initial smell detection on more than 240 real-world datasets. © 2022 ACM.</t>
  </si>
  <si>
    <t>Cited by: 3; All Open Access, Bronze Open Access</t>
  </si>
  <si>
    <t>Rezaei Nasab A,Shahin M,Liang P,Basiri ME,Hoseyni Raviz SA,Khalajzadeh H,Waseem M,Naseri A</t>
  </si>
  <si>
    <t>Automated identification of security discussions in microservices systems: Industrial surveys and experiments</t>
  </si>
  <si>
    <t>https://www.scopus.com/inward/record.uri?eid=2-s2.0-85111230657&amp;doi=10.1016%2fj.jss.2021.111046&amp;partnerID=40&amp;md5=208ffc6b7b432ceee6d6017e974e86e9;http://dx.doi.org/10.1016/j.jss.2021.111046</t>
  </si>
  <si>
    <t>10.1016/j.jss.2021.111046</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</si>
  <si>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</si>
  <si>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GitRank: A Framework to Rank GitHub Repositories</t>
  </si>
  <si>
    <t>729 – 731</t>
  </si>
  <si>
    <t>https://www.scopus.com/inward/record.uri?eid=2-s2.0-85134029487&amp;doi=10.1145%2f3524842.3528519&amp;partnerID=40&amp;md5=09d08d5a25188bca9d93d6035c878653;http://dx.doi.org/10.1145/3524842.3528519</t>
  </si>
  <si>
    <t>10.1145/3524842.3528519</t>
  </si>
  <si>
    <t>Open-source repositories provide wealth of information and are increasingly being used to build artificial intelligence (AI) based systems to solve problems in software engineering. Open-source repositories could be of varying quality levels, and bad-quality repositories could degrade performance of these systems. Evaluating quality of open-source repositories, which is not available directly on code hosting sites such as GitHub, is thus important. In this hackathon, we utilize known code quality measures and GrimoireLab toolkit to implement a framework, named Gi tRank, to rank open-source repositories on three different criteria. We discuss our findings and preliminary evaluation in this hackathon report. © 2022 ACM.</t>
  </si>
  <si>
    <t>Alkharabsheh K,Crespo Y,Fernández-Delgado M,Viqueira JR,Taboada JA</t>
  </si>
  <si>
    <t>Exploratory study of the impact of project domain and size category on the detection of the God class design smell</t>
  </si>
  <si>
    <t>197 – 237</t>
  </si>
  <si>
    <t>https://www.scopus.com/inward/record.uri?eid=2-s2.0-85103939999&amp;doi=10.1007%2fs11219-021-09550-5&amp;partnerID=40&amp;md5=0be53989d7e7b85b8a4e9cea53262e26;http://dx.doi.org/10.1007/s11219-021-09550-5</t>
  </si>
  <si>
    <t>10.1007/s11219-021-09550-5</t>
  </si>
  <si>
    <t>Design smell detection has proven to be an efficient strategy to improve software quality and consequently decrease maintainability expenses. This work explores the influence of the information about project context expressed as project domain and size category information, on the automatic detection of the god class design smell by machine learning techniques. A set of experiments using eight classifiers to detect god classes was conducted on a dataset containing 12, 587 classes from 24 Java projects. The results show that classifiers change their behavior when they are used on datasets that differ in these kinds of project information. The results show that god class design smell detection can be improved by feeding machine learning classifiers with this project context information. © 2021, The Author(s), under exclusive licence to Springer Science+Business Media, LLC, part of Springer Nature.</t>
  </si>
  <si>
    <t>Li R,Soliman M,Liang P,Avgeriou P</t>
  </si>
  <si>
    <t>Symptoms of Architecture Erosion in Code Reviews: A Study of Two OpenStack Projects</t>
  </si>
  <si>
    <t>24 – 35</t>
  </si>
  <si>
    <t>https://www.scopus.com/inward/record.uri?eid=2-s2.0-85127056188&amp;doi=10.1109%2fICSA53651.2022.00011&amp;partnerID=40&amp;md5=406bfae4f78486cdbc0ad4efd1370589;http://dx.doi.org/10.1109/ICSA53651.2022.00011</t>
  </si>
  <si>
    <t>10.1109/ICSA53651.2022.00011</t>
  </si>
  <si>
    <t>The phenomenon of architecture erosion can negatively impact the maintenance and evolution of software systems, and manifest in a variety of symptoms during software development. While erosion is often considered rather late, its symptoms can act as early warnings to software developers, if detected in time. In addition to static source code analysis, code reviews can be a source of detecting erosion symptoms and subsequently taking action. In this study, we investigate the erosion symptoms discussed in code reviews, as well as their trends, and the actions taken by developers. Specifically, we conducted an empirical study with the two most active Open Source Software (OSS) projects in the OpenStack community (i.e., Nova and Neutron). We manually checked 21,274 code review comments retrieved by keyword search and random selection, and identified 502 code review comments (from 472 discussion threads) that discuss erosion. Our findings show that (1) the proportion of erosion symptoms is rather low, yet notable in code reviews and the most frequently identified erosion symptoms are architectural violation, duplicate functionality, and cyclic dependency; (2) the declining trend of the identified erosion symptoms in the two OSS projects indicates that the architecture tends to stabilize over time; and (3) most code reviews that identify erosion symptoms have a positive impact on removing erosion symptoms, but a few symptoms still remain and are ignored by developers. The results suggest that (1) code review provides a practical way to reduce erosion symptoms; and (2) analyzing the trend of erosion symptoms can help get an insight about the erosion status of software systems, and subsequently avoid the potential risk of architecture erosion. © 2022 IEEE.</t>
  </si>
  <si>
    <t>AlOmar EA,Aljedaani W,Tamjeed M,Mkaouer MW,El-Glaly YN</t>
  </si>
  <si>
    <t>Finding the needle in a haystack: On the automatic identification of accessibility user reviews</t>
  </si>
  <si>
    <t>https://www.scopus.com/inward/record.uri?eid=2-s2.0-85106705949&amp;doi=10.1145%2f3411764.3445281&amp;partnerID=40&amp;md5=b0e7d32419277366862b05c59eabf106;http://dx.doi.org/10.1145/3411764.3445281</t>
  </si>
  <si>
    <t>10.1145/3411764.3445281</t>
  </si>
  <si>
    <t>In recent years, mobile accessibility has become an important trend with the goal of allowing all users the possibility of using any app without many limitations. User reviews include insights that are useful for app evolution. However, with the increase in the amount of received reviews, manually analyzing them is tedious and timeconsuming, especially when searching for accessibility reviews. The goal of this paper is to support the automated identification of accessibility in user reviews, to help technology professionals in prioritizing their handling, and thus, creating more inclusive apps. Particularly, we design a model that takes as input accessibility user reviews, learns their keyword-based features, in order to make a binary decision, for a given review, on whether it is about accessibility or not. The model is evaluated using a total of 5,326 mobile app reviews. The findings show that (1) our model can accurately identify accessibility reviews, outperforming two baselines, namely keyword-based detector and a random classifier; (2) our model achieves an accuracy of 85% with relatively small training dataset; however, the accuracy improves as we increase the size of the training dataset. © 2021 ACM.</t>
  </si>
  <si>
    <t>Cited by: 16; All Open Access, Green Open Access</t>
  </si>
  <si>
    <t>Reine De Reanzi S,Ranjit Jeba Thangaiah P</t>
  </si>
  <si>
    <t>A survey on software test automation return on investment, in organizations predominantly from Bengaluru, India</t>
  </si>
  <si>
    <t>International Journal of Engineering Business Management</t>
  </si>
  <si>
    <t>SAGE Publications Inc.</t>
  </si>
  <si>
    <t>1847-9790</t>
  </si>
  <si>
    <t>https://www.scopus.com/inward/record.uri?eid=2-s2.0-85121707446&amp;doi=10.1177%2f18479790211062044&amp;partnerID=40&amp;md5=b785de8c083927f7e9836909f1e58fd5;http://dx.doi.org/10.1177/18479790211062044</t>
  </si>
  <si>
    <t>10.1177/18479790211062044</t>
  </si>
  <si>
    <t>Software industry has adopted automated testing widely. The most common method adopted is graphical user interface test automation for the functional scenarios to reduce manual testing and increase the repeatability. Reducing execution time and redundancy to achieve quality “go/no go decisions” provides rational for the executive management to allocate funds to adopt automation and invest in the setup including people, process, and tools to achieve faster time to market. There are a variety of practices engaged by testers, like frameworks, tools, methods, procedures, models, and technologies to achieve automation. Nonetheless, the actual effectiveness in terms of return on investment (ROI) is not known, though there are various formulas to calculate ROI of test automation. The factors that determine the ROI are maturity of test automation, purpose, or intent, picking right tests for automation, knowledge of the tester to derive test coverage, domain expertise, defining right metrics like defects found by automation runs, cost versus reduction of time, labor versus quality of scripts, repeatability, and results. These factors form the base of the questions designed for the survey. The paper presents a survey and analysis to understand the ROI of test automation from industry test professionals from both product and services organizations. © The Author(s) 2021.</t>
  </si>
  <si>
    <t>Husom EJ,Tverdal S,Goknil A,Sen S</t>
  </si>
  <si>
    <t>UDAVA: An Unsupervised Learning Pipeline for Sensor Data Validation in Manufacturing</t>
  </si>
  <si>
    <t>159 – 169</t>
  </si>
  <si>
    <t>https://www.scopus.com/inward/record.uri?eid=2-s2.0-85133424746&amp;doi=10.1145%2f3522664.3528603&amp;partnerID=40&amp;md5=58190cd0bd430f7525b822fd40c4f058;http://dx.doi.org/10.1145/3522664.3528603</t>
  </si>
  <si>
    <t>10.1145/3522664.3528603</t>
  </si>
  <si>
    <t>Manufacturing has enabled the mechanized mass production of the same (or similar) products by replacing craftsmen with assembly lines of machines. The quality of each product in an assembly line greatly hinges on continual observation and error compensation during machining using sensors that measure quantities such as position and torque of a cutting tool and vibrations due to possible imperfections in the cutting tool and raw material. Patterns observed in sensor data from a (near-)optimal production cycle should ideally recur in subsequent production cycles with minimal deviation. Manually labeling and comparing such patterns is an insurmountable task due to the massive amount of streaming data that can be generated from a production process. We present UDAVA, an unsupervised machine learning pipeline that automatically discovers process behavior patterns in sensor data for a reference production cycle. UDAVA performs clustering of reduced dimensionality summary statistics of raw sensor data to enable high-speed clustering of dense time-series data. It deploys the model as a service to verify batch data from subsequent production cycles to detect recurring behavior patterns and quantify deviation from the reference behavior. We have evaluated UDAVA from an AI Engineering perspective using two industrial case studies. © 2022 ACM.</t>
  </si>
  <si>
    <t>Zhu K,Yin M,Li Y</t>
  </si>
  <si>
    <t>Detecting and Classifying Self-Admitted of Technical Debt with CNN-BiLSTM</t>
  </si>
  <si>
    <t>IOP Publishing Ltd</t>
  </si>
  <si>
    <t>1742-6588</t>
  </si>
  <si>
    <t>https://www.scopus.com/inward/record.uri?eid=2-s2.0-85109370861&amp;doi=10.1088%2f1742-6596%2f1955%2f1%2f012102&amp;partnerID=40&amp;md5=9fc23f8475fd6669354976ce553fb5c6;http://dx.doi.org/10.1088/1742-6596/1955/1/012102</t>
  </si>
  <si>
    <t>10.1088/1742-6596/1955/1/012102</t>
  </si>
  <si>
    <t>Technical debt expresses the use of non-optimal solutions for short-term gains. Self-admitted technical debt is a technical debt that is deliberately introduced and recognized by developers in source code comments, including design debt, requirement debt, and defect debt, etc. Currently, many methods are proposed to detect SATD. However, these methods are limited to the identification of SATD or non-SATD. In this paper, we propose a CNN-BiLSTM method to detect and classify SATD. Through our cross-project experiments on 10 projects, it is shown that our method can not only effectively detect SATD, but also classify design debt, requirement debt, and defect debt in SATD. © Published under licence by IOP Publishing Ltd.</t>
  </si>
  <si>
    <t>Kannan J,Barnett S,Cruz L,Simmons A,Agarwal A</t>
  </si>
  <si>
    <t>MLSmellHound: A Context-Aware Code Analysis Tool</t>
  </si>
  <si>
    <t>66 – 70</t>
  </si>
  <si>
    <t>https://www.scopus.com/inward/record.uri?eid=2-s2.0-85127845832&amp;doi=10.1109%2fICSE-NIER55298.2022.9793510&amp;partnerID=40&amp;md5=871da14d743a8a41f434e3db7386dada;http://dx.doi.org/10.1109/ICSE-NIER55298.2022.9793510</t>
  </si>
  <si>
    <t>10.1109/ICSE-NIER55298.2022.9793510</t>
  </si>
  <si>
    <t>Meeting the rise of industry demand to incorporate machine learning (ML) components into software systems requires interdisciplinary teams contributing to a shared code base. To maintain consistency, reduce defects and ensure maintainability, developers use code analysis tools to aid them in identifying defects and maintaining standards. With the inclusion of machine learning, tools must account for the cultural differences within the teams which manifests as multiple programming languages, and conflicting definitions and objectives. Existing tools fail to identify these cultural differences and are geared towards software engineering which reduces their adoption in ML projects. In our approach we attempt to resolve this problem by exploring the use of context which includes i) purpose of the source code, ii) technical domain, iii) problem domain, iv) team norms, v) operational environment, and vi) development lifecycle stage to provide contextualised error reporting for code analysis. To demonstrate our approach, we adapt Pylint as an example and apply a set of contextual transformations to the linting results based on the domain of individual project files under analysis. This allows for contextualised and meaningful error reporting for the end user. © 2022 IEEE.</t>
  </si>
  <si>
    <t>Christoforou A,Andreou AS,Garriga M,Baresi L</t>
  </si>
  <si>
    <t>Adopting microservice architecture: A decision support model based on genetically evolved multi-layer FCM</t>
  </si>
  <si>
    <t>Applied Soft Computing</t>
  </si>
  <si>
    <t>1568-4946</t>
  </si>
  <si>
    <t>https://www.scopus.com/inward/record.uri?eid=2-s2.0-85120074268&amp;doi=10.1016%2fj.asoc.2021.108066&amp;partnerID=40&amp;md5=f763137e4a225eda091073e6034c1beb;http://dx.doi.org/10.1016/j.asoc.2021.108066</t>
  </si>
  <si>
    <t>10.1016/j.asoc.2021.108066</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</si>
  <si>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</si>
  <si>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Galli T,Chiclana F,Siewe F</t>
  </si>
  <si>
    <t>Genetic algorithm-based fuzzy inference system for describing execution tracing quality</t>
  </si>
  <si>
    <t>https://www.scopus.com/inward/record.uri?eid=2-s2.0-85119142384&amp;doi=10.3390%2fmath9212822&amp;partnerID=40&amp;md5=76e2181e5894eda78f3d58276e25a967;http://dx.doi.org/10.3390/math9212822</t>
  </si>
  <si>
    <t>10.3390/math9212822</t>
  </si>
  <si>
    <t>Execution tracing is a tool used in the course of software development and software maintenance to identify the internal routes of execution and state changes while the software operates. Its quality has a high influence on the duration of the analysis required to locate software faults. Nevertheless, execution tracing quality has not been described by a quality model, which is an impediment while measuring software product quality. In addition, such a model needs to consider uncertainty, as the underlying factors involve human analysis and assessment. The goal of this study is to address both issues and to fill the gap by defining a quality model for execution tracing. The data collection was conducted on a defined study population with the inclusion of software professionals to consider their accumulated experiences; moreover, the data were processed by genetic algorithms to identify the linguistic rules of a fuzzy inference system. The linguistic rules constitute a human-interpretable rule set that offers further insights into the problem domain. The study found that the quality properties accuracy, design and implementation have the strongest impact on the quality of execution tracing, while the property legibility is necessary but not completely inevitable. Furthermore, the quality property security shows adverse effects on the quality of execution tracing, but its presence is required to some extent to avoid leaking information and to satisfy legal expectations. The created model is able to describe execution tracing quality appropriately. In future work, the researchers plan to link the constructed quality model to overall software product quality frameworks to consider execution tracing quality with regard to software product quality as a whole. In addition, the simplification of the mathematically complex model is also planned to ensure an easy-to-tailor approach to specific application domains. © 2021 by the authors. Licensee MDPI, Basel, Switzerland.</t>
  </si>
  <si>
    <t>Mo R,Zhao Y,Feng Q,Li Z</t>
  </si>
  <si>
    <t>The existence and co-modifications of code clones within or across microservices</t>
  </si>
  <si>
    <t>https://www.scopus.com/inward/record.uri?eid=2-s2.0-85117941875&amp;doi=10.1145%2f3475716.3475784&amp;partnerID=40&amp;md5=c3b61f80b0379b628da92c73b6136b0e;http://dx.doi.org/10.1145/3475716.3475784</t>
  </si>
  <si>
    <t>10.1145/3475716.3475784</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</si>
  <si>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</si>
  <si>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Sharma T,Efstathiou V,Louridas P,Spinellis D</t>
  </si>
  <si>
    <t>Code smell detection by deep direct-learning and transfer-learning</t>
  </si>
  <si>
    <t>https://www.scopus.com/inward/record.uri?eid=2-s2.0-85102119719&amp;doi=10.1016%2fj.jss.2021.110936&amp;partnerID=40&amp;md5=802a1c364cae9feb102101198284bab7;http://dx.doi.org/10.1016/j.jss.2021.110936</t>
  </si>
  <si>
    <t>10.1016/j.jss.2021.110936</t>
  </si>
  <si>
    <t>Context: An excessive number of code smells make a software system hard to evolve and maintain. Machine learning methods, in addition to metric-based and heuristic-based methods, have been recently applied to detect code smells; however, current methods are considered far from mature. Objective: First, explore the feasibility of applying deep learning models to detect smells without extensive feature engineering. Second, investigate the possibility of applying transfer-learning in the context of detecting code smells. Methods: We train smell detection models based on Convolution Neural Networks and Recurrent Neural Networks as their principal hidden layers along with autoencoder models. For the first objective, we perform training and evaluation on C# samples, whereas for the second objective, we train the models from C# code and evaluate the models over Java code samples and vice-versa. Results: We find it feasible to detect smells using deep learning methods though the models’ performance is smell-specific. Our experiments show that transfer-learning is definitely feasible for implementation smells with performance comparable to that of direct-learning. This work opens up a new paradigm to detect code smells by transfer-learning especially for the programming languages where the comprehensive code smell detection tools are not available. © 2021 Elsevier Inc.</t>
  </si>
  <si>
    <t>Chakroborti D,Schneider KA,Roy CK</t>
  </si>
  <si>
    <t>Backports: Change Types, Challenges and Strategies</t>
  </si>
  <si>
    <t>636 – 647</t>
  </si>
  <si>
    <t>https://www.scopus.com/inward/record.uri?eid=2-s2.0-85133199215&amp;doi=10.1145%2f3524610.3527920&amp;partnerID=40&amp;md5=84721a129c81e53aaef1e0fec395a65e;http://dx.doi.org/10.1145/3524610.3527920</t>
  </si>
  <si>
    <t>10.1145/3524610.3527920</t>
  </si>
  <si>
    <t>Source code repositories allow developers to manage multiple versions (or branches) of a software system. Pull-requests are used to modify a branch, and backporting is a regular activity used to port changes from a current development branch to other versions. In open-source software, backports are common and often need to be adapted by hand, which motivates us to explore backports and backporting challenges and strategies. In our exploration of 68,424 backports from 10 GitHub projects, we found that bug, test, document, and feature changes are commonly backported. We iden-tified a number of backporting challenges, including that backports were inconsistently linked to their original pull-request (49%), that backports had incompatible code (13%), that backports failed to be accepted (10%), and that there were backporting delays (16 days to create, 5 days to merge). We identified some general strategies for addressing backporting issues. We also noted that backporting strategies depend on the project type and that further investigation is needed to determine their suitability. Furthermore, we created the first-ever backports dataset that can be used by other researchers and practitioners for investigating backports and backporting. © 2022 ACM.</t>
  </si>
  <si>
    <t>Mumtaz M,Ahmad N,Usman Ashraf M,Alghamdi AM,Bahaddad AA,Almarhabi KA</t>
  </si>
  <si>
    <t>Iteration Causes, Impact, and Timing in Software Development Lifecycle: An SLR</t>
  </si>
  <si>
    <t>65355 – 65375</t>
  </si>
  <si>
    <t>https://www.scopus.com/inward/record.uri?eid=2-s2.0-85132727772&amp;doi=10.1109%2fACCESS.2022.3182703&amp;partnerID=40&amp;md5=4c206ee666c5630048f6865e57257856;http://dx.doi.org/10.1109/ACCESS.2022.3182703</t>
  </si>
  <si>
    <t>10.1109/ACCESS.2022.3182703</t>
  </si>
  <si>
    <t>Context: Iteration - performing an activity once it has already been done - is unavoidable and omnipresent during software development. Management of iteration is a challenging task due to the lack of detailed analysis and use of different terms for the iteration at different places in software engineering. Objective: In order to manage iteration in a better way during software development processes, we investigate different iterative situations, the causes, the stages at which it can occur during the development, and its impacts. Method: We use the systematic literature review (SLR) method to search using six bibliographic databases. The SLR includes 153 primary studies published from 2007 to February 2017. Results: We identify twenty-two leading causes, five stages, and positive and negative impacts of iteration. Then, we develop a lucid taxonomy of iteration perspectives based on the causes and timing at which it occurs during the software development lifecycle. Conclusions: The frequently reported causes of iteration are defects, code smell, and conflicts, whereas the least referenced causes are poor management and different methods followed by teams. The most cited phase at which iteration occurs during the software development is maintenance. The most cited positive consequence of iteration is quality improvement, whereas the negative impacts of iteration are increasing time, effort, and cost. Our study provides a framework to understand the nature of iteration, what sources can lead to which iterative perspective, a particular iterative situation can have what kind of impacts on project milestones, and also provide research directions. © 2013 IEEE.</t>
  </si>
  <si>
    <t>Khan HU,Malik MZ,Alomari MK,Khan S,Al-Maadid AA,Hassan MK,Khan K</t>
  </si>
  <si>
    <t>Transforming the Capabilities of Artificial Intelligence in GCC Financial Sector: A Systematic Literature Review</t>
  </si>
  <si>
    <t>Wireless Communications and Mobile Computing</t>
  </si>
  <si>
    <t>1530-8669</t>
  </si>
  <si>
    <t>https://www.scopus.com/inward/record.uri?eid=2-s2.0-85128683583&amp;doi=10.1155%2f2022%2f8725767&amp;partnerID=40&amp;md5=28a45450b886e37b99a760f7549e9e77;http://dx.doi.org/10.1155/2022/8725767</t>
  </si>
  <si>
    <t>10.1155/2022/8725767</t>
  </si>
  <si>
    <t>Identity and access management is a business process framework that makes it easier to maintain genuine user identities and regulate access to sensitive assets. The word access controlrefers to an organization's policy for authorizing access procedures, the mechanisms that implement and enforce the policy, and the model that the policy and procedures are built on. Adopting new technology may give rise to specific cyber threats that decrease or degrade business operations. The paper has designed to discuss the artificial intelligence-based access control system as a necessary component of governing and safeguarding the financial sector's information assets in the Gulf Cooperation Council (GCC) region. Due to the dynamic and complicated nature of security rules for access control, organizations that employ web-enabled remote access in conjunction with applications access deployed over several networks face various obstacles, including increased operational complexity and monitoring concerns. Organizations spend a vast budget on securing their business. As the industry trend has shifted to intelligent internet-based companies on the same side, the cyber threat has become a challenge for the researcher to find the solution. A systematic research is conducted to fill the gaps in the existing literature by picking the most relevant research papers (126) from the four most reputable online repositories based on the four research questions specified. These research topics aim to evaluate the current situation from many perspectives and provide new avenues for future study to be studied soon to maintain high security and authenticity inside financial sectors of the GCC's countries. © 2022 Habib Ullah Khan et al.</t>
  </si>
  <si>
    <t>Dey S,Lee SW</t>
  </si>
  <si>
    <t>Multilayered review of safety approaches for machine learning-based systems in the days of AI</t>
  </si>
  <si>
    <t>https://www.scopus.com/inward/record.uri?eid=2-s2.0-85102578152&amp;doi=10.1016%2fj.jss.2021.110941&amp;partnerID=40&amp;md5=dcbc0dc703f07e37f7f5fecc315e151d;http://dx.doi.org/10.1016/j.jss.2021.110941</t>
  </si>
  <si>
    <t>10.1016/j.jss.2021.110941</t>
  </si>
  <si>
    <t>The unprecedented advancement of artificial intelligence (AI) in recent years has altered our perspectives on software engineering and systems engineering as a whole. Nowadays, software-intensive intelligent systems rely more on a learning model than thousands of lines of codes. Such alteration has led to new research challenges in the engineering process that can ensure the safe and beneficial behavior of AI systems. This paper presents a literature survey of the significant efforts made in the last fifteen years to foster safety in complex intelligent systems. This survey covers relevant aspects of AI safety research including safety requirements engineering, safety-driven design at both system and machine learning (ML) component level, validation and verification from the perspective of software and system engineers. We categorize these research efforts based on a three-layered conceptual framework for developing and maintaining AI systems. We also perform a gap analysis to emphasize the open research challenges in ensuring safe AI. Finally, we conclude the paper by providing future research directions and a road map for AI safety. © 2021 Elsevier Inc.</t>
  </si>
  <si>
    <t>Albuquerque D,Guimaraes E,Tonin G,Perkusich M,Almeida H,Perkusich A</t>
  </si>
  <si>
    <t>Comprehending the Use of Intelligent Techniques to Support Technical Debt Management</t>
  </si>
  <si>
    <t>21 – 30</t>
  </si>
  <si>
    <t>https://www.scopus.com/inward/record.uri?eid=2-s2.0-85134350727&amp;doi=10.1145%2f3524843.3528097&amp;partnerID=40&amp;md5=86e75b074cd4cf95c5ea49d4efd8310a;http://dx.doi.org/10.1145/3524843.3528097</t>
  </si>
  <si>
    <t>10.1145/3524843.3528097</t>
  </si>
  <si>
    <t>Technical Debt (TD) refers to the consequences of taking shortcuts when developing software. Technical Debt Management (TDM) becomes complex since it relies on a decision process based on multiple and heterogeneous data, which are not straightforward to be synthesized. In this context, there is a promising opportunity to use Intelligent Techniques to support TDM activities since these techniques explore data for knowledge discovery, reasoning, learning, or supporting decision-making. Although these techniques can be used for improving TDM activities, there is no empirical study exploring this research area. This study aims to identify and analyze solutions based on Intelligent Techniques employed to sup-port TDM activities. A Systematic Mapping Study was performed, covering publications between 2010 and 2020. From 2276 extracted studies, we selected 111 unique studies. We found a positive trend in applying Intelligent Techniques to support TDM activities, being Machine Learning, Reasoning Under Uncertainty, and Natu-ral Language Processing the most recurrent ones. Identification, measurement, and monitoring were the more recurrent TDM ac-tivities, whereas Design, Code, and Architectural were the most frequently investigated TD types. Although the research area is up-and-coming, it is still in its infancy, and this study provides a baseline for future research. © 2022 ACM.</t>
  </si>
  <si>
    <t>Venumuddala VR,Kamath R</t>
  </si>
  <si>
    <t>Work Systems in the Indian Information Technology (IT) Industry Delivering Artificial Intelligence (AI) Solutions and the Challenges of Work from Home</t>
  </si>
  <si>
    <t>Information Systems Frontiers</t>
  </si>
  <si>
    <t>1387-3326</t>
  </si>
  <si>
    <t>https://www.scopus.com/inward/record.uri?eid=2-s2.0-85126020125&amp;doi=10.1007%2fs10796-022-10259-4&amp;partnerID=40&amp;md5=02d7f58fed7b812eb6ee8d66637e9358;http://dx.doi.org/10.1007/s10796-022-10259-4</t>
  </si>
  <si>
    <t>10.1007/s10796-022-10259-4</t>
  </si>
  <si>
    <t>Our study is based on a workplace ethnography conducted between Jan-May 2020 in an AI research lab of an Indian service-based IT organization, whose operations shifted from co-located work to work from home (WFH) owing to the recent pandemic. The field notes of the ethnographer, working as a full-time intern in a running AI project within this lab, is the basis for the qualitative data for this study. We discuss the socio-technical aspects and the specific challenges of distributed team-working due to the WFH norms facing such emerging research units, which are rapidly diffusing across the IT industry in the offshoring context, particularly in India. We rely on work system theory as a map to bring out key findings from our ethnographic observations. The findings point to the importance of having workflows compatible with the specific work roles in such emerging work systems – particularly for the beginner roles in the AI space. Our study contributes to the IS literature by depicting the challenges of distributed teams in a relatively novel setting emerging in offshoring contexts like the Indian IT sector, and suggests implications for managers handling AI projects and tackling employee-focused Human Resource practices in such settings. © 2022, The Author(s), under exclusive licence to Springer Science+Business Media, LLC, part of Springer Nature.</t>
  </si>
  <si>
    <t>Zeydan E,Mangues-Bafalluy J</t>
  </si>
  <si>
    <t>Recent Advances in Data Engineering for Networking</t>
  </si>
  <si>
    <t>34449 – 34496</t>
  </si>
  <si>
    <t>https://www.scopus.com/inward/record.uri?eid=2-s2.0-85127505809&amp;doi=10.1109%2fACCESS.2022.3162863&amp;partnerID=40&amp;md5=0728d4f1754264db03e8492a6dee1ef2;http://dx.doi.org/10.1109/ACCESS.2022.3162863</t>
  </si>
  <si>
    <t>10.1109/ACCESS.2022.3162863</t>
  </si>
  <si>
    <t>This tutorial paper examines recent advances in data engineering, focusing on aspects of network management and orchestration. We provide a comprehensive analysis of standardization efforts as well as platform development activities related to data engineering driven network design. We then focus on the integration aspects of the data engineering ecosystem and telecommunication networks. The results of our tutorial investigation show that despite various efforts towards standardization and network management and orchestration platforms, there is still a significant gap in applying recent developments in the evolving data engineering world to the telecommunication domain. New advanced functionalities in data engineering as well as clear separations between the building blocks of data engineering pipelines within the proposed standardized architectures have been overlooked or not explored in detail by the standardization or platform development bodies in the telecommunication domain. Therefore, at the end of the paper, we discuss these gaps and research challenges in the context of future development processes for data engineering-driven network design and applications of data engineering concepts in telecommunication networks. We also propose several recommendations for early adoption of these technologies and frameworks in telecommunication infrastructures and platforms. © 2013 IEEE.</t>
  </si>
  <si>
    <t>Canedo A,Goyal P,Huang D,Pandey A,Quiros G</t>
  </si>
  <si>
    <t>ArduCode: Predictive Framework for Automation Engineering</t>
  </si>
  <si>
    <t>IEEE Transactions on Automation Science and Engineering</t>
  </si>
  <si>
    <t>1417 – 1428</t>
  </si>
  <si>
    <t>1545-5955</t>
  </si>
  <si>
    <t>https://www.scopus.com/inward/record.uri?eid=2-s2.0-85112723049&amp;doi=10.1109%2fTASE.2020.3008055&amp;partnerID=40&amp;md5=11892a6eb42133f41293e0499f4be9bf;http://dx.doi.org/10.1109/TASE.2020.3008055</t>
  </si>
  <si>
    <t>10.1109/TASE.2020.3008055</t>
  </si>
  <si>
    <t>Automation engineering is the task of integrating, via software, various sensors, actuators, and controls to automate a real-world process. Today, automation engineering is supported by a suite of software tools, including integrated development environments (IDEs), hardware configurators, compilers, and runtimes. These tools focus on the automation code itself but leave the automation engineer unassisted in their decision-making. This can lead to longer software development cycles due to the imperfections in the decision-making, which arise when integrating software and hardware. To address this problem, this article addresses multiple challenges often faced in automation engineering and proposes machine learning-based solutions to assist engineers tackle these challenges. We show that machine learning can be leveraged to assist the automation engineer in classifying automation code, finding similar code snippets, and reasoning about the hardware selection of sensors and actuators. We validate our architecture on two real data sets consisting of 2927 Arduino projects and 683 programmable logic controller (PLC) projects. Our results show that paragraph embedding techniques can be utilized to classify automation using code snippets with precision close to human annotation, giving an F_1 -score of 72%. Furthermore, we show that such embedding techniques can help us find similar code snippets with high accuracy. Finally, we use autoencoder models for hardware recommendation and achieve a p\text@3 of 0.79 and p\text@5 of 0.95. We also present the implementation of ArduCode in a proof-of-concept user interface integrated into an existing automation engineering system platform. Note to Practitioners - This article is motivated by the use of artificial intelligence methods to improve the efficiency and quality of the automation engineering software development process. Our goal is to develop and integrate intelligent assistants in existing automation engineering development tools to minimally disrupt existing workflows. Practitioners should be able to adapt our framework to other tools and data. Our contributions address important practical problems: 1) we address the lack of realistic data sets in automation engineering with two publicly available data sources; 2) we make the reference implementation of our algorithms publicly available on GitHub for other practitioners to have a starting point for future research; and 3) we demonstrate the integration of our framework as an add-on to an existing automation engineering toolchain. © 2004-2012 IEEE.</t>
  </si>
  <si>
    <t>Borg M,Bengtsson J,Osterling H,Hagelborn A,Gagner I,Tomaszewski P</t>
  </si>
  <si>
    <t>Quality Assurance of Generative Dialog Models in an Evolving Conversational Agent Used for Swedish Language Practice</t>
  </si>
  <si>
    <t>22 – 32</t>
  </si>
  <si>
    <t>https://www.scopus.com/inward/record.uri?eid=2-s2.0-85133467455&amp;doi=10.1145%2f3522664.3528592&amp;partnerID=40&amp;md5=c96498e5deeae9915eb8823bccdbb00d;http://dx.doi.org/10.1145/3522664.3528592</t>
  </si>
  <si>
    <t>10.1145/3522664.3528592</t>
  </si>
  <si>
    <t>Due to the migration megatrend, efficient and effective second-language acquisition is vital. One proposed solution involves AI-enabled conversational agents for person-centered interactive language practice. We present results from ongoing action research targeting quality assurance of proprietary generative dialog models trained for virtual job interviews. The action team elicited a set of 38 requirements for which we designed corresponding automated test cases for 15 of particular interest to the evolving solution. Our results show that six of the test case designs can detect meaningful differences between candidate models. While quality assurance of natural language processing applications is complex, we provide initial steps toward an automated framework for machine learning model selection in the context of an evolving conversational agent. Future work will focus on model selection in an MLOps setting. © 2022 ACM.</t>
  </si>
  <si>
    <t>Fontana de Nardin I,da Rosa Righi R,Lima Lopes TR,André da Costa C,Yeom HY,Köstler H</t>
  </si>
  <si>
    <t>On revisiting energy and performance in microservices applications: A cloud elasticity-driven approach</t>
  </si>
  <si>
    <t>Parallel Computing</t>
  </si>
  <si>
    <t>0167-8191</t>
  </si>
  <si>
    <t>https://www.scopus.com/inward/record.uri?eid=2-s2.0-85117368062&amp;doi=10.1016%2fj.parco.2021.102858&amp;partnerID=40&amp;md5=cd2fc1322467a84cd684103e180284ac;http://dx.doi.org/10.1016/j.parco.2021.102858</t>
  </si>
  <si>
    <t>10.1016/j.parco.2021.102858</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</si>
  <si>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</si>
  <si>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Capilla R,Mikkonen T,Carrillo C,Fontana FA,Pigazzini I,Lenarduzzi V</t>
  </si>
  <si>
    <t>Impact of Opportunistic Reuse Practices to Technical Debt</t>
  </si>
  <si>
    <t>16 – 25</t>
  </si>
  <si>
    <t>https://www.scopus.com/inward/record.uri?eid=2-s2.0-85114827039&amp;doi=10.1109%2fTechDebt52882.2021.00011&amp;partnerID=40&amp;md5=934d9d466016810c9acf88a4b0612b8d;http://dx.doi.org/10.1109/TechDebt52882.2021.00011</t>
  </si>
  <si>
    <t>10.1109/TechDebt52882.2021.00011</t>
  </si>
  <si>
    <t>Technical debt (TD) has been recognized as an important quality problem for both software architecture and code. The evolution of TD techniques over the past years has led to a number of research and commercial tools. In addition, the increasing trend of opportunistic reuse (as opposed to systematic reuse), where developers reuse code assets in popular repositories, is changing the way components are selected and integrated into existing systems. However, reusing software opportunistically can lead to a loss of quality and induce TD, especially when the architecture is changed in the process. However, to the best of our knowledge, no studies have investigated the impact of opportunistic reuse in TD. In this paper, we carry out an exploratory study to investigate to what extent reusing components opportunistically negatively affects the quality of systems. We use one commercial and one research tool to analyze the TD ratios of three case systems, before and after opportunistically extending them with open-source software. © 2021 IEEE.</t>
  </si>
  <si>
    <t>Chen J,Xia X,Lo D,Grundy J,Yang X</t>
  </si>
  <si>
    <t>Maintenance-related concerns for post-deployed Ethereum smart contract development: issues, techniques, and future challenges</t>
  </si>
  <si>
    <t>https://www.scopus.com/inward/record.uri?eid=2-s2.0-85113474504&amp;doi=10.1007%2fs10664-021-10018-0&amp;partnerID=40&amp;md5=6de027a2a0fa35df19a60344cfcc598e;http://dx.doi.org/10.1007/s10664-021-10018-0</t>
  </si>
  <si>
    <t>10.1007/s10664-021-10018-0</t>
  </si>
  <si>
    <t>Software development is a very broad activity that captures the entire life cycle of a software, which includes designing, programming, maintenance and so on. In this study, we focus on the maintenance-related concerns of the post-deployment of smart contracts. Smart contracts are self-executed programs that run on a blockchain. They cannot be modified once deployed and hence they bring unique maintenance challenges compared to conventional software. According to the definition of ISO/IEC 14764, there are four kinds of software maintenance, i.e., corrective, adaptive, perfective, and preventive maintenance. This study aims to answer (i) What kinds of issues will smart contract developers encounter for corrective, adaptive, perfective, and preventive maintenance after they are deployed to the Ethereum? (ii) What are the current maintenance-related methods used for smart contracts? To obtain the answers to these research questions, we first conducted a systematic literature review to analyze 131 smart contract related research papers published from 2014 to 2020. Since the Ethereum ecosystem is fast-growing, some results from previous publications might be out-of-date and there may be a gap between academia and industry. To address this, we performed an online survey of smart contract developers on Github to validate our findings and received 165 useful responses. Based on the survey feedback and literature review, we present the first empirical study on smart contract maintenance-related concerns. Our study can help smart contract developers better maintain their smart contract-based projects, and we highlight some key future research directions to improve the Ethereum ecosystem. © 2021, The Author(s), under exclusive licence to Springer Science+Business Media, LLC, part of Springer Nature.</t>
  </si>
  <si>
    <t>Aversano L,Bernardi ML,Cimitile M,Iammarino M</t>
  </si>
  <si>
    <t>Technical Debt predictive model through Temporal Convolutional Network</t>
  </si>
  <si>
    <t>https://www.scopus.com/inward/record.uri?eid=2-s2.0-85116420916&amp;doi=10.1109%2fIJCNN52387.2021.9534423&amp;partnerID=40&amp;md5=7ca186b49cb61cfb0ead5d3f5c4bfbb5;http://dx.doi.org/10.1109/IJCNN52387.2021.9534423</t>
  </si>
  <si>
    <t>10.1109/IJCNN52387.2021.9534423</t>
  </si>
  <si>
    <t>Technical debt is a metaphor that refers to all the consequences of poorly written code and trade-offs in development. Early technical debt diagnosis is important for software developers because it allows planning for software maintenance and improvement activities, such as refactoring, to prevent system degradation. Several studies have been conducted in the literature on the identification of the technical debt and its consequences, thanks to useful tools for identifying the problem within the source code. On the other hand, this work aims to explore a deep learning approach to predict the rise of technical debt in software code by leveraging the knowledge of changing quality metrics. For validation of the approach, a large dataset was built, related to four known Java software projects, with the collection of numerous class-level code quality metrics. The results obtained show the effectiveness of the proposed approach in predicting the development of Technical Debt within the source code. We obtained an F1 score of 0.99 for two of the chosen software systems and greater than 0.91 for the remaining two. © 2021 IEEE.</t>
  </si>
  <si>
    <t>Alomar EA,Chouchen M,Mkaouer MW,Ouni A</t>
  </si>
  <si>
    <t>Code Review Practices for Refactoring Changes: An Empirical Study on OpenStack</t>
  </si>
  <si>
    <t>689 – 701</t>
  </si>
  <si>
    <t>https://www.scopus.com/inward/record.uri?eid=2-s2.0-85134017734&amp;doi=10.1145%2f3524842.3527932&amp;partnerID=40&amp;md5=d76520c15800fb0c50b62825238e040a;http://dx.doi.org/10.1145/3524842.3527932</t>
  </si>
  <si>
    <t>10.1145/3524842.3527932</t>
  </si>
  <si>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 © 2022 ACM.</t>
  </si>
  <si>
    <t>Zhu J,Long T,Memon A</t>
  </si>
  <si>
    <t>Automatically Authoring Regression Tests for Machine-Learning Based Systems</t>
  </si>
  <si>
    <t>374 – 383</t>
  </si>
  <si>
    <t>https://www.scopus.com/inward/record.uri?eid=2-s2.0-85115706103&amp;doi=10.1109%2fICSE-SEIP52600.2021.00049&amp;partnerID=40&amp;md5=1da4f8d366b90f2be0662d4fcc36661b;http://dx.doi.org/10.1109/ICSE-SEIP52600.2021.00049</t>
  </si>
  <si>
    <t>10.1109/ICSE-SEIP52600.2021.00049</t>
  </si>
  <si>
    <t>Two key design characteristics of machine learning (ML) systems-their ever-improving nature, and learning-based emergent functional behavior-create a moving target, posing new challenges for authoring/maintaining functional regression tests. We identify four specific challenges and address them by developing a new general methodology to automatically author and maintain tests. In particular, we use the volume of production data to periodically refresh our large corpus of test inputs and expected outputs; we use perturbation of the data to obtain coverage-adequate tests; and we use clustering to help identify patterns of failures that are indicative of software bugs. We demonstrate our methodology on an ML-based context-aware Speller. Our coverage-adequate, approx. 1 million regression test cases, automatically authored and maintained for Speller (1) are virtually maintenance free, (2) detect a higher number of Speller failures than previous manually-curated tests, (3) have better coverage of previously unknown functional boundaries of the ML component, and (4) lend themselves to automatic failure triaging by clustering and prioritizing subcategories of tests with over-represented failures. We identify several systematic failure patterns which were due to previously undetected bugs in the Speller, e.g., (1) when the user misses the first letter in a short word, and (2) when the user mistakenly inserts a character in the last token of an address; these have since been fixed. © 2021 IEEE.</t>
  </si>
  <si>
    <t>Wang X,Wang Y,Wan Y,Wang J,Zhou P,Li L,Wu H,Liu J</t>
  </si>
  <si>
    <t>CODE-MVP: Learning to Represent Source Code from Multiple Views with Contrastive Pre-Training</t>
  </si>
  <si>
    <t>1066 – 1077</t>
  </si>
  <si>
    <t>Association for Computational Linguistics (ACL)</t>
  </si>
  <si>
    <t>https://www.scopus.com/inward/record.uri?eid=2-s2.0-85135499146&amp;partnerID=40&amp;md5=ce9546da3091cf7f7fac3b2be289837c</t>
  </si>
  <si>
    <t>Recent years have witnessed increasing interest in code representation learning, which aims to represent the semantics of source code into distributed vectors. Currently, various works have been proposed to represent the complex semantics of source code from different views, including plain text, Abstract Syntax Tree (AST), and several kinds of code graphs (e.g., Control/Data Flow Graph). However, most of them only consider a single view of source code independently, ignoring the correspondences among different views. In this paper, we propose to integrate different views with the naturallanguage description of source code into a unified framework with Multi-View contrastive Pre-training, and name our model as CODEMVP. Specifically, we first extract multiple code views using compiler tools, and learn the complementary information among them under a contrastive learning framework. Inspired by the type checking in compilation, we also design a fine-grained type inference objective in the pre-training. Experiments on three downstream tasks over five datasets demonstrate the superiority of CODE-MVP when compared with several state-of-the-art baselines. For example, we achieve 2.4/2.3/1.1 gain in terms of MRR/MAP/Accuracy metrics on natural language code retrieval, code similarity, and code defect detection tasks, respectively. © Findings of the Association for Computational Linguistics: NAACL 2022 - Findings.</t>
  </si>
  <si>
    <t>Soliman M,Avgeriou P,Li Y</t>
  </si>
  <si>
    <t>Architectural design decisions that incur technical debt — An industrial case study</t>
  </si>
  <si>
    <t>https://www.scopus.com/inward/record.uri?eid=2-s2.0-85109165765&amp;doi=10.1016%2fj.infsof.2021.106669&amp;partnerID=40&amp;md5=001e083353bc73d6d036bf61af0c72f4;http://dx.doi.org/10.1016/j.infsof.2021.106669</t>
  </si>
  <si>
    <t>10.1016/j.infsof.2021.106669</t>
  </si>
  <si>
    <t>Context: During software development, some architectural design decisions incur technical debt, either deliberately or inadvertently. These have serious impact on the quality of a software system, and can cost significant time and effort to be changed. While current research efforts have explored general concepts of architectural design decisions and technical debt separately, debt-incurring architectural design decisions have not been specifically explored in practice. Objective: In this case study, we explore debt-incurring architectural design decisions (DADDs) in practice. Specifically, we explore the main types of DADDs, why and how they are incurred in a software system, and how practitioners deal with these types of design decisions. Method: We performed interviews and a focus group with practitioners working in embedded and enterprise software companies, discussing their concrete experience with such architectural design decisions. Results: We provide the following contributions: 1) A categorization for the types of DADDs, which extend a current ontology on architectural design decisions. 2) A process on how deliberate DADDs are made in practice. 3) A conceptual model which shows the relationships between the causes and triggers of inadvertent DADDs. 4) The main factors that influence the way of dealing with DADDs. Conclusion: The results can support the development of new approaches and tools for Architecture Technical Debt management from the perspective of Design Decisions. Moreover, they support future research to capture architecture knowledge related to DADDs. © 2021 The Authors</t>
  </si>
  <si>
    <t>Bécue A,Praça I,Gama J</t>
  </si>
  <si>
    <t>Artificial intelligence, cyber-threats and Industry 4.0: challenges and opportunities</t>
  </si>
  <si>
    <t>3849 – 3886</t>
  </si>
  <si>
    <t>https://www.scopus.com/inward/record.uri?eid=2-s2.0-85100941930&amp;doi=10.1007%2fs10462-020-09942-2&amp;partnerID=40&amp;md5=7830d08c29f6505be6357f6ef3a80856;http://dx.doi.org/10.1007/s10462-020-09942-2</t>
  </si>
  <si>
    <t>10.1007/s10462-020-09942-2</t>
  </si>
  <si>
    <t>This survey paper discusses opportunities and threats of using artificial intelligence (AI) technology in the manufacturing sector with consideration for offensive and defensive uses of such technology. It starts with an introduction of Industry 4.0 concept and an understanding of AI use in this context. Then provides elements of security principles and detection techniques applied to operational technology (OT) which forms the main attack surface of manufacturing systems. As some intrusion detection systems (IDS) already involve some AI-based techniques, we focus on existing machine-learning and data-mining based techniques in use for intrusion detection. This article presents the major strengths and weaknesses of the main techniques in use. We also discuss an assessment of their relevance for application to OT, from the manufacturer point of view. Another part of the paper introduces the essential drivers and principles of Industry 4.0, providing insights on the advent of AI in manufacturing systems as well as an understanding of the new set of challenges it implies. AI-based techniques for production monitoring, optimisation and control are proposed with insights on several application cases. The related technical, operational and security challenges are discussed and an understanding of the impact of such transition on current security practices is then provided in more details. The final part of the report further develops a vision of security challenges for Industry 4.0. It addresses aspects of orchestration of distributed detection techniques, introduces an approach to adversarial/robust AI development and concludes with human–machine behaviour monitoring requirements. © 2021, The Author(s), under exclusive licence to Springer Nature B.V. part of Springer Nature.</t>
  </si>
  <si>
    <t>Cited by: 37</t>
  </si>
  <si>
    <t>Peruma A,Simmons S,AlOmar EA,Newman CD,Mkaouer MW,Ouni A</t>
  </si>
  <si>
    <t>How do i refactor this? An empirical study on refactoring trends and topics in Stack Overflow</t>
  </si>
  <si>
    <t>https://www.scopus.com/inward/record.uri?eid=2-s2.0-85117733907&amp;doi=10.1007%2fs10664-021-10045-x&amp;partnerID=40&amp;md5=08aa5a74f13d392f5792c4911475ef97;http://dx.doi.org/10.1007/s10664-021-10045-x</t>
  </si>
  <si>
    <t>10.1007/s10664-021-10045-x</t>
  </si>
  <si>
    <t>An essential part of software maintenance and evolution, refactoring is performed by developers, regardless of technology or domain, to improve the internal quality of the system, and reduce its technical debt. However, choosing the appropriate refactoring strategy is not always straightforward, resulting in developers seeking assistance. Although research in refactoring is well-established, with several studies altering between the detection of refactoring opportunities and the recommendation of appropriate code changes, little is known about their adoption in practice. Analyzing the perception of developers is critical to understand better what developers consider to be problematic in their code and how they handle it. Additionally, there is a need for bridging the gap between refactoring, as research, and its adoption in practice, by extracting common refactoring intents that are more suitable for what developers face in reality. In this study, we analyze refactoring discussions on Stack Overflow through a series of quantitative and qualitative experiments. Our results show that Stack Overflow is utilized by a diverse set of developers for refactoring assistance for a variety of technologies. Our observations show five areas that developers typically require help with refactoring– Code Optimization, Tools and IDEs, Architecture and Design Patterns, Unit Testing, and Database. We envision our findings better bridge the support between traditional (or academic) aspects of refactoring and their real-world applicability, including better tool support. © 2021, The Author(s), under exclusive licence to Springer Science+Business Media, LLC, part of Springer Nature.</t>
  </si>
  <si>
    <t>Ghadhab L,Jenhani I,Mkaouer MW,Ben Messaoud M</t>
  </si>
  <si>
    <t>Augmenting commit classification by using fine-grained source code changes and a pre-trained deep neural language model</t>
  </si>
  <si>
    <t>https://www.scopus.com/inward/record.uri?eid=2-s2.0-85102442891&amp;doi=10.1016%2fj.infsof.2021.106566&amp;partnerID=40&amp;md5=e0dd5cce934cdfe03723ba84c01460a0;http://dx.doi.org/10.1016/j.infsof.2021.106566</t>
  </si>
  <si>
    <t>10.1016/j.infsof.2021.106566</t>
  </si>
  <si>
    <t>Context: Analyzing software maintenance activities is very helpful in ensuring cost-effective evolution and development activities. The categorization of commits into maintenance tasks supports practitioners in making decisions about resource allocation and managing technical debt. Objective: In this paper, we propose to use a pre-trained language neural model, namely BERT (Bidirectional Encoder Representations from Transformers) for the classification of commits into three categories of maintenance tasks — corrective, perfective and adaptive. The proposed commit classification approach will help the classifier better understand the context of each word in the commit message. Methods: We built a balanced dataset of 1793 labeled commits that we collected from publicly available datasets. We used several popular code change distillers to extract fine-grained code changes that we have incorporated into our dataset as additional features to BERT's word representation features. In our study, a deep neural network (DNN) classifier has been used as an additional layer to fine-tune the BERT model on the task of commit classification. Several models have been evaluated to come up with a deep analysis of the impact of code changes on the classification performance of each commit category. Results and conclusions: Experimental results have shown that the DNN model trained on BERT's word representations and Fixminer code changes (DNN@BERT+Fix_cc) provided the best performance and achieved 79.66% accuracy and a macro-average f1 score of 0.8. Comparison with the state-of-the-art model that combines keywords and code changes (RF@KW+CD_cc) has shown that our model achieved approximately 8% improvement in accuracy. Results have also shown that a DNN model using only BERT's word representation features achieved an improvement of 5% in accuracy compared to the RF@KW+CD_cc model. © 2021</t>
  </si>
  <si>
    <t>Wuttke J,Cottrell S,Gonzalez MA,Kaestner A,Markvardsen A,Rod TH,Rozyczko P,Vardanyan G</t>
  </si>
  <si>
    <t>Guidelines for collaborative development of sustainable data treatment software</t>
  </si>
  <si>
    <t>Journal of Neutron Research</t>
  </si>
  <si>
    <t>33 – 72</t>
  </si>
  <si>
    <t>1023-8166</t>
  </si>
  <si>
    <t>https://www.scopus.com/inward/record.uri?eid=2-s2.0-85127790091&amp;doi=10.3233%2fJNR-220002&amp;partnerID=40&amp;md5=b72e14aef3c2df2ce92e245ea0e589c4;http://dx.doi.org/10.3233/JNR-220002</t>
  </si>
  <si>
    <t>10.3233/JNR-220002</t>
  </si>
  <si>
    <t>Software development for data reduction and analysis at large research facilities is increasingly professionalized, and internationally coordinated. To foster software quality and sustainability, and to facilitate collaboration, representatives from software groups of European neutron and muon facilities have agreed on a set of guidelines for development practices, infrastructure, and functional and non-functional product properties. These guidelines have been derived from actual practices in software projects from the EU funded consortium ‘Science and Innovation with Neutrons in Europe in 2020' (SINE2020), and have been enriched through extensive literature review. Besides guiding the work of the professional software engineers in our computing groups, we hope to influence scientists who are willing to contribute their own data treatment software to our community. Moreover, this work may also provide inspiration to scientific software development beyond the neutron and muon field. © 2022 - IOS Press. All rights reserved.</t>
  </si>
  <si>
    <t>Tandon S,Kumar V,Singh VB</t>
  </si>
  <si>
    <t>An empirical analysis of code smells using CRITIC-TOPSIS method</t>
  </si>
  <si>
    <t>234 – 239</t>
  </si>
  <si>
    <t>https://www.scopus.com/inward/record.uri?eid=2-s2.0-85127609471&amp;doi=10.1109%2fConfluence52989.2022.9734202&amp;partnerID=40&amp;md5=d03f2e99f1499d8ba8307513fee10213;http://dx.doi.org/10.1109/Confluence52989.2022.9734202</t>
  </si>
  <si>
    <t>10.1109/Confluence52989.2022.9734202</t>
  </si>
  <si>
    <t>Code Smells indicate the defects in the programming which lead to depreciation in the quality of the software. These defects in the programming can be categorized as-architectural, design and implementation code smells. We conducted this study to analyze the source code of the sixteen versions of the open-source software: Apache Tomcat. Eleven metrices of the software were used to apply CRITIC-TOPSIS method. In this study metrices of architectural smells were considered to rank several versions of the Open-Source Software. © 2022 IEEE.</t>
  </si>
  <si>
    <t>Zheng W,Xun Y,Wu X,Deng Z,Chen X,Sui Y</t>
  </si>
  <si>
    <t>A Comparative Study of Class Rebalancing Methods for Security Bug Report Classification</t>
  </si>
  <si>
    <t>1658 – 1670</t>
  </si>
  <si>
    <t>https://www.scopus.com/inward/record.uri?eid=2-s2.0-85118546577&amp;doi=10.1109%2fTR.2021.3118026&amp;partnerID=40&amp;md5=2043476395f77f48777326e7f72bdf05;http://dx.doi.org/10.1109/TR.2021.3118026</t>
  </si>
  <si>
    <t>10.1109/TR.2021.3118026</t>
  </si>
  <si>
    <t>Identifying security bug reports (SBRs) accurately from a bug repository can reduce a software product's security risk. However, the class imbalance problem exists for SBR prediction since the number of SBRs is often limited, and this issue has not been thoroughly investigated in previous studies. In our study, we choose six real-world projects of different sizes with over 120 000 bug reports in total as our empirical subjects. We first analyze the impact of the class imbalance issue on SBR prediction and confirm its negative impact on prediction performance. Then we perform a comparative study of six state-of-the-art class rebalancing methods combined with five popular classification algorithms for SBR prediction. By comparing with the baseline method Farsec, using the class rebalancing methods can improve the performance in 78% of cases in the worst case. Moreover, the combination of the Rose and random forest classification algorithm can construct the model with the best performance, which increases the performance by 267% in the best case and 75% on average in terms of F1-score. Finally, we summarize eight main findings based on our empirical studies' results, which can provide guidelines for choosing appropriate class rebalancing methods and classifiers for SBR prediction in practice. © 1963-2012 IEEE.</t>
  </si>
  <si>
    <t>Cited by: 39</t>
  </si>
  <si>
    <t>Althar RR,Samanta D,Konar D,Bhattacharyya S</t>
  </si>
  <si>
    <t>Statistical modelling of software source code</t>
  </si>
  <si>
    <t>De Gruyter</t>
  </si>
  <si>
    <t>https://www.scopus.com/inward/record.uri?eid=2-s2.0-85142316239&amp;doi=10.1515%2f9783110703399&amp;partnerID=40&amp;md5=a1580858a1f07b858e4d2a9754471528;http://dx.doi.org/10.1515/9783110703399</t>
  </si>
  <si>
    <t>10.1515/9783110703399</t>
  </si>
  <si>
    <t>This book will focus on utilizing statistical modelling of the software source code, in order to resolve issues associated with the software development processes. Writing and maintaining software source code is a costly business; software developers need to constantly rely on large existing code bases. Statistical modelling identifies the patterns in software artifacts and utilize them for predicting the possible issues. • Statistic tool for the software engineer. © 2021 Walter de Gruyter GmbH, Berlin/Boston.</t>
  </si>
  <si>
    <t>1 – 342</t>
  </si>
  <si>
    <t>Ligthart A,Catal C,Tekinerdogan B</t>
  </si>
  <si>
    <t>Systematic reviews in sentiment analysis: a tertiary study</t>
  </si>
  <si>
    <t>4997 – 5053</t>
  </si>
  <si>
    <t>https://www.scopus.com/inward/record.uri?eid=2-s2.0-85114194059&amp;doi=10.1007%2fs10462-021-09973-3&amp;partnerID=40&amp;md5=49449a0bcf1838604f6936491dbf7dcf;http://dx.doi.org/10.1007/s10462-021-09973-3</t>
  </si>
  <si>
    <t>10.1007/s10462-021-09973-3</t>
  </si>
  <si>
    <t>With advanced digitalisation, we can observe a massive increase of user-generated content on the web that provides opinions of people on different subjects. Sentiment analysis is the computational study of analysing people's feelings and opinions for an entity. The field of sentiment analysis has been the topic of extensive research in the past decades. In this paper, we present the results of a tertiary study, which aims to investigate the current state of the research in this field by synthesizing the results of published secondary studies (i.e., systematic literature review and systematic mapping study) on sentiment analysis. This tertiary study follows the guidelines of systematic literature reviews (SLR) and covers only secondary studies. The outcome of this tertiary study provides a comprehensive overview of the key topics and the different approaches for a variety of tasks in sentiment analysis. Different features, algorithms, and datasets used in sentiment analysis models are mapped. Challenges and open problems are identified that can help to identify points that require research efforts in sentiment analysis. In addition to the tertiary study, we also identified recent 112 deep learning-based sentiment analysis papers and categorized them based on the applied deep learning algorithms. According to this analysis, LSTM and CNN algorithms are the most used deep learning algorithms for sentiment analysis. © 2021, The Author(s).</t>
  </si>
  <si>
    <t>Cited by: 46; All Open Access, Green Open Access, Hybrid Gold Open Access</t>
  </si>
  <si>
    <t>Barrak A,Eghan EE,Adams B,Khomh F</t>
  </si>
  <si>
    <t>Why do builds fail?—A conceptual replication study</t>
  </si>
  <si>
    <t>https://www.scopus.com/inward/record.uri?eid=2-s2.0-85103128877&amp;doi=10.1016%2fj.jss.2021.110939&amp;partnerID=40&amp;md5=6ed68dadf7b14600f001be29c403e444;http://dx.doi.org/10.1016/j.jss.2021.110939</t>
  </si>
  <si>
    <t>10.1016/j.jss.2021.110939</t>
  </si>
  <si>
    <t>Previous studies have investigated a wide range of factors potentially explaining software build breakages, focusing primarily on build-triggering code changes or previous CI outcomes. However, code quality factors such as the presence of code/test smells have not been yet evaluated in the context of CI, even though such factors have been linked to problems of comprehension and technical debt, and hence might introduce bugs and build breakages. This paper performs a conceptual replication study on 27,675 Travis CI builds of 15 GitHub projects, considering the features reported by Rausch et al. and Zolfagharinia et al., as well as those related to code/test smells. Using a multivariate model constructed from nine dimensions of features, results indicate a precision (recall) ranging between 58.3% and 79.0% (52.4% and 69.6%) in balanced project datasets, and between 2.5% and 37.5% (2.5% and 12.4%) in imbalanced project datasets. Models trained on our balanced project datasets were later used to perform cross-project prediction on the imbalanced projects, achieving an average improvement of 9.3% (16.2%) in precision (recall). Statistically, the results confirm that features from the build history, author, code complexity, and code/test smell dimensions are the most important predictors of build failures. © 2021 Elsevier Inc.</t>
  </si>
  <si>
    <t>Dilhara M,Ketkar A,Sannidhi N,Dig D</t>
  </si>
  <si>
    <t>Discovering Repetitive Code Changes in Python ML Systems</t>
  </si>
  <si>
    <t>736 – 748</t>
  </si>
  <si>
    <t>https://www.scopus.com/inward/record.uri?eid=2-s2.0-85126707731&amp;doi=10.1145%2f3510003.3510225&amp;partnerID=40&amp;md5=7973f41823746324aac641424afc9dda;http://dx.doi.org/10.1145/3510003.3510225</t>
  </si>
  <si>
    <t>10.1145/3510003.3510225</t>
  </si>
  <si>
    <t>Over the years, researchers capitalized on the repetitiveness of software changes to automate many software evolution tasks. Despite the extraordinary rise in popularity of Python-based ML systems, they do not benefit from these advances. Without knowing what are the repetitive changes that ML developers make, researchers, tool, and library designers miss opportunities for automation, and ML developers fail to learn and use best coding practices. To fill the knowledge gap and advance the science and tooling in ML software evolution, we conducted the first and most fine-grained study on code change patterns in a diverse corpus of 1000 top-rated ML systems comprising 58 million SLOC. To conduct this study we reuse, adapt, and improve upon the state-of-the-art repetitive change mining techniques. Our novel tool, R-CPATMINER, mines over 4M commits and constructs 350K fine-grained change graphs and detects 28K change patterns. Using thematic analysis, we identified 22 pattern groups and we reveal 4 major trends of how ML developers change their code. We surveyed 650 ML developers to further shed light on these patterns and their applications, and we received a 15% response rate. We present actionable, empirically-justified implications for four audiences: (i) researchers, (ii) tool builders, (iii) ML library vendors, and (iv) developers and educators. © 2022 ACM.</t>
  </si>
  <si>
    <t>Cited by: 5; All Open Access, Bronze Open Access</t>
  </si>
  <si>
    <t>Arafat Y,Sumbul S,Shamma H</t>
  </si>
  <si>
    <t>Categorizing Code Review Comments Using Machine Learning</t>
  </si>
  <si>
    <t>https://www.scopus.com/inward/record.uri?eid=2-s2.0-85119001557&amp;doi=10.1007%2f978-981-16-2102-4_18&amp;partnerID=40&amp;md5=e51eeb954228c26f5fba46011638644a;http://dx.doi.org/10.1007/978-981-16-2102-4_18</t>
  </si>
  <si>
    <t>10.1007/978-981-16-2102-4_18</t>
  </si>
  <si>
    <t>Code review turns into a progressively mainstream method to detect early defects in the codebase. These days experts are rushing towards peer-investigating the codebases written by any co-located team members or other authors from distributed or dispersed teams. Chipping away at a circulated or scattered team, reviewing a codebase is required to inspect the patches before consolidating. Code looking into can likewise be a structure of approving practical and non-useful necessities. In certain circumstances, analysts do not invest enough time to comment in an organized manner, which turns into a bottleneck to other developers for tackling the discoveries or recommendations remarked by the peer-reviewers. To make the review process more progressively successful and well-organized, productive remarks are compulsory. We have extricated 2185 human code review comments of five marketed projects by mining respective projects’ repositories. Six machine learning classifiers have been utilized to train our model. Stochastic Gradient Descent (SGD) vector machine accomplishes a higher accuracy of 63.89% among the others. This work will assist the specialists with building up organized and viable code review culture among worldwide programmers or software engineers by categorizing code review comments. © 2022, The Author(s), under exclusive license to Springer Nature Singapore Pte Ltd.</t>
  </si>
  <si>
    <t>Fujii TY,Ruggiero WV,do Amaral HL,Hayashi VT,Arakaki R,Khalil KA</t>
  </si>
  <si>
    <t>Challenges in applying Machine Learning Operations (MLOps) in energy consumption forecasting; [Desafios para Aplicação de MLOps na Previsão do Consumo Energético]</t>
  </si>
  <si>
    <t>455 – 462</t>
  </si>
  <si>
    <t>https://www.scopus.com/inward/record.uri?eid=2-s2.0-85115870987&amp;doi=10.1109%2fINDUSCON51756.2021.9529843&amp;partnerID=40&amp;md5=e4fac09ccf2456adaa5032fe72649e8d;http://dx.doi.org/10.1109/INDUSCON51756.2021.9529843</t>
  </si>
  <si>
    <t>10.1109/INDUSCON51756.2021.9529843</t>
  </si>
  <si>
    <t>Bhardwaj A,Zhou Z,Benson TA</t>
  </si>
  <si>
    <t>A Comprehensive Study of Bugs in Software Defined Networks</t>
  </si>
  <si>
    <t>101 – 115</t>
  </si>
  <si>
    <t>https://www.scopus.com/inward/record.uri?eid=2-s2.0-85114853759&amp;doi=10.1109%2fDSN48987.2021.00026&amp;partnerID=40&amp;md5=46781be6fc7a80d455ef9a358f835112;http://dx.doi.org/10.1109/DSN48987.2021.00026</t>
  </si>
  <si>
    <t>10.1109/DSN48987.2021.00026</t>
  </si>
  <si>
    <t>Software-defined networking (SDN) enables innovative and impressive solutions in the networking domain by decoupling the control plane from the data plane. In an SDN environment, the network control logic for load balancing, routing, and access control is written in software running on a decoupled control plane. As with any software development cycle, the SDN control plane is prone to bugs that impact the network's performance and availability. Yet, as a community, we lack holistic, in-depth studies of bugs within the SDN ecosystem. A bug taxonomy is one of the most promising ways to lay the foundations required for (1) evaluating and directing emerging research directions on fault detection and recovery, and (2) informing operational practices of network administrators. This paper takes the first step towards laying this foundation by providing a comprehensive study and analysis of over 500 'critical' bugs (including $\sim 150$ with manual analysis) in three of the most widely-used SDN controllers, i.e., FAUCET, ONOS, and CORD. We create a taxonomy of these SDN bugs, analyze their operational impact, and implications for the developers. We use our taxonomy to analyze the effectiveness and coverage of several prominent SDN fault tolerance and diagnosis techniques. This study is the first of its kind in scale and coverage to the best of our knowledge. © 2021 IEEE.</t>
  </si>
  <si>
    <t>Zhang H,Cruz L,Van Deursen A</t>
  </si>
  <si>
    <t>Code Smells for Machine Learning Applications</t>
  </si>
  <si>
    <t>217 – 228</t>
  </si>
  <si>
    <t>https://www.scopus.com/inward/record.uri?eid=2-s2.0-85133459974&amp;doi=10.1145%2f3522664.3528620&amp;partnerID=40&amp;md5=97b0c303caa510a842490a1ceaec5ad5;http://dx.doi.org/10.1145/3522664.3528620</t>
  </si>
  <si>
    <t>10.1145/3522664.3528620</t>
  </si>
  <si>
    <t>The popularity of machine learning has wildly expanded in recent years. Machine learning techniques have been heatedly studied in academia and applied in the industry to create business value. However, there is a lack of guidelines for code quality in machine learning applications. In particular, code smells have rarely been studied in this domain. Although machine learning code is usually integrated as a small part of an overarching system, it usually plays an important role in its core functionality. Hence ensuring code quality is quintessential to avoid issues in the long run. This paper proposes and identifies a list of 22 machine learning-specific code smells collected from various sources, including papers, grey literature, GitHub commits, and Stack Overflow posts. We pinpoint each smell with a description of its context, potential issues in the long run, and proposed solutions. In addition, we link them to their respective pipeline stage and the evidence from both academic and grey literature. The code smell catalog helps data scientists and developers produce and maintain high-quality machine learning application code. ACM Reference Format: Haiyin Zhang, Luís Cruz, and Arie van Deursen. 2022. Code Smells for Machine Learning Applications. In 1st Conference on AI Engineering - Software Engineering for AI (CAIN'22), May 16-24, 2022, Pittsburgh, PA, USA. ACM, New York, NY, USA, 12 pages. https://doi.org/10.1145/3522664.3528620 © 2022 ACM.</t>
  </si>
  <si>
    <t>Borg M,Bronson J,Christensson L,Olsson F,Lennartsson O,Sonnsjo E,Ebabi H,Karsberg M</t>
  </si>
  <si>
    <t>Exploring the Assessment List for Trustworthy AI in the Context of Advanced Driver-Assistance Systems</t>
  </si>
  <si>
    <t>5 – 12</t>
  </si>
  <si>
    <t>https://www.scopus.com/inward/record.uri?eid=2-s2.0-85113233819&amp;doi=10.1109%2fSEthics52569.2021.00009&amp;partnerID=40&amp;md5=381ee8f9de4f0758d6a3d1c57c6e76ff;http://dx.doi.org/10.1109/SEthics52569.2021.00009</t>
  </si>
  <si>
    <t>10.1109/SEthics52569.2021.00009</t>
  </si>
  <si>
    <t>Artificial Intelligence (AI) is increasingly used in critical applications. Thus, the need for dependable AI systems is rapidly growing. In 2018, the European Commission appointed experts to a High-Level Expert Group on AI (AI-HLEG). AI- HLEG defined Trustworthy AI as 1) lawful, 2) ethical, and 3) robust and specified seven corresponding key requirements. To help development organizations, AI-HLEG recently published the Assessment List for Trustworthy AI (ALTAI). We present an illustrative case study from applying ALTAI to an ongoing development project of an Advanced Driver-Assistance System (ADAS) that relies on Machine Learning (ML). Our experience shows that ALTAI is largely applicable to ADAS development, but specific parts related to human agency and transparency can be disregarded. Moreover, bigger questions related to societal and environmental impact cannot be tackled by an ADAS supplier in isolation. We present how we plan to develop the ADAS to ensure ALTAI-compliance. Finally, we provide three recommendations for the next revision of ALTAI, i.e., life-cycle variants, domainspecific adaptations, and removed redundancy. © 2021 IEEE.</t>
  </si>
  <si>
    <t>Obie HO,Ilekura I,Du H,Shahin M,Grundy J,Li L,Whittle J,Turhan B</t>
  </si>
  <si>
    <t>On the Violation of Honesty in Mobile Apps: Automated Detection and Categories</t>
  </si>
  <si>
    <t>321 – 332</t>
  </si>
  <si>
    <t>https://www.scopus.com/inward/record.uri?eid=2-s2.0-85134042003&amp;doi=10.1145%2f3524842.3527937&amp;partnerID=40&amp;md5=d5aa7d9cefbac729dd7cd036b97d408a;http://dx.doi.org/10.1145/3524842.3527937</t>
  </si>
  <si>
    <t>10.1145/3524842.3527937</t>
  </si>
  <si>
    <t>Human values such as integrity, privacy, curiosity, security, and honesty are guiding principles for what people consider important in life. Such human values may be violated by mobile software applications (apps), and the negative effects of such human value violations can be seen in various ways in society. In this work, we focus on the human value of honesty. We present a model to support the automatic identification of violations of the value of honesty from app reviews from an end-user perspective. Beyond the automatic detection of honesty violations by apps, we also aim to better understand different categories of honesty violations expressed by users in their app reviews. The result of our manual analysis of our honesty violations dataset shows that honesty violations can be characterised into ten categories: unfair cancellation and refund policies; false advertisements; delusive subscriptions; cheating systems; inaccurate information; unfair fees; no service; deletion of reviews; impersonation; and fraudulent-looking apps. Based on these results, we argue for a conscious effort in developing more honest software artefacts including mobile apps, and the promotion of honesty as a key value in software development practices. Furthermore, we discuss the role of app distribution platforms as enforcers of ethical systems supporting human values, and highlight some proposed next steps for human values in software engineering (SE) research. © 2022 ACM.</t>
  </si>
  <si>
    <t>Marantos C,Salapas K,Papadopoulos L,Soudris D</t>
  </si>
  <si>
    <t>A Flexible Tool for Estimating Applications Performance and Energy Consumption Through Static Analysis</t>
  </si>
  <si>
    <t>21 – 28</t>
  </si>
  <si>
    <t>https://www.scopus.com/inward/record.uri?eid=2-s2.0-85100077295&amp;doi=10.1007%2fs42979-020-00405-7&amp;partnerID=40&amp;md5=24405d61b18e233b5b027418cfe81865;http://dx.doi.org/10.1007/s42979-020-00405-7</t>
  </si>
  <si>
    <t>10.1007/s42979-020-00405-7</t>
  </si>
  <si>
    <t>The design requirements of modern applications that target embedded systems, such as the need for high performance and low energy consumption, impose challenges on developers. Software tools capable of providing performance and energy consumption estimations are useful for addressing these challenges. Such tools aim to reduce development time and alleviate the time-to-market pressure. In this work, we propose a flexible tool that enables the estimation of performance and energy consumption of the application on embedded devices, providing a complete methodology based on which the user can add estimation models for various platforms. In contrast to existing tools that either rely on dynamic instrumentation or require detailed modeling of the hardware, the proposed tool leverages static analysis techniques applied at instruction level coupled with data-driven regression models. The proposed method is tested using a widely used benchmark suite for evaluation. © 2021, Springer Nature Singapore Pte Ltd.</t>
  </si>
  <si>
    <t>Liu J,Jin W,Feng Q,Zhang X,Dai Y</t>
  </si>
  <si>
    <t>One Step Further: Investigating Problematic Files of Architecture Anti-patterns</t>
  </si>
  <si>
    <t>522 – 533</t>
  </si>
  <si>
    <t>1071-9458</t>
  </si>
  <si>
    <t>https://www.scopus.com/inward/record.uri?eid=2-s2.0-85126395572&amp;doi=10.1109%2fISSRE52982.2021.00060&amp;partnerID=40&amp;md5=5661c4850ef1cd8e40447551b32def6a;http://dx.doi.org/10.1109/ISSRE52982.2021.00060</t>
  </si>
  <si>
    <t>10.1109/ISSRE52982.2021.00060</t>
  </si>
  <si>
    <t>Architecture anti-patterns violate design principles and negatively impact software internal quality. Both academia and industry have designed methods and tools to detect anti-patterns. However, these tools tend to report a large number of defects, hindering developers from prioritizing true debts. In this work, we take one step further to explore the most problematic files (we define them as root files) in the architecture anti-patterns, which are potential causes leading to the difficulty of software maintenance. Using 45 Python projects as subjects, we investigate root files' maintainability, evolution (i.e., birth, living, and death), and their interactions in different architecture anti-patterns. Our results reveal that, compared with other files in anti-patterns, these root files take only a small proportion but incur heavy maintenance costs. Our study of their evolution and interactions can help developers identify potential causes of anti-patterns. We believe our findings will benefit the practice of design problem fixing. © 2021 IEEE.</t>
  </si>
  <si>
    <t>22nd International Conference on Enterprise Information Systems, ICEIS 2020</t>
  </si>
  <si>
    <t>https://www.scopus.com/inward/record.uri?eid=2-s2.0-85106414853&amp;partnerID=40&amp;md5=dd55c969141da37da7cf192f0fcca10a</t>
  </si>
  <si>
    <t>The proceedings contain 41 papers. The special focus in this conference is on Enterprise Information Systems. The topics include: Fast and Efficient Parallel Execution of SARIMA Prediction Model; an Approach to Intelligent Control Public Transportation System Using a Multi-agent System; comparative Evaluation of the Supervised Machine Learning Classification Methods and the Concept Drift Detection Methods in the Financial Business Problems; sammon Mapping-Based Gradient Boosted Trees for Tax Crime Prediction in the City of São Paulo; extraction of Speech Features and Alignment to Detect Early Dyslexia Evidences; an Extended Secondary Study to Characterize the Influence of Developers Sentiments on Practices and Artifacts in Open Source Software Projects; improving Quality of Use-Case Models by Correlating Defects, Difficulties, and Modeling Strategies; iVolunteer - A Platform for Digitization and Exploitation of Lifelong Volunteer Engagement; an Investigation of Currently Used Aspects in Model Transformation Development; streaming Set Similarity Joins; Software Evolution and Maintenance Using an Agile and MDD Hybrid Processes; DSL Based Approach for Building Model-Driven Questionnaires; modeling of Robot Interaction in Coalition Through Smart Space and Blockchain: Precision Agriculture Scenario; a Capability Based Method for Development of Resilient Digital Services; adopting Agile Software Development Combined with User-Centered Design and Lean Startup: A Systematic Literature Review on Maturity Models; Evaluating a LSTM Neural Network and a Word2vec Model in the Classification of Self-admitted Technical Debts and Their Types in Code Comments; from Simple to Structural Clones: Tapping the Benefits of Non-redundancy; SACIP: An Agent-Based Constructionist Adaptive System for Programming Beginners; security Architecture Framework for Enterprises.</t>
  </si>
  <si>
    <t>Serban A,Van Der Blom K,Hoos H,Visser J</t>
  </si>
  <si>
    <t>Practices for engineering trustworthy machine learning applications</t>
  </si>
  <si>
    <t>97 – 100</t>
  </si>
  <si>
    <t>https://www.scopus.com/inward/record.uri?eid=2-s2.0-85112118148&amp;doi=10.1109%2fWAIN52551.2021.00021&amp;partnerID=40&amp;md5=bef0767bd5dd2ab693e846ac4e0988d8;http://dx.doi.org/10.1109/WAIN52551.2021.00021</t>
  </si>
  <si>
    <t>10.1109/WAIN52551.2021.00021</t>
  </si>
  <si>
    <t>Following the recent surge in adoption of machine learning (ML), the negative impact that improper use of ML can have on users and society is now also widely recognised. To address this issue, policy makers and other stakeholders, such as the European Commission or NIST, have proposed high-level guidelines aiming to promote trustworthy ML (i.e., lawful, ethical and robust). However, these guidelines do not specify actions to be taken by those involved in building ML systems. In this paper, we argue that guidelines related to the development of trustworthy ML can be translated to operational practices, and should become part of the ML development life cycle. Towards this goal, we ran a multi-vocal literature review, and mined operational practices from white and grey literature. Moreover, we launched a global survey to measure practice adoption and the effects of these practices. In total, we identified 14 new practices, and used them to complement an existing catalogue of ML engineering practices. Initial analysis of the survey results reveals that so far, practice adoption for trustworthy ML is relatively low. In particular, practices related to assuring security of ML components have very low adoption. Other practices enjoy slightly larger adoption, such as providing explanations to users. Our extended practice catalogue can be used by ML development teams to bridge the gap between high-level guidelines and actual development of trustworthy ML systems; it is open for review and contributions. © 2021 IEEE.</t>
  </si>
  <si>
    <t>Stachl C,Pargent F,Hilbert S,Harari GM,Schoedel R,Vaid S,Gosling SD,Bühner M</t>
  </si>
  <si>
    <t>Personality Research and Assessment in the Era of Machine Learning</t>
  </si>
  <si>
    <t>European Journal of Personality</t>
  </si>
  <si>
    <t>613 – 631</t>
  </si>
  <si>
    <t>0890-2070</t>
  </si>
  <si>
    <t>https://www.scopus.com/inward/record.uri?eid=2-s2.0-85085562707&amp;doi=10.1002%2fper.2257&amp;partnerID=40&amp;md5=3bc73dab710dc511252df487e134dc05;http://dx.doi.org/10.1002/per.2257</t>
  </si>
  <si>
    <t>10.1002/per.2257</t>
  </si>
  <si>
    <t>The increasing availability of high-dimensional, fine-grained data about human behaviour, gathered from mobile sensing studies and in the form of digital footprints, is poised to drastically alter the way personality psychologists perform research and undertake personality assessment. These new kinds and quantities of data raise important questions about how to analyse the data and interpret the results appropriately. Machine learning models are well suited to these kinds of data, allowing researchers to model highly complex relationships and to evaluate the generalizability and robustness of their results using resampling methods. The correct usage of machine learning models requires specialized methodological training that considers issues specific to this type of modelling. Here, we first provide a brief overview of past studies using machine learning in personality psychology. Second, we illustrate the main challenges that researchers face when building, interpreting, and validating machine learning models. Third, we discuss the evaluation of personality scales, derived using machine learning methods. Fourth, we highlight some key issues that arise from the use of latent variables in the modelling process. We conclude with an outlook on the future role of machine learning models in personality research and assessment. © 2020 The Authors. European Journal of Personality published by John Wiley &amp; Sons Ltd on behalf of European Association of Personality Psychology</t>
  </si>
  <si>
    <t>Cited by: 33; All Open Access, Green Open Access, Hybrid Gold Open Access</t>
  </si>
  <si>
    <t>Guamán D,Pérez J,Diaz J,Cuesta CE</t>
  </si>
  <si>
    <t>Towards a reference process for software architecture reconstruction</t>
  </si>
  <si>
    <t>IET Software</t>
  </si>
  <si>
    <t>592 – 606</t>
  </si>
  <si>
    <t>Institution of Engineering and Technology</t>
  </si>
  <si>
    <t>1751-8806</t>
  </si>
  <si>
    <t>https://www.scopus.com/inward/record.uri?eid=2-s2.0-85097339934&amp;doi=10.1049%2fiet-sen.2019.0246&amp;partnerID=40&amp;md5=f4cccfa58cc27fe4ed906910d0fbf644;http://dx.doi.org/10.1049/iet-sen.2019.0246</t>
  </si>
  <si>
    <t>10.1049/iet-sen.2019.0246</t>
  </si>
  <si>
    <t>Nowadays, software systems remain useful and competitive; entail the inevitable need to change over time and to be adapted to new technologies, platforms, and architectures. These quick changes imply following systematic, automated, or standardised processes that provide recommendations and guidelines to architects during software architecture reconstruction. Considerable research work on architecture reconstruction has been conducted. However, it needs to be studied thoroughly to determine what are the common activities and elements to reconstruct software architectures, and to define a reference process for systematically guiding the evolution of software architectures. This work addresses the need for defining a process for software architecture reconstruction called software improvement in the reconstruction of architectures (SIRA). This process has been rigorously designed from the results of a systematic literature review and a small survey of related work. As a result, SIRA integrates and extends previous research and can be conceived as a reference process to reconstruct software architectures in a semi-automated way. In addition, this work also determines the common elements of the architecture reconstruction process: (i) techniques and activities; (ii) architectural elements, patterns, and attributes; (iii) mechanisms and strategies; and (iv) the automation and recommendation tasks of the process. © 2020 Institution of Engineering and Technology. All rights reserved.</t>
  </si>
  <si>
    <t>Habibullah KM,Horkoff J</t>
  </si>
  <si>
    <t>Non-functional Requirements for Machine Learning: Understanding Current Use and Challenges in Industry</t>
  </si>
  <si>
    <t>13 – 23</t>
  </si>
  <si>
    <t>https://www.scopus.com/inward/record.uri?eid=2-s2.0-85120584694&amp;doi=10.1109%2fRE51729.2021.00009&amp;partnerID=40&amp;md5=42fdedbfc2808f06657b764db70385b7;http://dx.doi.org/10.1109/RE51729.2021.00009</t>
  </si>
  <si>
    <t>10.1109/RE51729.2021.00009</t>
  </si>
  <si>
    <t>Machine Learning (ML) is an application of Artificial Intelligence (AI) that uses big data to produce complex predictions and decision-making systems, which would be challenging to obtain otherwise. To ensure the success of ML-enabled systems, it is essential to be aware of certain qualities of ML solutions (performance, transparency, fairness), known from a Requirement Engineering (RE) perspective as non-functional requirements (NFRs). However, when systems involve ML, NFRs for traditional software may not apply in the same ways; some NFRs may become more prominent or less important; NFRs may be defined over the ML model, data, or the entire system; and NFRs for ML may be measured differently. In this work, we aim to understand the state-of-the-art and challenges of dealing with NFRs for ML in industry. We interviewed ten engineering practitioners working with NFRs and ML. We find examples of (1) the identification and measurement of NFRs for ML, (2) identification of more and less important NFRs for ML, and (3) the challenges associated with NFRs and ML in the industry. This knowledge paints a picture of how ML-related NFRs are treated in practice and helps to guide future RE for ML efforts. © 2021 IEEE.</t>
  </si>
  <si>
    <t>Cited by: 10; All Open Access, Green Open Access</t>
  </si>
  <si>
    <t>Lujan S,Pecorelli F,Palomba F,De Lucia A,Lenarduzzi V</t>
  </si>
  <si>
    <t>A preliminary study on the adequacy of static analysis warnings with respect to code smell prediction</t>
  </si>
  <si>
    <t>https://www.scopus.com/inward/record.uri?eid=2-s2.0-85097308081&amp;doi=10.1145%2f3416505.3423559&amp;partnerID=40&amp;md5=3b7f138612836dbeb7ae45f6e765d686;http://dx.doi.org/10.1145/3416505.3423559</t>
  </si>
  <si>
    <t>10.1145/3416505.3423559</t>
  </si>
  <si>
    <t>Code smells are poor implementation choices applied during software evolution that can affect source code maintainability. While several heuristic-based approaches have been proposed in the past, machine learning solutions have recently gained attention since they may potentially address some limitations of state-of-the-art approaches. Unfortunately, however, machine learning-based code smell detectors still suffer from low accuracy. In this paper, we aim at advancing the knowledge in the field by investigating the role of static analysis warnings as features of machine learning models for the detection of three code smell types. We first verify the potential contribution given by these features. Then, we build code smell prediction models exploiting the most relevant features coming from the first analysis. The main finding of the study reports that the warnings given by the considered tools lead the performance of code smell prediction models to drastically increase with respect to what reported by previous research in the field. © 2020 ACM.</t>
  </si>
  <si>
    <t>Cited by: 4</t>
  </si>
  <si>
    <t>Kolahdouz-Rahimi S,Lano K,Sharbaf M,Karimi M,Alfraihi H</t>
  </si>
  <si>
    <t>A comparison of quality flaws and technical debt in model transformation specifications</t>
  </si>
  <si>
    <t>https://www.scopus.com/inward/record.uri?eid=2-s2.0-85086381665&amp;doi=10.1016%2fj.jss.2020.110684&amp;partnerID=40&amp;md5=992a7eee002a59b3a9df05cff256dfc8;http://dx.doi.org/10.1016/j.jss.2020.110684</t>
  </si>
  <si>
    <t>10.1016/j.jss.2020.110684</t>
  </si>
  <si>
    <t>The quality of model transformations (MT) has high impact on model-driven engineering (MDE) software development approaches, because of the central role played by transformations in MDE for refining, migrating, refactoring and other operations on models. For programming languages, a popular paradigm for code quality is the concept of technical debt (TD), which uses the analogy that quality flaws in code are a debt burden carried by the software, which must either be ‘redeemed’ by expending specific effort to remove its flaws, or be tolerated, with ongoing additional costs to maintenance due to the flaws. Whilst the analysis and management of quality flaws and TD in programming languages has been investigated in depth over several years, less research on the topic has been carried out for model transformations. In this paper we investigate the characteristics of quality flaws and technical debt in model transformation languages, based upon systematic analysis of over 100 transformation cases in four leading MT languages. Based on quality flaw indicators for TD, we identify significant differences in the level and kinds of technical debt in different MT languages, and we propose ways in which TD in MT can be reduced and managed. © 2020 Elsevier Inc.</t>
  </si>
  <si>
    <t>Huang Z,Shao Z,Fan G,Gao J,Zhou Z,Yang K,Yang X</t>
  </si>
  <si>
    <t>Predicting Community Smells' Occurrence on Individual Developers by Sentiments</t>
  </si>
  <si>
    <t>230 – 241</t>
  </si>
  <si>
    <t>https://www.scopus.com/inward/record.uri?eid=2-s2.0-85113249384&amp;doi=10.1109%2fICPC52881.2021.00030&amp;partnerID=40&amp;md5=4b077e0808597059c1a86172d30efe7a;http://dx.doi.org/10.1109/ICPC52881.2021.00030</t>
  </si>
  <si>
    <t>10.1109/ICPC52881.2021.00030</t>
  </si>
  <si>
    <t>Community smells appear in sub-optimal software development community structures, causing unforeseen additional project costs, e.g., lower productivity and more technical debt. Previous studies analyzed and predicted community smells in the granularity of community sub-groups using socio-Technical factors. However, refactoring such smells requires the effort of developers individually. To eliminate them, supportive measures for every developer should be constructed according to their motifs and working states. Recent work revealed developers' personalities could influence community smells' variation, and their sentiments could impact productivity. Thus, sentiments could be evaluated to predict community smells' occurrence on them. To this aim, this paper builds a developer-oriented and sentiment-Aware community smell prediction model considering 3 smells such as Organizational Silo, Lone Wolf, and Bottleneck. Furthermore, it also predicts if a developer quitted the community after being affected by any smell. The proposed model achieves cross-And within-project prediction F-Measure ranging from 76% to 93%. Research also reveals 6 sentimental features having stronger predictive power compared with activeness metrics. Imperative and indicative expressions, politeness, and several emotions are the most powerful predictors. Finally, we test statistically the mean and distribution of sentimental features. Based on our findings, we suggest developers should communicate in a straightforward and polite way. © 2021 IEEE.</t>
  </si>
  <si>
    <t>Schuh G,Scholz P,Leich T,May R</t>
  </si>
  <si>
    <t>Identifying and Analyzing Data Model Requirements and Technology Potentials of Machine Learning Systems in the Manufacturing Industry of the Future</t>
  </si>
  <si>
    <t>https://www.scopus.com/inward/record.uri?eid=2-s2.0-85097975943&amp;doi=10.1109%2fITMS51158.2020.9259303&amp;partnerID=40&amp;md5=fb2031fe726dd2ad1a466cb0dddff442;http://dx.doi.org/10.1109/ITMS51158.2020.9259303</t>
  </si>
  <si>
    <t>10.1109/ITMS51158.2020.9259303</t>
  </si>
  <si>
    <t>Although machine learning (ML) methods have already been well described in science, the transfer into manufacturing business practice is only slowly taking place. One of the reasons is that current research is lacking a comprehensive analysis of working ML methods and their characteristics. Therefore, this paper systematically analyzes successfully implemented ML solutions to facilitate the design process for future machine learning systems (MLS) implementations in manufacturing companies. First, a systematic literature review based on 18 scientific publications is conducted to confirm the lacks assumed. Second, 15 MLS approaches are analyzed based on a technology framework to solve the shortcomings identified and extract further findings.In total, we identified two general MLS design patterns. Furthermore, we extracted seven suitable data and data model requirements as well as technology potentials. The results show that theory-based ML approaches are often based on linear methods requiring low-dimensional data, e.g. in image recognition. This points towards the hypothesis, that the application of non-linear ML methods processing high-dimensional data could increase the number of possible use cases. Thus, further high technology potentials regarding the application of MLS in the manufacturing industry would arise. © 2020 IEEE.</t>
  </si>
  <si>
    <t>Di Sanzo P,Avresky DR,Pellegrini A</t>
  </si>
  <si>
    <t>Autonomic rejuvenation of cloud applications as a countermeasure to software anomalies</t>
  </si>
  <si>
    <t>46 – 71</t>
  </si>
  <si>
    <t>https://www.scopus.com/inward/record.uri?eid=2-s2.0-85092325634&amp;doi=10.1002%2fspe.2908&amp;partnerID=40&amp;md5=1a51724d241ac77820dd5996e6211400;http://dx.doi.org/10.1002/spe.2908</t>
  </si>
  <si>
    <t>10.1002/spe.2908</t>
  </si>
  <si>
    <t>Failures in computer systems can be often tracked down to software anomalies of various kinds. In many scenarios, it might be difficult, unfeasible, or unprofitable to carry out extensive debugging activity to spot the cause of anomalies and remove them. In other cases, taking corrective actions may led to undesirable service downtime. In this article, we propose an alternative approach to cope with the problem of software anomalies in cloud-based applications, and we present the design of a distributed autonomic framework that implements our approach. It exploits the elastic capabilities of cloud infrastructures, and relies on machine learning models, proactive rejuvenation techniques, and a new load balancing approach. By putting together all these elements, we show that it is possible to improve both availability and performance of applications deployed to heterogeneous cloud regions and subject to frequent failures. Overall, our study demonstrates the viability of our approach, thus opening the way towards its adoption, and encouraging further studies and practical experiences to evaluate and improve it. © 2020 John Wiley &amp; Sons Ltd</t>
  </si>
  <si>
    <t>Software smell detection techniques: A systematic literature review</t>
  </si>
  <si>
    <t>https://www.scopus.com/inward/record.uri?eid=2-s2.0-85092460016&amp;doi=10.1002%2fsmr.2320&amp;partnerID=40&amp;md5=186368c65dae9987e861d3e50da2566f;http://dx.doi.org/10.1002/smr.2320</t>
  </si>
  <si>
    <t>10.1002/smr.2320</t>
  </si>
  <si>
    <t>Software smells indicate design or code issues that might degrade the evolution and maintenance of software systems. Detecting and identifying these issues are challenging tasks. This paper explores, identifies, and analyzes the existing software smell detection techniques at design and code levels. We carried out a systematic literature review (SLR) to identify and collect 145 primary studies related to smell detection in software design and code. Based on these studies, we address several questions related to the analysis of the existing smell detection techniques in terms of abstraction level (design or code), targeted smells, used metrics, implementation, and validation. Our analysis identified several detection techniques categories. We observed that 57% of the studies did not use any performance measures, 41% of them omitted details on the targeted programing language, and the detection techniques were not validated in 14% of these studies. With respect to the abstraction level, only 18% of the studies addressed bad smell detection at the design level. This low coverage urges for more focus on bad smell detection at the design level to handle them at early stages. Finally, our SLR brings to the attention of the research community several opportunities for future research. © 2020 John Wiley &amp; Sons, Ltd.</t>
  </si>
  <si>
    <t>Maipradit R,Treude C,Hata H,Matsumoto K</t>
  </si>
  <si>
    <t>Wait for it: identifying “On-Hold” self-admitted technical debt</t>
  </si>
  <si>
    <t>3770 – 3798</t>
  </si>
  <si>
    <t>https://www.scopus.com/inward/record.uri?eid=2-s2.0-85088872515&amp;doi=10.1007%2fs10664-020-09854-3&amp;partnerID=40&amp;md5=ae5042b46318c93de239aa4213d83d1f;http://dx.doi.org/10.1007/s10664-020-09854-3</t>
  </si>
  <si>
    <t>10.1007/s10664-020-09854-3</t>
  </si>
  <si>
    <t>Self-admitted technical debt refers to situations where a software developer knows that their current implementation is not optimal and indicates this using a source code comment. In this work, we hypothesize that it is possible to develop automated techniques to understand a subset of these comments in more detail, and to propose tool support that can help developers manage self-admitted technical debt more effectively. Based on a qualitative study of 333 comments indicating self-admitted technical debt, we first identify one particular class of debt amenable to automated management: on-hold self-admitted technical debt (on-hold SATD), i.e., debt which contains a condition to indicate that a developer is waiting for a certain event or an updated functionality having been implemented elsewhere. We then design and evaluate an automated classifier which can identify these on-hold instances with an area under the receiver operating characteristic curve (AUC) of 0.98 as well as detect the specific conditions that developers are waiting for. Our work presents a first step towards automated tool support that is able to indicate when certain instances of self-admitted technical debt are ready to be addressed. © 2020, Springer Science+Business Media, LLC, part of Springer Nature.</t>
  </si>
  <si>
    <t>Cited by: 22; All Open Access, Green Open Access, Hybrid Gold Open Access</t>
  </si>
  <si>
    <t>Kaur I,Kaur A</t>
  </si>
  <si>
    <t>A Novel Four-Way Approach Designed with Ensemble Feature Selection for Code Smell Detection</t>
  </si>
  <si>
    <t>8695 – 8707</t>
  </si>
  <si>
    <t>https://www.scopus.com/inward/record.uri?eid=2-s2.0-85106816941&amp;doi=10.1109%2fACCESS.2021.3049823&amp;partnerID=40&amp;md5=bec13ba44e5f67ee6d5e5bfba285ec34;http://dx.doi.org/10.1109/ACCESS.2021.3049823</t>
  </si>
  <si>
    <t>10.1109/ACCESS.2021.3049823</t>
  </si>
  <si>
    <t>Purpose: Code smells are residuals of technical debt induced by the developers. They hinder evolution, adaptability and maintenance of the software. Meanwhile, they are very beneficial in indicating the loopholes of problems and bugs in the software. Machine learning has been extensively used to predict Code Smells in research. The current study aims to optimise the prediction using Ensemble Learning and Feature Selection techniques on three open-source Java data sets. Design and Results: The work Compares four varied approaches to detect code smells using four performance measures Accuracy(P1), G-mean1 (P2), G-mean2 (P3), and F-measure (P4). The study found out that values of the performance measures did not degrade it instead of either remained same or increased with feature selection and Ensemble Learning. Random Forest turns out to be the best classifier while Correlation-based Feature selection(BFS) is best amongst Feature Selection techniques. Ensemble Learning aggregators, i.e. ET5C2 (BFS intersection Relief with classifier Random Forest), ET6C2 (BFS union Relief with classifier Random Forest), and ET5C1 (BFS intersection Relief with Bagging) and Majority Voting give best results from all the aggregation combinations studied. Conclusion: Though the results are good, but using Ensemble learning techniques needs a lot of validation for a variety of data sets before it can be standardised. The Ensemble Learning techniques also pose a challenge concerning diversity and reliability and hence needs exhaustive studies. © 2013 IEEE.</t>
  </si>
  <si>
    <t>Cited by: 9; All Open Access, Gold Open Access</t>
  </si>
  <si>
    <t>Rantala L,Mäntylä M</t>
  </si>
  <si>
    <t>Predicting technical debt from commit contents: reproduction and extension with automated feature selection</t>
  </si>
  <si>
    <t>1551 – 1579</t>
  </si>
  <si>
    <t>https://www.scopus.com/inward/record.uri?eid=2-s2.0-85087511768&amp;doi=10.1007%2fs11219-020-09520-3&amp;partnerID=40&amp;md5=3825cb06f748a2af90903823c08d80f6;http://dx.doi.org/10.1007/s11219-020-09520-3</t>
  </si>
  <si>
    <t>10.1007/s11219-020-09520-3</t>
  </si>
  <si>
    <t>Self-admitted technical debt refers to sub-optimal development solutions that are expressed in written code comments or commits. We reproduce and improve on a prior work by Yan et al. (2018) on detecting commits that introduce self-admitted technical debt. We use multiple natural language processing methods: Bag-of-Words, topic modeling, and word embedding vectors. We study 5 open-source projects. Our NLP approach uses logistic Lasso regression from Glmnet to automatically select best predictor words. A manually labeled dataset from prior work that identified self-admitted technical debt from code level commits serves as ground truth. Our approach achieves + 0.15 better area under the ROC curve performance than a prior work, when comparing only commit message features, and + 0.03 better result overall when replacing manually selected features with automatically selected words. In both cases, the improvement was statistically significant (p &lt; 0.0001). Our work has four main contributions, which are comparing different NLP techniques for SATD detection, improved results over previous work, showing how to generate generalizable predictor words when using multiple repositories, and producing a list of words correlating with SATD. As a concrete result, we release a list of the predictor words that correlate positively with SATD, as well as our used datasets and scripts to enable replication studies and to aid in the creation of future classifiers. © 2020, The Author(s).</t>
  </si>
  <si>
    <t>Cited by: 6; All Open Access, Green Open Access, Hybrid Gold Open Access</t>
  </si>
  <si>
    <t>Lwakatare LE,Raj A,Crnkovic I,Bosch J,Olsson HH</t>
  </si>
  <si>
    <t>Large-scale machine learning systems in real-world industrial settings: A review of challenges and solutions</t>
  </si>
  <si>
    <t>https://www.scopus.com/inward/record.uri?eid=2-s2.0-85087690796&amp;doi=10.1016%2fj.infsof.2020.106368&amp;partnerID=40&amp;md5=39ff261482f573a45f895642acbd9059;http://dx.doi.org/10.1016/j.infsof.2020.106368</t>
  </si>
  <si>
    <t>10.1016/j.infsof.2020.106368</t>
  </si>
  <si>
    <t>Background: Developing and maintaining large scale machine learning (ML) based software systems in an industrial setting is challenging. There are no well-established development guidelines, but the literature contains reports on how companies develop and maintain deployed ML-based software systems. Objective: This study aims to survey the literature related to development and maintenance of large scale ML-based systems in industrial settings in order to provide a synthesis of the challenges that practitioners face. In addition, we identify solutions used to address some of these challenges. Method: A systematic literature review was conducted and we identified 72 papers related to development and maintenance of large scale ML-based software systems in industrial settings. The selected articles were qualitatively analyzed by extracting challenges and solutions. The challenges and solutions were thematically synthesized into four quality attributes: adaptability, scalability, safety and privacy. The analysis was done in relation to ML workflow, i.e. data acquisition, training, evaluation, and deployment. Results: We identified a total of 23 challenges and 8 solutions related to development and maintenance of large scale ML-based software systems in industrial settings including six different domains. Challenges were most often reported in relation to adaptability and scalability. Safety and privacy challenges had the least reported solutions. Conclusion: The development and maintenance on large-scale ML-based systems in industrial settings introduce new challenges specific for ML, and for the known challenges characteristic for these types of systems, require new methods in overcoming the challenges. The identified challenges highlight important concerns in ML system development practice and the lack of solutions point to directions for future research. © 2020 Elsevier B.V.</t>
  </si>
  <si>
    <t>Cited by: 36</t>
  </si>
  <si>
    <t>Höhn S,Faradouris N</t>
  </si>
  <si>
    <t>What Does It Cost to Deploy an XAI System: A Case Study in Legacy Systems</t>
  </si>
  <si>
    <t>12688 LNAI</t>
  </si>
  <si>
    <t>173 – 186</t>
  </si>
  <si>
    <t>https://www.scopus.com/inward/record.uri?eid=2-s2.0-85113340403&amp;doi=10.1007%2f978-3-030-82017-6_11&amp;partnerID=40&amp;md5=5676cb2fab321b8df681c4ab1babd3f3;http://dx.doi.org/10.1007/978-3-030-82017-6_11</t>
  </si>
  <si>
    <t>10.1007/978-3-030-82017-6_11</t>
  </si>
  <si>
    <t>Enterprise Resource Planning (ERP) software is used by businesses and extended via customisation. Automated custom code analysis and migration is a critical issue at ERP release upgrade times. Despite research advances, automated code analysis and transformation require a huge amount of manual work related to parser adaptation, rule extension and post-processing. These operations become unmanageable if the frequency of updates increases from yearly to monthly intervals. This article describes how the process of custom code analysis to custom code transformation can be automated in an explainable way. We develop an aggregate taxonomy for explainability and analyse the requirements based on roles. We explain in which steps on the new code migration process machine learning is used. Further, we analyse additional effort needed to make the new way of code migration explainable to different stakeholders. © 2021, Springer Nature Switzerland AG.</t>
  </si>
  <si>
    <t>Pääkkönen P,Pakkala D</t>
  </si>
  <si>
    <t>Extending reference architecture of big data systems towards machine learning in edge computing environments</t>
  </si>
  <si>
    <t>Journal of Big Data</t>
  </si>
  <si>
    <t>2196-1115</t>
  </si>
  <si>
    <t>https://www.scopus.com/inward/record.uri?eid=2-s2.0-85083265040&amp;doi=10.1186%2fs40537-020-00303-y&amp;partnerID=40&amp;md5=5de2ce72902813337438c54aa7189742;http://dx.doi.org/10.1186/s40537-020-00303-y</t>
  </si>
  <si>
    <t>10.1186/s40537-020-00303-y</t>
  </si>
  <si>
    <t>Background: Augmented reality, computer vision and other (e.g. network functions, Internet-of-Things (IoT)) use cases can be realised in edge computing environments with machine learning (ML) techniques. For realisation of the use cases, it has to be understood how data is collected, stored, processed, analysed, and visualised in big data systems. In order to provide services with low latency for end users, often utilisation of ML techniques has to be optimized. Also, software/service developers have to understand, how to develop and deploy ML models in edge computing environments. Therefore, architecture design of big data systems to edge computing environments may be challenging. Findings: The contribution of this paper is reference architecture (RA) design of a big data system utilising ML techniques in edge computing environments. An earlier version of the RA has been extended based on 16 realised implementation architectures, which have been developed to edge/distributed computing environments. Also, deployment of architectural elements in different environments is described. Finally, a system view is provided of the software engineering aspects of ML model development and deployment. Conclusions: The presented RA may facilitate concrete architecture design of use cases in edge computing environments. The value of RAs is reduction of development and maintenance costs of systems, reduction of risks, and facilitation of communication between different stakeholders. © 2020, The Author(s).</t>
  </si>
  <si>
    <t>Cited by: 14; All Open Access, Gold Open Access</t>
  </si>
  <si>
    <t>Grano G,Palomba F,Gall HC</t>
  </si>
  <si>
    <t>Lightweight Assessment of Test-Case Effectiveness Using Source-Code-Quality Indicators</t>
  </si>
  <si>
    <t>758 – 774</t>
  </si>
  <si>
    <t>https://www.scopus.com/inward/record.uri?eid=2-s2.0-85104571977&amp;doi=10.1109%2fTSE.2019.2903057&amp;partnerID=40&amp;md5=8321a030c9ea5d1072b8bab803cd5df5;http://dx.doi.org/10.1109/TSE.2019.2903057</t>
  </si>
  <si>
    <t>10.1109/TSE.2019.2903057</t>
  </si>
  <si>
    <t>Test cases are crucial to help developers preventing the introduction of software faults. Unfortunately, not all the tests are properly designed or can effectively capture faults in production code. Some measures have been defined to assess test-case effectiveness: the most relevant one is the mutation score, which highlights the quality of a test by generating the so-called mutants, i.e., variations of the production code that make it faulty and that the test is supposed to identify. However, previous studies revealed that mutation analysis is extremely costly and hard to use in practice. The approaches proposed by researchers so far have not been able to provide practical gains in terms of mutation testing efficiency. This leaves the problem of efficiently assessing test-case effectiveness as still open. In this paper, we investigate a novel, orthogonal, and lightweight methodology to assess test-case effectiveness: in particular, we study the feasibility to exploit production and test-code-quality indicators to estimate the mutation score of a test case. We first select a set of 67 factors and study their relation with test-case effectiveness. Then, we devise a mutation score estimation model exploiting such factors and investigate its performance as well as its most relevant features. The key results of the study reveal that our estimation model only based on static features has 86 percent of both F-Measure and AUC-ROC. This means that we can estimate the test-case effectiveness, using source-code-quality indicators, with high accuracy and without executing the tests. As a consequence, we can provide a practical approach that is beyond the typical limitations of current mutation testing techniques. © 1976-2012 IEEE.</t>
  </si>
  <si>
    <t>Nakamichi K,Ohashi K,Namba I,Yamamoto R,Aoyama M,Joeckel L,Siebert J,Heidrich J</t>
  </si>
  <si>
    <t>Requirements-driven method to determine quality characteristics and measurements for machine learning software and its evaluation</t>
  </si>
  <si>
    <t>260 – 270</t>
  </si>
  <si>
    <t>https://www.scopus.com/inward/record.uri?eid=2-s2.0-85093964684&amp;doi=10.1109%2fRE48521.2020.00036&amp;partnerID=40&amp;md5=a14be906604d55cdce31df0f8abf399e;http://dx.doi.org/10.1109/RE48521.2020.00036</t>
  </si>
  <si>
    <t>10.1109/RE48521.2020.00036</t>
  </si>
  <si>
    <t>As the applications of machine learning algorithms in various fields are widely demanded, the development of machine learning software systems (MLS) is rapidly increasing. The quality of MLS is different from that of conventional software systems, in the sense that it depends on the amount and distribution of training data in a model learning and input data during operation. This is a major challenge in quality assurance of MLS development for the enterprise. In this paper, we propose a requirements-driven method to determine the quality characteristics of the MLS. Major contributions of this paper include: (1) Extending the quality characteristics of ISO 25010, which defines the conventional software quality, to those unique to MLS; this paper also defines its measuring method. (2) A method to identify requirements, i.e., issues to be determined in the requirements definition, in order to derive the quality characteristics and measurement methods for MLS, since the quality characteristics and the measurement method depend on the goals of the system under development. In order to evaluate the proposed method, we carried out an empirical study of the quality characteristics and measurement methods related to functional correctness and the maturity of the MLS for the enterprise. Based on the study, we compare the quality characteristics and measurement methods derived by the proposed method with those suggested by developers, and demonstrate the effectiveness of the proposed method. © 2020 IEEE.</t>
  </si>
  <si>
    <t>Cited by: 13</t>
  </si>
  <si>
    <t>Barrak A,Eghan EE,Adams B</t>
  </si>
  <si>
    <t>On the Co-evolution of ML Pipelines and Source Code - Empirical Study of DVC Projects</t>
  </si>
  <si>
    <t>422 – 433</t>
  </si>
  <si>
    <t>https://www.scopus.com/inward/record.uri?eid=2-s2.0-85106644733&amp;doi=10.1109%2fSANER50967.2021.00046&amp;partnerID=40&amp;md5=24398e798fb42d6a1cc6b0c74b476dfd;http://dx.doi.org/10.1109/SANER50967.2021.00046</t>
  </si>
  <si>
    <t>10.1109/SANER50967.2021.00046</t>
  </si>
  <si>
    <t>The growing popularity of machine learning (ML) applications has led to the introduction of software engineering tools such as Data Versioning Control (DVC), MLFlow and Pachyderm that enable versioning ML data, models, pipelines and model evaluation metrics. Since these versioned ML artifacts need to be synchronized not only with each other, but also with the source and test code of the software applications into which the models are integrated, prior findings on co-evolution and coupling between software artifacts might need to be revisited. Hence, in order to understand the degree of coupling between ML-related and other software artifacts, as well as the adoption of ML versioning features, this paper empirically studies the usage of DVC in 391 Github projects, 25 of which in detail. Our results show that more than half of the DVC files in a project are changed at least once every one-tenth of the project's lifetime. Furthermore, we observe a tight coupling between DVC files and other artifacts, with 1/4 pull requests changing source code and 1/2 pull requests changing tests requiring a change to DVC files. As additional evidence of the observed complexity associated with adopting ML-related software engineering tools like DVC, an average of 78% of the studied projects showed a non-constant trend in pipeline complexity. © 2021 IEEE.</t>
  </si>
  <si>
    <t>Cited by: 7</t>
  </si>
  <si>
    <t>Khalajzadeh H,Simmons AJ,Verma T,Abdelrazek M,Grundy J,Hosking J,He Q,Ratnakanthan P,Zia A,Law M</t>
  </si>
  <si>
    <t>BiDaML in Practice: Collaborative Modeling of Big Data Analytics Application Requirements</t>
  </si>
  <si>
    <t>106 – 129</t>
  </si>
  <si>
    <t>https://www.scopus.com/inward/record.uri?eid=2-s2.0-85103296998&amp;doi=10.1007%2f978-3-030-70006-5_5&amp;partnerID=40&amp;md5=56b6dc1ba648e4b4ab2b3fe83883ebc3;http://dx.doi.org/10.1007/978-3-030-70006-5_5</t>
  </si>
  <si>
    <t>10.1007/978-3-030-70006-5_5</t>
  </si>
  <si>
    <t>Using data analytics to improve industrial planning and operations has become increasingly popular and data scientists are more and more in demand. However, complex data analytics-based software development is challenging. It involves many new roles lacking in traditional software engineering teams – e.g. data scientists and data engineers; use of sophisticated machine learning (ML) approaches replacing many programming tasks; uncertainty inherent in the models; as well as interfacing with models to fulfill software functionalities. These challenges make communication and collaboration within the team and with external stakeholders challenging. In this paper, we describe our experiences in applying our BiDaML (Big Data Analytics Modeling Languages) approach to several large-scale industrial projects. We used our BiDaML modeling toolset that brings all stakeholders around one tool to specify, model and document their big data applications. We report our experience in using and evaluating this tool on three real-world, large-scale applications with teams from: realas.com – a property price prediction website for home buyers; VicRoads – a project seeking to build a digital twin (simulated model) of Victoria’s transport network updated in real-time by a stream of sensor data from inductive loop detectors at traffic intersections; and the Alfred Hospital – Intracranial hemorrhage (ICH) prediction through Computed Tomography (CT) Scans. These show that our approach successfully supports complex data analytics software development in industrial settings. © 2021, Springer Nature Switzerland AG.</t>
  </si>
  <si>
    <t>AlOmar EA,Peruma A,Mkaouer MW,Newman C,Ouni A,Kessentini M</t>
  </si>
  <si>
    <t>How we refactor and how we document it? On the use of supervised machine learning algorithms to classify refactoring documentation</t>
  </si>
  <si>
    <t>https://www.scopus.com/inward/record.uri?eid=2-s2.0-85095827518&amp;doi=10.1016%2fj.eswa.2020.114176&amp;partnerID=40&amp;md5=6688d24e2ef4500ad1adffdce45c40f8;http://dx.doi.org/10.1016/j.eswa.2020.114176</t>
  </si>
  <si>
    <t>10.1016/j.eswa.2020.114176</t>
  </si>
  <si>
    <t>Refactoring is the art of improving the structural design of a software system without altering its external behavior. Today, refactoring has become a well-established and disciplined software engineering practice that has attracted a significant amount of research presuming that refactoring is primarily motivated by the need to improve system structures. However, recent studies have shown that developers may incorporate refactoring strategies in other development-related activities that go beyond improving the design especially with the emerging challenges in contemporary software engineering. Unfortunately, these studies are limited to developer interviews and a reduced set of projects. To cope with the above-mentioned limitations, we aim to better understand what motivates developers to apply a refactoring by mining and automatically classifying a large set of 111,884 commits containing refactoring activities, extracted from 800 open source Java projects. We trained a multi-class classifier to categorize these commits into three categories, namely, Internal Quality Attribute, External Quality Attribute, and Code Smell Resolution, along with the traditional Bug Fix and Functional categories. This classification challenges the original definition of refactoring, being exclusive to improving software design and fixing code smells. Furthermore, to better understand our classification results, we qualitatively analyzed commit messages to extract textual patterns that developers regularly use to describe their refactoring activities. The results of our empirical investigation show that (1) fixing code smells is not the main driver for developers to refactoring their code bases. Refactoring is solicited for a wide variety of reasons, going beyond its traditional definition; (2) the distribution of refactoring operations differs between production and test files; (3) developers use a variety of patterns to purposefully target refactoring-related activities; (4) the textual patterns, extracted from commit messages, provide better coverage for how developers document their refactorings. © 2020 Elsevier Ltd</t>
  </si>
  <si>
    <t>Cited by: 21; All Open Access, Green Open Access</t>
  </si>
  <si>
    <t>Yan M,Xia X,Fan Y,Lo D,Hassan AE,Zhang X</t>
  </si>
  <si>
    <t>Effort-aware just-in-time defect identification in practice: A case study at Alibaba</t>
  </si>
  <si>
    <t>1308 – 1319</t>
  </si>
  <si>
    <t>https://www.scopus.com/inward/record.uri?eid=2-s2.0-85097138978&amp;doi=10.1145%2f3368089.3417048&amp;partnerID=40&amp;md5=41973787b54adf14d6e036bde1855eeb;http://dx.doi.org/10.1145/3368089.3417048</t>
  </si>
  <si>
    <t>10.1145/3368089.3417048</t>
  </si>
  <si>
    <t>Effort-aware Just-in-Time (JIT) defect identification aims at identifying defect-introducing changes just-in-time with limited code inspection effort. Such identification has two benefits compared with traditional module-level defect identification, i.e., identifying defects in a more cost-effective and efficient manner. Recently, researchers have proposed various effort-aware JIT defect identification approaches, including supervised (e.g., CBS+, OneWay) and unsupervised approaches (e.g., LT and Code Churn). The comparison of the effectiveness between such supervised and unsupervised approaches has attracted a large amount of research interest. However, the effectiveness of the recently proposed approaches and the comparison among them have never been investigated in an industrial setting. In this paper, we investigate the effectiveness of state-of-the-art effort-aware JIT defect identification approaches in an industrial setting. To that end, we conduct a case study on 14 Alibaba projects with 196,790 changes. In our case study, we investigate three aspects: (1) The effectiveness of state-of-the-art supervised (i.e., CBS+,OneWay, EALR) and unsupervised (i.e., LT and Code Churn) effortaware JIT defect identification approaches on Alibaba projects, (2) the importance of the features used in the effort-aware JIT defect identification approach, and (3) the association between projectspecific factors and the likelihood of a defective change. Moreover, we develop a tool based on the best performing approach and investigate the tool's effectiveness in a real-life setting at Alibaba. © 2020 ACM.</t>
  </si>
  <si>
    <t>Cited by: 11; All Open Access, Green Open Access</t>
  </si>
  <si>
    <t>Xu W,Zhang X</t>
  </si>
  <si>
    <t>Multi-granularity code smell detection using deep learning method based on abstract syntax tree</t>
  </si>
  <si>
    <t>503 – 509</t>
  </si>
  <si>
    <t>https://www.scopus.com/inward/record.uri?eid=2-s2.0-85114279916&amp;doi=10.18293%2fSEKE2021-014&amp;partnerID=40&amp;md5=4f914c5ed0bbf6d673686baa9098b413;http://dx.doi.org/10.18293/SEKE2021-014</t>
  </si>
  <si>
    <t>10.18293/SEKE2021-014</t>
  </si>
  <si>
    <t>Code smell refers to poor design that is perceived to have a negative impact on readability and maintainability during software evolution, and it implies the possibility of refactoring. Therefore, the effective detection of code smell is of great importance. Many approaches including metric-based, heuristic-based, and machine learning approaches have been proposed to detect code smells. However, all these methods use manually selected features, which is highly subjective and difficult to select the most appropriate features. Recently, deep learning methods without extensive feature engineering have been proposed. Nevertheless, these token-based approaches may not achieve good results because they ignore many semantic and structural information of source code. To this end, we propose a novel deep learning approach based on abstract syntax trees(ASTs) to detect multi-granularity code smells, which captures the semantic and structural features of code fragments from the ASTs. The experimental results on four types of smells show that this approach achieves better results than the state-of-the-art approaches for detecting code smells with different granularities. © 2021 Knowledge Systems Institute Graduate School. All rights reserved.</t>
  </si>
  <si>
    <t>Simmons AJ,Barnett S,Rivera-Villicana J,Bajaj A,Vasa R</t>
  </si>
  <si>
    <t>A large-scale comparative analysis of Coding Standard conformance in Open-Source Data Science projects</t>
  </si>
  <si>
    <t>https://www.scopus.com/inward/record.uri?eid=2-s2.0-85093925437&amp;doi=10.1145%2f3382494.3410680&amp;partnerID=40&amp;md5=c811f43a3e197f225b6bf063c67e0aed;http://dx.doi.org/10.1145/3382494.3410680</t>
  </si>
  <si>
    <t>10.1145/3382494.3410680</t>
  </si>
  <si>
    <t>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 © 2020 IEEE Computer Society. All rights reserved.</t>
  </si>
  <si>
    <t>Garmash E,Cheshkov A</t>
  </si>
  <si>
    <t>Exploring the Effect of NULL Usage in Source Code</t>
  </si>
  <si>
    <t>https://www.scopus.com/inward/record.uri?eid=2-s2.0-85104600619&amp;doi=10.1109%2fICCQ51190.2021.9392959&amp;partnerID=40&amp;md5=488439458514e49604b255ec09237b41;http://dx.doi.org/10.1109/ICCQ51190.2021.9392959</t>
  </si>
  <si>
    <t>10.1109/ICCQ51190.2021.9392959</t>
  </si>
  <si>
    <t>In this paper we propose to use causal inference (CI) to reason about code smells, or anti-patterns. CI provides methods to estimate the magnitude of effect of certain interventions on the studied system of variables based on observational data only. We would like to estimate the average effect of using a certain pattern on some code quality characteristic. If code quality characteristic systematically deteriorates when a certain pattern is used, it can serve as confirmation that it is in fact an anti-pattern. In the present study, we narrow down the scope and focus on one notorious case of code smells, the usage of NULL. We investigate the effect of using a selection of NULL-based patterns on code complexity metrics. The experiments on open source Java code show preliminary confirmation that NULL is in fact an anti-pattern under certain conditions. We come to a conclusion that in order to fully answer the research question, a better underlying model of the code development process is needed. Moreover, in order to confirm the detrimental effect of patterns, one should investigate their effect on a more diverse set of code characteristics, in addition to code complexity metrics. © 2021 IEEE.</t>
  </si>
  <si>
    <t>Pigazzini I,Foppiani D,Fontana FA</t>
  </si>
  <si>
    <t>Two different facets of architectural smells criticality: An empirical study</t>
  </si>
  <si>
    <t>https://www.scopus.com/inward/record.uri?eid=2-s2.0-85117851973&amp;partnerID=40&amp;md5=432dfcd59472a3cd505d933cd50bb82a</t>
  </si>
  <si>
    <t>Architectural smells (AS) represent symptoms of problems at architectural level that have an impact on architectural debt. It is important to identify among them the most critical ones, so that developers can prioritize them for their removal. In order to evaluate the criticality of AS, in this paper we consider two facets: the PageRank metric, to assess the centrality of a smell in a project, and Severity, a metric to estimate the cost-solving of smells. We have proposed these two metrics in a previous work and here we perform an empirical analysis of the evolution and correlation of these metrics in the version history of 10 projects (at least 22 versions each, 264 projects in total). The analysis of the evolution is useful in order to identify which architectural smells types tend to become more critical. The analysis of the correlation is useful to study whether the criticality of a smell has an influence on how much it costs to remove it, and vice-versa. © 2021 Copyright for this paper by its authors. Use permitted under Creative Commons License Attribution 4.0 International (CC BY 4.0).</t>
  </si>
  <si>
    <t>An empirical study of quick remedy commits</t>
  </si>
  <si>
    <t>60 – 71</t>
  </si>
  <si>
    <t>https://www.scopus.com/inward/record.uri?eid=2-s2.0-85091937445&amp;doi=10.1145%2f3387904.3389266&amp;partnerID=40&amp;md5=7a8ca882dca784a107b4c148971c9ccd;http://dx.doi.org/10.1145/3387904.3389266</t>
  </si>
  <si>
    <t>10.1145/3387904.3389266</t>
  </si>
  <si>
    <t>Software systems are continuously modified to implement newfeatures, to fix bugs, and to improve quality attributes. Most of theseactivities are not atomic changes, but rather the result of severalrelated changes affecting different parts of the code. For this reason,it may happen that developers omit some of the needed changesand, as a consequence, leave a task partially unfinished, introducetechnical debt or, in the worst case scenario, inject bugs. Knowingthe changes that are mistakenly omitted by developers can helpin designing recommender systems able to automatically identifyrisky situations in which, for example, the developer is likely to bepushing an incomplete change to the software repository.We present a qualitative study investigating quick remedy commitsperformed by developers with the goal of implementingchanges omitted in previous commits. With quick remedy commitswe refer to commits that (i) quickly follow a commit performed bythe same developer in the same repository, and (ii) aim at remedying issues introduced as the result of code changes omitted in theprevious commit (e.g., fix references to code components that havebeen broken as a consequence of a rename refactoring). Through amanual analysis of 500 quick remedy commits, we define a taxonomy categorizing the types of changes that developers tend to omit.The defined taxonomy can guide the development of tools aimedat detecting omitted changes, and possibly autocomplete them. © 2020 Copyright held by the owner/author(s). Publication rights licensed to ACM.</t>
  </si>
  <si>
    <t>Santos RM,Santos IM,Júnior MC,Mendonça M</t>
  </si>
  <si>
    <t>Evaluating a LSTM Neural Network and a Word2vec Model in the Classification of Self-admitted Technical Debts and Their Types in Code Comments</t>
  </si>
  <si>
    <t>542 – 559</t>
  </si>
  <si>
    <t>https://www.scopus.com/inward/record.uri?eid=2-s2.0-85106397061&amp;doi=10.1007%2f978-3-030-75418-1_25&amp;partnerID=40&amp;md5=e16bc689de5b2986b70c89a82c3a996f;http://dx.doi.org/10.1007/978-3-030-75418-1_25</t>
  </si>
  <si>
    <t>10.1007/978-3-030-75418-1_25</t>
  </si>
  <si>
    <t>Context: Software development teams constantly opt for faster, lower quality solutions to solve current problems without planning for the future. This situation will have a negative long-term impact and is called technical debt. Similar to a financial debt, technical debts require interest payments and must be managed and detected so that the team can evaluate the best way to deal with them. One way to detect technical debts is through classification of source code comments. Developers often insert comments warning of the need to improve their own code in the future. This is known as Self-Admitted Technical Debt (SATD). Objective: Combine Word2vec for word embedding with a Long short-term memory (LSTM) neural network model to identify SATDs from comments in source code and compare with other studies and LSTM without word embedding. Method: We plan and execute an experimental process with model’s effectiveness data validation. Results: In general, the classification improves when all SATD types were grouped in a single label. In relation to other studies, the LSTM model with Word2vec achieved better recall and f-measure. The LSTM model without word embedding achieves greater recall, but perform worse in precision and f-measure. Conclusion: We found evidence that LSTM models combined with word embedding are promising for the development a more effective SATD classifier. © 2021, Springer Nature Switzerland AG.</t>
  </si>
  <si>
    <t>Maipradit R,Lin B,Nagy C,Bavota G,Lanza M,Hata H,Matsumoto K</t>
  </si>
  <si>
    <t>Automated Identification of On-hold Self-Admitted Technical Debt</t>
  </si>
  <si>
    <t>54 – 64</t>
  </si>
  <si>
    <t>https://www.scopus.com/inward/record.uri?eid=2-s2.0-85097642624&amp;doi=10.1109%2fSCAM51674.2020.00011&amp;partnerID=40&amp;md5=546e6224a37a8c2f83e5f1025cdcc7d1;http://dx.doi.org/10.1109/SCAM51674.2020.00011</t>
  </si>
  <si>
    <t>10.1109/SCAM51674.2020.00011</t>
  </si>
  <si>
    <t>Modern software is developed under considerable time pressure, which implies that developers more often than not have to resort to compromises when it comes to code that is well written and code that just does the job. This has led over the past decades to the concept of 'technical debt', a short-Term hack that potentially generates long-Term maintenance problems. Self-Admitted technical debt (SATD) is a particular form of technical debt: developers consciously perform the hack but also document it in the code by adding comments as a reminder (or as an admission of guilt). We focus on a specific type of SATD, namely 'On-hold' SATD, in which developers document in their comments the need to halt an implementation task due to conditions outside of their scope of work (e.g., an open issue must be closed before a function can be implemented).We present an approach, based on regular expressions and machine learning, which is able to detect issues referenced in code comments, and to automatically classify the detected instances as either 'On-hold' (the issue is referenced to indicate the need to wait for its resolution before completing a task), or as 'cross-reference', (the issue is referenced to document the code, for example to explain the rationale behind an implementation choice). Our approach also mines the issue tracker of the projects to check if the On-hold SATD instances are 'superfluous' and can be removed (i.e., the referenced issue has been closed, but the SATD is still in the code). Our evaluation confirms that our approach can indeed identify relevant instances of On-hold SATD. We illustrate its usefulness by identifying superfluous On-hold SATD instances in open source projects as confirmed by the original developers. © 2020 IEEE.</t>
  </si>
  <si>
    <t>Zupon A,Alexeeva M,Valenzuela-Escárcega MA,Nagesh A,Surdeanu M</t>
  </si>
  <si>
    <t>Lightly-supervised representation learning with global interpretability</t>
  </si>
  <si>
    <t>18 – 28</t>
  </si>
  <si>
    <t>https://www.scopus.com/inward/record.uri?eid=2-s2.0-85084229748&amp;partnerID=40&amp;md5=083c4b246ba4671ff93e574d57b0692d</t>
  </si>
  <si>
    <t>We propose a lightly-supervised approach for information extraction, in particular named entity classification, which combines the benefits of traditional bootstrapping, i.e., use of limited annotations and interpretability of extraction patterns, with the robust learning approaches proposed in representation learning. Our algorithm iteratively learns custom embeddings for both the multi-word entities to be extracted and the patterns that match them from a few example entities per category. We demonstrate that this representation-based approach outperforms three other state-of-the-art bootstrapping approaches on two datasets: CoNLL-2003 and OntoNotes. Additionally, using these embeddings, our approach outputs a globally-interpretable model consisting of a decision list, by ranking patterns based on their proximity to the average entity embedding in a given class. We show that this interpretable model performs close to our complete bootstrapping model, proving that representation learning can be used to produce interpretable models with small loss in performance. This decision list can be edited by human experts to mitigate some of that loss and in some cases outperform the original model. © 2019 Association for Computational Linguistics.</t>
  </si>
  <si>
    <t>Deeb S,Benidris M,Ammar H,Dzielski D</t>
  </si>
  <si>
    <t>269 – 288</t>
  </si>
  <si>
    <t>https://www.scopus.com/inward/record.uri?eid=2-s2.0-85102010209&amp;doi=10.1142%2fS021819402150008X&amp;partnerID=40&amp;md5=dbf2dc671d419b196d65a4aa0bb0126e;http://dx.doi.org/10.1142/S021819402150008X</t>
  </si>
  <si>
    <t>Paying-off the Architectural Technical Debt by refactoring the flawed code is important to control the debt and to keep it as low as possible. Project Managers tend to delay paying off this debt because they face difficulties in comparing the cost of the refactoring against the benefits gained. These managers need to estimate the cost and the efforts required to conduct these refactoring activities as well as to decide which flaws have higher priority to be refactored. Our research is based on a dataset used by other researchers that study the technical debt. It includes more than 18,000 refactoring operations performed on 33 apache java projects. We applied the COCOMO II:2000 model to calculate the refactoring cost in person-months units per release. Furthermore, we investigated the correlation between the refactoring efforts and two static code metrics of the refactored code. The research revealed a weak correlation between the refactoring efforts and the size of the project, and a moderate correlation with the code complexity. Finally, we applied the DesigniteJava tool to verify our research results. From the analysis we found a significant correlation between the ranking of the architecture smells and the ranking of refactoring efforts for each package. Using machine learning practices, we took the architecture smells level and the code metrics of each release as an input to predict the levels of the refactoring effort of the next release. We calculated the results using our model and found that we can predict the 'High' and 'Very High' levels, the most significant levels from managers' perspective, with 93% accuracy. © 2021 World Scientific Publishing Company.</t>
  </si>
  <si>
    <t>Rivero L,Diniz J,Silva G,Borralho G,Braz Junior G,Paiva A,Alves E,Oliveira M</t>
  </si>
  <si>
    <t>Deployment of a Machine Learning System for Predicting Lawsuits against Power Companies: Lessons Learned from an Agile Testing Experience for Improving Software Quality</t>
  </si>
  <si>
    <t>https://www.scopus.com/inward/record.uri?eid=2-s2.0-85102876306&amp;doi=10.1145%2f3439961.3439991&amp;partnerID=40&amp;md5=ddef4fc9d5751caf581e9bf85ad76ca1;http://dx.doi.org/10.1145/3439961.3439991</t>
  </si>
  <si>
    <t>10.1145/3439961.3439991</t>
  </si>
  <si>
    <t>The advances in Machine Learning (ML) require software organizations to evolve their development processes in order to improve the quality of ML systems. Within the software development process, the testing stage of an ML system is more critical, considering that it is necessary to add data validation, trained model quality evaluation, and model validation to traditional unit, integration tests and system tests. In this paper, we focus on reporting the lessons learned of using model testing and exploratory testing within the context of the agile development process of an ML system that predicts lawsuits proneness in energy supply companies. Through the development of the project, the SCRUM agile methodology was applied and activities related to the development of the ML model and the development of the end-user application were defined. After the testing process of the ML model, we managed to achieve 93.89 accuracy; 95.58 specificity; 88.84 sensitivity; and 87.09 precision. Furthermore, we focused on the quality of use of the application embedding the ML model, by carrying out exploratory testing. As a result, through several iterations, different types of defects were identified and corrected. Our lessons learned support software engineers willing to develop ML systems that consider both the ML model and the end-user application. © 2020 ACM.</t>
  </si>
  <si>
    <t>Perez B,Castellanos C,Correal D</t>
  </si>
  <si>
    <t>A computational model of a natural language processing system for architectural technical debt management</t>
  </si>
  <si>
    <t>Institute of Physics Publishing</t>
  </si>
  <si>
    <t>https://www.scopus.com/inward/record.uri?eid=2-s2.0-85090758196&amp;doi=10.1088%2f1742-6596%2f1587%2f1%2f012020&amp;partnerID=40&amp;md5=9bee82f46c9d3f49ef99493a9ef37493;http://dx.doi.org/10.1088/1742-6596/1587/1/012020</t>
  </si>
  <si>
    <t>10.1088/1742-6596/1587/1/012020</t>
  </si>
  <si>
    <t>Technical debt is a concept applied to decisions taken to favor rapid production, at the expense of future capacities to evolve or improve the product or service. This concept is transversal to all sciences, especially in experimental physics and systems. However, technical debt is difficult to manage because there is a lack of time, expertise, or knowledge on how to perform it. This paper proposes a computational model of technical debt management in software architecture, based on observations made in software teams in their daily work. This computational model exploits natural language processing and model-testing techniques on software project artifacts to build a model that allows localizing and visualizing the impact produced by the technical debt and its payment strategies. This proposal aims to support teams of architects to explain the current and future impact of the debt injected as a result of decisions made. © 2020 Published under licence by IOP Publishing Ltd.</t>
  </si>
  <si>
    <t>Le DM,Karthik S,Laser MS,Medvidovic N</t>
  </si>
  <si>
    <t>Architectural Decay as Predictor of Issue- And Change-Proneness</t>
  </si>
  <si>
    <t>92 – 103</t>
  </si>
  <si>
    <t>https://www.scopus.com/inward/record.uri?eid=2-s2.0-85107013733&amp;doi=10.1109%2fICSA51549.2021.00017&amp;partnerID=40&amp;md5=aee284cea4e0fb4c88be97c22261b155;http://dx.doi.org/10.1109/ICSA51549.2021.00017</t>
  </si>
  <si>
    <t>10.1109/ICSA51549.2021.00017</t>
  </si>
  <si>
    <t>Architectural decay imposes real costs in terms of developer effort, system correctness, and performance. Over time, those problems are likely to be revealed as explicit implementation issues (defects, feature changes, etc.). Recent empirical studies have demonstrated that there is a significant correlation between architectural smells- manifestations of architectural decay - and implementation issues. In this paper, we take a step further in exploring this phenomenon. We analyze the available development data from 10 open-source software systems and show that information regarding current architectural decay in these systems can be used to build models that accurately predict future issue-proneness and change-proneness of the systems' implementations. As a less intuitive result, we also show that, in cases where historical data for a system is unavailable, such data from other, unrelated systems can provide reasonably accurate issue- and change-proneness prediction capabilities. © 2021 IEEE.</t>
  </si>
  <si>
    <t>Guo S,Chen X,Yu D</t>
  </si>
  <si>
    <t>Defect Report Severity Prediction Based on Genetic Algorithms and Convolutional Neural Network</t>
  </si>
  <si>
    <t>17 – 24</t>
  </si>
  <si>
    <t>https://www.scopus.com/inward/record.uri?eid=2-s2.0-85105369998&amp;doi=10.1109%2fTASE49443.2020.00012&amp;partnerID=40&amp;md5=4698bb49666119a0b843832b20db9c1c;http://dx.doi.org/10.1109/TASE49443.2020.00012</t>
  </si>
  <si>
    <t>10.1109/TASE49443.2020.00012</t>
  </si>
  <si>
    <t>In software maintainence, defect report severity prediction is an important task which can effectively help developer judge the urgency of defects. However, manually classifying the severity of defect reports is very time consuming and tedious. Recently, researchers have proposed many advanced methods to automate the severity prediction of defect reports. But there is still room for improvement in performance. Therefore, in this paper, we propose a distinctive method for automatically identifying the severity of software defect reports using convolutional neural network (CNN). We first preprocess defect reports and select textual features by genetic algorithms (GA). Then, the Word2Vec model is employed to generate word vectors for the selected features in each defect report. Finally we train the classifier based on CNN and leverage the trained classifier to predict the severity of defect reports. To validate the performance of our method, we experiment with defect reports from four open source projects and compare our method with three common machine learning methods. The experimental results show that our method achieves 77.38 % in terms of precision, 62.09 % in terms of recall and 68.76% in terms of Fl-score on average, and outperforms the best baseline method by 11.61 %, 7.23% and 9.32%, respectively. © 2020 IEEE.</t>
  </si>
  <si>
    <t>Rosser LA,Ouzzif Z</t>
  </si>
  <si>
    <t>Technical Debt in Hardware Systems and Elements</t>
  </si>
  <si>
    <t>1095-323X</t>
  </si>
  <si>
    <t>https://www.scopus.com/inward/record.uri?eid=2-s2.0-85111389737&amp;doi=10.1109%2fAERO50100.2021.9438332&amp;partnerID=40&amp;md5=795ec34083622a90acb3a26c720febaa;http://dx.doi.org/10.1109/AERO50100.2021.9438332</t>
  </si>
  <si>
    <t>10.1109/AERO50100.2021.9438332</t>
  </si>
  <si>
    <t>This paper explores the application of the technical debt metaphor to hardware-centric systems. We specifically evaluate how technical debt impacts hardware development and how it can best be handled. Technical debt management can help make better decisions by tracking the debt that is building up in hardware elements and objectively assessing when correcting technical debt items is more cost-effective than allowing them to continue to charge interest in the form of lower productivity and higher risk. Technical debt management has shown great value in the software development field, and recent applications show that the concept can be applied to other engineering disciplines, including systems engineering. There has been less research into technical debt in hardware systems, but many of the same concerns - dependencies, complexity, patterns and conventions, integration, and non-functional requirements - apply. In this paper, we will describe applications of known technical debt types, such as architectural debt, implementation debt, configuration debt, modeling and simulation debt, quality debt, integration debt and testing debt, to hardware centric environments. Then, we will analyze a set of hardware-centric programs for concrete examples of technical debt and their impact. Based on this information, we will expand the definition of System Technical Debt and recommend approaches for identifying, managing, and eliminating technical debt in hardware-centric systems. © 2021 IEEE.</t>
  </si>
  <si>
    <t>Palomba F,Tamburri DA</t>
  </si>
  <si>
    <t>Predicting the emergence of community smells using socio-technical metrics: A machine-learning approach</t>
  </si>
  <si>
    <t>https://www.scopus.com/inward/record.uri?eid=2-s2.0-85093986587&amp;doi=10.1016%2fj.jss.2020.110847&amp;partnerID=40&amp;md5=0a10ae423a46f93ffb1d25251416e0b9;http://dx.doi.org/10.1016/j.jss.2020.110847</t>
  </si>
  <si>
    <t>10.1016/j.jss.2020.110847</t>
  </si>
  <si>
    <t>Community smells represent sub-optimal conditions appearing within software development communities (e.g., non-communicating sub-teams, deviant contributors, etc.) that may lead to the emergence of social debt and increase the overall project's cost. Previous work has studied these smells under different perspectives, investigating their nature, diffuseness, and impact on technical aspects of source code. Furthermore, it has been shown that some socio-technical metrics like, for instance, the well-known socio-technical congruence, can potentially be employed to foresee their appearance. Yet, there is still a lack of knowledge of the actual predictive power of such socio-technical metrics. In this paper, we aim at tackling this problem by empirically investigating (i) the potential value of socio-technical metrics as predictors of community smells and (ii) what is the performance of within- and cross-project community smell prediction models based on socio-technical metrics. To this aim, we exploit a dataset composed of 60 open-source projects and consider four community smells such as ORGANIZATIONAL SILO, BLACK CLOUD, LONE WOLF, and BOTTLENECK. The key results of our work report that a within-project solution can reach F-Measure and AUC-ROC of 77% and 78%, respectively, while cross-project models still require improvements, being however able to reach an F-Measure of 62% and overcome a random baseline. Among the metrics investigated, socio-technical congruence, communicability, and turnover-related metrics are the most powerful predictors of the emergence of community smells. © 2020</t>
  </si>
  <si>
    <t>Cited by: 19</t>
  </si>
  <si>
    <t>A Machine Learning Based Framework for Continuous Defect Prediction in CI/CD Pipelines</t>
  </si>
  <si>
    <t>https://www.scopus.com/inward/record.uri?eid=2-s2.0-85127155397&amp;partnerID=40&amp;md5=51baded0bda5f7d705bec12e82951857</t>
  </si>
  <si>
    <t>Recent advances in information technology has led to an increasing number of applications to be developed and maintained daily by product teams. Ensuring that a software application works as expected and that it is absent of bugs requires a lot of time and resources. Thanks to the recent adoption of DevOps methodologies, it is often the case where code commits and application builds are centralized and standardized. Thanks to this new approach, it is now possible to retrieve log and build data to ease the development and management operations of product teams. However, even if such approaches include code control to detect unit or integration errors, they do not check for the presence of logical bugs that can raise after code builds. For such reasons in this work we propose a framework for continuous defect prediction based on machine learning algorithms trained on a publicly available dataset. The framework is composed of a machine learning model for detecting the presence of logical bugs in code on the basis of the available data generated by DevOps tools and a dashboard to monitor the software projects status. We also describe the serverless architecture we designed for hosting the aforementioned framework. Copyright © 2021 for this paper by its authors.</t>
  </si>
  <si>
    <t>Eckroth J</t>
  </si>
  <si>
    <t>Evolution of a robust artificial intelligence system: A case study of the association for the advancement of artificial intelligence's AI-Alert</t>
  </si>
  <si>
    <t>AI Magazine</t>
  </si>
  <si>
    <t>17 – 38</t>
  </si>
  <si>
    <t>AI Access Foundation</t>
  </si>
  <si>
    <t>0738-4602</t>
  </si>
  <si>
    <t>https://www.scopus.com/inward/record.uri?eid=2-s2.0-85101223219&amp;doi=10.1609%2faimag.v41i4.5309&amp;partnerID=40&amp;md5=a9ed703a7b5f5832914788a47107f701;http://dx.doi.org/10.1609/aimag.v41i4.5309</t>
  </si>
  <si>
    <t>10.1609/aimag.v41i4.5309</t>
  </si>
  <si>
    <t>Since mid-2018, we have used a suite of artificial intelligence (AI) technologies to automatically generate the Association for the Advancement of Artificial Intelligence's AI-Alert, a weekly email sent to all Association for the Advancement of Artificial Intelligence members and thousands of other subscribers. This alert contains ten news stories from around the web that focus on some aspect of AI, such as new AI inventions, AI's use in various industries, and AI's impacts in our daily lives. This alert was curated by-hand for a decade before we developed AI technology for automation, which we call “NewsFinder.” Recently, we redesigned this automation and ran a six-month experiment on user engagement to ensure the new approach was successful. This article documents our design considerations and requirements, our implementation (which involves web crawling, document classification, and a genetic algorithm for story selection), and our reflections after a year and a half since deploying this technology. Copyright © 2020, Association for the Advancement of Artificial Intelligence. All rights reserved. ISSN 0738-4602</t>
  </si>
  <si>
    <t>Sridharan M,Mantyla M,Rantala L,Claes M</t>
  </si>
  <si>
    <t>Data balancing improves self-admitted technical debt detection</t>
  </si>
  <si>
    <t>358 – 368</t>
  </si>
  <si>
    <t>https://www.scopus.com/inward/record.uri?eid=2-s2.0-85113608396&amp;doi=10.1109%2fMSR52588.2021.00048&amp;partnerID=40&amp;md5=8372a320829643fa3dbaaf4903e3d57e;http://dx.doi.org/10.1109/MSR52588.2021.00048</t>
  </si>
  <si>
    <t>10.1109/MSR52588.2021.00048</t>
  </si>
  <si>
    <t>A high imbalance exists between technical debt and non-technical debt source code comments. Such imbalance affects Self-Admitted Technical Debt (SATD) detection performance, and existing literature lacks empirical evidence on the choice of balancing technique. In this work, we evaluate the impact of multiple balancing techniques, including Data level, Classifier level, and Hybrid, for SATD detection in Within-Project and Cross-Project setup. Our results show that the Data level balancing technique SMOTE or Classifier level Ensemble approaches Random Forest or XGBoost are reasonable choices depending on whether the goal is to maximize Precision, Recall, F1, or AUC-ROC. We compared our best-performing model with the previous SATD detection benchmark (cost-sensitive Convolution Neural Network). Interestingly the top-performing XGBoost with SMOTE sampling improved the Within-project F1 score by 10% but fell short in Cross-Project set up by 9%. This supports the higher generalization capability of deep learning in Cross-Project SATD detection, yet while working within individual projects, classical machine learning algorithms can deliver better performance. We also evaluate and quantify the impact of duplicate source code comments in SATD detection performance. Finally, we employ SHAP and discuss the interpreted SATD features. We have included the replication package1 and shared a web-based SATD prediction tool2 with the balancing techniques in this study. © 2021 IEEE.</t>
  </si>
  <si>
    <t>Kaymakci C,Wenninger S,Sauer A</t>
  </si>
  <si>
    <t>A Holistic Framework for AI Systems in Industrial Applications</t>
  </si>
  <si>
    <t>78 – 93</t>
  </si>
  <si>
    <t>2195-4968</t>
  </si>
  <si>
    <t>https://www.scopus.com/inward/record.uri?eid=2-s2.0-85118117926&amp;doi=10.1007%2f978-3-030-86797-3_6&amp;partnerID=40&amp;md5=7d50167056c58c12b24f121cd1a5a9fb;http://dx.doi.org/10.1007/978-3-030-86797-3_6</t>
  </si>
  <si>
    <t>10.1007/978-3-030-86797-3_6</t>
  </si>
  <si>
    <t>Although several promising use cases for artificial intelligence (AI) for manufacturing companies have been identified, these are not yet widely used. Existing literature covers a variety of frameworks, methods and processes related to AI systems. However, the application of AI systems in manufacturing companies lacks a uniform understanding of components and functionalities as well as a structured process that supports developers and project managers in planning, implementing, and optimizing AI systems. To close this gap, we develop a generic conceptual model of an AI system for the application in manufacturing systems and a four-phase model to guide developers and project managers through the realization of AI systems. © 2021, The Author(s), under exclusive license to Springer Nature Switzerland AG.</t>
  </si>
  <si>
    <t>Pecorelli F,Di Nucci D,De Roover C,De Lucia A</t>
  </si>
  <si>
    <t>A large empirical assessment of the role of data balancing in machine-learning-based code smell detection</t>
  </si>
  <si>
    <t>https://www.scopus.com/inward/record.uri?eid=2-s2.0-85086465273&amp;doi=10.1016%2fj.jss.2020.110693&amp;partnerID=40&amp;md5=c52d1386d8458354f2e436c3ae9006dc;http://dx.doi.org/10.1016/j.jss.2020.110693</t>
  </si>
  <si>
    <t>10.1016/j.jss.2020.110693</t>
  </si>
  <si>
    <t>Code smells can compromise software quality in the long term by inducing technical debt. For this reason, many approaches aimed at identifying these design flaws have been proposed in the last decade. Most of them are based on heuristics in which a set of metrics is used to detect smelly code components. However, these techniques suffer from subjective interpretations, a low agreement between detectors, and threshold dependability. To overcome these limitations, previous work applied Machine-Learning that can learn from previous datasets without needing any threshold definition. However, more recent work has shown that Machine-Learning is not always suitable for code smell detection due to the highly imbalanced nature of the problem. In this study, we investigate five approaches to mitigate data imbalance issues to understand their impact on Machine Learning-based approaches for code smell detection in Object-Oriented systems and those implementing the Model-View-Controller pattern. Our findings show that avoiding balancing does not dramatically impact accuracy. Existing data balancing techniques are inadequate for code smell detection leading to poor accuracy for Machine-Learning-based approaches. Therefore, new metrics to exploit different software characteristics and new techniques to effectively combine them are needed. © 2020 Elsevier Inc.</t>
  </si>
  <si>
    <t>Cited by: 27; All Open Access, Green Open Access</t>
  </si>
  <si>
    <t>Alomar EA,Peruma A,Mkaouer MW,Newman CD,Ouni A</t>
  </si>
  <si>
    <t>Behind the scenes: On the relationship between developer experience and refactoring</t>
  </si>
  <si>
    <t>https://www.scopus.com/inward/record.uri?eid=2-s2.0-85118239166&amp;doi=10.1002%2fsmr.2395&amp;partnerID=40&amp;md5=9de955604d3db3070dcb8e03e1eeaa85;http://dx.doi.org/10.1002/smr.2395</t>
  </si>
  <si>
    <t>10.1002/smr.2395</t>
  </si>
  <si>
    <t>Refactoring is widely recognized as one of the efficient techniques to manage technical debt and maintain a healthy software project through enforcing best design practices, or coping with design defects. Previous refactoring surveys have shown that code refactoring activities are mainly executed by developers who have sufficient knowledge of the system's design, and disposing of leadership roles in their development teams. However, these surveys were mainly limited to specific projects and companies. In this paper, we explore the generalizability of the previous results by analyzing 800 open-source projects. We mine their refactoring activities, and we identify their corresponding contributors. Then, we associate an experience score to each contributor in order to test various hypotheses related to whether developers with higher scores tend to (1) perform a higher number of refactoring operations, (2) exhibit different motivations behind their refactoring, and (3) better document their refactoring activity. We found that (1) although refactoring is not restricted to a subset of developers, those with higher contribution scores tend to perform more refactorings than others; (2) although there is no correlation between experience and motivation behind refactoring, top contributed developers are found to perform a wider variety of refactoring operations, regardless of their complexity; and (3) top contributed developer tend to document less their refactoring activity. Our qualitative analysis of three randomly sampled projects shows that the developers who are responsible for the majority of refactoring activities are typically in advanced positions in their development teams, demonstrating their extensive knowledge of the design of the systems they contribute to. © 2021 John Wiley &amp; Sons, Ltd.</t>
  </si>
  <si>
    <t>Zheng W,Chen Z,Wu X,Fu W,Sun B,Cheng J</t>
  </si>
  <si>
    <t>A Domain Knowledge-Guided Lightweight Approach for Security Bug Reports Prediction</t>
  </si>
  <si>
    <t>359 – 368</t>
  </si>
  <si>
    <t>https://www.scopus.com/inward/record.uri?eid=2-s2.0-85123492277&amp;doi=10.1109%2fDSA52907.2021.00055&amp;partnerID=40&amp;md5=9b1bcf38e138c663e9b343d5a5e75879;http://dx.doi.org/10.1109/DSA52907.2021.00055</t>
  </si>
  <si>
    <t>10.1109/DSA52907.2021.00055</t>
  </si>
  <si>
    <t>Security bug report (SBR) prediction has been increasingly investigated for eliminating security attack risks of software products. However, there is still much room for improving the performance of automatic SBR prediction. This work is inspired by the work of two recent studies proposed by Peters et al. and Wu et al., which are focused on SBR prediction and both published on the top tier journal TSE (Transactions on Software Engineering). The goal of this work is to improve the effectiveness of supervised machine learning-based SBR prediction with the help of software security domain knowledge. It first extracts software security domain knowledge from CWE (Common Weakness Enumeration) and CVE (Common Vulnerabilities Exposure), which are authoritative sources of software vulnerability. After that, the matrix of bug reports is generated based on the roots of security domain keywords. Large-scale experiments are conducted on a set of trustworthy datasets cleaned by Wu et al. The results show our domain knowledge-guided approach could improve the effectiveness of SBR prediction by 25% in terms of F1-score on average. © 2021 IEEE.</t>
  </si>
  <si>
    <t>Robles-Aguilar A,Ocharan-Hernandez JO,Sanchez-Garcia AJ,Limon X</t>
  </si>
  <si>
    <t>Software Design and Artificial Intelligence: A Systematic Mapping Study</t>
  </si>
  <si>
    <t>132 – 141</t>
  </si>
  <si>
    <t>https://www.scopus.com/inward/record.uri?eid=2-s2.0-85124488705&amp;doi=10.1109%2fCONISOFT52520.2021.00028&amp;partnerID=40&amp;md5=ebefa12026a77220dce39f944ef93726;http://dx.doi.org/10.1109/CONISOFT52520.2021.00028</t>
  </si>
  <si>
    <t>10.1109/CONISOFT52520.2021.00028</t>
  </si>
  <si>
    <t>Software Design (SD from now on) is a critical process in the Software Development Life Cycle. Like all processes, there is a constant search for the improvement of SD activities. Artificial Intelligence (AI) has proven to be an effective tool to perform activities of any kind, this includes SD assisting. This study presents the state of the art related to the application of AI techniques in SD activities, in order to achieve this goal, we carried out a systematic mapping study consisting of 36 papers. The studies reported the use of 28 AI techniques, such as Neural Networks and Decision Trees; considering 20 SD activities, like diagram generation and design pattern detection. The inclusion of AI techniques in SD is an increasing trend in software development. The collected studies demonstrate the effectiveness of This inclusion, showing successful applications, which in turn may create more interest in the coupling of AI and SD in further studies. © 2021 IEEE.</t>
  </si>
  <si>
    <t>Lai TD</t>
  </si>
  <si>
    <t>Towards the generation of machine learning defect reports</t>
  </si>
  <si>
    <t>1038 – 1042</t>
  </si>
  <si>
    <t>https://www.scopus.com/inward/record.uri?eid=2-s2.0-85125441263&amp;doi=10.1109%2fASE51524.2021.9678592&amp;partnerID=40&amp;md5=aec529ae74edbde13c5e9566de28f835;http://dx.doi.org/10.1109/ASE51524.2021.9678592</t>
  </si>
  <si>
    <t>10.1109/ASE51524.2021.9678592</t>
  </si>
  <si>
    <t>Effective locating and fixing defects requires detailed defect reports. Unlike traditional software systems, machine learning applications are subject defects caused from changes in the input data streams (concept drift) and assumptions encoded into models. Without appropriate training, developers face difficulties understanding and interpreting faults in machine learning (ML). However, little research is done on how to prepare developers to detect and investigate machine learning system defects. Software engineers often do not have sufficient knowledge to fix the issues themselves without the help of data scientists or domain experts. To investigate this issue, we analyse issue templates and check how developers report machine learning related issues in open-source applied AI projects. The overall goal is to develop a tool for automatically repairing ML defects or generating defect reports if a fix cannot be made. Previous research has identified classes of faults specific to machine learning systems, such as performance degradation arising from concept drift where the machine learning model is no longer aligned with the real-world environment. However, the current issue templates that developers use do not seem to capture the information needed. This research seeks to systematically develop a two-way human-machine information exchange protocol to support domain experts, software engineers, and data scientists to collaboratively detect, report, and respond to these new classes of faults. © 2021 IEEE.</t>
  </si>
  <si>
    <t>Goller M,Tomforde S</t>
  </si>
  <si>
    <t>Towards a Continuous Assessment of Stability in (Self-)Adaptation Behaviour</t>
  </si>
  <si>
    <t>154 – 159</t>
  </si>
  <si>
    <t>https://www.scopus.com/inward/record.uri?eid=2-s2.0-85092742482&amp;doi=10.1109%2fACSOS-C51401.2020.00048&amp;partnerID=40&amp;md5=795fa76009b0b5c46ad117f886187237;http://dx.doi.org/10.1109/ACSOS-C51401.2020.00048</t>
  </si>
  <si>
    <t>10.1109/ACSOS-C51401.2020.00048</t>
  </si>
  <si>
    <t>Self-adaptation and self-organisation (SASO) have been introduced to technical systems as a response to the ever increasing complexity and interconnectedness of component systems. The basic idea is to react to environmental dynamics and disturbances by re-configuring the productive behaviour and/or the relations to other systems. In this paper, we assume that too frequent and too strong adaptation behaviour is not desirable-in turn, we have to determine a trade-off between stability and optimal utility. This is assumed to result in a kind of selfawareness for the overall SASO system. Therefore, we describe a first concept to measure stability and analyse the behaviour in two example scenarios. © 2020 IEEE.</t>
  </si>
  <si>
    <t>Lavazza L,Morasca S,Tosi D</t>
  </si>
  <si>
    <t>Comparing Static Analysis and Code Smells as Defect Predictors: An Empirical Study</t>
  </si>
  <si>
    <t>IFIP Advances in Information and Communication Technology</t>
  </si>
  <si>
    <t>1 – 15</t>
  </si>
  <si>
    <t>1868-4238</t>
  </si>
  <si>
    <t>https://www.scopus.com/inward/record.uri?eid=2-s2.0-85106148361&amp;doi=10.1007%2f978-3-030-75251-4_1&amp;partnerID=40&amp;md5=db22e5d3804b44fd6c2ede9e3007f0cc;http://dx.doi.org/10.1007/978-3-030-75251-4_1</t>
  </si>
  <si>
    <t>10.1007/978-3-030-75251-4_1</t>
  </si>
  <si>
    <t>Background. Industrial software increasingly relies on open source software. Therefore, industrial practitioners need to evaluate the quality of a specific open source product they are considering for adoption. Automated tools greatly help assess open source software quality, by reducing the related costs, but do not provide perfectly reliable indications. Indications from tools can be used to restrict and focus manual code inspections, which are typically expensive and time-consuming, only on the code sections most likely to contain faults. Aim. We investigate the extent of the effectiveness of static analysis bug detectors by themselves and in combination with code smell detectors in guiding inspections. Method. We performed an empirical study, in which we used a bug detector (SpotBugs) and a code smell detector (JDeodorant). Results. Our results show that the selected bug detector is precise enough to justify inspecting the code it flags as possibly buggy. Applying the considered code smell detector makes predictions even more precise, but at the price of a rather low recall. Conclusions. Using the considered tools as inspection drivers proved quite useful. The relatively small size of our study does not allow us to draw universally valid conclusions, but our results should be applicable to source code of any kind, although they were obtained from open source code. © 2021, IFIP International Federation for Information Processing.</t>
  </si>
  <si>
    <t>Abubakar H,Obaidat MS,Gupta A,Bhattacharya P,Tanwar S</t>
  </si>
  <si>
    <t>Interplay of Machine Learning and Software Engineering for Quality Estimations</t>
  </si>
  <si>
    <t>https://www.scopus.com/inward/record.uri?eid=2-s2.0-85097841067&amp;doi=10.1109%2fCCCI49893.2020.9256507&amp;partnerID=40&amp;md5=3df520df1ae1119f3d35f5962b8a3923;http://dx.doi.org/10.1109/CCCI49893.2020.9256507</t>
  </si>
  <si>
    <t>10.1109/CCCI49893.2020.9256507</t>
  </si>
  <si>
    <t>In this era, the agile mindset has innovated the traditional software engineering (SE) process through the integration of DevOps flow engines, scrum iterations, and automation of continuous integration (CI) and continuous deployment (CD) cycles. However, the CI/CD integration requires manual code-revisions and refactoring at large scales. Recently, machine-learning (ML) is employed in SE that allows legacy codes to be highly dynamic, less coupling in related modules, automatic code versioning, and refactoring, with less coupling among related modules. However, over time, ML models tend to become bulky, with increasing monotonic losses during model training. To address this, SE techniques like code revisions are employed over ML codes to allow low-order training losses, that enables seamless and precise workflow structures. Motivated from the aforementioned discussions, the paper presents a systematic review of the close interplay of SE and ML and possible interactions in different applications. Suitable research questions and case studies are presented for possible adoption scenarios that depict the close ML-SE interplay share with each other, with the concluding remarks. The paper forms useful insights for ML engineers, data science practitioners, and SE quality estimators towards the building of efficient and scalable software solutions. © 2020 IEEE.</t>
  </si>
  <si>
    <t>Makinen S,Skogstrom H,Laaksonen E,Mikkonen T</t>
  </si>
  <si>
    <t>Who needs MLOps: What data scientists seek to accomplish and how can MLOps help?</t>
  </si>
  <si>
    <t>https://www.scopus.com/inward/record.uri?eid=2-s2.0-85113208599&amp;doi=10.1109%2fWAIN52551.2021.00024&amp;partnerID=40&amp;md5=0d73b7c7f817a297726b2293381e833d;http://dx.doi.org/10.1109/WAIN52551.2021.00024</t>
  </si>
  <si>
    <t>10.1109/WAIN52551.2021.00024</t>
  </si>
  <si>
    <t>Following continuous software engineering practices, there has been an increasing interest in rapid deployment of machine learning (ML) features, called MLOps. In this paper, we study the importance of MLOps in the context of data scientists' daily activities, based on a survey where we collected responses from 331 professionals from 63 different countries in ML domain, indicating on what they were working on in the last three months. Based on the results, up to 40% respondents say that they work with both models and infrastructure; the majority of the work revolves around relational and time series data; and the largest categories of problems to be solved are predictive analysis, time series data, and computer vision. The biggest perceived problems revolve around data, although there is some awareness of problems related to deploying models to production and related procedures. To hypothesise, we believe that organisations represented in the survey can be divided to three categories - (i) figuring out how to best use data; (ii) focusing on building the first models and getting them to production; and (iii) managing several models, their versions and training datasets, as well as retraining and frequent deployment of retrained models. In the results, the majority of respondents are in category (i) or (ii), focusing on data and models; however the benefits of MLOps only emerge in category (iii) when there is a need for frequent retraining and redeployment. Hence, setting up an MLOps pipeline is a natural step to take, when an organization takes the step from ML as a proof-of-concept to ML as a part of nominal activities. © 2021 IEEE.</t>
  </si>
  <si>
    <t>Cited by: 19; All Open Access, Green Open Access</t>
  </si>
  <si>
    <t>Sobrinho EV,De Lucia A,Maia MA</t>
  </si>
  <si>
    <t>A Systematic Literature Review on Bad Smells-5 W's: Which, When, What, Who, Where</t>
  </si>
  <si>
    <t>17 – 66</t>
  </si>
  <si>
    <t>https://www.scopus.com/inward/record.uri?eid=2-s2.0-85056326860&amp;doi=10.1109%2fTSE.2018.2880977&amp;partnerID=40&amp;md5=3145ed3c974b5ddd75547497935ef7e4;http://dx.doi.org/10.1109/TSE.2018.2880977</t>
  </si>
  <si>
    <t>10.1109/TSE.2018.2880977</t>
  </si>
  <si>
    <t>Bad smells are sub-optimal code structures that may represent problems needing attention. We conduct an extensive literature review on bad smells relying on a large body of knowledge from 1990 to 2017. We show that some smells are much more studied in the literature than others, and also that some of them are intrinsically inter-related (which). We give a perspective on how the research has been driven across time (when). In particular, while the interest in duplicated code emerged before the reference publications by Fowler and Beck and by Brown et al., other types of bad smells only started to be studied after these seminal publications, with an increasing trend in the last decade. We analyzed aims, findings, and respective experimental settings, and observed that the variability of these elements may be responsible for some apparently contradictory findings on bad smells (what). Moreover, we could observe that, in general, papers tend to study different types of smells at once. However, only a small percentage of those papers actually investigate possible relations between the respective smells (co-studies), i.e., each smell tends to be studied in isolation. Despite of a few relations between some types of bad smells have been investigated, there are other possible relations for further investigation. We also report that authors have different levels of interest in the subject, some of them publishing sporadically and others continuously (who). We observed that scientific connections are ruled by a large 'small world' connected graph among researchers and several small disconnected graphs. We also found that the communities studying duplicated code and other types of bad smells are largely separated. Finally, we observed that some venues are more likely to disseminate knowledge on Duplicate Code (which often is listed as a conference topic on its own), while others have a more balanced distribution among other smells (where). Finally, we provide a discussion on future directions for bad smell research. © 1976-2012 IEEE.</t>
  </si>
  <si>
    <t>Cited by: 21</t>
  </si>
  <si>
    <t>Saputri TR,Lee SW</t>
  </si>
  <si>
    <t>Integrated framework for incorporating sustainability design in software engineering life-cycle: An empirical study</t>
  </si>
  <si>
    <t>https://www.scopus.com/inward/record.uri?eid=2-s2.0-85090829243&amp;doi=10.1016%2fj.infsof.2020.106407&amp;partnerID=40&amp;md5=e9b5fb3b887707760b670b7e2f86f52b;http://dx.doi.org/10.1016/j.infsof.2020.106407</t>
  </si>
  <si>
    <t>10.1016/j.infsof.2020.106407</t>
  </si>
  <si>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 © 2020 Elsevier B.V.</t>
  </si>
  <si>
    <t>Cited by: 11</t>
  </si>
  <si>
    <t>Lenarduzzi V,Palomba F,Taibi D,Tamburri DA</t>
  </si>
  <si>
    <t>OpenSZZ: A free, open-source, web-accessible implementation of the SZZ algorithm</t>
  </si>
  <si>
    <t>446 – 450</t>
  </si>
  <si>
    <t>https://www.scopus.com/inward/record.uri?eid=2-s2.0-85091933740&amp;doi=10.1145%2f3387904.3389295&amp;partnerID=40&amp;md5=ed9f3b769b9b0983eb421776bb759588;http://dx.doi.org/10.1145/3387904.3389295</t>
  </si>
  <si>
    <t>10.1145/3387904.3389295</t>
  </si>
  <si>
    <t>The accurate identification of defect-inducing commits representsa key problem for researchers interested in studying the naturalness of defects and defining defect prediction models. To tacklethis problem, software engineering researchers have relied on andproposed several implementations of the well-known SliwerskiZimmermann-Zeller (SZZ) algorithm. Despite its popularity andwide usage, no open-source, publicly available, and web-accessibleimplementation of the algorithm has been proposed so far. In thispaper, we prototype and make available one such implementationfor further use by practitioners and researchers alike. The evaluation of the proposed prototype showed competitive results and laysthe foundation for future work. This paper outlines our prototype,illustrating its usage and reporting on its evaluation in action. © 2020 Copyright held by the owner/author(s). Publication rights licensed to ACM.</t>
  </si>
  <si>
    <t>Pigazzini I,Briola D,Fontana FA</t>
  </si>
  <si>
    <t>Architectural technical debt of multiagent systems development platforms</t>
  </si>
  <si>
    <t>1 – 13</t>
  </si>
  <si>
    <t>https://www.scopus.com/inward/record.uri?eid=2-s2.0-85116898427&amp;partnerID=40&amp;md5=040f1845b6770ddecad9feac2bc6ea4b</t>
  </si>
  <si>
    <t>Technical debt is candidate to be the next buzzword in software engineering, and the number of studies evaluating the technical debt of software projects is increasing. A particular and dangerous type of debt is the architectural debt, i.e., the consequences of sub-optimal design decisions. Currently, there are no studies about the evaluation of architectural debt in MultiAgent Systems (MAS) and platforms. Hence, in this paper we propose the analysis of four well-known MAS development platforms, with the aim of evaluating their architectural debt and open the discussion in this field. We exploit a tool, named Arcan, developed for architectural smell detection and for the computation of an architectural debt index. The results show that MAS development platforms are subjected to architectural debt, and in particular to the presence of Cyclic Dependency smells. However, there is evidence that the minimum amount of debt is reached when developers report “bug fixes” and “Improvements”. © 2021 CEUR-WS. All rights reserved.</t>
  </si>
  <si>
    <t>Henrique de Jesus Prado K,Santos Souza L,Dias de Jesus Junior I,Colaço Júnior M</t>
  </si>
  <si>
    <t>Applied Intelligent Data Analysis to Government Data Related to Criminal Incident: A Systematic Review</t>
  </si>
  <si>
    <t>Journal of Applied Security Research</t>
  </si>
  <si>
    <t>1936-1610</t>
  </si>
  <si>
    <t>https://www.scopus.com/inward/record.uri?eid=2-s2.0-85078457936&amp;doi=10.1080%2f19361610.2020.1716511&amp;partnerID=40&amp;md5=74aa5b09d807a4c4775813f724515caf;http://dx.doi.org/10.1080/19361610.2020.1716511</t>
  </si>
  <si>
    <t>10.1080/19361610.2020.1716511</t>
  </si>
  <si>
    <t>Context: Crime is a prevalent social problem, then, government and society, in general, have had enormous problems caused by this phenomenon. However, with the increasing ability to collect and store detailed criminal event tracking data, a significant amount of data with spatial and temporal information is obtained daily. Intelligent computer systems have been playing a vital role in improving the results of criminal investigations and detections, facilitating analysis and sharing of information. Objective: To identify, characterize and meta-analyze the approaches and intelligent algorithms used to discover patterns on criminal incident data. Method: A quantitative systematic review (with meta-analysis) was performed. Results: 38.53% of the selected studies used Unsupervised Machine Learning, 30.28% used Supervised Machine Learning and 17.43% used Association rules. Regarding algorithms, K-Means (14.39%), K-Nearest Neighbors (KNN) (11.36%) and Apriori (9.85%) are among the most widely used. Conclusion: Only three studies could be selected for meta-analysis, observing the Decision Tree, Logistic Regression, Naive Bayes, Random Forest, and Support Vector Machine algorithms. Being a global problem, the criminal area has attracted the attention of many researchers and scientists around the world. In addition, the Government Open Data phenomenon has facilitated access to data, providing a considerable increase in research in this area. © 2020 Taylor &amp; Francis Group, LLC.</t>
  </si>
  <si>
    <t>Ahmad K,Bano M,Abdelrazek M,Arora C,Grundy J</t>
  </si>
  <si>
    <t>What's up with Requirements Engineering for Artificial Intelligence Systems?</t>
  </si>
  <si>
    <t>1 – 12</t>
  </si>
  <si>
    <t>https://www.scopus.com/inward/record.uri?eid=2-s2.0-85120538358&amp;doi=10.1109%2fRE51729.2021.00008&amp;partnerID=40&amp;md5=ab0058fcd692cf342f894173230c4e17;http://dx.doi.org/10.1109/RE51729.2021.00008</t>
  </si>
  <si>
    <t>10.1109/RE51729.2021.00008</t>
  </si>
  <si>
    <t>In traditional approaches to building software systems (that do not include an Artificial Intelligent (AI) or Machine Learning (ML) component), Requirements Engineering (RE) activities are well-established and researched. However, building software systems with one or more AI components may depend heavily on data with limited or no insight into the system's workings. Therefore, engineering such systems poses significant new challenges to RE. Our search showed that literature has focused on using AI to manage RE activities, with limited research on RE for AI (RE4AI). Our study's main objective was to investigate current approaches in writing requirements for AI/ML systems, identify available tools and techniques used to model requirements, and find existing challenges and limitations. We performed a Systematic Literature Review (SLR) of current RE4AI methods and identified 27 primary studies. Using these studies, we analysed the key tools and techniques used to specify and model requirements and found several challenges and limitations of existing RE4AI practices. We further provide recommendations for future research, based on our analysis of the primary studies and mapping to industry guidelines in Google PAIR). The SLR findings highlighted that present RE applications were not adaptive to manage most AI/ML systems and emphasised the need to provide new techniques and tools to support RE4AI. © 2021 IEEE.</t>
  </si>
  <si>
    <t>Cummaudo A,Barnett S,Vasa R,Grundy J</t>
  </si>
  <si>
    <t>Threshy: Supporting safe usage of intelligent web services</t>
  </si>
  <si>
    <t>1645 – 1649</t>
  </si>
  <si>
    <t>https://www.scopus.com/inward/record.uri?eid=2-s2.0-85097157302&amp;doi=10.1145%2f3368089.3417919&amp;partnerID=40&amp;md5=81eae8f84ae4ad1536ef68dbed950e74;http://dx.doi.org/10.1145/3368089.3417919</t>
  </si>
  <si>
    <t>10.1145/3368089.3417919</t>
  </si>
  <si>
    <t>Increased popularity of 'intelligent' web services provides end-users with machine-learnt functionality at little effort to developers. However, these services require a decision threshold to be set which is dependent on problem-specific data. Developers lack a systematic approach for evaluating intelligent services and existing evaluation tools are predominantly targeted at data scientists for pre-development evaluation. This paper presents a workflow and supporting tool, Threshy, to help software developers select a decision threshold suited to their problem domain. Unlike existing tools, Threshy is designed to operate in multiple workflows including pre-development, pre-release, and support. Threshy is designed for tuning the confidence scores returned by intelligent web services and does not deal with hyper-parameter optimisation used in ML models. Additionally, it considers the financial impacts of false positives. Threshold configuration files exported by Threshy can be integrated into client applications and monitoring infrastructure. Demo: https://bit.ly/2YKeYhE. © 2020 ACM.</t>
  </si>
  <si>
    <t>Cunha WS,Armijo GA,De Camargo VV</t>
  </si>
  <si>
    <t>Investigating non-usually employed features in the identification of architectural smells: A machine learning-based approach</t>
  </si>
  <si>
    <t>https://www.scopus.com/inward/record.uri?eid=2-s2.0-85095856937&amp;doi=10.1145%2f3425269.3425281&amp;partnerID=40&amp;md5=3fb2b8566d44c6b71f4aeac85cf65876;http://dx.doi.org/10.1145/3425269.3425281</t>
  </si>
  <si>
    <t>10.1145/3425269.3425281</t>
  </si>
  <si>
    <t>Architectural smells (ASs) negatively affect the maintenance and evolution of software at the architectural level. Most of the current approaches for ASs identification rely on the same small and well-known set of usually employed metrics (UE-Ms) with fixed thresholds. Machine learning (ML) is a promising technique for smell identification as algorithms can learn from a rich set of metrics/features, covering several characteristics of the software and incorporating a certain degree of subjectivity. This has been explored by building datasets with a robust and rich set of features, including not only the UE-Ms but also other non-usually employed metrics (NUE-Ms). However, usually the UE-Ms determine the output of the algorithms, obfuscating other metrics that have the potential to improve the classification. This also leads to inflated and difficult to maintain datasets. In this paper, we investigate the accuracy of some ML algorithms employing only NUE-Ms. We scoped our study in the classification of two smells: God Component and Unstable Dependency. This investigation revealed a set of NUE-Ms that can be also used to identify these smells and the contribution of each one for the classification. Based on this information, software engineers can then build a final dataset just with the potential features. We also briefly present our tool, called InSet, that was used by academics and practitioners to identify smells in their systems. The feedback of them was used as the oracle to compare our tool to other approaches and good results were reached. © 2020 ACM.</t>
  </si>
  <si>
    <t>Huang Y,Hu X,Jia N,Chen X,Zheng Z,Luo X</t>
  </si>
  <si>
    <t>CommtPst: Deep learning source code for commenting positions prediction</t>
  </si>
  <si>
    <t>https://www.scopus.com/inward/record.uri?eid=2-s2.0-85088924536&amp;doi=10.1016%2fj.jss.2020.110754&amp;partnerID=40&amp;md5=bafd6729f307832361257c34cbdf8685;http://dx.doi.org/10.1016/j.jss.2020.110754</t>
  </si>
  <si>
    <t>10.1016/j.jss.2020.110754</t>
  </si>
  <si>
    <t>Existing techniques for automatic code commenting assume that the code snippet to be commented has been identified, thus requiring users to provide the code snippet in advance. A smarter commenting approach is desired to first self-determine where to comment in a given source code and then generate comments for the code snippets that need comments. To achieve the first step of this goal, we propose a novel method, CommtPst, to automatically find the appropriate commenting positions in the source code. Since commenting is closely related to the code syntax and semantics, we adopt neural language model (word embeddings) to capture the code semantic information, and analyze the abstract syntax trees to capture code syntactic information. Then, we employ LSTM (long short term memory) to model the long-term logical dependency of code statements over the fused semantic and syntactic information and learn the commenting patterns on the code sequence. We evaluated CommtPst using large data sets from dozens of open-source software systems in GitHub. The experimental results show that the precision, recall and F-Measure values achieved by CommtPst are 0.792, 0.602 and 0.684, respectively, which outperforms the traditional machine learning method with 11.4% improvement on F-measure. © 2020</t>
  </si>
  <si>
    <t>Gharibi G,Walunj V,Nekadi R,Marri R,Lee Y</t>
  </si>
  <si>
    <t>Automated end-to-end management of the modeling lifecycle in deep learning</t>
  </si>
  <si>
    <t>https://www.scopus.com/inward/record.uri?eid=2-s2.0-85101321601&amp;doi=10.1007%2fs10664-020-09894-9&amp;partnerID=40&amp;md5=e08470aa6b9653a16a05ff82f96fc8ff;http://dx.doi.org/10.1007/s10664-020-09894-9</t>
  </si>
  <si>
    <t>10.1007/s10664-020-09894-9</t>
  </si>
  <si>
    <t>Deep learning has improved the state-of-the-art results in an ever-growing number of domains. This success heavily relies on the development and training of deep learning models–an experimental, iterative process that produces tens to hundreds of models before arriving at a satisfactory result. While there has been a surge in the number of tools and frameworks that aim at facilitating deep learning, the process of managing the models and their artifacts is still surprisingly challenging and time-consuming. Existing model-management solutions are either tailored for commercial platforms or require significant code changes. Moreover, most of the existing solutions address a single phase of the modeling lifecycle, such as experiment monitoring, while ignoring other essential tasks, such as model deployment. In this paper, we present a software system to facilitate and accelerate the deep learning lifecycle, named ModelKB. ModelKB can automatically manage the modeling lifecycle end-to-end, including (1) monitoring and tracking experiments; (2) visualizing, searching for, and comparing models and experiments; (3) deploying models locally and on the cloud; and (4) sharing and publishing trained models. Moreover, our system provides a stepping-stone for enhanced reproducibility. ModelKB currently supports TensorFlow 2.0, Keras, and PyTorch, and it can be extended to other deep learning frameworks easily. © 2021, The Author(s), under exclusive licence to Springer Science+Business Media, LLC part of Springer Nature.</t>
  </si>
  <si>
    <t>Matsumoto K</t>
  </si>
  <si>
    <t>Conceptual Framework for Next-Generation Software Ecosystems</t>
  </si>
  <si>
    <t>218 – 223</t>
  </si>
  <si>
    <t>https://www.scopus.com/inward/record.uri?eid=2-s2.0-85125742096&amp;doi=10.1109%2fSNPD51163.2021.9705010&amp;partnerID=40&amp;md5=7bf149931457e25b959f4e77cf6c2d7e;http://dx.doi.org/10.1109/SNPD51163.2021.9705010</t>
  </si>
  <si>
    <t>10.1109/SNPD51163.2021.9705010</t>
  </si>
  <si>
    <t>This paper proposes a conceptual framework for developing new technologies that will solve today's technical issues in software development and operations (DevOps) and support the future software ecosystems. The proposed framework perceives resources essential for software DevOps from three perspectives: products, people, and technical information, and actively utilizes and link the latest digital technologies such as AI, natural language processing, microservices, and blockchain. The goal is not to aim fully automate software DevOps, but also to achieve high economic efficiency and sustainability by eliminating waste in software DevOps, assuming a human-centered society. The principal approaches of new technology development in the framework are product up-cycling, placement of the right people and AI in the right places, and quality control linked to external technical information.New technologies to be developed with these approaches will expand conventional concepts in software DevOps with three dimensions of reuse, human resources, and quality control. © 2021 IEEE.</t>
  </si>
  <si>
    <t>Becker A,Becker J</t>
  </si>
  <si>
    <t>Dataset shift assessment measures in monitoring predictive models</t>
  </si>
  <si>
    <t>3391 – 3402</t>
  </si>
  <si>
    <t>1877-0509</t>
  </si>
  <si>
    <t>https://www.scopus.com/inward/record.uri?eid=2-s2.0-85116885240&amp;doi=10.1016%2fj.procs.2021.09.112&amp;partnerID=40&amp;md5=03fe11631186a95bbe907a4b5ac0c018;http://dx.doi.org/10.1016/j.procs.2021.09.112</t>
  </si>
  <si>
    <t>10.1016/j.procs.2021.09.112</t>
  </si>
  <si>
    <t>The article presents the results of the study, which is a fragment of the work carried out under the project entitled “Hybrid system for intelligent diagnostics of prognostic models”, co-financed through the National Centre for Research and Development from the European Regional Development Fund. They concerned the analysis of the phenomenon of dataset shift, also known as the shift of variable distributions. It is important to answer the question: has the distribution of current data for the implemented forecasting model changed significantly compared to the distribution of data used to develop it? If so, it could lead to incorrect operation. In the context of assessing and monitoring the stability of variable distributions of predictive models, the aim of the study was to compare the properties of two indicators, the Population Stability Index (PSI) and Population Accuracy Index (PAI). These measures were calculated for 78 controlled shifts of the distribution of the 3 explanatory variables of the hypothetical prognostic model. The research procedure was carried out in 2 scenarios. The first involved a comparison of PSI and PAI for the distributions of categorical variables. In scenario 2, an answer was sought to the question whether discretization of variables significantly influenced the assessment of the stability of their distributions using PSI compared to PAI, which does not require such a procedure? The results of the research proved that both indicators complement each other well, and when used together to assess the stability of the model's variable distributions, they compensate each other's shortcomings. PSI and PAI measure subtly different concepts of stability - PSI measures any change in the distribution of explanatory variables, and PAI only measures how this change affects the prognostic accuracy of the model - therefore they should be treated as complementary measures. © 2021 The Authors. Published by Elsevier B.V. This is an open access article under the CC BY-NC-ND license (https://creativecommons.org/licenses/by-nc-nd/4.0) Peer-review under responsibility of the scientific committee of KES International.</t>
  </si>
  <si>
    <t>AlOmar EA,Mkaouer MW,Ouni A</t>
  </si>
  <si>
    <t>Toward the automatic classification of Self-Affirmed Refactoring</t>
  </si>
  <si>
    <t>https://www.scopus.com/inward/record.uri?eid=2-s2.0-85091343972&amp;doi=10.1016%2fj.jss.2020.110821&amp;partnerID=40&amp;md5=6eefc9d5e9eeaf22a131d74e44fe6740;http://dx.doi.org/10.1016/j.jss.2020.110821</t>
  </si>
  <si>
    <t>10.1016/j.jss.2020.110821</t>
  </si>
  <si>
    <t>The concept of Self-Affirmed Refactoring (SAR) was introduced to explore how developers document their refactoring activities in commit messages, i.e., developers explicit documentation of refactoring operations intentionally introduced during a code change. In our previous study, we have manually identified refactoring patterns and defined three main common quality improvement categories including internal quality attributes, external quality attributes, and code smells, by only considering refactoring-related commits. However, this approach heavily depends on the manual inspection of commit messages. In this paper, we propose a two-step approach to first identify whether a commit describes developer-related refactoring events, then to classify it according to the refactoring common quality improvement categories. Specifically, we combine the N-Gram TF–IDF feature selection with binary and multiclass classifiers to build a new model to automate the classification of refactorings based on their quality improvement categories. We challenge our model using a total of 2,867 commit messages extracted from well engineered open-source Java projects. Our findings show that (1) our model is able to accurately classify SAR commits, outperforming the pattern-based and random classifier approaches, and allowing the discovery of 40 more relevant SAR patterns, and (2) our model reaches an F-measure of up to 90% even with a relatively small training dataset. © 2020 Elsevier Inc.</t>
  </si>
  <si>
    <t>Cited by: 22; All Open Access, Green Open Access</t>
  </si>
  <si>
    <t>Ede JM</t>
  </si>
  <si>
    <t>Deep learning in electron microscopy</t>
  </si>
  <si>
    <t>Machine Learning: Science and Technology</t>
  </si>
  <si>
    <t>2632-2153</t>
  </si>
  <si>
    <t>https://www.scopus.com/inward/record.uri?eid=2-s2.0-85101464715&amp;doi=10.1088%2f2632-2153%2fabd614&amp;partnerID=40&amp;md5=0314ae54375d899eecd46cb3ed417ab5;http://dx.doi.org/10.1088/2632-2153/abd614</t>
  </si>
  <si>
    <t>10.1088/2632-2153/abd614</t>
  </si>
  <si>
    <t>Deep learning is transforming most areas of science and technology, including electron microscopy. This review paper offers a practical perspective aimed at developers with limited familiarity. For context, we review popular applications of deep learning in electron microscopy. Following, we discuss hardware and software needed to get started with deep learning and interface with electron microscopes. We then review neural network components, popular architectures, and their optimization. Finally, we discuss future directions of deep learning in electron microscopy. © 2021 The Author(s). Published by IOP Publishing Ltd</t>
  </si>
  <si>
    <t>Cited by: 32; All Open Access, Gold Open Access, Green Open Access</t>
  </si>
  <si>
    <t>Rebai S,Kessentini M,Alizadeh V,Sghaier OB,Kazman R</t>
  </si>
  <si>
    <t>Recommending refactorings via commit message analysis</t>
  </si>
  <si>
    <t>https://www.scopus.com/inward/record.uri?eid=2-s2.0-85085516355&amp;doi=10.1016%2fj.infsof.2020.106332&amp;partnerID=40&amp;md5=624a9619bc719fefda7c0cd7d78dd001;http://dx.doi.org/10.1016/j.infsof.2020.106332</t>
  </si>
  <si>
    <t>10.1016/j.infsof.2020.106332</t>
  </si>
  <si>
    <t>Context: The purpose of software restructuring, or refactoring, is to improve software quality and developer productivity. Objective: Prior studies have relied mainly on static and dynamic analysis of code to detect and recommend refactoring opportunities, such as code smells. Once identified, these smells are fixed by applying refactorings which then improve a set of quality metrics. While this approach has value and has shown promising results, many detected refactoring opportunities may not be related to a developer's current context and intention. Recent studies have shown that while developers document their refactoring intentions, they may miss relevant refactorings aligned with their rationale. Method: In this paper, we first identify refactoring opportunities by analyzing developer commit messages and check the quality improvements in the changed files, then we distill this knowledge into usable context-driven refactoring recommendations to complement static and dynamic analysis of code. Results: The evaluation of our approach, based on six open source projects, shows that we outperform prior studies that apply refactorings based on static and dynamic analysis of code alone. Conclusion: This study provides compelling evidence of the value of using the information contained in existing commit messages to recommend future refactorings. © 2020</t>
  </si>
  <si>
    <t>Palomba F,Andrew Tamburri D,Arcelli Fontana F,Oliveto R,Zaidman A,Serebrenik A</t>
  </si>
  <si>
    <t>Beyond Technical Aspects: How Do Community Smells Influence the Intensity of Code Smells?</t>
  </si>
  <si>
    <t>108 – 129</t>
  </si>
  <si>
    <t>https://www.scopus.com/inward/record.uri?eid=2-s2.0-85057852491&amp;doi=10.1109%2fTSE.2018.2883603&amp;partnerID=40&amp;md5=1dd8327aba9f59450939b8afa8282ab7;http://dx.doi.org/10.1109/TSE.2018.2883603</t>
  </si>
  <si>
    <t>10.1109/TSE.2018.2883603</t>
  </si>
  <si>
    <t>Code smells are poor implementation choices applied by developers during software evolution that often lead to critical flaws or failure. Much in the same way, community smells reflect the presence of organizational and socio-Technical issues within a software community that may lead to additional project costs. Recent empirical studies provide evidence that community smells are often-if not always-connected to circumstances such as code smells. In this paper we look deeper into this connection by conducting a mixed-methods empirical study of 117 releases from 9 open-source systems. The qualitative and quantitative sides of our mixed-methods study were run in parallel and assume a mutually-confirmative connotation. On the one hand, we survey 162 developers of the 9 considered systems to investigate whether developers perceive relationship between community smells and the code smells found in those projects. On the other hand, we perform a fine-grained analysis into the 117 releases of our dataset to measure the extent to which community smells impact code smell intensity (i.e., criticality). We then propose a code smell intensity prediction model that relies on both technical and community-related aspects. The results of both sides of our mixed-methods study lead to one conclusion: community-related factors contribute to the intensity of code smells. This conclusion supports the joint use of community and code smells detection as a mechanism for the joint management of technical and social problems around software development communities. © 1976-2012 IEEE.</t>
  </si>
  <si>
    <t>Mizgajski J,Szymczak A,Morzy M,Augustyniak Ł,Szymański P,Zelasko P</t>
  </si>
  <si>
    <t>Return on Investment in Machine Learning: Crossing the Chasm between Academia and Business</t>
  </si>
  <si>
    <t>Foundations of Computing and Decision Sciences</t>
  </si>
  <si>
    <t>281 – 304</t>
  </si>
  <si>
    <t>Sciendo</t>
  </si>
  <si>
    <t>0867-6356</t>
  </si>
  <si>
    <t>https://www.scopus.com/inward/record.uri?eid=2-s2.0-85099170614&amp;doi=10.2478%2ffcds-2020-0015&amp;partnerID=40&amp;md5=e38f34481aed9f762337849dd379eb01;http://dx.doi.org/10.2478/fcds-2020-0015</t>
  </si>
  <si>
    <t>10.2478/fcds-2020-0015</t>
  </si>
  <si>
    <t>Academia remains the central place of machine learning education. While academic culture is the predominant factor influencing the way we teach machine learning to students, many practitioners question this culture, claiming the lack of alignment between academic and business environments. Drawing on professional experiences from both sides of the chasm, we describe the main points of contention, in the hope that it will help better align academic syllabi with the expectations towards future machine learning practitioners. We also provide recommendations for teaching of the applied aspects of machine learning. © 2020 Jan Mizgajski et al., published by Sciendo 2020.</t>
  </si>
  <si>
    <t>Abbas R,Albalooshi FA,Hammad M</t>
  </si>
  <si>
    <t>Software Change Proneness Prediction Using Machine Learning</t>
  </si>
  <si>
    <t>https://www.scopus.com/inward/record.uri?eid=2-s2.0-85100249613&amp;doi=10.1109%2f3ICT51146.2020.9311978&amp;partnerID=40&amp;md5=1832d73521c6f12bc9c848a1637b63b5;http://dx.doi.org/10.1109/3ICT51146.2020.9311978</t>
  </si>
  <si>
    <t>10.1109/3ICT51146.2020.9311978</t>
  </si>
  <si>
    <t>Software change-proneness is one of the vital quality metrics that represents the extent of change of a class across versions of the system. This change may occur due to evolving requirements, bug fixing, or code refactoring. Consequently, change-proneness may have a negative impact on software evolution. For instance, modules that are change-prone tend to produce more defects and accumulate more technical debt. This research work applies different Machine Learning (ML) techniques on a large dataset from a wide commercial software system to investigate the relationships between object-oriented (OO) metrics and change-proneness, and determine which OO metrics are necessary to predict change-prone classes. Moreover, several state-of-the-art combining methods were evaluated that were constructed by combining several heterogeneous single and ensemble classifiers with voting, Select-Best, and staking scheme. The result of the study indicates a high prediction performance of many of the ensemble classifiers as well as the combining methods selected and proved that ML methods are very beneficial for predicting change-prone classes in software. The study also proved that software metrics are significant indicators of class change-proneness and should be monitored regularly during software development and maintenance. © 2020 IEEE.</t>
  </si>
  <si>
    <t>Rantala L</t>
  </si>
  <si>
    <t>Towards Better Technical Debt Detection with NLP and Machine Learning Methods</t>
  </si>
  <si>
    <t>242 – 245</t>
  </si>
  <si>
    <t>https://www.scopus.com/inward/record.uri?eid=2-s2.0-85098553455&amp;doi=10.1145%2f3377812.3381404&amp;partnerID=40&amp;md5=49bd90bdd795d70e30576d4806605075;http://dx.doi.org/10.1145/3377812.3381404</t>
  </si>
  <si>
    <t>10.1145/3377812.3381404</t>
  </si>
  <si>
    <t>Technical debt (TD) is an economical term used to depict non-optimal choices made in the software development process. It occurs usually when developers take shortcuts instead of following agreed upon development practices, and unchecked growth of technical debt can start to incur negative effects for software development processes.Technical debt detection and management is mainly done manually, and this is both slow and costly way of detecting technical debt. Automatic detection would solve this issue, but even state-of-the-art tools of today do not accurately detect the appearance of technical debt. Therefore, increasing the accuracy of automatic classification is of high importance, so that we could eliminate significant portion from the costs relating to technical debt detection.This research aims to solve the problem in detection accuracy by bringing in together static code analysis and natural language processing. This combination of techniques will allow more accurate detection of technical debt, when compared to them being used separately from each other. Research also aims to discover themes and topics from written developer messages that can be linked to technical debt. These can help us to understand technical debt from developers' viewpoint. Finally, we will build an open-source tool/plugin that can be used to accurately detect technical debt using both static analysis and natural language processing methods. © 2020 ACM.</t>
  </si>
  <si>
    <t>Transfer learning for just-in-time design smells prediction using temporal convolutional networks</t>
  </si>
  <si>
    <t>310 – 317</t>
  </si>
  <si>
    <t>SciTePress</t>
  </si>
  <si>
    <t>https://www.scopus.com/inward/record.uri?eid=2-s2.0-85111710917&amp;doi=10.5220%2f0010602203100317&amp;partnerID=40&amp;md5=59b5b34f7c4b07b20ca7796e39fab919;http://dx.doi.org/10.5220/0010602203100317</t>
  </si>
  <si>
    <t>10.5220/0010602203100317</t>
  </si>
  <si>
    <t>This paper investigates whether the adoption of a transfer learning approach that can be effective for just-in-time design smells prediction. The approach uses a variant of Temporal Convolutional Networks to predict design smells and a carefully selected fine-grained process and product metrics. The validation is performed on a dataset composed of three open-source systems and includes a comparison between transfer and direct learning. The hypothesis, which we want to verify, is that the proposed transfer learning approach is feasible to transfer the knowledge gained on mature systems to the system of interest to make reliable predictions even at the beginning of development when the available historical data is limited. The obtained results show that, when the class imbalance is high, the transfer learning provides F1-scores very close to the ones obtained by direct learning. Copyright © 2021 by SCITEPRESS – Science and Technology Publications, Lda. All rights reserved</t>
  </si>
  <si>
    <t>Baldassarre MT,Lenarduzzi V,Romano S,Saarimäki N</t>
  </si>
  <si>
    <t>On the diffuseness of technical debt items and accuracy of remediation time when using SonarQube</t>
  </si>
  <si>
    <t>https://www.scopus.com/inward/record.uri?eid=2-s2.0-85088664918&amp;doi=10.1016%2fj.infsof.2020.106377&amp;partnerID=40&amp;md5=4df408d610ac5bacdaf9baf6816d7607;http://dx.doi.org/10.1016/j.infsof.2020.106377</t>
  </si>
  <si>
    <t>10.1016/j.infsof.2020.106377</t>
  </si>
  <si>
    <t>Context. Among the static analysis tools available, SonarQube is one of the most used. SonarQube detects Technical Debt (TD) items—i.e., violations of coding rules—and then estimates TD as the time needed to remedy TD items. However, practitioners are still skeptical about the accuracy of remediation time estimated by the tool. Objective. In this paper, we analyze both diffuseness of TD items and accuracy of remediation time, estimated by SonarQube, to fix TD items on a set of 21 open-source Java projects. Method. We designed and conducted a case study where we asked 81 junior developers to fix TD items and reduce the TD of 21 projects. Results. We observed that TD items are diffused in the analyzed projects and most items are code smells. Moreover, the results point out that the remediation time estimated by SonarQube is inaccurate and, as compared to the actual time spent to fix TD items, is in most cases overestimated. Conclusions. The results of our study are promising for practitioners and researchers. The former can make more aware decisions during project execution and resource management, the latter can use this study as a starting point for improving TD estimation models. © 2020</t>
  </si>
  <si>
    <t>Cited by: 18</t>
  </si>
  <si>
    <t>Devriendt F,Berrevoets J,Verbeke W</t>
  </si>
  <si>
    <t>Why you should stop predicting customer churn and start using uplift models</t>
  </si>
  <si>
    <t>Information Sciences</t>
  </si>
  <si>
    <t>497 – 515</t>
  </si>
  <si>
    <t>0020-0255</t>
  </si>
  <si>
    <t>https://www.scopus.com/inward/record.uri?eid=2-s2.0-85077973878&amp;doi=10.1016%2fj.ins.2019.12.075&amp;partnerID=40&amp;md5=8fdb7b1e8502ecf7847b9a4f4c70cc02;http://dx.doi.org/10.1016/j.ins.2019.12.075</t>
  </si>
  <si>
    <t>10.1016/j.ins.2019.12.075</t>
  </si>
  <si>
    <t>Uplift modeling has received increasing interest in both the business analytics research community and the industry as an improved paradigm for predictive analytics for data-driven operational decision-making. The literature, however, does not provide conclusive empirical evidence that uplift modeling outperforms predictive modeling. Case studies that directly compare both approaches are lacking, and the performance of predictive models and uplift models as reported in various experimental studies cannot be compared indirectly since different evaluation measures are used to assess their performance. Therefore, in this paper, we introduce a novel evaluation metric called the maximum profit uplift (MPU) measure that allows assessing the performance in terms of the maximum potential profit that can be achieved by adopting an uplift model. This measure, developed for evaluating customer churn uplift models, extends the maximum profit measure for evaluating customer churn prediction models. While introducing the MPU measure, we describe the generally applicable liftup curve and liftup measure for evaluating uplift models as counterparts of the lift curve and lift measure that are broadly used to evaluate predictive models. These measures are subsequently applied to assess and compare the performance of customer churn prediction and uplift models in a case study that applies uplift modeling to customer retention in the financial industry. We observe that uplift models outperform predictive models and lead to improved profitability of retention campaigns. © 2020 The Authors</t>
  </si>
  <si>
    <t>Cited by: 23; All Open Access, Green Open Access, Hybrid Gold Open Access</t>
  </si>
  <si>
    <t>Althar RR,Samanta D,Kaur M,Alnuaim AA,Aljaffan N,Aman Ullah M</t>
  </si>
  <si>
    <t>Software Systems Security Vulnerabilities Management by Exploring the Capabilities of Language Models Using NLP</t>
  </si>
  <si>
    <t>Computational Intelligence and Neuroscience</t>
  </si>
  <si>
    <t>1687-5265</t>
  </si>
  <si>
    <t>https://www.scopus.com/inward/record.uri?eid=2-s2.0-85122898212&amp;doi=10.1155%2f2021%2f8522839&amp;partnerID=40&amp;md5=f0bb3c564264a93cba7fbfbf11b611d0;http://dx.doi.org/10.1155/2021/8522839</t>
  </si>
  <si>
    <t>10.1155/2021/8522839</t>
  </si>
  <si>
    <t>Security of the software system is a prime focus area for software development teams. This paper explores some data science methods to build a knowledge management system that can assist the software development team to ensure a secure software system is being developed. Various approaches in this context are explored using data of insurance domain-based software development. These approaches will facilitate an easy understanding of the practical challenges associated with actual-world implementation. This paper also discusses the capabilities of language modeling and its role in the knowledge system. The source code is modeled to build a deep software security analysis model. The proposed model can help software engineers build secure software by assessing the software security during software development time. Extensive experiments show that the proposed models can efficiently explore the software language modeling capabilities to classify software systems' security vulnerabilities. © 2021 Raghavendra Rao Althar et al.</t>
  </si>
  <si>
    <t>Cited by: 9; All Open Access, Gold Open Access, Green Open Access</t>
  </si>
  <si>
    <t>Mishra S,Sharma A</t>
  </si>
  <si>
    <t>Crawling Wikipedia Pages to Train Word Embeddings Model for Software Engineering Domain</t>
  </si>
  <si>
    <t>https://www.scopus.com/inward/record.uri?eid=2-s2.0-85105431598&amp;doi=10.1145%2f3452383.3452401&amp;partnerID=40&amp;md5=1cf9b181978ca527ff100ba7af53d688;http://dx.doi.org/10.1145/3452383.3452401</t>
  </si>
  <si>
    <t>10.1145/3452383.3452401</t>
  </si>
  <si>
    <t>Word embeddings allow words used in similar contexts to have similar meanings. Due to this property word embeddings are widely used as an input feature for classification, clustering and sentiment analysis of natural language (NL) textual data produced during the software development process. Since the accuracy of these machine learning (ML) tasks depends on how well the word embeddings vectors capture the contextual information, it is important to train these models on software engineering (SE) specific text corpus. This paper proposes a pre-trained word embeddings model for SE which captures and reflects the domain-specific meanings of SE related words. We create a domain-specific text corpus by crawling the SE category on Wikipedia and use it for training the word embeddings model. We show that our model can outperform the state-of-the-art word embeddings model trained on Google news in terms of its representational power. More specifically, our model is able to express the SE specific meaning of polysemous words and recognize SE-specific technical words. Additionally, we also show that for almost all the words related to the fundamental SE activities, our model is either comparable or better than the SE-specific model trained over Stack Overflow (SO) posts. © 2021 ACM.</t>
  </si>
  <si>
    <t>Sopan A,Berlin K</t>
  </si>
  <si>
    <t>AI Total: Analyzing Security ML Models with Imperfect Data in Production</t>
  </si>
  <si>
    <t>10 – 14</t>
  </si>
  <si>
    <t>https://www.scopus.com/inward/record.uri?eid=2-s2.0-85123838162&amp;doi=10.1109%2fVizSec53666.2021.00006&amp;partnerID=40&amp;md5=c8a648eb6cc297caa631247a6f9422ee;http://dx.doi.org/10.1109/VizSec53666.2021.00006</t>
  </si>
  <si>
    <t>10.1109/VizSec53666.2021.00006</t>
  </si>
  <si>
    <t>Development of new machine learning models is typically done on manually curated data sets, making them unsuitable for evaluating the models' performance during operations, where the evaluation needs to be performed automatically on incoming streams of new data. Unfortunately, pure reliance on a fully automatic pipeline for monitoring model performance makes it difficult to understand if any observed performance issues are due to model performance, pipeline issues, emerging data distribution biases, or some combination of the above. With this in mind, we developed a web-based visualization system that allows the users to quickly gather headline performance numbers while maintaining confidence that the underlying data pipeline is functioning properly. It also enables the users to immediately observe the root cause of an issue when something goes wrong. We introduce a novel way to analyze performance under data issues using a data coverage equalizer. We describe the various modifications and additional plots, filters, and drill-downs that we added on top of the standard evaluation metrics typically tracked in machine learning (ML) applications, and walk through some real world examples that proved valuable for introspecting our models. © 2021 IEEE.</t>
  </si>
  <si>
    <t>Rosser LA,Norton JH</t>
  </si>
  <si>
    <t>A Systems Perspective on Technical Debt</t>
  </si>
  <si>
    <t>https://www.scopus.com/inward/record.uri?eid=2-s2.0-85111378880&amp;doi=10.1109%2fAERO50100.2021.9438359&amp;partnerID=40&amp;md5=74af6a9138336b3c7ff7cab6918360d2;http://dx.doi.org/10.1109/AERO50100.2021.9438359</t>
  </si>
  <si>
    <t>10.1109/AERO50100.2021.9438359</t>
  </si>
  <si>
    <t>This paper explores applications of the Technical Debt metaphor, which originated in the agile software community, at a systems level. We present a summary of current understanding of the technical debt concept and propose a broader application of the approach at a system level. The technical debt metaphor provides a method to identify cases when design or implementation decisions are being made for expediency and assess their long term impact on productivity and risk. In addition, technical debt management offers a logical approach to tracking expedient decisions and determining when it makes sense to carry the debt and when it's better to pay it off by updating designed and retrofitting units. In this paper, we describe various kinds of technical debt that may be present in a system baseline and consider how the presence of debt impacts further evolution of the system. Types of debt include architectural debt, configuration debt, testing debt and deprecation debt among others. We also present use case studies that illustrate how technical debt assessment and management can have a positive impact on system realization. Cases include moving a baseline from RD to operations, reusing a baseline in a new context, and planning a technical refresh. We discuss methods of managing technical debt in a baseline including identification, quantification, tracking and payoff. © 2021 IEEE.</t>
  </si>
  <si>
    <t>Solow-Niederma A</t>
  </si>
  <si>
    <t>ADMINISTERING ARTIFICIAL INTELLIGENCE</t>
  </si>
  <si>
    <t>Southern California Law Review</t>
  </si>
  <si>
    <t>633 – 695</t>
  </si>
  <si>
    <t>University of Southern California</t>
  </si>
  <si>
    <t>0038-3910</t>
  </si>
  <si>
    <t>https://www.scopus.com/inward/record.uri?eid=2-s2.0-85096208082&amp;partnerID=40&amp;md5=9aadf7cfafe4bc00404f44bf0de4db4c</t>
  </si>
  <si>
    <t>As AI increasingly features in everyday life, it is not surprising to hear calls to step up regulation of the technology. In particular, a turn to administrative law to grapple with the consequences of AI is understandable because the technology's regulatory challenges appear facially similar to those in other technocratic domains, such as the pharmaceutical industry or environmental law. But AI is unique, even if it is not different in kind. AI's distinctiveness comes from technical attributes - namely, speed, complexity, and unpredictability - that strain administrative law tactics, in conjunction with the institutional settings and incentives, or strategic context, that affect its development path. And this distinctiveness means both that traditional, sectoral approaches hit their limits, and that turns to a new agency like an FDA for algorithms or a federal robotics commission are of limited utility in constructing enduring governance solutions. This Article assesses algorithmic governance strategies in light of the attributes and institutional factors that make AI unique. In addition to technical attributes and the contemporary imbalance of public and private resources and expertise, AI governance must contend with a fundamental conceptual challenge: algorithmic applications permit seemingly technical decisions to de facto regulate human behavior, with a greater potential for physical and social impact than ever before. This Article warns that the current trajectory of AI development, which is dominated by large private firms, augurs an era of private governance. To maintain the public voice, it suggests an approach rooted in governance of data - a fundamental AI input - rather than only contending with the consequences of algorithmic outputs. Without rethinking regulatory strategies to ensure that public values inform AI research, development, and deployment, we risk losing the democratic accountability that is at the heart of public law. © 2020 University of Southern California. All rights reserved.</t>
  </si>
  <si>
    <t>Garcia J,Mirakhorli M,Xiao L,Zhao Y,Mujhid I,Pham K,Okutan A,Malek S,Kazman R,Cai Y,Medvidovic N</t>
  </si>
  <si>
    <t>Constructing a Shared Infrastructure for Software Architecture Analysis and Maintenance</t>
  </si>
  <si>
    <t>150 – 161</t>
  </si>
  <si>
    <t>https://www.scopus.com/inward/record.uri?eid=2-s2.0-85107005908&amp;doi=10.1109%2fICSA51549.2021.00022&amp;partnerID=40&amp;md5=10c7ac8a6b8200093065cc3af2c060e8;http://dx.doi.org/10.1109/ICSA51549.2021.00022</t>
  </si>
  <si>
    <t>10.1109/ICSA51549.2021.00022</t>
  </si>
  <si>
    <t>Over the past three decades software engineering researchers have produced a wide range of techniques and tools for understanding the architectures of large, complex systems. However, these have tended to be one-off research projects, and their idiosyncratic natures have hampered research collaboration, extension and combination of the tools, and technology transfer. The area of software architecture is rich with disjoint research and development infrastructures, and datasets that are either proprietary or captured in proprietary formats. This paper describes a concerted effort to reverse these trends. We have designed and implemented a flexible and extensible infrastructure (SAIN) with the goal of sharing, replicating, and advancing software architecture research. We have demonstrated that SAIN is capable of incorporating the constituent tools extracted from three independently developed, large, long-lived software architecture research environments. We discuss SAIN's ambitious goals, the challenges we have faced in achieving those goals, the key decisions made in SAIN's design and implementation, the lessons learned from our experience to date, and our ongoing and future work. © 2021 IEEE.</t>
  </si>
  <si>
    <t>Tang Y,Khatchadourian R,Bagherzadeh M,Singh R,Stewart A,Raja A</t>
  </si>
  <si>
    <t>An empirical study of refactorings and technical debt in machine learning systems</t>
  </si>
  <si>
    <t>238 – 250</t>
  </si>
  <si>
    <t>https://www.scopus.com/inward/record.uri?eid=2-s2.0-85112094387&amp;doi=10.1109%2fICSE43902.2021.00033&amp;partnerID=40&amp;md5=7e439b62b2c0f13c230c4bfd4a1f6346;http://dx.doi.org/10.1109/ICSE43902.2021.00033</t>
  </si>
  <si>
    <t>10.1109/ICSE43902.2021.00033</t>
  </si>
  <si>
    <t>Machine Learning (ML), including Deep Learning (DL), systems, i.e., those with ML capabilities, are pervasive in today's data-driven society. Such systems are complex; they are comprised of ML models and many subsystems that support learning processes. As with other complex systems, ML systems are prone to classic technical debt issues, especially when such systems are long-lived, but they also exhibit debt specific to these systems. Unfortunately, there is a gap of knowledge in how ML systems actually evolve and are maintained. In this paper, we fill this gap by studying refactorings, i.e., source-to-source semantics-preserving program transformations, performed in real-world, open-source software, and the technical debt issues they alleviate. We analyzed 26 projects, consisting of 4.2 MLOC, along with 327 manually examined code patches. The results indicate that developers refactor these systems for a variety of reasons, both specific and tangential to ML, some refactorings correspond to established technical debt categories, while others do not, and code duplication is a major cross-cutting theme that particularly involved ML configuration and model code, which was also the most refactored. We also introduce 14 and 7 new ML-specific refactorings and technical debt categories, respectively, and put forth several recommendations, best practices, and anti-patterns. The results can potentially assist practitioners, tool developers, and educators in facilitating long-term ML system usefulness. © 2021 IEEE.</t>
  </si>
  <si>
    <t>Tsoukalas D,Mathioudaki M,Siavvas M,Kehagias D,Chatzigeorgiou A</t>
  </si>
  <si>
    <t>A Clustering Approach Towards Cross-Project Technical Debt Forecasting</t>
  </si>
  <si>
    <t>https://www.scopus.com/inward/record.uri?eid=2-s2.0-85116053383&amp;doi=10.1007%2fs42979-020-00408-4&amp;partnerID=40&amp;md5=37cb9755720cbe70011b0bfa7bfcc0c2;http://dx.doi.org/10.1007/s42979-020-00408-4</t>
  </si>
  <si>
    <t>10.1007/s42979-020-00408-4</t>
  </si>
  <si>
    <t>Technical debt (TD) describes quality compromises that can yield short-term benefits but may negatively affect the quality of software products in the long run. A wide range of tools and techniques have been introduced over the years in order for the developers to be able to determine and manage TD. However, being able to also predict its future evolution is of equal importance to avoid its accumulation, and, in turn, the unlikely event of making the project unmaintainable. Although recent research endeavors have showcased the feasibility of building accurate project-specific TD forecasting models, there is a gap in the field regarding cross-project TD forecasting. Cross-project TD forecasting is of practical importance, since it would enable the application of pre-existing forecasting models on previously unknown software projects, especially new projects that do not exhibit sufficient commit history to enable the construction of project-specific models. To this end, in the present paper, we focus on cross-project TD forecasting, and we examine whether the consideration of similarities between software projects could be the key for more accurate forecasting. More specifically, we propose an approach based on data clustering. In fact, a relatively large repository of software projects is divided into clusters of similar projects with respect to their TD aspects, and specific TD forecasting models are built for each cluster, using regression algorithms. According to our approach, previously unknown software projects are assigned to one of the defined clusters and the cluster-specific TD forecasting model is applied to predict future TD values. The approach was evaluated through several experiments based on real-world applications. The results of the analysis suggest that the proposed approach comprises a promising solution for accurate cross-project TD forecasting. © 2021, Springer Nature Singapore Pte Ltd.</t>
  </si>
  <si>
    <t>Halepmollasi R</t>
  </si>
  <si>
    <t>A Composed Technical Debt Identification Methodology to Predict Software Vulnerabilities</t>
  </si>
  <si>
    <t>186 – 189</t>
  </si>
  <si>
    <t>https://www.scopus.com/inward/record.uri?eid=2-s2.0-85098550296&amp;doi=10.1145%2f3377812.3381396&amp;partnerID=40&amp;md5=0eb1b6c877ef8f74621ed6fa10a0bb17;http://dx.doi.org/10.1145/3377812.3381396</t>
  </si>
  <si>
    <t>10.1145/3377812.3381396</t>
  </si>
  <si>
    <t>Technical debt (TD), its impact on development and its consequences such as defects and vulnerabilities, are of common interest and great importance to software researchers and practitioners. Although there exist many studies investigating TD, the majority of them focuses on identifying and detecting TD from a single stage of development. There are also studies that analyze vulnerabilities focusing on some phases of the life cycle. Moreover, several approaches have investigated the relationship between TD and vulnerabilities, however, the generalizability and validity of findings are limited due to small dataset. In this study, we aim to identify TD through multiple phases of development, and to automatically measure it through data and text mining techniques to form a comprehensive feature model. We plan to utilize neural network based classifiers that will incorporate evolutionary changes on TD measures into predicting vulnerabilities. Our approach will be empirically assessed on open source and industrial projects. © 2020 ACM.</t>
  </si>
  <si>
    <t>Wang X,Liu J,Li L,Chen X,Liu X,Wu H</t>
  </si>
  <si>
    <t>Detecting and Explaining Self-Admitted Technical Debts with Attention-based Neural Networks</t>
  </si>
  <si>
    <t>871 – 882</t>
  </si>
  <si>
    <t>https://www.scopus.com/inward/record.uri?eid=2-s2.0-85099183000&amp;doi=10.1145%2f3324884.3416583&amp;partnerID=40&amp;md5=2489e9e83a6d8c5749c20581aec0ce51;http://dx.doi.org/10.1145/3324884.3416583</t>
  </si>
  <si>
    <t>10.1145/3324884.3416583</t>
  </si>
  <si>
    <t>Self-Admitted Technical Debt (SATD) is a sub-type of technical debt. It is introduced to represent such technical debts that are intentionally introduced by developers in the process of software development. While being able to gain short-term benefits, the introduction of SATDs often requires to be paid back later with a higher cost, e.g., introducing bugs to the software or increasing the complexity of the software. To cope with these issues, our community has proposed various machine learning-based approaches to detect SATDs. These approaches, however, are either not generic that usually require manual feature engineering efforts or do not provide promising means to explain the predicted outcomes. To that end, we propose to the community a novel approach, namely HATD (Hybrid Attention-based method for self-admitted Technical Debt detection), to detect and explain SATDs using attention-based neural networks. Through extensive experiments on 445, 365 comments in 20 projects, we show that HATD is effective in detecting SATDs on both in-the-lab and in-the-wild datasets under both within-project and cross-project settings. HATD also outperforms the state-of-the-art approaches in detecting and explaining SATDs. © 2020 ACM.</t>
  </si>
  <si>
    <t>Lenarduzzi V,Saarimäki N,Taibi D</t>
  </si>
  <si>
    <t>Some SonarQube issues have a significant but small effect on faults and changes. A large-scale empirical study</t>
  </si>
  <si>
    <t>https://www.scopus.com/inward/record.uri?eid=2-s2.0-85087390369&amp;doi=10.1016%2fj.jss.2020.110750&amp;partnerID=40&amp;md5=7d907accd59bcbf3f76304179772122c;http://dx.doi.org/10.1016/j.jss.2020.110750</t>
  </si>
  <si>
    <t>10.1016/j.jss.2020.110750</t>
  </si>
  <si>
    <t>Context: Companies frequently invest effort to remove technical issues believed to impact software qualities, such as removing anti-patterns or coding styles violations. Objective: We aim to analyze the diffuseness of SonarQube issues in software systems and to assess their impact on code changes and fault-proneness, considering also their different types and severities. Methods: We conducted a case study among 33 Java projects from the Apache Software Foundation repository. Results: We analyzed 726 commits containing 27K faults and 12M changes in Java files. The projects violated 173 SonarQube rules generating more than 95K SonarQube issues in more than 200K classes. Classes not affected by SonarQube issues are less change-prone than affected ones, but the difference between the groups is small. Non-affected classes are slightly more change-prone than classes affected by SonarQube issues of type Code Smell or Security Vulnerability. As for fault-proneness, there is no difference between non-affected and affected classes. Moreover, we found incongruities in the type and severity assigned by SonarQube. Conclusion: Our result can be useful for practitioners to understand which SonarQube issues should be refactored and for researchers to bridge the missing gaps. Moreover, results can also support companies and tool vendors in identifying SonarQube issues as accurately as possible. © 2020</t>
  </si>
  <si>
    <t>Benidris M,Ammar H,Dzielski D,Benamer WH</t>
  </si>
  <si>
    <t>Prioritizing software components risk: Towards a machine learning-based approach</t>
  </si>
  <si>
    <t>https://www.scopus.com/inward/record.uri?eid=2-s2.0-85090886014&amp;doi=10.1145%2f3410352.3410730&amp;partnerID=40&amp;md5=0cbecc85be120b365b021150c17e1f4b;http://dx.doi.org/10.1145/3410352.3410730</t>
  </si>
  <si>
    <t>10.1145/3410352.3410730</t>
  </si>
  <si>
    <t>Technical Debt (TD) can be detected using different methods. TD is a metaphor that refers to short-term solutions in software development, which may affect the cost of the software development life-cycle. Several tools have been developed to detect, estimate, or manage TD. TD can be indicated through smells, code comments, and software metrics. Machine learning Techniques (MLTs) are used in many software engineering topics such as fault-proneness, bug severity, and code smell. In this paper we use four internal structure metrics to identify and classify Architecture Technical Debt (ATD) risk by using MLTs. We show that MLTs can identify and classify the risk of ATD on software components to help the decision-makers to prioritizing the refactoring decisions based on the level of the risk. © 2020 ACM.</t>
  </si>
  <si>
    <t>InSet: A Tool to Identify Architecture Smells Using Machine Learning</t>
  </si>
  <si>
    <t>760 – 765</t>
  </si>
  <si>
    <t>https://www.scopus.com/inward/record.uri?eid=2-s2.0-85099346050&amp;doi=10.1145%2f3422392.3422507&amp;partnerID=40&amp;md5=22b2f8671798677cb15537abdf48fd57;http://dx.doi.org/10.1145/3422392.3422507</t>
  </si>
  <si>
    <t>10.1145/3422392.3422507</t>
  </si>
  <si>
    <t>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 © 2020 ACM.</t>
  </si>
  <si>
    <t>Khatiwada S,Tushev M,Mahmoud A</t>
  </si>
  <si>
    <t>On combining IR methods to improve bug localization</t>
  </si>
  <si>
    <t>252 – 262</t>
  </si>
  <si>
    <t>https://www.scopus.com/inward/record.uri?eid=2-s2.0-85091896955&amp;doi=10.1145%2f3387904.3389280&amp;partnerID=40&amp;md5=6204af3174fc76b9c958ade4f579c3a6;http://dx.doi.org/10.1145/3387904.3389280</t>
  </si>
  <si>
    <t>10.1145/3387904.3389280</t>
  </si>
  <si>
    <t>Information Retrieval (IR) methods have been recently employedto provide automatic support for bug localization tasks. However,for an IR-based bug localization tool to be useful, it has to achieveadequate retrieval accuracy. Lower precision and recall can leavedevelopers with large amounts of incorrect information to wadethrough. To address this issue, in this paper, we systematically investigate the impact of combining various IR methods on the retrievalaccuracy of bug localization engines. The main assumption is thatdifferent IR methods, targeting different dimensions of similaritybetween artifacts, can be used to enhance the confidence in eachothers' results. Five benchmark systems from different applicationdomains are used to conduct our analysis. The results show that a)near-optimal global configurations can be determined for differentcombinations of IR methods, b) optimized IR-hybrids can significantly outperform individual methods as well as other unoptimizedmethods, and c) hybrid methods achieve their best performancewhen utilizing information-theoretic IR methods. Our findings canbe used to enhance the practicality of IR-based bug localizationtools and minimize the cognitive overload developers often facewhen locating bugs. © 2020 Copyright held by the owner/author(s). Publication rights licensed to ACM.</t>
  </si>
  <si>
    <t>Huang Y,Huang S,Chen H,Chen X,Zheng Z,Luo X,Jia N,Hu X,Zhou X</t>
  </si>
  <si>
    <t>Towards automatically generating block comments for code snippets</t>
  </si>
  <si>
    <t>https://www.scopus.com/inward/record.uri?eid=2-s2.0-85087525711&amp;doi=10.1016%2fj.infsof.2020.106373&amp;partnerID=40&amp;md5=c87929cfbb4a609e979a565c45f26afd;http://dx.doi.org/10.1016/j.infsof.2020.106373</t>
  </si>
  <si>
    <t>10.1016/j.infsof.2020.106373</t>
  </si>
  <si>
    <t>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 © 2020</t>
  </si>
  <si>
    <t>Lwakatare LE,Crnkovic I,Bosch J</t>
  </si>
  <si>
    <t>DevOps for AI - Challenges in Development of AI-enabled Applications</t>
  </si>
  <si>
    <t>https://www.scopus.com/inward/record.uri?eid=2-s2.0-85096542234&amp;doi=10.23919%2fSoftCOM50211.2020.9238323&amp;partnerID=40&amp;md5=6612d13b9513b6b707ab84dc29b3cf68;http://dx.doi.org/10.23919/SoftCOM50211.2020.9238323</t>
  </si>
  <si>
    <t>10.23919/SoftCOM50211.2020.9238323</t>
  </si>
  <si>
    <t>When developing software systems that contain Machine Learning (ML) based components, the development process become significantly more complex. The central part of the ML process is training iterations to find the best possible prediction model. Modern software development processes, such as DevOps, have widely been adopted and typically emphasise frequent development iterations and continuous delivery of software changes. Despite the ability of modern approaches in solving some of the problems faced when building ML-based software systems, there are no established procedures on how to combine them with processes in ML workflow in practice today. This paper points out the challenges in development of complex systems that include ML components, and discuss possible solutions driven by the combination of DevOps and ML workflow processes. Industrial cases are presented to illustrate these challenges and the possible solutions. © 2020 University of Split, FESB.</t>
  </si>
  <si>
    <t>Lenarduzzi V,Nikkola V,Saarimäki N,Taibi D</t>
  </si>
  <si>
    <t>Does code quality affect pull request acceptance? An empirical study</t>
  </si>
  <si>
    <t>https://www.scopus.com/inward/record.uri?eid=2-s2.0-85090024069&amp;doi=10.1016%2fj.jss.2020.110806&amp;partnerID=40&amp;md5=3fc8497ac55b764c00a741b82889bf76;http://dx.doi.org/10.1016/j.jss.2020.110806</t>
  </si>
  <si>
    <t>10.1016/j.jss.2020.110806</t>
  </si>
  <si>
    <t>Background: Pull requests are a common practice for making contributions and reviewing them in both open-source and industrial contexts. Objective: Our goal is to understand whether quality flaws such as code smells, anti-patterns, security vulnerabilities, and coding style violations in a pull request's code affect the chance of its acceptance when reviewed by a maintainer of the project. Method: We conducted a case study among 28 Java open-source projects, analyzing the presence of 4.7 M code quality flaws in 36 K pull requests. We analyzed further correlations by applying logistic regression and six machine learning techniques. Moreover, we manually validated 10% of the pull requests to get further qualitative insights on the importance of quality issues in cases of acceptance and rejection. Results: Unexpectedly, quality flaws measured by PMD turned out not to affect the acceptance of a pull request at all. As suggested by other works, other factors such as the reputation of the maintainer and the importance of the delivered feature might be more important than other qualities in terms of pull request acceptance. Conclusions:. Researchers have already investigated the influence of the developers’ reputation and the pull request acceptance. This is the first work investigating code style violations and specifically PMD rules. We recommend that researchers further investigate this topic to understand if different measures or different tools could provide some useful measures. © 2020 The Authors</t>
  </si>
  <si>
    <t>Cited by: 8; All Open Access, Green Open Access, Hybrid Gold Open Access</t>
  </si>
  <si>
    <t>Santos F,Wiese I,Trinkenreich B,Steinmacher I,Sarma A,Gerosa MA</t>
  </si>
  <si>
    <t>Can i solve it? identifying apis required to complete OSS tasks</t>
  </si>
  <si>
    <t>346 – 357</t>
  </si>
  <si>
    <t>https://www.scopus.com/inward/record.uri?eid=2-s2.0-85113614854&amp;doi=10.1109%2fMSR52588.2021.00047&amp;partnerID=40&amp;md5=b0f86906236d73ca080cfad3137970b8;http://dx.doi.org/10.1109/MSR52588.2021.00047</t>
  </si>
  <si>
    <t>10.1109/MSR52588.2021.00047</t>
  </si>
  <si>
    <t>Open Source Software projects add labels to open issues to help contributors choose tasks. However, manually labeling issues is time-consuming and error-prone. Current automatic approaches for creating labels are mostly limited to classifying issues as a bug/non-bug. In this paper, we investigate the feasibility and relevance of labeling issues with the domain of the APIs required to complete the tasks. We leverage the issues' description and the project history to build prediction models, which resulted in precision up to 82% and recall up to 97.8%. We also ran a user study (n=74) to assess these labels' relevancy to potential contributors. The results show that the labels were useful to participants in choosing tasks, and the API-domain labels were selected more often than the existing architecture-based labels. Our results can inspire the creation of tools to automatically label issues, helping developers to find tasks that better match their skills. © 2021 IEEE.</t>
  </si>
  <si>
    <t>Breaking the Vicious Circle: Why AI for software analytics and business intelligence does not take off in practice</t>
  </si>
  <si>
    <t>https://www.scopus.com/inward/record.uri?eid=2-s2.0-85096588430&amp;doi=10.1109%2fSEAA51224.2020.00013&amp;partnerID=40&amp;md5=91a0c66839f3e09a22ce76289f2c3d55;http://dx.doi.org/10.1109/SEAA51224.2020.00013</t>
  </si>
  <si>
    <t>10.1109/SEAA51224.2020.00013</t>
  </si>
  <si>
    <t>In recent years, the application of artificial intelligence (AI) has become an integral part of a wide range of areas, including software engineering. By analyzing various data sources generated in software engineering, it can provide valuable insights into customer behavior, product performance, bugs and errors, and many more. In practice, however, AI for software analytics and business intelligence often gets stuck in a prototypical stage and the results are rarely used to make decisions based on data. To understand the underlying root causes of this phenomenon, we conduct both an explanatory case study and a survey on the challenges of realizing and utilizing artificial intelligence in the context of software-intensive businesses. As a result, we identify a vicious circle that prevents practitioners from moving from prototypical analytics to continuous and productively usable software analytics and business intelligence based on AI. © 2020 IEEE.</t>
  </si>
  <si>
    <t>Sae-Lim N,Hayashi S,Saeki M</t>
  </si>
  <si>
    <t>Supporting proactive refactoring: An exploratory study on decaying modules and their prediction</t>
  </si>
  <si>
    <t>IEICE Transactions on Information and Systems</t>
  </si>
  <si>
    <t>E104D</t>
  </si>
  <si>
    <t>1601 – 1615</t>
  </si>
  <si>
    <t>Institute of Electronics Information Communication Engineers</t>
  </si>
  <si>
    <t>0916-8532</t>
  </si>
  <si>
    <t>https://www.scopus.com/inward/record.uri?eid=2-s2.0-85116556448&amp;doi=10.1587%2ftransinf.2020EDP7255&amp;partnerID=40&amp;md5=4a32a900ee950e280de93550f1b5b228;http://dx.doi.org/10.1587/transinf.2020EDP7255</t>
  </si>
  <si>
    <t>10.1587/transinf.2020EDP7255</t>
  </si>
  <si>
    <t>Code smells can be detected using tools such as a static analyzer that detects code smells based on source code metrics. Developers perform refactoring activities based on the result of such detection tools to improve source code quality. However, such an approach can be considered as reactive refactoring, i.e., developers react to code smells after they occur. This means that developers first suffer the effects of low-quality source code before they start solving code smells. In this study, we focus on proactive refactoring, i.e., refactoring source code before it becomes smelly. This approach would allow developers to maintain source code quality without having to suffer the impact of code smells. To support the proactive refactoring process, we propose a technique to detect decaying modules, which are non-smelly modules that are about to become smelly. We present empirical studies on open source projects with the aim of studying the characteristics of decaying modules. Additionally, to facilitate developers in the refactoring planning process, we perform a study on using a machine learning technique to predict decaying modules and report a factor that contributes most to the performance of the model under consideration. © 2021 The Institute of Electronics.</t>
  </si>
  <si>
    <t>Panthaplackel S,Li JJ,Gligoric M,Mooney RJ</t>
  </si>
  <si>
    <t>Deep Just-In-Time Inconsistency Detection Between Comments and Source Code</t>
  </si>
  <si>
    <t>427 – 435</t>
  </si>
  <si>
    <t>Association for the Advancement of Artificial Intelligence</t>
  </si>
  <si>
    <t>https://www.scopus.com/inward/record.uri?eid=2-s2.0-85113620912&amp;partnerID=40&amp;md5=4ec6c60b0a801883da8b533dc84013f2</t>
  </si>
  <si>
    <t>Natural language comments convey key aspects of source code such as implementation, usage, and pre- and post-conditions. Failure to update comments accordingly when the corresponding code is modified introduces inconsistencies, which is known to lead to confusion and software bugs. In this paper, we aim to detect whether a comment becomes inconsistent as a result of changes to the corresponding body of code, in order to catch potential inconsistencies just-in-time, i.e., before they are committed to a code base. To achieve this, we develop a deep-learning approach that learns to correlate a comment with code changes. By evaluating on a large corpus of comment/code pairs spanning various comment types, we show that our model outperforms multiple baselines by significant margins. For extrinsic evaluation, we show the usefulness of our approach by combining it with a comment update model to build a more comprehensive automatic comment maintenance system which can both detect and resolve inconsistent comments based on code changes. © 2021, Association for the Advancement of Artificial Intelligence (www.aaai.org). All rights reserved</t>
  </si>
  <si>
    <t>Peng Z,Yang J,Chen TH,Ma L</t>
  </si>
  <si>
    <t>A first look at the integration of machine learning models in complex autonomous driving systems: A case study on Apollo</t>
  </si>
  <si>
    <t>1240 – 1250</t>
  </si>
  <si>
    <t>https://www.scopus.com/inward/record.uri?eid=2-s2.0-85097173443&amp;doi=10.1145%2f3368089.3417063&amp;partnerID=40&amp;md5=aa1b6215912a8d109ab7e22f981e387a;http://dx.doi.org/10.1145/3368089.3417063</t>
  </si>
  <si>
    <t>10.1145/3368089.3417063</t>
  </si>
  <si>
    <t>Autonomous Driving System (ADS) is one of the most promising and valuable large-scale machine learning (ML) powered systems. Hence, ADS has attracted much attention from academia and practitioners in recent years. Despite extensive study on ML models, it still lacks a comprehensive empirical study towards understanding the ML model roles, peculiar architecture, and complexity of ADS (i.e., various ML models and their relationship with non-trivial code logic). In this paper, we conduct an in-depth case study on Apollo, which is one of the state-of-the-art ADS, widely adopted by major automakers worldwide. We took the first step to reveal the integration of the underlying ML models and code logic in Apollo. In particular, we study the Apollo source code and present the underlying ML model system architecture. We present our findings on how the ML models interact with each other, and how the ML models are integrated with code logic to form a complex system. Finally, we inspect Apollo in a dynamic view and notice the heavy use of model-relevant components and the lack of adequate tests in general. Our study reveals potential maintenance challenges of complex ML-powered systems and identifies future directions to improve the quality assurance of ADS and general ML systems. © 2020 ACM.</t>
  </si>
  <si>
    <t>Parmar R,Leiponen A,Thomas LD</t>
  </si>
  <si>
    <t>Building an organizational digital twin</t>
  </si>
  <si>
    <t>Business Horizons</t>
  </si>
  <si>
    <t>725 – 736</t>
  </si>
  <si>
    <t>0007-6813</t>
  </si>
  <si>
    <t>https://www.scopus.com/inward/record.uri?eid=2-s2.0-85089572287&amp;doi=10.1016%2fj.bushor.2020.08.001&amp;partnerID=40&amp;md5=d90e7f7b16669350bf9cb4325f9efc26;http://dx.doi.org/10.1016/j.bushor.2020.08.001</t>
  </si>
  <si>
    <t>10.1016/j.bushor.2020.08.001</t>
  </si>
  <si>
    <t>The increasing digitization of the economy means that a new digital resource—a digital twin of an organization—is now feasible. We suggest five principles that assist in the construction of an organizational digital twin and show how they combine into a dynamic evolutionary process that builds and maintains the digital twin incrementally. We also discuss the organizational implications of implementing a digital twin and how digital twins create value in an organization. © 2020 Kelley School of Business, Indiana University</t>
  </si>
  <si>
    <t>Cited by: 28</t>
  </si>
  <si>
    <t>Parihar R,Kar P,Kumar S</t>
  </si>
  <si>
    <t>Auto-Generated Code Detector - A Preprocessor to Enhance Security, Quality, Maintenance and Accurate Productivity Calculation of Code</t>
  </si>
  <si>
    <t>1500 – 1504</t>
  </si>
  <si>
    <t>https://www.scopus.com/inward/record.uri?eid=2-s2.0-85125305120&amp;doi=10.1109%2fICCC54389.2021.9674263&amp;partnerID=40&amp;md5=2574ac649ab5d0971955cc5c7b7bcecf;http://dx.doi.org/10.1109/ICCC54389.2021.9674263</t>
  </si>
  <si>
    <t>10.1109/ICCC54389.2021.9674263</t>
  </si>
  <si>
    <t>Auto-generated code detection is emerging fast as a must-have pre-processing activity for software companies. If unchecked, auto-generated code can trigger security issues and incorrect quality and productivity calculations. Besides, devising a generic algorithm is difficult because of the colossal size of repositories and diversified technology stack. That is why researchers are trying to detect, scrutinize, verify, and validate code in terms of security, copyrights, and code licenses to exclude auto-generated code during quality and productivity analysis. It will improve the software reliability and integrity, code quality, maintainability of deliverable, correct productivity calculation and ensure code's adherence to copyrights and licenses.Auto-generated code detection detects machine-generated code, external libraries, minified files/packages/bundles files, and anomaly files [1]. Among these, the anomaly files have one-time large commits and code from other repositories. Such files force the quality analysis tools to slow down or hang or produce incorrect quality reports causing major bottlenecks. Also, the manual identification of auto-generated code is time-consuming and not sustainable. These acted as a catalyst for our extensive research to detect auto-generated code with high accuracy. We used our domain expertise and machine learning skills to write algorithms for better detection. As its outcome, our proposed technique can identify whether the source code is auto-generated or not by mining the code and collecting data from version control. We have run our technology-agnostic algorithm across various repositories within Talentica as well as for external repositories belonging to Google, Facebook, Twitter, Thoughtworks, Netflix and have achieved an average of 96.85% accuracy. © 2021 IEEE.</t>
  </si>
  <si>
    <t>Raj E,Buffoni D,Westerlund M,Ahola K</t>
  </si>
  <si>
    <t>Edge MLOps: An Automation Framework for AIoT Applications</t>
  </si>
  <si>
    <t>191 – 200</t>
  </si>
  <si>
    <t>https://www.scopus.com/inward/record.uri?eid=2-s2.0-85123212543&amp;doi=10.1109%2fIC2E52221.2021.00034&amp;partnerID=40&amp;md5=c2344d21b8096b68a0886e87a42dff46;http://dx.doi.org/10.1109/IC2E52221.2021.00034</t>
  </si>
  <si>
    <t>10.1109/IC2E52221.2021.00034</t>
  </si>
  <si>
    <t>Artificial Intelligence of Things (AIoT) is the combination of artificial intelligence (AI) technologies with the Internet of Things (IoT) infrastructure to achieve more efficient IoT operations and decision making. Edge computing is emerging to enable AIoT applications. In this paper, we develop an Edge MLOps framework for automating Machine Learning at the edge, enabling continuous model training, deployment, delivery and monitoring. To achieve this, we synergize cloud and edge environments. We experimentally validate our framework on a forecasting air quality situation. During validation, the framework showed stability and automatically retrained, integrated, and deployed models for specific environments when their performance deteriorated under a certain threshold. © 2021 IEEE.</t>
  </si>
  <si>
    <t>Li Z,Zhong H</t>
  </si>
  <si>
    <t>Revisiting Textual Feature of Bug-Triage Approach</t>
  </si>
  <si>
    <t>1183 – 1185</t>
  </si>
  <si>
    <t>https://www.scopus.com/inward/record.uri?eid=2-s2.0-85125461915&amp;doi=10.1109%2fASE51524.2021.9678863&amp;partnerID=40&amp;md5=482ee4f2a1b9b6b73fd2fafd5b384160;http://dx.doi.org/10.1109/ASE51524.2021.9678863</t>
  </si>
  <si>
    <t>10.1109/ASE51524.2021.9678863</t>
  </si>
  <si>
    <t>With the increase of software users, programmers use issue tracking systems to manage bug reports and researchers propose bug-triage approaches that assign bug reports to programmers. Programmers assign bug reports often according to their descriptions. Based on by this observation, prior approaches typically use classic natural language processing (NLP) to analyze bug reports. Although the technical choice is straightforward, the true effectiveness of this technical choice is largely unknown. Taking a state-of-the-art approach as an example, we explore the impact of textual features in bug triage. By enabling and disabling the textual features of this approach, we analyze their impacts on assigning thousands bug reports from six widely used open source projects. Our result shows that instead of improving it, textual features in fact reduce the effectiveness. In particular, after we turn off its textual features, the f-scores of the baseline approach are improved by 8%. After manual inspection, we find two reasons to explain our result: (1) classic NLP techniques are insufficient to analyze bug reports, because they are not pure natural language texts and contain other elements (e.g., code samples); and (2) some bug reports are poorly written. Our findings reveal a strong need and sufficient opportunities to explore more advanced techniques to handle these complicated elements in bug reports. © 2021 IEEE.</t>
  </si>
  <si>
    <t>Srivastava M,Nushi B,Kamar E,Shah S,Horvitz E</t>
  </si>
  <si>
    <t>An Empirical Analysis of Backward Compatibility in Machine Learning Systems</t>
  </si>
  <si>
    <t>3272 – 3280</t>
  </si>
  <si>
    <t>https://www.scopus.com/inward/record.uri?eid=2-s2.0-85090415543&amp;doi=10.1145%2f3394486.3403379&amp;partnerID=40&amp;md5=c03835156d04ea2af102deec309a9c91;http://dx.doi.org/10.1145/3394486.3403379</t>
  </si>
  <si>
    <t>10.1145/3394486.3403379</t>
  </si>
  <si>
    <t>In many applications of machine learning (ML), updates are performed with the goal of enhancing model performance. However, current practices for updating models rely solely on isolated, aggregate performance analyses, overlooking important dependencies, expectations, and needs in real-world deployments. We consider how updates, intended to improve ML models, can introduce new errors that can significantly affect downstream systems and users. For example, updates in models used in cloud-based classification services, such as image recognition, can cause unexpected erroneous behavior in systems that make calls to the services. Prior work has shown the importance of backward compatibility for maintaining human trust. We study challenges with backward compatibility across different ML architectures and datasets, focusing on common settings including data shifts with structured noise and ML employed in inferential pipelines. Our results show that (i) compatibility issues arise even without data shift due to optimization stochasticity, (ii) training on large-scale noisy datasets often results in significant decreases in backward compatibility even when model accuracy increases, and (iii) distributions of incompatible points align with noise bias, motivating the need for compatibility aware de-noising and robustness methods. © 2020 ACM.</t>
  </si>
  <si>
    <t>Shen Q,Qin H,Wei K,Liu G</t>
  </si>
  <si>
    <t>Multiscale Deep Neural Network for Obstructive Sleep Apnea Detection Using RR Interval from Single-Lead ECG Signal</t>
  </si>
  <si>
    <t>IEEE Transactions on Instrumentation and Measurement</t>
  </si>
  <si>
    <t>0018-9456</t>
  </si>
  <si>
    <t>https://www.scopus.com/inward/record.uri?eid=2-s2.0-85102310792&amp;doi=10.1109%2fTIM.2021.3062414&amp;partnerID=40&amp;md5=e930b65b37ee8b67476c6350c271f4b2;http://dx.doi.org/10.1109/TIM.2021.3062414</t>
  </si>
  <si>
    <t>10.1109/TIM.2021.3062414</t>
  </si>
  <si>
    <t>The detection of obstructive sleep apnea (OSA) based on single-lead electrocardiogram (ECG) is better suited to the noninvasive needs and hardware conditions of wearable mobile devices. From previous ECG-based OSA detection methods, we can find that deep learning methods have shown great potential and advantages. However, due to the nonstationarity of sympathetic nerve signals and the complex characteristics of heart rate variability (HRV), the neural network under a single scale cannot effectively capture the features of HRV. In this study, an OSA detection method based on a multiscale dilation attention 1-D convolutional neural network (MSDA-1DCNN) and a weighted-loss time-dependent (WLTD) classification model were proposed. The introduction of dilated convolution effectively balanced the relationship between model parameters and performance. Attention mechanism technology modified the multiscale features after fusion and improved the weight of features under important channels. In the final classification part of the network, the combination of weighted cross-entropy loss function and hidden Markov model effectively alleviated the problem of data imbalance and improved the classification accuracy of the classifier. In segment identification, the accuracy, sensitivity, and specificity of the proposed method are 89.4%, 89.8%, and 89.1%, respectively; as for individual identification, the accuracy of that achieved 100%. The results demonstrated that the method proposed in this study can identify sleep apnea accurately. © 1963-2012 IEEE.</t>
  </si>
  <si>
    <t>Wu R,Guo C,Hannun A,van der Maaten L</t>
  </si>
  <si>
    <t>Fixes That Fail: Self-Defeating Improvements in Machine-Learning Systems</t>
  </si>
  <si>
    <t>11745 – 11756</t>
  </si>
  <si>
    <t>Neural information processing systems foundation</t>
  </si>
  <si>
    <t>1049-5258</t>
  </si>
  <si>
    <t>https://www.scopus.com/inward/record.uri?eid=2-s2.0-85131835438&amp;partnerID=40&amp;md5=40c05d858c50c0800240f633ed3bce18</t>
  </si>
  <si>
    <t>Machine-learning systems such as self-driving cars or virtual assistants are composed of a large number of machine-learning models that recognize image content, transcribe speech, analyze natural language, infer preferences, rank options, etc. Models in these systems are often developed and trained independently, which raises an obvious concern: Can improving a machine-learning model make the overall system worse? We answer this question affirmatively by showing that improving a model can deteriorate the performance of downstream models, even after those downstream models are retrained. Such self-defeating improvements are the result of entanglement between the models in the system. We perform an error decomposition of systems with multiple machine-learning models, which sheds light on the types of errors that can lead to self-defeating improvements. We also present the results of experiments which show that self-defeating improvements emerge in a realistic stereo-based detection system for cars and pedestrians. © 2021 Neural information processing systems foundation. All rights reserved.</t>
  </si>
  <si>
    <t>Xin D,Miao H,Parameswaran A,Polyzotis N</t>
  </si>
  <si>
    <t>Production Machine Learning Pipelines: Empirical Analysis and Optimization Opportunities</t>
  </si>
  <si>
    <t>2639 – 2652</t>
  </si>
  <si>
    <t>0730-8078</t>
  </si>
  <si>
    <t>https://www.scopus.com/inward/record.uri?eid=2-s2.0-85108962461&amp;doi=10.1145%2f3448016.3457566&amp;partnerID=40&amp;md5=5457d9aba01d113608abd8913c746563;http://dx.doi.org/10.1145/3448016.3457566</t>
  </si>
  <si>
    <t>10.1145/3448016.3457566</t>
  </si>
  <si>
    <t>Machine learning (ML) is now commonplace, powering data-driven applications in various organizations. Unlike the traditional perception of ML in research, ML production pipelines are complex, with many interlocking analytical components beyond training, whose sub-parts are often run multiple times on overlapping subsets of data. However, there is a lack of quantitative evidence regarding the lifespan, architecture, frequency, and complexity of these pipelines to understand how data management research can be used to make them more efficient, effective, robust, and reproducible. To that end, we analyze the provenance graphs of 3000 production ML pipelines at Google, comprising over 450,000 models trained, spanning a period of over four months, in an effort to understand the complexity and challenges underlying production ML. Our analysis reveals the characteristics, components, and topologies of typical industry-strength ML pipelines at various granularities. Along the way, we introduce a specialized data model for representing and reasoning about repeatedly run components in these ML pipelines, which we call model graphlets. We identify several rich opportunities for optimization, leveraging traditional data management ideas. We show how targeting even one of these opportunities, i.e., identifying and pruning wasted computation that does not translate to model deployment, can reduce wasted computation cost by 50% without compromising the model deployment cadence. © 2021 Owner/Author.</t>
  </si>
  <si>
    <t>Cited by: 9; All Open Access, Bronze Open Access</t>
  </si>
  <si>
    <t>Guaman D,Delgado S,Perez J</t>
  </si>
  <si>
    <t>Classifying Model-View-Controller Software Applications Using Self-Organizing Maps</t>
  </si>
  <si>
    <t>45201 – 45229</t>
  </si>
  <si>
    <t>https://www.scopus.com/inward/record.uri?eid=2-s2.0-85103148325&amp;doi=10.1109%2fACCESS.2021.3066348&amp;partnerID=40&amp;md5=5c33c615d26804f810a0df3870ace47e;http://dx.doi.org/10.1109/ACCESS.2021.3066348</t>
  </si>
  <si>
    <t>10.1109/ACCESS.2021.3066348</t>
  </si>
  <si>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 © 2013 IEEE.</t>
  </si>
  <si>
    <t>Adoption and effects of software engineering best practices in machine learning</t>
  </si>
  <si>
    <t>https://www.scopus.com/inward/record.uri?eid=2-s2.0-85095814265&amp;doi=10.1145%2f3382494.3410681&amp;partnerID=40&amp;md5=8c9d5d6c0962fe371bc4bcd6588e28d7;http://dx.doi.org/10.1145/3382494.3410681</t>
  </si>
  <si>
    <t>10.1145/3382494.3410681</t>
  </si>
  <si>
    <t>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 © 2020 IEEE Computer Society. All rights reserved.</t>
  </si>
  <si>
    <t>Cited by: 29; All Open Access, Green Open Access</t>
  </si>
  <si>
    <t>Bai E,Song SL,Fraser HS,Ranney ML</t>
  </si>
  <si>
    <t>A Graphical Toolkit for Longitudinal Dataset Maintenance and Predictive Model Training in Health Care</t>
  </si>
  <si>
    <t>Applied Clinical Informatics</t>
  </si>
  <si>
    <t>56 – 66</t>
  </si>
  <si>
    <t>Georg Thieme Verlag</t>
  </si>
  <si>
    <t>1869-0327</t>
  </si>
  <si>
    <t>https://www.scopus.com/inward/record.uri?eid=2-s2.0-85124777462&amp;doi=10.1055%2fs-0041-1740923&amp;partnerID=40&amp;md5=cd97edd7ad4de13122a0f02c60dd31a6;http://dx.doi.org/10.1055/s-0041-1740923</t>
  </si>
  <si>
    <t>10.1055/s-0041-1740923</t>
  </si>
  <si>
    <t>Background Predictive analytic models, including machine learning (ML) models, are increasingly integrated into electronic health record (EHR)-based decision support tools for clinicians. These models have the potential to improve care, but are challenging to internally validate, implement, and maintain over the long term. Principles of ML operations (MLOps) may inform development of infrastructure to support the entire ML lifecycle, from feature selection to long-term model deployment and retraining. Objectives This study aimed to present the conceptual prototypes for a novel predictive model management system and to evaluate the acceptability of the system among three groups of end users. Methods Based on principles of user-centered software design, human-computer interaction, and ethical design, we created graphical prototypes of a web-based MLOps interface to support the construction, deployment, and maintenance of models using EHR data. To assess the acceptability of the interface, we conducted semistructured user interviews with three groups of users (health informaticians, clinical and data stakeholders, chief information officers) and evaluated preliminary usability using the System Usability Scale (SUS). We subsequently revised prototypes based on user input and developed user case studies. Results Our prototypes include design frameworks for feature selection, model training, deployment, long-term maintenance, visualization over time, and cross-functional collaboration. Users were able to complete 71% of prompted tasks without assistance. The average SUS score of the initial prototype was 75.8 out of 100, translating to a percentile range of 70 to 79, a letter grade of B, and an adjective rating of good. We reviewed persona-based case studies that illustrate functionalities of this novel prototype. Conclusion The initial graphical prototypes of this MLOps system are preliminarily usable and demonstrate an unmet need within the clinical informatics landscape. © 2022 American Institute of Physics Inc.. All rights reserved.</t>
  </si>
  <si>
    <t>Take M,Alpers S,Becker C,Schreiber C,Oberweis A</t>
  </si>
  <si>
    <t>Software design patterns for ai-systems</t>
  </si>
  <si>
    <t>30 – 35</t>
  </si>
  <si>
    <t>https://www.scopus.com/inward/record.uri?eid=2-s2.0-85106966534&amp;partnerID=40&amp;md5=b4f7c335dfe07bf1d0678ef9cf7d8f42</t>
  </si>
  <si>
    <t>Well-established design patterns offer the possibility of standardized construction of software systems and can be used in various ways. The systematic use of design patterns in the field of Artificial Intelligence (AI) Systems however, has received little attention so far, despite AI being a popular research area in recent years. AI systems can be used for a wide variety of applications and play an increasingly important role in business and everyday life. AI systems are becoming more complex however, the actual machine learning (ML) task comprises only a small part of the total source code of a system. In order to maintain a clear and structured architecture for such systems and to allow easy maintenance, standardized elements should be reused in the design. This paper describes possible applications of well-known design patterns in AI systems to improve traceability of the system design. Copyright © 2021 for this paper by its authors.</t>
  </si>
  <si>
    <t>Lee J,Nie P,Li JJ,Gligoric M</t>
  </si>
  <si>
    <t>On the naturalness of hardware descriptions</t>
  </si>
  <si>
    <t>530 – 542</t>
  </si>
  <si>
    <t>https://www.scopus.com/inward/record.uri?eid=2-s2.0-85097139899&amp;doi=10.1145%2f3368089.3409692&amp;partnerID=40&amp;md5=cb82bb570d4a68ad5d6e39d28086f867;http://dx.doi.org/10.1145/3368089.3409692</t>
  </si>
  <si>
    <t>10.1145/3368089.3409692</t>
  </si>
  <si>
    <t>Mining software repositories (MSR) has been shown effective for extracting data used to improve various software engineering tasks, including code completion, code repair, code search, and code summarization. Despite a large body of work on MSR, researchers have focused almost exclusively on repositories that contain code written in imperative programming languages, such as Java and C/C++. Unlike prior work, in this paper, we focus on mining publicly available hardware descriptions (HDs) written in hardware description languages (HDLs), such as VHDL. HDLs have unique syntax and semantics compared to popular imperative languages, and learning-based tools available to hardware designers are well behind those used in other application domains. We assembled large HD corpora consisting of source code written in several HDLs and report on their characteristics. Our language model evaluation reveals that HDs possess a high level of naturalness similar to software written in imperative languages. Further, by utilizing our corpora, we built several deep learning models for automated code completion in VHDL; our models take into account unique characteristics of HDLs, including similarities of nearby concurrent signal assignment statements, in-built concurrency, and the frequently used signal types. These characteristics led to more effective neural models, achieving a BLEU score of 37.3, an 8-14-point improvement over rule-based and neural baselines. © 2020 ACM.</t>
  </si>
  <si>
    <t>Liu J,Huang Q,Xia X,Shihab E,Lo D,Li S</t>
  </si>
  <si>
    <t>An exploratory study on the introduction and removal of different types of technical debt in deep learning frameworks</t>
  </si>
  <si>
    <t>https://www.scopus.com/inward/record.uri?eid=2-s2.0-85100924329&amp;doi=10.1007%2fs10664-020-09917-5&amp;partnerID=40&amp;md5=3e7ce79f3c6bc5ed55165ba876d31c97;http://dx.doi.org/10.1007/s10664-020-09917-5</t>
  </si>
  <si>
    <t>10.1007/s10664-020-09917-5</t>
  </si>
  <si>
    <t>To complete tasks faster, developers often have to sacrifice the quality of the software. Such compromised practice results in the increasing burden to developers in future development. The metaphor, technical debt, describes such practice. Prior research has illustrated the negative impact of technical debt, and many researchers investigated how developers deal with a certain type of technical debt. However, few studies focused on the removal of different types of technical debt in practice. To fill this gap, we use the introduction and removal of different types of self-admitted technical debt (i.e., SATD) in 7 deep learning frameworks as an example. This is because deep learning frameworks are some of the most important software systems today due to their prevalent use in life-impacting deep learning applications. Moreover, the field of the development of different deep learning frameworks is the same, which enables us to find common behaviors on the removal of different types of technical debt across projects. By mining the file history of these frameworks, we find that design debt is introduced the most along the development process. As for the removal of technical debt, we find that requirement debt is removed the most, and design debt is removed the fastest. Most of test debt, design debt, and requirement debt are removed by the developers who introduced them. Based on the introduction and removal of different types of technical debt, we discuss the evolution of the frequencies of different types of technical debt to depict the unresolved sub-optimal trade-offs or decisions that are confronted by developers along the development process. We also discuss the removal patterns of different types of technical debt, highlight future research directions, and provide recommendations for practitioners. © 2021, The Author(s), under exclusive licence to Springer Science+Business Media, LLC part of Springer Nature.</t>
  </si>
  <si>
    <t>Hamdy A,Tazy M</t>
  </si>
  <si>
    <t>Deep hybrid features for code smells detection</t>
  </si>
  <si>
    <t>Journal of Theoretical and Applied Information Technology</t>
  </si>
  <si>
    <t>2684 – 2696</t>
  </si>
  <si>
    <t>Little Lion Scientific</t>
  </si>
  <si>
    <t>1992-8645</t>
  </si>
  <si>
    <t>https://www.scopus.com/inward/record.uri?eid=2-s2.0-85090125949&amp;partnerID=40&amp;md5=d66bb994a25467f9dcac357d2c9a228a</t>
  </si>
  <si>
    <t>Code smells are symptoms of poor software design and implementation choices. Previous empirical studies have underlined their negative effect on software comprehension, fault-proneness and maintainability. A number of approaches have been proposed to identify the existence of code smells in the source code; recent studies have shown the potential of machine learning models in this context. However, previous approaches did not exploit the lexical and syntactical features of the source code; they instead modelled the source code using software metrics only. This paper proposes an approach for detecting the occurrence of the God class smell which utilizes both, the source code textual features and metrics to train three deep learning networks (i) Long short term memory, (ii) Gated recurrent unit and (iii) Convolutional neural network. We proposed utilizing deep leaning networks as they are reported to outperform traditional machine learning models in several domains including software engineering. To assess the proposed approach, a dataset for the God class smell was built using source codes acquired from the Qualitas Corpus. Experimental results demonstrated that, the three deep learning networks outperformed three traditional machine learning models: Naïve Bayes, Random forests and Decision trees. Additionally, of the three deep learning networks the Gated recurrent unit model is the superior in this context. Furthermore, combining both, the source code metrics and textual features enhanced the accuracy of detecting the God class smell. © 2020 Little Lion Scientific. All rights reserved.</t>
  </si>
  <si>
    <t>Al Maruf A,Lambaria N,Abdelfattah AS,Cerny T</t>
  </si>
  <si>
    <t>Using Version Control and Issue Tickets to detect Code Debt and Economical Cost</t>
  </si>
  <si>
    <t>1208 – 1209</t>
  </si>
  <si>
    <t>https://www.scopus.com/inward/record.uri?eid=2-s2.0-85125435603&amp;doi=10.1109%2fASE51524.2021.9678532&amp;partnerID=40&amp;md5=ae02d33b10018cb18d054d33466e0a23;http://dx.doi.org/10.1109/ASE51524.2021.9678532</t>
  </si>
  <si>
    <t>10.1109/ASE51524.2021.9678532</t>
  </si>
  <si>
    <t>Despite the fact that there are numerous classifications of technical debt based on various criteria, Code Debt or code smells is a category that appears in the majority of current research. One of the primary causes of code debt is the urgency to deliver software quickly, as well as bad coding practices. Among many approaches, static code analysis has received the most attention in studies to detect code-smell/code debt. However, most of them examine the same programming language, although today's software company utilizes many development stacks with various languages and tools. This problem can be resolved by detecting code debt with Issue/Ticket cards. This paper presents a method for detecting code debt leveraging natural language processing on issue tickets. It also proposes a method for calculating the average amount of time that a code debt was present in the software. This method is implemented utilizing git mining. © 2021 IEEE.</t>
  </si>
  <si>
    <t>FRUGAL: Unlocking Semi-Supervised Learning for Software Analytics</t>
  </si>
  <si>
    <t>394 – 406</t>
  </si>
  <si>
    <t>https://www.scopus.com/inward/record.uri?eid=2-s2.0-85125470611&amp;doi=10.1109%2fASE51524.2021.9678617&amp;partnerID=40&amp;md5=33179c29372e750880332088711cc195;http://dx.doi.org/10.1109/ASE51524.2021.9678617</t>
  </si>
  <si>
    <t>10.1109/ASE51524.2021.9678617</t>
  </si>
  <si>
    <t>Standard software analytics often involves having a large amount of data with labels in order to commission models with acceptable performance. However, prior work has shown that such requirements can be expensive, taking several weeks to label thousands of commits, and not always available when traversing new research problems and domains. Unsupervised Learning is a promising direction to learn hidden patterns within unlabelled data, which has only been extensively studied in defect prediction. Nevertheless, unsupervised learning can be ineffective by itself and has not been explored in other domains (e.g., static analysis and issue close time).Motivated by this literature gap and technical limitations, we present FRUGAL, a tuned semi-supervised method that builds on a simple optimization scheme that does not require sophisticated (e.g., deep learners) and expensive (e.g., 100% manually labelled data) methods. FRUGAL optimizes the unsupervised learner's configurations (via a simple grid search) while validating our design decision of labelling just 2.5% of the data before prediction.As shown by the experiments of this paper FRUGAL outperforms the state-of-the-art adoptable static code warning recognizer and issue closed time predictor, while reducing the cost of labelling by a factor of 40 (from 100% to 2.5%). Hence we assert that FRUGAL can save considerable effort in data labelling especially in validating prior work or researching new problems.Based on this work, we suggest that proponents of complex and expensive methods should always baseline such methods against simpler and cheaper alternatives. For instance, a semi-supervised learner like FRUGAL can serve as a baseline to the state-of-theart software analytics. © 2021 IEEE.</t>
  </si>
  <si>
    <t>Tomforde S,Goller M</t>
  </si>
  <si>
    <t>Assessment of Configuration Stability and Variability in Collections of Self-Adaptive Systems</t>
  </si>
  <si>
    <t>125 – 130</t>
  </si>
  <si>
    <t>https://www.scopus.com/inward/record.uri?eid=2-s2.0-85123431746&amp;doi=10.1109%2fACSOS-C52956.2021.00038&amp;partnerID=40&amp;md5=f7fda58b9f6586ec5d122899e6cedbae;http://dx.doi.org/10.1109/ACSOS-C52956.2021.00038</t>
  </si>
  <si>
    <t>10.1109/ACSOS-C52956.2021.00038</t>
  </si>
  <si>
    <t>Self-adaptive and self-organising (SASO) systems are typically composed of several (semi-)autonomous subsystems that alter their configuration and the system's structure in response to environmental and internal observations. The overall goal of these changes is mainly two-fold: improving the expected performance or goal achievement and providing increased robustness against disturbances and unforeseen events. In order to establish self-awareness of overall system behaviour as a basis for guided control intervention, we investigate measures to quantify and assess system properties. This paper introduces a novel approach to determine a degree of configuration variability and stability based on external, system-wide observation of configuration variables of the distributed subsystems. We analyse the behaviour of our metrics in two different scenarios and outline the possible advantages of the applicability. © 2021 IEEE.</t>
  </si>
  <si>
    <t>Kourouklidis P,Kolovos D,Matragkas N,Noppen J</t>
  </si>
  <si>
    <t>Towards a low-code solution for monitoring machine learning model performance</t>
  </si>
  <si>
    <t>423 – 430</t>
  </si>
  <si>
    <t>https://www.scopus.com/inward/record.uri?eid=2-s2.0-85096810527&amp;doi=10.1145%2f3417990.3420196&amp;partnerID=40&amp;md5=734bb34bd97d5b82326506bf0e316734;http://dx.doi.org/10.1145/3417990.3420196</t>
  </si>
  <si>
    <t>10.1145/3417990.3420196</t>
  </si>
  <si>
    <t>As the use of machine learning techniques by organisations has become more common, the need for software tools that provide the robustness required in a production environment has become apparent. In this paper, we review relevant literature and outline a research agenda for the development of a low-code solution for monitoring the performance of a deployed machine learning model on a continuous basis. © 2020 ACM.</t>
  </si>
  <si>
    <t>Rantala L,Mantyla M,Lo D</t>
  </si>
  <si>
    <t>Prevalence, Contents and Automatic Detection of KL-SATD</t>
  </si>
  <si>
    <t>385 – 388</t>
  </si>
  <si>
    <t>https://www.scopus.com/inward/record.uri?eid=2-s2.0-85096567372&amp;doi=10.1109%2fSEAA51224.2020.00069&amp;partnerID=40&amp;md5=fa864c8485e6cb62bd4f1b41b258269e;http://dx.doi.org/10.1109/SEAA51224.2020.00069</t>
  </si>
  <si>
    <t>10.1109/SEAA51224.2020.00069</t>
  </si>
  <si>
    <t>When developers use different keywords such as TODO and FIXME in source code comments to describe self-admitted technical debt (SATD), we refer it as Keyword-Labeled SATD (KL-SATD). We study KL-SATD from 33 software repositories with 13,588 KL-SATD comments. We find that the median percentage of KL-SATD comments among all comments is only 1,52%. We find that KL-SATD comment contents include words expressing code changes and uncertainty, such as remove, fix, maybe and probably. This makes them different compared to other comments. KL-SATD comment contents are similar to manually labeled SATD comments of prior work. Our machine learning classifier using logistic Lasso regression has good performance in detecting KL-SATD comments (AUC-ROC 0.88). Finally, we demonstrate that using machine learning we can identify comments that are currently missing but which should have a SATD keyword in them. Automating SATD identification of comments that lack SATD keywords can save time and effort by replacing manual identification of comments. Using KL-SATD offers a potential to bootstrap a complete SATD detector. © 2020 IEEE.</t>
  </si>
  <si>
    <t>Ciancarini P,Masyagin S,Succi G</t>
  </si>
  <si>
    <t>Software design as story telling: Reflecting on the work of Italo Calvino</t>
  </si>
  <si>
    <t>195 – 208</t>
  </si>
  <si>
    <t>https://www.scopus.com/inward/record.uri?eid=2-s2.0-85097715141&amp;doi=10.1145%2f3426428.3426925&amp;partnerID=40&amp;md5=999e87da168ab83f34157c02f50642ab;http://dx.doi.org/10.1145/3426428.3426925</t>
  </si>
  <si>
    <t>10.1145/3426428.3426925</t>
  </si>
  <si>
    <t>Are we really writing software? What do software writers have in common with other professional writers? What can we software developers learn from professional writers? This paper proposes a reflection on such topics using as a reference the book Six Memos for the Next Millennium, a posthumous essay by the Italian novelist, editor, and literary critic Italo Calvino. A comparison is drawn between such work and the current principles ruling how software should be written and developed, and a claim is made that this is an area worth further exploration. © 2020 ACM.</t>
  </si>
  <si>
    <t>Alenezi M,Akour M,Qasem OA</t>
  </si>
  <si>
    <t>Harnessing deep learning algorithms to predict software refactoring</t>
  </si>
  <si>
    <t>Telkomnika (Telecommunication Computing Electronics and Control)</t>
  </si>
  <si>
    <t>2977 – 2982</t>
  </si>
  <si>
    <t>Universitas Ahmad Dahlan</t>
  </si>
  <si>
    <t>1693-6930</t>
  </si>
  <si>
    <t>https://www.scopus.com/inward/record.uri?eid=2-s2.0-85096991614&amp;doi=10.12928%2fTELKOMNIKA.v18i6.16743&amp;partnerID=40&amp;md5=e25a8960dcb879ace126590d1115a319;http://dx.doi.org/10.12928/TELKOMNIKA.v18i6.16743</t>
  </si>
  <si>
    <t>10.12928/TELKOMNIKA.v18i6.16743</t>
  </si>
  <si>
    <t>During software maintenance, software systems need to be modified by adding or modifying source code. These changes are required to fix errors or adopt new requirements raised by stakeholders or market place. Identifying the targeted piece of code for refactoring purposes is considered a real challenge for software developers. The whole process of refactoring mainly relies on software developers’ skills and intuition. In this paper, a deep learning algorithm is used to develop a refactoring prediction model for highlighting the classes that require refactoring. More specifically, the gated recurrent unit algorithm is used with proposed pre-processing steps for refactoring prediction at the class level. The effectiveness of the proposed model is evaluated using a very common dataset of 7 open source java projects. The experiments are conducted before and after balancing the dataset to investigate the influence of data sampling on the performance of the prediction model. The experimental analysis reveals a promising result in the field of code refactoring prediction. © 2020. All rights reserved.</t>
  </si>
  <si>
    <t>Cited by: 9; All Open Access, Green Open Access, Hybrid Gold Open Access</t>
  </si>
  <si>
    <t>Bosch J,Olsson HH,Crnkovic I</t>
  </si>
  <si>
    <t>Engineering AI systems: A research agenda</t>
  </si>
  <si>
    <t>https://www.scopus.com/inward/record.uri?eid=2-s2.0-85137510970&amp;doi=10.4018%2f978-1-7998-5101-1.ch001&amp;partnerID=40&amp;md5=6240593ae2c7bc36df644c3f008913fc;http://dx.doi.org/10.4018/978-1-7998-5101-1.ch001</t>
  </si>
  <si>
    <t>10.4018/978-1-7998-5101-1.ch001</t>
  </si>
  <si>
    <t>Artificial intelligence (AI) and machine learning (ML) are increasingly broadly adopted in industry. However, based on well over a dozen case studies, we have learned that deploying industry-strength, production quality ML models in systems proves to be challenging. Companies experience challenges related to data quality, design methods and processes, performance of models as well as deployment and compliance. We learned that a new, structured engineering approach is required to construct and evolve systems that contain ML/DL components. In this chapter, the authors provide a conceptualization of the typical evolution patterns that companies experience when employing ML as well as an overview of the key problems experienced by the companies that they have studied. The main contribution of the chapter is a research agenda for AI engineering that provides an overview of the key engineering challenges surrounding ML solutions and an overview of open items that need to be addressed by the research community at large. © 2021, IGI Global.</t>
  </si>
  <si>
    <t>Cited by: 25</t>
  </si>
  <si>
    <t>1 – 19</t>
  </si>
  <si>
    <t>Lin B,Wang S,Liu K,Mao X,Bissyande TF</t>
  </si>
  <si>
    <t>Automated Comment Update: How Far are We?</t>
  </si>
  <si>
    <t>36 – 46</t>
  </si>
  <si>
    <t>https://www.scopus.com/inward/record.uri?eid=2-s2.0-85113231448&amp;doi=10.1109%2fICPC52881.2021.00013&amp;partnerID=40&amp;md5=20346bedd01823c0775782424717eece;http://dx.doi.org/10.1109/ICPC52881.2021.00013</t>
  </si>
  <si>
    <t>10.1109/ICPC52881.2021.00013</t>
  </si>
  <si>
    <t>Code comments are key to program comprehension. When they are not consistent with the code, maintenance is hindered. Yet developers often forget to update comments along with their code evolution. With recent advances in neural machine translation, the research community is contemplating novel approaches for automatically generating up-To-date comments following code changes. CUP is such an example state-of-The-Art approach whose promising performance remains however to be comprehensively assessed. Our study contributes to the literature by performing an in-depth analysis on the effectiveness of CUP. Our analysis revealed that the overall effectiveness of CUP is largely contributed by its success on updating comments via a single token change (96.6%). Several update failures occur when CUP ignores some code change information (10.4%) or when it is otherwise misled by additional information (12.8%). To put in perspective the achievements of CUP, we implement HEBCUP, a straightforward heuristic-based approach for code comment update. Building on our observations on CUP successful and failure cases, we design heuristics for focusing the update on the changed code and for performing token-level comment update. HebCup is shown to outperform CUP in terms of Accuracy by more than 60% while being over three orders of magnitude (i.e., 1700 times) faster. Further empirical analysis confirms that the HebCup does not even overfit to the empirical analysis set. Overall, with this study, we call for more research in deep learning based comment update towards achieving state-of-The-Art performance that would be unreachable by other less sophisticated techniques. © 2021 IEEE.</t>
  </si>
  <si>
    <t>Trindade RP,Da Silva Bigonha MA,Ferreira KA</t>
  </si>
  <si>
    <t>Oracles of Bad Smells: A Systematic Literature Review</t>
  </si>
  <si>
    <t>62 – 71</t>
  </si>
  <si>
    <t>https://www.scopus.com/inward/record.uri?eid=2-s2.0-85099402946&amp;doi=10.1145%2f3422392.3422415&amp;partnerID=40&amp;md5=b7cd8b2a91002fcb780a0cd33e6d7718;http://dx.doi.org/10.1145/3422392.3422415</t>
  </si>
  <si>
    <t>10.1145/3422392.3422415</t>
  </si>
  <si>
    <t>A bad smell is an evidence of a design problem that may be harmful to the software maintenance. Several studies have been carried out to aid the identification of bad smells, by defining approaches or tools. Usually, the evaluation of these studies' results relies on data of oracles bad smells. An oracle is a set of data of bad smells found in a given software system. Such data serves as a referential template or a benchmark to evaluate the proposals on detecting bad smells. The availability and the quality of bad smell oracles are crucial to assert the quality of detection strategies of bad smells. This study aims to compile the bad smell oracles proposed in the literature. To achieve this, we conducted a Systematic Literature Review (SLR) to identify bad smell oracles and their characteristics. The main result of this study is a catalog of bad smell oracles that may be useful for research on bad smells, especially the studies that propose tools or detection strategies for bad smells. © 2020 ACM.</t>
  </si>
  <si>
    <t>Catovic A,Cartwright C,Gebreyesus YT,Ferlin S</t>
  </si>
  <si>
    <t>Linnaeus: A highly reusable and adaptable ML based log classification pipeline</t>
  </si>
  <si>
    <t>11 – 18</t>
  </si>
  <si>
    <t>https://www.scopus.com/inward/record.uri?eid=2-s2.0-85113217257&amp;doi=10.1109%2fWAIN52551.2021.00008&amp;partnerID=40&amp;md5=8007c6523e47f344bdf125475ab72681;http://dx.doi.org/10.1109/WAIN52551.2021.00008</t>
  </si>
  <si>
    <t>10.1109/WAIN52551.2021.00008</t>
  </si>
  <si>
    <t>Logs are a common way to record detailed run-time information in software. As modern software systems evolve in scale and complexity, logs have become indispensable to understanding the internal states of the system. At the same time however, manually inspecting logs has become impractical. In recent times, there has been more emphasis on statistical and machine learning (ML) based methods for analyzing logs. While the results have shown promise, most of the literature focuses on algorithms and state-of-the-art (SOTA), while largely ignoring the practical aspects. In this paper we demonstrate our end-to-end log classification pipeline, Linnaeus. Besides showing the more traditional ML flow, we also demonstrate our solutions for adaptability and re-use, integration towards large scale software development processes, and how we cope with lack of labelled data. We hope Linnaeus can serve as a blueprint for, and inspire the integration of, various ML based solutions in other large scale industrial settings. © 2021 IEEE.</t>
  </si>
  <si>
    <t>Filus K,Boryszko P,Domańska J,Siavvas M,Gelenbe E</t>
  </si>
  <si>
    <t>Efficient feature selection for static analysis vulnerability prediction</t>
  </si>
  <si>
    <t>Sensors (Switzerland)</t>
  </si>
  <si>
    <t>1 – 25</t>
  </si>
  <si>
    <t>MDPI AG</t>
  </si>
  <si>
    <t>https://www.scopus.com/inward/record.uri?eid=2-s2.0-85100490591&amp;doi=10.3390%2fs21041133&amp;partnerID=40&amp;md5=63a8b7be9a761303be22a297e15bd4a3;http://dx.doi.org/10.3390/s21041133</t>
  </si>
  <si>
    <t>10.3390/s21041133</t>
  </si>
  <si>
    <t>Common software vulnerabilities can result in severe security breaches, financial losses, and reputation deterioration and require research effort to improve software security. The acceleration of the software production cycle, limited testing resources, and the lack of security expertise among programmers require the identification of efficient software vulnerability predictors to highlight the system components on which testing should be focused. Although static code analyzers are often used to improve software quality together with machine learning and data mining for software vulnerability prediction, the work regarding the selection and evaluation of different types of relevant vulnerability features is still limited. Thus, in this paper, we examine features generated by SonarQube and CCCC tools, to identify those that can be used for software vulnerability prediction. We investigate the suitability of thirty-three different features to train thirteen distinct machine learning algorithms to design vulnerability predictors and identify the most relevant features that should be used for training. Our evaluation is based on a comprehensive feature selection process based on the correlation analysis of the features, together with four well-known feature selection techniques. Our experiments, using a large publicly available dataset, facilitate the evaluation and result in the identification of small, but efficient sets of features for software vulnerability prediction. © 2021 by the authors. Licensee MDPI, Basel, Switzerland.</t>
  </si>
  <si>
    <t>Cited by: 8; All Open Access, Gold Open Access, Green Open Access</t>
  </si>
  <si>
    <t>Unceta I,Nin J,Pujol O</t>
  </si>
  <si>
    <t>Environmental adaptation and differential replication in machine learning</t>
  </si>
  <si>
    <t>Entropy</t>
  </si>
  <si>
    <t>1 – 14</t>
  </si>
  <si>
    <t>1099-4300</t>
  </si>
  <si>
    <t>https://www.scopus.com/inward/record.uri?eid=2-s2.0-85092763520&amp;doi=10.3390%2fe22101122&amp;partnerID=40&amp;md5=d5d13f826d30dab82eb00f8a82bf76e4;http://dx.doi.org/10.3390/e22101122</t>
  </si>
  <si>
    <t>10.3390/e22101122</t>
  </si>
  <si>
    <t>When deployed in the wild, machine learning models are usually confronted with an environment that imposes severe constraints. As this environment evolves, so do these constraints. As a result, the feasible set of solutions for the considered need is prone to change in time. We refer to this problem as that of environmental adaptation. In this paper, we formalize environmental adaptation and discuss how it differs from other problems in the literature. We propose solutions based on differential replication, a technique where the knowledge acquired by the deployed models is reused in specific ways to train more suitable future generations. We discuss different mechanisms to implement differential replications in practice, depending on the considered level of knowledge. Finally, we present seven examples where the problem of environmental adaptation can be solved through differential replication in real-life applications. © 2020 by the authors. Licensee MDPI, Basel, Switzerland.</t>
  </si>
  <si>
    <t>Risk mitigation in algorithmic accountability: The role of machine learning copies</t>
  </si>
  <si>
    <t>PLoS ONE</t>
  </si>
  <si>
    <t>11vember</t>
  </si>
  <si>
    <t>Public Library of Science</t>
  </si>
  <si>
    <t>1932-6203</t>
  </si>
  <si>
    <t>https://www.scopus.com/inward/record.uri?eid=2-s2.0-85095573146&amp;doi=10.1371%2fjournal.pone.0241286&amp;partnerID=40&amp;md5=8f0531d6cee6d31d274dfcd020c0fb37;http://dx.doi.org/10.1371/journal.pone.0241286</t>
  </si>
  <si>
    <t>10.1371/journal.pone.0241286</t>
  </si>
  <si>
    <t>Machine learning plays an increasingly important role in our society and economy and is already having an impact on our daily life in many different ways. From several perspectives, machine learning is seen as the new engine of productivity and economic growth. It can increase the business efficiency and improve any decision-making process, and of course, spawn the creation of new products and services by using complex machine learning algorithms. In this scenario, the lack of actionable accountability-related guidance is potentially the single most important challenge facing the machine learning community. Machine learning systems are often composed of many parts and ingredients, mixing third party components or software-as-a-service APIs, among others. In this paper we study the role of copies for risk mitigation in such machine learning systems. Formally, a copy can be regarded as an approximated projection operator of a model into a target model hypothesis set. Under the conceptual framework of actionable accountability, we explore the use of copies as a viable alternative in circumstances where models cannot be re-trained, nor enhanced by means of a wrapper. We use a real residential mortgage default dataset as a use case to illustrate the feasibility of this approach. © 2020 Unceta et al. This is an open access article distributed under the terms of the Creative Commons Attribution License, which permits unrestricted use, distribution, and reproduction in any medium, provided the original author and source are credited.</t>
  </si>
  <si>
    <t>Cited by: 3; All Open Access, Gold Open Access, Green Open Access</t>
  </si>
  <si>
    <t>Rajalakshmi V,Sendhilkumar S,Mahalakshmi GS</t>
  </si>
  <si>
    <t>Classification of Technical Debts in Software Development Using Text Analytics</t>
  </si>
  <si>
    <t>EAI/Springer Innovations in Communication and Computing</t>
  </si>
  <si>
    <t>313 – 323</t>
  </si>
  <si>
    <t>2522-8595</t>
  </si>
  <si>
    <t>https://www.scopus.com/inward/record.uri?eid=2-s2.0-85097843589&amp;doi=10.1007%2f978-3-030-49795-8_31&amp;partnerID=40&amp;md5=601568d9f1b5bda19f7cebe1bee3c2f8;http://dx.doi.org/10.1007/978-3-030-49795-8_31</t>
  </si>
  <si>
    <t>10.1007/978-3-030-49795-8_31</t>
  </si>
  <si>
    <t>Technical debt refers to the technical trade-offs made by the software teams at the time of development of the software to fasten the delivery process. These trade-offs lead to a higher system maintenance cost, and it is difficult to often enhance the application. In some cases, enhancements can result in the entire modules being rewritten. So, in order to reduce the debt from the system, it is required to identify the debt and the project cycle where most of the debts occur. To automatically address this problem, this work uses the machine learning and text analytics model. Random forest and support vector machine (SVM) algorithms extract features from incident tracker documents and effectively classify the technical debts. The proposed technical debt classification model is made sustainable to handle the growing volumes of project documents by executing a distributed framework. The performance of both the models is examined, and it is found that SVM outperforms the other. © 2021, Springer Nature Switzerland AG.</t>
  </si>
  <si>
    <t>Toussaint W,Ding AY</t>
  </si>
  <si>
    <t>Machine learning systems in the IoT: Trustworthiness trade-offs for edge intelligence</t>
  </si>
  <si>
    <t>177 – 184</t>
  </si>
  <si>
    <t>https://www.scopus.com/inward/record.uri?eid=2-s2.0-85100622799&amp;doi=10.1109%2fCogMI50398.2020.00030&amp;partnerID=40&amp;md5=c2b9239b0c65551bbc9d33aebe3d0d86;http://dx.doi.org/10.1109/CogMI50398.2020.00030</t>
  </si>
  <si>
    <t>10.1109/CogMI50398.2020.00030</t>
  </si>
  <si>
    <t>Machine learning systems (MLSys) are emerging in the Internet of Things (IoT) to provision edge intelligence, which is paving our way towards the vision of ubiquitous intelligence. However, despite the maturity of machine learning systems and the IoT, we are facing severe challenges when integrating MLSys and IoT in practical context. For instance, many machine learning systems have been developed for large-scale production (e.g., cloud environments), but IoT introduces additional demands due to heterogeneous and resource-constrained devices and decentralized operation environment. To shed light on this convergence of MLSys and IoT, this paper analyzes the tradeoffs by covering the latest developments (up to 2020) on scaling and distributing ML across cloud, edge, and IoT devices. We position machine learning systems as a component of the IoT, and edge intelligence as a socio-technical system. On the challenges of designing trustworthy edge intelligence, we advocate a holistic design approach that takes multi-stakeholder concerns, design requirements and trade-offs into consideration, and highlight the future research opportunities in edge intelligence. © 2020 IEEE.</t>
  </si>
  <si>
    <t>Cummaudo A,Barnett S,Vasa R,Grundy J,Abdelrazek M</t>
  </si>
  <si>
    <t>Beware the evolving 'intelligent' web service! an integration architecture tactic to guard AI-first components</t>
  </si>
  <si>
    <t>269 – 280</t>
  </si>
  <si>
    <t>https://www.scopus.com/inward/record.uri?eid=2-s2.0-85095508614&amp;doi=10.1145%2f3368089.3409688&amp;partnerID=40&amp;md5=1a789e8c27a01344f0c422a4b1ff6f53;http://dx.doi.org/10.1145/3368089.3409688</t>
  </si>
  <si>
    <t>10.1145/3368089.3409688</t>
  </si>
  <si>
    <t>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 © 2020 ACM.</t>
  </si>
  <si>
    <t>Masmali O,Badreddin O,Khandoker R</t>
  </si>
  <si>
    <t>Metrics to Measure Code Complexity Based on Software Design: Practical Evaluation</t>
  </si>
  <si>
    <t>Advances in Intelligent Systems and Computing</t>
  </si>
  <si>
    <t>1364 AISC</t>
  </si>
  <si>
    <t>142 – 157</t>
  </si>
  <si>
    <t>2194-5357</t>
  </si>
  <si>
    <t>https://www.scopus.com/inward/record.uri?eid=2-s2.0-85105952800&amp;doi=10.1007%2f978-3-030-73103-8_9&amp;partnerID=40&amp;md5=cf09c02673d92fba921d1d138ff9e0b9;http://dx.doi.org/10.1007/978-3-030-73103-8_9</t>
  </si>
  <si>
    <t>10.1007/978-3-030-73103-8_9</t>
  </si>
  <si>
    <t>Software complexity is an indicator to the quality of software. It shows that a software or a component of software has a design or implementation that is difficult to understand, modify and maintain. Many complexity metrics have been developed by researchers to identify and measure the degree of complexity. Unfortunately, Current complexity metrics are based on the number of model elements only, regardless of the complexity of those elements themselves. In this paper, we propose new code complexity metrics that are derived from its design. This approach ensures that the derived metrics are uniquely tailored for the software under development, and the derived metrics are unique for each software module. In this study, we aim to attempt an empirical evaluation study in order to have a clear understanding of the proposed complexity metrics. We investigated whether there is a correlation between the proposed UML Class Diagram complexity and the associated code, specially code size, code smells, and technical debt. The result shows that there is a high correlation between the design driven code complexity metrics and the associated code. © 2021, The Author(s), under exclusive license to Springer Nature Switzerland AG.</t>
  </si>
  <si>
    <t>Multi-Programming-Language Commits in OSS: An Empirical Study on Apache Projects</t>
  </si>
  <si>
    <t>219 – 229</t>
  </si>
  <si>
    <t>https://www.scopus.com/inward/record.uri?eid=2-s2.0-85113265376&amp;doi=10.1109%2fICPC52881.2021.00029&amp;partnerID=40&amp;md5=4841a5fce6ad58c21a93e016bb2a095b;http://dx.doi.org/10.1109/ICPC52881.2021.00029</t>
  </si>
  <si>
    <t>10.1109/ICPC52881.2021.00029</t>
  </si>
  <si>
    <t>Modern software systems, such as Spark, are usually written in multiple programming languages (PLs). Besides benefiting from code reuse, such systems can also take advantages of specific PLs to implement certain features, to meet various quality needs, and to improve development efficiency. In this context, a change to such systems may need to modify source files written in different PLs. We define a multi-programming-language commit (MPLC) in a version control system (e.g., Git) as a commit that involves modified source files written in two or more PLs. To our knowledge, the phenomenon of MPLCs in software development has not been explored yet. In light of the potential impact of MPLCs on development difficulty and software quality, we performed an empirical study to understand the state of MPLCs, their change complexity, as well as their impact on open time of issues and bug proneness of source files in real-life software projects. By exploring the MPLCs in 20 non-Trivial Apache projects with 205, 994 commits, we obtained the following findings: (1) 9% of the commits from all the projects are MPLCs, and the proportion of MPLCs in 80% of the projects goes to a relatively stable level; (2) more than 90% of the MPLCs from all the projects involve source files written in two PLs; (3) the change complexity of MPLCs is significantly higher than that of non-MPLCs in all projects; (4) issues fixed in MPLCs take significantly longer to be resolved than issues fixed in non-MPLCs in 80% of the projects; and (5) source files that have been modified in MPLCs tend to be more bug-prone than source files that have never been modified in MPLCs. These findings provide practitioners with useful insights on the architecture design and quality management of software systems written in multiple PLs. © 2021 IEEE.</t>
  </si>
  <si>
    <t>Riansyah M,Mursanto P</t>
  </si>
  <si>
    <t>Empirical evaluation of the impact of refactoring on internal quality attributes</t>
  </si>
  <si>
    <t>463 – 470</t>
  </si>
  <si>
    <t>https://www.scopus.com/inward/record.uri?eid=2-s2.0-85099769397&amp;doi=10.1109%2fICACSIS51025.2020.9263167&amp;partnerID=40&amp;md5=41ae4ea995eeed640a5197a7f9a907c3;http://dx.doi.org/10.1109/ICACSIS51025.2020.9263167</t>
  </si>
  <si>
    <t>10.1109/ICACSIS51025.2020.9263167</t>
  </si>
  <si>
    <t>It is commonly believed that refactoring increases software quality. This paper presents the validation of belief about refactoring effect on internal software quality attributes, notably coupling. High coupling between classes is one of the smells considered dangerous by developers because of its impact, decreasing code maintainability. Some developers believe that refactoring as a method that can improve maintainability by reducing coupling in the source code. Evaluation of the effect of refactoring is done in the experiment way. When data collection from the experiment is done, then statistical analysis could be conducted to see whether refactoring can improve coupling or not. The results show that proper refactoring scenarios significantly reduce the coupling metric in source code, where 86% of samples have zero value of DCH, showing an apparent gain from refactoring. However, developers should pay attention to the code's size as refactoring results in increasing the code's size, especially in NOM, which has increased by 1.81%. © 2020 IEEE.</t>
  </si>
  <si>
    <t>Atoum I,Baklizi MK,Alsmadi I,Otoom AA,Alhersh T,Ababneh J,Almalki J,Alshahrani SM</t>
  </si>
  <si>
    <t>Challenges of Software Requirements Quality Assurance and Validation: A Systematic Literature Review</t>
  </si>
  <si>
    <t>137613 – 137634</t>
  </si>
  <si>
    <t>https://www.scopus.com/inward/record.uri?eid=2-s2.0-85117224711&amp;doi=10.1109%2fACCESS.2021.3117989&amp;partnerID=40&amp;md5=b0289930b94ea07486813c1cd5d909e5;http://dx.doi.org/10.1109/ACCESS.2021.3117989</t>
  </si>
  <si>
    <t>10.1109/ACCESS.2021.3117989</t>
  </si>
  <si>
    <t>Validation of software requirements is a primary phase in requirements engineering that ensures requirements match the target system with the intended needs of the acquirer. It aims to detect and correct errors that prevail in the specified requirements. Although there are tremendous requirements validation approaches, some software may fail because of limited or ineffective requirements validation techniques and unreliable requirements' quality characteristics. In this study, a systematic literature review of requirements validation is performed. The study analyzes the most adopted validation techniques, reports requirements quality characteristics, and discovers significant challenges of validation techniques. The review identified 66 relevant primary studies analyzed to derive deep insights into the following aspects of requirements validation: trends of requirements validation methods, including their subtechnique strengths and weaknesses, requirements quality characteristics categories, and adopted tools and datasets in these techniques. We grouped validation techniques into categories: prototyping, inspection, knowledge-oriented, test-oriented, modeling and assessment, and formal models. The analysis reported 19 validation techniques, 27 tools, new requirements validation characteristics, and several challenges that prevailed through validation techniques. The trend of validation techniques is to those methods that apply machine learning techniques with knowledge from dictionaries and ontologies. Most challenges are about how to express the requirements and how to revert clients' feedback. There is a strong relationship between validation techniques, software application domain, and requirements validation quality attributes. Thus, there is an immense need to unify the quality characteristics and domain-specific validation methods. © 2013 IEEE.</t>
  </si>
  <si>
    <t>Cited by: 3; All Open Access, Gold Open Access</t>
  </si>
  <si>
    <t>Du X,Xiao G,Sui Y</t>
  </si>
  <si>
    <t>Fault triggers in the tensorflow framework: An experience report</t>
  </si>
  <si>
    <t>https://www.scopus.com/inward/record.uri?eid=2-s2.0-85097354714&amp;doi=10.1109%2fISSRE5003.2020.00010&amp;partnerID=40&amp;md5=795fcf5bfbb26fe7892e6069385ad8ee;http://dx.doi.org/10.1109/ISSRE5003.2020.00010</t>
  </si>
  <si>
    <t>10.1109/ISSRE5003.2020.00010</t>
  </si>
  <si>
    <t>TensorFlow is one of the most popular machine learning frameworks for developing machine learning algorithms. Because of the popularity and large-scale use of TensorFlow, even a single bug may lead to severe consequences and impact a large number of users. With a growing number of safetycritical systems built upon TensorFlow, its reliability is becoming increasingly important. An essential step to ensure TensorFlow's reliability is to understand the characteristics of bugs that occurred in TensorFlow. This paper presents the first comprehensive empirical study on fault triggering conditions in TensorFlow. 2,285 bug reports from TensorFlow's GitHub repository are collected. A bug classification is performed based on fault triggering conditions, followed by the frequency distribution of different types of bugs and the evolution features of varying bug types over time. Then the relationships between bug types and fixing time are also investigated. In addition, the root causes of Bohrbugs and Mandelbugs are studied. Five root causes are discovered. Furthermore, the analysis of regression bugs in TensorFlow is conducted. We have revealed 10 important findings based on our empirical results. There are 8 implications based on these findings are provided for developers and users. ©2020 IEEE.</t>
  </si>
  <si>
    <t>Santana A,Cruz D,Figueiredo E</t>
  </si>
  <si>
    <t>An exploratory study on the identification and evaluation of bad smell agglomerations</t>
  </si>
  <si>
    <t>1289 – 1297</t>
  </si>
  <si>
    <t>https://www.scopus.com/inward/record.uri?eid=2-s2.0-85104962334&amp;doi=10.1145%2f3412841.3442003&amp;partnerID=40&amp;md5=4192ef558506abaff3ff57accf6c54f2;http://dx.doi.org/10.1145/3412841.3442003</t>
  </si>
  <si>
    <t>10.1145/3412841.3442003</t>
  </si>
  <si>
    <t>Systems must evolve to cope with new stakeholders requirements, or to fix existing problems. These changes are complex due to several factors, including the need of understanding the source code, activity that is impaired by the presence of bad smells. Bad smell is a symptom of bad decisions about the system design or code. When two or more bad smells occur in the same snippet of code, they form an agglomeration. Hence, developers need to put more effort to perform their development and maintenance tasks. However, few studies in the literature evaluate how such agglomerations may impact development activities. We aim at exploring agglomerations focusing on evaluating how they are spread in the code, and how they impact on the metrics of software modularity. In this work, we evaluate agglomerations composed of four kinds of bad smells: Large Class, Long Method, Feature Envy and Refused Bequest. Our results are achieved through the use of association rules and effect size measurements. We have found that classes with two or more smells are frequent in the source code, even when the smells present in the class are of the same type. We also found that agglomerations are highly spread in the source code, even when the size of the systems are taken into account, and they have a significant effect on most modularity metrics. © 2021 ACM.</t>
  </si>
  <si>
    <t>Martínez-Fernández S,Franch X,Jedlitschka A,Oriol M,Trendowicz A</t>
  </si>
  <si>
    <t>Developing and Operating Artificial Intelligence Models in Trustworthy Autonomous Systems</t>
  </si>
  <si>
    <t>415 LNBIP</t>
  </si>
  <si>
    <t>221 – 229</t>
  </si>
  <si>
    <t>https://www.scopus.com/inward/record.uri?eid=2-s2.0-85111105153&amp;doi=10.1007%2f978-3-030-75018-3_14&amp;partnerID=40&amp;md5=7ca0cbe943c7be74e910dfa0dd15c35d;http://dx.doi.org/10.1007/978-3-030-75018-3_14</t>
  </si>
  <si>
    <t>10.1007/978-3-030-75018-3_14</t>
  </si>
  <si>
    <t>Companies dealing with Artificial Intelligence (AI) models in Autonomous Systems (AS) face several problems, such as users’ lack of trust in adverse or unknown conditions, gaps between software engineering and AI model development, and operation in a continuously changing operational environment. This work-in-progress paper aims to close the gap between the development and operation of trustworthy AI-based AS by defining an approach that coordinates both activities. We synthesize the main challenges of AI-based AS in industrial settings. We reflect on the research efforts required to overcome these challenges and propose a novel, holistic DevOps approach to put it into practice. We elaborate on four research directions: (a) increased users’ trust by monitoring operational AI-based AS and identifying self-adaptation needs in critical situations; (b) integrated agile process for the development and evolution of AI models and AS; (c) continuous deployment of different context-specific instances of AI models in a distributed setting of AS; and (d) holistic DevOps-based lifecycle for AI-based AS. © 2021, Springer Nature Switzerland AG.</t>
  </si>
  <si>
    <t>Aiswarya Raj M,Bosch J,Olsson HH,Jansson A</t>
  </si>
  <si>
    <t>On the Impact of ML use cases on Industrial Data Pipelines</t>
  </si>
  <si>
    <t>463 – 472</t>
  </si>
  <si>
    <t>1530-1362</t>
  </si>
  <si>
    <t>https://www.scopus.com/inward/record.uri?eid=2-s2.0-85126188892&amp;doi=10.1109%2fAPSEC53868.2021.00053&amp;partnerID=40&amp;md5=4b0fa57084bd877975395b330124edde;http://dx.doi.org/10.1109/APSEC53868.2021.00053</t>
  </si>
  <si>
    <t>10.1109/APSEC53868.2021.00053</t>
  </si>
  <si>
    <t>The impact of the Artificial Intelligence revolution is undoubtedly substantial in our society, life, firms, and employment. With data being a critical element, organizations are working towards obtaining high-quality data to train their AI models. Although data, data management, and data pipelines are part of industrial practice even before the introduction of ML models, the significance of data increased further with the advent of ML models, which force data pipeline developers to go beyond the traditional focus on data quality. The objective of this study is to analyze the impact of ML use cases on data pipelines. We assume that the data pipelines that serve ML models are given more importance compared to the conventional data pipelines. We report on a study that we conducted by observing software teams at three companies as they develop both conventional(Non-ML) data pipelines and data pipelines that serve ML-based applications. We study six data pipelines from three companies and categorize them based on their criticality and purpose. Further, we identify the determinants that can be used to compare the development and maintenance of these data pipelines. Finally, we map these factors in a two-dimensional space to illustrate their importance on a scale of low, moderate, and high. © 2021 IEEE.</t>
  </si>
  <si>
    <t>Quintana MA,Palacio RR,Soto GB</t>
  </si>
  <si>
    <t>Towards Natural Language Processing (NLP) based tool design for technical debt reduction on an agile project; [Hacia el diseño de una nueva herramienta basada en Procesamiento de Lenguaje Natural (NLP) para reducir la deuda técnica en un proyecto ágil]</t>
  </si>
  <si>
    <t>70 – 73</t>
  </si>
  <si>
    <t>https://www.scopus.com/inward/record.uri?eid=2-s2.0-85124423330&amp;doi=10.1109%2fCIMPS54606.2021.9652693&amp;partnerID=40&amp;md5=a37e94e0429e7681a1701a4ea483670e;http://dx.doi.org/10.1109/CIMPS54606.2021.9652693</t>
  </si>
  <si>
    <t>10.1109/CIMPS54606.2021.9652693</t>
  </si>
  <si>
    <t>This work presents the first approach towards a design of a tool to support agile projects documentation process based on Natural Language Processing (NLP). It is presented a proposed design of a tool as a result of the analysis of the NLP potential to improve agile project documentation processes. The tool has three different approaches: text-diagram, code-diagram, and a full version, which includes the above approaches being text-code-diagram. Finally, the potential advantages and disadvantages of each approach are discussed. In addition, we present the following steps on the future work towards the development of a tool from the proposed design. © 2021 IEEE.</t>
  </si>
  <si>
    <t>Hamidi A,Antoniol G,Khomh F,Penta MD,Hamidi M</t>
  </si>
  <si>
    <t>Towards Understanding Developers' Machine-Learning Challenges: A Multi-Language Study on Stack Overflow</t>
  </si>
  <si>
    <t>58 – 69</t>
  </si>
  <si>
    <t>https://www.scopus.com/inward/record.uri?eid=2-s2.0-85123287454&amp;doi=10.1109%2fSCAM52516.2021.00016&amp;partnerID=40&amp;md5=d5aad7dfa0e6c1715bf45f4c5f3c99b5;http://dx.doi.org/10.1109/SCAM52516.2021.00016</t>
  </si>
  <si>
    <t>10.1109/SCAM52516.2021.00016</t>
  </si>
  <si>
    <t>Machine Learning (ML) is increasingly being used as an essential component of modern software systems. Also, the maturity of the adopted techniques and the availability of frameworks have changed the way developers approach ML-related development problems. This paper aims at investigating, by analyzing Stack Overflow (SO) posts related to ML, how the questions about ML have been changing over the years, and across six different programming languages. We analyzed 43,950 SO posts in the period 2008-2020, studying (i) how the number of ML-related posts changes over time for each programming language, (ii) how the posts are distributed across different phases of a ML pipeline, and (iii) whether posts belonging to different languages or phases are more or less challenging to address. We found that some programming languages are fading while others are becoming more popular in ML development. While model-building questions are the most discussed in general, the level of challenges posed by the other phases of the ML pipeline appears to be language-dependent. Results of this work could be used to better understand ML challenges in different programming languages, and, possibly, to improve ML tutorials related to different languages. © 2021 IEEE.</t>
  </si>
  <si>
    <t>Wang H,Liu J,Kang J,Yin W,Sun H,Wang H</t>
  </si>
  <si>
    <t>Feature Envy detection based on Bi-LSTM with self-attention mechanism</t>
  </si>
  <si>
    <t>448 – 457</t>
  </si>
  <si>
    <t>https://www.scopus.com/inward/record.uri?eid=2-s2.0-85108027397&amp;doi=10.1109%2fISPA-BDCloud-SocialCom-SustainCom51426.2020.00082&amp;partnerID=40&amp;md5=d0b56a02fc3e4e08a430cbb9dd28cbd1;http://dx.doi.org/10.1109/ISPA-BDCloud-SocialCom-SustainCom51426.2020.00082</t>
  </si>
  <si>
    <t>10.1109/ISPA-BDCloud-SocialCom-SustainCom51426.2020.00082</t>
  </si>
  <si>
    <t>Code Smell refers to suboptimal or harmful structures in the source code that may impede the maintainability of software. It serves as an effective way to detect refactoring opportunities. As the most prevailing smell, Feature Envy and its detection has been deeply explored for many years, which produces massive automated detection methods. Nevertheless, the heuristic-based approach cannot reach a satisfying level, and the machine learning approach still needs further optimization. Recent advances in deep learning inspire the birth of deep learning based approach. In this paper, we define a simpler distance metric as numerical feature and we collect class name and method name as text feature. Then we leverage Bidirectional Long-Short Term Memory (Bi-LSTM) Network with self-attention mechanism to extract semantic distance information in the text part, and we adopt embedding technology to enhance the structure distance information in the numerical part. Combined with the two sophisticatedly designed modules and the final classification module, a more reliable and accurate model is presented. Experimental results on seven open-source Java projects show that our model significantly outperforms existing methods. © 2020 IEEE.</t>
  </si>
  <si>
    <t>Eken B,Palma F,Ayşe B,Ayşe T</t>
  </si>
  <si>
    <t>An empirical study on the effect of community smells on bug prediction</t>
  </si>
  <si>
    <t>159 – 194</t>
  </si>
  <si>
    <t>https://www.scopus.com/inward/record.uri?eid=2-s2.0-85100871955&amp;doi=10.1007%2fs11219-020-09538-7&amp;partnerID=40&amp;md5=db34d14be1d38564e1377bfa7a6c070f;http://dx.doi.org/10.1007/s11219-020-09538-7</t>
  </si>
  <si>
    <t>10.1007/s11219-020-09538-7</t>
  </si>
  <si>
    <t>Community-aware metrics through socio-technical developer networks or organizational structures have already been studied in the software bug prediction field. Community smells are also proposed to identify communication and collaboration patterns in developer communities. Prior work reports a statistical association between community smells and code smells identified in software modules. We investigate the contribution of community smells on predicting bug-prone classes and compare their contribution with that of code smell-related information and state-of-the-art process metrics. We conduct our empirical analysis on ten open-source projects with varying sizes, buggy and smelly class ratios. We build seven different bug prediction models to answer three RQs: a baseline model including a state-of-the-art metric set used, three models incorporating a particular metric set, namely community smells, code smells, code smell intensity, into the baseline, and three models incorporating a combination of smell-related metrics into the baseline. The performance of these models is reported in terms of recall, false positive rates, F-measure and AUC and statistically compared using Scott–Knott ESD tests. Community smells improve the prediction performance of a baseline model by up to 3% in terms of AUC, while code smell intensity improves the baseline models by up to 40% in terms of F-measure and up to 17% in terms of AUC. The conclusions are significantly influenced by the validation strategies used, algorithms and the selected projects’ data characteristics. While the code smell intensity metric captures the most information about technical flaws in predicting bug-prone classes, the community smells also contribute to bug prediction models by revealing communication and collaboration flaws in software development teams. Future research is needed to capture the communication patterns through multiple channels and to understand whether socio-technical flaws could be used in a cross-project bug prediction setting. © 2021, Springer Science+Business Media, LLC, part of Springer Nature.</t>
  </si>
  <si>
    <t>Latinovic M,Pammer-Schindler V</t>
  </si>
  <si>
    <t>Automation and artificial intelligence in software engineering: Experiences, challenges, and opportunities</t>
  </si>
  <si>
    <t>146 – 155</t>
  </si>
  <si>
    <t>1530-1605</t>
  </si>
  <si>
    <t>https://www.scopus.com/inward/record.uri?eid=2-s2.0-85108363730&amp;partnerID=40&amp;md5=b59261f87494715ad245ea9a7431b02c</t>
  </si>
  <si>
    <t>Automation and Artificial Intelligence have a transformative influence on many sectors, and software engineers are the actors who engineer this transformation. On the other hand, there is little knowledge of how automation and Artificial Intelligence impact software engineering practice. To answer this question, we conducted semi-structured interviews with experienced software practitioners across frontend and backend development, DevOps, R&amp;D, integration, and leadership positions. Our findings reveal 1) automation to appear as micro-automation in the sense of automation of tiny and specific tasks, 2) automation as a side product of work, and bottom-up driven in software engineering, and 3) automation as a possible cause for cognitive overhead due to automatically generated notifications. Furthermore, we notice that our interview participants do not expect automation and artificial intelligence tools to change software engineering's essence in the foreseeable future substantially. © 2021 IEEE Computer Society. All rights reserved.</t>
  </si>
  <si>
    <t>Abdalkareem R,Mujahid S,Shihab E,Rilling J</t>
  </si>
  <si>
    <t>Which Commits Can Be CI Skipped?</t>
  </si>
  <si>
    <t>448 – 463</t>
  </si>
  <si>
    <t>https://www.scopus.com/inward/record.uri?eid=2-s2.0-85103217766&amp;doi=10.1109%2fTSE.2019.2897300&amp;partnerID=40&amp;md5=17aa466ad61386ef9b07e43639b8c62b;http://dx.doi.org/10.1109/TSE.2019.2897300</t>
  </si>
  <si>
    <t>10.1109/TSE.2019.2897300</t>
  </si>
  <si>
    <t>Continuous Integration (CI) frameworks such as Travis CI, automatically build and run tests whenever a new commit is submitted/pushed. Although there are many advantages in using CI, e.g., speeding up the release cycle and automating the test execution process, it has been noted that the CI process can take a very long time to complete. One of the possible reasons for such delays is the fact that some commits (e.g., changes to readme files) unnecessarily kick off the CI process. Therefore, the goal of this paper is to automate the process of determining which commits can be CI skipped. We start by examining the commits of 58 Java projects and identify commits that were explicitly CI skipped by developers. Based on the manual investigation of 1,813 explicitly CI skipped commits, we first devise an initial model of a CI skipped commit and use this model to propose a rule-based technique that automatically identifies commits that should be CI skipped. To evaluate the rule-based technique, we perform a study on unseen datasets extracted from ten projects and show that the devised rule-based technique is able to detect and label CI skip commits, achieving Areas Under the Curve (AUC) values between 0.56 and 0.98 (average of 0.73). Additionally, we show that, on average, our technique can reduce the number of commits that need to trigger the CI process by 18.16 percent. We also qualitatively triangulated our analysis on the importance of skipping the CI process through a survey with 40 developers. The survey results showed that 75 percent of the surveyed developers consider it to be nice, important or very important to have a technique that automatically flags CI skip commits. To operationalize our technique, we develop a publicly available prototype tool, called CI-Skipper, that can be integrated with any git repository and automatically mark commits that can be CI skipped. © 1976-2012 IEEE.</t>
  </si>
  <si>
    <t>Tan J,Feitosa D,Avgeriou P</t>
  </si>
  <si>
    <t>Do practitioners intentionally self-fix Technical Debt and why?</t>
  </si>
  <si>
    <t>251 – 262</t>
  </si>
  <si>
    <t>https://www.scopus.com/inward/record.uri?eid=2-s2.0-85123382930&amp;doi=10.1109%2fICSME52107.2021.00029&amp;partnerID=40&amp;md5=90ce760007a85816b5575adb0ed3fb4e;http://dx.doi.org/10.1109/ICSME52107.2021.00029</t>
  </si>
  <si>
    <t>10.1109/ICSME52107.2021.00029</t>
  </si>
  <si>
    <t>The impact of Technical Debt (TD) on software maintenance and evolution is of great concern, but recent evidence shows that a considerable amount of TD is fixed by the same developers who introduced it; this is termed self-fixed TD. This characteristic of TD management can potentially impact team dynamics and practices in managing TD. However, the initial evidence is based on low-level source code analysis; this casts some doubt whether practitioners repay their own debt intentionally and under what circumstances. To address this gap, we conducted an online survey on 17 well-known Java and Python open-source software communities to investigate practitioners' intent and rationale for self-fixing technical debt. We also investigate the relationship between human-related factors (e.g., experience) and self-fixing. The results, derived from the responses of 181 participants, show that a majority addresses their own debt consciously and often. Moreover, those with a higher level of involvement (e.g., more experience in the project and number of contributions) tend to be more concerned about self-fixing TD. We also learned that the sense of responsibility is a common self-fixing driver and that decisions to fix TD are not superficial but consider balancing costs and benefits, among other factors. The findings in this paper can lead to improving TD prevention and management strategies. © 2021 IEEE.</t>
  </si>
  <si>
    <t>Fan Y,Xia X,Lo D,Hassan AE,Li S</t>
  </si>
  <si>
    <t>What makes a popular academic AI repository?</t>
  </si>
  <si>
    <t>https://www.scopus.com/inward/record.uri?eid=2-s2.0-85099091771&amp;doi=10.1007%2fs10664-020-09916-6&amp;partnerID=40&amp;md5=fb931cfc409ee456e24ad533e80416a4;http://dx.doi.org/10.1007/s10664-020-09916-6</t>
  </si>
  <si>
    <t>10.1007/s10664-020-09916-6</t>
  </si>
  <si>
    <t>Many AI researchers are publishing code, data and other resources that accompany their papers in GitHub repositories. In this paper, we refer to these repositories as academic AI repositories. Our preliminary study shows that highly cited papers are more likely to have popular academic AI repositories (and vice versa). Hence, in this study, we perform an empirical study on academic AI repositories to highlight good software engineering practices of popular academic AI repositories for AI researchers. We collect 1,149 academic AI repositories, in which we label the top 20% repositories that have the most number of stars as popular, and we label the bottom 70% repositories as unpopular. The remaining 10% repositories are set as a gap between popular and unpopular academic AI repositories. We propose 21 features to characterize the software engineering practices of academic AI repositories. Our experimental results show that popular and unpopular academic AI repositories are statistically significantly different in 11 of the studied features—indicating that the two groups of repositories have significantly different software engineering practices. Furthermore, we find that the number of links to other GitHub repositories in the README file, the number of images in the README file and the inclusion of a license are the most important features for differentiating the two groups of academic AI repositories. Our dataset and code are made publicly available to share with the community. © 2021, The Author(s), under exclusive licence to Springer Science+Business Media, LLC part of Springer Nature.</t>
  </si>
  <si>
    <t>Durán JM,Jongsma KR</t>
  </si>
  <si>
    <t>Who is afraid of black box algorithms? On the epistemological and ethical basis of trust in medical AI</t>
  </si>
  <si>
    <t>Journal of Medical Ethics</t>
  </si>
  <si>
    <t>329 – 335</t>
  </si>
  <si>
    <t>BMJ Publishing Group</t>
  </si>
  <si>
    <t>0306-6800</t>
  </si>
  <si>
    <t>https://www.scopus.com/inward/record.uri?eid=2-s2.0-85102615736&amp;doi=10.1136%2fmedethics-2020-106820&amp;partnerID=40&amp;md5=1c247440ebd3e00e8e186d01492a6541;http://dx.doi.org/10.1136/medethics-2020-106820</t>
  </si>
  <si>
    <t>10.1136/medethics-2020-106820</t>
  </si>
  <si>
    <t>The use of black box algorithms in medicine has raised scholarly concerns due to their opaqueness and lack of trustworthiness. Concerns about potential bias, accountability and responsibility, patient autonomy and compromised trust transpire with black box algorithms. These worries connect epistemic concerns with normative issues. In this paper, we outline that black box algorithms are less problematic for epistemic reasons than many scholars seem to believe. By outlining that more transparency in algorithms is not always necessary, and by explaining that computational processes are indeed methodologically opaque to humans, we argue that the reliability of algorithms provides reasons for trusting the outcomes of medical artificial intelligence (AI). To this end, we explain how computational reliabilism, which does not require transparency and supports the reliability of algorithms, justifies the belief that results of medical AI are to be trusted. We also argue that several ethical concerns remain with black box algorithms, even when the results are trustworthy. Having justified knowledge from reliable indicators is, therefore, necessary but not sufficient for normatively justifying physicians to act. This means that deliberation about the results of reliable algorithms is required to find out what is a desirable action. Thus understood, we argue that such challenges should not dismiss the use of black box algorithms altogether but should inform the way in which these algorithms are designed and implemented. When physicians are trained to acquire the necessary skills and expertise, and collaborate with medical informatics and data scientists, black box algorithms can contribute to improving medical care. © 2021 Author(s) (or their employer(s)). No commercial re-use. See rights and permissions. Published by BMJ.</t>
  </si>
  <si>
    <t>Cited by: 59; All Open Access, Bronze Open Access, Green Open Access</t>
  </si>
  <si>
    <t>Inés A,Domínguez C,Heras J,Mata E,Pascual V</t>
  </si>
  <si>
    <t>Biomedical image classification made easier thanks to transfer and semi-supervised learning</t>
  </si>
  <si>
    <t>Computer Methods and Programs in Biomedicine</t>
  </si>
  <si>
    <t>Elsevier Ireland Ltd</t>
  </si>
  <si>
    <t>0169-2607</t>
  </si>
  <si>
    <t>https://www.scopus.com/inward/record.uri?eid=2-s2.0-85092453671&amp;doi=10.1016%2fj.cmpb.2020.105782&amp;partnerID=40&amp;md5=c872a54fce7931bff642bdf878096143;http://dx.doi.org/10.1016/j.cmpb.2020.105782</t>
  </si>
  <si>
    <t>10.1016/j.cmpb.2020.105782</t>
  </si>
  <si>
    <t>Background and objectives: Deep learning techniques are the state-of-the-art approach to solve image classification problems in biomedicine; however, they require the acquisition and annotation of a considerable volume of images. In addition, using deep learning libraries and tuning the hyperparameters of the networks trained with them might be challenging for several users. These drawbacks prevent the adoption of these techniques outside the machine-learning community. In this work, we present an Automated Machine Learning (AutoML) method to deal with these problems. Methods: Our AutoML method combines transfer learning with a new semi-supervised learning procedure to train models when few annotated images are available. In order to facilitate the dissemination of our method, we have implemented it as an open-source tool called ATLASS. Finally, we have evaluated our method with two benchmarks of biomedical image classification datasets. Results: Our method has been thoroughly tested both with small datasets and partially annotated biomedical datasets; and, it outperforms, both in terms of speed and accuracy, the existing AutoML tools when working with small datasets; and, might improve the accuracy of models up to a 10% when working with partially annotated datasets. Conclusions: The work presented in this paper allows the use of deep learning techniques to solve an image classification problem with few resources. Namely, it is possible to train deep models with small, and partially annotated datasets of images. In addition, we have proven that our AutoML method outperforms other AutoML tools both in terms of accuracy and speed when working with small datasets. © 2020 Elsevier B.V.</t>
  </si>
  <si>
    <t>Phaithoon S,Wongnil S,Pussawong P,Choetkiertikul M,Ragkhitwetsagul C,Sunetnanta T,Maipradit R,Hata H,Matsumoto K</t>
  </si>
  <si>
    <t>FixMe: A GitHub Bot for Detecting and Monitoring On-Hold Self-Admitted Technical Debt</t>
  </si>
  <si>
    <t>1257 – 1261</t>
  </si>
  <si>
    <t>https://www.scopus.com/inward/record.uri?eid=2-s2.0-85125454605&amp;doi=10.1109%2fASE51524.2021.9678680&amp;partnerID=40&amp;md5=4f33c0638d19063ae52d47689a64f5b4;http://dx.doi.org/10.1109/ASE51524.2021.9678680</t>
  </si>
  <si>
    <t>10.1109/ASE51524.2021.9678680</t>
  </si>
  <si>
    <t>Self-Admitted Technical Debt (SATD) is a special form of technical debt in which developers intentionally record their hacks in the code by adding comments for attention. Here, we focus on issue-related On-hold SATD, where developers suspend proper implementation due to issues reported inside or outside the project. When the referenced issues are resolved, the On-hold SATD also need to be addressed, but since monitoring these issue reports takes a lot of time and effort, developers may not be aware of the resolved issues and leave the On-hold SATD in the code. In this paper, we propose FixMe, a GitHub bot that helps developers detecting and monitoring On-hold SATD in their repositories and notify them whenever the On-hold SATDs are ready to be fixed (i.e. the referenced issues are resolved). The bot can automatically detect On-hold SATD comments from source code using machine learning techniques and discover referenced issues. When the referenced issues are resolved, developers will be notified by FixMe bot. The evaluation conducted with 11 participants shows that our FixMe bot can support them in dealing with On-hold SATD. FixMe is available at https://www.fixmebot.app/ and FixMe's VDO is at https://youtu.be/YSz9kFxN_YQ. © 2021 IEEE.</t>
  </si>
  <si>
    <t>Hutchinson B,Smart A,Hanna A,Denton E,Greer C,Kjartansson O,Barnes P,Mitchell M</t>
  </si>
  <si>
    <t>Towards accountability for machine learning datasets: Practices from software engineering and infrastructure</t>
  </si>
  <si>
    <t>560 – 575</t>
  </si>
  <si>
    <t>https://www.scopus.com/inward/record.uri?eid=2-s2.0-85102646173&amp;doi=10.1145%2f3442188.3445918&amp;partnerID=40&amp;md5=de914614bddc5b2a46bb56fb40e0c3f6;http://dx.doi.org/10.1145/3442188.3445918</t>
  </si>
  <si>
    <t>10.1145/3442188.3445918</t>
  </si>
  <si>
    <t>Datasets that power machine learning are often used, shared, and reused with little visibility into the processes of deliberation that led to their creation. As artificial intelligence systems are increasingly used in high-stakes tasks, system development and deployment practices must be adapted to address the very real consequences of how model development data is constructed and used in practice. This includes greater transparency about data, and accountability for decisions made when developing it. In this paper, we introduce a rigorous framework for dataset development transparency that supports decision-making and accountability. The framework uses the cyclical, infrastructural and engineering nature of dataset development to draw on best practices from the software development lifecycle. Each stage of the data development lifecycle yields documents that facilitate improved communication and decision-making, as well as drawing attention to the value and necessity of careful data work. The proposed framework makes visible the often overlooked work and decisions that go into dataset creation, a critical step in closing the accountability gap in artificial intelligence and a critical/necessary resource aligned with recent work on auditing processes. © 2021 Owner/Author.</t>
  </si>
  <si>
    <t>Cited by: 64; All Open Access, Bronze Open Access</t>
  </si>
  <si>
    <t>Sheh R</t>
  </si>
  <si>
    <t>Explainable artificial intelligence requirements for safe, intelligent robots</t>
  </si>
  <si>
    <t>382 – 387</t>
  </si>
  <si>
    <t>https://www.scopus.com/inward/record.uri?eid=2-s2.0-85106463739&amp;doi=10.1109%2fISR50024.2021.9419498&amp;partnerID=40&amp;md5=ec2a8dfb34997476917eda005a1cd794;http://dx.doi.org/10.1109/ISR50024.2021.9419498</t>
  </si>
  <si>
    <t>10.1109/ISR50024.2021.9419498</t>
  </si>
  <si>
    <t>While requirements for robot performance to perform a task are generally well understood, the requirements around the explanatory capabilities of these systems are often at best an afterthought. This results in a dangerous situation where neither users nor experts can predict situations where the robot will or will not work, nor understand what causes failures and unexpected behaviour. In this paper, we discuss and survey the field of Explainable Artificial Intelligence, as it relates to the generation of requirements for the development of safe, intelligent robots. We then present a categorisation of explanatory capabilities and requirements that aims to help users and developers alike to ensure an appropriate match between the types of explanations that a given application requires, and the capabilities of various underlying AI techniques. © 2021 IEEE.</t>
  </si>
  <si>
    <t>Tavares C,Bigonha M,Figueiredo E</t>
  </si>
  <si>
    <t>Analyzing the Impact of Refactoring on Bad Smells</t>
  </si>
  <si>
    <t>97 – 101</t>
  </si>
  <si>
    <t>https://www.scopus.com/inward/record.uri?eid=2-s2.0-85099357131&amp;doi=10.1145%2f3422392.3422408&amp;partnerID=40&amp;md5=1671dddabb530b925d585c39cb56ac24;http://dx.doi.org/10.1145/3422392.3422408</t>
  </si>
  <si>
    <t>10.1145/3422392.3422408</t>
  </si>
  <si>
    <t>Refactoring aims to remove bad smells and increase software maintainability by improving the software structure without changing its behavior. However, some studies show that refactoring tools may introduce new bad smells into the source code, but to the best of our knowledge, we have not been able to find a complete catalog that states the bad smells introduced from refactoring. To bridge this gap, this paper goal is to evaluate the impacts of refactoring on the detection of bad smells in open-source Java systems. Hence, we want to know if and when the automated refactoring removes or introduces bad smells. © 2020 ACM.</t>
  </si>
  <si>
    <t>Ros R,Hammar M</t>
  </si>
  <si>
    <t>Data-driven software design with Constraint Oriented Multi-variate Bandit Optimization (COMBO)</t>
  </si>
  <si>
    <t>3841 – 3872</t>
  </si>
  <si>
    <t>https://www.scopus.com/inward/record.uri?eid=2-s2.0-85089561236&amp;doi=10.1007%2fs10664-020-09856-1&amp;partnerID=40&amp;md5=2b9d55aa0c40e1079c995eea4c93a82f;http://dx.doi.org/10.1007/s10664-020-09856-1</t>
  </si>
  <si>
    <t>10.1007/s10664-020-09856-1</t>
  </si>
  <si>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 © 2020, The Author(s).</t>
  </si>
  <si>
    <t>Li Z,Yu Q,Liang P,Mo R,Yang C</t>
  </si>
  <si>
    <t>Interest of Defect Technical Debt: An Exploratory Study on Apache Projects</t>
  </si>
  <si>
    <t>629 – 639</t>
  </si>
  <si>
    <t>https://www.scopus.com/inward/record.uri?eid=2-s2.0-85096670635&amp;doi=10.1109%2fICSME46990.2020.00065&amp;partnerID=40&amp;md5=71881a84c2c237775c1306f8ee535e96;http://dx.doi.org/10.1109/ICSME46990.2020.00065</t>
  </si>
  <si>
    <t>10.1109/ICSME46990.2020.00065</t>
  </si>
  <si>
    <t>Defect technical debt (defect debt) refers to known deferred bugs that have not been fixed. The interest of a defect debt item (i.e., bug) is the extra effort needed to fix the bug due to the delay of fixing. It is important to measure defect debt interest in a software system in order to be aware of how much the interest of certain bugs is and which bugs should be fixed first. Furthermore, it is valuable to understand the features of the bugs of high interest or no interest, so as to facilitate the identification of those kinds of bugs. In this work, we proposed three pairs of measures for quantifying defect debt interest at three granularities (i.e., lines of code, source file, and package) of software changes, and conducted an exploratory case study on 13,438 bugs collected from 59 non-trivial Apache open source software projects written mainly in Java. We have the following findings. (1) Each bug, with an average of 224 days delay of fixing, has interest of 660 to 845 lines of code, 0.57 to 1.05 source files, and 0.29 to 0.35 package on average in need for understanding or modifying when fixing the bug. (2) The average interest of a bug shows overall increasing trends over delayed time of bug fixing and bug priority levels from the lowest to highest. (3) Around 30% of the bugs under study did not incur interest at the granularity of lines of code, which means that the involved source files in the bug-fixing commits of such bugs were not modified at all during the delayed time of bug fixing. (4) The average code change size of bug-fixing commits of a bug without interest is much smaller than that of a bug with (high) interest; for a bug without interest at the granularity of lines of code, the source files involved in the bug-fixing commits of the bug were alternately modified by different committers much less frequently than those of the bug with (high) interest. © 2020 IEEE.</t>
  </si>
  <si>
    <t>Alkhazi B,DiStasi A,Aljedaani W,Alrubaye H,Ye X,Mkaouer MW</t>
  </si>
  <si>
    <t>Learning to rank developers for bug report assignment</t>
  </si>
  <si>
    <t>Applied Soft Computing Journal</t>
  </si>
  <si>
    <t>https://www.scopus.com/inward/record.uri?eid=2-s2.0-85090834563&amp;doi=10.1016%2fj.asoc.2020.106667&amp;partnerID=40&amp;md5=5be5bbaf90cecc5dfebc12710d37aed8;http://dx.doi.org/10.1016/j.asoc.2020.106667</t>
  </si>
  <si>
    <t>10.1016/j.asoc.2020.106667</t>
  </si>
  <si>
    <t>Bug assignment is a burden for projects receiving many bug reports. To automate the process of assigning bug reports to the appropriate developers, several studies have relied on combining natural language processing and information retrieval techniques to extract two categories of features. One of these categories targets developers who have fixed similar bugs before, and the other determines developers working on source files similar to the description of the bug. Commit messages represent another rich source for profiling developer expertise as the language used in commit messages is closer to that used in bug reports. In this work, we propose a more enhanced profiling of developers through their commits, which are captured in a new set of features that we combine with features used in previous studies. More precisely, we propose an adaptive ranking approach that takes as input a given bug report and ranks the top developers who are most suitable to fix it. This approach learns from the history of previously fixed bugs to profile developers in terms of their expertise. With respect to a given bug report, the ranking score of each developer is computed as a weighted combination of an array of features encoding domain knowledge, where the weights are trained automatically on previously solved bug reports using a learning-to-rank technique. Our model was evaluated using around 22,000 bug reports, exported from four large scale open-source Java projects. Results show that our model significantly outperformed two recent state-of-the-art methods in recommending the suitable developer to handle a certain bug report. Specifically, the percentage of recommending a developer within the top 5 ranked developers correctly was over 80% for both the Eclipse UI Platform and Birt projects. © 2020 Elsevier B.V.</t>
  </si>
  <si>
    <t>Cited by: 15</t>
  </si>
  <si>
    <t>Smiari P,Bibi S,Feitosa D</t>
  </si>
  <si>
    <t>Examining the reuse potentials of IoT application frameworks</t>
  </si>
  <si>
    <t>https://www.scopus.com/inward/record.uri?eid=2-s2.0-85087202176&amp;doi=10.1016%2fj.jss.2020.110706&amp;partnerID=40&amp;md5=1ff619129eeb34044e8c0f7464da0e1a;http://dx.doi.org/10.1016/j.jss.2020.110706</t>
  </si>
  <si>
    <t>10.1016/j.jss.2020.110706</t>
  </si>
  <si>
    <t>The major challenge that a developer confronts when building IoT systems is the management of a plethora of technologies implemented with various constraints, from different manufacturers, that at the end need to cooperate. In this paper we argue that developers can benefit from IoT frameworks by reusing their components so as to build in less time and effort IoT systems that can easily integrate new technologies. In order to explore the reuse opportunities offered by IoT frameworks we have performed a case study and analyzed 503 components reused by 35 IoT projects. We examined (a) the types of functionality that are most facilitated for reuse (b) the reuse strategy that is most adopted (c) thequality of the reused components. The results of the case study suggest that the main functionality reused is the one related to the Device Management layer and that Black-box reuse is the main type. Moreover, the quality of the reused components is improved compared to the rest of the components built from scratch. © 2020</t>
  </si>
  <si>
    <t>Benidris M,Ammar H,Dzielski D</t>
  </si>
  <si>
    <t>The Technical Debt Density over Multiple Releases and the Refactoring Story</t>
  </si>
  <si>
    <t>99 – 116</t>
  </si>
  <si>
    <t>https://www.scopus.com/inward/record.uri?eid=2-s2.0-85100749826&amp;doi=10.1142%2fS0218194021500017&amp;partnerID=40&amp;md5=f7c76b5b6a6f5e80d5aa3896e874c0d8;http://dx.doi.org/10.1142/S0218194021500017</t>
  </si>
  <si>
    <t>10.1142/S0218194021500017</t>
  </si>
  <si>
    <t>Do developers postpone fixing Technical Debt (TD) in software systems? TD is a metaphor that refers to short-term decisions in software development that may affect the cost of the software development life cycle. The bad smell is an imperfect solution in the software system that negatively impacts the internal software quality and maintainability. In this paper, we will study five open-source software projects (OSSPs) that have several releases and also estimate the numbers of architecture smells (ASs), design smells (DSs), and code smells (CSs) for every release. Designite will be used to detect smells. We describe a case study conducted to explore the following: (1) What is theaverage smells density for architecture, design, and code smells in an OSSP? (2) Does the density of each smell type increase over multiple releases? (3) What percentage of each smell-type density is eliminated by refactoring? We collected around 2 million LOC from five OSSPs that have multiple releases from the GitHub repository to statistically analyze the software concerning the smells as indicators of TD. We find 36% of Architecture Technical Debt (ATD) is Cyclic Dependency, while 33% of Design Debt (DD) is Cyclically-dependent Modularization. More than 70% of Code Debt (CD) is MagicNumber. Even though the developers do refactoring between releases, the TD density in general increases. On average, by refactoring, developers remove around 48%, 16%, and 22% from the introduced ATD, DD, and CD from their next release, respectively. © 2021 World Scientific Publishing Company.</t>
  </si>
  <si>
    <t>Santos G,Figueiredo E,Veloso A,Viggiato M,Ziviani N</t>
  </si>
  <si>
    <t>Predicting Software Defects with Explainable Machine Learning</t>
  </si>
  <si>
    <t>https://www.scopus.com/inward/record.uri?eid=2-s2.0-85102859382&amp;doi=10.1145%2f3439961.3439979&amp;partnerID=40&amp;md5=2f0fed42c9599c582f1ea1cf29dfafa1;http://dx.doi.org/10.1145/3439961.3439979</t>
  </si>
  <si>
    <t>10.1145/3439961.3439979</t>
  </si>
  <si>
    <t>Most software systems must evolve to cope with stakeholders' requirements and fix existing defects. Hence, software defect prediction represents an area of interest in both academia and the software industry. As a result, predicting software defects can help the development team to maintain substantial levels of software quality. For this reason, machine learning models have increased in popularity for software defect prediction and have demonstrated effectiveness in many scenarios. In this paper, we evaluate a machine learning approach for selecting features to predict software module defects. We use a tree boosting algorithm that receives as input a training set comprising records of software features encoding characteristics of each module and outputs whether the corresponding module is defective prone. For nine projects within the widely known NASA data program, we build prediction models from a set of easy-To-compute module features. We then sample this sizable model space by randomly selecting software features to compose each model. This significant number of models allows us to structure our work along model understandability and predictive accuracy. We argue that explaining model predictions is meaningful to provide information to developers on features related to each module defective-prone. We show that (i) features that contribute most to finding the best models may vary depending on the project, and (ii) effective models are highly understandable based on a survey with 40 developers. © 2020 ACM.</t>
  </si>
  <si>
    <t>Mhawish MY,Gupta M</t>
  </si>
  <si>
    <t>Predicting Code Smells and Analysis of Predictions: Using Machine Learning Techniques and Software Metrics</t>
  </si>
  <si>
    <t>1428 – 1445</t>
  </si>
  <si>
    <t>https://www.scopus.com/inward/record.uri?eid=2-s2.0-85097228042&amp;doi=10.1007%2fs11390-020-0323-7&amp;partnerID=40&amp;md5=610a2545ea68c1e95fc2dd2c2c6d9fab;http://dx.doi.org/10.1007/s11390-020-0323-7</t>
  </si>
  <si>
    <t>10.1007/s11390-020-0323-7</t>
  </si>
  <si>
    <t>Code smell detection is essential to improve software quality, enhancing software maintainability, and decrease the risk of faults and failures in the software system. In this paper, we proposed a code smell prediction approach based on machine learning techniques and software metrics. The local interpretable model-agnostic explanations (LIME) algorithm was further used to explain the machine learning model’s predictions and interpretability. The datasets obtained from Fontana et al. were reformed and used to build binary-label and multi-label datasets. The results of 10-fold cross-validation show that the performance of tree-based algorithms (mainly Random Forest) is higher compared with kernel-based and network-based algorithms. The genetic algorithm based feature selection methods enhance the accuracy of these machine learning algorithms by selecting the most relevant features in each dataset. Moreover, the parameter optimization techniques based on the grid search algorithm significantly enhance the accuracy of all these algorithms. Finally, machine learning techniques have high potential in predicting the code smells, which contribute to detect these smells and enhance the software’s quality. © 2020, Institute of Computing Technology, Chinese Academy of Sciences.</t>
  </si>
  <si>
    <t>Lewis GA,Ozkaya I,Xu X</t>
  </si>
  <si>
    <t>Software Architecture Challenges for ML Systems</t>
  </si>
  <si>
    <t>634 – 638</t>
  </si>
  <si>
    <t>https://www.scopus.com/inward/record.uri?eid=2-s2.0-85119830809&amp;doi=10.1109%2fICSME52107.2021.00071&amp;partnerID=40&amp;md5=206be4f3a7e99e5773a8fa9606804b6f;http://dx.doi.org/10.1109/ICSME52107.2021.00071</t>
  </si>
  <si>
    <t>10.1109/ICSME52107.2021.00071</t>
  </si>
  <si>
    <t>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 © 2021 IEEE.</t>
  </si>
  <si>
    <t>Malakuti S</t>
  </si>
  <si>
    <t>Emerging Technical Debt in Digital Twin Systems</t>
  </si>
  <si>
    <t>1946-0740</t>
  </si>
  <si>
    <t>https://www.scopus.com/inward/record.uri?eid=2-s2.0-85122936707&amp;doi=10.1109%2fETFA45728.2021.9613538&amp;partnerID=40&amp;md5=d05e631efef840c64a487c7fc4697803;http://dx.doi.org/10.1109/ETFA45728.2021.9613538</t>
  </si>
  <si>
    <t>10.1109/ETFA45728.2021.9613538</t>
  </si>
  <si>
    <t>Nowadays, the data silo problem in the industrial systems is a major problem hindering scalable design of data-driven use cases across the value stream of products. Although the notion of digital twins is gaining attention as a solution to address the data silo problem, we observe that various kinds of technical debt may occur in the design of digital twin solutions. Such technical debt can eventually reduce the agility of companies in addressing the changing customers' demands. This paper defines a maturity model for digital twin solutions, and outlines roles and products that emerge in digital twin solutions. These are then used as the basis to identify various kinds of technical debt that we observe emerging in the realization of digital twin solutions in practice. The increasing demand for digital twins in industrial use cases on one hand, and extensive studies on its simulation and analysis aspects on the other hand, have caused practitioners and researchers to overlook the software engineering aspects of digital twins. We believe that this paper helps close this gap by identifying various topics that need to be addressed by the practitioners and researchers to design scalable and maintainable digital twin solutions. © 2021 IEEE.</t>
  </si>
  <si>
    <t>Spinellis D,Louridas P,Kechagia M</t>
  </si>
  <si>
    <t>Software evolution: the lifetime of fine-grained elements</t>
  </si>
  <si>
    <t>1 – 33</t>
  </si>
  <si>
    <t>https://www.scopus.com/inward/record.uri?eid=2-s2.0-85101612111&amp;doi=10.7717%2fPEERJ-CS.372&amp;partnerID=40&amp;md5=3689250207ed4ea47f652e14926515df;http://dx.doi.org/10.7717/PEERJ-CS.372</t>
  </si>
  <si>
    <t>10.7717/PEERJ-CS.372</t>
  </si>
  <si>
    <t>A model regarding the lifetime of individual source code lines or tokens can estimate maintenance effort, guide preventive maintenance, and, more broadly, identify factors that can improve the efficiency of software development. We present methods and tools that allow tracking of each line’s or token’s birth and death. Through them, we analyze 3.3 billion source code element lifetime events in 89 revision control repositories. Statistical analysis shows that code lines are durable, with a median lifespan of about 2.4 years, and that young lines are more likely to be modified or deleted, following a Weibull distribution with the associated hazard rate decreasing over time. This behavior appears to be independent from specific characteristics of lines or tokens, as we could not determine factors that influence significantly their longevity across projects. The programing language, and developer tenure and experience were not found to be significantly correlated with line or token longevity, while project size and project age showed only a slight correlation. © 2021 Spinellis et al. Distributed under Creative Commons CC-BY 4.0</t>
  </si>
  <si>
    <t>Trautsch A,Herbold S,Grabowski J</t>
  </si>
  <si>
    <t>A longitudinal study of static analysis warning evolution and the effects of PMD on software quality in Apache open source projects</t>
  </si>
  <si>
    <t>5137 – 5192</t>
  </si>
  <si>
    <t>https://www.scopus.com/inward/record.uri?eid=2-s2.0-85091245352&amp;doi=10.1007%2fs10664-020-09880-1&amp;partnerID=40&amp;md5=077dac4a9230c050eb6b28ff2c596d4c;http://dx.doi.org/10.1007/s10664-020-09880-1</t>
  </si>
  <si>
    <t>10.1007/s10664-020-09880-1</t>
  </si>
  <si>
    <t>Automated static analysis tools (ASATs) have become a major part of the software development workflow. Acting on the generated warnings, i.e., changing the code indicated in the warning, should be part of, at latest, the code review phase. Despite this being a best practice in software development, there is still a lack of empirical research regarding the usage of ASATs in the wild. In this work, we want to study ASAT warning trends in software via the example of PMD as an ASAT and its usage in open source projects. We analyzed the commit history of 54 projects (with 112,266 commits in total), taking into account 193 PMD rules and 61 PMD releases. We investigate trends of ASAT warnings over up to 17 years for the selected study subjects regarding changes of warning types, short and long term impact of ASAT use, and changes in warning severities. We found that large global changes in ASAT warnings are mostly due to coding style changes regarding braces and naming conventions. We also found that, surprisingly, the influence of the presence of PMD in the build process of the project on warning removal trends for the number of warnings per lines of code is small and not statistically significant. Regardless, if we consider defect density as a proxy for external quality, we see a positive effect if PMD is present in the build configuration of our study subjects. © 2020, The Author(s).</t>
  </si>
  <si>
    <t>Cited by: 7; All Open Access, Green Open Access, Hybrid Gold Open Access</t>
  </si>
  <si>
    <t>Farias M,Mendes TS,Mendonça MG,Spínola RO</t>
  </si>
  <si>
    <t>On comment patterns that are good indicators of the presence of self-admitted technical debt and those that lead to false positive items</t>
  </si>
  <si>
    <t>Association for Information Systems</t>
  </si>
  <si>
    <t>https://www.scopus.com/inward/record.uri?eid=2-s2.0-85118631068&amp;partnerID=40&amp;md5=2195f60fd0617a0087df6aa8fcb55489</t>
  </si>
  <si>
    <t>Context: Technical debt (TD) contextualizes the problem of pending development tasks as a type of debt that brings a short-term benefit to the project, but which may have to be paid with interest later. When development teams explicitly admit these issues, TD is named Self-Admitted Technical Debt (SATD). Objective: Evaluate a SATD identification strategy, based on a SATD conceptual model implemented by the eXcomment tool, identifying comment patterns that are good indicators of the presence of SATD and those that point to false positive items. Method: We conducted an empirical study, considering two large and mature open-source software projects. Results: We identified 25 patterns that are more commonly found in code comments that point to SATD items and patterns that point to false-positive comments, indicating that those patterns can be excluded from the SATD conceptual model. Conclusion: We provide new evidence on how software engineers can use code comments to detect SATD items automatically. © AMCIS 2021.</t>
  </si>
  <si>
    <t>Sharma T,Singh P,Spinellis D</t>
  </si>
  <si>
    <t>An empirical investigation on the relationship between design and architecture smells</t>
  </si>
  <si>
    <t>4020 – 4068</t>
  </si>
  <si>
    <t>https://www.scopus.com/inward/record.uri?eid=2-s2.0-85089908139&amp;doi=10.1007%2fs10664-020-09847-2&amp;partnerID=40&amp;md5=0f29b8351d518306bf042abd9f0efba1;http://dx.doi.org/10.1007/s10664-020-09847-2</t>
  </si>
  <si>
    <t>10.1007/s10664-020-09847-2</t>
  </si>
  <si>
    <t>Context:: Architecture of a software system represents the key design decisions and therefore its quality plays an important role to keep the software maintainable. Code smells are indicators of quality issues in a software system and are classified based on their granularity, scope, and impact. Despite a plethora of existing work on smells, a detailed exploration of architecture smells, their characteristics, and their relationships with smells in other granularities is missing. Objective:: The paper aims to study architecture smells characteristics, investigate correlation, collocation, and causation relationships between architecture and design smells. Method:: We implement smell detection support for seven architecture smells. We mine 3 073 open-source repositories containing more than 118 million lines of C# code and empirically investigate the relationships between seven architecture and 19 design smells. Results:: We find that smell density does not depend on repository size. Cumulatively, architecture smells are highly correlated with design smells. Our collocation analysis finds that the majority of design and architecture smell pairs do not exhibit collocation. Finally, our causality analysis reveals that design smells cause architecture smells. © 2020, Springer Science+Business Media, LLC, part of Springer Nature.</t>
  </si>
  <si>
    <t>Khritankov A</t>
  </si>
  <si>
    <t>Hidden Feedback Loops in Machine Learning Systems: A Simulation Model and Preliminary Results</t>
  </si>
  <si>
    <t>54 – 65</t>
  </si>
  <si>
    <t>https://www.scopus.com/inward/record.uri?eid=2-s2.0-85101548886&amp;doi=10.1007%2f978-3-030-65854-0_5&amp;partnerID=40&amp;md5=ed02229da2891e2e587e82cb76d1a808;http://dx.doi.org/10.1007/978-3-030-65854-0_5</t>
  </si>
  <si>
    <t>10.1007/978-3-030-65854-0_5</t>
  </si>
  <si>
    <t>In this concept paper, we explore some of the aspects of quality of continuous learning artificial intelligence systems as they interact with and influence their environment. We study an important problem of implicit feedback loops that occurs in recommendation systems, web bulletins and price estimation systems. We demonstrate how feedback loops intervene with user behavior on an exemplary housing prices prediction system. Based on a preliminary model, we highlight sufficient existence conditions when such feedback loops arise and discuss possible solution approaches. © 2021, Springer Nature Switzerland AG.</t>
  </si>
  <si>
    <t>Is Using Deep Learning Frameworks Free? Characterizing Technical Debt in Deep Learning Frameworks</t>
  </si>
  <si>
    <t>1 – 10</t>
  </si>
  <si>
    <t>https://www.scopus.com/inward/record.uri?eid=2-s2.0-85099127778&amp;partnerID=40&amp;md5=dac34d4ff4a9a1fc3ce75d4ecefd5799</t>
  </si>
  <si>
    <t>Developers of deep learning applications (shortened as application developers) commonly use deep learning frameworks in their projects. However, due to time pressure, market competition, and cost reduction, developers of deep learning frameworks (shortened as framework developers) often have to sacrifice software quality to satisfy a shorter completion time. This practice leads to technical debt in deep learning frameworks, which results in the increasing burden to both the application developers and the framework developers in future development.In this paper, we analyze the comments indicating technical debt (self-Admitted technical debt) in 7 of the most popular open-source deep learning frameworks. Although framework developers are aware of such technical debt, typically the application developers are not. We find that: 1) there is a significant number of technical debt in all the studied deep learning frameworks. 2) there is design debt, defect debt, documentation debt, test debt, requirement debt, compatibility debt, and algorithm debt in deep learning frameworks. 3) the majority of the technical debt in deep learning framework is design debt (24.07%-65.27%), followed by requirement debt (7.09%-31.48%) and algorithm debt (5.62%-20.67%). In some projects, compatibility debt accounts for more than 10%. These findings illustrate that technical debt is common in deep learning frameworks, and many types of technical debt also impact the deep learning applications. Based on our findings, we highlight future research directions and provide recommendations for practitioners. © 2020 ACM.</t>
  </si>
  <si>
    <t>Garg S,Pundir P,Rathee G,Gupta PK,Garg S,Ahlawat S</t>
  </si>
  <si>
    <t>On Continuous Integration / Continuous Delivery for Automated Deployment of Machine Learning Models using MLOps</t>
  </si>
  <si>
    <t>25 – 28</t>
  </si>
  <si>
    <t>https://www.scopus.com/inward/record.uri?eid=2-s2.0-85127693591&amp;doi=10.1109%2fAIKE52691.2021.00010&amp;partnerID=40&amp;md5=ab80be2a0ca9fc311ecc098c76e85efe;http://dx.doi.org/10.1109/AIKE52691.2021.00010</t>
  </si>
  <si>
    <t>10.1109/AIKE52691.2021.00010</t>
  </si>
  <si>
    <t>In recent years, model deployment in machine learning is observed to be an interesting area of study. It can be seen as a process similar to the one established for traditional software development. Development and operations (DevOps) incorporating Continuous Integration and Continuous Delivery (CI/CD) have demonstrated to smooth out software advancement and speed up organizations. Nonetheless, employing CI/CD pipelines in an application that incorporates components of Machine Learning Operations (MLOps) has challenging issues, and pioneers in the field settle them with the utilization of exclusive tooling, frequently presented by cloud suppliers. This study gives a higher perspective on the machine learning lifecycle and the vital differences between DevOps and MLOps. We talk about tools and techniques to execute the CI/CD pipeline of machine learning frameworks in the MLOps approach. Subsequently, we deep dive into push and pull-based deployments in Github Operations (GitOps). Open exploration challenges are additionally distinguished and added that can direct future research. © 2021 IEEE.</t>
  </si>
  <si>
    <t>Felderer M,Ramler R</t>
  </si>
  <si>
    <t>Quality Assurance for AI-Based Systems: Overview and Challenges (Introduction to Interactive Session)</t>
  </si>
  <si>
    <t>33 – 42</t>
  </si>
  <si>
    <t>https://www.scopus.com/inward/record.uri?eid=2-s2.0-85101556271&amp;doi=10.1007%2f978-3-030-65854-0_3&amp;partnerID=40&amp;md5=cbc8930e2218bd056ff8c0f95dfea4c4;http://dx.doi.org/10.1007/978-3-030-65854-0_3</t>
  </si>
  <si>
    <t>10.1007/978-3-030-65854-0_3</t>
  </si>
  <si>
    <t>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 © 2021, Springer Nature Switzerland AG.</t>
  </si>
  <si>
    <t>Wang L,Zhang Y,Zhu X</t>
  </si>
  <si>
    <t>Concept drift-aware temporal cloud service APIs recommendation for building composite cloud systems</t>
  </si>
  <si>
    <t>https://www.scopus.com/inward/record.uri?eid=2-s2.0-85099198559&amp;doi=10.1016%2fj.jss.2020.110902&amp;partnerID=40&amp;md5=53256e07016c7b3e27f1a78be1e20811;http://dx.doi.org/10.1016/j.jss.2020.110902</t>
  </si>
  <si>
    <t>10.1016/j.jss.2020.110902</t>
  </si>
  <si>
    <t>The booming advances of cloud computing promote rapid growth of the number of cloud service Application Program Interfaces (APIs) published at the large-scale software cloud markets. Cloud service APIs recommendation remains a challenging issue for a composite cloud system construction, due to massively available candidate component cloud services with similar (or identical) functionalities in the cloud markets. As for a specific user, the probability distribution of the data indicating his/her preferences to the cloud service APIs may change with time, resulting in concept drifting preferences. To adapt users’ preference drifts and provide effective recommendation results to composite cloud system developers, we propose a concept drift-aware temporal cloud service APIs recommendation approach for composite cloud systems (or CD-APIR) in this paper. First, we track users temporal preferences through users’ behavior-aware information analysis. Second, we utilize Singular Value Decomposition (SVD) method to predict the missing values in the user–service matrices. Third, we identify the degree of users preference drifts by Jensen–Shannon (or JS) divergence. Finally, we recommend cloud service APIs by presenting a piecewise trading-off equation. Experimental evaluations conducted on WS-Dream dataset demonstrate that the CD-APIR approach can effectively improve the accuracy of cloud service APIs recommendation comparing with 7 representative approaches. © 2021 Elsevier Inc.</t>
  </si>
  <si>
    <t>Chen H,Ren Z,Qiao L,Zhou Z,Gao G,Ma Y,Jiang H</t>
  </si>
  <si>
    <t>AdaBoost-based Refused Bequest Code Smell Detection with Synthetic Instances</t>
  </si>
  <si>
    <t>https://www.scopus.com/inward/record.uri?eid=2-s2.0-85100534946&amp;doi=10.1109%2fDSA51864.2020.00019&amp;partnerID=40&amp;md5=1ac523109d4b9a851a92583ee12dfda7;http://dx.doi.org/10.1109/DSA51864.2020.00019</t>
  </si>
  <si>
    <t>10.1109/DSA51864.2020.00019</t>
  </si>
  <si>
    <t>Software requirements are constantly changing. Consequently, the development process is frequently under time pressure, which results in technical debt. To illustrate the symptoms of technical debt, 22 code smells have been introduced to indicate the poor design in code fragment, among which refused bequest is one of the most harmful smells and with high diffuseness. However, refused bequest is rarely taken into account because there is a lack of dataset. Moreover, it is difficult to design the detection rules for refused bequest compared with other popular smells.In this paper, we propose a machine-learning-based refused bequest smell detection framework SEADART, which features the utilization of a set of synthetic smelly instances. Specifically, SEADART comprises three components: (1) a smell generation approach, and (2) a model training strategy, and (3) an AdaBoost-based detection model. We evaluate the performance of the proposed framework. The evaluation results suggest that the generated smelly instances are reliable, and the trained AdaBoost model significantly outperforms the state-of-the-art over a real-world dataset. © 2020 IEEE.</t>
  </si>
  <si>
    <t>Stallenberg D,Olsthoorn M,Panichella A</t>
  </si>
  <si>
    <t>Improving Test Case Generation for REST APIs Through Hierarchical Clustering</t>
  </si>
  <si>
    <t>117 – 128</t>
  </si>
  <si>
    <t>https://www.scopus.com/inward/record.uri?eid=2-s2.0-85125451472&amp;doi=10.1109%2fASE51524.2021.9678586&amp;partnerID=40&amp;md5=dfed15c08ee21e719233da1b8bf64a94;http://dx.doi.org/10.1109/ASE51524.2021.9678586</t>
  </si>
  <si>
    <t>10.1109/ASE51524.2021.9678586</t>
  </si>
  <si>
    <t>With the ever-increasing use of web APIs in modern- day applications, it is becoming more important to test the system as a whole. In the last decade, tools and approaches have been proposed to automate the creation of system-level test cases for these APIs using evolutionary algorithms (EAs). One of the limiting factors of EAs is that the genetic operators (crossover and mutation) are fully randomized, potentially breaking promising patterns in the sequences of API requests discovered during the search. Breaking these patterns has a negative impact on the effectiveness of the test case generation process. To address this limitation, this paper proposes a new approach that uses Agglomerative Hierarchical Clustering (AHC) to infer a linkage tree model, which captures, replicates, and preserves these patterns in new test cases. We evaluate our approach, called LT-MOSA, by performing an empirical study on 7 real-world benchmark applications w.r.t. branch coverage and real-fault detection capability. We also compare LT-MOSA with the two existing state-of-the-art white-box techniques (MIO, MOSA) for REST API testing. Our results show that LT-MOSA achieves a statistically significant increase in test target coverage (i.e., lines and branches) compared to MIO and MOSA in 4 and 5 out of 7 applications, respectively. Furthermore, LT-MOSA discovers 27 and 18 unique real-faults that are left undetected by MIO and MOSA, respectively. © 2021 IEEE.</t>
  </si>
  <si>
    <t>Gonzalez CA,Zumel LA,Acero JA,Lenarduzzi V,Martincz-Femandez S,Rodriguez SR</t>
  </si>
  <si>
    <t>A preliminary investigation of developer profiles based on their activities and code quality: Who does what?</t>
  </si>
  <si>
    <t>938 – 945</t>
  </si>
  <si>
    <t>Institute of Electrical and Electronics Engineers</t>
  </si>
  <si>
    <t>2693-9177</t>
  </si>
  <si>
    <t>https://www.scopus.com/inward/record.uri?eid=2-s2.0-85141430282&amp;doi=10.1109%2fQRS54544.2021.00103&amp;partnerID=40&amp;md5=b6d0f6795eecbed78733249832cfaa95;http://dx.doi.org/10.1109/QRS54544.2021.00103</t>
  </si>
  <si>
    <t>10.1109/QRS54544.2021.00103</t>
  </si>
  <si>
    <t>Developers work on different tasks in different conditions based on individual technical skills and personal habits. Identifying developer groups by mining their repositories is key for various tasks ranging from understanding developers types in open source projects, to help project managers concerned with the team allocation and coordination of human resources in companies. We aimed at identifying distinct groups of developer profiles based on well defined characteristics and at characterizing the most common quality issue types introduced by each profile in their code. We considered 77,932 commits of 33 open source Java projects, clustering their 2460 developers using dimensionality reduction techniques and applying the k-means algorithm. We identified five profiles among 2460 developers based on project experience, developer productivity and the common quality issues they introduce in the code. Results can be used by developer teams to detect and cope with harmful practices, in order to be more efficient by reducing the number of bugs they produce, looking for adequate training options, and balancing their teams. © 2021 IEEE.</t>
  </si>
  <si>
    <t>John MM,Holmström Olsson H,Bosch J</t>
  </si>
  <si>
    <t>Architecting AI Deployment: A Systematic Review of State-of-the-Art and State-of-Practice Literature</t>
  </si>
  <si>
    <t>14 – 29</t>
  </si>
  <si>
    <t>https://www.scopus.com/inward/record.uri?eid=2-s2.0-85101368139&amp;doi=10.1007%2f978-3-030-67292-8_2&amp;partnerID=40&amp;md5=1755610e8f350838212c69c596954cf2;http://dx.doi.org/10.1007/978-3-030-67292-8_2</t>
  </si>
  <si>
    <t>10.1007/978-3-030-67292-8_2</t>
  </si>
  <si>
    <t>Companies across domains are rapidly engaged in shifting computational power and intelligence from centralized cloud to fully decentralized edges to maximize value delivery, strengthen security and reduce latency. However, most companies have only recently started pursuing this opportunity and are therefore at the early stage of the cloud-to-edge transition. To provide an overview of AI deployment in the context of edge/cloud/hybrid architectures, we conduct a systematic literature review and a grey literature review. To advance understanding of how to integrate, deploy, operationalize and evolve AI models, we derive a framework from existing literature to accelerate the end-to-end deployment process. The framework is organized into five phases: Design, Integration, Deployment, Operation and Evolution. We make an attempt to analyze the extracted results by comparing and contrasting them to derive insights. The contribution of the paper is threefold. First, we conduct a systematic literature review in which we review the contemporary scientific literature and provide a detailed overview of the state-of-the-art of AI deployment. Second, we review the grey literature and present the state-of-practice and experience of practitioners while deploying AI models. Third, we present a framework derived from existing literature for the end-to-end deployment process and attempt to compare and contrast SLR and GLR results. © 2021, Springer Nature Switzerland AG.</t>
  </si>
  <si>
    <t>Wu X,Zheng W,Chen X,Zhao Y,Yu T,Mu D</t>
  </si>
  <si>
    <t>Improving high-impact bug report prediction with combination of interactive machine learning and active learning</t>
  </si>
  <si>
    <t>https://www.scopus.com/inward/record.uri?eid=2-s2.0-85099608821&amp;doi=10.1016%2fj.infsof.2021.106530&amp;partnerID=40&amp;md5=8e73ebfc3c2c2eac5674687b8bef289f;http://dx.doi.org/10.1016/j.infsof.2021.106530</t>
  </si>
  <si>
    <t>10.1016/j.infsof.2021.106530</t>
  </si>
  <si>
    <t>Context: Bug reports record issues found during software development and maintenance. A high-impact bug report (HBR) describes an issue that can cause severe damage once occurred after deployment. Identifying HBRs from the bug repository as early as possible is crucial for guaranteeing software quality. Objective: In recent years, many machine learning-based approaches have been proposed for HBR prediction, and most of them are based on supervised machine learning. However, the assumption of supervised machine learning is that it needs a large number of labeled data, which is often difficult to gather in practice. Method: In this paper, we propose hbrPredictor, which combines interactive machine learning and active learning to HBR prediction. On the one hand, it can dramatically reduce the number of bug reports required for prediction model training; on the other hand, it improves the diversity and generalization ability of training samples via uncertainty sampling. Result: We take security bug report (SBR) prediction as an example of HBR prediction and perform a large-scale experimental evaluation on datasets from different open-source projects. The results show: (1) hbrPredictor substantially outperforms the two baselines and obtains the maximum values of F1-score (0.7939) and AUC (0.8789); (2) with the dynamic stop criteria, hbrPredictor could reach its best performance with only 45% and 13% of the total bug reports for small-sized datasets and large-sized datasets, respectively. Conclusion: By reducing the number of required training samples, hbrPredictor could substantially save the data labeling effort without decreasing the effectiveness of the model. © 2021 Elsevier B.V.</t>
  </si>
  <si>
    <t>Cited by: 23</t>
  </si>
  <si>
    <t>Corbière M,Willems L,Guay S,Panaccio A,Lecomte T,Mazaniello-Chézol M</t>
  </si>
  <si>
    <t>Development and user testing of the PRATICAdr web application: Return-to-work platform focused on interaction and communication between stakeholders, integrating a sustainable recovery program; [Développement et tests utilisateurs de l’application Web PRATICAdr: Plateforme de Retour Au Travail axée sur les Interactions et la Communication entre les Acteurs, intégrant un programme Durable favorisant le Rétablissement]</t>
  </si>
  <si>
    <t>Sante Mentale au Quebec</t>
  </si>
  <si>
    <t>175 – 202</t>
  </si>
  <si>
    <t>Revue Sante Mentale au Quebec SMQ</t>
  </si>
  <si>
    <t>0383-6320</t>
  </si>
  <si>
    <t>https://www.scopus.com/inward/record.uri?eid=2-s2.0-85117548541&amp;doi=10.7202%2f1081515ar&amp;partnerID=40&amp;md5=b77c80bd2db3795d75821b89f797cda0;http://dx.doi.org/10.7202/1081515ar</t>
  </si>
  <si>
    <t>10.7202/1081515ar</t>
  </si>
  <si>
    <t>Introduction Common mental disorders (CMDs) account for 30% to 50% of all illness absences. The success of RTW is not only due to the individual but rather to the result of the interaction between the stakeholders involved in the RTW process. Numerous mental health applications have been developed to improve patient management and optimize communication between professionals, but have not been validated. Moreover, no technological solution has been developed to date to facilitate both consultation among the RTW stakeholders (e.g., managers, health professionals) and systematic support for the employee in his or her RTW. Objective To address these shortcomings, the purpose of this article is twofold: 1) to describe the development of the PRATICAdr application (Return-to-Work Platform focused on Stakeholder Interaction and Communication: A Sustainable Recovery Program) and 2) to document PRATICAdr application user testing. Method The development of PRATICAdr has been operationalized in three phases: 1) needs assessment, 2) conceptualization of the internal mechanisms of the application and programming techniques and 3) testing of the application in real situation. The application is evaluated through questionnaires and interviews to measure user satisfaction. © Département de psychiatrie de l’Université de Montréal, 2021.</t>
  </si>
  <si>
    <t>Fischer L,Ehrlinger L,Geist V,Ramler R,Sobiezky F,Zellinger W,Brunner D,Kumar M,Moser B</t>
  </si>
  <si>
    <t>AI System Engineering—Key Challenges and Lessons Learned †</t>
  </si>
  <si>
    <t>56 – 83</t>
  </si>
  <si>
    <t>https://www.scopus.com/inward/record.uri?eid=2-s2.0-85103524094&amp;doi=10.3390%2fmake3010004&amp;partnerID=40&amp;md5=5f59ecb11b411871a7fcc5b9818a1e37;http://dx.doi.org/10.3390/make3010004</t>
  </si>
  <si>
    <t>10.3390/make3010004</t>
  </si>
  <si>
    <t>The main challenges are discussed together with the lessons learned from past and ongoing research along the development cycle of machine learning systems. This will be done by taking into account intrinsic conditions of nowadays deep learning models, data and software quality issues and human-centered artificial intelligence (AI) postulates, including confidentiality and ethical aspects. The analysis outlines a fundamental theory-practice gap which superimposes the challenges of AI system engineering at the level of data quality assurance, model building, software engineering and deployment. The aim of this paper is to pinpoint research topics to explore approaches to address these challenges. © 2020 by the authors.</t>
  </si>
  <si>
    <t>Aversano L,Iammarino M,Carapella M,Vecchio A,Nardi L</t>
  </si>
  <si>
    <t>On the relationship between self-admitted technical debt removals and technical debt measures</t>
  </si>
  <si>
    <t>Algorithms</t>
  </si>
  <si>
    <t>1999-4893</t>
  </si>
  <si>
    <t>https://www.scopus.com/inward/record.uri?eid=2-s2.0-85115401194&amp;doi=10.3390%2fA13070168&amp;partnerID=40&amp;md5=a8f01368e1ef5c76a8c1c712dab274e5;http://dx.doi.org/10.3390/A13070168</t>
  </si>
  <si>
    <t>10.3390/A13070168</t>
  </si>
  <si>
    <t>The technical debt (TD) in a software project refers to the adoption of an inadequate solution from its design to the source code. When developers admit the presence of technical debt in the source code, through comments or commit messages, it is called self-admitted technical debt (SATD). This aspect of TD has been the subject of numerous research studies, which have investigated its distribution, the impact on software quality, and removal. Therefore, this work focuses on the relationship between SATD and TD values. In particular, the study aims to compare the admitted technical debt with respect to its objective measure. In fact, the trends of TD values during SATD removals have been studied. This was done thanks to the use of an SATD dataset and their related removals in four open source projects. Instead, the SonarQube tool was used to measure TD values. Thanks to this work, it turned out that SATD removals in a few cases correspond to an effective reduction of TD values, while in numerous cases, the classes indicated are removed. © 2020 by the authors. Licensee MDPI, Basel, Switzerland.</t>
  </si>
  <si>
    <t>Cited by: 8; All Open Access, Gold Open Access</t>
  </si>
  <si>
    <t>AI deployment architecture: Multi-case study for key factor identification</t>
  </si>
  <si>
    <t>395 – 404</t>
  </si>
  <si>
    <t>https://www.scopus.com/inward/record.uri?eid=2-s2.0-85102359323&amp;doi=10.1109%2fAPSEC51365.2020.00048&amp;partnerID=40&amp;md5=0853303162ddbab2b67c1f89f83f472d;http://dx.doi.org/10.1109/APSEC51365.2020.00048</t>
  </si>
  <si>
    <t>10.1109/APSEC51365.2020.00048</t>
  </si>
  <si>
    <t>Machine learning and deep learning techniques are becoming increasingly popular and critical for companies as part of their systems. However, although the development and prototyping of ML/DL systems are common across companies, the transition from prototype to production-quality deployment models are challenging. One of the key challenges is how to determine the selection of an optimal architecture for AI deployment. Based on our previous research, and to offer support and guidance to practitioners, we developed a framework in which we present five architectural alternatives for AI deployment ranging from centralized to fully decentralized edge architectures. As part of our research, we validated the framework in software-intensive embedded system companies and identified key challenges they face when deploying ML/DL models. In this paper, and to further advance our research on this topic, we identify factors that help practitioners determine what architecture to select for the ML/D L model deployment. For this, we conducted a follow-up study involving interviews and workshops in seven case companies in the embedded systems domain. Based on our findings, we identify three key factors and develop a framework in which we outline how prioritization and trade-offs between these results in certain architecture. The contribution of the paper is threefold. First, we identify key factors critical for AI system deployment. Second, we present the architecture selection framework that explains how prioritization and trade-offs between key factors result in the selection of a certain architecture. Third, we discuss additional factors that mayor may not influence the selection of an optimal architecture. © 2020 IEEE.</t>
  </si>
  <si>
    <t>https://www.scopus.com/inward/record.uri?eid=2-s2.0-85089668454&amp;doi=10.1016%2fj.jss.2020.110777&amp;partnerID=40&amp;md5=c5865fd97e7d4d15984d4e88ce60aad3;http://dx.doi.org/10.1016/j.jss.2020.110777</t>
  </si>
  <si>
    <t>Technical debt (TD) is commonly used to indicate additional costs caused by quality compromises that can yield short-term benefits in the software development process, but may negatively affect the long-term quality of software products. Predicting the future value of TD could facilitate decision-making tasks regarding software maintenance and assist developers and project managers in taking proactive actions regarding TD repayment. However, no notable contributions exist in the field of TD forecasting, indicating that it is a scarcely investigated field. To this end, in the present paper, we empirically evaluate the ability of machine learning (ML) methods to model and predict TD evolution. More specifically, an extensive study is conducted, based on a dataset that we constructed by obtaining weekly snapshots of fifteen open source software projects over three years and using two popular static analysis tools to extract software-related metrics that can act as TD predictors. Subsequently, based on the identified TD predictors, a set of TD forecasting models are produced using popular ML algorithms and validated for various forecasting horizons. The results of our analysis indicate that linear Regularization models are able to fit and provide meaningful forecasts of TD evolution for shorter forecasting horizons, while the non-linear Random Forest regression performs better than the linear models for longer forecasting horizons. In most of the cases, the future TD value is captured with a sufficient level of accuracy. These models can be used to facilitate planning for software evolution budget and time allocation. The approach presented in this paper provides a basis for predictive TD analysis, suitable for projects with a relatively long history. To the best of our knowledge, this is the first study that investigates the feasibility of using ML models for forecasting TD. © 2020 Elsevier Inc.</t>
  </si>
  <si>
    <t>Catolino G,Palomba F,Tamburri DA,Serebrenik A</t>
  </si>
  <si>
    <t>Understanding Community Smells Variability: A Statistical Approach</t>
  </si>
  <si>
    <t>77 – 86</t>
  </si>
  <si>
    <t>https://www.scopus.com/inward/record.uri?eid=2-s2.0-85104222736&amp;doi=10.1109%2fICSE-SEIS52602.2021.00017&amp;partnerID=40&amp;md5=9a3fdb6d1db053f3407fbf943bc8ff05;http://dx.doi.org/10.1109/ICSE-SEIS52602.2021.00017</t>
  </si>
  <si>
    <t>10.1109/ICSE-SEIS52602.2021.00017</t>
  </si>
  <si>
    <t>Social debt has been defined as the presence in a project of costly sub-optimal organizational conditions, e.g., non-cohesive development communities whose members have communication or coordination issues. Community smells are indicators of such sub-optimal organizational structures and may well lead to social debt. Recently, several studies analyzed actors affecting presence of community smells and their harmfulness, or proposed refactoring strategies to mitigate them. However, to the best of our knowledge, there is still a limited understanding of the factors influencing the variability of community smells, namely how they increase/decrease in magnitude over time. In this paper, we aim at conducting the first statistical experimentation on the matter, by analyzing how a set of 40 socio-Technical factors, e.g., turnover or communicability, impact the variability of four community smells on a dataset composed of 60 open-source communities. The results of the study reveal that communicability is, in most cases, important to reduce the risk of an increase of community smell instances, while broadening the collaboration network does not always have a positive effect. © 2021 IEEE.</t>
  </si>
  <si>
    <t>22nd International Conference on Product-Focused Software Process Improvement, PROFES 2021</t>
  </si>
  <si>
    <t>13126 LNCS</t>
  </si>
  <si>
    <t>https://www.scopus.com/inward/record.uri?eid=2-s2.0-85121599547&amp;partnerID=40&amp;md5=ee015f1d0da14b1242f0f173d2ecc680</t>
  </si>
  <si>
    <t>The proceedings contain 20 papers. The special focus in this conference is on Product-Focused Software Process Improvement. The topics include: A Preliminary Investigation on the Relationships Between Personality Traits and Team Climate in a Smart-Working Development Context; searching for Bellwether Developers for Cross-Personalized Defect Prediction; using Machine Learning to Recognise Novice and Expert Programmers; is Knowledge the Key? An Experiment on Debiasing Architectural Decision-Making - a Pilot Study; communicating Cybersecurity Vulnerability Information: A Producer-Acquirer Case Study; Analyzing SAFe Practices with Respect to Quality Requirements: Findings from a Qualitative Study; capitalizing on Developer-Tester Communication – A Case Study; toward a Technical Debt Relationship with the Pivoting of Growth Phase Startups; towards a Common Testing Terminology for Software Engineering and Data Science Experts; the Migration Journey Towards Microservices; towards RegOps: A DevOps Pipeline for Medical Device Software; migrating from a Centralized Data Warehouse to a Decentralized Data Platform Architecture; how Do Agile Teams Manage Impediments?; keeping the Momentum: Driving Continuous Improvement After the Large-Scale Agile Transformation; how Do Practitioners Interpret Conditionals in Requirements?; situation- and Domain-Specific Composition and Enactment of Business Model Development Methods; using a Data-Driven Context Model to Support the Elicitation of Context-Aware Functionalities – A Controlled Experiment; a Transformation Model for Excelling in Product Roadmapping in Dynamic and Uncertain Market Environments.</t>
  </si>
  <si>
    <t>Caulo M,Lin B,Bavota G,Scanniello G,Lanza M</t>
  </si>
  <si>
    <t>Knowledge transfer in modern code review</t>
  </si>
  <si>
    <t>230 – 240</t>
  </si>
  <si>
    <t>https://www.scopus.com/inward/record.uri?eid=2-s2.0-85091922666&amp;doi=10.1145%2f3387904.3389270&amp;partnerID=40&amp;md5=ffc68e239ccf6dfd7170b6e2a40e405c;http://dx.doi.org/10.1145/3387904.3389270</t>
  </si>
  <si>
    <t>10.1145/3387904.3389270</t>
  </si>
  <si>
    <t>Knowledge transfer is one of the main goals of modern code review,as shown by several studies that surveyed and interviewed developers. While knowledge transfer is a clear expectation of the codereview process, there are no analytical studies using data minedfrom software repositories to assess the effectiveness of code review in trainingdevelopers and improve their skills over time. Wepresent a mining-based study investigating how and whether thecode review process helps developers to improve their contributionsto open source projects over time. We analyze 32,062 peer-reviewedpull requests (PRs) made across 4,981 GitHub repositories by 728developers who created their GitHub account in 2015. We assumethat PRs performed in the past by a developer D that have beensubject to a code review process have transferred knowledgetoD. Then, we verify if over time (i.e., when more and more reviewedPRs are made by D), the quality of the contributions made by D toopen source projects increases (as assessed by proxies we defined,such as the acceptance of PRs, or the polarity of the sentiment inthe review comments left for the submitted PRs). With the abovemeasures, we were unable to capture the positive impact played bythe code review process on the quality of developers' contributions.This might be due to several factors, including the choices we madein our experimental design.Additional investigations are needed toconfirm or contradict such a negative result. © 2020 Copyright held by the owner/author(s). Publication rights licensed to ACM.</t>
  </si>
  <si>
    <t>Paradis C,Kazman R</t>
  </si>
  <si>
    <t>Design choices in building an MSR tool: The case of Kaiaulu</t>
  </si>
  <si>
    <t>https://www.scopus.com/inward/record.uri?eid=2-s2.0-85117760287&amp;partnerID=40&amp;md5=81955a0a280b9878ff39973f036d6744</t>
  </si>
  <si>
    <t>Background: Since Alitheia Core was proposed and subsequently retired, tools that support empirical studies of software continue to be proposed, such as Codeface, Codeface4Smells, GrimoireLab and SmartSHARK, but they all make different design choices with overlapping functionality. Aims: We seek to understand the design decisions adopted on these tools–good and bad–and their consequences to understand why their authors reinvented functionality already present in other tools, and to help inform the design of future tools. Method: We used action research to evaluate the tools, and determine principles and anti-patterns to motivate a new tool design. Results: We identified 7 major design choices among the tools: 1) Abstraction Debt, 2) the use of Project Configuration Files, 3) the choice of Batch or Interactive Mode, 4) Minimal Paths to Data, 5) Familiar Software Abstractions, 6) Licensing and 7) the Perils of Code Reuse. Building on the observed good and bad design decisions, we created our own architecture and implemented it as an R package. Conclusions: Tools should not require onerous setup for users to obtain data. Authors should consider the conventions and abstractions used by their chosen language and build upon these instead of redefining them. Tools should encourage best practices in experiment reproducibility by leveraging self-contained and readable schemas that are used for tool automation, and reuse must be done with care to avoid depending on dead code. © 2021 Copyright for this paper by its authors. Use permitted under Creative Commons License Attribution 4.0 International (CC BY 4.0).</t>
  </si>
  <si>
    <t>Technical Debt Forecasting Based on Deep Learning Techniques</t>
  </si>
  <si>
    <t>12955 LNCS</t>
  </si>
  <si>
    <t>306 – 322</t>
  </si>
  <si>
    <t>https://www.scopus.com/inward/record.uri?eid=2-s2.0-85116010167&amp;doi=10.1007%2f978-3-030-87007-2_22&amp;partnerID=40&amp;md5=006267f393429147a4517f2b43d3299c;http://dx.doi.org/10.1007/978-3-030-87007-2_22</t>
  </si>
  <si>
    <t>10.1007/978-3-030-87007-2_22</t>
  </si>
  <si>
    <t>Technical debt (TD) is a metaphor commonly used to reflect the consequences of quality compromises that can derive short-term benefits but may result in quality decay of software products in the long run. While a broad variety of methods and tools have been proposed over the years for the identification and quantification of TD during the software development cycle, it is not until recently that researchers have turned their interest towards methods aiming to forecast the future TD evolution of a software project. Predicting the future value of TD could facilitate decision-making tasks regarding software maintenance and assist developers and project managers in taking proactive actions regarding TD repayment. In previous relevant studies, time series analysis and Machine Learning techniques have been employed in order to generate meaningful TD forecasts. While these approaches have been proven capable of producing reliable TD predictions, their predictive performance has been observed to decrease significantly for long-term predictions. To this end, in the present paper we investigate whether the adoption of Deep Learning may lead to more accurate long-term TD prediction. For this purpose, Deep Learning models are constructed, evaluated, and compared based on a dataset of five popular real-world software applications. The results of our analysis indicate that the adoption of Deep Learning results in TD forecasting models with sufficient predictive performance up to 150 steps ahead into the future. © 2021, Springer Nature Switzerland AG.</t>
  </si>
  <si>
    <t>Van Oort B,Cruz L,Aniche M,Van Deursen A</t>
  </si>
  <si>
    <t>The prevalence of code smells in machine learning projects</t>
  </si>
  <si>
    <t>35 – 42</t>
  </si>
  <si>
    <t>https://www.scopus.com/inward/record.uri?eid=2-s2.0-85113265853&amp;doi=10.1109%2fWAIN52551.2021.00011&amp;partnerID=40&amp;md5=6d05e74896e5f302e30e0d11c8938d7a;http://dx.doi.org/10.1109/WAIN52551.2021.00011</t>
  </si>
  <si>
    <t>10.1109/WAIN52551.2021.00011</t>
  </si>
  <si>
    <t>Artificial Intelligence (AI) and Machine Learning (ML) are pervasive in the current computer science landscape. Yet, there still exists a lack of software engineering experience and best practices in this field. One such best practice, static code analysis, can be used to find code smells, i.e., (potential) defects in the source code, refactoring opportunities, and violations of common coding standards. Our research set out to discover the most prevalent code smells in ML projects. We gathered a dataset of 74 open-source ML projects, installed their dependencies and ran Pylint on them. This resulted in a top 20 of all detected code smells, per category. Manual analysis of these smells mainly showed that code duplication is widespread and that the PEP8 convention for identifier naming style may not always be applicable to ML code due to its resemblance with mathematical notation. More interestingly, however, we found several major obstructions to the maintainability and reproducibility of ML projects, primarily related to the dependency management of Python projects. We also found that Pylint cannot reliably check for correct usage of imported dependencies, including prominent ML libraries such as PyTorch. © 2021 IEEE.</t>
  </si>
  <si>
    <t>Gonzalez-Hemandez S,Sanchez-Garcia AJ,Cortes-Verdin K,Perez-Arriaga JC</t>
  </si>
  <si>
    <t>Regression in Estimation of Software Attributes: A Systematic Literature Review</t>
  </si>
  <si>
    <t>54 – 60</t>
  </si>
  <si>
    <t>https://www.scopus.com/inward/record.uri?eid=2-s2.0-85124486693&amp;doi=10.1109%2fCONISOFT52520.2021.00019&amp;partnerID=40&amp;md5=02d7704db1cf13e7541b254e7543afb6;http://dx.doi.org/10.1109/CONISOFT52520.2021.00019</t>
  </si>
  <si>
    <t>10.1109/CONISOFT52520.2021.00019</t>
  </si>
  <si>
    <t>Software estimation is a fundamental activity in the Software development process, since it is possible to predict the number of defects, size, effort, among other attributes. With this, it is possible to improve the quality of the product and process. To predict quantitative values, it is common to use Regression Model mechanisms, although each model adjusts to a specific behavior of the data. In this work, a Systematic Literature Review is carried out based on the Kitchenham and Charters guide, to know the different types of Regression that have been used in the Software estimates. In addition, it seeks to know those attributes that are estimated and those that function as independent variables. Simple Linear Regression, Multiple Linear Regression and Logistic Regression were the most used, although other types of regression were found that can be further explored. Finally, the attributes that work as predictor variables were categorized, where the attributes of effort, lines of code and use cases were the most frequent. © 2021 IEEE.</t>
  </si>
  <si>
    <t>Lenarduzzi V,Mandić V,Katin A,Taibi D</t>
  </si>
  <si>
    <t>How long do junior developers take to remove technical debt items?</t>
  </si>
  <si>
    <t>https://www.scopus.com/inward/record.uri?eid=2-s2.0-85095828765&amp;doi=10.1145%2f3382494.3422169&amp;partnerID=40&amp;md5=201eb0948742fc5fe6b15371987b312d;http://dx.doi.org/10.1145/3382494.3422169</t>
  </si>
  <si>
    <t>10.1145/3382494.3422169</t>
  </si>
  <si>
    <t>Background. Software engineering is one of the engineering fields with the highest inflow of junior engineers. Tools that utilize source code analysis to provide feedback on internal software quality, i.e. Technical Debt (TD), are valuable to junior developers who can learn and improve their coding skills with minimal consultations with senior colleagues. Objective. We aim at understating which SonarQube TD items junior developers prioritize during the refactoring and how long they take to refactor them. Method. We designed a case study with replicated design and we conducted it with 185 junior developers in two countries, that developed 23 projects with different programming languages and architectures. Results. Junior developers focus homogeneously on different types of TD items. Moreover, they can refactor items in a fraction of the estimated time, never spending more than 50% of the time estimated by SonarQube. Conclusion. Junior Developers appreciate the usage of SonarQube and considered as a useful tool. Companies might ask junior developers to quickly clean their code. © 2020 IEEE Computer Society. All rights reserved.</t>
  </si>
  <si>
    <t>A systematic mapping study on architectural smells detection</t>
  </si>
  <si>
    <t>https://www.scopus.com/inward/record.uri?eid=2-s2.0-85098698807&amp;doi=10.1016%2fj.jss.2020.110885&amp;partnerID=40&amp;md5=79bcce91325598c5ba71753a900109f3;http://dx.doi.org/10.1016/j.jss.2020.110885</t>
  </si>
  <si>
    <t>10.1016/j.jss.2020.110885</t>
  </si>
  <si>
    <t>The recognition of the need for high-quality software architecture is evident from the increasing trend in investigating architectural smells. Detection of architectural smells is paramount because they can seep through to design and implementation stages if left unidentified. Many architectural smells detection techniques and tools are proposed in the literature. The diversity in the detection techniques and tools suggests the need for their collective analysis to identify interesting aspects for practice and open research areas. To fulfill this, in this paper, we unify the knowledge about the detection of architectural smells through a systematic mapping study. We report on the existing detection techniques and tools for architectural smells to identify their limitations. We find there has been limited investigation of some architectural smells (e.g., micro-service smells); many architectural smells are not detected by tools yet; and there are limited empirical validations of techniques and tools. Based on our findings, we suggest several open research problems, including the need to (1) investigate undetected architectural smells (e.g., Java package smells), (2) improve the coverage of architectural smell detection across architecture styles (e.g., service-oriented and cloud), and (3) perform empirical validations of techniques and tools in industry across different languages and project domains. © 2020 Elsevier Inc.</t>
  </si>
  <si>
    <t>Bhatore S,Reddy YR,Sanagavarapu LM,Chandra SS</t>
  </si>
  <si>
    <t>Software Patterns to Identify Credit Risk Patterns</t>
  </si>
  <si>
    <t>https://www.scopus.com/inward/record.uri?eid=2-s2.0-85101567368&amp;doi=10.1109%2fINDICON49873.2020.9342579&amp;partnerID=40&amp;md5=70d266f18a400ee242fcb4af32e3f28e;http://dx.doi.org/10.1109/INDICON49873.2020.9342579</t>
  </si>
  <si>
    <t>10.1109/INDICON49873.2020.9342579</t>
  </si>
  <si>
    <t>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 © 2020 IEEE.</t>
  </si>
  <si>
    <t>Sayago-Heredia J,Pérez-Castillo R,Piattini M</t>
  </si>
  <si>
    <t>A Systematic Mapping Study on Analysis of Code Repositories</t>
  </si>
  <si>
    <t>Informatica (Netherlands)</t>
  </si>
  <si>
    <t>619 – 660</t>
  </si>
  <si>
    <t>0868-4952</t>
  </si>
  <si>
    <t>https://www.scopus.com/inward/record.uri?eid=2-s2.0-85112267816&amp;doi=10.15388%2f21-INFOR454&amp;partnerID=40&amp;md5=8bd149a1f3f0de62a234c35f84b10d05;http://dx.doi.org/10.15388/21-INFOR454</t>
  </si>
  <si>
    <t>10.15388/21-INFOR454</t>
  </si>
  <si>
    <t>Code repositories contain valuable information, which can be extracted, processed and synthesized into valuable information. It enabled developers to improve maintenance, increase code quality and understand software evolution, among other insights. Certain research has been made during the last years in this field. This paper presents a systematic mapping study to find, evaluate and investigate the mechanisms, methods and techniques used for the analysis of information from code repositories that allow the understanding of the evolution of software. Through this mapping study, we have identified the main information used as input for the analysis of code repositories (commit data and source code), as well as the most common methods and techniques of analysis (empirical/experimental and automatic). We believe the conducted research is useful for developers working on software development projects and seeking to improve maintenance and understand the evolution of software through the use and analysis of code repositories. © 2021 Vilnius University.</t>
  </si>
  <si>
    <t>Thakre SB,Kiwelekar AW</t>
  </si>
  <si>
    <t>Mapping program elements to layers using centrality measures and machine learning techniques</t>
  </si>
  <si>
    <t>https://www.scopus.com/inward/record.uri?eid=2-s2.0-85117838230&amp;partnerID=40&amp;md5=4caf4199307476abec5f7e1dc08e661e</t>
  </si>
  <si>
    <t>The necessity of explicit architecture descriptions for communicating system functionalities and system maintenance activities has been continuously emphasized. This paper presents an approach to extract layering information, a form of architecture descriptions, using the centrality measures from Social Network Analysis theory and supervised machine learning algorithms. The layer recovery approach presented in this paper works in two phases. The first phase calculates centrality measures for each program element in an application. The second phase assumes that the application has been implemented around the layered architecture style and maps program elements to appropriate layers. Two techniques for mapping program elements to layers are presented. The first technique maps program elements to layer using pre-defined rules, while the second technique learns the mapping rules from a pre-labelled data set. The paper presents the evaluation of both approaches. © 2021 Copyright for this paper by its authors. Use permitted under Creative Commons License Attribution 4.0 International (CC BY 4.0).</t>
  </si>
  <si>
    <t>Cummaudo A,Graetsch UM,Curumsing MK,Vasa R,Barnett S,Grundy J</t>
  </si>
  <si>
    <t>Emotions in Computer Vision Service QA</t>
  </si>
  <si>
    <t>13 – 18</t>
  </si>
  <si>
    <t>https://www.scopus.com/inward/record.uri?eid=2-s2.0-85112863573&amp;doi=10.1109%2fSEmotion52567.2021.00011&amp;partnerID=40&amp;md5=1ca98f10116a190c60bb7418d3f9f333;http://dx.doi.org/10.1109/SEmotion52567.2021.00011</t>
  </si>
  <si>
    <t>10.1109/SEmotion52567.2021.00011</t>
  </si>
  <si>
    <t>Software developers are increasingly using cloud-based services that provide machine learning capabilities to implement 'intelligent' features. Studies show that incorporating machine learning into an application increases technical debt, creates data dependencies, and introduces uncertainty due to their non-deterministic behaviour. We know very little about the emotional state of software developers who have to deal with such issues; and the impacts on productivity. This paper presents a preliminary effort to better understand the emotions of developers when experiencing issues with these services with the wider goal of discovering potential service improvements. We conducted a landscape analysis of emotions found in 1,425 Stack Overflow questions about a specific and mature subset of these cloud-based services, namely those that provide computer vision techniques. To speed up the emotion identification process, we trialled an automatic approach using a pre-trained emotion classifier that was specifically trained on Stack Overflow content, EmoTxt, and manually verified its classification results. We found that the identified emotions vary for different types of questions, and a discrepancy exists between automatic and manual emotion analysis due to subjectivity. © 2021 IEEE.</t>
  </si>
  <si>
    <t>Bischoff V,Farias K,Menzen JP,Pessin G</t>
  </si>
  <si>
    <t>Technological support for detection and prediction of plant diseases: A systematic mapping study</t>
  </si>
  <si>
    <t>Computers and Electronics in Agriculture</t>
  </si>
  <si>
    <t>0168-1699</t>
  </si>
  <si>
    <t>https://www.scopus.com/inward/record.uri?eid=2-s2.0-85098933960&amp;doi=10.1016%2fj.compag.2020.105922&amp;partnerID=40&amp;md5=72d041552aa067501c1bde57ead189f8;http://dx.doi.org/10.1016/j.compag.2020.105922</t>
  </si>
  <si>
    <t>10.1016/j.compag.2020.105922</t>
  </si>
  <si>
    <t>The field of plant disease diagnosis and epidemiology seeks to assess symptoms caused by pathogens. Different infectious and non-infectious agents can cause similar symptoms in plant organs. Diagnosing diseases is crucial, but it remains an inherently manual and error-prone task. Many works have been proposed to diagnose plant diseases, mainly using machine learning approaches. Even though this field affects agribusiness areas, little has been done to classify and map the current literature. This article presents a comprehensive overview of the current literature, and draw some research gaps, trends, and challenges that are worth investigating. A systematic mapping of the literature was carried out in pairs, following well-established practice guidelines. In total, 56 primary studies were carefully selected from a sample of 668 papers, which were retrieved from 9 widely recognized electronic databases. They were analyzed and categorized to answer seven research questions. The results show that 41% of primary studies applied machine learning techniques to detect diseases, 32% used image sensors to identify symptoms related to plant diseases, 30% focused on proposing new models of machine learning to detect diseases 34% were evaluation studies, and 71% were published in scientific journals. The association between computer vision and neural networks appears as a promising field of research for the detection of diseases. Finally, this article can serve as a starting point for upcoming studies, providing insights from a systematic map of the literature. © 2020 Elsevier B.V.</t>
  </si>
  <si>
    <t>Sharma T,Kessentini M</t>
  </si>
  <si>
    <t>QScored: A large dataset of code smells and quality metrics</t>
  </si>
  <si>
    <t>590 – 594</t>
  </si>
  <si>
    <t>https://www.scopus.com/inward/record.uri?eid=2-s2.0-85113586145&amp;doi=10.1109%2fMSR52588.2021.00080&amp;partnerID=40&amp;md5=f73f0ff63831c66174dda79436bafade;http://dx.doi.org/10.1109/MSR52588.2021.00080</t>
  </si>
  <si>
    <t>10.1109/MSR52588.2021.00080</t>
  </si>
  <si>
    <t>Code quality aspects such as code smells and code quality metrics are widely used in exploratory and empirical software engineering research. In such studies, researchers spend a substantial amount of time and effort to not only select the appropriate subject systems but also to analyze them to collect the required code quality information. In this paper, we present QScored dataset; the dataset contains code quality information of more than 86 thousand C# and Java GitHub repositories containing more than 1.1 billion lines of code. The code quality information contains seven kinds of detected architecture smells, 20 kinds of design smells, eleven kinds of implementation smells, and 27 commonly used code quality metrics computed at project, package, class, and method levels. Availability of the dataset will facilitate empirical studies involving code quality aspects by making the information readily available for a large number of active GitHub repositories. © 2021 IEEE.</t>
  </si>
  <si>
    <t>Shrove MT,Jovanov E</t>
  </si>
  <si>
    <t>Is There a Prophet Who Can Predict Software Vulnerabilities?</t>
  </si>
  <si>
    <t>1271 AISC</t>
  </si>
  <si>
    <t>242 – 243</t>
  </si>
  <si>
    <t>https://www.scopus.com/inward/record.uri?eid=2-s2.0-85091330297&amp;doi=10.1007%2f978-3-030-58703-1_17&amp;partnerID=40&amp;md5=8a2ee228a80752d0dc465ea71eb0bb88;http://dx.doi.org/10.1007/978-3-030-58703-1_17</t>
  </si>
  <si>
    <t>10.1007/978-3-030-58703-1_17</t>
  </si>
  <si>
    <t>Shortcuts in software development generate technical debt and software vulnerabilities. We propose a framework that will allow stakeholders an effective way to forecast the trend in software vulnerabilities and allow stakeholders to provide the necessary resources to reduce the attack surface and the probability of software failure. We demonstrated that our method can forecast vulnerabilities in several open-source projects, and seasonality in daily, monthly, and yearly total vulnerabilities. Our preliminary results indicate that we can use forecasting methods up to 90 days out with accuracy. In this paper, we present our technique, methodology of preparation of inputs for the proposed artificial intelligence model, and the results of analysis of three open source projects. © 2021, Springer Nature Switzerland AG.</t>
  </si>
  <si>
    <t>Ibrahim A,Thiruvady D,Schneider JG,Abdelrazek M</t>
  </si>
  <si>
    <t>The Challenges of Leveraging Threat Intelligence to Stop Data Breaches</t>
  </si>
  <si>
    <t>Frontiers in Computer Science</t>
  </si>
  <si>
    <t>2624-9898</t>
  </si>
  <si>
    <t>https://www.scopus.com/inward/record.uri?eid=2-s2.0-85104202907&amp;doi=10.3389%2ffcomp.2020.00036&amp;partnerID=40&amp;md5=f312b89ba0ff921d5b56e2bb2dfcb5eb;http://dx.doi.org/10.3389/fcomp.2020.00036</t>
  </si>
  <si>
    <t>10.3389/fcomp.2020.00036</t>
  </si>
  <si>
    <t>Despite the significant increase in cybersecurity solutions investment, organizations are still plagued by security breaches, especially data breaches. As more organizations experience crippling security breaches, the wave of compromised data is growing significantly. The financial consequences of a data breach are set on the rise, but the cost goes beyond potential fines. Data breaches could have a catastrophic impact not only in loss of company's reputation and stock price, but also in economic terms. Threat Intelligence has been recently introduced to enable greater visibility of cyber threats, in order to better protect organizations' digital assets and prevent data breaches. Threat intelligence is the practice of integrating and analyzing disjointed cyber data to extract evidence-based insights regarding an organization's unique threat landscape. This helps explain who the adversary is, how and why they are comprising the organization's digital assets, what consequences could happen following the attack, what assets actually could be compromised, and how to detect or respond to the threat. Every organization is different and threat intelligence frameworks are custom-tailored to the business process itself and the organization's risks, as there is no “one-size-fits-all” in cyber. In this paper, we review the problem of data breaches and discuss the challenges of implementing threat intelligence that scales in today's complex threat landscape and digital infrastructure. This is followed by an illustration of how the future of effective threat intelligence is closely linked to efficiently applying Artificial Intelligence and Machine Learning approaches, and we conclude by outlining future research directions in this area. © Copyright © 2020 Ibrahim, Thiruvady, Schneider and Abdelrazek.</t>
  </si>
  <si>
    <t>Fujii G,Hamada K,Ishikawa F,Masuda S,Matsuya M,Myojin T,Nishi Y,Ogawa H,Toku T,Tokumoto S,Tsuchiya K,Ujita Y</t>
  </si>
  <si>
    <t>Guidelines for Quality Assurance of Machine Learning-Based Artificial Intelligence</t>
  </si>
  <si>
    <t>1589 – 1606</t>
  </si>
  <si>
    <t>https://www.scopus.com/inward/record.uri?eid=2-s2.0-85096006542&amp;doi=10.1142%2fS0218194020400227&amp;partnerID=40&amp;md5=772ec7e1f2201c5251764b201c4a66c6;http://dx.doi.org/10.1142/S0218194020400227</t>
  </si>
  <si>
    <t>10.1142/S0218194020400227</t>
  </si>
  <si>
    <t>Significant effort is being put into developing industrial applications for artificial intelligence (AI), especially those using machine learning (ML) techniques. Despite the intensive support for building ML applications, there are still challenges when it comes to evaluating, assuring, and improving the quality or dependability. The difficulty stems from the unique nature of ML, namely, system behavior is derived from training data not from logical design by human engineers. This leads to black-box and intrinsically imperfect implementations that invalidate many principles and techniques in traditional software engineering. In light of this situation, the Japanese industry has jointly worked on a set of guidelines for the quality assurance of AI systems (in the Consortium of Quality Assurance for AI-based Products and Services) from the viewpoint of traditional quality-assurance engineers and test engineers. We report on the second version of these guidelines, which cover a list of quality evaluation aspects, catalogue of current state-of-the-art techniques, and domain-specific discussions in five representative domains. The guidelines provide significant insights for engineers in terms of methodologies and designs for tests driven by application-specific requirements. © 2020 The Author(s).</t>
  </si>
  <si>
    <t>Murillo MI,Jenkins M</t>
  </si>
  <si>
    <t>Technical Debt Measurement during Software Development using Sonarqube: Literature Review and a Case Study</t>
  </si>
  <si>
    <t>https://www.scopus.com/inward/record.uri?eid=2-s2.0-85133418548&amp;doi=10.1109%2fJoCICI54528.2021.9794341&amp;partnerID=40&amp;md5=7d286e6571bbed24361a35a1cf02f7a8;http://dx.doi.org/10.1109/JoCICI54528.2021.9794341</t>
  </si>
  <si>
    <t>10.1109/JoCICI54528.2021.9794341</t>
  </si>
  <si>
    <t>Technical debt comprises the construction of poor software during the development process, potentially leading to several problems for organizations. For this reason, it is convenient to measure it and apply timely strategies to prevent unwanted consequences. Technical debt identification and measurement may be supported by static analysis tools, such as Sonarqube. This paper aims to analyze, evaluate, and apply the technical debt metrics proposed by Sonarqube. We present a literature review about technical debt measurement with this tool and describe the results of a case study. Based on the literature review and the case study results, we analyze the advantages, disadvantages, and limitations of using Sonarqube for technical debt measurement. We conclude that there are several threats to the validity on the proposed metrics, which may lead to inaccurate results. However, Sonarqube can still support technical debt management during the software development process. © 2021 IEEE.</t>
  </si>
  <si>
    <t>Rhmann W</t>
  </si>
  <si>
    <t>Quantitative software change prediction in open source web projects using time series forecasting</t>
  </si>
  <si>
    <t>36 – 51</t>
  </si>
  <si>
    <t>https://www.scopus.com/inward/record.uri?eid=2-s2.0-85107594454&amp;doi=10.4018%2fIJOSSP.2021040103&amp;partnerID=40&amp;md5=7bba65bb666a08cde582889021508a38;http://dx.doi.org/10.4018/IJOSSP.2021040103</t>
  </si>
  <si>
    <t>10.4018/IJOSSP.2021040103</t>
  </si>
  <si>
    <t>Software change prediction (SCP) is used for the prediction of changes earlier in the software development life cycle. It identifies the files that are change prone. Software maintenance costs can be reduced with the help of accurate prediction of change-prone files. Most of the literature of SCP deals with the identification of a class as change prone or not change prone. In the present work, the amount of change in a web project in terms of line of code added (loc_added), line of code deleted (loc_deleted), and lines of code (LOC) are predicted using time series forecasting method of machine learning. Data of web projects is obtained from GIT repository using Pydriller Python package extractor. The obtained result showed that support vector machine (SVM) is good for prediction of loc_added and loc_removed while the random forest is good for the prediction of LOC. Results advocate the use machine learning techniques for forecasting changes amount in web projects. Copyright © 2021, IGI Global.</t>
  </si>
  <si>
    <t>Siavvas M,Tsoukalas D,Marantos C,Tsintzira AA,Jankovic M,Soudris D,Chatzigeorgiou A,Kehagias D</t>
  </si>
  <si>
    <t>The SDK4ED Platform for Embedded Software Quality Improvement - Preliminary Overview</t>
  </si>
  <si>
    <t>12252 LNCS</t>
  </si>
  <si>
    <t>1035 – 1050</t>
  </si>
  <si>
    <t>https://www.scopus.com/inward/record.uri?eid=2-s2.0-85092234625&amp;doi=10.1007%2f978-3-030-58811-3_73&amp;partnerID=40&amp;md5=5869cd3d767df9c2edac6039a5407bd2;http://dx.doi.org/10.1007/978-3-030-58811-3_73</t>
  </si>
  <si>
    <t>10.1007/978-3-030-58811-3_73</t>
  </si>
  <si>
    <t>Maintaining high level of quality with respect to important quality attributes is critical for the success of modern software applications. Hence, appropriate tooling is required to help developers and project managers monitor and optimize software quality throughout the overall Software Development Lifecycle (SDLC). Moreover, embedded software engineers and developers need support to manage complex interdependencies and inherent trade-offs between design and run-time qualities. To this end, in an attempt to address these issues, we are developing the SDK4ED Platform as part of the ongoing EU-funded SDK4ED project, a software quality system that enables the monitoring and optimization of software quality, with emphasis on embedded software. The purpose of this technical paper is to provide an overview of the SDK4ED Platform and present the main novel functionalities that have been implemented within the platform until today. © 2020, Springer Nature Switzerland AG.</t>
  </si>
  <si>
    <t>Yan M,Xia X,Shihab E,Lo D,Yin J,Yang X</t>
  </si>
  <si>
    <t>Automating Change-Level Self-Admitted Technical Debt Determination</t>
  </si>
  <si>
    <t>1211 – 1229</t>
  </si>
  <si>
    <t>https://www.scopus.com/inward/record.uri?eid=2-s2.0-85046362904&amp;doi=10.1109%2fTSE.2018.2831232&amp;partnerID=40&amp;md5=333fc3e9214c2d64801569958528ab9c;http://dx.doi.org/10.1109/TSE.2018.2831232</t>
  </si>
  <si>
    <t>10.1109/TSE.2018.2831232</t>
  </si>
  <si>
    <t>Technical debt (TD) is a metaphor to describe the situation where developers introduce suboptimal solutions during software development to achieve short-term goals that may affect the long-term software quality. Prior studies proposed different techniques to identify TD, such as identifying TD through code smells or by analyzing source code comments. Technical debt identified using comments is known as Self-Admitted Technical Debt (SATD) and refers to TD that is introduced intentionally. Compared with TD identified by code metrics or code smells, SATD is more reliable since it is admitted by developers using comments. Thus far, all of the state-of-the-art approaches identify SATD at the file-level. In essence, they identify whether a file has SATD or not. However, all of the SATD is introduced through software changes. Previous studies that identify SATD at the file-level in isolation cannot describe the TD context related to multiple files. Therefore, it is beneficial to identify the SATD once a change is being made. We refer to this type of TD identification as 'Change-level SATD Determination', which determines whether or not a change introduces SATD. Identifying SATD at the change-level can help to manage and control TD by understanding the TD context through tracing the introducing changes. To build a change-level SATD Determination model, we first identify TD from source code comments in source code files of all versions. Second, we label the changes that first introduce the SATD comments as TD-introducing changes. Third, we build the determination model by extracting 25 features from software changes that are divided into three dimensions, namely diffusion, history and message, respectively. To evaluate the effectiveness of our proposed model, we perform an empirical study on 7 open source projects containing a total of 100,011 software changes. The experimental results show that our model achieves a promising and better performance than four baselines in terms of AUC and cost-effectiveness (i.e., percentage of TD-introducing changes identified when inspecting 20 percent of changed LOC). On average across the 7 experimental projects, our model achieves AUC of 0.82, cost-effectiveness of 0.80, which is a significant improvement over the comparison baselines used. In addition, we found that 'Diffusion' is the most discriminative dimension among the three dimensions of features for determining TD-introducing changes. © 1976-2012 IEEE.</t>
  </si>
  <si>
    <t>Cited by: 35; All Open Access, Green Open Access</t>
  </si>
  <si>
    <t>Jebnoun H,Braiek HB,Rahman MM,Khomh F</t>
  </si>
  <si>
    <t>The Scent of Deep Learning Code: An Empirical Study</t>
  </si>
  <si>
    <t>420 – 430</t>
  </si>
  <si>
    <t>https://www.scopus.com/inward/record.uri?eid=2-s2.0-85093683910&amp;doi=10.1145%2f3379597.3387479&amp;partnerID=40&amp;md5=ecc5dad25efffa1c2608f7fc4d7b1a71;http://dx.doi.org/10.1145/3379597.3387479</t>
  </si>
  <si>
    <t>10.1145/3379597.3387479</t>
  </si>
  <si>
    <t>Deep learning practitioners are often interested in improving their model accuracy rather than the interpretability of their models. As a result, deep learning applications are inherently complex in their structures. They also need to continuously evolve in terms of code changes and model updates. Given these confounding factors, there is a great chance of violating the recommended programming practices by the developers in their deep learning applications. In particular, the code quality might be negatively affected due to their drive for the higher model performance. Unfortunately, the code quality of deep learning applications has rarely been studied to date. In this paper, we conduct an empirical study to investigate the distribution of code smells in deep learning applications. To this end, we perform a comparative analysis between deep learning and traditional open-source applications collected from GitHub. We have several major findings. First, long lambda expression, long ternary conditional expression, and complex container comprehension smells are frequently found in deep learning projects. That is, deep learning code involves more complex or longer expressions than the traditional code does. Second, the number of code smells increases across the releases of deep learning applications. Third, we found that there is a co-existence between code smells and software bugs in the studied deep learning code, which confirms our conjecture on the degraded code quality of deep learning applications. © 2020 ACM.</t>
  </si>
  <si>
    <t>Piotrowski P,Madeyski L</t>
  </si>
  <si>
    <t>Software defect prediction using bad code smells: A systematic literature review</t>
  </si>
  <si>
    <t>Lecture Notes on Data Engineering and Communications Technologies</t>
  </si>
  <si>
    <t>77 – 99</t>
  </si>
  <si>
    <t>2367-4512</t>
  </si>
  <si>
    <t>https://www.scopus.com/inward/record.uri?eid=2-s2.0-85083433363&amp;doi=10.1007%2f978-3-030-34706-2_5&amp;partnerID=40&amp;md5=6b701d5f3a3678ba7e1b1751e7e676fc;http://dx.doi.org/10.1007/978-3-030-34706-2_5</t>
  </si>
  <si>
    <t>10.1007/978-3-030-34706-2_5</t>
  </si>
  <si>
    <t>The challenge of effective refactoring in the software development cycle brought forward the need to develop automated defect prediction models. Among many existing indicators of bad code, code smells have attracted particular interest of both the research community and practitioners in recent years. In this paper, we describe the current state-of-the-art in the field of bug prediction with the use of code smells and attempt to identify areas requiring further research. To achieve this goal, we conducted a systematic literature review of 27 research papers published between 2006 and 2019. For each paper, we (i) analysed the reported relationship between smelliness and bugginess, as well as (ii) evaluated the performance of code smell data used as a defect predictor in models developed using machine learning techniques. Our investigation confirms that code smells are both positively correlated with software defects and can positively influence the performance of fault detection models. However, not all types of smells and smell-related metrics are equally useful. God Class, God Method, Message Chains smells and Smell intensity metric stand out as particularly effective. Smells such as Inappropriate Intimacy, Variable Re-assign, Clones, Middle Man or Speculative Generality require further research to confirm their contribution. Metrics describing the introduction and evolution of anti-patterns in code present a promising opportunity for experimentation. © Springer Nature Switzerland AG 2020.</t>
  </si>
  <si>
    <t>Sierra G,Tahmid A,Shihab E,Tsantalis N</t>
  </si>
  <si>
    <t>Is Self-Admitted Technical Debt a Good Indicator of Architectural Divergences?</t>
  </si>
  <si>
    <t>534 – 543</t>
  </si>
  <si>
    <t>https://www.scopus.com/inward/record.uri?eid=2-s2.0-85064167604&amp;doi=10.1109%2fSANER.2019.8667999&amp;partnerID=40&amp;md5=00e712d60a9c3464eac77d48241f7b48;http://dx.doi.org/10.1109/SANER.2019.8667999</t>
  </si>
  <si>
    <t>10.1109/SANER.2019.8667999</t>
  </si>
  <si>
    <t>Large software systems tend to be highly complex and often contain unaddressed issues that evolve from bad design practices or architectural implementations that drift from definition. These design flaws can originate from quick fixes, hacks or shortcuts to a solution, hence they can be seen as Technical Debt. Recently, new work has focused on studying source code comments that indicate Technical Debt, i.e., Self-Admitted Technical Debt (SATD). However, it is not known if addressing information left by developers in the form source code comments can give insight about the design flaws in a system and have the potential to provide fixes for bad architectural implementations. This paper investigates the possibility of using SATD comments to resolve architectural divergences. We leverage a data set of previously classified SATD comments to trace them to the architectural divergences of a large open source system, namely ArgoUML. We extract its conceptual and concrete architectures based on available design documentation and source code, and contrast both to expose divergences, trace them to SATD comments, and investigate their resolution. We found 7 high-level divergences in ArgoUML and 22 others among its subsystems, observing that merely 4 out of 29 (14%) divergences can be directly traced to SATD. Although using SATD as an indicator of architectural divergences is viable, the effort of doing so is time-intensive, and in general, will not lend to a significant reduction of architectural flaws in a software system. © 2019 IEEE.</t>
  </si>
  <si>
    <t>Kumar L,Jain M</t>
  </si>
  <si>
    <t>Categorization of Dissertation using Machine Learning Techniques</t>
  </si>
  <si>
    <t>https://www.scopus.com/inward/record.uri?eid=2-s2.0-85095611801&amp;doi=10.1109%2fICONC345789.2020.9117485&amp;partnerID=40&amp;md5=02ee1e9e849c70a11bf100bfca39e590;http://dx.doi.org/10.1109/ICONC345789.2020.9117485</t>
  </si>
  <si>
    <t>10.1109/ICONC345789.2020.9117485</t>
  </si>
  <si>
    <t>Machine learning techniques are widely used to take intelligent decisions in industrial and educational domains. In the educational domain, when a research scholar submits a dissertation, then it has to be indexed and classified. The number of dissertations that are submitted in an educational institute is usually high and if done manually, it becomes difficult to index and classify correctly. This study applies machine learning techniques to automate the indexing and categorization of dissertations. We have focused on dissertations from the Engineering, Medical, Social Science, and General Science fields. We used the Bag of Words (BoW) method to extract features and K-means, Density-based spatial clustering of applications with noise (DBSCAN) and Expectation-Maximisation (EM) to train our model. Our experimental results reveal that the proposed K- means technique for indexing and categorization leads to higher accuracy and significant reduction in negative predictions as compared to DBSCAN and Expectation-Maximisation (EM). © 2020 IEEE.</t>
  </si>
  <si>
    <t>Falessi D,Roll J,Guo JL,Cleland-Huang J</t>
  </si>
  <si>
    <t>Leveraging historical associations between requirements and source code to identify impacted classes</t>
  </si>
  <si>
    <t>420 – 441</t>
  </si>
  <si>
    <t>https://www.scopus.com/inward/record.uri?eid=2-s2.0-85050982730&amp;doi=10.1109%2fTSE.2018.2861735&amp;partnerID=40&amp;md5=2b87da1a7ab6367353d6b97d8b67b4ba;http://dx.doi.org/10.1109/TSE.2018.2861735</t>
  </si>
  <si>
    <t>10.1109/TSE.2018.2861735</t>
  </si>
  <si>
    <t>As new requirements are introduced and implemented in a software system, developers must identify the set of source code classes which need to be changed. Therefore, past effort has focused on predicting the set of classes impacted by a requirement. In this paper, we introduce and evaluate a new type of information based on the intuition that the set of requirements which are associated with historical changes to a specific class are likely to exhibit semantic similarity to new requirements which impact that class. This new Requirements to Requirements Set (R2RS) family of metrics captures the semantic similarity between a new requirement and the set of existing requirements previously associated with a class. The aim of this paper is to present and evaluate the usefulness of R2RS metrics in predicting the set of classes impacted by a requirement. We consider 18 different R2RS metrics by combining six natural language processing techniques to measure the semantic similarity among texts (e.g., VSM) and three distribution scores to compute overall similarity (e.g., average among similarity scores). We evaluate if R2RS is useful for predicting impacted classes in combination and against four other families of metrics that are based upon temporal locality of changes, direct similarity to code, complexity metrics, and code smells. Our evaluation features five classifiers and 78 releases belonging to four large open-source projects, which result in over 700,000 candidate impacted classes. Experimental results show that leveraging R2RS information increases the accuracy of predicting impacted classes practically by an average of more than 60 percent across the various classifiers and projects. © 1976-2012 IEEE.</t>
  </si>
  <si>
    <t>Belle AB,Lethbridge TC,Kpodjedo S,Adesina OO,Garzon MA</t>
  </si>
  <si>
    <t>A novel approach to measure confidence and uncertainty in assurance cases</t>
  </si>
  <si>
    <t>24 – 33</t>
  </si>
  <si>
    <t>https://www.scopus.com/inward/record.uri?eid=2-s2.0-85078009996&amp;doi=10.1109%2fREW.2019.00011&amp;partnerID=40&amp;md5=3d9d8ae9758cb2ce8d3fb6bf3347ffc9;http://dx.doi.org/10.1109/REW.2019.00011</t>
  </si>
  <si>
    <t>10.1109/REW.2019.00011</t>
  </si>
  <si>
    <t>Assurance cases are a well-established structured technique used to document a reasoned, auditable argument supporting that a system meets desirable properties (e.g., safety or security). Assurance cases are increasingly becoming popular, and are being used to make safety and cyber-security arguments about medical, automotive and aviation systems. Current methods usually assess confidence in assurance cases, but only with evidence available at design-time. However, real-world situations demand considerations of evidence that are also available at run-time. In this paper, we introduce a novel confidence measure called INCIDENCE (weIghted assuraNCe confIDENCE). The measure considers evidence available both at design and run times, and is suitable for the assessment of assurance cases represented using Goal Structuring Notation (GSN) - being a popular notation for representing assurance cases. We rely on the confidence measure to derive an uncertainty measure that can be used to measure technical debt (requirement debt) for software systems. We illustrate our work through an example focusing on feature identification. © 2019 IEEE.</t>
  </si>
  <si>
    <t>Mahadi A,Tongay K,Ernst NA</t>
  </si>
  <si>
    <t>Cross-Dataset Design Discussion Mining</t>
  </si>
  <si>
    <t>149 – 160</t>
  </si>
  <si>
    <t>https://www.scopus.com/inward/record.uri?eid=2-s2.0-85083555688&amp;doi=10.1109%2fSANER48275.2020.9054792&amp;partnerID=40&amp;md5=9dbc463d70f0901b3072e404686ff20e;http://dx.doi.org/10.1109/SANER48275.2020.9054792</t>
  </si>
  <si>
    <t>10.1109/SANER48275.2020.9054792</t>
  </si>
  <si>
    <t>Being able to identify software discussions that are primarily about design - which we call design mining - can improve documentation and maintenance of software systems. Existing design mining approaches have good classification performance using natural language processing (NLP) techniques, but the conclusion stability of these approaches is generally poor. A classifier trained on a given dataset of software projects has so far not worked well on different artifacts or different datasets. In this study, we replicate and synthesize these earlier results in a meta - analysis. We then apply recent work in transfer learning for NLP to the problem of design mining. However, for our datasets, these deep transfer learning classifiers perform no better than less complex classifiers. We conclude by discussing some reasons behind the transfer learning approach to design mining. © 2020 IEEE.</t>
  </si>
  <si>
    <t>Sriiesaranusorn P,Wattanakriengkrai S,Son T,Tanaka T,Wiraatmaja C,Ishio T,Kula RG</t>
  </si>
  <si>
    <t>Kode_Stylers: Author identification through naturalness of code: An ensemble approach</t>
  </si>
  <si>
    <t>738 – 745</t>
  </si>
  <si>
    <t>https://www.scopus.com/inward/record.uri?eid=2-s2.0-85102945976&amp;partnerID=40&amp;md5=b644e0188e4b966d56705452c75dc58a</t>
  </si>
  <si>
    <t>Authorship identification plays an important role in detecting undesirable deception of others’ content misuse or exposing the owners of some anonymous hurtful content. The Authorship Identification of SOurce COde (AI-SOCO) competition was held to investigate this task. Our team, namely Kode_Stylers, participated in the competition and used the naturalness of code as the key to our solution. In this working note, we (i) present methods to obtain features such as tokenization, N-gram TF-IDF, warning messages, and coding styles, (ii) implement our framework using Random Forest and Transformer to classify authors through our features, and (iii) apply an ensemble approach to increase the performance of our solutions. The results suggest that the authorship can be identified through the features extracted from source code and selected classifiers with up to an accuracy of 0.82, while the ensemble model outperforms any single model. © 2020 Copyright for this paper by its authors. Use permitted under Creative Commons License Attribution 4.0 International (CC BY 4.0).</t>
  </si>
  <si>
    <t>BiDaML: A Suite of Visual Languages for Supporting End-User Data Analytics</t>
  </si>
  <si>
    <t>93 – 97</t>
  </si>
  <si>
    <t>https://www.scopus.com/inward/record.uri?eid=2-s2.0-85072781929&amp;doi=10.1109%2fBigDataCongress.2019.00025&amp;partnerID=40&amp;md5=d55f5a5347b43aa35291b1b926b0f294;http://dx.doi.org/10.1109/BigDataCongress.2019.00025</t>
  </si>
  <si>
    <t>10.1109/BigDataCongress.2019.00025</t>
  </si>
  <si>
    <t>We introduce Big Data Analytics Modeling Languages (BiDaML), a novel integrated suite of visual languages aimed at supporting end users during the process of designing big data analytics solutions. BiDaML comprises five diagrammatic notations: A data analytics brainstorming diagram; a process diagram; technique diagrams; data diagrams; and output diagrams. Tool support in the form of an integrated design environment for creating BiDaML diagrams has also been developed. To demonstrate the utility of BiDaML, we illustrate our approach with a real-world example of property price prediction and evaluate BiDaML using the physics of notations and cognitive walkthroughs with target end users-data scientists and software engineers. © 2019 IEEE.</t>
  </si>
  <si>
    <t>All versus one: An empirical comparison on retrained and incremental machine learning for modeling performance of adaptable software</t>
  </si>
  <si>
    <t>157 – 168</t>
  </si>
  <si>
    <t>2157-2305</t>
  </si>
  <si>
    <t>https://www.scopus.com/inward/record.uri?eid=2-s2.0-85071087966&amp;doi=10.1109%2fSEAMS.2019.00029&amp;partnerID=40&amp;md5=8e6b24a1794c18335509f5180553c690;http://dx.doi.org/10.1109/SEAMS.2019.00029</t>
  </si>
  <si>
    <t>10.1109/SEAMS.2019.00029</t>
  </si>
  <si>
    <t>Given the ever-increasing complexity of adaptable software systems and their commonly hidden internal information (e.g., software runs in the public cloud), machine learning based performance modeling has gained momentum for evaluating, understanding and predicting software performance, which facilitates better informed self-adaptations. As performance data accumulates during the run of the software, updating the performance models becomes necessary. To this end, there are two conventional modeling methods: the retrained modeling that always discard the old model and retrain a new one using all available data; or the incremental modeling that retains the existing model and tunes it using one newly arrival data sample. Generally, literature on machine learning based performance modeling for adaptable software chooses either of those methods according to a general belief, but they provide insufficient evidences or references to justify their choice. This paper is the first to report on a comprehensive empirical study that examines both modeling methods under distinct domains of adaptable software, 5 performance indicators, 8 learning algorithms and settings, covering a total of 1,360 different conditions. Our findings challenge the general belief, which is shown to be only partially correct, and reveal some of the important, statistically significant factors that are often overlooked in existing work, providing evidence-based insights on the choice. © 2019 IEEE.</t>
  </si>
  <si>
    <t>Towards better technical debt detection with NLP and machine learning methods</t>
  </si>
  <si>
    <t>https://www.scopus.com/inward/record.uri?eid=2-s2.0-85094116307&amp;doi=10.1145%2f3377812.3381404&amp;partnerID=40&amp;md5=53d6bfa6cbc64787b225d893f8098270;http://dx.doi.org/10.1145/3377812.3381404</t>
  </si>
  <si>
    <t>Technical debt (TD) is an economical term used to depict nonoptimal choices made in the software development process. It occursusually when developers take shortcuts instead of following agreedupon development practices, and unchecked growth of technicaldebt can start to incur negative effects for software developmentprocesses.Technical debt detection and management is mainly done manually, and this is both slow and costly way of detecting technical debt.Automatic detection would solve this issue, but even state-of-the-arttools of today do not accurately detect the appearance of technicaldebt. Therefore, increasing the accuracy of automatic classificationis of high importance, so that we could eliminate significant portionfrom the costs relating to technical debt detection.This research aims to solve the problem in detection accuracyby bringing in together static code analysis and natural languageprocessing. This combination of techniques will allow more accurate detection of technical debt, when compared to them beingused separately from each other. Research also aims to discoverthemes and topics from written developer messages that can belinked to technical debt. These can help us to understand technicaldebt from developers' viewpoint. Finally, we will build an opensource tool/plugin that can be used to accurately detect technicaldebt using both static analysis and natural language processingmethods. © 2020 Copyright held by the owner/author(s).</t>
  </si>
  <si>
    <t>Nefdt RM</t>
  </si>
  <si>
    <t>A Puzzle concerning Compositionality in Machines</t>
  </si>
  <si>
    <t>Minds and Machines</t>
  </si>
  <si>
    <t>47 – 75</t>
  </si>
  <si>
    <t>0924-6495</t>
  </si>
  <si>
    <t>https://www.scopus.com/inward/record.uri?eid=2-s2.0-85079738831&amp;doi=10.1007%2fs11023-020-09519-6&amp;partnerID=40&amp;md5=63f43e272d732d100e4a5d83ec52f810;http://dx.doi.org/10.1007/s11023-020-09519-6</t>
  </si>
  <si>
    <t>10.1007/s11023-020-09519-6</t>
  </si>
  <si>
    <t>This paper attempts to describe and address a specific puzzle related to compositionality in artificial networks such as Deep Neural Networks and machine learning in general. The puzzle identified here touches on a larger debate in Artificial Intelligence related to epistemic opacity but specifically focuses on computational applications of human level linguistic abilities or properties and a special difficulty with relation to these. Thus, the resulting issue is both general and unique. A partial solution is suggested. © 2020, Springer Nature B.V.</t>
  </si>
  <si>
    <t>Catolino G,Palomba F,Fontana FA,De Lucia A,Zaidman A,Ferrucci F</t>
  </si>
  <si>
    <t>Improving change prediction models with code smell-related information</t>
  </si>
  <si>
    <t>49 – 95</t>
  </si>
  <si>
    <t>https://www.scopus.com/inward/record.uri?eid=2-s2.0-85070076631&amp;doi=10.1007%2fs10664-019-09739-0&amp;partnerID=40&amp;md5=7d5a5da57ef7db65063b149302c323d2;http://dx.doi.org/10.1007/s10664-019-09739-0</t>
  </si>
  <si>
    <t>10.1007/s10664-019-09739-0</t>
  </si>
  <si>
    <t>Code smells are sub-optimal implementation choices applied by developers that have the effect of negatively impacting, among others, the change-proneness of the affected classes. Based on this consideration, in this paper we conjecture that code smell-related information can be effectively exploited to improve the performance of change prediction models, i.e., models having the goal of indicating which classes are more likely to change in the future. We exploit the so-called intensity index—a previously defined metric that captures the severity of a code smell—and evaluate its contribution when added as additional feature in the context of three state of the art change prediction models based on product, process, and developer-based features. We also compare the performance achieved by the proposed model with a model based on previously defined antipattern metrics, a set of indicators computed considering the history of code smells in files. Our results report that (i) the prediction performance of the intensity-including models is statistically better than the baselines and, (ii) the intensity is a better predictor than antipattern metrics. We observed some orthogonality between the set of change-prone and non-change-prone classes correctly classified by the models relying on intensity and antipattern metrics: for this reason, we also devise and evaluate a smell-aware combined change prediction model including product, process, developer-based, and smell-related features. We show that the F-Measure of this model is notably higher than other models. © 2019, Springer Science+Business Media, LLC, part of Springer Nature.</t>
  </si>
  <si>
    <t>Cruz D,Santana A,Figueiredo E</t>
  </si>
  <si>
    <t>Detecting bad smells with machine learning algorithms: An empirical study</t>
  </si>
  <si>
    <t>31 – 40</t>
  </si>
  <si>
    <t>https://www.scopus.com/inward/record.uri?eid=2-s2.0-85093119961&amp;doi=10.1145%2f3387906.3388618&amp;partnerID=40&amp;md5=7504ccfec1b9932ac98031ae9df71572;http://dx.doi.org/10.1145/3387906.3388618</t>
  </si>
  <si>
    <t>10.1145/3387906.3388618</t>
  </si>
  <si>
    <t>Bad smells are symptoms of bad design choices implemented on the source code. They are one of the key indicators of technical debts, specifically, design debt. To manage this kind of debt, it is important to be aware of bad smells and refactor them whenever possible. Therefore, several bad smell detection tools and techniques have been proposed over the years. These tools and techniques present different strategies to perform detections. More recently, machine learning algorithms have also been proposed to support bad smell detection. However, we lack empirical evidence on the accuracy and efficiency of these machine learning based techniques. In this paper, we present an evaluation of seven different machine learning algorithms on the task of detecting four types of bad smells. We also provide an analysis of the impact of software metrics for bad smell detection using a unified approach for interpreting the models' decisions. We found that with the right optimization, machine learning algorithms can achieve good performance (F1 score) for two bad smells: God Class (0.86) and Refused Parent Bequest (0.67). We also uncovered which metrics play fundamental roles for detecting each bad smell. © 2020 ACM.</t>
  </si>
  <si>
    <t>To adapt or not to adapt: A quantification technique for measuring an expected degree of self-adaptation</t>
  </si>
  <si>
    <t>https://www.scopus.com/inward/record.uri?eid=2-s2.0-85082479839&amp;doi=10.3390%2fcomputers9010021&amp;partnerID=40&amp;md5=227fb89c60751629b4e1d6676535bd0f;http://dx.doi.org/10.3390/computers9010021</t>
  </si>
  <si>
    <t>10.3390/computers9010021</t>
  </si>
  <si>
    <t>Self-adaptation and self-organization (SASO) have been introduced to the management of technical systems as an attempt to improve robustness and administrability. In particular, both mechanisms adapt the system’s structure and behavior in response to dynamics of the environment and internal or external disturbances. By now, adaptivity has been considered to be fully desirable. This position paper argues that too much adaptation conflicts with goals such as stability and user acceptance. Consequently, a kind of situation-dependent degree of adaptation is desired, which defines the amount and severity of tolerated adaptations in certain situations. As a first step into this direction, this position paper presents a quantification approach for measuring the current adaptation behavior based on generative, probabilistic models. The behavior of this method is analyzed in terms of three application scenarios: urban traffic control, the swidden farming model, and data communication protocols. Furthermore, we define a research roadmap in terms of six challenges for an overall measurement framework for SASO systems. © 2020 by the authors. Licensee MDPI, Basel, Switzerland.</t>
  </si>
  <si>
    <t>Cited by: 13; All Open Access, Gold Open Access, Green Open Access</t>
  </si>
  <si>
    <t>Yan M,Xia X,Lo D,Hassan AE,Li S</t>
  </si>
  <si>
    <t>Characterizing and identifying reverted commits</t>
  </si>
  <si>
    <t>2171 – 2208</t>
  </si>
  <si>
    <t>Springer New York LLC</t>
  </si>
  <si>
    <t>https://www.scopus.com/inward/record.uri?eid=2-s2.0-85062728420&amp;doi=10.1007%2fs10664-019-09688-8&amp;partnerID=40&amp;md5=cef3bfaa22528f155edd9d07f11a437d;http://dx.doi.org/10.1007/s10664-019-09688-8</t>
  </si>
  <si>
    <t>10.1007/s10664-019-09688-8</t>
  </si>
  <si>
    <t>In practice, a popular and coarse-grained approach for recovering from a problematic commit is to revert it (i.e., undoing the change). However, reverted commits could induce some issues for software development, such as impeding the development progress and increasing the difficulty for maintenance. In order to mitigate these issues, we set out to explore the following central question: can we characterize and identify which commits will be reverted? In this paper, we characterize commits using 27 commit features and build an identification model to identify commits that will be reverted. We first identify reverted commits by analyzing commit messages and comparing the changed content, and extract 27 commit features that can be divided into three dimensions, namely change, developer and message, respectively. Then, we build an identification model (e.g., random forest) based on the extracted features. To evaluate the effectiveness of our proposed model, we perform an empirical study on ten open source projects including a total of 125,241 commits. Our experimental results show that our model outperforms two baselines in terms of AUC-ROC and cost-effectiveness (i.e., percentage of detected reverted commits when inspecting 20% of total changed LOC). In terms of the average performance across the ten studied projects, our model achieves an AUC-ROC of 0.756 and a cost-effectiveness of 0.746, significantly improving the baselines by substantial margins. In addition, we found that “developer” is the most discriminative dimension among the three dimensions of features for the identification of reverted commits. However, using all the three dimensions of commit features leads to better performance. © 2019, Springer Science+Business Media, LLC, part of Springer Nature.</t>
  </si>
  <si>
    <t>Cited by: 18; All Open Access, Green Open Access</t>
  </si>
  <si>
    <t>Sierra G,Shihab E,Kamei Y</t>
  </si>
  <si>
    <t>A survey of self-admitted technical debt</t>
  </si>
  <si>
    <t>70 – 82</t>
  </si>
  <si>
    <t>https://www.scopus.com/inward/record.uri?eid=2-s2.0-85062242630&amp;doi=10.1016%2fj.jss.2019.02.056&amp;partnerID=40&amp;md5=1ca0e6aa1b30f6f08732682d2002d46e;http://dx.doi.org/10.1016/j.jss.2019.02.056</t>
  </si>
  <si>
    <t>10.1016/j.jss.2019.02.056</t>
  </si>
  <si>
    <t>Technical Debt is a metaphor used to express sub-optimal source code implementations that are introduced for short-term benefits that often need to be paid back later, at an increased cost. In recent years, various empirical studies have focused on investigating source code comments that indicate Technical Debt often referred to as Self-Admitted Technical Debt (SATD). Since the introduction of SATD as a concept, an increasing number of studies have examined various aspects pertaining to SATD. Therefore, in this paper we survey research work on SATD, analyzing the characteristics of current approaches and techniques for SATD detection, comprehension, and repayment. To motivate the submission of novel and improved work, we compile tools, resources, and data sets made available to replicate or extend current SATD research. To set the stage for future work, we identify open challenges in the study of SATD, areas that are missing investigation, and discuss potential future research avenues. © 2019 Elsevier Inc.</t>
  </si>
  <si>
    <t>Cited by: 34</t>
  </si>
  <si>
    <t>Arcelli Fontana F,Lenarduzzi V,Roveda R,Taibi D</t>
  </si>
  <si>
    <t>Are architectural smells independent from code smells? An empirical study</t>
  </si>
  <si>
    <t>139 – 156</t>
  </si>
  <si>
    <t>https://www.scopus.com/inward/record.uri?eid=2-s2.0-85064869442&amp;doi=10.1016%2fj.jss.2019.04.066&amp;partnerID=40&amp;md5=8334052a5794276a00b59c0c89ab5a37;http://dx.doi.org/10.1016/j.jss.2019.04.066</t>
  </si>
  <si>
    <t>10.1016/j.jss.2019.04.066</t>
  </si>
  <si>
    <t>Background. Architectural smells and code smells are symptoms of bad code or design that can cause different quality problems, such as faults, technical debt, or difficulties with maintenance and evolution. Some studies show that code smells and architectural smells often appear together in the same file. The correlation between code smells and architectural smells, however, is not clear yet; some studies on a limited set of projects have claimed that architectural smells can be derived from code smells, while other studies claim the opposite. Objective. The goal of this work is to understand whether architectural smells are independent from code smells or can be derived from a code smell or from one category of them. Method. We conducted a case study analyzing the correlations among 19 code smells, six categories of code smells, and four architectural smells. Results. The results show that architectural smells are correlated with code smells only in a very low number of occurrences and therefore cannot be derived from code smells. Conclusion. Architectural smells are independent from code smells, and therefore deserve special attention by researchers, who should investigate their actual harmfulness, and practitioners, who should consider whether and when to remove them. © 2019 Elsevier Inc.</t>
  </si>
  <si>
    <t>Cited by: 23; All Open Access, Green Open Access</t>
  </si>
  <si>
    <t>Malhotra R,Khanna M</t>
  </si>
  <si>
    <t>Software change prediction: A systematic review and future guidelines</t>
  </si>
  <si>
    <t>E-Informatica Software Engineering Journal</t>
  </si>
  <si>
    <t>227 – 259</t>
  </si>
  <si>
    <t>Wroclaw University of Science and Technology</t>
  </si>
  <si>
    <t>1897-7979</t>
  </si>
  <si>
    <t>https://www.scopus.com/inward/record.uri?eid=2-s2.0-85075447665&amp;doi=10.5277%2fe-Inf190107&amp;partnerID=40&amp;md5=6f92522a5c9f35833238ed1909fae61f;http://dx.doi.org/10.5277/e-Inf190107</t>
  </si>
  <si>
    <t>10.5277/e-Inf190107</t>
  </si>
  <si>
    <t>Background: The importance of Software Change Prediction (SCP) has been emphasized by several studies. Numerous prediction models in literature claim to effectively predict change-prone classes in software products. These models help software managers in optimizing resource usage and in developing good quality, easily maintainable products. Aim: There is an urgent need to compare and assess these numerous SCP models in order to evaluate their effectiveness. Moreover, one also needs to assess the advancements and pitfalls in the domain of SCP to guide researchers and practitioners. Method: In order to fulfill the above stated aims, we conduct an extensive literature review of 38 primary SCP studies from January 2000 to June 2019. Results: The review analyzes the different set of predictors, experimental settings, data analysis techniques, statistical tests and the threats involved in the studies, which develop SCP models. Conclusion: Besides, the review also provides future guidelines to researchers in the SCP domain, some of which include exploring methods for dealing with imbalanced training data, evaluation of search-based algorithms and ensemble of algorithms for SCP amongst others. © 2019 Wroclaw University of Science and Technology. All rights reserved.</t>
  </si>
  <si>
    <t>Nashaat M,Ghosh A,Miller J,Quader S,Marston C</t>
  </si>
  <si>
    <t>M-Lean: An end-to-end development framework for predictive models in B2B scenarios</t>
  </si>
  <si>
    <t>131 – 145</t>
  </si>
  <si>
    <t>https://www.scopus.com/inward/record.uri?eid=2-s2.0-85066256743&amp;doi=10.1016%2fj.infsof.2019.05.009&amp;partnerID=40&amp;md5=a1ed98175a61323ea9e37c48e98e3b5d;http://dx.doi.org/10.1016/j.infsof.2019.05.009</t>
  </si>
  <si>
    <t>10.1016/j.infsof.2019.05.009</t>
  </si>
  <si>
    <t>Context: The need for business intelligence has led to advances in machine learning in the business domain, especially with the rise of big data analytics. However, the resulting predictive systems often fail to maintain a satisfactory level of performance in production. Besides, for predictive systems used in business-to-business scenarios, user trust is subject to the model performance. Therefore, the processes of creating, evaluating, and deploying machine learning systems in the business domain need innovative solutions to solve the critical challenges of assuring the quality of the resulting systems. Objective: Applying machine learning in business-to-business situations imposes specific requirements. This paper aims at providing an integrated solution to businesses to help them transform their data into actions. Method: The paper presents MLean, an end-to-end framework, that aims at guiding businesses in designing, developing, evaluating, and deploying business-to-business predictive systems. The framework employs the Lean Startup methodology and aims at maximizing the business value while eliminating wasteful development practices. Results: To evaluate the proposed framework, with the help of our industrial partner, we applied the framework to a case study to build a predictive product. The case study resulted in a predictive system to predict the risks of software license cancellations. The system was iteratively developed and evaluated while adopting the management and end-user perspectives. Conclusion: It is concluded that, in industry, it is important to be aware of the businesses requirements before considering the application of machine learning. The framework accommodates business perspective from the beginning to produce a holistic product. From the results of the case study, we think that this framework can help businesses define the right opportunities for applying machine learning, developing solutions, evaluating the effectiveness of these solutions, and maintaining their performance in production. © 2019</t>
  </si>
  <si>
    <t>Mohan M,Greer D</t>
  </si>
  <si>
    <t>Using a many-objective approach to investigate automated refactoring</t>
  </si>
  <si>
    <t>83 – 101</t>
  </si>
  <si>
    <t>https://www.scopus.com/inward/record.uri?eid=2-s2.0-85064835658&amp;doi=10.1016%2fj.infsof.2019.04.009&amp;partnerID=40&amp;md5=708a9904e9560028415d0c6eb446b77d;http://dx.doi.org/10.1016/j.infsof.2019.04.009</t>
  </si>
  <si>
    <t>10.1016/j.infsof.2019.04.009</t>
  </si>
  <si>
    <t>Context: Software maintenance is expensive and so anything that can be done to reduce its cost is potentially of huge benefit. However, it is recognised that some maintenance, especially refactoring, can be automated. Given the number of possible refactorings and combinations of refactorings, a search-based approach may provide the means to optimise refactorings. Objective: This paper describes the investigation of a many-objective genetic algorithm used to automate software refactoring, implemented as a Java tool, MultiRefactor. Method: The approach and tool is evaluated using a set of open source Java programs. The tool contains four separate measures of software looking at the software quality as well as measures of code priority, refactoring coverage and element recentness. The many-objective algorithm combines the four objectives to improve the software in a holistic manner. An experiment has been constructed to compare the many-objective approach against a mono-objective approach that only uses a single objective to measure software quality. Different permutations of the objectives are also tested and compared to see how well the different objectives can work together in a multi-objective refactoring approach. The eight approaches are tested on six different open source Java programs. Results: The many-objective approach is found to give better objective scores on average than the mono-objective approach and in less time. However, the priority and element recentness objectives are both found to be less successful in multi/many-objective setups when they are used together. Conclusion: A many-objective approach is suitable and effective for optimising automated refactoring to improve quality. Including other objectives does not unduly degrade the quality improvements, but is less effective for those objectives than if they were used in a mono-objective approach. © 2019 Elsevier B.V.</t>
  </si>
  <si>
    <t>Toward proactive refactoring: An exploratory study on decaying modules</t>
  </si>
  <si>
    <t>39 – 46</t>
  </si>
  <si>
    <t>https://www.scopus.com/inward/record.uri?eid=2-s2.0-85073435706&amp;doi=10.1109%2fIWoR.2019.00015&amp;partnerID=40&amp;md5=e10e2a5c9022551b1016cdc78d9b9a95;http://dx.doi.org/10.1109/IWoR.2019.00015</t>
  </si>
  <si>
    <t>10.1109/IWoR.2019.00015</t>
  </si>
  <si>
    <t>Source code quality is often measured using code smell, which is an indicator of design flaw or problem in the source code. Code smells can be detected using tools such as static analyzer that detects code smells based on source code metrics. Further, developers perform refactoring activities based on the result of such detection tools to improve source code quality. However, such approach can be considered as reactive refactoring, i.e., developers react to code smells after they occur. This means that developers first suffer the effects of low quality source code (e.g., low readability and understandability) before they start solving code smells. In this study, we focus on proactive refactoring, i.e., refactoring source code before it becomes smelly. This approach would allow developers to maintain source code quality without having to suffer the impact of code smells. To support the proactive refactoring process, we propose a technique to detect decaying modules, which are non-smelly modules that are about to become smelly. We present empirical studies on open source projects with the aim of studying the characteristics of decaying modules. Additionally, to facilitate developers in the refactoring planning process, we perform a study on using a machine learning technique to predict decaying modules and report a factor that contributes most to the performance of the model under consideration. © 2019 IEEE.</t>
  </si>
  <si>
    <t>Emerging Technologies and Emergent Workplaces: Findings from an Ethnographic Study at an Indian IT Organization</t>
  </si>
  <si>
    <t>54 – 66</t>
  </si>
  <si>
    <t>https://www.scopus.com/inward/record.uri?eid=2-s2.0-85098132133&amp;doi=10.1007%2f978-3-030-64849-7_6&amp;partnerID=40&amp;md5=27e0ce68de85f1fe0e5b77c572cc69df;http://dx.doi.org/10.1007/978-3-030-64849-7_6</t>
  </si>
  <si>
    <t>10.1007/978-3-030-64849-7_6</t>
  </si>
  <si>
    <t>Over the past four decades, Indian Information Technology (IT) industry has been delivering traditional software and BPM (Business Process Management) services to its clients across the globe. Providing cost-optimized, yet high-quality services following standard process methodologies has made it an attractive destination to clients across industry verticals. Today, the challenge before this industry is to provide emerging technology solutions to clients in their digital transformation drive. Situated at this pivotal juncture in its journey, the ‘work from home’ (WFH) norm during to the recent COVID-19 pandemic posits challenges of a new kind for this sector. We explore these challenges based on our four-month ethnographic study (Jan-May, 2020) in a service-based IT organization situated in Bengaluru, which over the past five years has been developing Artificial Intelligence (AI) based solutions to its clients. © 2020, IFIP International Federation for Information Processing.</t>
  </si>
  <si>
    <t>Rabanser S,Günnemann S,Lipton ZC</t>
  </si>
  <si>
    <t>Failing loudly: An empirical study of methods for detecting dataset shift</t>
  </si>
  <si>
    <t>https://www.scopus.com/inward/record.uri?eid=2-s2.0-85079822741&amp;partnerID=40&amp;md5=11065b562157e9e73ceb897b5b03d5cf</t>
  </si>
  <si>
    <t>We might hope that when faced with unexpected inputs, well-designed software systems would fire off warnings. Machine learning (ML) systems, however, which depend strongly on properties of their inputs (e.g. the i.i.d. assumption), tend to fail silently. This paper explores the problem of building ML systems that fail loudly, investigating methods for detecting dataset shift, identifying exemplars that most typify the shift, and quantifying shift malignancy. We focus on several datasets and various perturbations to both covariates and label distributions with varying magnitudes and fractions of data affected. Interestingly, we show that across the dataset shifts that we explore, a two-sample-testing-based approach, using pre-trained classifiers for dimensionality reduction, performs best. Moreover, we demonstrate that domain-discriminating approaches tend to be helpful for characterizing shifts qualitatively and determining if they are harmful. © 2019 Neural information processing systems foundation. All rights reserved.</t>
  </si>
  <si>
    <t>Cited by: 57</t>
  </si>
  <si>
    <t>Ahmad A,Feng C,Khan M,Khan A,Ullah A,Nazir S,Tahir A</t>
  </si>
  <si>
    <t>A Systematic Literature Review on Using Machine Learning Algorithms for Software Requirements Identification on Stack Overflow</t>
  </si>
  <si>
    <t>Security and Communication Networks</t>
  </si>
  <si>
    <t>1939-0114</t>
  </si>
  <si>
    <t>https://www.scopus.com/inward/record.uri?eid=2-s2.0-85089026459&amp;doi=10.1155%2f2020%2f8830683&amp;partnerID=40&amp;md5=e03293835a3c5c6a7fa7ff50fa182fad;http://dx.doi.org/10.1155/2020/8830683</t>
  </si>
  <si>
    <t>10.1155/2020/8830683</t>
  </si>
  <si>
    <t>Context. The improvements made in the last couple of decades in the requirements engineering (RE) processes and methods have witnessed a rapid rise in effectively using diverse machine learning (ML) techniques to resolve several multifaceted RE issues. One such challenging issue is the effective identification and classification of the software requirements on Stack Overflow (SO) for building quality systems. The appropriateness of ML-based techniques to tackle this issue has revealed quite substantial results, much effective than those produced by the usual available natural language processing (NLP) techniques. Nonetheless, a complete, systematic, and detailed comprehension of these ML based techniques is considerably scarce. Objective. To identify or recognize and classify the kinds of ML algorithms used for software requirements identification primarily on SO. Method. This paper reports a systematic literature review (SLR) collecting empirical evidence published up to May 2020. Results. This SLR study found 2,484 published papers related to RE and SO. The data extraction process of the SLR showed that (1) Latent Dirichlet Allocation (LDA) topic modeling is among the widely used ML algorithm in the selected studies and (2) precision and recall are amongst the most commonly utilized evaluation methods for measuring the performance of these ML algorithms. Conclusion. Our SLR study revealed that while ML algorithms have phenomenal capabilities of identifying the software requirements on SO, they still are confronted with various open problems/issues that will eventually limit their practical applications and performances. Our SLR study calls for the need of close collaboration venture between the RE and ML communities/researchers to handle the open issues confronted in the development of some real world machine learning-based quality systems. © 2020 Arshad Ahmad et al.</t>
  </si>
  <si>
    <t>Cited by: 18; All Open Access, Gold Open Access</t>
  </si>
  <si>
    <t>Sadik J,Wijaya AE,Wibowo A</t>
  </si>
  <si>
    <t>Classification of mathematics question using natural language processing and text mining</t>
  </si>
  <si>
    <t>ICIC Express Letters</t>
  </si>
  <si>
    <t>ICIC International</t>
  </si>
  <si>
    <t>1881-803X</t>
  </si>
  <si>
    <t>https://www.scopus.com/inward/record.uri?eid=2-s2.0-85082448866&amp;doi=10.24507%2ficicel.14.05.423&amp;partnerID=40&amp;md5=9d3a3fc6034424833899d0a5e186adae;http://dx.doi.org/10.24507/icicel.14.05.423</t>
  </si>
  <si>
    <t>10.24507/icicel.14.05.423</t>
  </si>
  <si>
    <t>Mathematics is one of the most difficult subjects in the world. In Indonesia, one of the requirements to graduate from high school is to pass national mathematics examination. Many schools provided question bank to facilitate students in practicing mathematics. Unfortunately, the mathematics problems in question bank are not classified well, since the one who input the mathematics problem is not always a mathematics teacher. Hence, the problems should be labeled manually so administrator is able to know which topic and subtopic that problem had. It made students difficult to find the precise problem of math based on topic or subtopic. This research presents the classification of mathematic problem written with LaTeX based on topic and subtopic by using rule-based natural language processing, modified Term-Frequency - Inverse Document Frequency (TF-IDF) and Naive Bayes as a text mining algorithm. 780 mathematics problems are used in this research consisting of 18 topics and 52 subtopics from senior high school curriculum. The accuracy of this text mining is 91%. With this research question bank will be classified automatically that simplify administrator to input the mathematics problem into database and make it easier to students to find mathematics problem based on topic and subtopic. © 2020 ICIC International. All rights reserved.</t>
  </si>
  <si>
    <t>Gradišnik M,Beranic T,Karakatic S,Mauša G</t>
  </si>
  <si>
    <t>Adapting God Class thresholds for software defect prediction: A case study</t>
  </si>
  <si>
    <t>1537 – 1542</t>
  </si>
  <si>
    <t>https://www.scopus.com/inward/record.uri?eid=2-s2.0-85070263786&amp;doi=10.23919%2fMIPRO.2019.08757009&amp;partnerID=40&amp;md5=d4b7f9ee8e229027939dd158c6a6fdb5;http://dx.doi.org/10.23919/MIPRO.2019.08757009</t>
  </si>
  <si>
    <t>10.23919/MIPRO.2019.08757009</t>
  </si>
  <si>
    <t>In software engineering there is an active research field of defect prediction using software metrics. While the research shows that the prediction of defects using software metrics performs well, prediction using metrics alone lacks clear refactoring capabilities. On the other hand, code smells have the ability to describe the code anomalies precisely, and suggest their refactoring. Therefore, code smells can be a much better starting position for software fault prediction. In this paper, we present the results of preliminary research on the ability to predict software defects with the code smell God Class. The aim of our research was to test the definition of God Class, as defined by Lanza and Marinescu in 2006, in the ability to predict defects in a case study of the open source projects JDT and PDE within the Eclipse framework. The definition of the God Class was adapted using the grid search technique, with the goal of maximizing the fault prediction ability while keeping the base of the original definition. The results show that adaption of the definition in the specific project resulted in improved fault prediction ability. © 42nd International Convention on Information and Communication Technology, Electronics and Microelectronics, MIPRO 2019 - Proceedings. All rights reserved.</t>
  </si>
  <si>
    <t>Gradišnik M,Beranič T,Karakatič S</t>
  </si>
  <si>
    <t>Impact of historical software metric changes in predicting future maintainability trends in open-source software development</t>
  </si>
  <si>
    <t>https://www.scopus.com/inward/record.uri?eid=2-s2.0-85087877670&amp;doi=10.3390%2fapp10134624&amp;partnerID=40&amp;md5=d62cc02ee8ba36134b4fb32172584ec1;http://dx.doi.org/10.3390/app10134624</t>
  </si>
  <si>
    <t>10.3390/app10134624</t>
  </si>
  <si>
    <t>Software maintenance is one of the key stages in the software lifecycle and it includes a variety of activities that consume the significant portion of the costs of a software project. Previous research suggest that future software maintainability can be predicted, based on various source code aspects, but most of the research focuses on the prediction based on the present state of the code and ignores its history. While taking the history into account in software maintainability prediction seems intuitive, the research empirically testing this has not been done, and is the main goal of this paper. This paper empirically evaluates the contribution of historical measurements of the Chidamber &amp; Kemerer (C&amp;K) software metrics to software maintainability prediction models. The main contribution of the paper is the building of the prediction models with classification and regression trees and random forest learners in iterations by adding historical measurement data extracted from previous releases gradually. The maintainability prediction models were built based on software metric measurements obtained from real-world open-source software projects. The analysis of the results show that an additional amount of historical metric measurements contributes to the maintainability prediction. Additionally, the study evaluates the contribution of individual C&amp;K software metrics on the performance of maintainability prediction models. © 2020 by the authors.</t>
  </si>
  <si>
    <t>MLCQ: Industry-Relevant Code Smell Data Set</t>
  </si>
  <si>
    <t>342 – 347</t>
  </si>
  <si>
    <t>https://www.scopus.com/inward/record.uri?eid=2-s2.0-85090854076&amp;doi=10.1145%2f3383219.3383264&amp;partnerID=40&amp;md5=5fbde590102722aa1df44b3e8fb10504;http://dx.doi.org/10.1145/3383219.3383264</t>
  </si>
  <si>
    <t>10.1145/3383219.3383264</t>
  </si>
  <si>
    <t>Context Research on code smells accelerates and there are many studies that discuss them in the machine learning context. However, while data sets used by researchers vary in quality, all which we encountered share visible shortcomings-data sets are gathered from a rather small number of often outdated projects by single individuals whose professional experience is unknown. Aim This study aims to provide a new data set that addresses the aforementioned issues and, additionally, opens new research opportunities. Method We collaborate with professional software developers (including the code quest company behind the codebeat automated code review platform integrated with GitHub) to review code samples with respect to bad smells. We do not provide additional hints as to what do we mean by a given smell, because our goal is to extract professional developers' contemporary understanding of code smells instead of imposing thresholds from the legacy literature. We gather samples from active open source projects manually verified for industry-relevance and provide repository links and revisions. Records in our MLCQ data set contain the type of smell, its severity and the exact location in source code, but do not contain any source code metrics which can be calculated using various tools. To open new research opportunities, we provide results of an extensive survey of developers involved in the study including a wide range of details concerning their professional experience in software development and many other characteristics. This allows us to track each code review to the developer's background. To the best of our knowledge, this is a unique trait of the presented data set. Conclusions The MLCQ data set with nearly 15000 code samples was created by software developers with professional experience who reviewed industry-relevant, contemporary Java open source projects. We expect that this data set should stay relevant for a longer time than data sets that base on code released years ago and, additionally, will enable researchers to investigate the relationship between developers' background and code smells' perception. © 2020 Owner/Author.</t>
  </si>
  <si>
    <t>Foidl H,Felderer M</t>
  </si>
  <si>
    <t>Risk-based data validation in machine learning-based software systems</t>
  </si>
  <si>
    <t>https://www.scopus.com/inward/record.uri?eid=2-s2.0-85076402950&amp;doi=10.1145%2f3340482.3342743&amp;partnerID=40&amp;md5=a79ad55d852c3be8833b7ef2d0d30e38;http://dx.doi.org/10.1145/3340482.3342743</t>
  </si>
  <si>
    <t>10.1145/3340482.3342743</t>
  </si>
  <si>
    <t>Data validation is an essential requirement to ensure the reliability and quality of Machine Learning-based Software Systems. However, an exhaustive validation of all data fed to these systems (i.e. up to several thousand features) is practically unfeasible. In addition, there has been little discussion about methods that support software engineers of such systems in determining how thorough to validate each feature (i.e. data validation rigor). Therefore, this paper presents a conceptual data validation approach that prioritizes features based on their estimated risk of poor data quality. The risk of poor data quality is determined by the probability that a feature is of low data quality and the impact of this low (data) quality feature on the result of the machine learning model. Three criteria are presented to estimate the probability of low data quality (Data Source Quality, Data Smells, Data Pipeline Quality). To determine the impact of low (data) quality features, the importance of features according to the performance of the machine learning model (i.e. Feature Importance) is utilized. The presented approach provides decision support (i.e. data validation prioritization and rigor) for software engineers during the implementation of data validation techniques in the course of deploying a trained machine learning model and its software stack. © 2019 Association for Computing Machinery.</t>
  </si>
  <si>
    <t>Arcelli Fontana F,Avgeriou P,Pigazzini I,Roveda R</t>
  </si>
  <si>
    <t>A Study on Architectural Smells Prediction</t>
  </si>
  <si>
    <t>333 – 337</t>
  </si>
  <si>
    <t>https://www.scopus.com/inward/record.uri?eid=2-s2.0-85075999048&amp;doi=10.1109%2fSEAA.2019.00057&amp;partnerID=40&amp;md5=3a9d32f3dff27ced9892d892d6cc3c7a;http://dx.doi.org/10.1109/SEAA.2019.00057</t>
  </si>
  <si>
    <t>10.1109/SEAA.2019.00057</t>
  </si>
  <si>
    <t>Architectural smells can be detrimental to the system maintainability, evolvability and represent a source of architectural debt. Thus, it is very important to be able to understand how they evolved in the past and to predict their future evolution. In this paper, we evaluate if the existence of architectural smells in the past versions of a project can be used to predict their presence in the future. We analyzed four Java projects in 295 Github releases and we applied for the prediction four different supervised learning models in a repeated cross-validation setting. We found that historical architectural smell information can be used to predict the presence of architectural smells in the future. Hence, practitioners should carefully monitor the evolution of architectural smells and take preventative actions to avoid introducing them and stave off their progressive growth. © 2019 IEEE.</t>
  </si>
  <si>
    <t>Kumar A,Braud T,Tarkoma S,Hui P</t>
  </si>
  <si>
    <t>Trustworthy AI in the Age of Pervasive Computing and Big Data</t>
  </si>
  <si>
    <t>https://www.scopus.com/inward/record.uri?eid=2-s2.0-85091976602&amp;doi=10.1109%2fPerComWorkshops48775.2020.9156127&amp;partnerID=40&amp;md5=8eba2d5f57ae2645dda1e0282e26196f;http://dx.doi.org/10.1109/PerComWorkshops48775.2020.9156127</t>
  </si>
  <si>
    <t>10.1109/PerComWorkshops48775.2020.9156127</t>
  </si>
  <si>
    <t>The era of pervasive computing has resulted in countless devices that continuously monitor users and their environment, generating an abundance of user behavioural data. Such data may support improving the quality of service, but may also lead to adverse usages such as surveillance and advertisement. In parallel, Artificial Intelligence (AI) systems are being applied to sensitive fields such as healthcare, justice, or human resources, raising multiple concerns on the trustworthiness of such systems. Trust in AI systems is thus intrinsically linked to ethics, including the ethics of algorithms, the ethics of data, or the ethics of practice. In this paper, we formalise the requirements of trustworthy AI systems through an ethics perspective. We specifically focus on the aspects that can be integrated into the design and development of AI systems. After discussing the state of research and the remaining challenges, we show how a concrete use-case in smart cities can benefit from these methods. © 2020 IEEE.</t>
  </si>
  <si>
    <t>Coelho J,Valente MT,Milen L,Silva LL</t>
  </si>
  <si>
    <t>Is this GitHub project maintained? Measuring the level of maintenance activity of open-source projects</t>
  </si>
  <si>
    <t>https://www.scopus.com/inward/record.uri?eid=2-s2.0-85079378944&amp;doi=10.1016%2fj.infsof.2020.106274&amp;partnerID=40&amp;md5=6f22bb95c1daf557005d2cd3a19f65eb;http://dx.doi.org/10.1016/j.infsof.2020.106274</t>
  </si>
  <si>
    <t>10.1016/j.infsof.2020.106274</t>
  </si>
  <si>
    <t>Context: GitHub hosts an impressive number of high-quality OSS projects. However, selecting “the right tool for the job” is a challenging task, because we do not have precise information about those high-quality projects. Objective: In this paper, we propose a data-driven approach to measure the level of maintenance activity of GitHub projects. Our goal is to alert users about the risks of using unmaintained projects and possibly motivate other developers to assume the maintenance of such projects. Method: We train machine learning models to define a metric to express the level of maintenance activity of GitHub projects. Next, we analyze the historical evolution of 2927 active projects in the time frame of one year. Results: From 2927 active projects, 16% become unmaintained in the interval of one year. We also found that Objective-C projects tend to have lower maintenance activity than projects implemented in other languages. Finally, software tools—such as compilers and editors—have the highest maintenance activity over time. Conclusions: A metric about the level of maintenance activity of GitHub projects can help developers to select open source projects. © 2020</t>
  </si>
  <si>
    <t>Cited by: 20; All Open Access, Green Open Access</t>
  </si>
  <si>
    <t>Majumdar S,Papdeja S,Das PP,Ghosh SK</t>
  </si>
  <si>
    <t>SMARTKT: A Search Framework to Assist Program Comprehension using Smart Knowledge Transfer</t>
  </si>
  <si>
    <t>97 – 108</t>
  </si>
  <si>
    <t>https://www.scopus.com/inward/record.uri?eid=2-s2.0-85073781599&amp;doi=10.1109%2fQRS.2019.00026&amp;partnerID=40&amp;md5=697f3e53a7776f335a18730f364fa238;http://dx.doi.org/10.1109/QRS.2019.00026</t>
  </si>
  <si>
    <t>10.1109/QRS.2019.00026</t>
  </si>
  <si>
    <t>Regardless of attempts to extract knowledge from code bases to aid in program comprehension, there is an absence of a framework to extract and integrate knowledge to provide a near-complete multifaceted understanding of a program. To bridge this gap, we propose SMARTKT (Smart Knowledge Transfer) to extract and transfer knowledge related to software development and application-specific characteristics and their interrelationships in form of a knowledge graph. For an application, the knowledge graph provides an overall understanding of the design and implementation and can be used by an intelligent natural language query system to convert the process of knowledge transfer into a developer-friendly Google-like search. For validation, we develop an analyzer to discover concurrency-related design aspects from runtime traces in a machine learning framework and obtain a precision and recall of around 97% and 95% respectively. We extract application-specific knowledge from code comments and obtain 72% match against human-Annotated ground truth. © 2019 IEEE.</t>
  </si>
  <si>
    <t>Siebert J,Joeckel L,Heidrich J,Nakamichi K,Ohashi K,Namba I,Yamamoto R,Aoyama M</t>
  </si>
  <si>
    <t>Towards guidelines for assessing qualities of machine learning systems</t>
  </si>
  <si>
    <t>1266 CCIS</t>
  </si>
  <si>
    <t>17 – 31</t>
  </si>
  <si>
    <t>https://www.scopus.com/inward/record.uri?eid=2-s2.0-85091160754&amp;doi=10.1007%2f978-3-030-58793-2_2&amp;partnerID=40&amp;md5=9e7a917c890f19f7818464d7a3c8ab1e;http://dx.doi.org/10.1007/978-3-030-58793-2_2</t>
  </si>
  <si>
    <t>10.1007/978-3-030-58793-2_2</t>
  </si>
  <si>
    <t>Nowadays, systems containing components based on machine learning (ML) methods are becoming more widespread. In order to ensure the intended behavior of a software system, there are standards that define necessary quality aspects of the system and its components (such as ISO/IEC 25010). Due to the different nature of ML, we have to adjust quality aspects or add additional ones (such as trustworthiness) and be very precise about which aspect is really relevant for which object of interest (such as completeness of training data), and how to objectively assess adherence to quality requirements. In this article, we present the construction of a quality model (i.e., evaluation objects, quality aspects, and metrics) for an ML system based on an industrial use case. This quality model enables practitioners to specify and assess quality requirements for such kinds of ML systems objectively. In the future, we want to learn how the term quality differs between different types of ML systems and come up with general guidelines for specifying and assessing qualities of ML systems. © Springer Nature Switzerland AG 2020.</t>
  </si>
  <si>
    <t>Cited by: 14; All Open Access, Green Open Access</t>
  </si>
  <si>
    <t>Farias MA,Neto MG,Kalinowski M,Spínola RO</t>
  </si>
  <si>
    <t>Identifying self-admitted technical debt through code comment analysis with a contextualized vocabulary</t>
  </si>
  <si>
    <t>https://www.scopus.com/inward/record.uri?eid=2-s2.0-85078871135&amp;doi=10.1016%2fj.infsof.2020.106270&amp;partnerID=40&amp;md5=da9d6aa798dac89600c4c15e6d482606;http://dx.doi.org/10.1016/j.infsof.2020.106270</t>
  </si>
  <si>
    <t>10.1016/j.infsof.2020.106270</t>
  </si>
  <si>
    <t>Context: Previous work has shown that one can explore code comments to detect Self-Admitted Technical Debt (SATD) using a contextualized vocabulary. However, current detection strategies still return a large number of false positives items. Moreover, those strategies do not allow the automatic identification of the type of debt of the identified items. Objective: This work applies, evaluates, and improves a set of contextualized patterns we built to detect self-admitted technical debt using code comment analysis. We refer to this set of patterns as the self-admitted technical debt identification vocabulary. Method: We carry out three empirical studies. Firstly, 23 participants analyze the patterns of a previously defined contextualized vocabulary and register their level of importance in identifying SATD items. Secondly, we perform a qualitative analysis to investigate the relation between each pattern and types of debt. Finally, we perform a feasibility study using a new vocabulary, improved based on the results of the previous empirical studies, to automatically identify self-admitted technical debt items, and types of debt, that exist in three open source projects. Results: More than half of the new patterns were considered decisive or very decisive to detect technical debt items. The new vocabulary was able to find items associated to code, design, defect, documentation, and requirement debt. Thus, the result of the work is an improved vocabulary that considers the level of importance of each pattern and the relationship between patterns and debt types to support the identification and classification of SATD items. Conclusion: The studies allowed us to improve a vocabulary to identify self-admitted technical debt items through code comments analysis. The results show that the use of pattern-based code comment analysis can contribute to improve existing methods, or create new ones, for automatically identifying and classifying technical debt items. © 2020</t>
  </si>
  <si>
    <t>Rolandi PA</t>
  </si>
  <si>
    <t>The Unreasonable Effectiveness of Equations: Advanced Modeling For Biopharmaceutical Process Development</t>
  </si>
  <si>
    <t>Computer Aided Chemical Engineering</t>
  </si>
  <si>
    <t>137 – 150</t>
  </si>
  <si>
    <t>1570-7946</t>
  </si>
  <si>
    <t>https://www.scopus.com/inward/record.uri?eid=2-s2.0-85069918932&amp;doi=10.1016%2fB978-0-12-818597-1.50023-0&amp;partnerID=40&amp;md5=5f2e5c447e31170b8c42b306097c824d;http://dx.doi.org/10.1016/B978-0-12-818597-1.50023-0</t>
  </si>
  <si>
    <t>10.1016/B978-0-12-818597-1.50023-0</t>
  </si>
  <si>
    <t>Advanced modeling based on first principles approaches is an effective methodology for designing biopharmaceutical process and product systems that are reliable, efficient, agile, and differentiated. However, the industrial modeling practice has stagnated despite significant advances in other fields, and the digital accelerators (computing power, storage capacity, and bandwidth) have created a shifting landscape for the foundations of process systems engineering. This article argues for a stronger emphasis on modeling lifecycle frameworks as well as a clear focus on systematic value creation through greater immediate application and sustained utilization of models and advanced modeling methodologies. Convergence between first principles modeling, experimental methods, and machine learning techniques is postulated as the main direction for innovation. Modeling patterns are presented as a novel mechanism to create and reuse effective modeling abstractions. A community-centric approach to collaboration between industry, vendors, and academia is required to deliver these significant innovation needs. © 2019 Elsevier B.V.</t>
  </si>
  <si>
    <t>Liu H,Eksmo S,Risberg J,Hebig R</t>
  </si>
  <si>
    <t>Emerging and changing tasks in the development process for machine learning systems</t>
  </si>
  <si>
    <t>125 – 134</t>
  </si>
  <si>
    <t>https://www.scopus.com/inward/record.uri?eid=2-s2.0-85092446639&amp;doi=10.1145%2f3379177.3388905&amp;partnerID=40&amp;md5=ae75579ef8db6ccdf0c715c3943eb7a6;http://dx.doi.org/10.1145/3379177.3388905</t>
  </si>
  <si>
    <t>10.1145/3379177.3388905</t>
  </si>
  <si>
    <t>Integrating machine learning components in software systems is a task more and more companies are confronted with. However, there is not much knowledge today on how the software development process needs to change, when such components are integrated into a software system. We performed an interview study with 16 participants, focusing on emerging and changing task. The results uncover a set of 25 tasks associated to different software development phases, such as requirements engineering or deployment. We are just starting to understand the implications of using machine-learning components on the software development process. This study allows some first insights into how widespread the required process changes are. © 2020 ACM.</t>
  </si>
  <si>
    <t>Nie P,Rai R,Li JJ,Khurshid S,Mooney RJ,Gligoric M</t>
  </si>
  <si>
    <t>A framework for writing trigger-action todo comments in executable format</t>
  </si>
  <si>
    <t>https://www.scopus.com/inward/record.uri?eid=2-s2.0-85071955221&amp;doi=10.1145%2f3338906.3338965&amp;partnerID=40&amp;md5=48df39eece77c1e08a88f2d966221d91;http://dx.doi.org/10.1145/3338906.3338965</t>
  </si>
  <si>
    <t>10.1145/3338906.3338965</t>
  </si>
  <si>
    <t>Natural language elements, e.g., todo comments, are frequently used to communicate among developers and to describe tasks that need to be performed (actions) when specific conditions hold on artifacts related to the code repository (triggers), e.g., from the Apache Struts project: remove expectedJDK15 and if() after switching to Java 1.6. As projects evolve, development processes change, and development teams reorganize, these comments, because of their informal nature, frequently become irrelevant or forgotten. We present the first framework, dubbed TrigIt, to specify trigger-action todo comments in executable format. Thus, actions are executed automatically when triggers evaluate to true. TrigIt specifications are written in the host language (e.g., Java) and are evaluated as part of the build process. The triggers are specified as query statements over abstract syntax trees, abstract representation of build configuration scripts, issue tracking systems, and system clock time. The actions are either notifications to developers or code transformation steps. We implemented TrigIt for the Java programming language and migrated 44 existing trigger-action comments from several popular open-source projects. Evaluation of TrigIt, via a user study, showed that users find TrigIt easy to learn and use. TrigIt has the potential to enforce more discipline in writing and maintaining comments in large code repositories. © 2019 ACM.</t>
  </si>
  <si>
    <t>Azeem MI,Palomba F,Shi L,Wang Q</t>
  </si>
  <si>
    <t>Machine learning techniques for code smell detection: A systematic literature review and meta-analysis</t>
  </si>
  <si>
    <t>115 – 138</t>
  </si>
  <si>
    <t>https://www.scopus.com/inward/record.uri?eid=2-s2.0-85059611960&amp;doi=10.1016%2fj.infsof.2018.12.009&amp;partnerID=40&amp;md5=ddf6879e8500278d15f295f277320b23;http://dx.doi.org/10.1016/j.infsof.2018.12.009</t>
  </si>
  <si>
    <t>10.1016/j.infsof.2018.12.009</t>
  </si>
  <si>
    <t>Background: Code smells indicate suboptimal design or implementation choices in the source code that often lead it to be more change- and fault-prone. Researchers defined dozens of code smell detectors, which exploit different sources of information to support developers when diagnosing design flaws. Despite their good accuracy, previous work pointed out three important limitations that might preclude the use of code smell detectors in practice: (i) subjectiveness of developers with respect to code smells detected by such tools, (ii) scarce agreement between different detectors, and (iii) difficulties in finding good thresholds to be used for detection. To overcome these limitations, the use of machine learning techniques represents an ever increasing research area. Objective: While the research community carefully studied the methodologies applied by researchers when defining heuristic-based code smell detectors, there is still a noticeable lack of knowledge on how machine learning approaches have been adopted for code smell detection and whether there are points of improvement to allow a better detection of code smells. Our goal is to provide an overview and discuss the usage of machine learning approaches in the field of code smells. Method: This paper presents a Systematic Literature Review (SLR) on Machine Learning Techniques for Code Smell Detection. Our work considers papers published between 2000 and 2017. Starting from an initial set of 2456 papers, we found that 15 of them actually adopted machine learning approaches. We studied them under four different perspectives: (i) code smells considered, (ii) setup of machine learning approaches, (iii) design of the evaluation strategies, and (iv) a meta-analysis on the performance achieved by the models proposed so far. Results: The analyses performed show that God Class, Long Method, Functional Decomposition, and Spaghetti Code have been heavily considered in the literature. DECISION TREES and SUPPORT VECTOR MACHINES are the most commonly used machine learning algorithms for code smell detection. Models based on a large set of independent variables have performed well. JRIP and RANDOM FOREST are the most effective classifiers in terms of performance. The analyses also reveal the existence of several open issues and challenges that the research community should focus on in the future. Conclusion: Based on our findings, we argue that there is still room for the improvement of machine learning techniques in the context of code smell detection. The open issues emerged in this study can represent the input for researchers interested in developing more powerful techniques. © 2019 Elsevier B.V.</t>
  </si>
  <si>
    <t>Cited by: 99</t>
  </si>
  <si>
    <t>Lwakatare LE,Raj A,Bosch J,Olsson HH,Crnkovic I</t>
  </si>
  <si>
    <t>A taxonomy of software engineering challenges for machine learning systems: An empirical investigation</t>
  </si>
  <si>
    <t>227 – 243</t>
  </si>
  <si>
    <t>Springer Verlag</t>
  </si>
  <si>
    <t>https://www.scopus.com/inward/record.uri?eid=2-s2.0-85065870747&amp;doi=10.1007%2f978-3-030-19034-7_14&amp;partnerID=40&amp;md5=48c12ad7eda47dc0614198471e67b363;http://dx.doi.org/10.1007/978-3-030-19034-7_14</t>
  </si>
  <si>
    <t>10.1007/978-3-030-19034-7_14</t>
  </si>
  <si>
    <t>Artificial intelligence enabled systems have been an inevitable part of everyday life. However, efficient software engineering principles and processes need to be considered and extended when developing AI- enabled systems. The objective of this study is to identify and classify software engineering challenges that are faced by different companies when developing software-intensive systems that incorporate machine learning components. Using case study approach, we explored the development of machine learning systems from six different companies across various domains and identified main software engineering challenges. The challenges are mapped into a proposed taxonomy that depicts the evolution of use of ML components in software-intensive system in industrial settings. Our study provides insights to software engineering community and research to guide discussions and future research into applied machine learning. © The Author(s) 2019.</t>
  </si>
  <si>
    <t>Cited by: 91; All Open Access, Green Open Access, Hybrid Gold Open Access</t>
  </si>
  <si>
    <t>Ahmad A,Feng C,Tahir A,Khan A,Waqas M,Ahmad S,Ullah A</t>
  </si>
  <si>
    <t>An empirical evaluation of machine learning algorithms for identifying software requirements on stack overflow: Initial results</t>
  </si>
  <si>
    <t>689 – 693</t>
  </si>
  <si>
    <t>2327-0586</t>
  </si>
  <si>
    <t>https://www.scopus.com/inward/record.uri?eid=2-s2.0-85082878517&amp;doi=10.1109%2fICSESS47205.2019.9040720&amp;partnerID=40&amp;md5=6f81e672dbf9fdeb0dff187b83944786;http://dx.doi.org/10.1109/ICSESS47205.2019.9040720</t>
  </si>
  <si>
    <t>10.1109/ICSESS47205.2019.9040720</t>
  </si>
  <si>
    <t>Context: The recent developments made during the last decade or two in requirements engineering (RE) methods have seen a rise in using different machine-learning (ML) algorithms to solve some complex RE problems. One such problem is identifying and classifying software requirements on Stack Overflow (SO). The suitability of ML-based techniques to this tackle problem has shown convincing results, much better than those generated by some traditional natural language processing (NLP) techniques. Nevertheless, a comprehensive and systematic comprehension of these ML based techniques is still deficient. Objective: To identify and classify the type of ML algorithms used for identifying software requirements on SO. Method: This article reports systematic literature review (SLR) gathering evidence published up to August, 2019. Results: This study identified 1073 published papers related to RE and SO. Only 12 primary papers were selected. The data extraction process revealed that; 1) Latent Dirichlet Allocation (LDA) topic modeling is the most widely used ML algorithm in the selected studies, and 2) Precision and recall are the most commonly used evaluation method to measure the performance of these ML algorithms. Conclusion: The SLR finds that while ML algorithms have great potential in the identification of RE on SO, they face some open issues that will ultimately affect their performance and practical application. The SLR calls for the collaboration between RE and ML researchers, to tackle the open issues facing the development of real-world ML systems. © 2019 IEEE.</t>
  </si>
  <si>
    <t>Vidal S,Oizumi W,Garcia A,Díaz Pace A,Marcos C</t>
  </si>
  <si>
    <t>Ranking architecturally critical agglomerations of code smells</t>
  </si>
  <si>
    <t>64 – 85</t>
  </si>
  <si>
    <t>https://www.scopus.com/inward/record.uri?eid=2-s2.0-85069681117&amp;doi=10.1016%2fj.scico.2019.07.003&amp;partnerID=40&amp;md5=86ac2ef03678b1c57070981a2c3f964d;http://dx.doi.org/10.1016/j.scico.2019.07.003</t>
  </si>
  <si>
    <t>10.1016/j.scico.2019.07.003</t>
  </si>
  <si>
    <t>Code smells are symptoms in the source code that could help to identify architectural problems. However, developers may feel discouraged to analyze multiple smells if they are not able to focus their attention on a small set of source code locations. Unfortunately, current techniques fall short in assisting developers to prioritize smelly locations that are likely to indicate architectural problems. Furthermore, developers often have trouble analyzing interconnected smells that contribute together to realize an architectural problem. To deal with these issues, this work presents and evaluates a suite of five criteria for ranking groups of code smells as indicators of architectural problems in evolving systems. These criteria were implemented in a tool called JSpIRIT. In a first experiment, we have assessed the criteria in the context of 23 versions of 4 systems and analyzed their effectiveness for revealing architectural problem locations. In addition, we conducted a second experiment for analyzing similarities between the prioritization provided by developers and the prioritization provided by our best performing criterion. The results provide evidence that one of the proposed criteria helped to correctly prioritize more than 80 code locations of architectural problems, alleviating tedious manual inspection of the source code vis-a-vis with the architecture. © 2019 Elsevier B.V.</t>
  </si>
  <si>
    <t>Barnes M,Dubrawski A</t>
  </si>
  <si>
    <t>On the interaction effects between prediction and clustering</t>
  </si>
  <si>
    <t>PLMR</t>
  </si>
  <si>
    <t>https://www.scopus.com/inward/record.uri?eid=2-s2.0-85084979078&amp;partnerID=40&amp;md5=f79ee9b00beaa673b49155e8ec7d7c95</t>
  </si>
  <si>
    <t>Machine learning systems increasingly depend on pipelines of multiple algorithms to provide high quality and well structured predictions. This paper argues interaction effects between clustering and prediction (e.g. classification, regression) algorithms can cause subtle adverse behaviors during cross-validation that may not be initially apparent. In particular, we focus on the problem of estimating the out-of-cluster (OOC) prediction loss given an approximate clustering with probabilistic error rate p0. Traditional cross-validation techniques exhibit significant empirical bias in this setting, and the few attempts to estimate and correct for these effects are intractable on larger datasets. Further, no previous work has been able to characterize the conditions under which these empirical effects occur, and if they do, what properties they have. We precisely answer these questions by providing theoretical properties which hold in various settings, and prove that expected out-of-cluster loss behavior rapidly decays with even minor clustering errors. Fortunately, we are able to leverage these same properties to construct hypothesis tests and scalable estimators necessary for correcting the problem. Empirical results on benchmark datasets validate our theoretical results and demonstrate how scaling techniques provide solutions to new classes of problems. © 2019 by the author(s).</t>
  </si>
  <si>
    <t>Gustafsson T</t>
  </si>
  <si>
    <t>Machine learning and sonarqube KPIs to predict increasing bug resolution times</t>
  </si>
  <si>
    <t>62 – 70</t>
  </si>
  <si>
    <t>https://www.scopus.com/inward/record.uri?eid=2-s2.0-85077506321&amp;partnerID=40&amp;md5=43f19863d3fa8f4f7b006576f8398000</t>
  </si>
  <si>
    <t>Technical dept metaphor is widely discussed topic in research, but there is no common model on how to manage technical dept [3]. Companies invest a lot of money in maintenance and in commercial software system maintenance it is typical to have some penalties on missing the SLA deadline on bug resolution times. Adding technical dept can be understandable, in order to be quicker in markets with new features, but in order to manage it effectively, it is mandatory to understand the risks and impacts of the interest of it. In this research machine learning technology was used to evaluate whether SonarQube technical dept KPIs can be used to predict bug resolution times. The fact that the data was collected only from open source projects was limitation, but the results were encouraging. Accuracy approximately of 90% was reached. As it was seen that number of lines of code is also a valid indicator of bug resolution times, it was concluded, that it would be best to repeat this study in environment of commercial company which maintains many projects of similar size. Copyright © 2019 for this paper by its authors.</t>
  </si>
  <si>
    <t>Mikhailenko OV,Dorrer GA</t>
  </si>
  <si>
    <t>Methodological problems of big data and artificial intelligence in the medical specialists training</t>
  </si>
  <si>
    <t>https://www.scopus.com/inward/record.uri?eid=2-s2.0-85098050873&amp;doi=10.1088%2f1742-6596%2f1691%2f1%2f012009&amp;partnerID=40&amp;md5=ee73dc404e9a94a2a5ca8cafa13b1d9d;http://dx.doi.org/10.1088/1742-6596/1691/1/012009</t>
  </si>
  <si>
    <t>10.1088/1742-6596/1691/1/012009</t>
  </si>
  <si>
    <t>The emergence of big data and artificial intelligence firstly in healthcare has caused considerable excitement, stating the need to improve approaches to diagnosis, prognosis, and treatment. Despite enthusiasm, the methodological assumptions underlying the movement of big data and artificial intelligence in medicine are rarely studied. This article outlines the methodological problems facing this movement. In particular, the following topics were considered: The theory of large data congestion, the limits of the algorithms action, and the phenomenology of the disease. These methodological issues demonstrate several important roles for these technologies that must be considered and studied before they are integrated into the healthcare system. © Published under licence by IOP Publishing Ltd.</t>
  </si>
  <si>
    <t>Zhang B</t>
  </si>
  <si>
    <t>Semantic patterns extraction of code smells: Retrieving the solutions of bugs</t>
  </si>
  <si>
    <t>71 – 77</t>
  </si>
  <si>
    <t>https://www.scopus.com/inward/record.uri?eid=2-s2.0-85077502999&amp;partnerID=40&amp;md5=3765a7c62ef722a011bea06b9d3b39a8</t>
  </si>
  <si>
    <t>The understanding of code smells have exerted profound influence in the quality and the performance of programming codes. There are various type of code smells require various solutions. In order to interpret the solutions available in code smells, this research uses NLP (natural language programming) techniques to comprehend contents of messages from Technical Debt Dataset. Based on phrase structure rules, semantic patterns were extracted from the Dataset to build connection between trigger words and dependency tree. Verb Phrases are considered as the actions taken by programmers encountering code smells. Copyright © 2019 for this paper by its authors.</t>
  </si>
  <si>
    <t>AIMMX: Artificial Intelligence Model Metadata Extractor</t>
  </si>
  <si>
    <t>81 – 92</t>
  </si>
  <si>
    <t>https://www.scopus.com/inward/record.uri?eid=2-s2.0-85093646767&amp;doi=10.1145%2f3379597.3387448&amp;partnerID=40&amp;md5=6d778f6e5b3f863f5617638a54f2f921;http://dx.doi.org/10.1145/3379597.3387448</t>
  </si>
  <si>
    <t>10.1145/3379597.3387448</t>
  </si>
  <si>
    <t>Despite all of the power that machine learning and artificial intelligence (AI) models bring to applications, much of AI development is currently a fairly ad hoc process. Software engineering and AI development share many of the same languages and tools, but AI development as an engineering practice is still in early stages. Mining software repositories of AI models enables insight into the current state of AI development. However, much of the relevant metadata around models are not easily extractable directly from repositories and require deduction or domain knowledge. This paper presents a library called AIMMX that enables simplified AI Model Metadata eXtraction from software repositories. The extractors have five modules for extracting AI model-specific metadata: model name, associated datasets, references, AI frameworks used, and model domain. We evaluated AIMMX against 7,998 open-source models from three sources: model zoos, arXiv AI papers, and state-of-the-art AI papers. Our platform extracted metadata with 87% precision and 83% recall. As preliminary examples of how AI model metadata extraction enables studies and tools to advance engineering support for AI development, this paper presents an exploratory analysis for data and method reproducibility over the models in the evaluation dataset and a catalog tool for discovering and managing models. Our analysis suggests that while data reproducibility may be relatively poor with 42% of models in our sample citing their datasets, method reproducibility is more common at 72% of models in our sample, particularly state-of-the-art models. Our collected models are searchable in a catalog that uses existing metadata to enable advanced discovery features for efficiently finding models. © 2020 ACM.</t>
  </si>
  <si>
    <t>Kounte MR,Tripathy PK,Pramod P,Bajpai H</t>
  </si>
  <si>
    <t>Analysis of Intelligent Machines using Deep learning and Natural Language Processing</t>
  </si>
  <si>
    <t>956 – 960</t>
  </si>
  <si>
    <t>https://www.scopus.com/inward/record.uri?eid=2-s2.0-85089994347&amp;doi=10.1109%2fICOEI48184.2020.9142886&amp;partnerID=40&amp;md5=8c216c6ca9b924188acefe4dceab0709;http://dx.doi.org/10.1109/ICOEI48184.2020.9142886</t>
  </si>
  <si>
    <t>10.1109/ICOEI48184.2020.9142886</t>
  </si>
  <si>
    <t>Intelligent Machines are playing an important role in performing various activities in the industry thereby reducing the human efforts, error rate and increase the efficiency and accuracy. Artificial Intelligence is the backbone for development of intelligent machines which use natural language processing and deep learning as fundamental tools. In this paper, we present the new perspective of intelligent machines in everyday usage, along with the importance of understanding the natural language and generating machine level natural language for intelligent machines. Further, we summarize an overview of deep learning concurrent neural network and recurrent neural network models. Also, we review the significance of sentimental analysis using natural language processing and the ability of machines to take decisions and solve problems. © 2020 IEEE.</t>
  </si>
  <si>
    <t>Visconti RM</t>
  </si>
  <si>
    <t>The valuation of digital intangibles: Technology, marketing and internet</t>
  </si>
  <si>
    <t>Palgrave Macmillan</t>
  </si>
  <si>
    <t>https://www.scopus.com/inward/record.uri?eid=2-s2.0-85087660549&amp;doi=10.1007%2f978-3-030-36918-7&amp;partnerID=40&amp;md5=ecc55b8840417906879aad2b721c5cd7;http://dx.doi.org/10.1007/978-3-030-36918-7</t>
  </si>
  <si>
    <t>10.1007/978-3-030-36918-7</t>
  </si>
  <si>
    <t>This book offers a primer on the valuation of digital intangibles, a trending class of immaterial assets. Startups like successful unicorns, as well as consolidated firms desperately working to re-engineer their business models, are now trying to go digital and to reap higher returns by exploiting new intangibles. This book is innovative in its design and concept since it tackles a frontier topic with an original methodology, combining academic rigor with practical insights. Digital intangibles range from digitized versions of traditional immaterial assets (brands, patents, know-how, etc.) to more trendy applications like big data, Internet of Things, interoperable databases, artificial intelligence, digital newspapers, social networks, blockchains, FinTech applications, etc. This book comprehensively addresses related valuation issues, and demonstrates how best practices can be applied to specific asset appraisals, making it of interest to researchers, students, and practitioners alike. © The Editor(s) (if applicable) and The Author(s), under exclusive license to Springer Nature Switzerland AG 2020.</t>
  </si>
  <si>
    <t>1 – 536</t>
  </si>
  <si>
    <t>Vakkuri V,Kemell KK,Jantunen M,Abrahamsson P</t>
  </si>
  <si>
    <t>“This is Just a Prototype”: How Ethics Are Ignored in Software Startup-Like Environments</t>
  </si>
  <si>
    <t>383 LNBIP</t>
  </si>
  <si>
    <t>195 – 210</t>
  </si>
  <si>
    <t>https://www.scopus.com/inward/record.uri?eid=2-s2.0-85086144211&amp;doi=10.1007%2f978-3-030-49392-9_13&amp;partnerID=40&amp;md5=3b403cac917fe2ea2f03e4255dcb9087;http://dx.doi.org/10.1007/978-3-030-49392-9_13</t>
  </si>
  <si>
    <t>10.1007/978-3-030-49392-9_13</t>
  </si>
  <si>
    <t>Artificial Intelligence (AI) solutions are becoming increasingly common in software development endeavors, and consequently exert a growing societal influence as well. Due to their unique nature, AI based systems influence a wide range of stakeholders with or without their consent, and thus the development of these systems necessitates a higher degree of ethical consideration than is currently carried out in most cases. Various practical examples of AI failures have also highlighted this need. However, there is only limited research on methods and tools for implementing AI ethics in software development, and we currently have little knowledge of the state of practice. In this study, we explore the state of the art in startup-like environments where majority of the AI software today gets developed. Based on a multiple case study, we discuss the current state of practice and highlight issues. The cases underline the complete ignorance of ethical consideration in AI endeavors. We also outline existing good practices that can already support the implementation of AI ethics, such as documentation and error handling. © The Author(s) 2020.</t>
  </si>
  <si>
    <t>Chatzimparmpas A,Bibi S</t>
  </si>
  <si>
    <t>Maintenance process modeling and dynamic estimations based on Bayesian networks and association rules</t>
  </si>
  <si>
    <t>https://www.scopus.com/inward/record.uri?eid=2-s2.0-85073519954&amp;doi=10.1002%2fsmr.2163&amp;partnerID=40&amp;md5=bac60aa852dc276f5e68e8afbf7cd867;http://dx.doi.org/10.1002/smr.2163</t>
  </si>
  <si>
    <t>10.1002/smr.2163</t>
  </si>
  <si>
    <t>Managing the maintenance process and estimating accurately the effort and duration required for a new release is considered to be a crucial task as it affects successful software project survival and progress over time. In this study, we propose the combination of two well-known machine learning (ML) techniques, Bayesian networks (BNs), and association rules (ARs) for modeling the maintenance process by identifying the relationships among the internal and external quality metrics related to a particular project release to both the maintainability of the project and the maintenance process indicators (ie, effort and duration). We also exploit Bayesian inference, to test the effect of certain changes in internal and external project factors to the maintainability of a project. We evaluate our approach through a case study on 957 releases of five open source JavaScript applications. The results show that the maintainability of a release, the changes observed between subsequent releases, and the time required between two releases can be accurately predicted from size, complexity, and activity metrics. The proposed combined approach achieves higher accuracy when evaluated against the BN model accuracy. © 2019 John Wiley &amp; Sons, Ltd.</t>
  </si>
  <si>
    <t>Zacchia Lun Y,D'Innocenzo A,Smarra F,Malavolta I,Di Benedetto MD</t>
  </si>
  <si>
    <t>State of the art of cyber-physical systems security: An automatic control perspective</t>
  </si>
  <si>
    <t>174 – 216</t>
  </si>
  <si>
    <t>https://www.scopus.com/inward/record.uri?eid=2-s2.0-85058033875&amp;doi=10.1016%2fj.jss.2018.12.006&amp;partnerID=40&amp;md5=30541230bb21209a8e5ec87df56ba5f0;http://dx.doi.org/10.1016/j.jss.2018.12.006</t>
  </si>
  <si>
    <t>10.1016/j.jss.2018.12.006</t>
  </si>
  <si>
    <t>Cyber-physical systems are integrations of computation, networking, and physical processes. Due to the tight cyber-physical coupling and to the potentially disrupting consequences of failures, security here is one of the primary concerns. Our systematic mapping study sheds light on how security is actually addressed when dealing with cyber-physical systems from an automatic control perspective. The provided map of 138 selected studies is defined empirically and is based on, for instance, application fields, various system components, related algorithms and models, attacks characteristics and defense strategies. It presents a powerful comparison framework for existing and future research on this hot topic, important for both industry and academia. © 2018 Elsevier Inc.</t>
  </si>
  <si>
    <t>Cited by: 99; All Open Access, Green Open Access</t>
  </si>
  <si>
    <t>Stoyanovich J,Howe B,Jagadish HV</t>
  </si>
  <si>
    <t>Responsible Data Management</t>
  </si>
  <si>
    <t>Proceedings of the VLDB Endowment</t>
  </si>
  <si>
    <t>3474 – 3488</t>
  </si>
  <si>
    <t>VLDB Endowment</t>
  </si>
  <si>
    <t>2150-8097</t>
  </si>
  <si>
    <t>https://www.scopus.com/inward/record.uri?eid=2-s2.0-85100411135&amp;doi=10.14778%2f3415478.3415570&amp;partnerID=40&amp;md5=c583d9b06b31d87741789cbf16d1d606;http://dx.doi.org/10.14778/3415478.3415570</t>
  </si>
  <si>
    <t>10.14778/3415478.3415570</t>
  </si>
  <si>
    <t>The need for responsible data management intensifies with the growing impact of data on society. One central locus of the societal impact of data are Automated Decision Systems (ADS), socio-legal-technical systems that are used broadly in industry, non-profits, and government. ADS process data about people, help make decisions that are consequential to people’s lives, are designed with the stated goals of improving efficiency and promoting equitable access to opportunity, involve a combination of human and automated decision making, and are subject to auditing for legal compliance and to public disclosure. They may or may not use AI, and may or may not operate with a high degree of autonomy, but they rely heavily on data. In this article, we argue that the data management community is uniquely positioned to lead the responsible design, development, use, and oversight of ADS. We outline a technical research agenda that requires that we step outside our comfort zone of engineering for efficiency and accuracy, to also incorporate reasoning about values and beliefs. This seems high-risk, but one of the upsides is being able to explain to our children what we do and why it matters. © VLDB Endowment. All rights reserved.</t>
  </si>
  <si>
    <t>Garcia R,Liu E,Sreekanti V,Yan B,Dandamudi A,Gonzalez JE,Hellerstein JM,Sen K</t>
  </si>
  <si>
    <t>Hindsight logging for model training</t>
  </si>
  <si>
    <t>682 – 693</t>
  </si>
  <si>
    <t>https://www.scopus.com/inward/record.uri?eid=2-s2.0-85099151643&amp;doi=10.14778%2f3436905.3436925&amp;partnerID=40&amp;md5=ad8619d7d14b0b32820b1a17e1a8c6aa;http://dx.doi.org/10.14778/3436905.3436925</t>
  </si>
  <si>
    <t>10.14778/3436905.3436925</t>
  </si>
  <si>
    <t>In modern Machine Learning, model training is an iterative, experimental process that can consume enormous computation resources and developer time. To aid in that process, experienced model developers log and visualize program variables during training runs. Exhaustive logging of all variables is infeasible, so developers are left to choose between slowing down training via extensive conservative logging, or letting training run fast via minimalist optimistic logging that may omit key information. As a compromise, optimistic logging can be accompanied by program checkpoints; this allows developers to add log statements post-hoc, and “replay” desired log statements from checkpoint—a process we refer to as hindsight logging. Unfortunately, hindsight logging raises tricky problems in data management and software engineering. Done poorly, hindsight logging can waste resources and generate technical debt embodied in multiple variants of training code. In this paper, we present methodologies for efficient and effective logging practices for model training, with a focus on techniques for hindsight logging. Our goal is for experienced model developers to learn and adopt these practices. To make this easier, we provide an open-source suite of tools for Fast Low-Overhead Recovery (flor) that embodies our design across three tasks: (i) efficient background logging in Python, (ii) adaptive periodic checkpointing, and (iii) an instrumentation library that codifies hindsight logging for efficient and automatic record-replay of model-training. Model developers can use each flor tool separately as they see fit, or they can use flor in hands-free mode, entrusting it to instrument their code end-to-end for efficient record-replay. Our solutions leverage techniques from physiological transaction logs and recovery in database systems. Evaluations on modern ML benchmarks demonstrate that flor can produce fast checkpointing with small user-specifiable overheads (e.g. 7%), and still provide hindsight log replay times orders of magnitude faster than restarting training from scratch. © VLDB Endowment. All rights reserved.</t>
  </si>
  <si>
    <t>Santos RM,Junior MC,de Mendonça Neto MG</t>
  </si>
  <si>
    <t>Self-Admitted Technical Debt classification using LSTM neural network</t>
  </si>
  <si>
    <t>679 – 685</t>
  </si>
  <si>
    <t>https://www.scopus.com/inward/record.uri?eid=2-s2.0-85085726790&amp;doi=10.1007%2f978-3-030-43020-7_93&amp;partnerID=40&amp;md5=0275fc6a4cad37548d71c148f023c80e;http://dx.doi.org/10.1007/978-3-030-43020-7_93</t>
  </si>
  <si>
    <t>10.1007/978-3-030-43020-7_93</t>
  </si>
  <si>
    <t>Context: In software development, new functionalities and bug fixes are required to ensure a better user experience. Sometimes developers need to implement quick changes to meet deadlines rather than a better solution that would take longer. These easy choices, known as Technical Debts, can cause long-term negative impacts because they can bring extra effort to the team in the future. One way to detect technical debts is through source code comments. Developers often insert comments in which they admit that there is a need to improve that part of the code later. This is known as Self-Admitted Technical Debt (SATD). Objective: Evaluate a Long short-term memory (LSTM) neural network model to identify design and requirement SATDs from comments in source code. Method: We performed a controlled experiment to evaluate the quality of the model compared with two language models from literature in a labeled dataset. Results: Our model results outperformed the other models in precision, improving average precision in approximately 8% compared to auto-sklearn and 19% compared to maximum entropy approach, however, the LSTM model achieved worse results in recall and f-measure. Conclusion: We found that the LSTM model can classify with better precision but needs a larger training, so it can improve on the detection of negative cases. © Springer Nature Switzerland AG 2020.</t>
  </si>
  <si>
    <t>Perez B,Correal D,Astudillo H</t>
  </si>
  <si>
    <t>A proposed model-driven approach to manage architectural technical debt life cycle</t>
  </si>
  <si>
    <t>73 – 77</t>
  </si>
  <si>
    <t>https://www.scopus.com/inward/record.uri?eid=2-s2.0-85071146151&amp;doi=10.1109%2fTechDebt.2019.00025&amp;partnerID=40&amp;md5=a6bf5dc2c6baf5b49904d2b7fb3432d3;http://dx.doi.org/10.1109/TechDebt.2019.00025</t>
  </si>
  <si>
    <t>10.1109/TechDebt.2019.00025</t>
  </si>
  <si>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 2019 IEEE.</t>
  </si>
  <si>
    <t>Mattos DI,Bosch J,Olsson HH</t>
  </si>
  <si>
    <t>Leveraging business transformation with machine learning experiments</t>
  </si>
  <si>
    <t>370 LNBIP</t>
  </si>
  <si>
    <t>183 – 191</t>
  </si>
  <si>
    <t>https://www.scopus.com/inward/record.uri?eid=2-s2.0-85076134349&amp;doi=10.1007%2f978-3-030-33742-1_15&amp;partnerID=40&amp;md5=23cb0d39566949b76e1f6ff3bac7141a;http://dx.doi.org/10.1007/978-3-030-33742-1_15</t>
  </si>
  <si>
    <t>10.1007/978-3-030-33742-1_15</t>
  </si>
  <si>
    <t>The deployment of production-quality ML solutions, even for simple applications, requires significant software engineering effort. Often, companies do not fully understand the consequences and the business impact of ML-based systems, prior to the development of these systems. To minimize investment risks while evaluating the potential business impact of an ML system, companies can utilize continuous experimentation techniques. Based on action research, we report on the experience of developing and deploying a business-oriented ML-based dynamic pricing system in collaboration with a home shopping e-commerce company using a continuous experimentation (CE) approach. We identified a set of generic challenges in ML development that we present together with tactics and opportunities. © Springer Nature Switzerland AG 2019.</t>
  </si>
  <si>
    <t>Alonso O</t>
  </si>
  <si>
    <t>The Practice of Crowdsourcing</t>
  </si>
  <si>
    <t>Synthesis Lectures on Information Concepts, Retrieval, and Services</t>
  </si>
  <si>
    <t>1 – 149</t>
  </si>
  <si>
    <t>Morgan and Claypool Publishers</t>
  </si>
  <si>
    <t>1947-945X</t>
  </si>
  <si>
    <t>https://www.scopus.com/inward/record.uri?eid=2-s2.0-85076867877&amp;doi=10.2200%2fS00904ED1V01Y201903ICR066&amp;partnerID=40&amp;md5=222e93a3948848d3fb83104c997b761e;http://dx.doi.org/10.2200/S00904ED1V01Y201903ICR066</t>
  </si>
  <si>
    <t>10.2200/S00904ED1V01Y201903ICR066</t>
  </si>
  <si>
    <t>Many data-intensive applications that use machine learning or artificial intelligence techniques depend on humans providing the initial dataset, enabling algorithms to process the rest or for other humans to evaluate the performance of such algorithms. Not only can labeled data for training and evaluation be collected faster, cheaper, and easier than ever before, but we now see the emergence of hybrid human-machine software that combines computations performed by humans and machines in conjunction. There are, however, real-world practical issues with the adoption of human computation and crowdsourcing. Building systems and data processing pipelines that require crowd computing remains difficult. In this book, we present practical considerations for designing and implementing tasks that require the use of humans and machines in combination with the goal of producing high-quality labels. © 2019 by Morgan &amp; Claypool.</t>
  </si>
  <si>
    <t>Pecorelli F,Palomba F,Di Nucci D,De Lucia A</t>
  </si>
  <si>
    <t>Comparing heuristic and machine learning approaches for metric-based code smell detection</t>
  </si>
  <si>
    <t>93 – 104</t>
  </si>
  <si>
    <t>https://www.scopus.com/inward/record.uri?eid=2-s2.0-85072316200&amp;doi=10.1109%2fICPC.2019.00023&amp;partnerID=40&amp;md5=9d90ddc422db8353080db82eb01e152b;http://dx.doi.org/10.1109/ICPC.2019.00023</t>
  </si>
  <si>
    <t>10.1109/ICPC.2019.00023</t>
  </si>
  <si>
    <t>Code smells represent poor implementation choices performed by developers when enhancing source code. Their negative impact on source code maintainability and comprehensibility has been widely shown in the past and several techniques to automatically detect them have been devised. Most of these techniques are based on heuristics, namely they compute a set of code metrics and combine them by creating detection rules; while they have a reasonable accuracy, a recent trend is represented by the use of machine learning where code metrics are used as predictors of the smelliness of code artefacts. Despite the recent advances in the field, there is still a noticeable lack of knowledge of whether machine learning can actually be more accurate than traditional heuristic-based approaches. To fill this gap, in this paper we propose a large-scale study to empirically compare the performance of heuristic-based and machine-learning-based techniques for metric-based code smell detection. We consider five code smell types and compare machine learning models with DECOR, a state-of-the-art heuristic-based approach. Key findings emphasize the need of further research aimed at improving the effectiveness of both machine learning and heuristic approaches for code smell detection: while DECOR generally achieves better performance than a machine learning baseline, its precision is still too low to make it usable in practice. © 2019 IEEE.</t>
  </si>
  <si>
    <t>Cited by: 53</t>
  </si>
  <si>
    <t>Yokoyama H</t>
  </si>
  <si>
    <t>Machine Learning System Architectural Pattern for Improving Operational Stability</t>
  </si>
  <si>
    <t>267 – 274</t>
  </si>
  <si>
    <t>https://www.scopus.com/inward/record.uri?eid=2-s2.0-85066469510&amp;doi=10.1109%2fICSA-C.2019.00055&amp;partnerID=40&amp;md5=c7a340258c4698a2627f1d507069d861;http://dx.doi.org/10.1109/ICSA-C.2019.00055</t>
  </si>
  <si>
    <t>10.1109/ICSA-C.2019.00055</t>
  </si>
  <si>
    <t>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 © 2019 IEEE.</t>
  </si>
  <si>
    <t>Cited by: 17</t>
  </si>
  <si>
    <t>Holstein K,Vaughan JW,Daumé H,Dudík M,Wallach H</t>
  </si>
  <si>
    <t>Improving fairness in machine learning systems: What do industry practitioners need?</t>
  </si>
  <si>
    <t>https://www.scopus.com/inward/record.uri?eid=2-s2.0-85067631360&amp;doi=10.1145%2f3290605.3300830&amp;partnerID=40&amp;md5=f1365b81c262fe8ade9bfc485ab8ae11;http://dx.doi.org/10.1145/3290605.3300830</t>
  </si>
  <si>
    <t>10.1145/3290605.3300830</t>
  </si>
  <si>
    <t>The potential for machine learning (ML) systems to amplify social inequities and unfairness is receiving increasing popular and academic attention. A surge of recent work has focused on the development of algorithmic tools to assess and mitigate such unfairness. If these tools are to have a positive impact on industry practice, however, it is crucial that their design be informed by an understanding of real-world needs. Through 35 semi-structured interviews and an anonymous survey of 267 ML practitioners, we conduct the first systematic investigation of commercial product teams’ challenges and needs for support in developing fairer ML systems. We identify areas of alignment and disconnect between the challenges faced by teams in practice and the solutions proposed in the fair ML research literature. Based on these findings, we highlight directions for future ML and HCI research that will better address practitioners’ needs. © 2019 Copyright held by the owner/author(s).</t>
  </si>
  <si>
    <t>Cited by: 205; All Open Access, Green Open Access</t>
  </si>
  <si>
    <t>Suomalainen J,Juhola A,Shahabuddin S,Mämmelä A,Ahmad I</t>
  </si>
  <si>
    <t>Machine Learning Threatens 5G Security</t>
  </si>
  <si>
    <t>190822 – 190842</t>
  </si>
  <si>
    <t>https://www.scopus.com/inward/record.uri?eid=2-s2.0-85098319392&amp;doi=10.1109%2fACCESS.2020.3031966&amp;partnerID=40&amp;md5=4717a4f2a05e5ca9ebe049903e489060;http://dx.doi.org/10.1109/ACCESS.2020.3031966</t>
  </si>
  <si>
    <t>10.1109/ACCESS.2020.3031966</t>
  </si>
  <si>
    <t>Machine learning (ML) is expected to solve many challenges in the fifth generation (5G) of mobile networks. However, ML will also open the network to several serious cybersecurity vulnerabilities. Most of the learning in ML happens through data gathered from the environment. Un-scrutinized data will have serious consequences on machines absorbing the data to produce actionable intelligence for the network. Scrutinizing the data, on the other hand, opens privacy challenges. Unfortunately, most of the ML systems are borrowed from other disciplines that provide excellent results in small closed environments. The resulting deployment of such ML systems in 5G can inadvertently open the network to serious security challenges such as unfair use of resources, denial of service, as well as leakage of private and confidential information. Therefore, in this article we dig into the weaknesses of the most prominent ML systems that are currently vigorously researched for deployment in 5G.We further classify and survey solutions for avoiding such pitfalls of ML in 5G systems. © 2020 Institute of Electrical and Electronics Engineers Inc.. All rights reserved.</t>
  </si>
  <si>
    <t>Cited by: 26; All Open Access, Gold Open Access, Green Open Access</t>
  </si>
  <si>
    <t>Zhao F,Li Y,Bai L,Tian Z,Wang X</t>
  </si>
  <si>
    <t>Semi-Supervised Multi-Granularity CNNs for Text Classification: An Application in Human-Car Interaction</t>
  </si>
  <si>
    <t>68000 – 68012</t>
  </si>
  <si>
    <t>https://www.scopus.com/inward/record.uri?eid=2-s2.0-85084133224&amp;doi=10.1109%2fACCESS.2020.2985098&amp;partnerID=40&amp;md5=f9bfb7ad46c35adfc3d60bde09cba2ec;http://dx.doi.org/10.1109/ACCESS.2020.2985098</t>
  </si>
  <si>
    <t>10.1109/ACCESS.2020.2985098</t>
  </si>
  <si>
    <t>With the rapid growth of advanced driving assistance technology, how to implement human-car interaction humanely and personally becomes increasingly important. Existing methods typically rely on hand-crafted data to conduct training, which cannot fully extract information hidden in text. In this paper, we tackle the problem of label data acquisition difficulties and inadequate feature extraction via semi-supervised learning and multi-granularity learning. To fulfill the goal of label data acquisition and feature extraction, we present a novel semi-supervised multi-granularity convolutional neural networks (CNNs)-based (SSMGCNNs-based) model for an application in human-car interaction, which consists of the two-view-embedding (TVE) module and the multi-granularity CNNs (MGCNNs) module. The TVE module learns embeddings of text regions from the unlabeled user command data set and then integrate the learned tv-embeddings into MGCNNs, so that the learned tv-embedded regions are used as an additional input into MGCNNs' convolution layer to solve the problem of data annotation. MGCNNs can fully extract information hidden in text by multiple convolution kernels of the same convolution layer. We compared our model with some state-of-the-art machine learning models. On the car operation command data set, the simulation results demonstrated that, compared with CNNs, our method respectively improved 5.13%, 5.64%, 3.60% and 5.34% on precision, recall, F-1 and training loss. © 2020 IEEE.</t>
  </si>
  <si>
    <t>Ren X,Xing Z,Xia X,Lo D,Wang X,Grundy J</t>
  </si>
  <si>
    <t>Neural network-based detection of self-Admitted technical debt: From performance to explainability</t>
  </si>
  <si>
    <t>https://www.scopus.com/inward/record.uri?eid=2-s2.0-85075020632&amp;doi=10.1145%2f3324916&amp;partnerID=40&amp;md5=999bb85d4d49055dd77ca73552f91fe7;http://dx.doi.org/10.1145/3324916</t>
  </si>
  <si>
    <t>10.1145/3324916</t>
  </si>
  <si>
    <t>Technical debt is a metaphor to reflect the tradeoff software engineers make between short-Term benefits and long-Term stability. Self-Admitted technical debt (SATD), a variant of technical debt, has been proposed to identify debt that is intentionally introduced during software development, e.g., temporary fixes and workarounds. Previous studies have leveraged human-summarized patterns (which represent n-gram phrases that can be used to identify SATD) or text-mining techniques to detect SATD in source code comments. However, several characteristics of SATD features in code comments, such as vocabulary diversity, project uniqueness, length, and semantic variations, pose a big challenge to the accuracy of pattern or traditional text-mining-based SATD detection, especially for cross-project deployment. Furthermore, although traditional text-mining-based method outperforms pattern-based method in prediction accuracy, the text features it uses are less intuitive than human-summarized patterns, which makes the prediction results hard to explain. To improve the accuracy of SATD prediction, especially for cross-project prediction, we propose a Convolutional Neural Network (CNN) based approach for classifying code comments as SATD or non-SATD. To improve the explainability of our model's prediction results, we exploit the computational structure of CNNs to identify key phrases and patterns in code comments that are most relevant to SATD. We have conducted an extensive set of experiments with 62,566 code comments from 10 open-source projects and a user study with 150 comments of another three projects. Our evaluation confirms the effectiveness of different aspects of our approach and its superior performance, generalizability, adaptability, and explainability over current state-of-The-Art traditional text-mining-based methods for SATD classification. © 2019 Association for Computing Machinery. All rights reserved.</t>
  </si>
  <si>
    <t>Cited by: 62; All Open Access, Green Open Access</t>
  </si>
  <si>
    <t>Cruz M,Bernardez B,Duran A,Galindo JA,Ruiz-Cortes A</t>
  </si>
  <si>
    <t>Replication of Studies in Empirical Software Engineering: A Systematic Mapping Study, from 2013 to 2018</t>
  </si>
  <si>
    <t>26773 – 26791</t>
  </si>
  <si>
    <t>https://www.scopus.com/inward/record.uri?eid=2-s2.0-85081158422&amp;doi=10.1109%2fACCESS.2019.2952191&amp;partnerID=40&amp;md5=cb8d4bc14bd2f5ceda66a5fba9dd24f7;http://dx.doi.org/10.1109/ACCESS.2019.2952191</t>
  </si>
  <si>
    <t>10.1109/ACCESS.2019.2952191</t>
  </si>
  <si>
    <t>Context: In any discipline, replications of empirical studies are necessary to consolidate the acquired knowledge. In Software Engineering, replications have been reported since the 1990s, although their number is still small. The difficulty in publishing, the lack of guidelines, and the unavailability of replication packages are pointed out by the community as some of the main causes. Objective: Understanding the current state of replications in Software Engineering studies by evaluating current trends and evolution during the last 6 years. Method: A Systematic Mapping Study including articles published in the 2013-2018 period that report at least one replication of an empirical study in Software Engineering. Results: 137 studies were selected and analysed, identifying: i) forums; ii) authors, co-authorships and institutions; iii) most cited studies; iv) research topics addressed; v) empirical methods used; vi) temporal distribution of publications; and vii) distribution of studies according to research topics and empirical methods. Conclusions: According to our results, the most relevant forums are the Empirical Software Engineering and Information and Software Technology journals, and the Empirical Software Engineering and Measurement conference. We observed that, as in previous reviews by other researchers, most of the studies were carried out by European institutions, especially Italian, Spanish, and German researchers and institutions. The studies attracting more citations were published mainly in journals and in the International Conference on Software Engineering. Testing, requirements, and software construction were the most frequent topics of replication studies, whereas the usual empirical method was the controlled experiment. On the other hand, we identified research gaps in areas such as software engineering process, software configuration management, and software engineering economics. When analysed together with previous reviews, there is a clear increasing trend in the number of published replications in the 2013-2018 period. © 2013 IEEE.</t>
  </si>
  <si>
    <t>Valenzuela-Toledo P,Cares C,Dieguez M</t>
  </si>
  <si>
    <t>Search Based Risk Reduction Supporting the Intelligent Components Selection Process</t>
  </si>
  <si>
    <t>https://www.scopus.com/inward/record.uri?eid=2-s2.0-85081065732&amp;doi=10.1109%2fCHILECON47746.2019.8987553&amp;partnerID=40&amp;md5=5f4b8fb330a79f95632051f14db39697;http://dx.doi.org/10.1109/CHILECON47746.2019.8987553</t>
  </si>
  <si>
    <t>10.1109/CHILECON47746.2019.8987553</t>
  </si>
  <si>
    <t>In Component-Based Software Engineering, the problem of selecting software components involve several risk factors. Traditionally, these have been identified and mitigated using software project management techniques. However, the new demand for intelligent components has added complexity to the process. Despite the success and technological advances, its development in an environment ready for production faces many challenges. There are numbers of technical issues that limit their adoption and selection, due to the introduction of new risk factors, different from traditional ones. Thus, our goal is to formulate a technique to minimize the risk in the intelligent component selection process. To achieve this goal, first, we review the literature to Figure out how software project management takes care of the risk and to identify and classify the risks factor associated with intelligent software components. Second, we formulate the component selection problem as a search based optimization problem. And Third, we illustrate our proposal by presenting an example in the context of an air pollution forecasting component. As a result, we were able to: (1) identify a lack of useful tools to manage the risk factor effectively in a software project; (2) we classify intelligent component associated risk; and (3) we introduce a risk management technique that supports the component selection process by maximizing requirement accomplishment, that is, minimizing the risk of the provision of the functionalities that satisfy the requirements. Overall, our work is an initial step in using search-based optimization in risk management to the component selection process. © 2019 IEEE.</t>
  </si>
  <si>
    <t>Vogelsang A,Borg M</t>
  </si>
  <si>
    <t>Requirements engineering for machine learning: Perspectives from data scientists</t>
  </si>
  <si>
    <t>245 – 251</t>
  </si>
  <si>
    <t>https://www.scopus.com/inward/record.uri?eid=2-s2.0-85078017230&amp;doi=10.1109%2fREW.2019.00050&amp;partnerID=40&amp;md5=c2916cebb3a8b28029bcbed06ca0a357;http://dx.doi.org/10.1109/REW.2019.00050</t>
  </si>
  <si>
    <t>10.1109/REW.2019.00050</t>
  </si>
  <si>
    <t>Machine learning (ML) is used increasingly in real-world applications. In this paper, we describe our ongoing endeavor to define characteristics and challenges unique to Requirements Engineering (RE) for ML-based systems. As a first step, we interviewed four data scientists to understand how ML experts approach elicitation, specification, and assurance of requirements and expectations. The results show that changes in the development paradigm, i.e., from coding to training, also demands changes in RE. We conclude that development of ML systems demands requirements engineers to: (1) understand ML performance measures to state good functional requirements, (2) be aware of new quality requirements such as explainability, freedom from discrimination, or specific legal requirements, and (3) integrate ML specifics in the RE process. Our study provides a first contribution towards an RE methodology for ML systems. © 2019 IEEE.</t>
  </si>
  <si>
    <t>Cited by: 72; All Open Access, Green Open Access</t>
  </si>
  <si>
    <t>Pigazzini I</t>
  </si>
  <si>
    <t>Automatic detection of architectural bad smells through semantic representation of code</t>
  </si>
  <si>
    <t>59 – 62</t>
  </si>
  <si>
    <t>https://www.scopus.com/inward/record.uri?eid=2-s2.0-85081967635&amp;doi=10.1145%2f3344948.3344951&amp;partnerID=40&amp;md5=5a48b9bc34d6094cf05bed35c263ad19;http://dx.doi.org/10.1145/3344948.3344951</t>
  </si>
  <si>
    <t>10.1145/3344948.3344951</t>
  </si>
  <si>
    <t>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 © 2019 ACM.</t>
  </si>
  <si>
    <t>Burton S,Gauerhof L,Sethy BB,Habli I,Hawkins R</t>
  </si>
  <si>
    <t>Confidence Arguments for Evidence of Performance in Machine Learning for Highly Automated Driving Functions</t>
  </si>
  <si>
    <t>11699 LNCS</t>
  </si>
  <si>
    <t>365 – 377</t>
  </si>
  <si>
    <t>https://www.scopus.com/inward/record.uri?eid=2-s2.0-85072898064&amp;doi=10.1007%2f978-3-030-26250-1_30&amp;partnerID=40&amp;md5=ff9e046c42e97d445275b34d7f963329;http://dx.doi.org/10.1007/978-3-030-26250-1_30</t>
  </si>
  <si>
    <t>10.1007/978-3-030-26250-1_30</t>
  </si>
  <si>
    <t>Due to their ability to efficiently process unstructured and highly dimensional input data, machine learning algorithms are being applied to perception tasks for highly automated driving functions. The consequences of failures and insufficiencies in such algorithms are severe and a convincing assurance case that the algorithms meet certain safety requirements is therefore required. However, the task of demonstrating the performance of such algorithms is non-trivial, and as yet, no consensus has formed regarding an appropriate set of verification measures. This paper provides a framework for reasoning about the contribution of performance evidence to the assurance case for machine learning in an automated driving context and applies the evaluation criteria to a pedestrian recognition case study. © 2019, Springer Nature Switzerland AG.</t>
  </si>
  <si>
    <t>Whiting E,Andrews S</t>
  </si>
  <si>
    <t>Drift and Erosion in Software Architecture: Summary and Prevention Strategies</t>
  </si>
  <si>
    <t>132 – 138</t>
  </si>
  <si>
    <t>https://www.scopus.com/inward/record.uri?eid=2-s2.0-85092439686&amp;doi=10.1145%2f3404663.3404665&amp;partnerID=40&amp;md5=08b95073fd61b0470975774e26bbd3b6;http://dx.doi.org/10.1145/3404663.3404665</t>
  </si>
  <si>
    <t>10.1145/3404663.3404665</t>
  </si>
  <si>
    <t>Disciplined practice of software architecture, and the broader encompassing discipline of software design, is fundamental to a project's success in every stage of the software life cycle. Choosing and implementing an appropriate architecture maximizes team velocity by structuring a project to meet business needs and adhere to quality standards. One enemy of good architecture is architecture drift, where software systems implement an architecture that is not specified. Even worse, architecture erosion threatens projects in the form of design decisions that violate prescriptive architecture as well as quality attributes. In this paper, we will discuss the importance of a reliable architecture, the symptoms of architecture drift and erosion, and some of the existing tools and methods used to combat them. © 2020 ACM.</t>
  </si>
  <si>
    <t>Montandon JE,Lourdes Silva L,Valente MT</t>
  </si>
  <si>
    <t>Identifying experts in software libraries and frameworks among GitHub Users</t>
  </si>
  <si>
    <t>276 – 287</t>
  </si>
  <si>
    <t>2160-1852</t>
  </si>
  <si>
    <t>https://www.scopus.com/inward/record.uri?eid=2-s2.0-85072316214&amp;doi=10.1109%2fMSR.2019.00054&amp;partnerID=40&amp;md5=19878e711266006c188cc4411ce4cf11;http://dx.doi.org/10.1109/MSR.2019.00054</t>
  </si>
  <si>
    <t>10.1109/MSR.2019.00054</t>
  </si>
  <si>
    <t>Software development increasingly depends on libraries and frameworks to increase productivity and reduce time-to-market. Despite this fact, we still lack techniques to assess developers expertise in widely popular libraries and frameworks. In this paper, we evaluate the performance of unsupervised (based on clustering) and supervised machine learning classifiers (Random Forest and SVM) to identify experts in three popular JavaScript libraries: facebook/react, mongodb/node-mongodb, and socketio/socket.io. First, we collect 13 features about developers activity on GitHub projects, including commits on source code files that depend on these libraries. We also build a ground truth including the expertise of 575 developers on the studied libraries, as self-reported by them in a survey. Based on our findings, we document the challenges of using machine learning classifiers to predict expertise in software libraries, using features extracted from GitHub. Then, we propose a method to identify library experts based on clustering feature data from GitHub; by triangulating the results of this method with information available on Linkedin profiles, we show that it is able to recommend dozens of GitHub users with evidences of being experts in the studied JavaScript libraries. We also provide a public dataset with the expertise of 575 developers on the studied libraries. © 2019 IEEE.</t>
  </si>
  <si>
    <t>Cited by: 26; All Open Access, Green Open Access</t>
  </si>
  <si>
    <t>Is using deep learning frameworks free? characterizing technical debt in deep learning frameworks</t>
  </si>
  <si>
    <t>https://www.scopus.com/inward/record.uri?eid=2-s2.0-85092712028&amp;doi=10.1145%2f3377815.3381377&amp;partnerID=40&amp;md5=98ed3c4b97ddeac843854ee0c5ca9648;http://dx.doi.org/10.1145/3377815.3381377</t>
  </si>
  <si>
    <t>10.1145/3377815.3381377</t>
  </si>
  <si>
    <t>Developers of deep learning applications (shortened as application developers) commonly use deep learning frameworks in their projects. However, due to time pressure, market competition, and cost reduction, developers of deep learning frameworks (shortened as framework developers) often have to sacrifice software quality to satisfy a shorter completion time. This practice leads to technical debt in deep learning frameworks, which results in the increasing burden to both the application developers and the framework developers in future development. In this paper, we analyze the comments indicating technical debt (self-admitted technical debt) in 7 of the most popular open-source deep learning frameworks. Although framework developers are aware of such technical debt, typically the application developers are not. We find that: 1) there is a significant number of technical debt in all the studied deep learning frameworks. 2) there is design debt, defect debt, documentation debt, test debt, requirement debt, compatibility debt, and algorithm debt in deep learning frameworks. 3) the majority of the technical debt in deep learning framework is design debt (24.07% - 65.27%), followed by requirement debt (7.09% - 31.48%) and algorithm debt (5.62% - 20.67%). In some projects, compatibility debt accounts for more than 10%. These findings illustrate that technical debt is common in deep learning frameworks, and many types of technical debt also impact the deep learning applications. Based on our findings, we highlight future research directions and provide recommendations for practitioners. © 2020 Association for Computing Machinery.</t>
  </si>
  <si>
    <t>ACM International Conference Proceeding Series</t>
  </si>
  <si>
    <t>https://www.scopus.com/inward/record.uri?eid=2-s2.0-85123043342&amp;partnerID=40&amp;md5=68470ed13b4aa7d6c28ef0e465cfb0f4</t>
  </si>
  <si>
    <t>The proceedings contain 41 papers. The topics discussed include: open tools for software engineering: validation of a theory of openness in the automotive industry; an analysis of inheritance hierarchy evolution; model-integrated queries for the analysis of runtime events: a controlled experiment; practitioner evaluations on software testing tools; automated classification of class role-stereotypes via machine learning; preliminary evaluation of an ontology-based contextualized learning system for software security; features that predict the acceptability of java and JavaScript answers on stack overflow; comparing the effectiveness of using design and code measures in software faultiness estimation; monitoring technical debt in an industrial setting; and problems with statistical practice in software engineering research.</t>
  </si>
  <si>
    <t>Siva Kumar RS,Nystrom M,Lambert J,Marshall A,Goertzel M,Comissoneru A,Swann M,Xia S</t>
  </si>
  <si>
    <t>Adversarial machine learning-industry perspectives</t>
  </si>
  <si>
    <t>69 – 75</t>
  </si>
  <si>
    <t>https://www.scopus.com/inward/record.uri?eid=2-s2.0-85099729767&amp;doi=10.1109%2fSPW50608.2020.00028&amp;partnerID=40&amp;md5=131f5e4b40359a78039d7de9b9f2a22d;http://dx.doi.org/10.1109/SPW50608.2020.00028</t>
  </si>
  <si>
    <t>10.1109/SPW50608.2020.00028</t>
  </si>
  <si>
    <t>Based on interviews with 28 organizations, we found that industry practitioners are not equipped with tactical and strategic tools to protect, detect and respond to attacks on their Machine Learning (ML) systems. We leverage the insights from the interviews and enumerate the gaps in securing machine learning systems when viewed in the context of traditional software security development. We write this paper from the perspective of two personas: developers/ML engineers and security incident responders. The goal of this paper is to layout the research agenda to amend the Security Development Lifecycle for industrial-grade software in the adversarial ML era. © 2020 IEEE.</t>
  </si>
  <si>
    <t>Cited by: 34; All Open Access, Bronze Open Access, Green Open Access</t>
  </si>
  <si>
    <t>Khomyakov I,Makhmutov Z,Mirgalimova R,Sillitti A</t>
  </si>
  <si>
    <t>An Analysis of Automated Technical Debt Measurement</t>
  </si>
  <si>
    <t>378 LNBIP</t>
  </si>
  <si>
    <t>250 – 273</t>
  </si>
  <si>
    <t>https://www.scopus.com/inward/record.uri?eid=2-s2.0-85081550029&amp;doi=10.1007%2f978-3-030-40783-4_12&amp;partnerID=40&amp;md5=cb94fa62fd9b58db70b77925477cb13d;http://dx.doi.org/10.1007/978-3-030-40783-4_12</t>
  </si>
  <si>
    <t>10.1007/978-3-030-40783-4_12</t>
  </si>
  <si>
    <t>Background: Measuring and understanding Technical Debt (TD) is quite complex since there are a number of different definitions and techniques that have been proposed in the last few years and it is not clear which ones should be used in which conditions. The approaches proposed are almost never based on the existing ones and their validation is often performed in a very limited number of projects. For this reasons, practitioners are confused and find difficult to apply such approaches in their projects. Goals: This paper investigates the available techniques for evaluating TD using automated tools aiming at helping practitioners and researcher in understanding the available options and apply them correctly. Method: The study has been performed as a Systematic Literature Review (SLR) applied to 835 studies obtained from the three largest digital libraries and databases. Results: After applying all filtering stages, 38 papers out of 835 have been selected and analyzed in depth. Almost all of them propose novel approaches to measure TD using different criteria and they do not extend or validate existing approaches. Conclusions: The area is not mature and it lacks independent evaluations of the models proposed. Authors focus on proposing new approaches and no consolidation can be identified. Moreover, almost all the approaches proposed are automated only partially and through prototype tools designed just to support the studies analyzed in the paper in which the approach is proposed and rarely maintained. These facts makes difficult the application of such methods by practitioners. © Springer Nature Switzerland AG 2020.</t>
  </si>
  <si>
    <t>Knechtl V,Caseri M,Lumpert F,Hotz C,Sigg C</t>
  </si>
  <si>
    <t>Detecting temperature induced spurious precipitation in a weighing rain gauge</t>
  </si>
  <si>
    <t>Meteorologische Zeitschrift</t>
  </si>
  <si>
    <t>215 – 224</t>
  </si>
  <si>
    <t>Gebruder Borntraeger Verlagsbuchhandlung</t>
  </si>
  <si>
    <t>0941-2948</t>
  </si>
  <si>
    <t>https://www.scopus.com/inward/record.uri?eid=2-s2.0-85073675359&amp;doi=10.1127%2fmetz%2f2019%2f0934&amp;partnerID=40&amp;md5=33bed54e7cebeb47fc1c700e4a4a537d;http://dx.doi.org/10.1127/metz/2019/0934</t>
  </si>
  <si>
    <t>10.1127/metz/2019/0934</t>
  </si>
  <si>
    <t>We present a quality control algorithm to detect spurious precipitation events, which occur at weighing rain gauges in the automated precipitation monitoring network of MeteoSwiss. Although small in intensity, the spurious precipitation events must be removed during routine quality control, because they have a negative impact on climatological and meteorological applications of precipitation data. Automated monitoring, expert inspection and systematic analysis lead to the hypothesis that spurious precipitation is induced by rapid temperature changes at the load cell of the weighing rain gauge. Constrained by the black box nature of the signal processing performed by the firmware, we trained a statistical classifier on features extracted from measurements provided by the weighing gauge, and expert labels obtained from the routine quality control. The high sensitivity and specificity of the trained Support Vector Machine provide strong evidence in favor of the hypothesis. Furthermore, the classifier is suitable for operational deployment as an automated real-time quality control test, flagging individual 10-minute precipitation intensities as either spurious or non-spurious. Our results also suggest that a modification of the instrument should be possible, such that it will not generate spurious measurements in the first place. We are therefore collaborating with the manufacturer on possible software and hardware improvements to the instrument. © 2019 The authors</t>
  </si>
  <si>
    <t>Zhu K,Zhang N,Ying S,Zhu D</t>
  </si>
  <si>
    <t>Within-project and cross-project just-in-time defect prediction based on denoising autoencoder and convolutional neural network</t>
  </si>
  <si>
    <t>185 – 195</t>
  </si>
  <si>
    <t>https://www.scopus.com/inward/record.uri?eid=2-s2.0-85087734994&amp;doi=10.1049%2fiet-sen.2019.0278&amp;partnerID=40&amp;md5=509ae309532d980eadff266de8bb29d3;http://dx.doi.org/10.1049/iet-sen.2019.0278</t>
  </si>
  <si>
    <t>10.1049/iet-sen.2019.0278</t>
  </si>
  <si>
    <t>Just-in-time defect prediction is an important and useful branch in software defect prediction. At present, deep learning is a research hotspot in the field of artificial intelligence, which can combine basic defect features into deep semantic features and make up for the shortcomings of machine learning algorithms. However, the mainstream deep learning techniques have not been applied yet in just-in-time defect prediction. Therefore, the authors propose a novel just-in-time defect prediction model named DAECNN-JDP based on denoising autoencoder and convolutional neural network in this study, which has three main advantages: (i) Different weights for the position vector of each dimension feature are set, which can be automatically trained by adaptive trainable vector. (ii) Through the training of denoising autoencoder, the input features that are not contaminated by noise can be obtained, thus learning more robust feature representation. (iii) The authors leverage a powerful representation-learning technique, convolution neural network, to construct the basic change features into the abstract deep semantic features. To evaluate the performance of the DAECNN-JDP model, they conduct extensive within-project and cross-project defect prediction experiments on six large open source projects. The experimental results demonstrate that the superiority of DAECNN-JDP on five evaluation metrics. © The Institution of Engineering and Technology 2020</t>
  </si>
  <si>
    <t>Cited by: 16; All Open Access, Bronze Open Access</t>
  </si>
  <si>
    <t>Tian F,Lu F,Liang P,Babar MA</t>
  </si>
  <si>
    <t>Automatic identification of architecture smell discussions from stack overflow</t>
  </si>
  <si>
    <t>PartF162440</t>
  </si>
  <si>
    <t>451 – 456</t>
  </si>
  <si>
    <t>https://www.scopus.com/inward/record.uri?eid=2-s2.0-85090507319&amp;doi=10.18293%2fSEKE2020-084&amp;partnerID=40&amp;md5=23ffd13ecb661a485d23117a4e4a8c80;http://dx.doi.org/10.18293/SEKE2020-084</t>
  </si>
  <si>
    <t>10.18293/SEKE2020-084</t>
  </si>
  <si>
    <t>Architecture Smells (ASs), as one source of technical debt, indicate underlying problems at a high level of systems and negatively impact various system qualities, such as maintainability and evolvability. Detecting and refactoring ASs requires the relevant architectural knowledge and experience. Therefore, gathering the knowledge of ASs from various sources can facilitate ASs detecting and refactoring. However, manually identifying AS knowledge is time-consuming. Automatically and correctly identifying AS-related posts from Stack Overflow is a step toward utilizing the AS knowledge to help developers better maintain their systems. In this work, we propose an approach to automatically identify AS-related posts from Stack Overflow (SoF) by using machine learning algorithms. We evaluate the performance of 12 classifiers based on 3 feature extraction techniques and 4 classification algorithms with a created dataset of SoF posts (including 208 AS-related posts and 187 AS-unrelated posts). The results demonstrate that the SVM algorithm with Word2Vec achieved the best overall performance with an accuracy of 0.650, a precision of 0.613, a recall of 0.905, and an F1-score of 0.731. These results imply that the obtained model of the AS-related posts identification can be used to aid developers and researchers in collecting AS discussions from SoF. © 2020 Knowledge Systems Institute Graduate School. All rights reserved.</t>
  </si>
  <si>
    <t>Wen C,Lin J,Darrell T,Jayaraman D,Gao Y</t>
  </si>
  <si>
    <t>Fighting copycat agents in behavioral cloning from observation histories</t>
  </si>
  <si>
    <t>https://www.scopus.com/inward/record.uri?eid=2-s2.0-85102034258&amp;partnerID=40&amp;md5=5cfe70c132f0587b2ec367ef0af48bec</t>
  </si>
  <si>
    <t>Imitation learning trains policies to map from input observations to the actions that an expert would choose. In this setting, distribution shift frequently exacerbates the effect of misattributing expert actions to nuisance correlates among the observed variables. We observe that a common instance of this causal confusion occurs in partially observed settings when expert actions are strongly correlated over time: the imitator learns to cheat by predicting the expert’s previous action, rather than the next action. To combat this “copycat problem”, we propose an adversarial approach to learn a feature representation that removes excess information about the previous expert action nuisance correlate, while retaining the information necessary to predict the next action. In our experiments, our approach improves performance significantly across a variety of partially observed imitation learning tasks. © 2020 Neural information processing systems foundation. All rights reserved.</t>
  </si>
  <si>
    <t>Wu X,Zheng W,Chen X,Wang F,Mu D</t>
  </si>
  <si>
    <t>CVE-assisted large-scale security bug report dataset construction method</t>
  </si>
  <si>
    <t>https://www.scopus.com/inward/record.uri?eid=2-s2.0-85074980613&amp;doi=10.1016%2fj.jss.2019.110456&amp;partnerID=40&amp;md5=23e143e2efb99dffae256ae090910f7c;http://dx.doi.org/10.1016/j.jss.2019.110456</t>
  </si>
  <si>
    <t>10.1016/j.jss.2019.110456</t>
  </si>
  <si>
    <t>Identifying SBRs (security bug reports) is crucial for eliminating security issues during software development. Machine learning are promising ways for SBR prediction. However, the effectiveness of the state-of-the-art machine learning models depend on high-quality datasets, while gathering large-scale datasets are expensive and tedious. To solve this issue, we propose an automated data labeling approach based on iterative voting classification. It starts with a small group of ground-truth traing samples, which can be labeled with the help of authoritative vulnerability records hosted in CVE (Common Vulnerabilities and Exposures). The accuracy of the prediction model is improved with an iterative voting strategy. By using this approach, we label over 80k bug reports from OpenStack and 40k bug reports from Chromium. The correctness of these labels are then manually reviewed by three experienced security testing members. Finally, we construct a large-scale SBR dataset with 191 SBRs and 88,472 NSBRs (non-security bug reports) from OpenStack; and improve the quality of existing SBR dataset Chromium by identifying 64 new SBRs from previously labeled NSBRs and filtering out 173 noise bug reports from this dataset. These share datasets as well as the proposed dataset construction method help to promote research progress in SBR prediction research domain. © 2019 Elsevier Inc.</t>
  </si>
  <si>
    <t>Zsigmond I,Bocicor MI,Molnar AJ</t>
  </si>
  <si>
    <t>Gamification based learning environment for computer science students</t>
  </si>
  <si>
    <t>556 – 563</t>
  </si>
  <si>
    <t>https://www.scopus.com/inward/record.uri?eid=2-s2.0-85088377053&amp;partnerID=40&amp;md5=680d2c47b68278e24eac605a0e70c204</t>
  </si>
  <si>
    <t>In the present paper we propose an integrated system that acts as a gamification-driven learning environment for computer science students. Gamification elements have been successfully applied in many fields, resulting in increased involvement of individuals and improved outcomes. Our idea is to employ a well-known aspect of gamification - awarding badges, to students who solve their assignments while observing best practices. The system is deployed as a standalone server having a web front-end through which students submit assignment source code. The system checks submissions for plagiarism using Stanford's MOSS, and statically analyzes it via SonarQube, where a custom set of rules is applied. Finally, the program is executed in a sandboxed environment with input/output redirection and a number of predefined test cases. Badges are awarded based on the results of static and dynamic analyses. Components of the proposed system were previously evaluated within several University computer science courses and their positive impact was noted by both students and teaching staff. © Copyright 2020 by SCITEPRESS - Science and Technology Publications, Lda. All rights reserved.</t>
  </si>
  <si>
    <t>Ni C,Chen X,Xia X,Gu Q,Zhao Y</t>
  </si>
  <si>
    <t>Multitask defect prediction</t>
  </si>
  <si>
    <t>https://www.scopus.com/inward/record.uri?eid=2-s2.0-85071777875&amp;doi=10.1002%2fsmr.2203&amp;partnerID=40&amp;md5=d35f88df732c6388924b13ceafe7b8d0;http://dx.doi.org/10.1002/smr.2203</t>
  </si>
  <si>
    <t>10.1002/smr.2203</t>
  </si>
  <si>
    <t>Within-project defect prediction assumes that we have sufficient labeled data from the same project, while cross-project defect prediction assumes that we have plenty of labeled data from source projects. However, in practice, we might only have limited labeled data from both the source and target projects in some scenarios. In this paper, we want to apply multitask learning to investigate such a new scenario. To our best knowledge, this problem (ie, both the source project and the target project have limited labeled data) has not been thoroughly investigated, and we are the first to propose a novel multitask defect prediction approach mask. mask consists of a differential evolution optimization phase and a multitask learning phase. The former phase aims to find optimal weights for shared and nonshared information in related projects (ie, the target project and its related source projects), while the latter phase builds prediction models for each project simultaneously. To verify the effectiveness of mask, we perform experimental studies on 18 real-world software projects and compare our approach with four state-of-the-art baseline approaches: single-task learning (STL), simple combined learning (SCL), Peters filter, and Burak filter. Experimental results show that mask can achieve F1 of 0.397 and AUC of 0.608 on average with a few labeled data (ie, 10% of data). Across the 18 projects, mask can outperform baseline methods significantly in terms of F1 and AUC. Therefore, by utilizing the relatedness among multiple projects, mask can perform significantly better than the state-of-the-art methods. The results confirm that mask is promising for software defect prediction when the source and target projects both have limited training data. © 2019 John Wiley &amp; Sons, Ltd.</t>
  </si>
  <si>
    <t>Rajaraman R,Kapur PK,Kumar D</t>
  </si>
  <si>
    <t>Determining Software Inter-Dependency Patterns for Integration Testing by applying Machine learning on Logs and Telemetry data</t>
  </si>
  <si>
    <t>1080 – 1084</t>
  </si>
  <si>
    <t>https://www.scopus.com/inward/record.uri?eid=2-s2.0-85093084744&amp;doi=10.1109%2fICRITO48877.2020.9197868&amp;partnerID=40&amp;md5=01de343202350ecdf1747a86eded5cba;http://dx.doi.org/10.1109/ICRITO48877.2020.9197868</t>
  </si>
  <si>
    <t>10.1109/ICRITO48877.2020.9197868</t>
  </si>
  <si>
    <t>Businesses running software applications are moving more towards vendor-agnostic approaches. Integration testing becoming more demanding and complex than ever. Determining integration testing requires a solid dependency pattern among different software applications. We would like to use here an NLP (Natural language processing) Machine learning Classification model-based approach to identify the dependency graph between different component across applications. There are existing approaches eliciting about package dependencies and source code-based dependencies. In this paper, we would like to introduce an approach to understand the communication dependencies between products rather than just high-level package or install dependencies. The communication dependencies will be prioritized based on the frequency and criticality of usage. The prioritization helps us in determining the software inter-dependency patterns for Integration testing. © 2020 IEEE.</t>
  </si>
  <si>
    <t>Nalchigar S,Yu E,Obeidi Y,Carbajales S,Green J,Chan A</t>
  </si>
  <si>
    <t>Solution Patterns for Machine Learning</t>
  </si>
  <si>
    <t>11483 LNCS</t>
  </si>
  <si>
    <t>627 – 642</t>
  </si>
  <si>
    <t>https://www.scopus.com/inward/record.uri?eid=2-s2.0-85067357790&amp;doi=10.1007%2f978-3-030-21290-2_39&amp;partnerID=40&amp;md5=84b52947fbd4ff3d7df1a1600fdbd3ba;http://dx.doi.org/10.1007/978-3-030-21290-2_39</t>
  </si>
  <si>
    <t>10.1007/978-3-030-21290-2_39</t>
  </si>
  <si>
    <t>Despite the hype around machine learning (ML), many organizations are struggling to derive business value from ML capabilities. Design patterns have long been used in software engineering to enhance design effectiveness and to speed up the development process. The contribution of this paper is two-fold. First, it introduces solution patterns as an explicit way of representing generic and well-proven ML designs for commonly-known and recurring business analytics problems. Second, it reports on the feasibility, expressiveness, and usefulness of solution patterns for ML, in collaboration with an industry partner. It provides a prototype architecture for supporting the use of solution patterns in real world scenarios. It presents a proof-of-concept implementation of the architecture and illustrates its feasibility. Findings from the collaboration suggest that solution patterns can have a positive impact on ML design and development efforts. © 2019, Springer Nature Switzerland AG.</t>
  </si>
  <si>
    <t>Brando A,Torres D,Rodriguez-Serrano JA,Vitria J</t>
  </si>
  <si>
    <t>Building Uncertainty Models on Top of Black-Box Predictive APIs</t>
  </si>
  <si>
    <t>121344 – 121356</t>
  </si>
  <si>
    <t>https://www.scopus.com/inward/record.uri?eid=2-s2.0-85088861187&amp;doi=10.1109%2fACCESS.2020.3006711&amp;partnerID=40&amp;md5=9ea2c26302aefb28b429868eac48f273;http://dx.doi.org/10.1109/ACCESS.2020.3006711</t>
  </si>
  <si>
    <t>10.1109/ACCESS.2020.3006711</t>
  </si>
  <si>
    <t>With the commoditization of machine learning, more and more off-the-shelf models are available as part of code libraries or cloud services. Typically, data scientists and other users apply these models as 'black boxes' within larger projects. In the case of regressing a scalar quantity, such APIs typically offer a predict() function, which outputs the estimated target variable (often referred to as \hat y or, in code, y_hat). However, many real-world problems may require some sort of deviation interval or uncertainty score rather than a single point-wise estimate. In other words, a mechanism is needed with which to answer the question 'How confident is the system about that prediction?' Motivated by the lack of this characteristic in most predictive APIs designed for regression purposes, we propose a method that adds an uncertainty score to every black-box prediction. Since the underlying model is not accessible, and therefore standard Bayesian approaches are not applicable, we adopt an empirical approach and fit an uncertainty model using a labelled dataset (x,y) and the outputs \hat y of the black box. In order to be able to use any predictive system as a black box and adapt to its complex behaviours, we propose three variants of an uncertainty model based on deep networks. The first adds a heteroscedastic noise component to the black-box output, the second predicts the residuals of the black box, and the third performs quantile regression using deep networks. Experiments using real financial data that contain an in-production black-box system and two public datasets (energy forecasting and biology responses) illustrate and quantify how uncertainty scores can be added to black-box outputs. © 2013 IEEE.</t>
  </si>
  <si>
    <t>Dineva K,Atanasova T</t>
  </si>
  <si>
    <t>Machine learning solution for iot big data</t>
  </si>
  <si>
    <t>207 – 214</t>
  </si>
  <si>
    <t>International Multidisciplinary Scientific Geoconference</t>
  </si>
  <si>
    <t>1314-2704</t>
  </si>
  <si>
    <t>https://www.scopus.com/inward/record.uri?eid=2-s2.0-85099723672&amp;doi=10.5593%2fsgem2020%2f2.1%2fs07.027&amp;partnerID=40&amp;md5=a2c61d7ad9145169efb9c0e826a061dc;http://dx.doi.org/10.5593/sgem2020/2.1/s07.027</t>
  </si>
  <si>
    <t>10.5593/sgem2020/2.1/s07.027</t>
  </si>
  <si>
    <t>Nowadays it is critical to have the ability to quickly and reliably fetch huge amounts of heterogeneous data and apply Machine Learning (ML) models against it for better decision making. Successful processing of streams with data is crucial for real-time operations like extracting, filtering, transforming, aggregating with other data sources, persisting data to data warehouses, publishing to a different messaging topics or pipelines. With Machine Learning gaining high in popularity serious concerns are appearing around the performance of the Machine Learning models in production and there is a reason for that. It is essential to choose wisely the right technologies used for creating robust data pipelines, deploying accurate Machine Learning models and monitoring the performance in production environments. In this paper, an approach is proposed for building a distributed platform using a messaging system which is capable of extracting, processing, and analyzing information from streaming data in real-time. Kafka streaming concepts for ingesting data are discussed along with ways to operationalize the data pipelines. Using Spark Structured Streaming for enriching Kafka events with a Machine Learning algorithm is shown. With streaming data continuing to arrive, the Spark engine will react to the data changes and will incrementally and continuously process the data. Important conceptual reasons are discussed that are explaining the factors which have a huge impact on the accuracy and the performance of the deployed Machine Learning models in a production environment. The overall improved result can be used later to produce the proper conclusions and better predictions. © 2020 International Multidisciplinary Scientific Geoconference. All rights reserved.</t>
  </si>
  <si>
    <t>Silva PR,dos Santos V,Souza ÉF,Meinerz GV,Felizardo KR,Vijaykumar NL</t>
  </si>
  <si>
    <t>Extraction of useful information from unstructured data in software engineering: A systematic mapping</t>
  </si>
  <si>
    <t>CIbSE - IberoAmerican Conference on Software Engineering Steering Committee</t>
  </si>
  <si>
    <t>https://www.scopus.com/inward/record.uri?eid=2-s2.0-85092287665&amp;partnerID=40&amp;md5=8238ee074e3e0cb1fbdfe7ca6e7d964e</t>
  </si>
  <si>
    <t>Context: A large number of information is generated and manipulated in Software Engineering (SE) projects. The technology surrounding this domain is constantly evolving. To keep up with such evolution, developers share their knowledge and seek help from other developers by means of interactive and collaborative environments. Understanding and extracting knowledge from these environments can enable developers to identify useful information for the project. Objective: This work aims to identify the main textual analysis approaches to extract useful information in the SE. Method: To achieve the proposed objective, we conducted a Systematic Mapping (SM). Results: We analyzed 69 relevant primary studies addressing approaches to extract useful information in the SE. Conclusion: Among the main conclusions of this study, we can infer that discussion forums attracted a significantly attention in SE context and it becomes one of the main textual databases investigated to extract useful information. © CIbSE 2020.</t>
  </si>
  <si>
    <t>Flisar J,Podgorelec V</t>
  </si>
  <si>
    <t>Identification of Self-Admitted Technical Debt Using Enhanced Feature Selection Based on Word Embedding</t>
  </si>
  <si>
    <t>106475 – 106494</t>
  </si>
  <si>
    <t>https://www.scopus.com/inward/record.uri?eid=2-s2.0-85071142564&amp;doi=10.1109%2fACCESS.2019.2933318&amp;partnerID=40&amp;md5=07d8d7c4cdc5cdb07cce1aa595c35180;http://dx.doi.org/10.1109/ACCESS.2019.2933318</t>
  </si>
  <si>
    <t>10.1109/ACCESS.2019.2933318</t>
  </si>
  <si>
    <t>Self-admitted technical debt (SATD) is annotated in source code comments by developers and has been recognized as a great source of discovering flawed software. To reduce manual effort, some recent studies have focused on automated detection of SATD using text classification methods. To train their classifier, these methods need labeled samples, which also require a lot of effort to obtain. We developed a new SATD identification method, which takes advantage of a large corpus of unlabeled code comments, extracted from open source projects, to train a word embedding model. After applying feature selection, the pre-trained word embedding is used for discovering semantically similar features in source code comments to enhance the original feature set. By using such enhanced feature set for classification, our goal was to improve the identification of SATD when compared to existing methods. The proposed feature enhancement method was used with the three most common feature selection methods (CHI, IG, and MI), and three well-known text classification algorithms (NB, SVM, and ME) and was tested on ten open source projects. The experimental results show a significant improvement in SATD identification over the compared methods. With an achieved 82% of correct predictions of SATD, the proposed method seems to be a good candidate to be adopted in practice. © 2013 IEEE.</t>
  </si>
  <si>
    <t>Cited by: 17; All Open Access, Gold Open Access</t>
  </si>
  <si>
    <t>Mendes TS,Gomes FG,Gonçalves DP,Mendonça MG,Novais RL,Spínola RO</t>
  </si>
  <si>
    <t>VisminerTD: a tool for automatic identification and interactive monitoring of the evolution of technical debt items</t>
  </si>
  <si>
    <t>Journal of the Brazilian Computer Society</t>
  </si>
  <si>
    <t>Springer London</t>
  </si>
  <si>
    <t>0104-6500</t>
  </si>
  <si>
    <t>https://www.scopus.com/inward/record.uri?eid=2-s2.0-85060256649&amp;doi=10.1186%2fs13173-018-0083-1&amp;partnerID=40&amp;md5=c21c544db4400d0adf9f90a1f2fe7b5a;http://dx.doi.org/10.1186/s13173-018-0083-1</t>
  </si>
  <si>
    <t>10.1186/s13173-018-0083-1</t>
  </si>
  <si>
    <t>Technical debt (TD) contextualizes problems faced during software evolution considering the tasks that are not carried out adequately during software development. Software TD is a type of debt that brings a short-term benefit, but which may have to be paid with interest later on in the software development life cycle. Its presence brings risks to the project and can reduce its quality. It is worthwhile to have automatic mechanisms to monitor it, as TD monitoring requires the analysis of large amounts of complex data. Therefore, the combination of software metrics and code comment analysis, in the identification, and information visualization techniques, in monitoring, present themselves as a promising strategy to manage TD. This work presents VisminerTD, a tool that allows the automatic identification and interactive monitoring of the evolution of TD items by combining software metrics, code comment analysis, and information visualization. To evaluate its applicability, a feasibility study was carried out considering JUnit 4 and Apache Ant software projects. The results indicated that VisminerTD can support software development teams in monitoring TD items. In addition, a second case study was performed to assess the feasibility of the proposed tool regarding its usefulness, ease of use, and self-predicted future use. The results provided positive evidence on the use of the proposed tool, indicating (i) that it can be useful in supporting TD Identification and TD monitoring activities and (ii) that it can bring gains in terms of comprehensiveness and efficacy when evaluating the desirable time to identify and monitor different types of debt. Given the current scenario characterized by limited options of tools that combine different information to support automatic identification and monitoring of the evolution of TD items in software projects, VisminerTD can approximate the state-of-the-art and the state-of-the-practice in the TD area, contributing to a wider dissemination of the concept. © 2019, The Author(s).</t>
  </si>
  <si>
    <t>Krishnamurthy A,Langford J,Slivkins A,Zhang C</t>
  </si>
  <si>
    <t>Contextual bandits with continuous actions: Smoothing, zooming, and adapting</t>
  </si>
  <si>
    <t>Journal of Machine Learning Research</t>
  </si>
  <si>
    <t>Microtome Publishing</t>
  </si>
  <si>
    <t>1532-4435</t>
  </si>
  <si>
    <t>https://www.scopus.com/inward/record.uri?eid=2-s2.0-85094889936&amp;partnerID=40&amp;md5=ed9c3e56fdaf670df68f4f687d9f51fb</t>
  </si>
  <si>
    <t>We study contextual bandit learning with an abstract policy class and continuous action space. We obtain two qualitatively different regret bounds: one competes with a smoothed version of the policy class under no continuity assumptions, while the other requires standard Lipschitz assumptions. Both bounds exhibit data-dependent zoomingbehavior and, with no tuning, yield improved guarantees for benign problems. We also study adapting to unknown smoothness parameters, establishing a price-of-adaptivity and deriving optimal adaptive algorithms that require no additional information. © 2020 Akshay Krishnamurthy, John Langford, Aleksandrs Slivkins, Chicheng Zhang.</t>
  </si>
  <si>
    <t>Namiot D,Romanov V</t>
  </si>
  <si>
    <t>On Data Analysis of Software Repositories</t>
  </si>
  <si>
    <t>1140 CCIS</t>
  </si>
  <si>
    <t>263 – 272</t>
  </si>
  <si>
    <t>https://www.scopus.com/inward/record.uri?eid=2-s2.0-85081054508&amp;doi=10.1007%2f978-3-030-37436-5_24&amp;partnerID=40&amp;md5=89d006a2c8a3d2f0f7912efbf6ef7419;http://dx.doi.org/10.1007/978-3-030-37436-5_24</t>
  </si>
  <si>
    <t>10.1007/978-3-030-37436-5_24</t>
  </si>
  <si>
    <t>This article discusses the analysis of software repositories using data analysis methods. A review is made of methods for analyzing programs based on information retrieved from the program code stored in code repositories. A review is made of methods for analyzing programs based on information retrieved from the program code stored in repositories. The article reviews the works that apply methods of classification, clustering and depth learning in software development. For example, for classifying and predicting errors, changing the properties of code in the process of its evolution, detecting design flaws and debts, assist for code refactoring. The main ultimate goal for all models is, of course, an automation of programming. In practice, we are talking about more simple tasks. This includes, for example, information retrieval (program code), error prediction, clone detection, link analysis, evolution analysis, etc. Firstly, we discuss recurrent neural networks and their deployment for the analysis of software repositories. In the simplest case, recurrent networks model a programming language as a sequence of characters. Also, the paper covers clustering and topic modeling. © Springer Nature Switzerland AG 2020.</t>
  </si>
  <si>
    <t>Tommasel A</t>
  </si>
  <si>
    <t>Applying Social Network Analysis Techniques to Architectural Smell Prediction</t>
  </si>
  <si>
    <t>254 – 261</t>
  </si>
  <si>
    <t>https://www.scopus.com/inward/record.uri?eid=2-s2.0-85066501193&amp;doi=10.1109%2fICSA-C.2019.00053&amp;partnerID=40&amp;md5=a34e08bd8e80ebe987ae44f49dc7895a;http://dx.doi.org/10.1109/ICSA-C.2019.00053</t>
  </si>
  <si>
    <t>10.1109/ICSA-C.2019.00053</t>
  </si>
  <si>
    <t>As a software system evolves, the amount and complexity of the interactions amongst its components is likely to increase, which negatively affects the system design structure and also its quality. For instance, certain modules might become coupled due to a new user feature being added or to suboptimal development decisions. Design degradation symptoms are often related to high coupling and unwanted dependencies, such as: cyclic dependencies or violations to design rules, amongst other architectural smells. Thus, the early detection of such symptoms is important for architects to: i) anticipate dependency-related design problems in different parts of the system, ii) assess possible situations of technical debt, and iii) proactively look for solutions to preserve the quality of the system. Although there are approaches that analyse design dependencies in code bases and flag smell occurrences, very few of them have dealt with the prediction of dependency relations amongst software components. This research hypothesises that a predictive approach can warn architects about dependency-related problems before they appear. To this end, a particular graph-based approach is social networks analysis (SNA), which has been used for modelling both nature and human phenomena. Specifically, SNA techniques can predict links that do not yet exist between pairs of nodes in a network. SNA applications have shown evidence that the topological features of dependency graphs can reveal interesting properties of the software system under analysis. Nonetheless, SNA techniques have not yet been extensively exploited in the Software Architecture community. In this context, the question that motivates this research is to what extent SNA can leverage on information from a software design (and its evolution over time) for inferring new dependencies and likely configurations of architectural smells out of those dependencies. © 2019 IEEE.</t>
  </si>
  <si>
    <t>Waltersdorfer L,Rinker F,Kathrein L,Biffl S</t>
  </si>
  <si>
    <t>Experiences with technical debt and management strategies in production systems engineering</t>
  </si>
  <si>
    <t>41 – 50</t>
  </si>
  <si>
    <t>https://www.scopus.com/inward/record.uri?eid=2-s2.0-85093120799&amp;doi=10.1145%2f3387906.3388627&amp;partnerID=40&amp;md5=65a27734e8572dcef49f552620f72fda;http://dx.doi.org/10.1145/3387906.3388627</t>
  </si>
  <si>
    <t>10.1145/3387906.3388627</t>
  </si>
  <si>
    <t>Technical Debt (TD) has proven to be a suitable communication concept for software-intensive contexts to raise awareness regarding longterm negative effects of deviations from standards and guidelines. TD has also been introduced to systems engineering domain, to communicate design shortcomings in long-running, software-assisted systems. We analysed potential TD in the engineering data exchange for production system engineering. Similar to requirements engineering in software-intensive systems, data exchange in the design phase plays an integral part in Software Engineering (SE) for Production Systems Engineering: Specifications, and physical logic have to be derived from heterogeneous plant models or parameter tables designed by different stakeholders. However, traditional procedures and inadequate tool support lead to inefficient data extraction and integration. We identified debt arising from knowledge representation, data model and the exchange process. The refinement validation of identified TD was achieved through semi-structured interviews with representatives in two analysed companies. In an online survey with ten participants from an industrial consortium we evaluated whether the identified TD concepts also applied to other companies, which is true for the majority of TD. Furthermore, we discuss promising TD management strategies to repay and manage negative effects and the accumulation of additional debt, such as improved communication, test-driven model engineering and visualisation of engineering models. © 2020 ACM.</t>
  </si>
  <si>
    <t>Foidl H,Felderer M,Biffl S</t>
  </si>
  <si>
    <t>Technical Debt in Data-Intensive Software Systems</t>
  </si>
  <si>
    <t>338 – 341</t>
  </si>
  <si>
    <t>https://www.scopus.com/inward/record.uri?eid=2-s2.0-85076023455&amp;doi=10.1109%2fSEAA.2019.00058&amp;partnerID=40&amp;md5=8782bcadfa91c73f243bfa205aabfbdb;http://dx.doi.org/10.1109/SEAA.2019.00058</t>
  </si>
  <si>
    <t>10.1109/SEAA.2019.00058</t>
  </si>
  <si>
    <t>The ever-increasing amount, variety as well as generation and processing speed of today's data pose a variety of new challenges for developing Data-Intensive Software Systems (DISS). As with developing other kinds of software systems, developing DISS is often done under severe pressure and strict schedules. Thus, developers of DISS often have to make technical compromises to meet business concerns. This position paper proposes a conceptual model that outlines where Technical Debt (TD) can emerge and proliferate within such data-centric systems by separating a DISS into three parts (Software Systems, Data Storage Systems and Data). Further, the paper illustrates the proliferation of Database Schema Smells as TD items within a relational database-centric software system based on two examples. © 2019 IEEE.</t>
  </si>
  <si>
    <t>Alami A,Cohn ML,Waisowski A</t>
  </si>
  <si>
    <t>How Do FOSS Communities Decide to Accept Pull Requests?</t>
  </si>
  <si>
    <t>220 – 229</t>
  </si>
  <si>
    <t>https://www.scopus.com/inward/record.uri?eid=2-s2.0-85090848681&amp;doi=10.1145%2f3383219.3383242&amp;partnerID=40&amp;md5=255b95a5553fedbbf3dfe916186b1aa3;http://dx.doi.org/10.1145/3383219.3383242</t>
  </si>
  <si>
    <t>10.1145/3383219.3383242</t>
  </si>
  <si>
    <t>Pull requests are a method to facilitate review and management of contribution in distributed software development. Software developers author commits, and present them in a pull request to be inspected by maintainers and reviewers. The success and sustainability of communities depends on ongoing contributions, but rejections decrease motivation of contributors. We carried out a a qualitative study to understand the mechanisms of evaluating PRs in open source software (FOSS) communities from developers and maintainers perspective. We interviewed 30 participants from five different FOSS communities. The data shows that acceptance of contributions depends not only on technical criteria, but also significantly on social and strategic aspects. This paper identifies three PR governance styles found in the studied communities: (1) protective, (2) equitable and (3) lenient. Each one of these styles has its particularities. While the protective style values trustworthiness and reliability of the contributor, the lenient style believes in creating a positive and welcoming environment where contributors are mentored to evolve contributions until they meet the community standards. Despite the differences, these governance styles have a commonality, they all safeguard the quality of the software. © 2020 ACM.</t>
  </si>
  <si>
    <t>Jesudoss A,Maneesha S,Lakshmi Naga Durga T</t>
  </si>
  <si>
    <t>Identification of code smell using machine learning</t>
  </si>
  <si>
    <t>54 – 58</t>
  </si>
  <si>
    <t>https://www.scopus.com/inward/record.uri?eid=2-s2.0-85084085773&amp;doi=10.1109%2fICCS45141.2019.9065317&amp;partnerID=40&amp;md5=adb39e5d7f87fbbfb1b7e0a34875ace6;http://dx.doi.org/10.1109/ICCS45141.2019.9065317</t>
  </si>
  <si>
    <t>10.1109/ICCS45141.2019.9065317</t>
  </si>
  <si>
    <t>Code smells are used to improve the quality of the software. Code smell detection detects the code problems like long method, large class, lazy class, long parameter list, feature envy, primitive obsession detector and too many literal detectors present in the code. In this work, two algorithms are used namely Support Vector Machine (SVM) and Random Forest algorithm. Support Vector Machine acts as classifier and the Random Forest algorithm are used for predicting the range of data. Decision making technique is used to identify the various problems present in the code. Code smell detection is a testing tool and it is mainly used by the developers, when the size of the code becomes unmanageable for manual detection. It also identifies deeper problems like syntax error, runtime error. It gives the output by analyzing the code in six different modules in this work. © 2019 IEEE.</t>
  </si>
  <si>
    <t>Tsintzira AA,Arvanitou EM,Ampatzoglou A,Chatzigeorgiou A</t>
  </si>
  <si>
    <t>Applying machine learning in technical debt management: Future opportunities and challenges</t>
  </si>
  <si>
    <t>53 – 67</t>
  </si>
  <si>
    <t>https://www.scopus.com/inward/record.uri?eid=2-s2.0-85091170915&amp;doi=10.1007%2f978-3-030-58793-2_5&amp;partnerID=40&amp;md5=032c6818c86a80c7184d355953e702e4;http://dx.doi.org/10.1007/978-3-030-58793-2_5</t>
  </si>
  <si>
    <t>10.1007/978-3-030-58793-2_5</t>
  </si>
  <si>
    <t>Technical Debt Management (TDM) is a fast-growing field that in the last years has attracted the attention of both academia and industry. TDM is a complex process, in the sense that it relies on multiple and heterogeneous data sources (e.g., source code, feature requests, bugs, developers’ activity, etc.), which cannot be straightforwardly synthesized; leading the community to using mostly qualitative empirical methods. However, empirical studies that involve expert judgement are inherently biased, compared to automated or semi-automated approaches. To overcome this limitation, the broader (not TDM) software engineering community has started to employ machine learning (ML) technologies. Our goal is to investigate the opportunity of applying ML technologies for TDM, through a Systematic Literature Review (SLR) on the application of ML to software engineering problems (since ML applications on TDM are limited). Thus, we have performed a broader scope study, i.e., on machine learning for software engineering, and then synthesize the results so as to achieve our high-level goal (i.e., possible application of ML in TDM). Therefore, we have conducted a literature review, by browsing the research corpus published in five high-quality SE journals, with the goal of cataloging: (a) the software engineering practices in which ML is used; (b) the machine learning technologies that are used for solving them; and (c) the intersection of the two: developing a problem-solution mapping. The results are useful to both academics and industry, since the former can identify possible gaps, and interesting future research directions, whereas the latter can obtain benefits by adopting ML technologies. © Springer Nature Switzerland AG 2020.</t>
  </si>
  <si>
    <t>Islam MJ,Pan R,Nguyen G,Rajan H</t>
  </si>
  <si>
    <t>Repairing deep neural networks: Fix patterns and challenges</t>
  </si>
  <si>
    <t>1135 – 1146</t>
  </si>
  <si>
    <t>https://www.scopus.com/inward/record.uri?eid=2-s2.0-85094317336&amp;doi=10.1145%2f3377811.3380378&amp;partnerID=40&amp;md5=04f2a8fe22d46c9728e273be0636e07b;http://dx.doi.org/10.1145/3377811.3380378</t>
  </si>
  <si>
    <t>10.1145/3377811.3380378</t>
  </si>
  <si>
    <t>Significant interest in applying Deep Neural Network (DNN) has fueled the need to support engineering of software that uses DNNs. Repairing software that uses DNNs is one such unmistakable SE need where automated tools could be beneficial; however, we do not fully understand challenges to repairing and patterns that are utilized when manually repairing DNNs. What challenges should automated repair tools address What are the repair patterns whose automation could help developers Which repair patterns should be assigned a higher priority for building automated bug repair tools This work presents a comprehensive study of bug fix patterns to address these questions. We have studied 415 repairs from Stack Overflow and 555 repairs from GitHub for five popular deep learning libraries Caffe, Keras, Tensorflow, Theano, and Torch to understand challenges in repairs and bug repair patterns. Our key findings reveal that DNN bug fix patterns are distinctive compared to traditional bug fix patterns; the most common bug fix patterns are fixing data dimension and neural network connectivity; DNN bug fixes have the potential to introduce adversarial vulnerabilities; DNN bug fixes frequently introduce new bugs; and DNN bug localization, reuse of trained model, and coping with frequent releases are major challenges faced by developers when fixing bugs. We also contribute a benchmark of 667 DNN (bug, repair) instances. © 2020 Association for Computing Machinery.</t>
  </si>
  <si>
    <t>Cited by: 36; All Open Access, Bronze Open Access</t>
  </si>
  <si>
    <t>Kokol P,Kokol M,Zagoranski S</t>
  </si>
  <si>
    <t>Code smells: A Synthetic Narrative Review</t>
  </si>
  <si>
    <t>Library Philosophy and Practice</t>
  </si>
  <si>
    <t>University of Idaho Library</t>
  </si>
  <si>
    <t>1522-0222</t>
  </si>
  <si>
    <t>https://www.scopus.com/inward/record.uri?eid=2-s2.0-85099505282&amp;partnerID=40&amp;md5=4f38fe9eaaab4c7a623c4c2129a8237c</t>
  </si>
  <si>
    <t>Abstract: Code smells are symptoms of poor design and implementation choices, which might hinder comprehension, increase code complexity and fault-proneness and decrease maintainability of software systems. The aim of our study was to perform a triangulation of bibliometric and thematic analysis on code smell literature production. The search was performed on Scopus (Elsevier, Netherlands) database using the search string “code smells” which resulted in 442 publications. The Go-to statement was the first bad code smells identified in software engineering history in 1968. The literature production trend has been positive. The most productive countries were the United States, Italy and Brazil. Eight research themes were identified: Managing software maintenance, Smell detection-based software refactoring, Architectural smells, Improving software quality with multi-objective approaches, Technical debt and its instance, Quality improvement/assurance with mining software repositories, Programming education, Integrating the concepts of anti-pattern, design defects and design smells. Some research gaps also emerged, namely, New uncatalogued smell identification; Smell propagation from architectural, design, code to test, and other possible smells; and Identification of good smells. The results of our study can help code smell researchers and practitioners understand the broader aspects of code smells research and its translation to practice. © 2020, Library Philosophy and Practice. All Rights Reserved.</t>
  </si>
  <si>
    <t>Galster M,Treude C,Blincoe K</t>
  </si>
  <si>
    <t>Supporting Software Architecture Maintenance by Providing Task-Specific Recommendations</t>
  </si>
  <si>
    <t>370 – 372</t>
  </si>
  <si>
    <t>https://www.scopus.com/inward/record.uri?eid=2-s2.0-85077219386&amp;doi=10.1109%2fICSME.2019.00060&amp;partnerID=40&amp;md5=b1adedf1f74f6e14b3982f32cc7ffcde;http://dx.doi.org/10.1109/ICSME.2019.00060</t>
  </si>
  <si>
    <t>10.1109/ICSME.2019.00060</t>
  </si>
  <si>
    <t>During software maintenance, developers have different information needs (e.g., to understand what type of maintenance activity to perform, the impact of a maintenance activity and its effort). However, information to support developers may be distributed across various sources. Furthermore, information captured in formal architecture documentation may be outdated. In this paper, we put forward a late breaking idea and outline a solution to improve the productivity of developers by providing task-specific recommendations based on concrete information needs that arise during software maintenance. © 2019 IEEE.</t>
  </si>
  <si>
    <t>Kästner C,Kang E</t>
  </si>
  <si>
    <t>Teaching software engineering for AI-enabled systems</t>
  </si>
  <si>
    <t>45 – 48</t>
  </si>
  <si>
    <t>https://www.scopus.com/inward/record.uri?eid=2-s2.0-85093667883&amp;doi=10.1145%2f3377814.3381714&amp;partnerID=40&amp;md5=d0d68a6cfb33a9d23ddc92c746defdf5;http://dx.doi.org/10.1145/3377814.3381714</t>
  </si>
  <si>
    <t>10.1145/3377814.3381714</t>
  </si>
  <si>
    <t>Software engineers have significant expertise to offer when building intelligent systems, drawing on decades of experience and methods for building systems that are scalable, responsive and robust, even when built on unreliable components. Systems with artificialintelligence or machine-learning (ML) components raise new challenges and require careful engineering. We designed a new course to teach software-engineering skills to students with a background in ML. We specifically go beyond traditional ML courses that teach modeling techniques under artificial conditions and focus, in lecture and assignments, on realism with large and changing datasets, robust and evolvable infrastructure, and purposeful requirements engineering that considers ethics and fairness as well. We describe the course and our infrastructure and share experience and all material from teaching the course for the first time. © 2020 IEEE Computer Society. All rights reserved.</t>
  </si>
  <si>
    <t>Li K,Gui N</t>
  </si>
  <si>
    <t>CMS: A continuous machine-learning and serving platform for industrial big data</t>
  </si>
  <si>
    <t>https://www.scopus.com/inward/record.uri?eid=2-s2.0-85088130233&amp;doi=10.3390%2ffi12060102&amp;partnerID=40&amp;md5=7ceb14c14338aef0c67037b4c2731289;http://dx.doi.org/10.3390/fi12060102</t>
  </si>
  <si>
    <t>10.3390/fi12060102</t>
  </si>
  <si>
    <t>The life-long monitoring and analysis for complex industrial equipment demands a continuously evolvable machine-learning platform. The machine-learning model must be quickly regenerated and updated. This demands the careful orchestration of trainers for model generation and modelets for model serving without the interruption of normal operations. This paper proposes a container-based Continuous Machine-Learning and Serving (CMS) platform. By designing out-of-the-box common architecture for trainers and modelets, it simplifies the model training and deployment process with minimal human interference. An orchestrator is proposed to manage the trainer's execution and enables the model updating without interrupting the online operation of model serving. CMS has been deployed in a 1000 MW thermal power plant for about five months. The system running results show that the accuracy of eight models remains at a good level even when they experience major renovations. Moreover, CMS proved to be a resource-efficient, effective resource isolation and seamless model switching with little overhead. © 2020 by the authors.</t>
  </si>
  <si>
    <t>Cited by: 2; All Open Access, Gold Open Access, Green Open Access</t>
  </si>
  <si>
    <t>Sun J,Xing Z,Chu R,Bai H,Wang J,Peng X</t>
  </si>
  <si>
    <t>Know-How in Programming Tasks: From Textual Tutorials to Task-Oriented Knowledge Graph</t>
  </si>
  <si>
    <t>257 – 268</t>
  </si>
  <si>
    <t>https://www.scopus.com/inward/record.uri?eid=2-s2.0-85077200772&amp;doi=10.1109%2fICSME.2019.00039&amp;partnerID=40&amp;md5=bc8feace6ae2a725fd69231f8ae76e07;http://dx.doi.org/10.1109/ICSME.2019.00039</t>
  </si>
  <si>
    <t>10.1109/ICSME.2019.00039</t>
  </si>
  <si>
    <t>Accomplishing a program task usually involves performing multiple activities in a logical order. Task-solving activities may have different relationships, such as subactivityof, precede-follow, and different attributes, such as location, condition, API, code. We refer to task-solving activities and their relationships and attributes as know-how knowledge. Programming task know-how knowledge is commonly documented in semi-structured textual tutorials. A formative study of the 20 top-viewed Android-tagged how-to questions on Stack Overflow suggests that developers are faced with three information barriers (incoherent modeling of task intent, tutorial information overload and unstructured task activity description) for effectively discovering and understanding task-solving knowledge in textual tutorials. Knowledge graph has been shown to be effective in representing relational knowledge and supporting knowledge search in a structured way. Unfortunately, existing knowledge graphs extract only know-what information (e.g., APIs, API caveats and API dependencies) from software documentation. In this paper, we devise open information extraction (OpenIE) techniques to extract candidates for task activities, activity attributes and activity relationships from programming task tutorials. The resulting knowledge graph, TaskKG, includes a hierarchical taxonomy of activities, three types of activities relationships and five types of activity attributes, and enables activity-centric knowledge search. As a proof-of-concept, we apply our approach to Android Developer Guide. A comprehensive evaluation of TaskKG shows high accuracy of our OpenIE techniques. A user study shows that TaskKG is promising in helping developers finding correct answers to programming how-to questions. © 2019 IEEE.</t>
  </si>
  <si>
    <t>Can refactoring be self-affirmed? An exploratory study on how developers document their refactoring activities in commit messages</t>
  </si>
  <si>
    <t>51 – 58</t>
  </si>
  <si>
    <t>https://www.scopus.com/inward/record.uri?eid=2-s2.0-85073409904&amp;doi=10.1109%2fIWoR.2019.00017&amp;partnerID=40&amp;md5=7b843d164db9bbed15b53fc663521848;http://dx.doi.org/10.1109/IWoR.2019.00017</t>
  </si>
  <si>
    <t>10.1109/IWoR.2019.00017</t>
  </si>
  <si>
    <t>Refactoring is a critical task in software maintenance and is usually performed to enforce best design practices, or to cope with design defects. Previous studies heavily rely on defining a set of keywords to identify refactoring commits from a list of general commits extracted from a small set of software systems. All approaches thus far consider all commits without checking whether refactorings had actually happened or not. In this paper, we aim at exploring how developers document their refactoring activities during the software life cycle. We call such activity Self-Affirmed Refactoring, which is an indication of the developer-related refactoring events in the commit messages. Our approach relies on text mining refactoring-related change messages and identifying refactoring patterns by only considering refactoring commits. We found that (1) developers use a variety of patterns to purposefully target refactoring-related activities; (2) developers tend to explicitly mention the improvement of specific quality attributes and code smells; and (3) commit messages with self-affirmed refactoring patterns tend to have more significant refactoring activity than those without. © 2019 IEEE.</t>
  </si>
  <si>
    <t>Cited by: 40; All Open Access, Green Open Access</t>
  </si>
  <si>
    <t>Karampatsis RM,Babii H,Robbes R,Sutton C,Janes A</t>
  </si>
  <si>
    <t>Big code != big vocabulary: Open-vocabulary models for source code</t>
  </si>
  <si>
    <t>1073 – 1085</t>
  </si>
  <si>
    <t>https://www.scopus.com/inward/record.uri?eid=2-s2.0-85094148542&amp;doi=10.1145%2f3377811.3380342&amp;partnerID=40&amp;md5=9796c59edc482fb9d1ad57190b43c652;http://dx.doi.org/10.1145/3377811.3380342</t>
  </si>
  <si>
    <t>10.1145/3377811.3380342</t>
  </si>
  <si>
    <t>Statistical language modeling techniques have successfully been applied to large source code corpora, yielding a variety of new software development tools, such as tools for code suggestion, improving readability, and API migration. A major issue with these techniques is that code introduces new vocabulary at a far higher rate than natural language, as new identifier names proliferate. Both large vocabularies and out-of-vocabulary issues severely affect Neural Language Models (NLMs) of source code, degrading their performance and rendering them unable to scale. In this paper, we address this issue by: 1) studying how various modelling choices impact the resulting vocabulary on a large-scale corpus of 13,362 projects; 2) presenting an open vocabulary source code NLM that can scale to such a corpus, 100 times larger than in previous work; and 3) showing that such models outperform the state of the art on three distinct code corpora (Java, C, Python). To our knowledge, these are the largest NLMs for code that have been reported. All datasets, code, and trained models used in this work are publicly available. © 2020 Association for Computing Machinery.</t>
  </si>
  <si>
    <t>Cited by: 75; All Open Access, Bronze Open Access, Green Open Access</t>
  </si>
  <si>
    <t>Tamburri DA,Di Nucci D,Di Giacomo L,Palomba F</t>
  </si>
  <si>
    <t>Omniscient devops analytics</t>
  </si>
  <si>
    <t>11350 LNCS</t>
  </si>
  <si>
    <t>48 – 59</t>
  </si>
  <si>
    <t>https://www.scopus.com/inward/record.uri?eid=2-s2.0-85061105307&amp;doi=10.1007%2f978-3-030-06019-0_4&amp;partnerID=40&amp;md5=fe967be5b739bd55d54da635437930df;http://dx.doi.org/10.1007/978-3-030-06019-0_4</t>
  </si>
  <si>
    <t>10.1007/978-3-030-06019-0_4</t>
  </si>
  <si>
    <t>DevOps predicates the continuity between Development and Operations teams at an unprecedented scale. Also, the continuity does not stop at tools, or processes but goes beyond into organizational practices, collaboration, co-located and coordinated effort. We conjecture that this unprecedented scale of continuity requires predictive analytics which are omniscient, that is (i) transversal to the technical, organizational, and social stratification in software processes and (ii) correlate all strata to provide a live and holistic snapshot of software development, its operations, and organization. Elaborating this conjecture, we illustrate a set of metrics to be used in the DevOps scenario and overview challenges and future research directions. © 2019, Springer Nature Switzerland AG.</t>
  </si>
  <si>
    <t>Pecorelli F,Palomba F,Khomh F,De Lucia A</t>
  </si>
  <si>
    <t>Developer-Driven Code Smell Prioritization</t>
  </si>
  <si>
    <t>220 – 231</t>
  </si>
  <si>
    <t>https://www.scopus.com/inward/record.uri?eid=2-s2.0-85093670806&amp;doi=10.1145%2f3379597.3387457&amp;partnerID=40&amp;md5=06ac9f34cf0961cfebc0e045c781d4da;http://dx.doi.org/10.1145/3379597.3387457</t>
  </si>
  <si>
    <t>10.1145/3379597.3387457</t>
  </si>
  <si>
    <t>Code smells are symptoms of poor implementation choices applied during software evolution. While previous research has devoted effort in the definition of automated solutions to detect them, still little is known on how to support developers when prioritizing them. Some works attempted to deliver solutions that can rank smell instances based on their severity, computed on the basis of software metrics. However, this may not be enough since it has been shown that the recommendations provided by current approaches do not take the developer's perception of design issues into account. In this paper, we perform a first step toward the concept of developer-driven code smell prioritization and propose an approach based on machine learning able to rank code smells according to the perceived criticality that developers assign to them. We evaluate our technique in an empirical study to investigate its accuracy and the features that are more relevant for classifying the developer's perception. Finally, we compare our approach with a state-of-the-art technique. Key findings show that the our solution has an F-Measure up to 85% and outperforms the baseline approach. © 2020 ACM.</t>
  </si>
  <si>
    <t>Cited by: 27</t>
  </si>
  <si>
    <t>Aho T,Sievi-Korte O,Kilamo T,Yaman S,Mikkonen T</t>
  </si>
  <si>
    <t>Demystifying Data Science Projects: A Look on the People and Process of Data Science Today</t>
  </si>
  <si>
    <t>12562 LNCS</t>
  </si>
  <si>
    <t>153 – 167</t>
  </si>
  <si>
    <t>https://www.scopus.com/inward/record.uri?eid=2-s2.0-85097644879&amp;doi=10.1007%2f978-3-030-64148-1_10&amp;partnerID=40&amp;md5=3b7d291d1dbc27d47773d40d60fdbd7e;http://dx.doi.org/10.1007/978-3-030-64148-1_10</t>
  </si>
  <si>
    <t>10.1007/978-3-030-64148-1_10</t>
  </si>
  <si>
    <t>Processes and practices used in data science projects have been reshaping especially over the last decade. These are different from their software engineering counterparts. However, to a large extent, data science relies on software, and, once taken to use, the results of a data science project are often embedded in software context. Hence, seeking synergy between software engineering and data science might open promising avenues. However, while there are various studies on data science workflows and data science project teams, there have been no attempts to combine these two very interlinked aspects. Furthermore, existing studies usually focus on practices within one company. Our study will fill these gaps with a multi-company case study, concentrating both on the roles found in data science project teams as well as the process. In this paper, we have studied a number of practicing data scientists to understand a typical process flow for a data science project. In addition, we studied the involved roles and the teamwork that would take place in the data context. Our analysis revealed three main elements of data science projects: Experimentation, Development Approach, and Multi-disciplinary team(work). These key concepts are further broken down to 13 different sub-themes in total. The found themes pinpoint critical elements and challenges found in data science projects, which are still often done in an ad-hoc fashion. Finally, we compare the results with modern software development to analyse how good a match there is. © 2020, Springer Nature Switzerland AG.</t>
  </si>
  <si>
    <t>On the role of data balancing for machine learning-based code smell detection</t>
  </si>
  <si>
    <t>19 – 24</t>
  </si>
  <si>
    <t>https://www.scopus.com/inward/record.uri?eid=2-s2.0-85076433758&amp;doi=10.1145%2f3340482.3342744&amp;partnerID=40&amp;md5=79d9362df2ed37b4e2ea352f860ef181;http://dx.doi.org/10.1145/3340482.3342744</t>
  </si>
  <si>
    <t>10.1145/3340482.3342744</t>
  </si>
  <si>
    <t>Code smells can compromise software quality in the long term by inducing technical debt. For this reason, many approaches aimed at identifying these design flaws have been proposed in the last decade. Most of them are based on heuristics in which a set of metrics (e.g., code metrics, process metrics) is used to detect smelly code components. However, these techniques suffer of subjective interpretation, low agreement between detectors, and threshold dependability. To overcome these limitations, previouswork applied Machine Learning techniques that can learn from previous datasets without needing any threshold definition. However, more recent work has shown that Machine Learning is not always suitable for code smell detection due to the highly unbalanced nature of the problem. In this study we investigate several approaches able to mitigate data unbalancing issues to understand their impact on MLbased approaches for code smell detection. Our findings highlight a number of limitations and open issues with respect to the usage of data balancing in ML-based code smell detection. © 2019 Association for Computing Machinery.</t>
  </si>
  <si>
    <t>Abdellatif A,Badran K,Shihab E</t>
  </si>
  <si>
    <t>MSRBot: Using bots to answer questions from software repositories</t>
  </si>
  <si>
    <t>1834 – 1863</t>
  </si>
  <si>
    <t>https://www.scopus.com/inward/record.uri?eid=2-s2.0-85081634201&amp;doi=10.1007%2fs10664-019-09788-5&amp;partnerID=40&amp;md5=2cd209ad64b6d45955d9d90dfceaf6c6;http://dx.doi.org/10.1007/s10664-019-09788-5</t>
  </si>
  <si>
    <t>10.1007/s10664-019-09788-5</t>
  </si>
  <si>
    <t>Software repositories contain a plethora of useful information that can be used to enhance software projects. Prior work has leveraged repository data to improve many aspects of the software development process, such as, help extract requirement decisions, identify potentially defective code and improve maintenance and evolution. However, in many cases, project stakeholders are not able to fully benefit from their software repositories due to the fact that they need special expertise to mine their repositories. Also, extracting and linking data from different types of repositories (e.g., source code control and bug repositories) requires dedicated effort and time, even if the stakeholder has the expertise to perform such a task. Therefore, in this paper, we use bots to automate and ease the process of extracting useful information from software repositories. Particularly, we lay out an approach of how bots, layered on top of software repositories, can be used to answer some of the most common software development/maintenance questions facing developers. We perform a preliminary study with 12 participants to validate the effectiveness of the bot. Our findings indicate that using bots achieves very promising results compared to not using the bot (baseline). Most of the participants (90.0%) find the bot to be either useful or very useful. Also, they completed 90.8% of the tasks correctly using the bot with a median time of 40 seconds per task. On the other hand, without the bot, the participants completed 25.2% of the tasks with a median time of 240 seconds per task. Our work has the potential to transform the MSR field by significantly lowering the barrier to entry, making the extraction of useful information from software repositories as easy as chatting with a bot. © 2020, Springer Science+Business Media, LLC, part of Springer Nature.</t>
  </si>
  <si>
    <t>Cited by: 17; All Open Access, Green Open Access</t>
  </si>
  <si>
    <t>Al-Shaaby A,Aljamaan H,Alshayeb M</t>
  </si>
  <si>
    <t>Bad Smell Detection Using Machine Learning Techniques: A Systematic Literature Review</t>
  </si>
  <si>
    <t>2341 – 2369</t>
  </si>
  <si>
    <t>https://www.scopus.com/inward/record.uri?eid=2-s2.0-85077525154&amp;doi=10.1007%2fs13369-019-04311-w&amp;partnerID=40&amp;md5=06c8c3007723dae56b5cf5c617175ccc;http://dx.doi.org/10.1007/s13369-019-04311-w</t>
  </si>
  <si>
    <t>10.1007/s13369-019-04311-w</t>
  </si>
  <si>
    <t>Code smells are indicators of potential problems in software. They tend to have a negative impact on software quality. Several studies use machine learning techniques to detect bad smells. The objective of this study is to systematically review and analyze machine learning techniques used to detect code smells to provide interested research community with knowledge about the adopted techniques and practices for code smells detection. We use a systematic literature review approach to review studies that use machine learning techniques to detect code smells. Seventeen primary studies were identified. We found that 27 code smells were used in the identified studies; God Class and Long Method, Feature Envy, and Data Class are the most frequently detected code smells. In addition, we found that 16 machine learning algorithms were employed to detect code smells with acceptable prediction accuracy. Furthermore, we the results also indicate that support vector machine techniques were investigated the most. Moreover, we observed that J48 and Random Forest algorithms outperform the other algorithms. We also noticed that, in some cases, the use of boosting techniques on the models does not always enhance their performance. More studies are needed to consider the use of ensemble learning techniques, multiclassification, and feature selection technique for code smells detection. Thus, the application of machine learning algorithms to detect code smells in systems is still in its infancy and needs more research to facilitate the employment of machine learning algorithms in detecting code smells. © 2020, King Fahd University of Petroleum &amp; Minerals.</t>
  </si>
  <si>
    <t>Cited by: 24</t>
  </si>
  <si>
    <t>Zhao X,Gray J</t>
  </si>
  <si>
    <t>BESMER: An approach for bad smells summarization in systems models</t>
  </si>
  <si>
    <t>304 – 313</t>
  </si>
  <si>
    <t>https://www.scopus.com/inward/record.uri?eid=2-s2.0-85075945842&amp;doi=10.1109%2fMODELS-C.2019.00047&amp;partnerID=40&amp;md5=83cafd09cf7d406df4e10484612a43e4;http://dx.doi.org/10.1109/MODELS-C.2019.00047</t>
  </si>
  <si>
    <t>10.1109/MODELS-C.2019.00047</t>
  </si>
  <si>
    <t>Bad smells are surface indications of potential problems with source code quality and have been investigated deeply within the purview of object-oriented programming. However, there has not been much research conducted to understand bad smells within the context of systems models. Moreover, the majority of bad smells in existing literature have been suggested by experienced developers and researchers who may view 'smells' differently from inexperienced developers. To this end, we propose BESMER, our project that categorizes bad smells in systems models by mining discussion forum posts of end-users of a specific systems modeling tool. Specifically, this paper describes how our three-level discovery mechanism based on machine learning techniques assisted us in finding bad smells from the LabVIEW online discussion forum. Our experimental results not only confirm that end-users also encounter the bad smells proposed by experts, but also reveal new bad smells for LabVIEW models. We also present some implications discovered from the examination of user posts and list areas of future work based on our current findings. As far as we know, this is the first paper to investigate bad smells from an end-user's perspective within the context of systems models. © 2019 IEEE.</t>
  </si>
  <si>
    <t>Raji ID,Smart A,White RN,Mitchell M,Gebru T,Hutchinson B,Smith-Loud J,Theron D,Barnes P</t>
  </si>
  <si>
    <t>Closing the AI accountability gap: Defining an end-to-end framework for internal algorithmic auditing</t>
  </si>
  <si>
    <t>33 – 44</t>
  </si>
  <si>
    <t>https://www.scopus.com/inward/record.uri?eid=2-s2.0-85079680598&amp;doi=10.1145%2f3351095.3372873&amp;partnerID=40&amp;md5=138ba67c88aa7cabfc034e3d75664dc5;http://dx.doi.org/10.1145/3351095.3372873</t>
  </si>
  <si>
    <t>10.1145/3351095.3372873</t>
  </si>
  <si>
    <t>Rising concern for the societal implications of artificial intelligence systems has inspired a wave of academic and journalistic literature in which deployed systems are audited for harm by investigators from outside the organizations deploying the algorithms. However, it remains challenging for practitioners to identify the harmful repercussions of their own systems prior to deployment, and, once deployed, emergent issues can become difficult or impossible to trace back to their source. In this paper, we introduce a framework for algorithmic auditing that supports artificial intelligence system development end-to-end, to be applied throughout the internal organization development lifecycle. Each stage of the audit yields a set of documents that together form an overall audit report, drawing on an organization's values or principles to assess the fit of decisions made throughout the process. The proposed auditing framework is intended to contribute to closing the accountability gap in the development and deployment of large-scale artificial intelligence systems by embedding a robust process to ensure audit integrity. © 2020 Copyright held by the owner/author(s).</t>
  </si>
  <si>
    <t>Cited by: 133; All Open Access, Bronze Open Access</t>
  </si>
  <si>
    <t>Smith MJ,Sala C,Kanter JM,Veeramachaneni K</t>
  </si>
  <si>
    <t>The Machine Learning Bazaar: Harnessing the ML Ecosystem for Effective System Development</t>
  </si>
  <si>
    <t>785 – 800</t>
  </si>
  <si>
    <t>https://www.scopus.com/inward/record.uri?eid=2-s2.0-85086278009&amp;doi=10.1145%2f3318464.3386146&amp;partnerID=40&amp;md5=6b9d0d875d873387855ce10ad97643b0;http://dx.doi.org/10.1145/3318464.3386146</t>
  </si>
  <si>
    <t>10.1145/3318464.3386146</t>
  </si>
  <si>
    <t>As machine learning is applied more widely, data scientists often struggle to find or create end-to-end machine learning systems for specific tasks. The proliferation of libraries and frameworks and the complexity of the tasks have led to the emergence of pipeline jungles - brittle, ad hoc ML systems. To address these problems, we introduce the Machine Learning Bazaar, a new framework for developing machine learning and automated machine learning software systems. First, we introduce ML primitives, a unified API and specification for data processing and ML components from different software libraries. Next, we compose primitives into usable ML pipelines, abstracting away glue code, data flow, and data storage. We further pair these pipelines with a hierarchy of AutoML strategies - Bayesian optimization and bandit learning. We use these components to create a general-purpose, multi-task, end-to-end AutoML system that provides solutions to a variety of data modalities (image, text, graph, tabular, relational, etc.) and problem types (classification, regression, anomaly detection, graph matching, etc.). We demonstrate 5 real-world use cases and 2 case studies of our approach. Finally, we present an evaluation suite of 456 real-world ML tasks and describe the characteristics of 2.5 million pipelines searched over this task suite. © 2020 Association for Computing Machinery.</t>
  </si>
  <si>
    <t>Cited by: 17; All Open Access, Bronze Open Access, Green Open Access</t>
  </si>
  <si>
    <t>Luckow A,Kennedy K,Ziolkowski M,Djerekarov E,Cook M,Duffy E,Schleiss M,Vorster B,Weill E,Kulshrestha A,Smith MC</t>
  </si>
  <si>
    <t>Artificial Intelligence and Deep Learning Applications for Automotive Manufacturing</t>
  </si>
  <si>
    <t>3144 – 3152</t>
  </si>
  <si>
    <t>https://www.scopus.com/inward/record.uri?eid=2-s2.0-85062622797&amp;doi=10.1109%2fBigData.2018.8622357&amp;partnerID=40&amp;md5=8a85487e246f1342bb32bd1a63e9383b;http://dx.doi.org/10.1109/BigData.2018.8622357</t>
  </si>
  <si>
    <t>10.1109/BigData.2018.8622357</t>
  </si>
  <si>
    <t>Artificial Intelligence (AI) and Deep Learning has been steadily gaining importance due it's potential for a broad set of science and industry applications. The success of deep learning techniques has found many applications, e.g. in the domain of computer vision and natural language understanding. Developing AI applications is a complex task with many challenges related to data collection, model training, and deployment.In this paper, we evaluate architectures, models and deployment issues related to the usage of deep learning techniques in the automotive manufacturing domain. Particularly, we focus on different computer vision problems in automotive manufacturing processes, e.g., in logistics processes. We developed several deep learning models that help to improve the quality and efficiency of these processes. Finally, we provide an analysis of the architecture, datasets and models used, and provide performance metrics for each of the different models. © 2018 IEEE.</t>
  </si>
  <si>
    <t>Cited by: 16</t>
  </si>
  <si>
    <t>Maipradit R,Hata H,Matsumoto K</t>
  </si>
  <si>
    <t>Sentiment Classification Using N-Gram Inverse Document Frequency and Automated Machine Learning</t>
  </si>
  <si>
    <t>IEEE Software</t>
  </si>
  <si>
    <t>65 – 70</t>
  </si>
  <si>
    <t>0740-7459</t>
  </si>
  <si>
    <t>https://www.scopus.com/inward/record.uri?eid=2-s2.0-85067076704&amp;doi=10.1109%2fMS.2019.2919573&amp;partnerID=40&amp;md5=80e90f29b5525b146bd5b31d929e8773;http://dx.doi.org/10.1109/MS.2019.2919573</t>
  </si>
  <si>
    <t>10.1109/MS.2019.2919573</t>
  </si>
  <si>
    <t>We propose a sentiment classification method with a general machine-learning framework. In comparison to publicly available data sets, our method achieved the highest F1 values in positive and negative sentences on all data sets. © 1984-2012 IEEE.</t>
  </si>
  <si>
    <t>Belani H,Vukovic M,Car Z</t>
  </si>
  <si>
    <t>Requirements engineering challenges in building ai-based complex systems</t>
  </si>
  <si>
    <t>252 – 255</t>
  </si>
  <si>
    <t>https://www.scopus.com/inward/record.uri?eid=2-s2.0-85078014264&amp;doi=10.1109%2fREW.2019.00051&amp;partnerID=40&amp;md5=c2d8478e36cff3758d045a4abd5180ba;http://dx.doi.org/10.1109/REW.2019.00051</t>
  </si>
  <si>
    <t>10.1109/REW.2019.00051</t>
  </si>
  <si>
    <t>This paper identifies and tackles the challenges of the requirements engineering discipline when applied to development of AI-based complex systems. Due to their complex behaviour, there is an immanent need for a tailored development process for such systems. However, there is still no widely used and specifically tailored process in place to effectively and efficiently deal with requirements suitable for specifying a software solution that uses machine learning. By analysing the related work from software engineering and artificial intelligence fields, potential contributions have been recognized from agent-based software engineering and goal-oriented requirements engineering research, as well as examples from large product development companies. The challenges have been discussed, with proposals given how and when to tackle them. RE4AI taxonomy has also been outlined, to inform the tailoring of development process. © 2019 IEEE.</t>
  </si>
  <si>
    <t>Cited by: 39; All Open Access, Green Open Access</t>
  </si>
  <si>
    <t>Sabir F,Palma F,Rasool G,Guéhéneuc YG,Moha N</t>
  </si>
  <si>
    <t>A systematic literature review on the detection of smells and their evolution in object-oriented and service-oriented systems</t>
  </si>
  <si>
    <t>3 – 39</t>
  </si>
  <si>
    <t>https://www.scopus.com/inward/record.uri?eid=2-s2.0-85054360412&amp;doi=10.1002%2fspe.2639&amp;partnerID=40&amp;md5=f5da700d6e3092b8512328c2b1c4622c;http://dx.doi.org/10.1002/spe.2639</t>
  </si>
  <si>
    <t>10.1002/spe.2639</t>
  </si>
  <si>
    <t>This systematic literature review paper investigates the key techniques employed to identify smells in different paradigms of software engineering from object-oriented (OO) to service-oriented (SO). In this review, we want to identify commonalities and differences in the identification of smells in OO and SO systems. Our research method relies on an automatic search from the relevant digital libraries to find the studies published since January 2000 on smells until December 2017. We have conducted a pilot and author-based search that allows us to select the 78 most relevant studies after applying inclusion and exclusion criteria. We evaluated the studies based on the smell detection techniques and the evolution of different methodologies in OO and SO. Among the 78 relevant studies selected, we have identified six different studies in which linguistic source code analysis received less attention from the researchers as compared to the static source code analysis. Smells like the yo-yo problem, unnamed coupling, intensive coupling, and interface bloat received considerably less attention in the literature. We also identified a catalog of 30 smells infrequently reported for SO systems and that require further attention. Moreover, a suite of 20 smells reported for SO systems can also be detected using static source code metrics in OO. Finally, our review highlighted three major research trends that are further subdivided into 20 research patterns initiating the detection of smells toward their correction. © 2018 John Wiley &amp; Sons, Ltd.</t>
  </si>
  <si>
    <t>Kuwajima H,Ishikawa F</t>
  </si>
  <si>
    <t>Adapting square for quality assessment of artificial intelligence systems</t>
  </si>
  <si>
    <t>https://www.scopus.com/inward/record.uri?eid=2-s2.0-85080861178&amp;doi=10.1109%2fISSREW.2019.00035&amp;partnerID=40&amp;md5=dc8eaabf2d5a6ec47bb4b44643a5c3fa;http://dx.doi.org/10.1109/ISSREW.2019.00035</t>
  </si>
  <si>
    <t>10.1109/ISSREW.2019.00035</t>
  </si>
  <si>
    <t>More and more software practitioners are tackling towards industrial applications of artificial intelligence (AI) systems, especially those based on machine learning (ML). However, many of existing principles and approaches to traditional software systems do not work effectively for the system behavior obtained by training not by logical design. In addition, unique kinds of requirements are emerging such as fairness and explainability. To provide clear guidance to understand and tackle these difficulties, we present an analysis on what quality concepts we should evaluate for AI systems. We base our discussion on ISO/IEC 25000 series, known as SQuaRE, and identify how it should be adapted for the unique nature of ML and Ethics guidelines for trustworthy AI from European Commission. We thus provide holistic insights for quality of AI systems by incorporating the ML nature and AI ethics to the traditional software quality concepts. © 2019 IEEE.</t>
  </si>
  <si>
    <t>Krenn W</t>
  </si>
  <si>
    <t>Safety &amp; security of connected and highly automated robots; [Sicherheit vernetzter, hochautomatisierter Roboter]</t>
  </si>
  <si>
    <t>Elektrotechnik und Informationstechnik</t>
  </si>
  <si>
    <t>307 – 312</t>
  </si>
  <si>
    <t>0932-383X</t>
  </si>
  <si>
    <t>https://www.scopus.com/inward/record.uri?eid=2-s2.0-85074631958&amp;doi=10.1007%2fs00502-019-00746-z&amp;partnerID=40&amp;md5=5f2382ad1806e16c0c0b15ecd449df90;http://dx.doi.org/10.1007/s00502-019-00746-z</t>
  </si>
  <si>
    <t>10.1007/s00502-019-00746-z</t>
  </si>
  <si>
    <t>The paper presents current challenges to the safety and security of highly automated and connected robots. The term robot is used in its generic from and covers all systems from conventional industrial robots to highly automated vehicles. After a quick introduction to the basic challenges and the current state-of-the-art, the article presents current research and standardisation activities. A special focus is given to cyber security and artificial intelligence (AI) that play important roles for connected and highly automated systems. In the case of AI, the article also looks at the topic of “explainability” that could become an important concept when using AI in safety critical systems. The article is based on research results of the projects Enable-S3 and Productive4.0 and is an extended and updated version of a talk given at the IT-Kolloquium 2019 in Vienna. © 2019, Springer-Verlag GmbH Austria, ein Teil von Springer Nature.</t>
  </si>
  <si>
    <t>Lopez Garcia A,Tran V,Alic AS,Caballer M,Plasencia IC,Costantini A,Dlugolinsky S,Duma DC,Donvito G,Gomes J,Heredia Cacha I,De Lucas JM,Ito K,Kozlov VY,Nguyen G,Orviz Fernandez P,Sustr Z,Wolniewicz P,Antonacci M,Zu Castell W,David M,Hardt M,Lloret Iglesias L,Molto G,Plociennik M</t>
  </si>
  <si>
    <t>A cloud-based framework for machine learning workloads and applications</t>
  </si>
  <si>
    <t>18681 – 18692</t>
  </si>
  <si>
    <t>https://www.scopus.com/inward/record.uri?eid=2-s2.0-85079817562&amp;doi=10.1109%2fACCESS.2020.2964386&amp;partnerID=40&amp;md5=0083a9ea8c0405cf0392007bf1b89a6e;http://dx.doi.org/10.1109/ACCESS.2020.2964386</t>
  </si>
  <si>
    <t>10.1109/ACCESS.2020.2964386</t>
  </si>
  <si>
    <t>In this paper we propose a distributed architecture to provide machine learning practitioners with a set of tools and cloud services that cover the whole machine learning development cycle: ranging from the models creation, training, validation and testing to the models serving as a service, sharing and publication. In such respect, the DEEP-Hybrid-DataCloud framework allows transparent access to existing e-Infrastructures, effectively exploiting distributed resources for the most compute-intensive tasks coming from the machine learning development cycle. Moreover, it provides scientists with a set of Cloud-oriented services to make their models publicly available, by adopting a serverless architecture and a DevOps approach, allowing an easy share, publish and deploy of the developed models. © 2013 IEEE.</t>
  </si>
  <si>
    <t>Cited by: 30; All Open Access, Gold Open Access, Green Open Access</t>
  </si>
  <si>
    <t>The application of machine learning in self-adaptive systems: A systematic literature review</t>
  </si>
  <si>
    <t>205948 – 205967</t>
  </si>
  <si>
    <t>https://www.scopus.com/inward/record.uri?eid=2-s2.0-85101002659&amp;doi=10.1109%2fACCESS.2020.3036037&amp;partnerID=40&amp;md5=f441f8f89999a4f9baeab92fa891d63d;http://dx.doi.org/10.1109/ACCESS.2020.3036037</t>
  </si>
  <si>
    <t>10.1109/ACCESS.2020.3036037</t>
  </si>
  <si>
    <t>Context: Self-adaptive systems have been studied in software engineering over the past few decades attempting to address challenges within the field. There is a continuous significant need to fully understand the behavior and characteristics of the systems that operate in dynamic environments. By learning the behavior pattern of the environment, we can avoid unnecessary adaptations imbalance efforts for adaptation. As such, there exist research in the area of machine learning aimed at understanding dynamic environments regarding self-adaptive systems. Objective: This study aims to help software practitioners to address adaptation concerns by performing a systematic literature review that provides a comprehensive overview of using machine learning (ML) in self-adaptive systems. We summarize state-of-the-art Of the ML approaches used to handle self-adaptation to help software engineers in the proper selection of ML techniques based on the adaptation concern. Method: This review examines research published between 2001 and 2019 on ML implementation in self-adaptive systems, focusing on the adaptation aspects and purposes. The review was conducted by analyzing major scientific databases that resulted in 78 primary studies from 315 papers from an automatic search. Result: Finally, this study recommends three future research directions to enhance the application of machine learning in self-adaptive systems. © 2020 Institute of Electrical and Electronics Engineers Inc.. All rights reserved.</t>
  </si>
  <si>
    <t>Cited by: 19; All Open Access, Gold Open Access</t>
  </si>
  <si>
    <t>Braiek HB,Khomh F</t>
  </si>
  <si>
    <t>On testing machine learning programs</t>
  </si>
  <si>
    <t>https://www.scopus.com/inward/record.uri?eid=2-s2.0-85081030171&amp;doi=10.1016%2fj.jss.2020.110542&amp;partnerID=40&amp;md5=0019441a753439c6d2a0513d3a102029;http://dx.doi.org/10.1016/j.jss.2020.110542</t>
  </si>
  <si>
    <t>10.1016/j.jss.2020.110542</t>
  </si>
  <si>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 © 2020</t>
  </si>
  <si>
    <t>Cited by: 43; All Open Access, Green Open Access</t>
  </si>
  <si>
    <t>Wattanakriengkrai S,Maipradit R,Hata H,Choetkiertikul M,Sunetnanta T,Matsumoto K</t>
  </si>
  <si>
    <t>Identifying design and requirement self-admitted technical debt using N-gram IDF</t>
  </si>
  <si>
    <t>https://www.scopus.com/inward/record.uri?eid=2-s2.0-85063955510&amp;doi=10.1109%2fIWESEP.2018.00010&amp;partnerID=40&amp;md5=877dc7facce6dff853f440412e6187dd;http://dx.doi.org/10.1109/IWESEP.2018.00010</t>
  </si>
  <si>
    <t>10.1109/IWESEP.2018.00010</t>
  </si>
  <si>
    <t>In software projects, technical debt takes place when a developer adopting a trivial solution containing quick and easy shortcuts to implement over a suitable solution that can take a longer time to solve a problem. This can cause major additional costs leading to negative impacts for software maintenance since those shortcuts might need to be reworked in the future. Detecting technical debt early can help a team cope with those risks. In this paper, we focus on Self-Admitted Technical Debt (SATD) that is a debt intentionally produced by developers. We propose an automated model to identify two most common types of self-admitted technical debt, requirement and design debt, from source code comments. We combine N-gram IDF and auto-sklearn machine learning to build the model. With the empirical evaluation on ten projects, our approach outperform the baseline method by improving the performance over 20% when identifying requirement self-admitted technical debt and achieving an average F1-score of 64% when identifying design self-admitted technical debt. © 2018 IEEE.</t>
  </si>
  <si>
    <t>Menzies T</t>
  </si>
  <si>
    <t>The Five Laws of SE for AI</t>
  </si>
  <si>
    <t>81 – 85</t>
  </si>
  <si>
    <t>https://www.scopus.com/inward/record.uri?eid=2-s2.0-85077228353&amp;doi=10.1109%2fMS.2019.2954841&amp;partnerID=40&amp;md5=19daea99cbbb1ac47c6c597b960fbdc5;http://dx.doi.org/10.1109/MS.2019.2954841</t>
  </si>
  <si>
    <t>10.1109/MS.2019.2954841</t>
  </si>
  <si>
    <t>It is time to talk about software engineering (SE) for artificial intelligence (AI). As shown in Figure 1, industry is becoming increasingly dependent on AI software. Clearly, AI is useful for SE. But what about the other way around? How important is SE for AI? Many thought leaders in the AI industry are asking how to better develop and maintain AI software (see Figure 2). © 1984-2012 IEEE.</t>
  </si>
  <si>
    <t>Jha S,Kumar R,Hoang Son L,Abdel-Basset M,Priyadarshini I,Sharma R,Viet Long H</t>
  </si>
  <si>
    <t>Deep Learning Approach for Software Maintainability Metrics Prediction</t>
  </si>
  <si>
    <t>61840 – 61855</t>
  </si>
  <si>
    <t>https://www.scopus.com/inward/record.uri?eid=2-s2.0-85066781621&amp;doi=10.1109%2fACCESS.2019.2913349&amp;partnerID=40&amp;md5=2431b5a8094d9f30fc3f2c51c6f84480;http://dx.doi.org/10.1109/ACCESS.2019.2913349</t>
  </si>
  <si>
    <t>10.1109/ACCESS.2019.2913349</t>
  </si>
  <si>
    <t>Software maintainability predicts changes or failures that may occur in software after it has been deployed. Since it deals with the degree to which an application may be understood, repaired, or enhanced, it also takes into account the overall cost of the project. In the past, several measures have been taken into account for predicting metrics that influence software maintainability. However, deep learning is yet to be explored for the same. In this paper, we perform deep learning for software maintainability metrics' prediction on a large number of datasets. Unlike the previous research works, we have relied on large datasets from 299 software and subsequently applied various metrics and functions to the same; 29 object-oriented metrics have been considered along with their impact on software maintainability of open source software. Several metrics have been analyzed and descriptive statistics of these metrics have been pointed out. The proposed long short term memory has been evaluated using measures, such as mean absolute error, root mean square error and accuracy. Five machine learning algorithms, namely, ridge regression with variable selection, decision tree, quantile regression forest, support vector machine, and principal component analysis have been applied to the original datasets, as well as, to the refined datasets. It was found that this paper provides results in the form of metrics that may be used in the prediction of software maintenance and the proposed deep learning model outperforms all of the other methods that were considered. Furthermore, the results of experiment affirm the efficiency of the proposed deep learning model for software maintainability prediction. © 2013 IEEE.</t>
  </si>
  <si>
    <t>Cited by: 62; All Open Access, Gold Open Access</t>
  </si>
  <si>
    <t>Imran A</t>
  </si>
  <si>
    <t>Design Smell Detection and Analysis for Open Source Java Software</t>
  </si>
  <si>
    <t>644 – 648</t>
  </si>
  <si>
    <t>https://www.scopus.com/inward/record.uri?eid=2-s2.0-85077221156&amp;doi=10.1109%2fICSME.2019.00104&amp;partnerID=40&amp;md5=3eb16b13510268612b5061a5c90aedcf;http://dx.doi.org/10.1109/ICSME.2019.00104</t>
  </si>
  <si>
    <t>10.1109/ICSME.2019.00104</t>
  </si>
  <si>
    <t>Software design smells have gained significant importance in recent years since those directly lead to the increase of design debts and drastically affect software quality. Although the impact of design smells is manifold, techniques to detect design smells using both rule based and data mining approaches have been explored to a limited extent. This research aims to provide a tool which uses software metrics as a guide to detect smells and also deploys Spectral Clustering to mine the software repositories and group similar smells. The tool has been partially implemented till now and initial experiments on 2,59,509 Lines of Code (LoC) covering 3,306 classes of real life open source Java software show 2,220 occurrences of four types of design smells. © 2019 IEEE.</t>
  </si>
  <si>
    <t>Wang J,Meng X,Wang H,Sun H</t>
  </si>
  <si>
    <t>An Online Developer Profiling Tool Based on Analysis of GitLab Repositories</t>
  </si>
  <si>
    <t>1042 CCIS</t>
  </si>
  <si>
    <t>408 – 417</t>
  </si>
  <si>
    <t>https://www.scopus.com/inward/record.uri?eid=2-s2.0-85076222064&amp;doi=10.1007%2f978-981-15-1377-0_32&amp;partnerID=40&amp;md5=26cc99b4c728022bb9757ce8339fde8d;http://dx.doi.org/10.1007/978-981-15-1377-0_32</t>
  </si>
  <si>
    <t>10.1007/978-981-15-1377-0_32</t>
  </si>
  <si>
    <t>There are more and more developers as software is playing increasingly important roles in today’s economic and social development. As a result, evaluating developers’ expertise scientifically has become an urgent need for both Internet companies and developers. However, it seems that there is no satisfactory method to meet this demand currently. In this paper, we propose a solution to profile developers by analyzing their source code. We conduct the analysis of developers in terms of code quantity, code quality, skills, contribution, personalized commit time, and projects they participated in based on the GitLab code repositories. And we comprehensively evaluate developers’ expertise from four perspectives, which are code quantity, code quality, contribution and score of projects they participated in. Compared with existing methods, our evaluation indicators are more comprehensive. We design and implement an online tool that can provide developer searching and profiling. Our tool has been used in Neusoft and Wonders Group to characterize the expertise and performance of their software developers. © 2019, Springer Nature Singapore Pte Ltd.</t>
  </si>
  <si>
    <t>Shafiei N,Keyvanpour MR</t>
  </si>
  <si>
    <t>Challenges Classification in Search-Based Refactoring</t>
  </si>
  <si>
    <t>106 – 112</t>
  </si>
  <si>
    <t>https://www.scopus.com/inward/record.uri?eid=2-s2.0-85089179553&amp;doi=10.1109%2fICWR49608.2020.9122271&amp;partnerID=40&amp;md5=2442c0ca34498882123cecd68803985c;http://dx.doi.org/10.1109/ICWR49608.2020.9122271</t>
  </si>
  <si>
    <t>10.1109/ICWR49608.2020.9122271</t>
  </si>
  <si>
    <t>A common task in software maintenance is refactoring. The essential refactoring goal is improving software quality. The refactoring has extended for a wide range of software artifacts in different domains, such as web, database, and desktop applications. The difficulty of the manual artifacts inspecting is an impetus for automatic refactoring. Search-based software engineering (SBSE) has been used to solve many software engineering problems as optimization problems. Automating problem-solving is the goal of applying it to reduce human efforts. Many researchers have used the search-based approach in the field of refactoring that has known as search-based refactoring (SBR). There are many challenges in SBR. Identifying refactoring challenges help to understand refactoring problem and allow researchers to present new ideas for eliminating or reducing challenges. In this paper, we studied the researches in SBR and extracted researches challenges. We intend to categorize the challenges in this area from a new and more comprehensive perspective. © 2020 IEEE.</t>
  </si>
  <si>
    <t>Strečanský P,Chren S,Rossi B</t>
  </si>
  <si>
    <t>Comparing Maintainability Index, SIG Method, and SQALE for Technical Debt Identification</t>
  </si>
  <si>
    <t>Scientific Programming</t>
  </si>
  <si>
    <t>1058-9244</t>
  </si>
  <si>
    <t>https://www.scopus.com/inward/record.uri?eid=2-s2.0-85089306504&amp;doi=10.1155%2f2020%2f2976564&amp;partnerID=40&amp;md5=3edcf276fefc59def5d9c64479ece8f5;http://dx.doi.org/10.1155/2020/2976564</t>
  </si>
  <si>
    <t>10.1155/2020/2976564</t>
  </si>
  <si>
    <t>There are many definitions of software Technical Debt (TD) that were proposed over time. While many techniques to measure TD emerged in recent times, there is still not a clear understanding about how different techniques compare when applied to software projects. The goal of this paper is to shed some light on this aspect, by comparing three techniques about TD identification that were proposed over time: (i) the Maintainability Index (MI), (ii) SIG TD models, and (iii) SQALE analysis. Considering 20 open source Python libraries, we compare the TD measurements time series in terms of trends and evolution according to different sets of releases (major, minor, and micro), to see if the perception of practitioners about TD evolution could be impacted. While all methods report generally growing trends of TD over time, there are different patterns. SQALE reports more periods of steady states compared to MI and SIG TD. MI is the method that reports more repayments of TD compared to the other methods. SIG TD and MI are the models that show more similarity in the way TD evolves, while SQALE and MI are less similar. The implications are that each method gives slightly a different perception about TD evolution. © 2020 Peter Strečanský et al.</t>
  </si>
  <si>
    <t>Tong H,Zhang C,Wang F</t>
  </si>
  <si>
    <t>Code Smell Detection Based on Multi-dimensional Software Data and Complex Networks</t>
  </si>
  <si>
    <t>1258 CCIS</t>
  </si>
  <si>
    <t>490 – 505</t>
  </si>
  <si>
    <t>https://www.scopus.com/inward/record.uri?eid=2-s2.0-85090040158&amp;doi=10.1007%2f978-981-15-7984-4_37&amp;partnerID=40&amp;md5=4db31533ec7d63e568a1c1a3afae3eae;http://dx.doi.org/10.1007/978-981-15-7984-4_37</t>
  </si>
  <si>
    <t>10.1007/978-981-15-7984-4_37</t>
  </si>
  <si>
    <t>Code smell is the product of improper design and operation, which may be introduced in many situations. It will cause serious problems for further software development and maintenance. Currently, most code smell detection methods detect through a single type of software data. There are restrictions on detecting code smells with complex definitions and characteristics. In this paper, an approach of applying multi-dimensional software data is proposed. A complex network was built through structural data and historical version data, and code smell instances were determined by searching the network. We designed two smells detection strategies were designed and evaluated them in four open source projects. The results demonstrate that the proposed method has 23% and 15% higher F-measures on Shotgun Surgery and Parallel Inheritance Hierarchy than the existing mainstream detection ways. The code smell detection based on multi-dimensional software data and complex network is effective, and this method of processing multidimensional software data is also applicable for data-driven software research. © 2020, Springer Nature Singapore Pte Ltd.</t>
  </si>
  <si>
    <t>Hartsell C,Mahadevan N,Ramakrishna S,Dubey A,Bapty T,Johnson T,Koutsoukos X,Sztipanovits J,Karsai G</t>
  </si>
  <si>
    <t>Model-based design for CPS with learning-enabled components</t>
  </si>
  <si>
    <t>1 – 9</t>
  </si>
  <si>
    <t>https://www.scopus.com/inward/record.uri?eid=2-s2.0-85066035758&amp;doi=10.1145%2f3313151.3313166&amp;partnerID=40&amp;md5=e1cc9ace6353999a630b266e53c92d42;http://dx.doi.org/10.1145/3313151.3313166</t>
  </si>
  <si>
    <t>10.1145/3313151.3313166</t>
  </si>
  <si>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 © 2019 ACM.</t>
  </si>
  <si>
    <t>Cited by: 15; All Open Access, Bronze Open Access</t>
  </si>
  <si>
    <t>Vassallo C,Grano G,Palomba F,Gall HC,Bacchelli A</t>
  </si>
  <si>
    <t>A large-scale empirical exploration on refactoring activities in open source software projects</t>
  </si>
  <si>
    <t>https://www.scopus.com/inward/record.uri?eid=2-s2.0-85065542163&amp;doi=10.1016%2fj.scico.2019.05.002&amp;partnerID=40&amp;md5=0aa675929b8fce697b1de4ff272bb33b;http://dx.doi.org/10.1016/j.scico.2019.05.002</t>
  </si>
  <si>
    <t>10.1016/j.scico.2019.05.002</t>
  </si>
  <si>
    <t>Refactoring is a well-established practice that aims at improving the internal structure of a software system without changing its external behavior. Existing literature provides evidence of how and why developers perform refactoring in practice. In this paper, we continue on this line of research by performing a large-scale empirical analysis of refactoring practices in 200 open source systems. Specifically, we analyze the change history of these systems at commit level to investigate: (i)whether developers perform refactoring operations and, if so, which are more diffused and (ii)when refactoring operations are applied, and (iii)which are the main developer-oriented factors leading to refactoring. Based on our results, future research can focus on enabling automatic support for less frequent refactorings and on recommending refactorings based on the developer's workload, project's maturity and developer's commitment to the project. © 2019 Elsevier B.V.</t>
  </si>
  <si>
    <t>Alomar EA</t>
  </si>
  <si>
    <t>Towards Better Understanding Developer Perception of Refactoring</t>
  </si>
  <si>
    <t>624 – 628</t>
  </si>
  <si>
    <t>https://www.scopus.com/inward/record.uri?eid=2-s2.0-85077201449&amp;doi=10.1109%2fICSME.2019.00100&amp;partnerID=40&amp;md5=3ddf747f546566976aa1f2f63a8d9a0b;http://dx.doi.org/10.1109/ICSME.2019.00100</t>
  </si>
  <si>
    <t>10.1109/ICSME.2019.00100</t>
  </si>
  <si>
    <t>Refactoring is a critical task in software maintenance. It is typically performed to enforce best design practices or to cope with design defects. Research in refactoring has been driven by the need to improve system structures. However, recent studies have shown that developers may incorporate refactoring strategies in other development-related activities that go beyond improving the design. Unfortunately, these studies are limited to developer interviews and a reduced set of projects. In this context, we aim at exploring how developers document their refactoring activities during the software life cycle, we call such activity Self-Affirmed Refactoring (SAR), by understanding developers perception of refactorings so that we can bridge the gap between refactoring and automation in general. We aim in more accurately mimicking the human decision making when recommending better software refactoring and remodularization. © 2019 IEEE.</t>
  </si>
  <si>
    <t>Habchi S,Moha N,Rouvoy R</t>
  </si>
  <si>
    <t>The rise of android code smells: Who is to blame?</t>
  </si>
  <si>
    <t>445 – 456</t>
  </si>
  <si>
    <t>https://www.scopus.com/inward/record.uri?eid=2-s2.0-85072343120&amp;doi=10.1109%2fMSR.2019.00071&amp;partnerID=40&amp;md5=47ccc563239187220923d9959cc82e19;http://dx.doi.org/10.1109/MSR.2019.00071</t>
  </si>
  <si>
    <t>10.1109/MSR.2019.00071</t>
  </si>
  <si>
    <t>The rise of mobile apps as new software systems led to the emergence of new development requirements regarding performance. Development practices that do not respect these requirements can seriously hinder app performances and impair user experience, they qualify as code smells. Mobile code smells are generally associated with inexperienced developers who lack knowledge about the framework guidelines. However, this assumption remains unverified and there is no evidence about the role played by developers in the accrual of mobile code smells. In this paper, we therefore study the contributions of developers related to Android code smells. To support this study, we propose Sniffer, an open-source toolkit that mines Git repositories to extract developers' contributions as code smell histories. Using Sniffer, we analysed 255k commits from the change history of 324 Android apps. We found that the ownership of code smells is spread across developers regardless of their seniority. There are no distinct groups of code smell introducers and removers. Developers who introduce and remove code smells are mostly the same. © 2019 IEEE.</t>
  </si>
  <si>
    <t>A composed technical debt identification methodology to predict software vulnerabilities</t>
  </si>
  <si>
    <t>https://www.scopus.com/inward/record.uri?eid=2-s2.0-85094115702&amp;doi=10.1145%2f3377812.3381396&amp;partnerID=40&amp;md5=aeda611a5bc4028469ffe12e6ddb4aa4;http://dx.doi.org/10.1145/3377812.3381396</t>
  </si>
  <si>
    <t>Technical debt (TD), its impact on development and its consequences such as defects and vulnerabilities, are of common interestand great importance to software researchers and practitioners.Although there exist many studies investigating TD, the majorityof them focuses on identifying and detecting TD from a single stageof development. There are also studies that analyze vulnerabilities focusing on some phases of the life cycle. Moreover, severalapproaches have investigated the relationship between TD and vulnerabilities, however, the generalizability and validity of findingsare limited due to small dataset. In this study, we aim to identifyTD through multiple phases of development, and to automaticallymeasure it through data and text mining techniques to form acomprehensive feature model. We plan to utilize neural networkbased classifiers that will incorporate evolutionary changes on TDmeasures into predicting vulnerabilities. Our approach will be empirically assessed on open source and industrial projects. © 2020 Copyright held by the owner/author(s).</t>
  </si>
  <si>
    <t>Kudjo PK,Chen J,Zhou M,Mensah S,Huang R</t>
  </si>
  <si>
    <t>Improving the Accuracy of Vulnerability Report Classification Using Term Frequency-Inverse Gravity Moment</t>
  </si>
  <si>
    <t>248 – 259</t>
  </si>
  <si>
    <t>https://www.scopus.com/inward/record.uri?eid=2-s2.0-85073790433&amp;doi=10.1109%2fQRS.2019.00041&amp;partnerID=40&amp;md5=554197f3cd3a269d57bda010e33880de;http://dx.doi.org/10.1109/QRS.2019.00041</t>
  </si>
  <si>
    <t>10.1109/QRS.2019.00041</t>
  </si>
  <si>
    <t>Software vulnerability analysis is one of the critical issues in the software industry, and vulnerability classification plays a major role in this analysis. A typical vulnerability classification model usually involves a stage of term selection, in which the relevant terms are identified via feature selection. It also involves a stage of term weighting, in which document weights for the selected terms are computed, and a stage for classifier learning. Generally, the term frequency-inverse document frequency (TF-IDF) is the most widely used term-weighting method. However, empirical evidence shows that the TF-IDF is plagued with issues pertaining to its effectiveness. This paper introduces a new approach for vulnerability classification, which is based on term frequency and inverse gravity moment (TF-IGM). The proposed method is validated by empirical experiments using three machine learning algorithms on ten publicly available vulnerability datasets. The result shows that TF-IGM outperforms the benchmark method across the applications studied. © 2019 IEEE.</t>
  </si>
  <si>
    <t>Ahuja MK,Belaid MB,Bernab P,Collet M,Gotlieb A,Lal C,Marijan D,Sen S,Sharif A,Spieker H</t>
  </si>
  <si>
    <t>Opening the software engineering toolbox for the assessment of trustworthy AI</t>
  </si>
  <si>
    <t>67 – 70</t>
  </si>
  <si>
    <t>https://www.scopus.com/inward/record.uri?eid=2-s2.0-85090901906&amp;partnerID=40&amp;md5=053ba6b4c8911ffab65c6cb88fe8c0ac</t>
  </si>
  <si>
    <t>Trustworthiness is a central requirement for the acceptance and success of human-centered artificial intelligence (AI). To deem an AI system as trustworthy, it is crucial to assess its behaviour and characteristics against a gold standard of Trustworthy AI, consisting of guidelines, requirements, or only expectations. While AI systems are highly complex, their implementations are still based on software. The software engineering community has a long-established toolbox for the assessment of software systems, especially in the context of software testing. In this paper, we argue for the application of software engineering and testing practices for the assessment of trustworthy AI. We make the connection between the seven key requirements as defined by the European Commission's AI high-level expert group and established procedures from software engineering and raise questions for future work. © 2020 for this paper by its authors. Use permitted under Creative Commons License Attribution 4.0 International (CC BY 4.0).</t>
  </si>
  <si>
    <t>Li Y,Jiang ZM,Li H,Hassan AE,He C,Huang R,Zeng Z,Wang M,Chen P</t>
  </si>
  <si>
    <t>Predicting Node Failures in an Ultra-Large-Scale Cloud Computing Platform</t>
  </si>
  <si>
    <t>https://www.scopus.com/inward/record.uri?eid=2-s2.0-85084928234&amp;doi=10.1145%2f3385187&amp;partnerID=40&amp;md5=2cdbd4ded79597910530cffb23e1df31;http://dx.doi.org/10.1145/3385187</t>
  </si>
  <si>
    <t>10.1145/3385187</t>
  </si>
  <si>
    <t>Many software services today are hosted on cloud computing platforms, such as Amazon EC2, due to many benefits like reduced operational costs. However, node failures in these platforms can impact the availability of their hosted services and potentially lead to large financial losses. Predicting node failures before they actually occur is crucial, as it enables DevOps engineers to minimize their impact by performing preventative actions. However, such predictions are hard due to many challenges like the enormous size of the monitoring data and the complexity of the failure symptoms. AIOps (Artificial Intelligence for IT Operations), a recently introduced approach in DevOps, leverages data analytics and machine learning to improve the quality of computing platforms in a cost-effective manner. However, the successful adoption of such AIOps solutions requires much more than a top-performing machine learning model. Instead, AIOps solutions must be trustable, interpretable, maintainable, scalable, and evaluated in context. To cope with these challenges, in this article we report our process of building an AIOps solution for predicting node failures for an ultra-large-scale cloud computing platform at Alibaba. We expect our experiences to be of value to researchers and practitioners, who are interested in building and maintaining AIOps solutions for large-scale cloud computing platforms. © 2020 ACM.</t>
  </si>
  <si>
    <t>Smaragdakis Y</t>
  </si>
  <si>
    <t>Next-paradigm programming languages: What will they look like and what changes will they bring?</t>
  </si>
  <si>
    <t>187 – 197</t>
  </si>
  <si>
    <t>https://www.scopus.com/inward/record.uri?eid=2-s2.0-85076755704&amp;doi=10.1145%2f3359591.3359739&amp;partnerID=40&amp;md5=a65381c51f81f6139909c2f22fb6b6b6;http://dx.doi.org/10.1145/3359591.3359739</t>
  </si>
  <si>
    <t>10.1145/3359591.3359739</t>
  </si>
  <si>
    <t>The dream of programming language design is to bring about orders-of-magnitude productivity improvements in software development tasks. Designers can endlessly debate on how this dream can be realized and on how close we are to its realization. Instead, I would like to focus on a question with an answer that can be, surprisingly, clearer: what will be the common principles behind next-paradigm, high-productivity programming languages, and how will they change everyday program development? Based on my decade-plus experience of heavy-duty development in declarative languages, I speculate that certain tenets of high-productivity languages are inevitable. These include, for instance, enormous variations in performance (including automatic transformations that change the asymptotic complexity of algorithms); a radical change in a programmer’s workflow, elevating testing from a near-menial task to an act of deep understanding; and a change in the need for formal proofs. © 2019 Copyright held by the owner/author(s). Publication rights licensed to ACM.</t>
  </si>
  <si>
    <t>Del Carpio PM</t>
  </si>
  <si>
    <t>Focusing synonymy on source code repositories; [Enfocando la sinonimia sobre repositorios de código fuente]</t>
  </si>
  <si>
    <t>RISTI - Revista Iberica de Sistemas e Tecnologias de Informacao</t>
  </si>
  <si>
    <t>E31</t>
  </si>
  <si>
    <t>573 – 589</t>
  </si>
  <si>
    <t>Associacao Iberica de Sistemas e Tecnologias de Informacao</t>
  </si>
  <si>
    <t>1646-9895</t>
  </si>
  <si>
    <t>https://www.scopus.com/inward/record.uri?eid=2-s2.0-85089946122&amp;partnerID=40&amp;md5=1e22d1cc0d8dcb9e4fd79a234ff82d45</t>
  </si>
  <si>
    <t>We expect that a huge corpus of code could be rich in patterns, and the corpus of software has statistical properties, which are similar to the corpus of natural language. In spite of code and text are similar, written code is a new problem domain for the techniques of natural language processing. Taking in account that synonymy is the base for building a WordNet, this work addresses the synonymy in source code repositories, presenting an approach and techniques based on naming patterns and term frequency for that. The proposal has been evaluated in popular repositories of Apache, Eclipse and Red Hat. The results show that the proposal does not require an intensive processing. © 2020, Associacao Iberica de Sistemas e Tecnologias de Informacao. All rights reserved.</t>
  </si>
  <si>
    <t>Vakkuri V,Kemell KK,Kultanen J,Abrahamsson P</t>
  </si>
  <si>
    <t>The Current State of Industrial Practice in Artificial Intelligence Ethics</t>
  </si>
  <si>
    <t>50 – 57</t>
  </si>
  <si>
    <t>https://www.scopus.com/inward/record.uri?eid=2-s2.0-85083006137&amp;doi=10.1109%2fMS.2020.2985621&amp;partnerID=40&amp;md5=aaba6981f5c34875848add2db6ccf5a7;http://dx.doi.org/10.1109/MS.2020.2985621</t>
  </si>
  <si>
    <t>10.1109/MS.2020.2985621</t>
  </si>
  <si>
    <t>High-level guidelines and tools for managing artificial intelligence (AI) ethics have been introduced to help industry organizations make more ethical AI systems. The results of a survey of 211 software companies provide insights into the current state of industrial practice. © 1984-2012 IEEE.</t>
  </si>
  <si>
    <t>Chen T,Bahsoon R,Yao X</t>
  </si>
  <si>
    <t>Synergizing Domain Expertise with Self-Awareness in Software Systems: A Patternized Architecture Guideline</t>
  </si>
  <si>
    <t>Proceedings of the IEEE</t>
  </si>
  <si>
    <t>1094 – 1126</t>
  </si>
  <si>
    <t>0018-9219</t>
  </si>
  <si>
    <t>https://www.scopus.com/inward/record.uri?eid=2-s2.0-85085967138&amp;doi=10.1109%2fJPROC.2020.2985293&amp;partnerID=40&amp;md5=cc8946989ba1be8454524fde5c94ffee;http://dx.doi.org/10.1109/JPROC.2020.2985293</t>
  </si>
  <si>
    <t>10.1109/JPROC.2020.2985293</t>
  </si>
  <si>
    <t>To promote engineering self-aware and self-adaptive software systems in a reusable manner, architectural patterns and the related methodology provide an unified solution to handle the recurring problems in the engineering process. However, in existing patterns and methods, domain knowledge and engineers' expertise that is built over time are not explicitly linked to the self-aware processes. This link is important, as knowledge is a valuable asset for the related problems and its absence would cause unnecessary overhead, possibly misleading results, and unwise waste of the tremendous benefits that could have been brought by the domain expertise. This article highlights the importance of synergizing domain expertise and the self-awareness to enable better self-adaptation in software systems, relying on well-defined expertise representation, algorithms, and techniques. In particular, we present a holistic framework of notions, enriched patterns and methodology, dubbed DBASES, that offers a principled guideline for the engineers to perform difficulty and benefit analysis on possible synergies, in an attempt to keep 'engineers-in-the-loop.' Through three tutorial case studies, we demonstrate how DBASES can be applied in different domains, within which a carefully selected set of candidates with different synergies can be used for quantitative investigation, providing more informed decisions of the design choices. © 1963-2012 IEEE.</t>
  </si>
  <si>
    <t>Dube P,Farchi E</t>
  </si>
  <si>
    <t>Automated Detection of Drift in Deep Learning Based Classifiers Performance Using Network Embeddings</t>
  </si>
  <si>
    <t>97 – 109</t>
  </si>
  <si>
    <t>https://www.scopus.com/inward/record.uri?eid=2-s2.0-85097430483&amp;doi=10.1007%2f978-3-030-62144-5_8&amp;partnerID=40&amp;md5=057effcab39470d07e01b230e2511b35;http://dx.doi.org/10.1007/978-3-030-62144-5_8</t>
  </si>
  <si>
    <t>10.1007/978-3-030-62144-5_8</t>
  </si>
  <si>
    <t>In supervised learning, neural network generalize, or learn, based on various statistical properties of the training data. Typically, an unseen randomly sampled test set is used to estimate the performance (e.g., accuracy) of the neural network during deployment time. The performance on the test set is used to project the performance of the neural network at deployment time under the implicit assumption that the data distribution of the test set represents the data distribution at deployment time. This assumption often breaks in real world deployment scenarios. Statistic characteristics of the data may change between training time and deployment time. For example, new unforeseen objects may emerge in the data, the data may become noisy due to external conditions (e.g., rain), or characteristic of objects may change over time (e.g., subjects with a new group age). All of these changes in the data, may degrade the performance of the neural network below an anticipated and desired threshold. However, if the production data is not labeled, as is typically the case in deployment time, detection of such a drift in network performance is not straightforward. We develop a technique that identifies drift in neural network performance in time windows for which the data is not labeled. We take advantage of the network structure, specifically the vector of activation level at the layer before the last for a given data point x, to define the statistic used to identify drift. We use cosine similarity as statistics defined on the vector of activation level at the layer before the last. We then apply non-parametric statistical tests on a sliding window of the time series of data arrivals to identify drift. The approach efficiently detects drift and is only sensitive to the choice of the sliding window which needs to have sufficient overlap with the window in which the drift is gradually introduced. © 2020, Springer Nature Switzerland AG.</t>
  </si>
  <si>
    <t>Palomba F,Zanoni M,Fontana FA,De Lucia A,Oliveto R</t>
  </si>
  <si>
    <t>Toward a smell-aware bug prediction model</t>
  </si>
  <si>
    <t>194 – 218</t>
  </si>
  <si>
    <t>https://www.scopus.com/inward/record.uri?eid=2-s2.0-85034272704&amp;doi=10.1109%2fTSE.2017.2770122&amp;partnerID=40&amp;md5=6c8be47eecf246e1d0d4970438460843;http://dx.doi.org/10.1109/TSE.2017.2770122</t>
  </si>
  <si>
    <t>10.1109/TSE.2017.2770122</t>
  </si>
  <si>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 © 1976-2012 IEEE.</t>
  </si>
  <si>
    <t>Cited by: 56; All Open Access, Green Open Access</t>
  </si>
  <si>
    <t>Santhanam P</t>
  </si>
  <si>
    <t>Quality Management of Machine Learning Systems</t>
  </si>
  <si>
    <t>https://www.scopus.com/inward/record.uri?eid=2-s2.0-85097427859&amp;doi=10.1007%2f978-3-030-62144-5_1&amp;partnerID=40&amp;md5=3cc753e5bbf244b2eeddf32777ea406e;http://dx.doi.org/10.1007/978-3-030-62144-5_1</t>
  </si>
  <si>
    <t>10.1007/978-3-030-62144-5_1</t>
  </si>
  <si>
    <t>In the past decade, Artificial Intelligence (AI) has become a part of our daily lives due to major advances in Machine Learning (ML) techniques. In spite of an explosive growth in the raw AI technology and in consumer facing applications on the internet, its adoption in business applications has conspicuously lagged behind. For business/mission-critical systems, serious concerns about reliability and maintainability of AI applications remain. Due to the statistical nature of the output, software ‘defects’ are not well defined. Consequently, many traditional quality management techniques such as program debugging, static code analysis, functional testing, etc. have to be reevaluated. Beyond the correctness of an AI model, many other new quality attributes, such as fairness, robustness, explainability, transparency, etc. become important in delivering an AI system. The purpose of this paper is to present a view of a holistic quality management framework for ML applications based on the current advances and identify new areas of software engineering research to achieve a more trustworthy AI. © 2020, Springer Nature Switzerland AG.</t>
  </si>
  <si>
    <t>Zarza G,López Murphy JJ</t>
  </si>
  <si>
    <t>Architectural Design Criteria for Evolvable Data-Intensive Machine Learning Platforms</t>
  </si>
  <si>
    <t>1291 CCIS</t>
  </si>
  <si>
    <t>58 – 77</t>
  </si>
  <si>
    <t>https://www.scopus.com/inward/record.uri?eid=2-s2.0-85096587413&amp;doi=10.1007%2f978-3-030-61218-4_5&amp;partnerID=40&amp;md5=c0d7726a063307802b86d128a0f4e489;http://dx.doi.org/10.1007/978-3-030-61218-4_5</t>
  </si>
  <si>
    <t>10.1007/978-3-030-61218-4_5</t>
  </si>
  <si>
    <t>Recent advances in Artificial Intelligence (AI) have fostered a widespread adoption of Machine Learning (ML) capabilities within many products and services. However, most organizations are not well suited to fully exploit the strategic advantages of AI. Implementing ML solutions is still a complex endeavor due to the fast-pace evolution and the intrinsic exploratory nature of state-of-the-art ML techniques. In many respects, the evolution of data platforms through highly parallel or high performance technologies have focused on the capacity to massively process the elements consumed by these ML models. This separate consideration renders reference architectures to be either suited for analytics consumption, or for raw storage. There is no joint consideration for the complete cycle of data management, models development, and serving with feedback and human-in-the-loop requirements. This paper introduces design criteria conceived to help organizations to architect and implement data platforms to effectively exploit their ML capabilities. The main objective of this work is to expedite the development of data platforms for ML by avoiding common implementation mistakes. The proposed guideline constitutes the methodical articulation of the empirical knowledge acquired over the last years designing, developing, evolving and maintaining a broad spectrum of relevant industry-oriented Data and AI solutions. We have focused on evaluating our proposal by assessing the functionality and usability of the architectures and implementations originated from our design criteria. © 2020, Springer Nature Switzerland AG.</t>
  </si>
  <si>
    <t>Awwad B,Hasan S,Kelly K</t>
  </si>
  <si>
    <t>Bayesian Stress Testing of Models in a Classification Hierarchy</t>
  </si>
  <si>
    <t>https://www.scopus.com/inward/record.uri?eid=2-s2.0-85093832705&amp;doi=10.1109%2fIJCNN48605.2020.9207356&amp;partnerID=40&amp;md5=49ec179bf6889688add0b6da0c0e6f58;http://dx.doi.org/10.1109/IJCNN48605.2020.9207356</t>
  </si>
  <si>
    <t>10.1109/IJCNN48605.2020.9207356</t>
  </si>
  <si>
    <t>Building a machine learning solution in real-life applications often involves the decomposition of the problem into multiple models of various complexity. This has advantages in terms of overall performance, better interpretability of the outcomes, and easier model maintenance. In this work we propose a Bayesian framework to model the interaction amongst models in such a hierarchy. We show that the framework can facilitate stress testing of the overall solution, giving more confidence in its expected performance prior to active deployment. Finally, we test the proposed framework on a toy problem and financial fraud detection dataset to demonstrate how it can be applied for any machine learning based solution, regardless of the underlying modelling required. © 2020 IEEE.</t>
  </si>
  <si>
    <t>CPS design with learning-enabled components: A case study</t>
  </si>
  <si>
    <t>57 – 63</t>
  </si>
  <si>
    <t>1074-6005</t>
  </si>
  <si>
    <t>https://www.scopus.com/inward/record.uri?eid=2-s2.0-85077198759&amp;doi=10.1145%2f3339985.3358491&amp;partnerID=40&amp;md5=6876a62a41ea06cd1ac41acde7702cdd;http://dx.doi.org/10.1145/3339985.3358491</t>
  </si>
  <si>
    <t>10.1145/3339985.3358491</t>
  </si>
  <si>
    <t>Cyber-Physical Systems (CPS) are used in many applications where they must perform complex tasks with a high degree of autonomy in uncertain environments. Traditional design flows based on domain knowledge and analytical models are often impractical for tasks such as perception, planning in uncertain environments, control with ill-defined objectives, etc. Machine learning based techniques have demonstrated good performance for such difficult tasks, leading to the introduction of Learning-Enabled Components (LEC) in CPS. Model based design techniques have been successful in the development of traditional CPS, and toolchains which apply these techniques to CPS with LECs are being actively developed. As LECs are critically dependent on training and data, one of the key challenges is to build design automation for them. In this paper, we examine the development of an autonomous Unmanned Underwater Vehicle (UUV) using the Assurance-based Learningenabled Cyber-physical systems (ALC) Toolchain. Each stage of the development cycle is described including architectural modeling, data collection, LEC training, LEC evaluation and verification, and system-level assurance. © 2019 Association for Computing Machinery.</t>
  </si>
  <si>
    <t>Ishikawa F,Yoshioka N</t>
  </si>
  <si>
    <t>How Do Engineers Perceive Difficulties in Engineering of Machine-Learning Systems? - Questionnaire Survey</t>
  </si>
  <si>
    <t>2 – 9</t>
  </si>
  <si>
    <t>https://www.scopus.com/inward/record.uri?eid=2-s2.0-85073437829&amp;doi=10.1109%2fCESSER-IP.2019.00009&amp;partnerID=40&amp;md5=6ee4c8ddefaa6d61ea7f840450700a0c;http://dx.doi.org/10.1109/CESSER-IP.2019.00009</t>
  </si>
  <si>
    <t>10.1109/CESSER-IP.2019.00009</t>
  </si>
  <si>
    <t>There is increasing interest in machine learning (ML) techniques and their applications in recent years. Although there has been intensive support by frameworks and libraries for the implementation of ML-based systems, investigation into engineering disciplines and methods is still at the early phase. The most pressing issue in this field is identifying the essential challenges for the software engineering research community as engineering of ML-based systems requires novel approaches due to the essentially different nature of ML-based systems. In this paper, we analyze the results of a questionnaire administered to 278 people who have worked on ML-based systems in practice, clarify the essential difficulties and their causes as perceived by practitioners, and suggest potential research directions. © 2019 IEEE.</t>
  </si>
  <si>
    <t>Cited by: 44</t>
  </si>
  <si>
    <t>Zakurdaeva A,Weiss M,Muegge S</t>
  </si>
  <si>
    <t>Detecting architectural integrity violation patterns using machine learning</t>
  </si>
  <si>
    <t>1480 – 1487</t>
  </si>
  <si>
    <t>https://www.scopus.com/inward/record.uri?eid=2-s2.0-85083030688&amp;doi=10.1145%2f3341105.3374008&amp;partnerID=40&amp;md5=58046cfff4cab67a56772b0e99cf0b23;http://dx.doi.org/10.1145/3341105.3374008</t>
  </si>
  <si>
    <t>10.1145/3341105.3374008</t>
  </si>
  <si>
    <t>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 © 2020 ACM.</t>
  </si>
  <si>
    <t>Das AK,Yadav S,Dhal S</t>
  </si>
  <si>
    <t>Detecting Code Smells using Deep Learning</t>
  </si>
  <si>
    <t>2081 – 2086</t>
  </si>
  <si>
    <t>2159-3442</t>
  </si>
  <si>
    <t>https://www.scopus.com/inward/record.uri?eid=2-s2.0-85077682252&amp;doi=10.1109%2fTENCON.2019.8929628&amp;partnerID=40&amp;md5=43b2527dc20284f9b5b10e24b25d5df3;http://dx.doi.org/10.1109/TENCON.2019.8929628</t>
  </si>
  <si>
    <t>10.1109/TENCON.2019.8929628</t>
  </si>
  <si>
    <t>A smell in software refers to a symptom introduced in software artifacts such as architecture, design or code. A code smell can potentially cause deeper and serious problems, while dealing with mainly non-functional requirements such as testability, maintainability, extensibility and scalability. The detection of code smell is an essential step in the refactoring process, which facilitates non functional requirements in a software. The existing approaches for detecting code smells use detection rules or standards using a combination of different object-oriented metrics. Although a variety of code smell detection tools have been developed, they still have limitations and constraints in their capabilities. The most well-known object-oriented metrics are considered to identify the presence of smells in software. This paper proposes a deep learning based approach to detect two code smells (Brain Class and Brain Method). The proposed system uses thirty open source Java projects, which are shared by many users in GitHub repositories. The dataset of these Java projects is partitioned into mutually exclusive training and test sets. Our experiments have demonstrated high accuracy results for both the code smells. © 2019 IEEE.</t>
  </si>
  <si>
    <t>Zampetti F,Serebrenik A,DI Penta M</t>
  </si>
  <si>
    <t>Automatically Learning Patterns for Self-Admitted Technical Debt Removal</t>
  </si>
  <si>
    <t>355 – 366</t>
  </si>
  <si>
    <t>https://www.scopus.com/inward/record.uri?eid=2-s2.0-85083573289&amp;doi=10.1109%2fSANER48275.2020.9054868&amp;partnerID=40&amp;md5=be52c240156dc6649a1e234304ccee7b;http://dx.doi.org/10.1109/SANER48275.2020.9054868</t>
  </si>
  <si>
    <t>10.1109/SANER48275.2020.9054868</t>
  </si>
  <si>
    <t>Technical Debt (TD) expresses the need for improvements in a software system, e.g., to its source code or architecture. In certain circumstances, developers 'self-admit' technical debt (SATD) in their source code comments. Previous studies investigate when SATD is admitted, and what changes developers perform to remove it. Building on these studies, we present a first step towards the automated recommendation of SATD removal strategies. By leveraging a curated dataset of SATD removal patterns, we build a multi-level classifier capable of recommending six SATD removal strategies, e.g., changing API calls, conditionals, method signatures, exception handling, return statements, or telling that a more complex change is needed. SARDELE (SAtd Removal using DEep LEarning) combines a convolutional neural network trained on embeddings extracted from the SATD comments with a recurrent neural network trained on embeddings extracted from the SATD-affected source code. Our evaluation reveals that SARDELE is able to predict the type of change to be applied with an average precision of 55%, recall of 57%, and AUC of 0.73, reaching up to 73% precision, 63% recall, and 0.74 AUC for certain categories such as changes to method calls. Overall, results suggest that SATD removal follows recurrent patterns and indicate the feasibility of supporting developers in this task with automated recommenders. © 2020 IEEE.</t>
  </si>
  <si>
    <t>Zhao Y,Xiao L,Wang X,Sun L,Chen B,Liu Y,Bondi AB</t>
  </si>
  <si>
    <t>How are performance issues caused and resolved?-an empirical study from a design perspective</t>
  </si>
  <si>
    <t>181 – 192</t>
  </si>
  <si>
    <t>https://www.scopus.com/inward/record.uri?eid=2-s2.0-85085926600&amp;doi=10.1145%2f3358960.3379130&amp;partnerID=40&amp;md5=f4be5d49f90b9acb39fde0931a466cdd;http://dx.doi.org/10.1145/3358960.3379130</t>
  </si>
  <si>
    <t>10.1145/3358960.3379130</t>
  </si>
  <si>
    <t>Empirical experience regarding how real-life performance issues are caused and resolved can provide valuable insights for practitioners to effectively and efficiently prevent, detect, and fix performance issues. Prior work shows that most performance issues have their roots in poor architectural decisions. This paper contributes a large scale empirical study of 192 real-life performance issues, with an emphasis on software design. First, this paper contributes a holistic view of eight common root causes and typical resolutions that recur in different projects, and surveyed existing literature, in particular, tools, that can detect and fix each type of performance issue. Second, this study is first-of-its-kind to investigate performance issues from a design perspective. In the 192 issues, 33% required design-level optimization, i.e. simultaneously revising a group of related source files for resolving the issues. We reveal four design-level optimization patterns, which have shown different prevalence in resolving different root causes. Finally, this study investigated the Return on Investment for addressing performance issues, to help practitioners choose between localized or design-level optimization resolutions, and to prioritize issues due to different root causes. © 2020 ACM.</t>
  </si>
  <si>
    <t>Kudjo PK,Chen J,Mensah S,Amankwah R</t>
  </si>
  <si>
    <t>Predicting vulnerable software components via bellwethers</t>
  </si>
  <si>
    <t>389 – 407</t>
  </si>
  <si>
    <t>https://www.scopus.com/inward/record.uri?eid=2-s2.0-85060212333&amp;doi=10.1007%2f978-981-13-5913-2_24&amp;partnerID=40&amp;md5=9d68dfe503ebe0dfdcc2600d7b769c9b;http://dx.doi.org/10.1007/978-981-13-5913-2_24</t>
  </si>
  <si>
    <t>10.1007/978-981-13-5913-2_24</t>
  </si>
  <si>
    <t>Software vulnerabilities are weakness, flaws or errors introduced during the life cycle of a software system. Although, previous studies have demonstrated the practical significance of using software metrics to predict vulnerable software components, empirical evidence shows that these metrics are plagued with issues pertaining to their effectiveness and robustness. This paper investigates the feasibility of using Bellwethers (i.e., exemplary data) for predicting and classifying software vulnerabilities. We introduced a Bellwether method using the following operators, PARTITION, SAMPLE + TRAIN and APPLY. The Bellwethers sampled by the three operators are used to train a learner (i.e., deep neural networks) with the aim of predicting essential or non-essential vulnerabilities. We evaluate the proposed Bellwether method using vulnerability reports extracted from three popular web browsers offered by CVE. Again, the mean absolute error (MAE), Welch’s t-test and Cliff’s δ effect size are used to further evaluate the prediction performance and practical statistical significant difference between the Bellwethers and the growing portfolio. We found that there exist subsets of vulnerability records (Bellwethers) in the studied datasets that can yield improved accuracy for software vulnerability prediction. The result shows that recall and precision measures from the text mining process were in a range of 73.9%–85.3% and 67.9%–81.8% respectively across the three studied datasets. The findings further show that the use of the Bellwethers for predictive modelling is a promising research direction for assisting software engineers and practitioners when seeking to predict instances of vulnerability records that demand much attention prior to software release. © 2019, Springer Nature Singapore Pte Ltd.</t>
  </si>
  <si>
    <t>Lenarduzzi V,Martini A,Taibi D,Tamburri DA</t>
  </si>
  <si>
    <t>Towards surgically-precise technical debt estimation: Early results and research roadmap</t>
  </si>
  <si>
    <t>37 – 42</t>
  </si>
  <si>
    <t>https://www.scopus.com/inward/record.uri?eid=2-s2.0-85076086180&amp;doi=10.1145%2f3340482.3342747&amp;partnerID=40&amp;md5=226757cee7c7d2f7fdaf63be77e79886;http://dx.doi.org/10.1145/3340482.3342747</t>
  </si>
  <si>
    <t>10.1145/3340482.3342747</t>
  </si>
  <si>
    <t>The concept of technical debt has been explored from many perspectives but its precise estimation is still under heavy empirical and experimental inquiry. We aim to understand whether, by harnessing approximate, data-driven, machine-learning approaches it is possible to improve the current techniques for technical debt estimation, as represented by a top industry quality analysis tool such as SonarQube. For the sake of simplicity, we focus on relatively simple regression modelling techniques and apply them to modelling the additional project cost connected to the sub-optimal conditions existing in the projects under study. Our results shows that current techniques can be improved towards a more precise estimation of technical debt and the case study shows promising results towards the identification of more accurate estimation of technical debt. © 2019 Association for Computing Machinery.</t>
  </si>
  <si>
    <t>Ivers J,Ozkaya I,Nord RL</t>
  </si>
  <si>
    <t>Can ai close the design-code abstraction gap?</t>
  </si>
  <si>
    <t>122 – 125</t>
  </si>
  <si>
    <t>https://www.scopus.com/inward/record.uri?eid=2-s2.0-85079266062&amp;doi=10.1109%2fASEW.2019.00041&amp;partnerID=40&amp;md5=000515e6207cd935696e69d1d84fb8fb;http://dx.doi.org/10.1109/ASEW.2019.00041</t>
  </si>
  <si>
    <t>10.1109/ASEW.2019.00041</t>
  </si>
  <si>
    <t>Aligning the design of a system with its implementation improves product quality and simplifies product evolution. While developers are empowered with AI/ML augmented tools and techniques that increasingly assist them in implementation tasks, the abstraction gap between code and design limits automation for design tasks. In this position paper, we argue that the software engineering community can take advantage of the experiences built with AI/ML techniques to advance automation in design analysis. We summarize research challenges and describe two efforts that apply machine learning to codebases to extract design constructs and detect deviation from intended designs and to use search-based refactoring to make design improvements for extracting functionality. © 2019 IEEE.</t>
  </si>
  <si>
    <t>Owoyemi A,Owoyemi J,Osiyemi A,Boyd A</t>
  </si>
  <si>
    <t>Artificial Intelligence for Healthcare in Africa</t>
  </si>
  <si>
    <t>https://www.scopus.com/inward/record.uri?eid=2-s2.0-85107656276&amp;doi=10.3389%2ffdgth.2020.00006&amp;partnerID=40&amp;md5=f5f9b176b6b4749f42ec0333ec53be7e;http://dx.doi.org/10.3389/fdgth.2020.00006</t>
  </si>
  <si>
    <t>10.3389/fdgth.2020.00006</t>
  </si>
  <si>
    <t>Cited by: 23; All Open Access, Gold Open Access, Green Open Access</t>
  </si>
  <si>
    <t>Hamzehloui MS,Sahibuddin S,Ashabi A</t>
  </si>
  <si>
    <t>A study on the most prominent areas of research in microservices</t>
  </si>
  <si>
    <t>International Journal of Machine Learning and Computing</t>
  </si>
  <si>
    <t>242 – 247</t>
  </si>
  <si>
    <t>International Association of Computer Science and Information Technology</t>
  </si>
  <si>
    <t>2010-3700</t>
  </si>
  <si>
    <t>https://www.scopus.com/inward/record.uri?eid=2-s2.0-85064995774&amp;doi=10.18178%2fijmlc.2019.9.2.793&amp;partnerID=40&amp;md5=89a96da26fda84674bd343ed90000e73;http://dx.doi.org/10.18178/ijmlc.2019.9.2.793</t>
  </si>
  <si>
    <t>10.18178/ijmlc.2019.9.2.793</t>
  </si>
  <si>
    <t>Microservices have recently gained a lot of attention in the software industry. Their modularity and smaller size offer flexibility advantageous to both development and operational teams. However, the bigger picture is still lacking despite numerous researches on microservices. There are few aspects of microservices that have never been discussed in depth despite being acknowledged repeatedly. The current research is the continuation of our previous paper, A systematic mapping on microservices. In the named paper we have identified the focus areas of microservices' researches. Along with our previous findings we have spotted several crucial key points that require further discussions. These includes: definition of microservices, their sizes and boundaries. We have also explored the relationship of microservices with SOA and DDD. These are the two terms that are frequently associated with microservices. Finally, we have discussed DevOps, cloud and virtualization as three of the most essential factors in microservices ecosystem. We attempted to clarify the role of each of these factors. Based on our findings, there is still no standardized definition for microservices to-date. In absence of clear guidelines, SOA and DDD concepts are widely being used to develop microservices. DevOps practices together with the cloud environment are playing an important role in facilitating the implementation of microservices. We have also identified containerization as an effective method to overcome the hardware limitation besides speeding up the delivery process. © 2019, International Association of Computer Science and Information Technology.</t>
  </si>
  <si>
    <t>Kim M</t>
  </si>
  <si>
    <t>Software Engineering for Data Analytics</t>
  </si>
  <si>
    <t>36 – 42</t>
  </si>
  <si>
    <t>https://www.scopus.com/inward/record.uri?eid=2-s2.0-85083012837&amp;doi=10.1109%2fMS.2020.2985775&amp;partnerID=40&amp;md5=fcede53d450d76d50f966e169687cb51;http://dx.doi.org/10.1109/MS.2020.2985775</t>
  </si>
  <si>
    <t>10.1109/MS.2020.2985775</t>
  </si>
  <si>
    <t>We are at an inflection point where software engineering meets the data-centric world of big data, machine learning, and artificial intelligence. In this article, I summarize findings from studies of professional data scientists and discuss my perspectives on open research problems to improve data-centric software development. © 1984-2012 IEEE.</t>
  </si>
  <si>
    <t>Cited by: 4; All Open Access, Bronze Open Access</t>
  </si>
  <si>
    <t>Wang Z</t>
  </si>
  <si>
    <t>Modelling and Simulation of Scrum Team Strategies: A Multi-agent Approach</t>
  </si>
  <si>
    <t>32 – 63</t>
  </si>
  <si>
    <t>https://www.scopus.com/inward/record.uri?eid=2-s2.0-85098171792&amp;doi=10.1007%2f978-3-030-63322-6_4&amp;partnerID=40&amp;md5=bcb4cba359711f76a867d3f48e411765;http://dx.doi.org/10.1007/978-3-030-63322-6_4</t>
  </si>
  <si>
    <t>10.1007/978-3-030-63322-6_4</t>
  </si>
  <si>
    <t>Scrum is a type of agile process that incrementally, iteratively and continuously deliver software based on sprint time box. It is composed by User Stories, product backlog, sprint backlog, scrum team and sprints. Scrum team take user stories from product backlog into sprint backlog to start each sprint and deliver products at the end of each sprint. Sprint retrospective and review occurs at the end of each sprint to evaluate the delivered products and team performance. Based on the Scrum guide, scrum is easy to be understood but hard to be measured. Especially, it is depended largely on the performance of team dynamics referring to team compositions and task allocations, as its optimization make big impact on each sprint result. This paper investigating how solo and pair programming can make impact on scrum team performance based on several designed innovative team working strategies for both solo and pair programming by using agent-based modelling. Such innovative team working strategies for solo and pair programming have not been designed or applied into scrum context for investigation and evaluation based on agent-based modelling. As Scrum is a very complex environment, so that different strategies can be compared through modelling and simulation under various scrum context, such as scrum has different team composition, different task distribution and some randomly events to occur. A simulation tool is also designed and developed to carry on scrum team modelling and simulation which has realized all the designed strategies to carry on experiments and evaluation. The tool can simulate all types of scrum context and team composition to test designed strategies under various what-if assumptions in agent-based modelling. © 2020, The Editor(s) (if applicable) and The Author(s), under exclusive license to Springer Nature Switzerland AG.</t>
  </si>
  <si>
    <t>Amershi S,Begel A,Bird C,DeLine R,Gall H,Kamar E,Nagappan N,Nushi B,Zimmermann T</t>
  </si>
  <si>
    <t>Software Engineering for Machine Learning: A Case Study</t>
  </si>
  <si>
    <t>291 – 300</t>
  </si>
  <si>
    <t>https://www.scopus.com/inward/record.uri?eid=2-s2.0-85072111655&amp;doi=10.1109%2fICSE-SEIP.2019.00042&amp;partnerID=40&amp;md5=8c03592773800ea1ac1b5a71f9fae249;http://dx.doi.org/10.1109/ICSE-SEIP.2019.00042</t>
  </si>
  <si>
    <t>10.1109/ICSE-SEIP.2019.00042</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</si>
  <si>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components-models may be 'entangled' in complex ways and experience non-monotonic error behavior. We believe that the lessons learned by Microsoft teams will be valuable to other organizations. © 2019 IEEE.</t>
  </si>
  <si>
    <t>Cited by: 330</t>
  </si>
  <si>
    <t>Jasser S,Kelbert J</t>
  </si>
  <si>
    <t>An approach to secure legacy software systems</t>
  </si>
  <si>
    <t>299 – 309</t>
  </si>
  <si>
    <t>https://www.scopus.com/inward/record.uri?eid=2-s2.0-85083034194&amp;partnerID=40&amp;md5=86a5daa17769e55130d3c7b5a473dbe9</t>
  </si>
  <si>
    <t>When analyzing legacy software for security huge result lists may be generated. These lists may contain more than 1,000,000 potential vulnerabilities. In this paper, we propose an approach to secure such legacy systems: we define a process to systematically assess and process potential vulnerabilities using contextual system knowledge. The process is complemented with tool-supported technical measures to actually mitigate the vulnerabilities and code injection. The approach allows to efficiently repair vulnerabilities in legacy systems while ensuring system availability for critical systems using a safe go-live technique. We evaluate our approach by an industrial case study to show the applicability and flexibility of our code security cleansing approach. © Copyright 2020 by SCITEPRESS - Science and Technology Publications, Lda. All rights reserved.</t>
  </si>
  <si>
    <t>20th International Conference on Product-Focused Software Process Improvement, PROFES 2019</t>
  </si>
  <si>
    <t>11915 LNCS</t>
  </si>
  <si>
    <t>https://www.scopus.com/inward/record.uri?eid=2-s2.0-85076541990&amp;partnerID=40&amp;md5=ce125964603b630e1543356b5f1858ae</t>
  </si>
  <si>
    <t>The proceedings contain 57 papers. The special focus in this conference is on Product-Focused Software Process Improvement. The topics include: When NFR Templates Pay Back? A Study on Evolution of Catalog of NFR Templates; improving Quality of Data Exchange Files. An Industrial Case Study; containers in Software Development: A Systematic Mapping Study; empirical Analysis of Hidden Technical Debt Patterns in Machine Learning Software; constraining the Implementation Through Architectural Security Rules: An Expert Study; technical Debt and Waste in Non-functional Requirements Documentation: An Exploratory Study; Technical Debt in Costa Rica: An InsighTD Survey Replication; exploring Preference of Chronological and Relevancy Filtering in Effort Estimation; automated Functional Size Measurement: A Multiple Case Study in the Industry; applying Surveys and Interviews in Software Test Tool Evaluation; can Expert Opinion Improve Effort Predictions When Exploiting Cross-Company Datasets? - A Case Study in a Small/Medium Company; excellence in Exploratory Testing: Success Factors in Large-Scale Industry Projects; comparison Framework for Team-Based Communication Channels; devOps in Practice – A Preliminary Analysis of Two Multinational Companies; Implementing Ethics in AI: Initial Results of an Industrial Multiple Case Study; How Agile Is Hybrid Agile? An Analysis of the HELENA Data; challenges of Scaled Agile for Safety-Critical Systems; on the Benefits of Corporate Hackathons for Software Ecosystems – A Systematic Mapping Study; agile in the Era of Digitalization: A Finnish Survey Study; what’s Hot in Product Roadmapping? Key Practices and Success Factors; test-Case Quality – Understanding Practitioners’ Perspectives; integrating Data Protection into the Software Life Cycle.</t>
  </si>
  <si>
    <t>Martel Y,Roßmann A,Sultanow E,Weiß O,Wissel M,Pelzel F,Seßler M</t>
  </si>
  <si>
    <t>Software Architecture Best Practices for Enterprise Artificial Intelligence</t>
  </si>
  <si>
    <t>P-307</t>
  </si>
  <si>
    <t>165 – 181</t>
  </si>
  <si>
    <t>Gesellschaft fur Informatik (GI)</t>
  </si>
  <si>
    <t>1617-5468</t>
  </si>
  <si>
    <t>https://www.scopus.com/inward/record.uri?eid=2-s2.0-85127339915&amp;doi=10.18420%2finf2020_16&amp;partnerID=40&amp;md5=165b4d942b7a2e1fffbff3379abd6757;http://dx.doi.org/10.18420/inf2020_16</t>
  </si>
  <si>
    <t>10.18420/inf2020_16</t>
  </si>
  <si>
    <t>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 © 2020 Gesellschaft fur Informatik (GI). All rights reserved.</t>
  </si>
  <si>
    <t>The technical debt dataset</t>
  </si>
  <si>
    <t>2 – 11</t>
  </si>
  <si>
    <t>https://www.scopus.com/inward/record.uri?eid=2-s2.0-85076086059&amp;doi=10.1145%2f3345629.3345630&amp;partnerID=40&amp;md5=bdfaeb0f9a84ed38cc34121b48587893;http://dx.doi.org/10.1145/3345629.3345630</t>
  </si>
  <si>
    <t>10.1145/3345629.3345630</t>
  </si>
  <si>
    <t>Technical Debt analysis is increasing in popularity as nowadays researchers and industry are adopting various tools for static code analysis to evaluate the quality of their code. Despite this, empirical studies on software projects are expensive because of the time needed to analyze the projects. In addition, the results are dificult to compare as studies commonly consider different projects. In this work, we propose the Technical Debt Dataset, a curated set of project measurement data from 33 Java projects from the Apache Software Foundation. In the Technical Debt Dataset, we analyzed all commits from separately defined time frames with SonarQube to collect Technical Debt information and with Ptidej to detect code smells. Moreover, we extracted all available commit information from the git logs, the refactoring applied with Refactoring Miner, and fault information reported in the issue trackers (Jira). Using this information, we executed the SZZ algorithm to identify the fault-inducing and - fixing commits. We analyzed 78K commits from the selected 33 projects, detecting 1.8M SonarQube issues, 62K code smells, 28K faults and 57K refactorings. The project analysis took more than 200 days. In this paper, we describe the data retrieval pipeline together with the tools used for the analysis. The dataset is made available through CSV files and an SQLite database to facilitate queries on the data. The Technical Debt Dataset aims to open up diverse opportunities for Technical Debt research, enabling researchers to compare results on common projects. © 2019 Association for Computing Machinery.</t>
  </si>
  <si>
    <t>Cited by: 37; All Open Access, Green Open Access</t>
  </si>
  <si>
    <t>Ronchieri E,Canaparo M,Belgiovine M</t>
  </si>
  <si>
    <t>Software Defect Prediction on Unlabelled Datasets: A Comparative Study</t>
  </si>
  <si>
    <t>12250 LNCS</t>
  </si>
  <si>
    <t>333 – 353</t>
  </si>
  <si>
    <t>https://www.scopus.com/inward/record.uri?eid=2-s2.0-85093114739&amp;doi=10.1007%2f978-3-030-58802-1_25&amp;partnerID=40&amp;md5=a4a82ab6c1acec6090121239c85255c0;http://dx.doi.org/10.1007/978-3-030-58802-1_25</t>
  </si>
  <si>
    <t>10.1007/978-3-030-58802-1_25</t>
  </si>
  <si>
    <t>Background: Defect prediction on unlabelled datasets is a challenging and widespread problem in software engineering. Machine learning is of great value in this context because it provides techniques - called unsupervised - that are applicable to unlabelled datasets. Objective: This study aims at comparing various approaches employed over the years on unlabelled datasets to predict the defective modules, i.e. the ones which need more attention in the testing phase. Our comparison is based on the measurement of performance metrics and on the real defective information derived from software archives. Our work leverages a new dataset that has been obtained by extracting and preprocessing its metrics from a C++ software. Method: Our empirical study has taken advantage of CLAMI with its improvement CLAMI+ that we have applied on high energy physics software datasets. Furthermore, we have used clustering techniques such as the K-means algorithm to find potentially critical modules. Results: Our experimental analysis have been carried out on 1 open source project with 34 software releases. We have applied 17 ML techniques to the labelled datasets obtained by following the CLAMI and CLAMI+ approaches. The two approaches have been evaluated by using different performance metrics, our results show that CLAMI+ performs better than CLAMI. The predictive average accuracy metric is around 95% for 4 ML techniques (4 out of 17) that show a Kappa statistic greater than 0.80. We applied K-means on the same dataset and obtained 2 clusters labelled according to the output of CLAMI and CLAMI+. Conclusion: Based on the results of the different statistical tests, we conclude that no significant performance differences have been found in the selected classification techniques. © 2020, Springer Nature Switzerland AG.</t>
  </si>
  <si>
    <t>Baier L,Jöhren F,Seebacher S</t>
  </si>
  <si>
    <t>Challenges in the deployment and operation of machine learning in practice</t>
  </si>
  <si>
    <t>https://www.scopus.com/inward/record.uri?eid=2-s2.0-85087106418&amp;partnerID=40&amp;md5=c049d9f5b1da9bd02f2b43af04474747</t>
  </si>
  <si>
    <t>Machine learning has recently emerged as a powerful technique to increase operational efficiency or to develop new value propositions. However, the translation of a prediction algorithm into an operationally usable machine learning model is a time-consuming and in various ways challenging task. In this work, we target to systematically elicit the challenges in deployment and operation to enable broader practical dissemination of machine learning applications. To this end, we first identify relevant challenges with a structured literature analysis. Subsequently, we conduct an interview study with machine learning practitioners across various industries, perform a qualitative content analysis, and identify challenges organized along three distinct categories as well as six overarching clusters. Eventually, results from both literature and interviews are evaluated with a comparative analysis. Key issues identified include automated strategies for data drift detection and handling, standardization of machine learning infrastructure, and appropriate communication and expectation management. © 27th European Conference on Information Systems - Information Systems for a Sharing Society, ECIS 2019. All rights reserved.</t>
  </si>
  <si>
    <t>Ionescu TB,Schlund S,Schmidbauer C</t>
  </si>
  <si>
    <t>Epistemic debt: A concept and measure of technical ignorance in smart manufacturing</t>
  </si>
  <si>
    <t>81 – 93</t>
  </si>
  <si>
    <t>https://www.scopus.com/inward/record.uri?eid=2-s2.0-85067344523&amp;doi=10.1007%2f978-3-030-20040-4_8&amp;partnerID=40&amp;md5=7f2f9c77e0da41f025c69a830f1fd01f;http://dx.doi.org/10.1007/978-3-030-20040-4_8</t>
  </si>
  <si>
    <t>10.1007/978-3-030-20040-4_8</t>
  </si>
  <si>
    <t>This paper introduces the notion of epistemic debt as an analytical tool for understanding and managing the effects of technical ignorance in smart manufacturing. Drawing on the concepts of technical and social debt from software engineering, the metaphor of epistemic debt refers to the implied long-term costs of rework (e.g., redesign, replacement, reconfiguration or systems and/or organizational structures) caused by a lack of understanding and/or means of knowing the internals of complex software-based manufacturing systems essential to the value chain and core business of an organization. After defining the concept, we identify three of its sources and propose strategies for coping with epistemic debt in manufacturing. © Springer Nature Switzerland AG 2020.</t>
  </si>
  <si>
    <t>Santos RM,Santos IM,Rodrigues MC,de Mendonça Neto MG</t>
  </si>
  <si>
    <t>Long term-short memory neural networks and word2vec for self-admitted technical debt detection</t>
  </si>
  <si>
    <t>157 – 165</t>
  </si>
  <si>
    <t>https://www.scopus.com/inward/record.uri?eid=2-s2.0-85091400625&amp;partnerID=40&amp;md5=f5f3ef9ca14d043c9945715ac9022a3f</t>
  </si>
  <si>
    <t>Context: In software development, new functionalities and bug fixes are required to ensure a better user experience and to preserve software value for a longer period. Sometimes developers need to implement quick changes to meet deadlines rather than a better solution that would take longer. These easy choices, known as Technical Debt, can cause long-term negative impacts because they can bring extra effort to the team in the future. Technical debts must be managed and detected so that the team can evaluate the best way to deal with them and avoid more serious problems. One way to detect technical debts is through source code comments. Developers often insert comments in which they admit that there is a need to improve that part of the code later. This is known as Self-Admitted Technical Debt (SATD). Objective: Evaluate a Long short-term memory (LSTM) neural network model combined with Word2vec for word embedding to identify design and requirement SATDs from comments in source code. Method: We performed a controlled experiment to evaluate the quality of the model compared with two language models from literature and LSTM without word embedding in a labelled dataset. Results: The results showed that the LSTM model with Word2vec have improved in recall and f-measure. The LSTM model without word embedding achieves greater recall, but perform worse in precision and f-measure. Conclusion: Overall, we found that the LSTM model and word2vec can outperform other models. Copyright © 2020 by SCITEPRESS – Science and Technology Publications, Lda. All rights reserved</t>
  </si>
  <si>
    <t>Marantos C,Tsintzira AA,Papadopoulos L,Ampatzoglou A,Chatzigeorgiou A,Soudris D</t>
  </si>
  <si>
    <t>Technical Debt Management and Energy Consumption Evaluation in Implantable Medical Devices: The SDK4ED Approach</t>
  </si>
  <si>
    <t>12471 LNCS</t>
  </si>
  <si>
    <t>348 – 358</t>
  </si>
  <si>
    <t>https://www.scopus.com/inward/record.uri?eid=2-s2.0-85093825859&amp;doi=10.1007%2f978-3-030-60939-9_25&amp;partnerID=40&amp;md5=afd17d4c8dd83c794dfe8408efac9243;http://dx.doi.org/10.1007/978-3-030-60939-9_25</t>
  </si>
  <si>
    <t>10.1007/978-3-030-60939-9_25</t>
  </si>
  <si>
    <t>The design constraints of Implantable Medical Devices (IMD), such as the low energy consumption, impose significant challenges to application developers. Software tools that improve the quality of the source code by means of technical debt management and provide energy consumption estimations are useful to IMD application developers for addressing such challenges. In this work, we demonstrate the effectiveness of tools that manage the technical debt and provide energy consumption estimations applied to an IMD application for seizure detection. © 2020, Springer Nature Switzerland AG.</t>
  </si>
  <si>
    <t>Fischer L,Ehrlinger L,Geist V,Ramler R,Sobieczky F,Zellinger W,Moser B</t>
  </si>
  <si>
    <t>Applying AI in Practice: Key Challenges and Lessons Learned</t>
  </si>
  <si>
    <t>12279 LNCS</t>
  </si>
  <si>
    <t>451 – 471</t>
  </si>
  <si>
    <t>https://www.scopus.com/inward/record.uri?eid=2-s2.0-85090177992&amp;doi=10.1007%2f978-3-030-57321-8_25&amp;partnerID=40&amp;md5=91084d2ddcf15d354de3a3f429b02b0d;http://dx.doi.org/10.1007/978-3-030-57321-8_25</t>
  </si>
  <si>
    <t>10.1007/978-3-030-57321-8_25</t>
  </si>
  <si>
    <t>The main challenges along with lessons learned from ongoing research in the application of machine learning systems in practice are discussed, taking into account aspects of theoretical foundations, systems engineering, and human-centered AI postulates. The analysis outlines a fundamental theory-practice gap which superimposes the challenges of AI system engineering at the level of data quality assurance, model building, software engineering and deployment. © 2020, IFIP International Federation for Information Processing.</t>
  </si>
  <si>
    <t>Lerina A,Nardi L</t>
  </si>
  <si>
    <t>Investigating on the impact of software clones on technical debt</t>
  </si>
  <si>
    <t>108 – 112</t>
  </si>
  <si>
    <t>https://www.scopus.com/inward/record.uri?eid=2-s2.0-85071185990&amp;doi=10.1109%2fTechDebt.2019.00029&amp;partnerID=40&amp;md5=787f07eee0f7c1998d5431e12625d2ea;http://dx.doi.org/10.1109/TechDebt.2019.00029</t>
  </si>
  <si>
    <t>10.1109/TechDebt.2019.00029</t>
  </si>
  <si>
    <t>Code reuse by copying a code fragment with or without modification generates duplicate copies of exact or similar code fragments in a software system, known as code clones. The debate about the harmfulness of clone in ongoing in the literature, nevertheless, it is widely recognized that clones needs special considerations during software evolution. In this paper, it is proposed a quantitative analysis of technical debt values to understand if it is higher with cloned code than those without cloned code. Moreover, changes performed on these files have been analyzed by analyzing commit logs. According to our inspection on four subject systems, the technical debt of files with cloned code is significantly higher than those without cloned code. Moreover, as expected, files with cloned code are more impacted by changes. © 2019 IEEE.</t>
  </si>
  <si>
    <t>Niedermayr R,Röhm T,Wagner S</t>
  </si>
  <si>
    <t>Too trivial to test? An inverse view on defect prediction to identify methods with low fault risk</t>
  </si>
  <si>
    <t>https://www.scopus.com/inward/record.uri?eid=2-s2.0-85074164358&amp;doi=10.7717%2fpeerj-cs.187&amp;partnerID=40&amp;md5=838f694bff45f6fd7a1052348e000a72;http://dx.doi.org/10.7717/peerj-cs.187</t>
  </si>
  <si>
    <t>10.7717/peerj-cs.187</t>
  </si>
  <si>
    <t>Background: Test resources are usually limited and therefore it is often not possible to completely test an application before a release. To cope with the problem of scarce resources, development teams can apply defect prediction to identify fault-prone code regions. However, defect prediction tends to low precision in cross-project prediction scenarios. Aims: We take an inverse view on defect prediction and aim to identify methods that can be deferred when testing because they contain hardly any faults due to their code being trivial. We expect that characteristics of such methods might be project-independent, so that our approach could improve cross-project predictions. Method: We compute code metrics and apply association rule mining to create rules for identifying methods with low fault risk (LFR). We conduct an empirical study to assess our approach with six Java open-source projects containing precise fault data at the method level. Results: Our results show that inverse defect prediction can identify approx. 32-44% of the methods of a project to have a LFR; on average, they are about six times less likely to contain a fault than other methods. In cross-project predictions with larger, more diversified training sets, identified methods are even 11 times less likely to contain a fault. Conclusions: Inverse defect prediction supports the efficient allocation of test resources by identifying methods that can be treated with less priority in testing activities and is well applicable in cross-project prediction scenarios. © 2019 Niedermayr et al.</t>
  </si>
  <si>
    <t>Issa Mattos D,Bosch J,Olsson HH</t>
  </si>
  <si>
    <t>Multi-armed bandits in the wild: Pitfalls and strategies in online experiments</t>
  </si>
  <si>
    <t>68 – 81</t>
  </si>
  <si>
    <t>https://www.scopus.com/inward/record.uri?eid=2-s2.0-85065622242&amp;doi=10.1016%2fj.infsof.2019.05.004&amp;partnerID=40&amp;md5=fbb54ca801215a4397db0a4735bac5b1;http://dx.doi.org/10.1016/j.infsof.2019.05.004</t>
  </si>
  <si>
    <t>10.1016/j.infsof.2019.05.004</t>
  </si>
  <si>
    <t>Context: Delivering faster value to customers with online experimentation is an emerging practice in industry. Multi-Armed Bandit (MAB) based experiments have the potential to deliver even faster results with a better allocation of resources over traditional A/B experiments. However, the incorrect use of MAB-based experiments can lead to incorrect conclusions that can potentially hurt the company's business. Objective: The objective of this study is to understand the pitfalls and restrictions of using MABs in online experiments, as well as the strategies that are used to overcome them. Method: This research uses a multiple case study method with eleven experts across five software companies and simulations to triangulate the data of some of the identified limitations. Results: This study analyzes some limitations faced by companies using MAB and discusses strategies used to overcome them. The results are summarized into practitioners’ guidelines with criteria to select an appropriated experimental design. Conclusion: MAB algorithms have the potential to deliver even faster results with a better allocation of resources over traditional A/B experiments. However, potential mistakes can occur and hinder the potential benefits of such approach. Together with the provided guidelines, we aim for this paper to be used as reference material for practitioners during the design of an online experiment. © 2019</t>
  </si>
  <si>
    <t>Beulen E</t>
  </si>
  <si>
    <t>Digital Maturity: A Survey in the Netherlands</t>
  </si>
  <si>
    <t>69 – 81</t>
  </si>
  <si>
    <t>https://www.scopus.com/inward/record.uri?eid=2-s2.0-85101363818&amp;doi=10.1007%2f978-3-030-66834-1_4&amp;partnerID=40&amp;md5=b08785efee355cebfe4950581f0731e5;http://dx.doi.org/10.1007/978-3-030-66834-1_4</t>
  </si>
  <si>
    <t>10.1007/978-3-030-66834-1_4</t>
  </si>
  <si>
    <t>Digital transformations facilitate the need for speed. However, how the required digital maturity to manage transformation is not well-understood. This Dutch research examines inhibitors for digital maturity and is focusing on the business as well as the information technology side. Using a literature review and survey research of managers from national and global firms based in the Netherlands; we present a research model and empirically test the hypothesized relationships. The results show the inhibitors for digital maturity including the capability limitations for both the Chief Information Officer and the business representatives. In the research also the balance between achieving the digital business and information technology maturity has been measured: number of months required to achieve digital maturity. There is support for the hypothesis that information technology and business digital maturity are balanced. © 2020, Springer Nature Switzerland AG.</t>
  </si>
  <si>
    <t>Muhlbauer S,Apel S,Siegmund N</t>
  </si>
  <si>
    <t>Accurate modeling of performance histories for evolving software systems</t>
  </si>
  <si>
    <t>640 – 652</t>
  </si>
  <si>
    <t>https://www.scopus.com/inward/record.uri?eid=2-s2.0-85078911241&amp;doi=10.1109%2fASE.2019.00065&amp;partnerID=40&amp;md5=ed17e5d010919355e0d572e5484ea7bb;http://dx.doi.org/10.1109/ASE.2019.00065</t>
  </si>
  <si>
    <t>10.1109/ASE.2019.00065</t>
  </si>
  <si>
    <t>Learning from the history of a software system's performance behavior does not only help discovering and locating performance bugs, but also identifying evolutionary performance patterns and general trends, such as when technical debt accumulates. Exhaustive regression testing is usually impractical, because rigorous performance benchmarking requires executing a realistic workload per revision, which results in large execution times. In this paper, we propose a novel active revision sampling approach, which aims at tracking and understanding a system's performance history by approximating the performance behavior of a software system across all of its revisions. In a nutshell, we iteratively sample and measure the performance of specific revisions that help us building an exact performance-evolution model, and we use Gaussian Process models to assess in which revision ranges our model is most uncertain with the goal to sample further revisions for measurement. We have conducted an empirical analysis of the evolutionary performance behavior modeled as a time series of the histories of six real-world software systems. Our evaluation demonstrates that Gaussian Process models are able to accurately estimate the performance-evolution history of real-world software systems with only few measurements and to reveal interesting behaviors and trends. © 2019 IEEE.</t>
  </si>
  <si>
    <t>Li X</t>
  </si>
  <si>
    <t>Research on software project developer behaviors with K-means clustering analysis</t>
  </si>
  <si>
    <t>54 – 61</t>
  </si>
  <si>
    <t>https://www.scopus.com/inward/record.uri?eid=2-s2.0-85077510435&amp;partnerID=40&amp;md5=70bfd4c4b4d7d9d7a5a883c200ea9df0</t>
  </si>
  <si>
    <t>Research on technical debt and community smell have drawn increasing attention in the academia of software engineering in the latest decade. Furthermore, data mining methods have been widely applied in the very domain as well. However, limited studies have contribute to the understanding of software project community using data mining methods, especially regarding the analysis of developer behaviors. Using K-means clustering, this study provides a preliminary analysis on the classification of open source software project developers based on the statistics of their behaviors related to technical debts. The results show that developers can be categorized into three different behavior groups, including, Veterans, Vulnerability Creators, and Fault Inducers/ Commoners. Copyright © 2019 for this paper by its authors.</t>
  </si>
  <si>
    <t>Gupta A,Suri B,Bhat V</t>
  </si>
  <si>
    <t>Android Smells Detection Using ML Algorithms with Static Code Metrics</t>
  </si>
  <si>
    <t>1229 CCIS</t>
  </si>
  <si>
    <t>64 – 79</t>
  </si>
  <si>
    <t>https://www.scopus.com/inward/record.uri?eid=2-s2.0-85086145221&amp;doi=10.1007%2f978-981-15-5827-6_6&amp;partnerID=40&amp;md5=fa314c2777096ade36f95c5553f4d8c3;http://dx.doi.org/10.1007/978-981-15-5827-6_6</t>
  </si>
  <si>
    <t>10.1007/978-981-15-5827-6_6</t>
  </si>
  <si>
    <t>Mobile applications development rate is predominantly increasing in comparison with the regular applications. These mobile applications prove to be change frequently according to the user requirements. Moreover, these changes in the code base may introduce some bad design practices that are called as bad smells, which can lead to a higher maintenance cost and degrade quality of the software. A very less attention has been given in the detection of code smells in the mobile applications that are also called as android smells. This research contains the rules in combination of software metrics and their threshold values to detect the bad smells in the android applications. The proposed rules are computed using three different machine learning algorithms. This framework has been applied to 2896 instances of the android applications which are open-sourced on GitHub. The android code smells MIM, LIC, DTWC and SL have been considered for the generation of detection rules and are validated using 10-fold cross validation method. The machine learning algorithm JRip furnished the best result for the android smells up to 90% overall precision, which is quite sufficient to justify the results. © Springer Nature Singapore Pte Ltd. 2020.</t>
  </si>
  <si>
    <t>Furrer FJ</t>
  </si>
  <si>
    <t>Future-proof software-systems: A sustainable evolution strategy</t>
  </si>
  <si>
    <t>Springer Fachmedien Wiesbaden</t>
  </si>
  <si>
    <t>https://www.scopus.com/inward/record.uri?eid=2-s2.0-85084275412&amp;doi=10.1007%2f978-3-658-19938-8&amp;partnerID=40&amp;md5=71c21093dadb63d6cee4c5bd55f82028;http://dx.doi.org/10.1007/978-3-658-19938-8</t>
  </si>
  <si>
    <t>10.1007/978-3-658-19938-8</t>
  </si>
  <si>
    <t>This book focuses on software architecture and the value of architecture in the development of long-lived, mission-critical, trustworthy software-systems. The author introduces and demonstrates the powerful strategy of Managed Evolution, along with the engineering best practice known as Principle-based Architecting. The book examines in detail architecture principles for e.g., Business Value, Changeability, Resilience, and Dependability. The author argues that the software development community has a strong responsibility to produce and operate useful, dependable, and trustworthy software. Software should at the same time provide business value and guarantee many quality-of-service properties, including security, safety, performance, and integrity. As Dr. Furrer states, Producing dependable software is a balancing act between investing in the implementation of business functionality and investing in the quality-of-service properties of the software-systems. The book presents extensive coverage of such concepts as: Principle-Based Architecting. Managed Evolution Strategy. The Future. Principles for Business Value. Legacy Software Modernization/Migration. Architecture Principles for Changeability. Architecture Principles for Resilience. Architecture Principles for Dependability. The text is supplemented with numerous figures, tables, examples and illustrative quotations. Future-Proof Software-Systems provides a set of good engineering practices, devised for integration into most software development processes dedicated to the creation of software-systems that incorporate Managed Evolution. © Springer Fachmedien Wiesbaden GmbH, part of Springer Nature 2019. All right reserved.</t>
  </si>
  <si>
    <t>1 – 376</t>
  </si>
  <si>
    <t>Ikutani Y,Koganti N,Hata H,Kubo T,Matsumoto K</t>
  </si>
  <si>
    <t>Toward imitating visual attention of experts in software development tasks</t>
  </si>
  <si>
    <t>33 – 36</t>
  </si>
  <si>
    <t>https://www.scopus.com/inward/record.uri?eid=2-s2.0-85073418102&amp;doi=10.1109%2fEMIP.2019.00013&amp;partnerID=40&amp;md5=01a6a02b94840a40d2f95bc9565be2a2;http://dx.doi.org/10.1109/EMIP.2019.00013</t>
  </si>
  <si>
    <t>10.1109/EMIP.2019.00013</t>
  </si>
  <si>
    <t>Expert programmers' eye-movements during source code reading are valuable sources that are considered to be associated with their domain expertise. We advocate a vision of new intelligent systems incorporating expertise of experts for software development tasks, such as issue localization, comment generation, and code generation. We present a conceptual framework of neural autonomous agents based on imitation learning (IL), which enables agents to mimic the visual attention of an expert via his/her eye movement. In this framework, an autonomous agent is constructed as a context-based attention model that consists of encoder/decoder network and trained with state-action sequences generated by an experts' demonstration. Challenges to implement an IL-based autonomous agent specialized for software development task are discussed in this paper. © 2019 IEEE.</t>
  </si>
  <si>
    <t>Kumar S,Chen T,Bahsoon R,Buyya R</t>
  </si>
  <si>
    <t>DATESSO: Self-adapting service composition with debt-aware two levels constraint reasoning</t>
  </si>
  <si>
    <t>96 – 107</t>
  </si>
  <si>
    <t>https://www.scopus.com/inward/record.uri?eid=2-s2.0-85087529805&amp;doi=10.1145%2f3387939.3391604&amp;partnerID=40&amp;md5=56aec211cbf7287b6c716c28bfd7d048;http://dx.doi.org/10.1145/3387939.3391604</t>
  </si>
  <si>
    <t>10.1145/3387939.3391604</t>
  </si>
  <si>
    <t>The rapidly changing workload of service-based systems can easily cause under-/over-utilization on the component services, which can consequently affect the overall Quality of Service (QoS), such as latency. Self-adaptive services composition rectifies this problem, but poses several challenges: (i) the effectiveness of adaptation can deteriorate due to over-optimistic assumptions on the latency and utilization constraints, at both local and global levels; and (ii) the benefits brought by each composition plan is often short term and is not often designed for long-term benefits - -a natural prerequisite for sustaining the system. To tackle these issues, we propose a two levels constraint reasoning framework for sustainable self-adaptive services composition, called DATESSO. In particular, DATESSO consists of a refined formulation that differentiates the 'strictness' for latency/utilization constraints in two levels. To strive for long-term benefits, DATESSO leverages the concept of technical debt and time-series prediction to model the utility contribution of the component services in the composition. The approach embeds a debt-aware two level constraint reasoning algorithm in DATESSO to improve the efficiency, effectiveness and sustainability of self-adaptive service composition. We evaluate DATESSO on a service-based system with real-world WS-DREAM dataset and comparing it with other state-of-the-art approaches. The results demonstrate the superiority of DATESSO over the others on the utilization, latency and running time whilst likely to be more sustainable. © 2020 ACM.</t>
  </si>
  <si>
    <t>Li PL,Ko AJ,Begel A</t>
  </si>
  <si>
    <t>What distinguishes great software engineers?</t>
  </si>
  <si>
    <t>322 – 352</t>
  </si>
  <si>
    <t>https://www.scopus.com/inward/record.uri?eid=2-s2.0-85076041964&amp;doi=10.1007%2fs10664-019-09773-y&amp;partnerID=40&amp;md5=95f8bcbd18fbbb141eba8daf680739ed;http://dx.doi.org/10.1007/s10664-019-09773-y</t>
  </si>
  <si>
    <t>10.1007/s10664-019-09773-y</t>
  </si>
  <si>
    <t>Great software engineers are essential to the creation of great software. However, today, we lack an understanding of what distinguishes great engineers from ordinary ones. We address this knowledge gap by conducting one of the largest mixed-method studies of experienced engineers to date. We surveyed 1,926 expert engineers, including senior engineers, architects, and technical fellows, asking them to judge the importance of a comprehensive set of 54 attributes of great engineers. We then conducted 77 email interviews to interpret our findings and to understand the influence of contextual factors on the ratings. After synthesizing the findings, we believe that the top five distinguishing characteristics of great engineers are writing good code, adjusting behaviors to account for future value and costs, practicing informed decision-making, avoiding making others’ jobs harder, and learning continuously. We relate the findings to prior work, and discuss implications for researchers, practitioners, and educators. © 2019, Springer Science+Business Media, LLC, part of Springer Nature.</t>
  </si>
  <si>
    <t>Xavier L,Ferreira F,Brito R,Valente MT</t>
  </si>
  <si>
    <t>Beyond the Code: Mining Self-Admitted Technical Debt in Issue Tracker Systems</t>
  </si>
  <si>
    <t>137 – 146</t>
  </si>
  <si>
    <t>https://www.scopus.com/inward/record.uri?eid=2-s2.0-85093696448&amp;doi=10.1145%2f3379597.3387459&amp;partnerID=40&amp;md5=d83a2d14a56f14fc61a614034a5d039b;http://dx.doi.org/10.1145/3379597.3387459</t>
  </si>
  <si>
    <t>10.1145/3379597.3387459</t>
  </si>
  <si>
    <t>Self-admitted technical debt (SATD) is a particular case of Technical Debt (TD) where developers explicitly acknowledge their sub-optimal implementation decisions. Previous studies mine SATD by searching for specific TD-related terms in source code comments. By contrast, in this paper we argue that developers can admit technical debt by other means, e.g., by creating issues in tracking systems and labelling them as referring to TD. We refer to this type of SATD as issue-based SATD or just SATD-I. We study a sample of 286 SATD-I instances collected from five open source projects, including Microsoft Visual Studio and GitLab Community Edition. We show that only 29% of the studied SATD-I instances can be tracked to source code comments. We also show that SATD-I issues take more time to be closed, compared to other issues, although they are not more complex in terms of code churn. Besides, in 45% of the studied issues TD was introduced to ship earlier, and in almost 60% it refers to DESIGN flaws. Finally, we report that most developers pay SATD-I to reduce its costs or interests (66%). Our findings suggest that there is space for designing novel tools to support technical debt management, particularly tools that encourage developers to create and label issues containing TD concerns. © 2020 ACM.</t>
  </si>
  <si>
    <t>Raibulet C,Fontana FA,Carettoni S</t>
  </si>
  <si>
    <t>SAS vs. NSAS: Analysis and comparison of self-adaptive systems and non-self-adaptive systems based on smells and patterns</t>
  </si>
  <si>
    <t>490 – 497</t>
  </si>
  <si>
    <t>https://www.scopus.com/inward/record.uri?eid=2-s2.0-85088402223&amp;partnerID=40&amp;md5=d3d35fc7fbcf1b534574843da34ca293</t>
  </si>
  <si>
    <t>Self-Adaptive Systems are usually built of a managed part, implementing their functionality, and a managing part, implementing their self-adaptation. The complexity of self-adaptive systems results also from the existence of the managing part and the interaction between the managed and the managing parts. The nonself- adaptive systems may be seen as the managed part of self-adaptive systems. The self-adaptive systems are evaluated based on their performances resulted from the self-adaptation. However, self-adaptive systems are software systems, hence, also their software quality is equally important. Our analysis compares the internal quality of self-adaptive and non-self-adaptive systems by considering code smells, architectural smells, and GoF's design patterns. This comparison provides an insight to the health of the self-adaptive systems with respect to the non-self-adaptive systems (the last being considered as a quality reference). © Copyright 2020 by SCITEPRESS - Science and Technology Publications, Lda. All rights reserved.</t>
  </si>
  <si>
    <t>Self-Admitted Technical Debt Removal and Refactoring Actions: Co-Occurrence or More?</t>
  </si>
  <si>
    <t>186 – 190</t>
  </si>
  <si>
    <t>https://www.scopus.com/inward/record.uri?eid=2-s2.0-85077182774&amp;doi=10.1109%2fICSME.2019.00029&amp;partnerID=40&amp;md5=40029e511624cc6ddc05cc0c3e2d2293;http://dx.doi.org/10.1109/ICSME.2019.00029</t>
  </si>
  <si>
    <t>10.1109/ICSME.2019.00029</t>
  </si>
  <si>
    <t>Technical Debt (TD) concerns the lack of an adequate solution in a software project, from its design to the source code. Its admittance through comments or commit messages is referred to as Self-Admitted Technical Debt (SATD). Previous research has studied SATD from different perspectives, including its distribution, impact on software quality, and removal. In this paper, we investigate the relationship between refactorings and SATD removal. By leveraging a dataset of SATD and their removals in four open-source projects and by using an automated refactoring detection tool, we study the co-occurrence of refactorings and SATD removals. Results of the study indicate that refactorings are more likely to co-occur with SATD removals than with other commits, however, in most cases, they belong to different quality improvement activities performed at the same time. © 2019 IEEE.</t>
  </si>
  <si>
    <t>Gladisch C,Heinzemann C,Herrmann M,Woehrle M</t>
  </si>
  <si>
    <t>Leveraging combinatorial testing for safety-critical computer vision datasets</t>
  </si>
  <si>
    <t>1314 – 1321</t>
  </si>
  <si>
    <t>2160-7508</t>
  </si>
  <si>
    <t>https://www.scopus.com/inward/record.uri?eid=2-s2.0-85090135552&amp;doi=10.1109%2fCVPRW50498.2020.00170&amp;partnerID=40&amp;md5=2402f64426e6e27cd11c23610714661a;http://dx.doi.org/10.1109/CVPRW50498.2020.00170</t>
  </si>
  <si>
    <t>10.1109/CVPRW50498.2020.00170</t>
  </si>
  <si>
    <t>Deep learning-based approaches have gained popularity for environment perception tasks such as semantic segmentation and object detection from images. However, the different nature of a data-driven deep neural nets (DNN) to conventional software is a challenge for practical software verification. In this work, we show how existing methods from software engineering provide benefits for the development of a DNN and in particular for dataset design and analysis. We show how combinatorial testing based on a domain model can be leveraged for generating test sets providing coverage guarantees with respect to important environmental features and their interaction. Additionally, we show how our approach can be used for growing a dataset, i.e. to identify where data is missing and should be collected next. We evaluate our approach on an internal use case and two public datasets. © 2020 IEEE.</t>
  </si>
  <si>
    <t>Barash G,Farchi E,Jayaraman I,Raz O,Tzoref-Brill R,Zalmanovici M</t>
  </si>
  <si>
    <t>Bridging the gap between ML solutions and their business requirements using feature interactions</t>
  </si>
  <si>
    <t>1048 – 1058</t>
  </si>
  <si>
    <t>https://www.scopus.com/inward/record.uri?eid=2-s2.0-85071939298&amp;doi=10.1145%2f3338906.3340442&amp;partnerID=40&amp;md5=d0d611ca989e40d9cc00d308c1d892fe;http://dx.doi.org/10.1145/3338906.3340442</t>
  </si>
  <si>
    <t>10.1145/3338906.3340442</t>
  </si>
  <si>
    <t>Machine Learning (ML) based solutions are becoming increasingly popular and pervasive. When testing such solutions, there is a tendency to focus on improving the ML metrics such as the F1-score and accuracy at the expense of ensuring business value and correctness by covering business requirements. In this work, we adapt test planning methods of classical software to ML solutions. We use combinatorial modeling methodology to define the space of business requirements and map it to the ML solution data, and use the notion of data slices to identify the weaker areas of the ML solution and strengthen them. We apply our approach to three real-world case studies and demonstrate its value. © 2019 ACM.</t>
  </si>
  <si>
    <t>Wattanakriengkrai S,Srisermphoak N,Sintoplertchaikul S,Choetkiertikul M,Ragkhitwetsagul C,Sunetnanta T,Hata H,Matsumoto K</t>
  </si>
  <si>
    <t>Automatic Classifying Self-Admitted Technical Debt Using N-Gram IDF</t>
  </si>
  <si>
    <t>316 – 322</t>
  </si>
  <si>
    <t>https://www.scopus.com/inward/record.uri?eid=2-s2.0-85078087442&amp;doi=10.1109%2fAPSEC48747.2019.00050&amp;partnerID=40&amp;md5=c9b36f217cbe918e926ea52fb8e3529f;http://dx.doi.org/10.1109/APSEC48747.2019.00050</t>
  </si>
  <si>
    <t>10.1109/APSEC48747.2019.00050</t>
  </si>
  <si>
    <t>Technical Debt (TD) introduces a quality problem and increases maintenance cost since it may require improvements in the future. Several studies show that it is possible to automatically detect TD from source code comments that developers intentionally created, so-called self-admitted technical debt (SATD). Those studies proposed to use binary classification technique to predict whether a comment shows SATD. However, SATD has different types (e.g. design SATD and requirement SATD). In this paper, we therefore propose an approach using N-gram Inverse Document Frequency (IDF) and employ a multi-class classification technique to build a model that can identify different types of SATD. From the empirical evaluation on 10 open-source projects, our approach outperforms alternative methods (e.g. using BOW and TF-IDF). Our approach also improves the prediction performance over the baseline benchmark by 33%. © 2019 IEEE.</t>
  </si>
  <si>
    <t>Kuwajima H,Yasuoka H,Nakae T</t>
  </si>
  <si>
    <t>Engineering problems in machine learning systems</t>
  </si>
  <si>
    <t>Machine Learning</t>
  </si>
  <si>
    <t>1103 – 1126</t>
  </si>
  <si>
    <t>0885-6125</t>
  </si>
  <si>
    <t>https://www.scopus.com/inward/record.uri?eid=2-s2.0-85084143742&amp;doi=10.1007%2fs10994-020-05872-w&amp;partnerID=40&amp;md5=e46222c40ec929bdf26b6ed2b83abd05;http://dx.doi.org/10.1007/s10994-020-05872-w</t>
  </si>
  <si>
    <t>10.1007/s10994-020-05872-w</t>
  </si>
  <si>
    <t>Fatal accidents are a major issue hindering the wide acceptance of safety-critical systems that employ machine learning and deep learning models, such as automated driving vehicles. In order to use machine learning in a safety-critical system, it is necessary to demonstrate the safety and security of the system through engineering processes. However, thus far, no such widely accepted engineering concepts or frameworks have been established for these systems. The key to using a machine learning model in a deductively engineered system is decomposing the data-driven training of machine learning models into requirement, design, and verification, particularly for machine learning models used in safety-critical systems. Simultaneously, open problems and relevant technical fields are not organized in a manner that enables researchers to select a theme and work on it. In this study, we identify, classify, and explore the open problems in engineering (safety-critical) machine learning systems—that is, in terms of requirement, design, and verification of machine learning models and systems—as well as discuss related works and research directions, using automated driving vehicles as an example. Our results show that machine learning models are characterized by a lack of requirements specification, lack of design specification, lack of interpretability, and lack of robustness. We also perform a gap analysis on a conventional system quality standard SQuaRE with the characteristics of machine learning models to study quality models for machine learning systems. We find that a lack of requirements specification and lack of robustness have the greatest impact on conventional quality models. © 2020, The Author(s).</t>
  </si>
  <si>
    <t>Cited by: 21; All Open Access, Green Open Access, Hybrid Gold Open Access</t>
  </si>
  <si>
    <t>Developing ML/DL Models: A design framework</t>
  </si>
  <si>
    <t>https://www.scopus.com/inward/record.uri?eid=2-s2.0-85092522299&amp;doi=10.1145%2f3379177.3388892&amp;partnerID=40&amp;md5=5ce22f7d386295c4b7f02eb069e7d6be;http://dx.doi.org/10.1145/3379177.3388892</t>
  </si>
  <si>
    <t>10.1145/3379177.3388892</t>
  </si>
  <si>
    <t>Artificial Intelligence is becoming increasingly popular with organizations due to the success of Machine Learning and Deep Learning techniques. Using these techniques, data scientists learn from vast amounts of data to enhance behaviour in software-intensive systems. Despite the attractiveness of these techniques, however, there is a lack of systematic and structured design process for developing ML/DL models. The study uses a multiple-case study approach to explore the different activities and challenges data scientists face when developing ML/DL models in software-intensive embedded systems. In addition, we have identified seven different phases in the proposed design process leading to effective model development based on the case study. Iterations identified between phases and events which trigger these iterations optimize the design process for ML/DL models. Lessons learned from this study allow data scientists and engineers to develop high-performance ML/DL models and also bridge the gap between high demand and low supply of data scientists. © 2020 ACM.</t>
  </si>
  <si>
    <t>Lenarduzzi V,Lomio F,Huttunen H,Taibi D</t>
  </si>
  <si>
    <t>Are SonarQube Rules Inducing Bugs?</t>
  </si>
  <si>
    <t>501 – 511</t>
  </si>
  <si>
    <t>https://www.scopus.com/inward/record.uri?eid=2-s2.0-85083565109&amp;doi=10.1109%2fSANER48275.2020.9054821&amp;partnerID=40&amp;md5=b02e9d84c6eb93fb5ccd9db67d59ae6b;http://dx.doi.org/10.1109/SANER48275.2020.9054821</t>
  </si>
  <si>
    <t>10.1109/SANER48275.2020.9054821</t>
  </si>
  <si>
    <t>The popularity of tools for analyzing Technical Debt, and particularly the popularity of SonarQube, is increasing rapidly. SonarQube proposes a set of coding rules, which represent something wrong in the code that will soon be reflected in a fault or will increase maintenance effort. However, our local companies were not confident in the usefulness of the rules proposed by SonarQube and contracted us to investigate the fault-proneness of these rules. In this work we aim at understanding which SonarQube rules are actually fault-prone and to understand which machine learning models can be adopted to accurately identify fault-prone rules. We designed and conducted an empirical study on 21 well-known mature open-source projects. We applied the SZZ algorithm to label the fault-inducing commits. We analyzed the fault-proneness by comparing the classification power of seven machine learning models. Among the 202 rules defined for Java by SonarQube, only 25 can be considered to have relatively low fault-proneness. Moreover, violations considered as 'bugs' by SonarQube were generally not fault-prone and, consequently, the fault-prediction power of the model proposed by SonarQube is extremely low. The rules applied by SonarQube for calculating technical debt should be thoroughly investigated and their harmfulness needs to be further confirmed. Therefore, companies should carefully consider which rules they really need to apply, especially if their goal is to reduce fault-proneness. © 2020 IEEE.</t>
  </si>
  <si>
    <t>Cited by: 28; All Open Access, Green Open Access</t>
  </si>
  <si>
    <t>Ramachandran G,Bhatia V</t>
  </si>
  <si>
    <t>Deep Learning in Practice: Guidelines for Model Selection</t>
  </si>
  <si>
    <t>64 – 68</t>
  </si>
  <si>
    <t>https://www.scopus.com/inward/record.uri?eid=2-s2.0-85083668952&amp;doi=10.1109%2fCCEM48484.2019.00014&amp;partnerID=40&amp;md5=37e0fe2cda2f2eab98accce36ebc9767;http://dx.doi.org/10.1109/CCEM48484.2019.00014</t>
  </si>
  <si>
    <t>10.1109/CCEM48484.2019.00014</t>
  </si>
  <si>
    <t>Deep Learning models are becoming the de facto standard in most image, text and speech understanding tasks. Model selection based only on numerical metrics such as accuracy and inference time is not sufficient especially in highly regulated industries like healthcare or autonomous driving where lives are at stake. In order to trust the model, interpreting the reasons behind the model's decisions is essential. We propose a three pronged approach in selecting models based on accuracy, inference time and on whether they learn the right features. © 2019 IEEE.</t>
  </si>
  <si>
    <t>Fan Y,Xia X,Lo D,Hassan AE</t>
  </si>
  <si>
    <t>Chaff from the Wheat: Characterizing and Determining Valid Bug Reports</t>
  </si>
  <si>
    <t>495 – 525</t>
  </si>
  <si>
    <t>https://www.scopus.com/inward/record.uri?eid=2-s2.0-85051376098&amp;doi=10.1109%2fTSE.2018.2864217&amp;partnerID=40&amp;md5=a3523e1e2bc2dc31efb5d92f98a36d08;http://dx.doi.org/10.1109/TSE.2018.2864217</t>
  </si>
  <si>
    <t>10.1109/TSE.2018.2864217</t>
  </si>
  <si>
    <t>Developers use bug reports to triage and fix bugs. When triaging a bug report, developers must decide whether the bug report is valid (i.e., a real bug). A large amount of bug reports are submitted every day, with many of them end up being invalid reports. Manually determining valid bug report is a difficult and tedious task. Thus, an approach that can automatically analyze the validity of a bug report and determine whether a report is valid can help developers prioritize their triaging tasks and avoid wasting time and effort on invalid bug reports. In this study, motivated by the above needs, we propose an approach which can determine whether a newly submitted bug report is valid. Our approach first extracts 33 features from bug reports. The extracted features are grouped along 5 dimensions, i.e., reporter experience, collaboration network, completeness, readability and text. Based on these features, we use a random forest classifier to identify valid bug reports. To evaluate the effectiveness of our approach, we experiment on large-scale datasets containing a total of 560,697 bug reports from five open source projects (i.e., Eclipse, Netbeans, Mozilla, Firefox and Thunderbird). On average, across the five datasets, our approach achieves an F1-score for valid bug reports and F1-score for invalid ones of 0.74 and 0.67, respectively. Moreover, our approach achieves an average AUC of 0.81. In terms of AUC and F1-scores for valid and invalid bug reports, our approach statistically significantly outperforms two baselines using features that are proposed by Zanetti et al. [104]. We also study the most important features that distinguish valid bug reports from invalid ones. We find that the textual features of a bug report and reporter's experience are the most important factors to distinguish valid bug reports from invalid ones. © 1976-2012 IEEE.</t>
  </si>
  <si>
    <t>Cited by: 31; All Open Access, Green Open Access</t>
  </si>
  <si>
    <t>Hohman F,Wongsuphasawat K,Kery MB,Patel K</t>
  </si>
  <si>
    <t>Understanding and Visualizing Data Iteration in Machine Learning</t>
  </si>
  <si>
    <t>https://www.scopus.com/inward/record.uri?eid=2-s2.0-85091323640&amp;doi=10.1145%2f3313831.3376177&amp;partnerID=40&amp;md5=f480d2d33d50e924a8d3971b4b377538;http://dx.doi.org/10.1145/3313831.3376177</t>
  </si>
  <si>
    <t>10.1145/3313831.3376177</t>
  </si>
  <si>
    <t>Successful machine learning (ML) applications require iterations on both modeling and the underlying data. While prior visualization tools for ML primarily focus on modeling, our interviews with 23 ML practitioners reveal that they improve model performance frequently by iterating on their data (e.g., collecting new data, adding labels) rather than their models. We also identify common types of data iterations and associated analysis tasks and challenges. To help attribute data iterations to model performance, we design a collection of interactive visualizations and integrate them into a prototype, Chameleon, that lets users compare data features, training/testing splits, and performance across data versions. We present two case studies where developers apply \system to their own evolving datasets on production ML projects. Our interface helps them verify data collection efforts, find failure cases stretching across data versions, capture data processing changes that impacted performance, and identify opportunities for future data iterations. © 2020 Owner/Author.</t>
  </si>
  <si>
    <t>Cited by: 37; All Open Access, Bronze Open Access</t>
  </si>
  <si>
    <t>Cai Y,Xiao L,Kazman R,Mo R,Feng Q</t>
  </si>
  <si>
    <t>Design Rule Spaces: A New Model for Representing and Analyzing Software Architecture</t>
  </si>
  <si>
    <t>657 – 682</t>
  </si>
  <si>
    <t>https://www.scopus.com/inward/record.uri?eid=2-s2.0-85041003076&amp;doi=10.1109%2fTSE.2018.2797899&amp;partnerID=40&amp;md5=c5f7749b1b18ab26318fd64962a96e67;http://dx.doi.org/10.1109/TSE.2018.2797899</t>
  </si>
  <si>
    <t>10.1109/TSE.2018.2797899</t>
  </si>
  <si>
    <t>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 © 1976-2012 IEEE.</t>
  </si>
  <si>
    <t>Mendoza Del Carpio P,Dávila A</t>
  </si>
  <si>
    <t>A Technique Based on Naming Patterns for Finding Candidates to Components from Source Code</t>
  </si>
  <si>
    <t>482 – 487</t>
  </si>
  <si>
    <t>1548-0992</t>
  </si>
  <si>
    <t>https://www.scopus.com/inward/record.uri?eid=2-s2.0-85015151902&amp;doi=10.1109%2fTLA.2017.7867598&amp;partnerID=40&amp;md5=e5c76e09eb8933bbb37c337592a840a7;http://dx.doi.org/10.1109/TLA.2017.7867598</t>
  </si>
  <si>
    <t>10.1109/TLA.2017.7867598</t>
  </si>
  <si>
    <t>Component identification is relevant in maintenance activities but can be hard in scenarios where the volume of source code is high and there is no architecture documentation. This work presents a technique for finding concepts as candidates of architectural components. The technique is based in the frequency of terms that follows naming patterns that are proposed in this work. Projects from Eclipse and Apache, were used for evaluating the technique. The results show terms which match with some popular component types and domain concepts of the software in treatment. The technique has used source code without any architectural documentation showing that could be applied in emergent architectures. © 2003-2012 IEEE.</t>
  </si>
  <si>
    <t>Russo D,Taccogna G,Ciancarini P,Messina A,Succi G</t>
  </si>
  <si>
    <t>Contracting agile developments for mission critical systems in the public sector</t>
  </si>
  <si>
    <t>47 – 56</t>
  </si>
  <si>
    <t>https://www.scopus.com/inward/record.uri?eid=2-s2.0-85054607574&amp;doi=10.1145%2f3183428.3183435&amp;partnerID=40&amp;md5=f010615699455f50b4bd9db5cb2db540;http://dx.doi.org/10.1145/3183428.3183435</t>
  </si>
  <si>
    <t>10.1145/3183428.3183435</t>
  </si>
  <si>
    <t>Although Agile is a well established software development paradigm, major concerns arise when it comes to contracting issues between a software consumer and a software producer. How to contractualize the Agile production of software, especially for security &amp; mission critical organizations, which typically outsource software projects, has been a major concern since the beginning of the Agile Era. In literature, little has been done, from a foundational point of view regarding the formalization of such contracts. Indeed, when the development is outsourced, the management of the contractual life is non-trivial. This happens because the interests of the two parties are typically not aligned. In these situations, software houses strive for the minimization of the effort, while the customer commonly expects high quality artifacts. This structural asymmetry can hardly be overcome with traditional Waterfall contracts. In this work, we propose a foundational approach to the Law &amp; Economics of Agile contracts. Moreover, we explore the key elements of the Italian procurement law and outline a suitable solution to merge some basic legal constraints with Agile requirements. Finally, a case study is presented, describing how Agile contracting has been concretely implemented in the Italian Defense Acquisition Process. This work is intended to be a framework for Agile contracts for the Italian public sector of critical systems, according to the new contractual law (Codice degli Appalti). © 2018 ACM.</t>
  </si>
  <si>
    <t>de Passos AF,de Freitas Farias MA,Spínola RO,de Mendonça Neto MG</t>
  </si>
  <si>
    <t>A study on identification of documentation and requirement technical debt through code comment analysis</t>
  </si>
  <si>
    <t>https://www.scopus.com/inward/record.uri?eid=2-s2.0-85056707888&amp;doi=10.1145%2f3275245.3275248&amp;partnerID=40&amp;md5=ccd03972c758e2cc3a71fcd673f39bcd;http://dx.doi.org/10.1145/3275245.3275248</t>
  </si>
  <si>
    <t>10.1145/3275245.3275248</t>
  </si>
  <si>
    <t>Context: The TD concept reflects the challenging decisions that developers and managers need to take to achieve short-term benefits to keep the customers satisfied and to survive in a competitive market. The identification of technical debt (TD) is an important step to effectively manage TD items and make TD manageable and explicit to keep the amount of TD under control. Researchers have developed automated approaches to identify TD items using indicators derived from source code metrics. However, those indicators do not always point to TD that developer teams consider real problems and cannot identify many types of relevant TD. Objective: This work seeks to identify comment patterns and their relationships which can support the identification process of documentation and requirement debts. Method: We performed a qualitative and quantitative analysis to investigate acceptable patterns of comments which indicate the existence of documentation and requirement debts. Results: We classify factors which can impact on the detection automated of documentation and requirement debts. Besides, the performed study provided a set of new patterns to detect documentation and requirement debts. Conclusion: This research contributes to bridge the gap between the TD identification area and code comment analysis, successfully using code comments to detect documentation and requirement debts. © 2018 Association for Computing Machinery.</t>
  </si>
  <si>
    <t>Liu C,Yang D,Xia X,Yan M,Zhang X</t>
  </si>
  <si>
    <t>Cross-Project Change-Proneness Prediction</t>
  </si>
  <si>
    <t>0730-3157</t>
  </si>
  <si>
    <t>https://www.scopus.com/inward/record.uri?eid=2-s2.0-85055440637&amp;doi=10.1109%2fCOMPSAC.2018.00017&amp;partnerID=40&amp;md5=f2c8270b95c3b4f3c7bf885ce6cb48fe;http://dx.doi.org/10.1109/COMPSAC.2018.00017</t>
  </si>
  <si>
    <t>10.1109/COMPSAC.2018.00017</t>
  </si>
  <si>
    <t>Software change-proneness prediction (whether or not class files in a project will be changed in the next release) can help software developers to focus on preventive actions to reduce maintenance costs, and managers to allocate resources more effectively. Prior studies found that change-proneness prediction works well if there is sufficient amount of training data to build a model. However, it is not feasible for projects with limited historical data especially for new projects. To address this issue, cross-project change-proneness prediction, which builds a prediction model by using data in another project (i.e., source project), and predicts the change-proneness in a target project, is proposed. Considering there are a large number of source projects, one challenge for cross-project change-proneness prediction is that given a target project, how to automatically select a source project which could show good prediction accuracy on it. In this paper, we propose a selective cross-project (SCP) model for change-proneness prediction. SCP automatically finds the source project which has the similar data distribution with the target project by measuring distribution similarity between source and target projects. We evaluate SCP by conducting an empirical study on 14 open source projects. We compare it with 2 most related change-proneness models, including RCP (Random Cross-Project prediction) proposed by Malhotra and Bansal, and CLAMI+ developed by Yan et al. Experiment results show that SCP improves RCP and CLAMI+ by 25.34% and 4.30% in terms of AUC respectively; and by 171.42% and 172.31% in terms of cost-effectiveness, respectively. © 2018 IEEE.</t>
  </si>
  <si>
    <t>Papadokostaki K,Mastorakis G,Panagiotakis S,Mavromoustakis CX,Dobre C,Batalla JM</t>
  </si>
  <si>
    <t>Handling Big Data in the Era of Internet of Things (IoT)</t>
  </si>
  <si>
    <t>Studies in Big Data</t>
  </si>
  <si>
    <t>3 – 22</t>
  </si>
  <si>
    <t>2197-6503</t>
  </si>
  <si>
    <t>https://www.scopus.com/inward/record.uri?eid=2-s2.0-85132947805&amp;doi=10.1007%2f978-3-319-45145-9_1&amp;partnerID=40&amp;md5=7bc3f9f86d98c42cb33f6c74bb7fa378;http://dx.doi.org/10.1007/978-3-319-45145-9_1</t>
  </si>
  <si>
    <t>10.1007/978-3-319-45145-9_1</t>
  </si>
  <si>
    <t>In the emerging 5G mobile computing environments, the need for cutting edge technologies regarding data transmission, storage and processing will be more critical than ever. In addition, handling of Big Data that is produced by Internet of Things (IoT) devices and extracting value out of it, is a real challenge for scientists and markets, towards providing extra profit to the society. In this context, this chapter aims to shortly present the correlation between Internet of Things and the expansion of Big Data. At first, a short reference to the evolution of IoT and Big Data is provided and their features are then introduced. In addition, the lifecycle of Big Data in IoT—from capturing to storage and analysis—is shortly described. Finally, two different approaches for the implementation of Big Data are presented, as well as issues in privacy and security are addressed. © 2017, Springer International Publishing Switzerland.</t>
  </si>
  <si>
    <t>Rizvi SA,Van Heerden E,Salas A,Nyikosa F,Roberts SJ,Osborne MA,Rodriguez E</t>
  </si>
  <si>
    <t>Identifying sources of discrimination risk in the life cycle of machine intelligence applications under new European union regulations</t>
  </si>
  <si>
    <t>SS-17-01 - SS-17-08</t>
  </si>
  <si>
    <t>64 – 70</t>
  </si>
  <si>
    <t>https://www.scopus.com/inward/record.uri?eid=2-s2.0-85028690345&amp;partnerID=40&amp;md5=25f6e03953d7bf7041456caba1e2d45c</t>
  </si>
  <si>
    <t>If machine intelligence systems acquire discriminating bias via data and underlying algorithms then this can introduce significant risks for members of the public subject to these systems. We outline two key sources of bias in machine intelligence applications that have become imminent in light of new General Data Protection Regulations introduced by the European Union in April 2016. These regulations introduce new and broad scope data protection laws regarding any form of automated processing of personal data, which will directly impact the routine use of large collected public data sets and their use in automated decision making. This has direct consequences for introducing data bias if decision makers circumvent this law by avoiding data collection from certain regions. This law also effectively creates a right to explanation under which a subject may ask for an explanation of the logic or algorithm involved in reaching an automated decision. This has immediate implications for using interpretable machine intelligence algorithms in public decision making applications. In order to address the two key problems of bias in data and bias in algorithms, it is important to understand the life cycle of machine intelligence applications. We outline the life cycle of machine intelligence applications and then focus on two key points in the cycle where this regulation is most likely to introduce bias. After identification, necessary measures can be taken to address the risks introduced by the bias. Then we outline some strategies for mitigating those biases to mitigate the risks for public. © Copyright 2017, Association for the Advancement of Artificial Intelligence (www.aaai.org). All rights reserved.</t>
  </si>
  <si>
    <t>Mastorakis G,Mavromoustakis CX,Pallis E</t>
  </si>
  <si>
    <t>Resource management of mobile cloud computing networks and environments</t>
  </si>
  <si>
    <t>https://www.scopus.com/inward/record.uri?eid=2-s2.0-84961328315&amp;doi=10.4018%2f978-1-4666-8225-2&amp;partnerID=40&amp;md5=3da5c6538e7d8e5e1fc1a35adb92992a;http://dx.doi.org/10.4018/978-1-4666-8225-2</t>
  </si>
  <si>
    <t>10.4018/978-1-4666-8225-2</t>
  </si>
  <si>
    <t>As more and more of our data is stored remotely, accessing that data wherever and whenever it is needed is a critical concern. More concerning is managing the databanks and storage space necessary to enable cloud systems. Resource Management of Mobile Cloud Computing Networks and Environments reports on the latest advances in the development of computationally intensive and cloud-based applications. Covering a wide range of problems, solutions, and perspectives, this book is a scholarly resource for specialists and end-users alike making use of the latest cloud technologies. © 2015 by IGI Global. All rights reserved.</t>
  </si>
  <si>
    <t>1 – 432</t>
  </si>
  <si>
    <t>Falessi D,Moede MJ</t>
  </si>
  <si>
    <t>Facilitating feasibility analysis: The pilot defects prediction dataset maker</t>
  </si>
  <si>
    <t>15 – 18</t>
  </si>
  <si>
    <t>https://www.scopus.com/inward/record.uri?eid=2-s2.0-85058401948&amp;doi=10.1145%2f3278142.3278147&amp;partnerID=40&amp;md5=98783821aa4f6c3fb6f220b9ef0773df;http://dx.doi.org/10.1145/3278142.3278147</t>
  </si>
  <si>
    <t>10.1145/3278142.3278147</t>
  </si>
  <si>
    <t>Our industrial experience in institutionalizing defect prediction models in the software industry shows that the first step is to measure prediction metrics and defects to assess the feasibility of the tool, i.e., if the accuracy of the defect prediction tool is higher than of a random predictor. However, computing prediction metrics is time consuming and error prone. Thus, the feasibility analysis has a cost which needs some initial investment by the potential clients. This initial investment acts as a barrier for convincing potential clients of the benefits of institutionalizing a software prediction model. To reduce this barrier, in this paper we present the Pilot Defects Prediction Dataset Maker (PDPDM), a desktop application for measuring metrics to use for defect prediction. PDPDM receives as input the repository's information of a software project, and it provides as output, in an easy and replicable way, a dataset containing a set of 17 well-defined product and process metrics, that have been shown to be useful for defect prediction, such as size and smells. PDPDM avoids the use of outdated datasets and it allows researchers and practitioners to create defect datasets without the need to write any lines of code. © SWAN 2018 - Proceedings of the 4th ACM SIGSOFT International Workshop on Soft ware Analytics, co-located with FSE 2018.</t>
  </si>
  <si>
    <t>Ishikawa F,Matsuno Y</t>
  </si>
  <si>
    <t>Continuous argument engineering: Tackling uncertainty in machine learning based systems</t>
  </si>
  <si>
    <t>11094 LNCS</t>
  </si>
  <si>
    <t>14 – 21</t>
  </si>
  <si>
    <t>https://www.scopus.com/inward/record.uri?eid=2-s2.0-85053938962&amp;doi=10.1007%2f978-3-319-99229-7_2&amp;partnerID=40&amp;md5=40296950fa8540b1aeef2aec10412d25;http://dx.doi.org/10.1007/978-3-319-99229-7_2</t>
  </si>
  <si>
    <t>10.1007/978-3-319-99229-7_2</t>
  </si>
  <si>
    <t>Components or systems implemented by using machine learning techniques have intrinsic difficulties caused by uncertainty. Specifically, it is impossible to logically or deductively conclude what they can(not) do or how they behave for untested inputs. In addition, such systems are often applied to the real world, which has uncertain requirements and environments. In this paper, we discuss what becomes difficult or even impossible in the use of arguments or assurance cases for machine learning based systems. We then propose an approach for continuously analyzing, managing, and updating arguments while accepting uncertainty as intrinsic in nature. © Springer Nature Switzerland AG 2018.</t>
  </si>
  <si>
    <t>Falessi D,Di Penta M,Canfora G,Cantone G</t>
  </si>
  <si>
    <t>Estimating the number of remaining links in traceability recovery</t>
  </si>
  <si>
    <t>996 – 1027</t>
  </si>
  <si>
    <t>https://www.scopus.com/inward/record.uri?eid=2-s2.0-84991829839&amp;doi=10.1007%2fs10664-016-9460-6&amp;partnerID=40&amp;md5=733a7f1f876e25889ed49650415b2104;http://dx.doi.org/10.1007/s10664-016-9460-6</t>
  </si>
  <si>
    <t>10.1007/s10664-016-9460-6</t>
  </si>
  <si>
    <t>Although very important in software engineering, establishing traceability links between software artifacts is extremely tedious, error-prone, and it requires significant effort. Even when approaches for automated traceability recovery exist, these provide the requirements analyst with a, usually very long, ranked list of candidate links that needs to be manually inspected. In this paper we introduce an approach called Estimation of the Number of Remaining Links (ENRL) which aims at estimating, via Machine Learning (ML) classifiers, the number of remaining positive links in a ranked list of candidate traceability links produced by a Natural Language Processing techniques-based recovery approach. We have evaluated the accuracy of the ENRL approach by considering several ML classifiers and NLP techniques on three datasets from industry and academia, and concerning traceability links among different kinds of software artifacts including requirements, use cases, design documents, source code, and test cases. Results from our study indicate that: (i) specific estimation models are able to provide accurate estimates of the number of remaining positive links; (ii) the estimation accuracy depends on the choice of the NLP technique, and (iii) univariate estimation models outperform multivariate ones. © 2016, Springer Science+Business Media New York.</t>
  </si>
  <si>
    <t>Skiada P,Ampatzoglou A,Arvanitou EM,Chatzigeorgiou A,Stamelos I</t>
  </si>
  <si>
    <t>Exploring the relationship between software modularity and technical debt</t>
  </si>
  <si>
    <t>404 – 407</t>
  </si>
  <si>
    <t>https://www.scopus.com/inward/record.uri?eid=2-s2.0-85057164684&amp;doi=10.1109%2fSEAA.2018.00072&amp;partnerID=40&amp;md5=8be0d14b7ad2658573289e24e2e1fd88;http://dx.doi.org/10.1109/SEAA.2018.00072</t>
  </si>
  <si>
    <t>10.1109/SEAA.2018.00072</t>
  </si>
  <si>
    <t>Modularity is one of the key principles of software design. In order for a software system to be modular, it should be organized into modules that are highly coherent internally, whereas at the same time as independent from other modules as possible. In this paper we explore coupling and cohesion metrics at the software package level - i.e., one of most basic levels of software functional decomposition in object-oriented (OO) systems, with the aim of investigating their relation to the technical debt of each package. Current state-of-the-art tools in TD measurement are working on the source code level, and the extent to which they can unveil limitations at the architecture level (e.g., violations of the modularity principle), has not been explored so far. To achieve this goal, we conducted a case study on 1,200 packages retrieved from 20 well-known open source software projects. The results of the study suggested that current measures of technical debt are able to identify / predict modules that lack modularity, and therefore suffer from Architectural Technical Debt (ATD). The results of the study are discussed both from the practitioners' and re-searchers' point of view. © 2018 IEEE.</t>
  </si>
  <si>
    <t>Feitosa D,Avgeriou P,Ampatzoglou A,Nakagawa EY</t>
  </si>
  <si>
    <t>The evolution of design pattern grime: An industrial case study</t>
  </si>
  <si>
    <t>10611 LNCS</t>
  </si>
  <si>
    <t>https://www.scopus.com/inward/record.uri?eid=2-s2.0-85034592025&amp;doi=10.1007%2f978-3-319-69926-4_13&amp;partnerID=40&amp;md5=6bded589da576075dcada2624dba849f;http://dx.doi.org/10.1007/978-3-319-69926-4_13</t>
  </si>
  <si>
    <t>10.1007/978-3-319-69926-4_13</t>
  </si>
  <si>
    <t>Context: GoF design patterns are popular among both researchers and practitioners, in the sense that software can be largely comprised of pattern instances. However, there are concerns regarding the efficacy with which software engineers maintain pattern instances, which tend to decay over the software lifetime if no special emphasis is placed on them. Pattern grime (i.e., degradation of the instance due to buildup of unrelated artifacts) has been pointed out as one recurrent reason for the decay of GoF pattern instances. Goal: Seeking to explore this issue, we investigate the existence of relations between the accumulation of grime in pattern instances and various related factors: (a) projects, (b) pattern types, (c) developers, and (d) the structural characteristics of the pattern participating classes. Method: For that, we empirically assessed these relations through an industrial exploratory case study involving five projects (approx. 260,000 lines of code). Results: Our findings suggest a linear accumulation of pattern grime, which may depend on pattern type and developer. Moreover, we present and discuss a series of correlations between the accumulation of pattern grime and structural characteristics. Conclusions: The outcome of our study can benefit both researchers and practitioners, as it points to interesting future work opportunities and also implications relevant to the refinement of best practices, the raise awareness among developers, and the monitoring of pattern grime accumulation. © Springer International Publishing AG 2017.</t>
  </si>
  <si>
    <t>Shah V,Kumar A,Zhu X</t>
  </si>
  <si>
    <t>Are key-foreign key joins safe to avoid when learning high-capacity classifiers?</t>
  </si>
  <si>
    <t>366 – 379</t>
  </si>
  <si>
    <t>https://www.scopus.com/inward/record.uri?eid=2-s2.0-85049422618&amp;doi=10.14778%2f3157794.3157804&amp;partnerID=40&amp;md5=57f4ef15de69da4d16c276b1eb7715b4;http://dx.doi.org/10.14778/3157794.3157804</t>
  </si>
  <si>
    <t>10.14778/3157794.3157804</t>
  </si>
  <si>
    <t>Machine learning (ML) over relational data is a booming area of data management. While there is a lot of work on scalable and fast ML systems, little work has addressed the pains of sourcing data for ML tasks. Real-world relational databases typically have many tables (often, dozens) and data scientists often struggle to even obtain all tables for joins before ML. In this context, Kumar et al. showed re- cently that key-foreign key dependencies (KFKDs) between tables often lets us avoid such joins without significantly affecting prediction accuracy-an idea they called avoiding joins safely. While initially controversial, this idea has since been used by multiple companies to reduce the burden of data sourcing for ML. But their work applied only to lin- ear classifiers. In this work, we verify if their results hold for three popular high-capacity classifiers: decision trees, non-linear SVMs, and ANNs. We conduct an extensive ex- perimental study using both real-world datasets and simu- lations to analyze the effects of avoiding KFK joins on such models. Our results show that these high-capacity classi- fiers are surprisingly and counter-intuitively more robust to avoiding KFK joins compared to linear classifiers, refuting an intuition from the prior work's analysis. We explain this behavior intuitively and identify open questions at the in- tersection of data management and ML theoretical research. All of our code and datasets are available for download from http://cseweb.ucsd.edu/ arunkk/hamlet. © 2017 VLDB Endowment.</t>
  </si>
  <si>
    <t>Chong CY,Lee SP</t>
  </si>
  <si>
    <t>Automatic clustering constraints derivation from object-oriented software using weighted complex network with graph theory analysis</t>
  </si>
  <si>
    <t>28 – 53</t>
  </si>
  <si>
    <t>https://www.scopus.com/inward/record.uri?eid=2-s2.0-85028058482&amp;doi=10.1016%2fj.jss.2017.08.017&amp;partnerID=40&amp;md5=85d44fc2bba91f523de7e2c6d5d47736;http://dx.doi.org/10.1016/j.jss.2017.08.017</t>
  </si>
  <si>
    <t>10.1016/j.jss.2017.08.017</t>
  </si>
  <si>
    <t>Constrained clustering or semi-supervised clustering has received a lot of attention due to its flexibility of incorporating minimal supervision of domain experts or side information to help improve clustering results of classic unsupervised clustering techniques. In the domain of software remodularisation, classic unsupervised software clustering techniques have proven to be useful to aid in recovering a high-level abstraction of the software design of poorly documented or designed software systems. However, there is a lack of work that integrates constrained clustering for the same purpose to help improve the modularity of software systems. Nevertheless, due to time and budget constraints, it is laborious and unrealistic for domain experts who have prior knowledge about the software to review each and every software artifact and provide supervision on an on-demand basis. We aim to fill this research gap by proposing an automated approach to derive clustering constraints from the implicit structure of software system based on graph theory analysis of the analysed software. Evaluations conducted on 40 open-source object-oriented software systems show that the proposed approach can serve as an alternative solution to derive clustering constraints in situations where domain experts are non-existent, thus helping to improve the overall accuracy of clustering results. © 2017 Elsevier Inc.</t>
  </si>
  <si>
    <t>Lee H,Surdeanu M,Jurafsky D</t>
  </si>
  <si>
    <t>A scaffolding approach to coreference resolution integrating statistical and rule-based models</t>
  </si>
  <si>
    <t>Natural Language Engineering</t>
  </si>
  <si>
    <t>733 – 762</t>
  </si>
  <si>
    <t>Cambridge University Press</t>
  </si>
  <si>
    <t>1351-3249</t>
  </si>
  <si>
    <t>https://www.scopus.com/inward/record.uri?eid=2-s2.0-85015651775&amp;doi=10.1017%2fS1351324917000109&amp;partnerID=40&amp;md5=249ae62e1dad021e42fd1bacfa0876f0;http://dx.doi.org/10.1017/S1351324917000109</t>
  </si>
  <si>
    <t>10.1017/S1351324917000109</t>
  </si>
  <si>
    <t>We describe a scaffolding approach to the task of coreference resolution that incrementally combines statistical classifiers, each designed for a particular mention type, with rule-based models (for sub-tasks well-matched to determinism). We motivate our design by an oracle-based analysis of errors in a rule-based coreference resolution system, showing that rule-based approaches are poorly suited to tasks that require a large lexical feature space, such as resolving pronominal and common-noun mentions. Our approach combines many advantages: it incrementally builds clusters integrating joint information about entities, uses rules for deterministic phenomena, and integrates rich lexical, syntactic, and semantic features with random forest classifiers well-suited to modeling the complex feature interactions that are known to characterize the coreference task. We demonstrate that all these decisions are important. The resulting system achieves 63.2 F1 on the CoNLL-2012 shared task dataset, outperforming the rule-based starting point by over seven F1 points. Similarly, our system outperforms an equivalent sieve-based approach that relies on logistic regression classifiers instead of random forests by over four F1 points. Lastly, we show that by changing the coreference resolution system from relying on constituent-based syntax to using dependency syntax, which can be generated in linear time, we achieve a runtime speedup of 550 per cent without considerable loss of accuracy. © Copyright Cambridge University Press 2017.</t>
  </si>
  <si>
    <t>Ciolkowski M,Guzmán L,Trendowicz A,Salfner F</t>
  </si>
  <si>
    <t>Lessons learned from the ProDebt research project on planning technical debt strategically</t>
  </si>
  <si>
    <t>523 – 534</t>
  </si>
  <si>
    <t>https://www.scopus.com/inward/record.uri?eid=2-s2.0-85034592026&amp;doi=10.1007%2f978-3-319-69926-4_42&amp;partnerID=40&amp;md5=facb84db639c6abe9bc241c2381f3668;http://dx.doi.org/10.1007/978-3-319-69926-4_42</t>
  </si>
  <si>
    <t>10.1007/978-3-319-69926-4_42</t>
  </si>
  <si>
    <t>Due to cost and time constraints, software quality is often neglected in the evolution and adaptation of software. Thus, maintainability suffers, maintenance costs rise, and the development takes longer. These effects are referred to as “technical debt”. The challenge for project managers is to find a balance when using the given budget and schedule, either by reducing technical debt or by adding technical features. This balance is needed to keep time to market for current product releases short and future maintenance costs at an acceptable level. Method: The project ProDebt aimed at developing an innovative methodology and a software tool to support the strategic planning of technical debt in the context of agile software development. In this project, we created quality models and collected corresponding measurement data for two case studies in two different companies. Altogether, the two case studies contributed 5–6 years of data, from the end of 2011, resp. mid-2012, until today. Using measurement and effort data, we trained a machine-learning model to predict productivity based on measurement data—representing the technical debt of a file at a given point in time. Result: We developed a prototype and a prediction model for forecasting potential savings based on proposed refactorings of key drivers of technical debt identified by the model. In this paper, we present the approach and the experiences made during model development. © Springer International Publishing AG 2017.</t>
  </si>
  <si>
    <t>Breck E,Cai S,Nielsen E,Salib M,Sculley D</t>
  </si>
  <si>
    <t>The ML test score: A rubric for ML production readiness and technical debt reduction</t>
  </si>
  <si>
    <t>1123 – 1132</t>
  </si>
  <si>
    <t>https://www.scopus.com/inward/record.uri?eid=2-s2.0-85047767117&amp;doi=10.1109%2fBigData.2017.8258038&amp;partnerID=40&amp;md5=0b882281e71e8e42326196b28d0e983f;http://dx.doi.org/10.1109/BigData.2017.8258038</t>
  </si>
  <si>
    <t>10.1109/BigData.2017.8258038</t>
  </si>
  <si>
    <t>Creating reliable, production-level machine learning systems brings on a host of concerns not found in small toy examples or even large offline research experiments. Testing and monitoring are key considerations for ensuring the production-readiness of an ML system, and for reducing technical debt of ML systems. But it can be difficult to formulate specific tests, given that the actual prediction behavior of any given model is difficult to specify a priori. In this paper, we present 28 specific tests and monitoring needs, drawn from experience with a wide range of production ML systems to help quantify these issues and present an easy to follow road-map to improve production readiness and pay down ML technical debt. © 2017 IEEE.</t>
  </si>
  <si>
    <t>Cited by: 79</t>
  </si>
  <si>
    <t>Singh S,Kaur S</t>
  </si>
  <si>
    <t>A systematic literature review: Refactoring for disclosing code smells in object oriented software</t>
  </si>
  <si>
    <t>Ain Shams Engineering Journal</t>
  </si>
  <si>
    <t>2129 – 2151</t>
  </si>
  <si>
    <t>Ain Shams University</t>
  </si>
  <si>
    <t>2090-4479</t>
  </si>
  <si>
    <t>https://www.scopus.com/inward/record.uri?eid=2-s2.0-85015808258&amp;doi=10.1016%2fj.asej.2017.03.002&amp;partnerID=40&amp;md5=5c660ecb8b2ded05a6eade8de60650ca;http://dx.doi.org/10.1016/j.asej.2017.03.002</t>
  </si>
  <si>
    <t>10.1016/j.asej.2017.03.002</t>
  </si>
  <si>
    <t>Context: Reusing a design pattern is not always in the favor of developers. Thus, the code starts smelling. The presence of “Code Smells” leads to more difficulties for the developers. This racket of code smells is sometimes called Anti-Patterns. Objective: The paper aimed at a systematic literature review of refactoring with respect to code smells. However the review of refactoring is done in general and the identification of code smells and anti-patterns is performed in depth. Method: A systematic literature survey has been performed on 238 research items that includes articles from leading Conferences, Workshops and premier journals, theses of researchers and book chapters. Results: Several data sets and tools for performing refactoring have been revealed under the specified research questions. Conclusion: The work done in the paper is an addition to prior systematic literature surveys. With the study of paper the attentiveness of readers about code smells and anti-patterns will be enhanced. © 2017</t>
  </si>
  <si>
    <t>Cited by: 36; All Open Access, Gold Open Access</t>
  </si>
  <si>
    <t>Yamashita A,Zanoni M,Fontana FA,Walter B</t>
  </si>
  <si>
    <t>Inter-smell relations in industrial and open source systems: A replication and comparative analysis</t>
  </si>
  <si>
    <t>121 – 130</t>
  </si>
  <si>
    <t>https://www.scopus.com/inward/record.uri?eid=2-s2.0-84961661955&amp;doi=10.1109%2fICSM.2015.7332458&amp;partnerID=40&amp;md5=f08ced87b7c6be23d92ee0cde4fda468;http://dx.doi.org/10.1109/ICSM.2015.7332458</t>
  </si>
  <si>
    <t>10.1109/ICSM.2015.7332458</t>
  </si>
  <si>
    <t>The presence of anti-patterns and code smells can affect adversely software evolution and quality. Recent work has shown that code smells that appear together in the same file (i.e., collocated smells) can interact with each other, leading to various types of maintenance issues and/or to the intensification of negative effects. It has also been found that code smell interactions can occur across coupled files (i.e., coupled smells), with comparable negative effects as the interaction of same-file (collocated) smells. Different inter-smell relations have been described in previous work, yet only few studies have evaluated them empirically. This study attempts to replicate the findings from previous work on inter-smell relations by analyzing larger systems, and by including both industrial and open source ones. We also include the analysis of coupled smells in addition to collocated smells, to achieve a more complete picture of inter-smell relations. Our results suggest that if coupled smells are not considered, one may risk increasing the number of false negatives when analysing inter-smells. A major finding is that patterns of inter-smell relations vary between open source and industrial systems, suggesting that contextual variables should be considered in further studies on code smells. © 2015 IEEE.</t>
  </si>
  <si>
    <t>Shihab E,Hassan AE,Adams B,Jiang ZM</t>
  </si>
  <si>
    <t>An industrial study on the risk of software changes</t>
  </si>
  <si>
    <t>https://www.scopus.com/inward/record.uri?eid=2-s2.0-84871276203&amp;doi=10.1145%2f2393596.2393670&amp;partnerID=40&amp;md5=3d7818dbab2d05f44d6ad581bbfddebf;http://dx.doi.org/10.1145/2393596.2393670</t>
  </si>
  <si>
    <t>10.1145/2393596.2393670</t>
  </si>
  <si>
    <t>Modelling and understanding bugs has been the focus of much of the Software Engineering research today. However, organizations are interested in more than just bugs. In particular, they are more concerned about managing risk, i.e., the likelihood that a code or design change will cause a negative impact on their products and processes, regardless of whether or not it introduces a bug. In this paper, we conduct a year-long study involving more than 450 developers of a large enterprise, spanning more than 60 teams, to better understand risky changes, i.e., changes for which developers believe that additional attention is needed in the form of careful code or design reviewing and/or more testing. Our findings show that different developers and different teams have their own criteria for determining risky changes. Using factors extracted from the changes and the history of the files modified by the changes, we are able to accurately identify risky changes with a recall of more than 67%, and a precision improvement of 87% (using developer specific models) and 37% (using team specific models), over a random model. We find that the number of lines and chunks of code added by the change, the bugginess of the files being changed, the number of bug reports linked to a change and the developer experience are the best indicators of change risk. In addition, we find that when a change has many related changes, the reliability of developers in marking risky changes is negatively affected. Our findings and models are being used today in practice to manage the risk of software projects. © 2012 ACM.</t>
  </si>
  <si>
    <t>Cited by: 90; All Open Access, Green Open Access</t>
  </si>
  <si>
    <t>Wang H,Kessentini M,Grosky W,Meddeb H</t>
  </si>
  <si>
    <t>On the use of time series and search based software engineering for refactoring recommendation</t>
  </si>
  <si>
    <t>https://www.scopus.com/inward/record.uri?eid=2-s2.0-84962708036&amp;doi=10.1145%2f2857218.2857224&amp;partnerID=40&amp;md5=156cfd7aad3578e5f910772fe85ddd91;http://dx.doi.org/10.1145/2857218.2857224</t>
  </si>
  <si>
    <t>10.1145/2857218.2857224</t>
  </si>
  <si>
    <t>To improve the quality of software systems, one of the widely used techniques is refactoring, defined as the process of improving the design of an existing system by changing its internal structure without altering the external behavior. The majority of existing refactoring works do not consider the impact of recommended refactorings on the quality of future releases of a system. In this paper, we propose to combine the use of search-based software engineering with time series to recommend good refactoring strategies in order to manage technical debt. We used a multi-objective algorithm to generate refactoring solutions that maximize the correction of important quality issues and minimize the effort. For these two fitness functions, we adapted time series forecasting to estimate the impact of the generated refactorings solution on future next releases of the system by predicting the evolution of the remaining code smells in the system, after refactoring, using different quality metrics. We evaluated our approach on one industrial project and a benchmark of 4 open source systems. The results confirm the efficiency of our technique to provide better refactoring management comparing to several existing refactoring techniques. © 2015 ACM.</t>
  </si>
  <si>
    <t>Mo R,Garcia J,Cai Y,Medvidovic N</t>
  </si>
  <si>
    <t>Mapping architectural decay instances to dependency models</t>
  </si>
  <si>
    <t>https://www.scopus.com/inward/record.uri?eid=2-s2.0-84885962628&amp;doi=10.1109%2fMTD.2013.6608677&amp;partnerID=40&amp;md5=fa46f0fcd5bcf77cd1b7fce630f12b53;http://dx.doi.org/10.1109/MTD.2013.6608677</t>
  </si>
  <si>
    <t>10.1109/MTD.2013.6608677</t>
  </si>
  <si>
    <t>The architectures of software systems tend to drift or erode as they are maintained and evolved. These systems often develop architectural decay instances, which are instances of design decisions that negatively impact a system's lifecycle properties and are the analog to code-level decay instances that are potential targets for refactoring. While code-level decay instances are based on source-level constructs, architectural decay instances are based on higher levels of abstractions, such as components and connectors, and related concepts, such as concerns. Unlike code-level decay instances, architectural decay usually has more significant consequences. Not being able to detect or address architectural decay in time incurs architecture debt that may result in a higher penalty in terms of quality and maintainability (interest) over time. To facilitate architecture debt detection, in this paper, we demonstrate the possibility of transforming architectural models and concerns into an extended augmented constraint network (EACN), which can uniformly model the constraints among design decisions and environmental conditions. From an ACN, a pairwise-dependency relation (PWDR) can be derived, which, in turn, can be used to automatically and uniformly detect architectural decay instances. © 2013 IEEE.</t>
  </si>
  <si>
    <t>Clark C,Divvala S</t>
  </si>
  <si>
    <t>PDFFigures 2.0: Mining figures from research papers</t>
  </si>
  <si>
    <t>143 – 152</t>
  </si>
  <si>
    <t>1552-5996</t>
  </si>
  <si>
    <t>https://www.scopus.com/inward/record.uri?eid=2-s2.0-84989960497&amp;doi=10.1145%2f2910896.2910904&amp;partnerID=40&amp;md5=0fb5f4d318a0d7ba5d6a5a314d6be2f3;http://dx.doi.org/10.1145/2910896.2910904</t>
  </si>
  <si>
    <t>10.1145/2910896.2910904</t>
  </si>
  <si>
    <t>Figures and tables are key sources of information in many scholarly documents. However, current academic search engines do not make use of figures and tables when semantically parsing documents or presenting document summaries to users. To facilitate these applications we develop an algorithm that extracts figures, tables, and captions from documents called 'PDFFigures 2.0.' Our proposed approach analyzes the structure of individual pages by detecting captions, graphical elements, and chunks of body text, and then locates figures and tables by reasoning about the empty regions within that text. To evaluate our work, we introduce a new dataset of computer science papers, along with ground truth labels for the locations of the figures, tables, and captions within them. Our algorithm achieves impressive results (94% precision at 90% recall) on this dataset surpassing previous state of the art. Further, we show how our framework was used to extract figures from a corpus of over one million papers, and how the resulting extractions were integrated into the user interface of a smart academic search engine, Semantic Scholar (www.semanticscholar.org). Finally, we present results of exploratory data analysis completed on the extracted figures as well as an extension of our method for the task of section title extraction. We release our dataset and code on our project webpage for enabling future research (http://pdffigures2.allenai.org). © 2016 ACM.</t>
  </si>
  <si>
    <t>Cited by: 66</t>
  </si>
  <si>
    <t>Ernst NA,Bellomo S,Ozkaya I,Nord RL,Gorton I</t>
  </si>
  <si>
    <t>Measure it? Manage it? Ignore it? Software practitioners and technical debt</t>
  </si>
  <si>
    <t>50 – 60</t>
  </si>
  <si>
    <t>https://www.scopus.com/inward/record.uri?eid=2-s2.0-84960421324&amp;doi=10.1145%2f2786805.2786848&amp;partnerID=40&amp;md5=fb086ca8c559aa7ca2e20e0bd421c154;http://dx.doi.org/10.1145/2786805.2786848</t>
  </si>
  <si>
    <t>10.1145/2786805.2786848</t>
  </si>
  <si>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 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 Tails. We use our results to motivate a technical debt time- line to focus management and tooling approaches. © 2015 ACM.</t>
  </si>
  <si>
    <t>Cited by: 155</t>
  </si>
  <si>
    <t>Abad ZS,Shymka A,Pant S,Currie A,Ruhe G</t>
  </si>
  <si>
    <t>What are practitioners asking about requirements engineering? An exploratory analysis of social Q&amp;A sites</t>
  </si>
  <si>
    <t>334 – 343</t>
  </si>
  <si>
    <t>https://www.scopus.com/inward/record.uri?eid=2-s2.0-85013104749&amp;doi=10.1109%2fREW.2016.46&amp;partnerID=40&amp;md5=5355ed17d60270738edb09f2c591cfba;http://dx.doi.org/10.1109/REW.2016.46</t>
  </si>
  <si>
    <t>10.1109/REW.2016.46</t>
  </si>
  <si>
    <t>Requirements Engineering (RE) and all its underlying activities, such as requirements identification, evolution, validation, communication, and management, are still the key factors in successful product development. Therefore, proper implementation of this process is necessary to obtain a quality product. A better understanding of the most challenging RE-related topics for practitioners will greatly help to identify the areas of RE that may require extra attention by researchers and project managers. However, there has been very little experimental work towards identifying a practitioner's needs on the implementation and understanding of RE activities and tasks. Therefore, in this paper, we use data from popular social Q&amp;A sites (i.e. Stack Overflow, Programmers Stack Exchange, Project Management Stack Exchange, and Quora), and analyze 4,553 questions and answers to examine what requirements engineers' needs are and what they ask about. To this end, we applied Latent Dirichlet Allocation-based (LDA) topic models and statistical analysis to explore the main related topics to RE. Our findings show that software practitioners are asking about requirements communication, evolution, validation, and modelling. Furthermore, we determined common RE challenges and issues, identified the main types of questions practitioners ask (i.e. what, how, why, when, where, and RE domain), and categorized these questions based on various aspects of software products (e.g. functionality, quality, and release planning). Our findings help highlight the challenges facing requirements engineers that require more attention from the software engineering - specifically requirements and product engineering - research communities in the future and establish a novel approach for analyzing the content of social Q&amp;A websites. © 2016 IEEE.</t>
  </si>
  <si>
    <t>Burton S,Gauerhof L,Heinzemann C</t>
  </si>
  <si>
    <t>Making the case for safety of machine learning in highly automated driving</t>
  </si>
  <si>
    <t>10489 LNCS</t>
  </si>
  <si>
    <t>5 – 16</t>
  </si>
  <si>
    <t>https://www.scopus.com/inward/record.uri?eid=2-s2.0-85029515113&amp;doi=10.1007%2f978-3-319-66284-8_1&amp;partnerID=40&amp;md5=32d5292a0e6d26b3a4fb181066229bd3;http://dx.doi.org/10.1007/978-3-319-66284-8_1</t>
  </si>
  <si>
    <t>10.1007/978-3-319-66284-8_1</t>
  </si>
  <si>
    <t>This paper describes the challenges involved in arguing the safety of highly automated driving functions which make use of machine learning techniques. An assurance case structure is used to highlight the systems engineering and validation considerations when applying machine learning methods for highly automated driving. Particular focus is placed on addressing functional insufficiencies in the perception functions based on convolutional neural networks and possible types of evidence that can be used to mitigate against such risks. © Springer International Publishing AG 2017.</t>
  </si>
  <si>
    <t>Cited by: 77</t>
  </si>
  <si>
    <t>Cavalcanti YC,Da Mota Silveira Neto PA,Machado IC,Vale TF,De Almeida ES,Meira SR</t>
  </si>
  <si>
    <t>Challenges and opportunities for software change request repositories: A systematic mapping study</t>
  </si>
  <si>
    <t>620 – 653</t>
  </si>
  <si>
    <t>https://www.scopus.com/inward/record.uri?eid=2-s2.0-84904626790&amp;doi=10.1002%2fsmr.1639&amp;partnerID=40&amp;md5=669ee13b2e7dc7b4bb3b934501674ad7;http://dx.doi.org/10.1002/smr.1639</t>
  </si>
  <si>
    <t>10.1002/smr.1639</t>
  </si>
  <si>
    <t>Software maintenance starts as soon as the first artifacts are delivered and is essential for the success of the software. However, keeping maintenance activities and their related artifacts on track comes at a high cost. In this respect, change request (CR) repositories are fundamental in software maintenance. They facilitate the management of CRs and are also the central point to coordinate activities and communication among stakeholders. However, the benefits of CR repositories do not come without issues, and commonly occurring ones should be dealt with, such as the following: duplicate CRs, the large number of CRs to assign, or poorly described CRs. Such issues have led researchers to an increased interest in investigating CR repositories, by considering different aspects of software development and CR management. In this paper, we performed a systematic mapping study to characterize this research field. We analyzed 142 studies, which we classified in two ways. First, we classified the studies into different topics and grouped them into two dimensions: challenges and opportunities. Second, the challenge topics were classified in accordance with an existing taxonomy for information retrieval models. In addition, we investigated tools and services for CR management, to understand whether and how they addressed the topics identified. Copyright © 2013 John Wiley &amp; Sons, Ltd. Change request repositories are fundamental for software maintenance. However, their benefits do not come without issues. We analyzed 142 studies to characterize the research on these issues and provide directions for future investigation. The studies were classified into topics and grouped into two dimensions: challenges and opportunities. Then, the challenges were classified in accordance with an existing taxonomy for information retrieval models. Additionally, we investigated different change request repositories to understand whether and how they addressed the topics identified. Copyright © 2013 John Wiley &amp; Sons, Ltd.</t>
  </si>
  <si>
    <t>Hozano M,Garcia A,Fonseca B,Costa E</t>
  </si>
  <si>
    <t>Are you smelling it? Investigating how similar developers detect code smells</t>
  </si>
  <si>
    <t>130 – 146</t>
  </si>
  <si>
    <t>https://www.scopus.com/inward/record.uri?eid=2-s2.0-85029407321&amp;doi=10.1016%2fj.infsof.2017.09.002&amp;partnerID=40&amp;md5=23f8be5aca5b325a3bf15eff80767dcb;http://dx.doi.org/10.1016/j.infsof.2017.09.002</t>
  </si>
  <si>
    <t>10.1016/j.infsof.2017.09.002</t>
  </si>
  <si>
    <t>Context A code smell indicates a poor implementation choice that often worsens software quality. Thus, code smell detection is an elementary technique to identify refactoring opportunities in software systems. Unfortunately, there is limited knowledge on how similar two or more developers detect smells in code. In particular, few studies have investigated if developers agree or disagree when recognizing a smell and which factors can influence on such (dis)agreement. Objective We perform a broader study to investigate how similar the developers detect code smells. We also analyze whether certain factors related to the developers’ profiles concerning background and experience may influence such (dis)agreement. Moreover, we analyze if the heuristics adopted by developers on detecting code smells may influence on their (dis)agreement. Method We conducted an empirical study with 75 developers who evaluated instances of 15 different code smell types. For each smell type, we analyzed the agreement among the developers and we assessed the influence of 6 different factors on the developers’ evaluations. Altogether more than 2700 evaluations were collected, resulting in substantial quantitative and qualitative analyses. Results The results indicate that the developers presented a low agreement on detecting all 15 smell types analyzed in our study. The results also suggest that factors related to background and experience did not have a consistent influence on the agreement among the developers. On the other hand, the results show that the agreement was consistently influenced by specific heuristics employed by developers. Conclusions Our findings reveal that the developers detect code smells in significantly different ways. As a consequence, these findings introduce some questions concerning the results of previous studies that did not consider the different perceptions of developers on detecting code smells. Moreover, our findings shed light towards improving state-of-the-art techniques for accurate, customized detection of code smells. © 2017 Elsevier B.V.</t>
  </si>
  <si>
    <t>Sankaran A,Aralikatte R,Mani S,Khare S,Panwar N,Gantayat N</t>
  </si>
  <si>
    <t>DARVIZ: Deep abstract representation, visualization, and verification of deep learning models</t>
  </si>
  <si>
    <t>47 – 50</t>
  </si>
  <si>
    <t>https://www.scopus.com/inward/record.uri?eid=2-s2.0-85026730806&amp;doi=10.1109%2fICSE-NIER.2017.13&amp;partnerID=40&amp;md5=8b7d2a471beccbb90ba2ad78df2425a8;http://dx.doi.org/10.1109/ICSE-NIER.2017.13</t>
  </si>
  <si>
    <t>10.1109/ICSE-NIER.2017.13</t>
  </si>
  <si>
    <t>Traditional software engineering programming paradigms are mostly object or procedure oriented, driven by deterministic algorithms. With the advent of deep learning and cognitive sciences there is an emerging trend for data-driven programming, creating a shift in the programming paradigm among the software engineering communities. Visualizing and interpreting the execution of a current large scale data-driven software development is challenging. Further, for deep learning development there are many libraries in multiple programming languages such as TensorFlow (Python), CAFFE (C++), Theano (Python), Torch (Lua), and Deeplearning4j (Java), driving a huge need for interoperability across libraries. We propose a model driven development based solution framework, that facilitates intuitive designing of deep learning models in a platform agnostic fashion. This framework could potentially generate library specific code, perform program translation across languages, and debug the training process of a deep learning model from a fault localization and repair perspective. Further we identify open research problems in this emerging domain, and discuss some new software tooling requirements to serve this new age data-driven programming paradigm. © 2017 IEEE.</t>
  </si>
  <si>
    <t>Sparks ER,Venkataraman S,Kaftan T,Franklin MJ,Recht B</t>
  </si>
  <si>
    <t>Keystone ML: Optimizing pipelines for large-scale advanced analytics</t>
  </si>
  <si>
    <t>535 – 546</t>
  </si>
  <si>
    <t>1084-4627</t>
  </si>
  <si>
    <t>https://www.scopus.com/inward/record.uri?eid=2-s2.0-85021234082&amp;doi=10.1109%2fICDE.2017.109&amp;partnerID=40&amp;md5=1e7891b987436b8db39d3d8fb42b9c70;http://dx.doi.org/10.1109/ICDE.2017.109</t>
  </si>
  <si>
    <t>10.1109/ICDE.2017.109</t>
  </si>
  <si>
    <t>Modern advanced analytics applications make use of machine learning techniques and contain multiple steps of domain-specific and general-purpose processing with high resource requirements. We present KeystoneML, a system that captures and optimizes the end-To-end large-scale machine learning applications for high-Throughput training in a distributed environment with a high-level API. This approach offers increased ease of use and higher performance over existing systems for large scale learning. We demonstrate the effectiveness of KeystoneML in achieving high quality statistical accuracy and scalable training using real world datasets in several domains. © 2017 IEEE.</t>
  </si>
  <si>
    <t>Cited by: 71; All Open Access, Green Open Access</t>
  </si>
  <si>
    <t>Grosse-Puppendahl T,Holz C,Cohn G,Wimmer R,Bechtold O,Hodges S,Reynolds MS,Smith JR</t>
  </si>
  <si>
    <t>Finding common ground: A survey of capacitive sensing in human-computer interaction</t>
  </si>
  <si>
    <t>3293 – 3316</t>
  </si>
  <si>
    <t>https://www.scopus.com/inward/record.uri?eid=2-s2.0-85029294314&amp;doi=10.1145%2f3025453.3025808&amp;partnerID=40&amp;md5=6b6f18103bfea70467cb27429216107e;http://dx.doi.org/10.1145/3025453.3025808</t>
  </si>
  <si>
    <t>10.1145/3025453.3025808</t>
  </si>
  <si>
    <t>For more than two decades, capacitive sensing has played a prominent role in human-computer interaction research. Capacitive sensing has become ubiquitous on mobile, wearable, and stationary devices - enabling fundamentally new interaction techniques on, above, and around them. The research community has also enabled human position estimation and whole-body gestural interaction in instrumented environments. However, the broad field of capacitive sensing research has become fragmented by different approaches and terminology used across the various domains. This paper strives to unify the field by advocating consistent terminology and proposing a new taxonomy to classify capacitive sensing approaches. Our extensive survey provides an analysis and review of past research and identifies challenges for future work. We aim to create a common understanding within the field of human-computer interaction, for researchers and practitioners alike, and to stimulate and facilitate future research in capacitive sensing. © 2017 ACM.</t>
  </si>
  <si>
    <t>Cited by: 111; All Open Access, Green Open Access</t>
  </si>
  <si>
    <t>Tsuda N,Washizaki H,Fukazawa Y,Yasuda Y,Sugimura S</t>
  </si>
  <si>
    <t>Machine learning to evaluate evolvability defects: Code metrics thresholds for a given context</t>
  </si>
  <si>
    <t>83 – 94</t>
  </si>
  <si>
    <t>https://www.scopus.com/inward/record.uri?eid=2-s2.0-85052334218&amp;doi=10.1109%2fQRS.2018.00022&amp;partnerID=40&amp;md5=23f508f0a35d3d0723c974f99d1a5d48;http://dx.doi.org/10.1109/QRS.2018.00022</t>
  </si>
  <si>
    <t>10.1109/QRS.2018.00022</t>
  </si>
  <si>
    <t>Evolvability defects are non-understandable and non-modifiable states that do not directly produce runtime behavioral failures. Automatic source code evaluation by metrics and thresholds can help reduce the burden of a manual inspection. This study addresses two problems. (1) Evolvability defects are not usually managed in bug tracking systems. (2) Conventional methods cannot fully interpret the relations among the metrics in a given context (e.g., programming language, application domain). The key actions of our method are to (1) gather trainingdata for machine learning by experts' manual inspection of some of the files in given systems (benchmark) and (2) employ a classification-tree learner algorithm, C5.0, which can deal with non-orthogonal relations between metrics. Furthermore, we experimentally confirm that, even with less training-data, our method provides a more precise evaluation than four conventional methods (the percentile, Alves' method, Bender's method, and the ROC curve-based method). © 2018 IEEE.</t>
  </si>
  <si>
    <t>Knauss A,Damian D,Franch X,Rook A,Múller HA,Thomo A</t>
  </si>
  <si>
    <t>Acon: A learning-based approach to deal with uncertainty in contextual requirements at runtime</t>
  </si>
  <si>
    <t>85 – 99</t>
  </si>
  <si>
    <t>https://www.scopus.com/inward/record.uri?eid=2-s2.0-84949443224&amp;doi=10.1016%2fj.infsof.2015.10.001&amp;partnerID=40&amp;md5=5386a36ceb20ab1b93fbb827e474b62a;http://dx.doi.org/10.1016/j.infsof.2015.10.001</t>
  </si>
  <si>
    <t>10.1016/j.infsof.2015.10.001</t>
  </si>
  <si>
    <t>Context: Runtime uncertainty such as unpredictable operational environment and failure of sensors that gather environmental data is a well-known challenge for adaptive systems. Objective: To execute requirements that depend on context correctly, the system needs up-to-date knowledge about the context relevant to such requirements. Techniques to cope with uncertainty in contextual requirements are currently underrepresented. In this paper we present ACon (Adaptation of Contextual requirements), a data-mining approach to deal with runtime uncertainty affecting contextual requirements. Method: ACon uses feedback loops to maintain up-to-date knowledge about contextual requirements based on current context information in which contextual requirements are valid at runtime. Upon detecting that contextual requirements are affected by runtime uncertainty, ACon analyses and mines contextual data, to (re-)operationalize context and therefore update the information about contextual requirements. Results: We evaluate ACon in an empirical study of an activity scheduling system used by a crew of 4 rowers in a wild and unpredictable environment using a complex monitoring infrastructure. Our study focused on evaluating the data mining part of ACon and analysed the sensor data collected onboard from 46 sensors and 90,748 measurements per sensor. Conclusion: ACon is an important step in dealing with uncertainty affecting contextual requirements at runtime while considering end-user interaction. ACon supports systems in analysing the environment to adapt contextual requirements and complements existing requirements monitoring approaches by keeping the requirements monitoring specification up-to-date. Consequently, it avoids manual analysis that is usually costly in today's complex system environments. © 2015 Elsevier B.V. All rights reserved.</t>
  </si>
  <si>
    <t>Fernandes E,Oliveira J,Vale G,Paiva T,Figueiredo E</t>
  </si>
  <si>
    <t>A review-based comparative study of bad smell detection tools</t>
  </si>
  <si>
    <t>01-03-June-2016</t>
  </si>
  <si>
    <t>https://www.scopus.com/inward/record.uri?eid=2-s2.0-84978468668&amp;doi=10.1145%2f2915970.2915984&amp;partnerID=40&amp;md5=66656129f0a56049b884530f9336e2ed;http://dx.doi.org/10.1145/2915970.2915984</t>
  </si>
  <si>
    <t>10.1145/2915970.2915984</t>
  </si>
  <si>
    <t>Bad smells are symptoms that something may be wrong in the system design or code. There are many bad smells defined in the literature and detecting them is far from trivial. Therefore, several tools have been proposed to automate bad smell detection aiming to improve software maintainability. However, we lack a detailed study for summarizing and comparing the wide range of available tools. In this paper, we first present the findings of a systematic literature review of bad smell detection tools. As results of this review, we found 84 tools; 29 of them available online for download. Altogether, these tools aim to detect 61 bad smells by relying on at least six different detection techniques. They also target different programming languages, such as Java, C, C++, and C#. Following up the systematic review, we present a comparative study of four detection tools with respect to two bad smells: Large Class and Long Method. This study relies on two software systems and three metrics for comparison: agreement, recall, and precision. Our findings support that tools provide redundant detection results for the same bad smell. Based on quantitative and qualitative data, we also discuss relevant usability issues and propose guidelines for developers of detection tools. © 2016 ACM.</t>
  </si>
  <si>
    <t>Cited by: 102</t>
  </si>
  <si>
    <t>Araújo CW,Zapalowski V,Nunes I</t>
  </si>
  <si>
    <t>Using code quality features to predict bugs in procedural software systems</t>
  </si>
  <si>
    <t>122 – 131</t>
  </si>
  <si>
    <t>https://www.scopus.com/inward/record.uri?eid=2-s2.0-85055841579&amp;doi=10.1145%2f3266237.3266271&amp;partnerID=40&amp;md5=d0a77956bce2f74082212ed570ec9e70;http://dx.doi.org/10.1145/3266237.3266271</t>
  </si>
  <si>
    <t>10.1145/3266237.3266271</t>
  </si>
  <si>
    <t>A wide range of metrics have been used as features to build bug (or fault) predictors. However, most of the existing predictors focus mostly on object-oriented (OO) systems, either because they rely on OO metrics or were evaluated mainly with OO systems. Procedural software systems (PSS), less addressed in bug prediction research, often suffer from maintainability problems because they typically consist of low-level applications, using for example preprocessors to cope with variability. Previous work evaluated sets of features (composed of static code metrics) proposed in existing approaches in the PSS context. However, explored metrics are limited to those that are part of traditional metric suites, being often associated with structural code properties. A type of information explored to a smaller extent in this context is the output of code quality tools that statically analyse source code, providing hints of code problems. In this paper, we investigate the use of information collected from quality tools to build bug predictors dedicated to PSS. We specify four features derived from code quality tools or associated with poor programming practices and evaluate the effectiveness of these features. Our evaluation shows that our proposed features improve bug predictors in our investigated context. © 2018 Association for Computing Machinery.</t>
  </si>
  <si>
    <t>A survey and taxonomy of self-aware and self-adaptive cloud autoscaling systems</t>
  </si>
  <si>
    <t>ACM Computing Surveys</t>
  </si>
  <si>
    <t>0360-0300</t>
  </si>
  <si>
    <t>https://www.scopus.com/inward/record.uri?eid=2-s2.0-85047325550&amp;doi=10.1145%2f3190507&amp;partnerID=40&amp;md5=2fdd4ae61cb25dd5f7421228ce8cbc2c;http://dx.doi.org/10.1145/3190507</t>
  </si>
  <si>
    <t>10.1145/3190507</t>
  </si>
  <si>
    <t>Autoscaling system can reconfigure cloud-based services and applications, through various configurations of cloud software and provisions of hardware resources, to adapt to the changing environment at runtime. Such a behavior offers the foundation for achieving elasticity in a modern cloud computing paradigm. Given the dynamic and uncertain nature of the shared cloud infrastructure, the cloud autoscaling system has been engineered as one of the most complex, sophisticated, and intelligent artifacts created by humans, aiming to achieve self-aware, self-adaptive, and dependable runtime scaling. Yet the existing Self-aware and Selfadaptive Cloud Autoscaling System (SSCAS) is not at a state where it can be reliably exploited in the cloud. In this article, we survey the state-of-the-art research studies on SSCAS and provide a comprehensive taxonomy for this field. We present detailed analysis of the results and provide insights on open challenges, as well as the promising directions that are worth investigated in the future work of this area of research. Our survey and taxonomy contribute to the fundamentals of engineering more intelligent autoscaling systems in the cloud. © 2018 ACM.</t>
  </si>
  <si>
    <t>Cited by: 54; All Open Access, Bronze Open Access, Green Open Access</t>
  </si>
  <si>
    <t>Känsälä K,Rantala S,Kauppila O,Leviäkangas P</t>
  </si>
  <si>
    <t>Acceleration sensor technology for rail track asset condition monitoring</t>
  </si>
  <si>
    <t>Proceedings of Institution of Civil Engineers: Management, Procurement and Law</t>
  </si>
  <si>
    <t>32 – 40</t>
  </si>
  <si>
    <t>ICE Publishing</t>
  </si>
  <si>
    <t>1751-4304</t>
  </si>
  <si>
    <t>https://www.scopus.com/inward/record.uri?eid=2-s2.0-85042186206&amp;doi=10.1680%2fjmapl.17.00040&amp;partnerID=40&amp;md5=4a426a7fec4fc7a4b3d1200face6faf7;http://dx.doi.org/10.1680/jmapl.17.00040</t>
  </si>
  <si>
    <t>10.1680/jmapl.17.00040</t>
  </si>
  <si>
    <t>In the rail traffic industry, the utilisation of inexpensive real-time sensors and the industrial internet of things for proactive asset management is a relatively new concept with great potential. As railways are one of the longest-lasting infrastructure assets, even marginal efficiency and cost gains have a significant impact on the life-cycle cost. This paper shows how wireless three-dimensional acceleration sensor technology can be applied to monitor track condition. The data collection was carried out in October 2016 on a railway line operated by Finnish Railways. In the test, a sensor was attached to a train unit and the acceleration of the train on a track segment was repeatedly measured at variable speeds. The collected data set was enhanced using map-matching and Bayesian filtering in order to improve the Global Positioning System location accuracy of the data. The filtered acceleration signals were analysed, and detected anomalies were compared against known parameters such as bridges and switches. The results of the testing support the feasibility of the concept. Finally, the implications of the concept regarding proactive asset management of track networks and statistical process control-based monitoring of tracks’ condition are discussed.</t>
  </si>
  <si>
    <t>Bertero C,Roy M,Sauvanaud C,Tredan G</t>
  </si>
  <si>
    <t>Experience Report: Log Mining Using Natural Language Processing and Application to Anomaly Detection</t>
  </si>
  <si>
    <t>351 – 360</t>
  </si>
  <si>
    <t>https://www.scopus.com/inward/record.uri?eid=2-s2.0-85040782895&amp;doi=10.1109%2fISSRE.2017.43&amp;partnerID=40&amp;md5=56b04acac5fa471e025030e5aa70d5fb;http://dx.doi.org/10.1109/ISSRE.2017.43</t>
  </si>
  <si>
    <t>10.1109/ISSRE.2017.43</t>
  </si>
  <si>
    <t>Event logging is a key source of information on a system state. Reading logs provides insights on its activity, assess its correct state and allows to diagnose problems. However, reading does not scale: With the number of machines increasingly rising, and the complexification of systems, the task of auditing systems' health based on logfiles is becoming overwhelming for system administrators. This observation led to many proposals automating the processing of logs. However, most of these proposal still require some human intervention, for instance by tagging logs, parsing the source files generating the logs, etc.In this work, we target minimal human intervention for logfile processing and propose a new approach that considers logs as regular text (as opposed to related works that seek to exploit at best the little structure imposed by log formatting). This approach allows to leverage modern techniques from natural language processing. More specifically, we first apply a word embedding technique based on Google's word2vec algorithm: Logfiles' words are mapped to a high dimensional metric space, that we then exploit as a feature space using standard classifiers. The resulting pipeline is very generic, computationally efficient, and requires very little intervention.We validate our approach by seeking stress patterns on an experimental platform. Results show a strong predictive performance (2248; 90% accuracy) using three out-of-the-box classifiers. © 2017 IEEE.</t>
  </si>
  <si>
    <t>Cited by: 88; All Open Access, Green Open Access</t>
  </si>
  <si>
    <t>Tollin I,Fontana FA,Zanoni M,Roveda R</t>
  </si>
  <si>
    <t>Change prediction through coding rules violations</t>
  </si>
  <si>
    <t>Part F128635</t>
  </si>
  <si>
    <t>61 – 64</t>
  </si>
  <si>
    <t>https://www.scopus.com/inward/record.uri?eid=2-s2.0-85025438293&amp;doi=10.1145%2f3084226.3084282&amp;partnerID=40&amp;md5=a13a37742187b19da2199c036aa492eb;http://dx.doi.org/10.1145/3084226.3084282</t>
  </si>
  <si>
    <t>10.1145/3084226.3084282</t>
  </si>
  <si>
    <t>Static source code analysis is an increasingly important activity to manage software project quality, and is often found as a part of the development process. A widely adopted way of checking code quality is through the detection of violations to specific sets of rules addressing good programming practices. SonarQube is a platform able to detect these violations, called Issues. In this paper we described an empirical study performend on two industrial projects, where we used Issues extracted on different versions of the projects to predict changes in code through a set of machine learning models. We achieved good detection performances, especially when predicting changes in the next version. This result paves the way for future investigations of the interest in an industrial setting towards the prioritization of Issues management according to their impact on change-proneness. © 2017 Copyright held by the owner/author(s).</t>
  </si>
  <si>
    <t>Falessi D,Russo B,Mullen K</t>
  </si>
  <si>
    <t>What if i Had No Smells?</t>
  </si>
  <si>
    <t>2017-Noember</t>
  </si>
  <si>
    <t>78 – 84</t>
  </si>
  <si>
    <t>https://www.scopus.com/inward/record.uri?eid=2-s2.0-85042350972&amp;doi=10.1109%2fESEM.2017.14&amp;partnerID=40&amp;md5=38b9fedcca05dc49202420a20b3f91e0;http://dx.doi.org/10.1109/ESEM.2017.14</t>
  </si>
  <si>
    <t>10.1109/ESEM.2017.14</t>
  </si>
  <si>
    <t>What would have happened if I did not have any code smell? This is an interesting question that no previous study, to the best of our knowledge, has tried to answer. In this paper, we present a method for implementing a what-if scenario analysis estimating the number of defective files in the absence of smells. Our industrial case study shows that 20% of the total defective files were likely avoidable by avoiding smells. Such estimation needs to be used with the due care though as it is based on a hypothetical history (i.e., zero number of smells and same process and product change characteristics). Specifically, the number of defective files could even increase for some types of smells. In addition, we note that in some circumstances, accepting code with smells might still be a good option for a company. © 2017 IEEE.</t>
  </si>
  <si>
    <t>Anil R,Pereyra G,Passos A,Ormandi R,Dahl GE,Hinton GE</t>
  </si>
  <si>
    <t>Large scale distributed neural network training through online distillation</t>
  </si>
  <si>
    <t>International Conference on Learning Representations, ICLR</t>
  </si>
  <si>
    <t>https://www.scopus.com/inward/record.uri?eid=2-s2.0-85083954471&amp;partnerID=40&amp;md5=446c71b9443bcdefa6ad28aa652b3d0d</t>
  </si>
  <si>
    <t>Techniques such as ensembling and distillation promise model quality improvements when paired with almost any base model. However, due to increased test-time cost (for ensembles) and increased complexity of the training pipeline (for distillation), these techniques are challenging to use in industrial settings. In this paper we explore a variant of distillation which is relatively straightforward to use as it does not require a complicated multi-stage setup or many new hyperparameters. Our first claim is that online distillation enables us to use extra parallelism to fit very large datasets about twice as fast. Crucially, we can still speed up training even after we have already reached the point at which additional parallelism provides no benefit for synchronous or asynchronous stochastic gradient descent. Two neural networks trained on disjoint subsets of the data can share knowledge by encouraging each model to agree with the predictions the other model would have made. These predictions can come from a stale version of the other model so they can be safely computed using weights that only rarely get transmitted. Our second claim is that online distillation is a cost-effective way to make the exact predictions of a model dramatically more reproducible. We support our claims using experiments on the Criteo Display Ad Challenge dataset, ImageNet, and the largest to-date dataset used for neural language modeling, containing 6 × 1011 tokens and based on the Common Crawl repository of web data. © Learning Representations, ICLR 2018 - Conference Track Proceedings.All right reserved.</t>
  </si>
  <si>
    <t>Cited by: 167</t>
  </si>
  <si>
    <t>Staron M,Meding W</t>
  </si>
  <si>
    <t>Software development measurement programs: Development, management and evolution</t>
  </si>
  <si>
    <t>Springer International Publishing</t>
  </si>
  <si>
    <t>https://www.scopus.com/inward/record.uri?eid=2-s2.0-85060056515&amp;doi=10.1007%2f978-3-319-91836-5&amp;partnerID=40&amp;md5=2989aeba549e92a0f3eda6862bc9d072;http://dx.doi.org/10.1007/978-3-319-91836-5</t>
  </si>
  <si>
    <t>10.1007/978-3-319-91836-5</t>
  </si>
  <si>
    <t>This book seeks to promote the structured, standardized and accurate use of software measurement at all levels of modern software development companies. To do so, it focuses on seven main aspects: Sound scientific foundations, cost-efficiency, standardization, value-maximization, flexibility, combining organizational and technical aspects, and seamless technology integration. Further, it supports companies in their journey from manual reporting to automated decision support by combining academic research and industrial practice. When scientists and engineers measure something, they tend to focus on two different things. Scientists focus on the ability of the measurement to quantify whatever is being measured; engineers, however, focus on finding the right qualities of measurement given the designed system (e.g. correctness), the system’s quality of use (e.g. ease of use), and the efficiency of the measurement process. In this book, the authors argue that both focuses are necessary, and that the two are complementary. Thus, the book is organized as a gradual progression from theories of measurement (yes, you need theories to be successful!) to practical, organizational aspects of maintaining measurement systems (yes, you need the practical side to understand how to be successful). The authors of this book come from academia and industry, where they worked together for the past twelve years. They have worked with both small and large software development organizations, as researchers and as measurement engineers, measurement program leaders and even teachers. They wrote this book to help readers define, implement, deploy and maintain company-wide measurement programs, which consist of a set of measures, indicators and roles that are built around the concept of measurement systems. Based on their experiences introducing over 40,000 measurement systems at over a dozen companies, they share essential tips and tricks on how to do it right and how to avoid common pitfalls. © Springer International Publishing AG, part of Springer Nature 2018.</t>
  </si>
  <si>
    <t>1 – 258</t>
  </si>
  <si>
    <t>Tsai YM,Luszczek P,Kurzak J,Dongarra J</t>
  </si>
  <si>
    <t>Performance-portable autotuning of OpenCL kernels for convolutional layers of deep neural networks</t>
  </si>
  <si>
    <t>9 – 18</t>
  </si>
  <si>
    <t>https://www.scopus.com/inward/record.uri?eid=2-s2.0-85015243309&amp;doi=10.1109%2fMLHPC.2016.5&amp;partnerID=40&amp;md5=53b01289abb7fa59831d4d91be1eef23;http://dx.doi.org/10.1109/MLHPC.2016.5</t>
  </si>
  <si>
    <t>10.1109/MLHPC.2016.5</t>
  </si>
  <si>
    <t>We present a portable and highly-optimized Deep Neural Network (DNN) algorithm and its implementation techniques. Our approach is a novel combination of existing HPC techniques that methodically applies autotuning as well as data layout and low-level optimizations that achieve performance matching and/or exceeding what is possible with either reverse engineering and manual assembly coding or proprietary vendor libraries. The former was done inside the maxDNN implementation and the latter is represented by cuDNN. Our work may be directly applied to the most time consuming part of DNN workflow, namely the training process which often needs a restart when it stagnates due to, for example, diminishing gradients and getting stuck in local minima. With the result of performance tests on a consumer-grade GPU with the latest High Bandwidth Memory (HBM) stack, our methodology can match a server grade hardware at a fraction of the price. Another tuning sweep on a new GPU architecture from a different vendor also attests to the portability of our approach and the quality of our implementation. © 2016 IEEE.</t>
  </si>
  <si>
    <t>Chen Q,Bao L,Li L,Xia X,Cai L</t>
  </si>
  <si>
    <t>Categorizing and Predicting Invalid Vulnerabilities on Common Vulnerabilities and Exposures</t>
  </si>
  <si>
    <t>345 – 354</t>
  </si>
  <si>
    <t>https://www.scopus.com/inward/record.uri?eid=2-s2.0-85066781873&amp;doi=10.1109%2fAPSEC.2018.00049&amp;partnerID=40&amp;md5=84a850623f59387322cab3f4d7430dac;http://dx.doi.org/10.1109/APSEC.2018.00049</t>
  </si>
  <si>
    <t>10.1109/APSEC.2018.00049</t>
  </si>
  <si>
    <t>To share vulnerability information across separate databases, tools, and services, newly identified vulnerabilities are recurrently reported to Common Vulnerabilities and Exposures (CVE) database.Unfortunately, not all vulnerability reports will be accepted. Some of them might get rejected or be accepted with disputations.In this work, we refer to those rejected or disputed CVEs as invalid vulnerability reports. Invalid vulnerability reports not only cause unnecessary efforts to confirm the vulnerability but also impact the reputation of the software vendors. In this paper, we aim to understand the root causes of invalid vulnerability reports and build a prediction model to automatically identify them.To this end, we first leverage card sorting to categorize invalid vulnerability reports, from which six main reasons are observed for rejected and disputed CVEs, respectively.Then, we propose a text mining approach to predict the invalid vulnerability reports. Our experiments reveal that the proposed text mining approach can achieve an AUC score of 0.87 for predicting invalid vulnerabilities. We also discuss the implications of our study: our categorization can be used to guide new committer to avoid these traps; some root causes of invalid CVEs can be avoided by using automatic techniques or optimizing reviewing mechanism; invalid vulnerability reports data should not be neglected. © 2018 IEEE.</t>
  </si>
  <si>
    <t>Maro S,Steghöfer JP,Staron M</t>
  </si>
  <si>
    <t>Software traceability in the automotive domain: Challenges and solutions</t>
  </si>
  <si>
    <t>85 – 110</t>
  </si>
  <si>
    <t>https://www.scopus.com/inward/record.uri?eid=2-s2.0-85045187448&amp;doi=10.1016%2fj.jss.2018.03.060&amp;partnerID=40&amp;md5=453e2dd25ab1b7a993df68baef20c80b;http://dx.doi.org/10.1016/j.jss.2018.03.060</t>
  </si>
  <si>
    <t>10.1016/j.jss.2018.03.060</t>
  </si>
  <si>
    <t>In the automotive domain, the development of all safety-critical systems has to comply with safety standards such as ISO 26262. These standards require established traceability, the ability to relate artifacts created during development of a system, to ensure resulting systems are well-tested and therefore safe. This paper contrasts general traceability challenges and solutions with those specific to the automotive domain, and investigates how they manifest in practice. We combine three data sources: a tertiary literature review to identify general challenges and solutions; a case study with an automotive supplier as validation for how the challenges and solutions are experienced in practice; and a multi-vocal literature review to identify challenges and solutions specific to the automotive domain. We found 22 challenges and 16 unique solutions in the reviews. 17 challenges were identified in the case study; six remain unsolved. We discuss challenges and solutions from the perspectives of academia, tool vendors, consultants and users, and identify differences between scientific and “grey” literature. We discuss why challenges remain unsolved and propose solutions. Our findings indicate that there is a significant overlap between general traceability challenges and those in the automotive domain but that they are experienced differently. © 2018 Elsevier Inc.</t>
  </si>
  <si>
    <t>Cited by: 31</t>
  </si>
  <si>
    <t>Siva Kumar RS,Wicker A,Swann M</t>
  </si>
  <si>
    <t>Practical machine learning for cloud intrusion detection challenges and the way forward</t>
  </si>
  <si>
    <t>https://www.scopus.com/inward/record.uri?eid=2-s2.0-85037371130&amp;doi=10.1145%2f3128572.3140445&amp;partnerID=40&amp;md5=c6eda95cfe08816b6178fe6e7bec7716;http://dx.doi.org/10.1145/3128572.3140445</t>
  </si>
  <si>
    <t>10.1145/3128572.3140445</t>
  </si>
  <si>
    <t>Operationalizing machine learning based security detections is extremely challenging, especially in a continuously evolving cloud environment. Conventional anomaly detection does not produce satisfactory results for analysts that are investigating security incidents in the cloud. Model evaluation alone presents its own set of problems due to a lack of benchmark datasets. When deploying these detections, we must deal with model compliance, localization, and data silo issues, among many others. We pose the problem of attack disruption as a way forward in the security data science space. In this paper, we describe the framework, challenges, and open questions surrounding the successful operationalization of machine learning based security detections in a cloud environment and provide some insights on how we have addressed them. © 2017 Copyright held by the owner/author(s).</t>
  </si>
  <si>
    <t>Cited by: 20</t>
  </si>
  <si>
    <t>Hozano M,Garcia A,Antunes N,Fonseca B,Costa E</t>
  </si>
  <si>
    <t>Smells Are Sensitive to Developers! on the Efficiency of (Un)Guided Customized Detection</t>
  </si>
  <si>
    <t>110 – 120</t>
  </si>
  <si>
    <t>https://www.scopus.com/inward/record.uri?eid=2-s2.0-85025124144&amp;doi=10.1109%2fICPC.2017.32&amp;partnerID=40&amp;md5=255ec184eb1e7d10028106b58864f2ff;http://dx.doi.org/10.1109/ICPC.2017.32</t>
  </si>
  <si>
    <t>10.1109/ICPC.2017.32</t>
  </si>
  <si>
    <t>Code smells indicate poor implementation choices that may hinder program comprehension and maintenance. Their informal definition allows developers to follow different heuristics to detect smells in their projects. Machine learning has been used to customize smell detection according to the developer's perception. However, such customization is not guided (i.e. constrained) to consider alternative heuristics used by developers when detecting smells. As a result, their customization might not be efficient, requiring a considerable effort to reach high effectiveness. In fact, there is no empirical knowledge yet about the efficiency of such unguided approaches for supporting developer-sensitive smell detection. This paper presents Histrategy, a guided customization technique to improve the efficiency on smell detection. Histrategy considers a limited set of detection strategies, produced from different detection heuristics, as input of a customization process. The output of the customization process consists of a detection strategy tailored to each developer. The technique was evaluated in an experimental study with 48 developers and four types of code smells. The results showed that Histrategy is able to outperform six widely adopted machine learning algorithms - used in unguided approaches - both in effectiveness and efficiency. It was also confirmed that most developers benefit from using alternative heuristics to: (i) build their tailored detection strategies, and (ii) achieve efficient smell detection. © 2017 IEEE.</t>
  </si>
  <si>
    <t>Mensah S,Keung J,Bosu MF,Bennin KE</t>
  </si>
  <si>
    <t>Rework effort estimation of self-admitted technical debt</t>
  </si>
  <si>
    <t>72 – 75</t>
  </si>
  <si>
    <t>https://www.scopus.com/inward/record.uri?eid=2-s2.0-85009513487&amp;partnerID=40&amp;md5=10de414f1ac383281bd9932dc8e1f757</t>
  </si>
  <si>
    <t>Programmers sometimes leave incomplete, temporary workarounds and buggy codes that require rework. This phenomenon in software development is referred to as Self-admitted Technical Debt (SATD). The challenge therefore is for software engineering researchers and practitioners to resolve the SATD problem to improve the software quality. We performed an exploratory study using a text mining approach to extract SATD from developers' source code comments and implement an effort metric to compute the rework effort that might be needed to resolve the SATD problem. The result of this study confirms the result of a prior study that found design debt to be the most predominant class of SATD. Results from this study also indicate that a significant amount of rework effort of between 13 and 32 commented LOC on average per SATD prone source file is required to resolve the SATD challenge across all the four projects considered. The text mining approach incorporated into the rework effort metric will speed up the extraction and analysis of SATD that are generated during software projects. It will also aid in managerial decisions of whether to handle SATD as part of on-going project development or defer it to the maintenance phase. © 2016, CEUR-WS. All rights reserved.</t>
  </si>
  <si>
    <t>Lecuyer M,Lockerman J,Nelson L,Sen S,Sharma A,Slivkins A</t>
  </si>
  <si>
    <t>Harvesting randomness to optimize distributed systems</t>
  </si>
  <si>
    <t>178 – 184</t>
  </si>
  <si>
    <t>https://www.scopus.com/inward/record.uri?eid=2-s2.0-85041192388&amp;doi=10.1145%2f3152434.3152435&amp;partnerID=40&amp;md5=daf459839c3d00af85fa9318af5ebab2;http://dx.doi.org/10.1145/3152434.3152435</t>
  </si>
  <si>
    <t>10.1145/3152434.3152435</t>
  </si>
  <si>
    <t>We view randomization through the lens of statistical machine learning: as a powerful resource for offline optimization. Cloud systems make randomized decisions all the time (e.g., in load balancing), yet this randomness is rarely used for optimization after-the-fact. By casting system decisions in the framework of reinforcement learning, we show how to collect data from existing systems, without modifying them, to evaluate new policies, without deploying them. Our methodology, called harvesting randomness, has the potential to accurately estimate a policy's performance without the risk or cost of deploying it on live traffic. We quantify this optimization power and apply it to a real machine health scenario in Azure Compute. We also apply it to two prototyped scenarios, for load balancing (Nginx) and caching (Redis), with much less success, and use them to identify the systems and machine learning challenges to achieving our goal. Our long-term agenda is to harvest the randomness in distributed systems to develop non-invasive and efficient techniques for optimizing them. Like CPU cycles and bandwidth, we view randomness as a valuable resource being wasted by the cloud, and we seek to remedy this. © 2017 Copyright held by the owner/author(s).</t>
  </si>
  <si>
    <t>Oizumi W,Garcia A,Da Silva Sousa L,Cafeo B,Zhao Y</t>
  </si>
  <si>
    <t>Code anomalies flock together</t>
  </si>
  <si>
    <t>14-22-May-2016</t>
  </si>
  <si>
    <t>440 – 451</t>
  </si>
  <si>
    <t>https://www.scopus.com/inward/record.uri?eid=2-s2.0-84971476736&amp;doi=10.1145%2f2884781.2884868&amp;partnerID=40&amp;md5=03e5793c8326bf6cab19f855de7d35af;http://dx.doi.org/10.1145/2884781.2884868</t>
  </si>
  <si>
    <t>10.1145/2884781.2884868</t>
  </si>
  <si>
    <t>Design problems affect every software system. Diverse software systems have been discontinued or reengineered due to design problems. As design documentation is often informal or nonexistent, design problems need to be located in the source code. The main difficulty to identify a design problem in the implementation stems from the fact that such problem is often scattered through several program elements. Previous work assumed that code anomalies-popularly known as code smells-may provide sufficient hints about the location of a design problem. However, each code anomaly alone may represent only a partial embodiment of a design problem. In this paper, we hypothesize that code anomalies tend to flock together to realize a design problem. We analyze to what extent groups of inter-related code anomalies, named agglomerations, suffice to locate design problems. We analyze more than 2200 agglomerations found in seven software systems of different sizes and from different domains. Our analysis indicates that certain forms of agglomerations are consistent indicators of both congenital and evolutionary design problems, with accuracy often higher than 80%. © 2016 ACM.</t>
  </si>
  <si>
    <t>Cited by: 65</t>
  </si>
  <si>
    <t>De Oliveira Barros M,De Almeida Farzat F,Travassos GH</t>
  </si>
  <si>
    <t>Learning from optimization: A case study with apache ant</t>
  </si>
  <si>
    <t>684 – 704</t>
  </si>
  <si>
    <t>https://www.scopus.com/inward/record.uri?eid=2-s2.0-85027940986&amp;doi=10.1016%2fj.infsof.2014.07.015&amp;partnerID=40&amp;md5=d8607dcf354e5e19c2159057eb8c9b80;http://dx.doi.org/10.1016/j.infsof.2014.07.015</t>
  </si>
  <si>
    <t>10.1016/j.infsof.2014.07.015</t>
  </si>
  <si>
    <t>Context: Software architecture degrades when changes violating the design-time architectural intents are imposed on the software throughout its life cycle. Such phenomenon is called architecture erosion. When changes are not controlled, erosion makes maintenance harder and negatively affects software evolution. Objective: To study the effects of architecture erosion on a large software project and determine whether search-based module clustering might reduce the conceptual distance between the current architecture and the design-time one. Method: To run an exploratory study with Apache Ant. First, we characterize Ant's evolution in terms of size, change dispersion, cohesion, and coupling metrics, highlighting the potential introduction of architecture and code-level problems that might affect the cost of changing the system. Then, we reorganize the distribution of Ant's classes using a heuristic search approach, intending to re-emerge its design-time architecture. Results: In characterizing the system, we observed that its original, simple design was lost due to maintenance and the addition of new features. In optimizing its architecture, we found that current models used to drive search-based software module clustering produce complex designs, which maximize the characteristics driving optimization while producing class distributions that would hardly be acceptable to developers maintaining Ant. Conclusion: The structural perspective promoted by the coupling and cohesion metrics precludes observing the adequate software module clustering from the perspective of software engineers when considering a large open source system. Our analysis adds evidence to the criticism of the dogma of driving design towards high cohesion and low coupling, at the same time observing the need for better models to drive design decisions. Apart from that, we see SBSE as a learning tool, allowing researchers to test SoftwareEngineering models in extreme situations that would not be easily found in software projects. © 2014 Elsevier B.V. All rights reserved.</t>
  </si>
  <si>
    <t>Wang R,Sun D,Li G,Atif M,Nepal S</t>
  </si>
  <si>
    <t>LogProv: Logging events as provenance of big data analytics pipelines with trustworthiness</t>
  </si>
  <si>
    <t>1402 – 1411</t>
  </si>
  <si>
    <t>https://www.scopus.com/inward/record.uri?eid=2-s2.0-85015176462&amp;doi=10.1109%2fBigData.2016.7840748&amp;partnerID=40&amp;md5=1561150575893c76c3a51217a41d1ab3;http://dx.doi.org/10.1109/BigData.2016.7840748</t>
  </si>
  <si>
    <t>10.1109/BigData.2016.7840748</t>
  </si>
  <si>
    <t>Provenance is information about the origin and creation of data. In data science and engineering, such information is useful and sometimes even critical. In spite of that, provenance for big data is under-explored due to the challenges from the 'Vs' of big data. In data analytics, users need to query history, reproduce intermediate or final results, tune models, and adjust parameters in runtime for making data-driven decisions. In addition, users need to evaluate data and pipeline trustworthiness. Towards realising these functionalities for big data provenance, we propose a solution, called LogProv, which needs to renovate data pipelines or even some of big data software infrastructure to generate structured logs for pipeline events, and then stores data and logs separately. The data are explicitly linked to the logs, which implicitly record pipeline semantics. Semantic information can be retrieved from the logs easily since the logs are well defined and structured beforehand. We implemented LogProv in Apache Pig, and adopted ElasticSearch to provide query service. In this paper LogProv is evaluated in a Hadoop ecosystem hosted by a cloud and empirically case-studied. The results show that LogProv is efficient since the performance overhead is no more than 10%, the query can be responded within 1 second, the trustworthiness is marked clearly, and there is no impact on the data processing logic of original pipelines. © 2016 IEEE.</t>
  </si>
  <si>
    <t>Mori A,Vale G,Viggiato M,Oliveira J,Figueiredo E,Cirilo E,Jamshidi P,Kastner C</t>
  </si>
  <si>
    <t>Evaluating domain-specific metric thresholds: An empirical study</t>
  </si>
  <si>
    <t>https://www.scopus.com/inward/record.uri?eid=2-s2.0-85051486330&amp;doi=10.1145%2f3194164.3194173&amp;partnerID=40&amp;md5=4dc45a9f967364a60204d0d376da94bd;http://dx.doi.org/10.1145/3194164.3194173</t>
  </si>
  <si>
    <t>10.1145/3194164.3194173</t>
  </si>
  <si>
    <t>Software metrics and thresholds provide means to quantify several quality attributes of software systems. Indeed, they have been used in a wide variety of methods and tools for detecting different sorts of technical debts, such as code smells. Unfortunately, these methods and tools do not take into account characteristics of software domains, as the intrinsic complexity of geo-localization and scientific software systems or the simple protocols employed by messaging applications. Instead, they rely on generic thresholds that are derived from heterogeneous systems. Although derivation of reliable thresholds has long been a concern, we still lack empirical evidence about threshold variation across distinct software domains. To tackle this limitation, this paper investigates whether and how thresholds vary across domains by presenting a large-scale study on 3,107 software systems from 15 domains. We analyzed the derivation and distribution of thresholds based on 8 well-known source code metrics. As a result, we observed that software domain and size are relevant factors to be considered when building benchmarks for threshold derivation. Moreover, we also observed that domain-specific metric thresholds are more appropriated than generic ones for code smell detection. © 2018 ACM.</t>
  </si>
  <si>
    <t>Sculley D,Holt G,Golovin D,Davydov E,Phillips T,Ebner D,Chaudhary V,Young M,Crespo JF,Dennison D</t>
  </si>
  <si>
    <t>Hidden technical debt in machine learning systems</t>
  </si>
  <si>
    <t>2503 – 2511</t>
  </si>
  <si>
    <t>https://www.scopus.com/inward/record.uri?eid=2-s2.0-84965107309&amp;partnerID=40&amp;md5=18bbc8dc5266339b6dc47a1e9b508dcf</t>
  </si>
  <si>
    <t>Machine learning offers a fantastically powerful toolkit for building useful complex prediction systems quickly. This paper argues it is dangerous to think of these quick wins as coming for free. Using the software engineering framework of technical debt, we find it is common to incur massive ongoing maintenance costs in real-world ML systems. We explore several ML-specific risk factors to account for in system design. These include boundary erosion, entanglement, hidden feedback loops, undeclared consumers, data dependencies, configuration issues, changes in the external world, and a variety of system-level anti-patterns.</t>
  </si>
  <si>
    <t>Cited by: 468</t>
  </si>
  <si>
    <t>Bafandeh Mayvan B,Rasoolzadegan A,Ghavidel Yazdi Z</t>
  </si>
  <si>
    <t>The state of the art on design patterns: A systematic mapping of the literature</t>
  </si>
  <si>
    <t>1339 – 1351</t>
  </si>
  <si>
    <t>https://www.scopus.com/inward/record.uri?eid=2-s2.0-85002599816&amp;doi=10.1016%2fj.jss.2016.11.030&amp;partnerID=40&amp;md5=2155c81217c8e4c44668cec1062d12a4;http://dx.doi.org/10.1016/j.jss.2016.11.030</t>
  </si>
  <si>
    <t>10.1016/j.jss.2016.11.030</t>
  </si>
  <si>
    <t>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 (c) describing the demographics of design patterns research. The last secondary study with similar goals in the design patterns field considers the Gang of Four design patterns only. However, the scope of the current study is all of the design patterns. Moreover, our review covers about six additional years and a larger number of publications and venues. In this systematic mapping study, a total of 2775 papers were identified as relevant, and 637 of them were included. According to the results, design patterns can be classified into six different research topics. As a consequence, it is concluded that Pattern Development, Pattern Mining, and Pattern Usage are the most active topics in the field of design patterns. © 2016 Elsevier Inc.</t>
  </si>
  <si>
    <t>Cited by: 61</t>
  </si>
  <si>
    <t>Palomba F,Oliveto R,De Lucia A</t>
  </si>
  <si>
    <t>Investigating code smell co-occurrences using association rule learning: A replicated study</t>
  </si>
  <si>
    <t>8 – 13</t>
  </si>
  <si>
    <t>https://www.scopus.com/inward/record.uri?eid=2-s2.0-85018335521&amp;doi=10.1109%2fMALTESQUE.2017.7882010&amp;partnerID=40&amp;md5=a6a21b4f125c8915806da549565f8ca7;http://dx.doi.org/10.1109/MALTESQUE.2017.7882010</t>
  </si>
  <si>
    <t>10.1109/MALTESQUE.2017.7882010</t>
  </si>
  <si>
    <t>Previous research demonstrated how code smells (i.e., symptoms of the presence of poor design or implementation choices) threat software maintainability. Moreover, some studies showed that their interaction has a stronger negative impact on the ability of developers to comprehend and enhance the source code when compared to cases when a single code smell instance affects a code element (i.e., a class or a method). While such studies analyzed the effect of the co-presence of more smells from the developers' perspective, a little knowledge regarding which code smell types tend to co-occur in the source code is currently available. Indeed, previous papers on smell co-occurrence have been conducted on a small number of code smell types or on small datasets, thus possibly missing important relationships. To corroborate and possibly enlarge the knowledge on the phenomenon, in this paper we provide a large-scale replication of previous studies, taking into account 13 code smell types on a dataset composed of 395 releases of 30 software systems. Code smell co-occurrences have been captured by using association rule mining, an unsupervised learning technique able to discover frequent relationships in a dataset. The results highlighted some expected relationships, but also shed light on co-occurrences missed by previous research in the field. © 2017 IEEE.</t>
  </si>
  <si>
    <t>Schleier-Smith J</t>
  </si>
  <si>
    <t>An architecture for agile machine learning in real-time applications</t>
  </si>
  <si>
    <t>2059 – 2068</t>
  </si>
  <si>
    <t>https://www.scopus.com/inward/record.uri?eid=2-s2.0-84954120914&amp;doi=10.1145%2f2783258.2788628&amp;partnerID=40&amp;md5=b43ba396032467f35be3fe986179b1d9;http://dx.doi.org/10.1145/2783258.2788628</t>
  </si>
  <si>
    <t>10.1145/2783258.2788628</t>
  </si>
  <si>
    <t>Machine learning techniques have proved effective in recom-mender systems and other applications, yet teams working to deploy them lack many of the advantages that those in more established software disciplines today take for granted. The well-known Agile methodology advances projects in a chain of rapid development cycles, with subsequent steps often informed by production experiments. Support for such workflow in machine learning applications remains primitive. The platform developed at if(we) embodies a specific machine learning approach and a rigorous data architecture constraint, so allowing teams to work in rapid iterative cycles. We require models to consume data from a time-ordered event history, and we focus on facilitating creative feature engineering. We make it practical for data scientists to use the same model code in development and in production deployment, and make it practical for them to collaborate on complex models. We deliver real-time recommendations at scale, returning top results from among 10,000,000 candidates with sub-second response times and incorporating new updates in just a few seconds. Using the approach and architecture described here, our team can routinely go from ideas for new models to production-validated results within two weeks.</t>
  </si>
  <si>
    <t>Technical debt as an external software attribute</t>
  </si>
  <si>
    <t>https://www.scopus.com/inward/record.uri?eid=2-s2.0-85051472599&amp;doi=10.1145%2f3194164.3194168&amp;partnerID=40&amp;md5=ec28c7706adeead70d2d5f88117da531;http://dx.doi.org/10.1145/3194164.3194168</t>
  </si>
  <si>
    <t>10.1145/3194164.3194168</t>
  </si>
  <si>
    <t>Background: Technical debt is currently receiving increasing attention from practitioners and researchers. Several metaphors, concepts, and indications concerning technical debt have been introduced, but no agreement exists about a solid definition of technical debt. Objective: We aim at providing a solid basis to the definition of technical debt and the way it should be quantified. Method: We view technical debt as a software quality attribute and therefore we use Measurement Theory, the general reference framework for the quantification of attributes, to define technical debt and its characteristics in a rigorous way. Results: We show that technical debt should be defined as an external software quality attribute. Therefore, it should be quantified via statistical and machine-learning models whose independent variables are internal software quality attributes. Different models may exist, depending on the specific needs and goals of the software product and development environment. Also, technical debt is a multifaceted concept, so different kinds of technical debt exist, related to different quality attributes, such as performance, usability, and maintainability. These different kinds of technical debt should be evaluated individually, so one can better focus on the specific quality issues that need to be addressed. Conclusions: We show that, to provide it with a rigorous basis, technical debt should be considered and measured as an external software attribute. Researchers and practitioners should build models for technical debt and use them to (1) assess the extent of the technical debt and (2) investigate and assess different ways of modifying software to repay technical debt. © 2018 ACM.</t>
  </si>
  <si>
    <t>1044 – 1062</t>
  </si>
  <si>
    <t>https://www.scopus.com/inward/record.uri?eid=2-s2.0-85025122019&amp;doi=10.1109%2fTSE.2017.2654244&amp;partnerID=40&amp;md5=e451cac637cd2b608649b22ace9a2b41;http://dx.doi.org/10.1109/TSE.2017.2654244</t>
  </si>
  <si>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 © 1976-2012 IEEE.</t>
  </si>
  <si>
    <t>Cited by: 118</t>
  </si>
  <si>
    <t>Xuan J,Hu Y,He J</t>
  </si>
  <si>
    <t>Debt-prone bugs: Technical debt in software maintenance</t>
  </si>
  <si>
    <t>International Journal of Advancements in Computing Technology</t>
  </si>
  <si>
    <t>453 – 461</t>
  </si>
  <si>
    <t>Advanced Institute of Convergence Information Technology</t>
  </si>
  <si>
    <t>2005-8039</t>
  </si>
  <si>
    <t>https://www.scopus.com/inward/record.uri?eid=2-s2.0-84868595858&amp;doi=10.4156%2fijact.vol4.issue19.54&amp;partnerID=40&amp;md5=589e4bf791bb7d217ea6027ffbf741b4;http://dx.doi.org/10.4156/ijact.vol4.issue19.54</t>
  </si>
  <si>
    <t>10.4156/ijact.vol4.issue19.54</t>
  </si>
  <si>
    <t>Fixing bugs is an important phase in software development and maintenance. In practice, the process of bug fixing may conflict with the release schedule. Such confliction leads to a trade-off between software quality and release schedule, which is known as the technical debt metaphor. In this article, we propose the concept of debt-prone bugs to model the technical debt in software maintenance. We identify three types of debt-prone bugs, namely tag bugs, reopened bugs, and duplicate bugs. A case study on Mozilla is conducted to examine the impact of debt-prone bugs in software products. We investigate the correlation between debt-prone bugs and the product quality. For a product under development, we build prediction models based on historical products to predict the time cost of fixing bugs. The result shows that identifying debt-prone bugs can assist in monitoring and improving software quality.</t>
  </si>
  <si>
    <t>Arcelli Fontana F,Zanoni M</t>
  </si>
  <si>
    <t>Code smell severity classification using machine learning techniques</t>
  </si>
  <si>
    <t>Knowledge-Based Systems</t>
  </si>
  <si>
    <t>43 – 58</t>
  </si>
  <si>
    <t>0950-7051</t>
  </si>
  <si>
    <t>https://www.scopus.com/inward/record.uri?eid=2-s2.0-85018955129&amp;doi=10.1016%2fj.knosys.2017.04.014&amp;partnerID=40&amp;md5=ddd40ba8ea4c21f038d1933c04f4d698;http://dx.doi.org/10.1016/j.knosys.2017.04.014</t>
  </si>
  <si>
    <t>10.1016/j.knosys.2017.04.014</t>
  </si>
  <si>
    <t>Several code smells detection tools have been developed providing different results, because smells can be subjectively interpreted and hence detected in different ways. Machine learning techniques have been used for different topics in software engineering, e.g., design pattern detection, code smell detection, bug prediction, recommending systems. In this paper, we focus our attention on the classification of code smell severity through the use of machine learning techniques in different experiments. The severity of code smells is an important factor to take into consideration when reporting code smell detection results, since it allows the prioritization of refactoring efforts. In fact, code smells with high severity can be particularly large and complex, and create larger issues to the maintainability of software a system. In our experiments, we apply several machine learning models, spanning from multinomial classification to regression, plus a method to apply binary classifiers for ordinal classification. In fact, we model code smell severity as an ordinal variable. We take the baseline models from previous work, where we applied binary classification models for code smell detection with good results. We report and compare the performance of the models according to their accuracy and four different performance measures used for the evaluation of ordinal classification techniques. From our results, while the accuracy of the classification of severity is not high as in the binary classification of absence or presence of code smells, the ranking correlation of the actual and predicted severity for the best models reaches 0.88–0.96, measured through Spearman's ρ. © 2017 Elsevier B.V.</t>
  </si>
  <si>
    <t>Cited by: 76</t>
  </si>
  <si>
    <t>Polyzotis N,Roy S,Whang SE,Zinkevich M</t>
  </si>
  <si>
    <t>Data management challenges in production machine learning</t>
  </si>
  <si>
    <t>Part F127746</t>
  </si>
  <si>
    <t>1723 – 1726</t>
  </si>
  <si>
    <t>https://www.scopus.com/inward/record.uri?eid=2-s2.0-85021190615&amp;doi=10.1145%2f3035918.3054782&amp;partnerID=40&amp;md5=3eb7a5510fe00e4008182bce3005cbed;http://dx.doi.org/10.1145/3035918.3054782</t>
  </si>
  <si>
    <t>10.1145/3035918.3054782</t>
  </si>
  <si>
    <t>The tutorial discusses data-management issues that arise in the context of machine learning pipelines deployed in production. Informed by our own experience with such largescale pipelines, we focus on issues related to understanding, validating, cleaning, and enriching training data. The goal of the tutorial is to bring forth these issues, draw connections to prior work in the database literature, and outline the open research questions that are not addressed by prior art. © 2017 Copyright held by the owner/author(s).</t>
  </si>
  <si>
    <t>Cited by: 96; All Open Access, Bronze Open Access</t>
  </si>
  <si>
    <t>Ravikumar K,Gunasekaran G</t>
  </si>
  <si>
    <t>An efficient and reliable technical debt management for cost estimation using summarization method</t>
  </si>
  <si>
    <t>Journal of Advanced Research in Dynamical and Control Systems</t>
  </si>
  <si>
    <t>13 Special</t>
  </si>
  <si>
    <t>Institute of Advanced Scientific Research, Inc.</t>
  </si>
  <si>
    <t>1943-023X</t>
  </si>
  <si>
    <t>https://www.scopus.com/inward/record.uri?eid=2-s2.0-85075303052&amp;partnerID=40&amp;md5=9d1bd6760a36387d25b5159c3ca86abd</t>
  </si>
  <si>
    <t>Technical debt is software crisis which leads the cost goes in higher rate with performance problem. These debt are exists in the software with various phases. The existing methods are addressed specific phase in the software development phase which is not enough for better quality and customer retention over the product. Some of the debts are short term debt, so it is temporary which is not provide consistent reliability. Technical debt management needs the permanent with long term property in all products. These problem is overcome by introducing classification based debt management and identification with summarization technique. The summary plays vital role in the software cost estimation process, so it will be considered in an important parameter. The debts are categorized into classified debt and generic debt. Classified debt is specific debt which is restricted to the particular phase where as generic debts are analyzed in all phases of the development process. Various parameters of both the debt category is identified and analyzed in order to achieve the better cost estimation. There are different algorithms are compared with the proposed summarization technique with different dimensions. The main objective of the proposed method is to perform summarization which keeps the cost in estimated level. © 2018, Institute of Advanced Scientific Research, Inc.. All rights reserved.</t>
  </si>
  <si>
    <t>Ribeiro MT,Singh S,Guestrin C</t>
  </si>
  <si>
    <t>Anchors: High-precision model-agnostic explanations</t>
  </si>
  <si>
    <t>1527 – 1535</t>
  </si>
  <si>
    <t>AAAI press</t>
  </si>
  <si>
    <t>https://www.scopus.com/inward/record.uri?eid=2-s2.0-85055776066&amp;partnerID=40&amp;md5=048d0c1b42d42d95c277869704fdf551</t>
  </si>
  <si>
    <t>We introduce a novel model-agnostic system that explains the behavior of complex models with high-precision rules called anchors, representing local, “sufficient” conditions for predictions. We propose an algorithm to efficiently compute these explanations for any black-box model with high-probability guarantees. We demonstrate the flexibility of anchors by explaining a myriad of different models for different domains and tasks. In a user study, we show that anchors enable users to predict how a model would behave on unseen instances with less effort and higher precision, as compared to existing linear explanations or no explanations. Copyright © 2018, Association for the Advancement of Artificial Intelligence (www.aaai.org). All rights reserved.</t>
  </si>
  <si>
    <t>Cited by: 703</t>
  </si>
  <si>
    <t>Skourletopoulos G,Mavromoustakis CX,Mastorakis G,Sahalos JN,Batalla JM,Dobre C</t>
  </si>
  <si>
    <t>A game theoretic formulation of the technical debt management problem in cloud systems</t>
  </si>
  <si>
    <t>https://www.scopus.com/inward/record.uri?eid=2-s2.0-85028532467&amp;doi=10.23919%2fConTEL.2017.8000012&amp;partnerID=40&amp;md5=fc020b3455bc103854a84bf5a68ea689;http://dx.doi.org/10.23919/ConTEL.2017.8000012</t>
  </si>
  <si>
    <t>10.23919/ConTEL.2017.8000012</t>
  </si>
  <si>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</si>
  <si>
    <t>Del Monte B,Karimov J,Mahdiraji AR,Rabl T,Markl V,Huang HX,Thomsen C</t>
  </si>
  <si>
    <t>PROTEUS: Scalable online machine learning for predictive analytics and real-time interactive visualization</t>
  </si>
  <si>
    <t>https://www.scopus.com/inward/record.uri?eid=2-s2.0-85017153682&amp;partnerID=40&amp;md5=d9d0a2a0f0bf6a407ddf95fc0b47c9ac</t>
  </si>
  <si>
    <t>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 ©2017, Copyright is with the authors.</t>
  </si>
  <si>
    <t>Zhang L,Pu MY,Liu YJ,Tian JH,Yue T,Jiang J</t>
  </si>
  <si>
    <t>Investigation of Empirical Researches in Software Engineering</t>
  </si>
  <si>
    <t>1422 – 1450</t>
  </si>
  <si>
    <t>https://www.scopus.com/inward/record.uri?eid=2-s2.0-85049555118&amp;doi=10.13328%2fj.cnki.jos.005520&amp;partnerID=40&amp;md5=02111ae26bb140f11169d60139a11bd7;http://dx.doi.org/10.13328/j.cnki.jos.005520</t>
  </si>
  <si>
    <t>10.13328/j.cnki.jos.005520</t>
  </si>
  <si>
    <t>To depict, understand, evaluate, predict, control, manage or enhance software-related artifacts, researchers and practitioners often rely on empirical methods. Empirical methods have been widely used in software engineering, and they are attracting increasing attention over the years. By conducting a systematic mapping, this paper aims to provide a literature survey of 250 papers published in a typical journal-Empirical Software Engineering, from January 2013 to June 2017. With qualitative and quantitative analysis, this survey reveals the commonly used empirical research methods, research purposes, and the application of the methods in subfields of software engineering, including the solved problems and some new features. The findings also cover the use of open source projects, data source, data collection methods and commonly used mathematical statistics methods. Finally, this paper illustrates validity threats and discusses the future work, opportunity and some open issues of empirical research in the era of big data. © Copyright 2018, Institute of Software, the Chinese Academy of Sciences. All rights reserved.</t>
  </si>
  <si>
    <t>Mens T,Serebrenik A,Cleve A</t>
  </si>
  <si>
    <t>Evolving software systems</t>
  </si>
  <si>
    <t>Springer Berlin Heidelberg</t>
  </si>
  <si>
    <t>https://www.scopus.com/inward/record.uri?eid=2-s2.0-84961375653&amp;doi=10.1007%2f978-3-642-45398-4&amp;partnerID=40&amp;md5=749625357b37e006de267556d48c57e6;http://dx.doi.org/10.1007/978-3-642-45398-4</t>
  </si>
  <si>
    <t>10.1007/978-3-642-45398-4</t>
  </si>
  <si>
    <t>During the last few years, software evolution research has explored new domains such as the study of socio-technical aspects and collaboration between different individuals contributing to a software system, theuse of search-based techniques and meta-heuristics, the mining of unstructured software repositories, the evolution of software requirements, and the dynamic adaptation of software systems at runtime. Also more and more attention is being paid to the evolution of collections of inter-related and inter-dependent software projects, be it in the form of web systems, software product families, software ecosystems or systems of systems. Withthis book, the editors present insightful contributions on these and other domains currently being intensively explored, written by renowned researchers in the respective fields of software evolution. Each chapter presents the state of the art in a particular topic, as well as the current research, available tool support and remaining challenges. The book is complemented by a glossary of important terms used in the community, a reference list of nearly 1,000 papers and books and tips on additional resources that may be useful to the reader(reference books, journals, standards and major scientific events in the domain of software evolution and datasets). This book is intended for all those interested in software engineering, and more particularly, software maintenance and evolution. Researchers and software practitioners alike will find in the contributed chapters an overview of the most recent findings, covering a broad spectrum of software evolution topics. In addition, it can also serve as the basis of graduate or postgraduate courses on e.g., software evolution, requirements engineering, model-driven software development or social informatics. © Springer-Verlag Berlin Heidelberg 2014.</t>
  </si>
  <si>
    <t>Cited by: 38; All Open Access, Green Open Access</t>
  </si>
  <si>
    <t>1 – 404</t>
  </si>
  <si>
    <t>Dai K,Kruchten P</t>
  </si>
  <si>
    <t>Detecting technical debt through issue trackers</t>
  </si>
  <si>
    <t>59 – 65</t>
  </si>
  <si>
    <t>https://www.scopus.com/inward/record.uri?eid=2-s2.0-85040575660&amp;partnerID=40&amp;md5=9976450244a5a118017258d58fd9c23e</t>
  </si>
  <si>
    <t>Managing technical debt effectively to prevent it from accumulating too quickly is of great concern to software stakeholders. To pay off technical debt regularly, software developers must be conscious of the existence of technical debt items. The first step is to make technical debt explicit; that is the identification of technical debt. Although there exist many kinds of static source code analysis tools to identify code-level technical debt, identifying non-code-level technical debt is very challenging and needs deep exploration. This paper proposed an approach to identifying non-code-level technical debt through issue tracking data sets using natural language processing and machine learning techniques and validated the feasibility and performance of this approach using an issue tracking data set recorded in Chinese from a commercial software project. We found that there are actually some common words that can be used as indicators of technical debt. Based on these key words, we achieved the precision of 0.72 and the recall of 0.81 for identifying technical debt items using machine learning techniques respectively. Copyright © 2017 for this paper by its authors.</t>
  </si>
  <si>
    <t>Giray G,Ünalr MO,Çatkka C</t>
  </si>
  <si>
    <t>Planning for the enhancement of an ad mediation software with machine learning capabilities; [Bir Reklam Arac Yazn Makine Örenmesi Yetenekleriyle yiletirilmesi için Planlama]</t>
  </si>
  <si>
    <t>20 – 33</t>
  </si>
  <si>
    <t>https://www.scopus.com/inward/record.uri?eid=2-s2.0-85060254810&amp;partnerID=40&amp;md5=01ebbc18f8a113b3506a1517367862f0</t>
  </si>
  <si>
    <t>An Ad Mediation Software aims to maximize the ad revenue of an application while deciding from which ad network to request an ad. How well it can make this decision depends on how well it can predict the value of eCPM (Effective Cost Per Mille) that is used to measure advertising revenue. Currently, this prediction is made according to a pre-coded decision mechanism and parameters determined by domain experts. It is possible to use machine learning algorithms so that this estimation can be made better and updated in accordance with the data that has been generated over time. In this context, a machine learning process, an architecture designed to realize this process and the competencies that should be possessed by the development team are described. © 2019 CEUR Workshop Proceedings.All Rights Reserved.</t>
  </si>
  <si>
    <t>Arpteg A,Brinne B,Crnkovic-Friis L,Bosch J</t>
  </si>
  <si>
    <t>Software engineering challenges of deep learning</t>
  </si>
  <si>
    <t>50 – 59</t>
  </si>
  <si>
    <t>https://www.scopus.com/inward/record.uri?eid=2-s2.0-85057169222&amp;doi=10.1109%2fSEAA.2018.00018&amp;partnerID=40&amp;md5=4f67fe396baebb02964c19140b99a05d;http://dx.doi.org/10.1109/SEAA.2018.00018</t>
  </si>
  <si>
    <t>10.1109/SEAA.2018.00018</t>
  </si>
  <si>
    <t>Surprisingly promising results have been achieved by deep learning (DL) systems in recent years. Many of these achievements have been reached in academic settings, or by large technology companies with highly skilled research groups and advanced supporting infrastructure. For companies without large research groups or advanced infrastructure, building high-quality production-ready systems with DL components has proven challenging. There is a clear lack of well-functioning tools and best practices for building DL systems. It is the goal of this research to identify what the main challenges are, by applying an interpretive research approach in close collaboration with companies of varying size and type. A set of seven projects have been selected to describe the potential with this new technology and to identify associated main challenges. A set of 12 main challenges has been identified and categorized into the three areas of development, production, and organizational challenges. Furthermore, a mapping between the challenges and the projects is defined, together with selected motivating descriptions of how and why the challenges apply to specific projects. Compared to other areas such as software engineering or database technologies, it is clear that DL is still rather immature and in need of further work to facilitate development of high-quality systems. The challenges identified in this paper can be used to guide future research by the software engineering and DL communities. Together, we could enable a large number of companies to start taking advantage of the high potential of the DL technology. © 2018 IEEE.</t>
  </si>
  <si>
    <t>Cited by: 86; All Open Access, Green Open Access</t>
  </si>
  <si>
    <t>Ji Y,Zhang X,Ji S,Luo X,Wang T</t>
  </si>
  <si>
    <t>Model-reuse attacks on deep learning systems</t>
  </si>
  <si>
    <t>349 – 363</t>
  </si>
  <si>
    <t>1543-7221</t>
  </si>
  <si>
    <t>https://www.scopus.com/inward/record.uri?eid=2-s2.0-85056902261&amp;doi=10.1145%2f3243734.3243757&amp;partnerID=40&amp;md5=587121a954035999afcb6db28834402e;http://dx.doi.org/10.1145/3243734.3243757</t>
  </si>
  <si>
    <t>10.1145/3243734.3243757</t>
  </si>
  <si>
    <t>Many of today’s machine learning (ML) systems are built by reusing an array of, often pre-trained, primitive models, each fulfilling distinct functionality (e.g., feature extraction). The increasing use of primitive models significantly simplifies and expedites the development cycles of ML systems. Yet, because most of such models are contributed and maintained by untrusted sources, their lack of standardization or regulation entails profound security implications, about which little is known thus far. In this paper, we demonstrate that malicious primitive models pose immense threats to the security of ML systems. We present a broad class of model-reuse attacks wherein maliciously crafted models trigger host ML systems to misbehave on targeted inputs in a highly predictable manner. By empirically studying four deep learning systems (including both individual and ensemble systems) used in skin cancer screening, speech recognition, face verification, and autonomous steering, we show that such attacks are (i) effective - the host systems misbehave on the targeted inputs as desired by the adversary with high probability, (ii) evasive - the malicious models function indistinguishably from their benign counterparts on non-targeted inputs, (iii) elastic - the malicious models remain effective regardless of various system design choices and tuning strategies, and (iv) easy - the adversary needs little prior knowledge about the data used for system tuning or inference. We provide analytical justification for the effectiveness of model-reuse attacks, which points to the unprecedented complexity of today’s primitive models. This issue thus seems fundamental to many ML systems. We further discuss potential countermeasures and their challenges, which lead to several promising research directions. © 2018 Association for Computing Machinery.</t>
  </si>
  <si>
    <t>Cited by: 67; All Open Access, Green Open Access</t>
  </si>
  <si>
    <t>Rothganger F,Evans BR,Aimone JB,Debenedictis EP</t>
  </si>
  <si>
    <t>Training neural hardware with noisy components</t>
  </si>
  <si>
    <t>https://www.scopus.com/inward/record.uri?eid=2-s2.0-84951124061&amp;doi=10.1109%2fIJCNN.2015.7280772&amp;partnerID=40&amp;md5=2507d93bdf31d6f7c1ff8967bcebd26d;http://dx.doi.org/10.1109/IJCNN.2015.7280772</t>
  </si>
  <si>
    <t>10.1109/IJCNN.2015.7280772</t>
  </si>
  <si>
    <t>Some next generation computing devices may consist of resistive memory arranged as a crossbar. Currently, the dominant approach is to use crossbars as the weight matrix of a neural network, and to use learning algorithms that require small incremental weight updates, such as gradient descent (for example Backpropagation). Using real-world measurements, we demonstrate that resistive memory devices are unlikely to support such learning methods. As an alternative, we offer a random search algorithm tailored to the measured characteristics of our devices. © 2015 IEEE.</t>
  </si>
  <si>
    <t>Diaz-Pace JA,Tommasel A,Godoy D</t>
  </si>
  <si>
    <t>Towards anticipation of architectural smells using link prediction techniques</t>
  </si>
  <si>
    <t>https://www.scopus.com/inward/record.uri?eid=2-s2.0-85058275146&amp;doi=10.1109%2fSCAM.2018.00015&amp;partnerID=40&amp;md5=735f0c987e0c433b10f67a72f9f2a97b;http://dx.doi.org/10.1109/SCAM.2018.00015</t>
  </si>
  <si>
    <t>10.1109/SCAM.2018.00015</t>
  </si>
  <si>
    <t>Software systems naturally evolve, and this evolution often brings design problems that cause system degradation. Architectural smells are typical symptoms of such problems, and several of these smells are related to undesired dependencies among modules. The early detection of these smells is important for developers, because they can plan ahead for maintenance or refactoring efforts, thus preventing system degradation. Existing tools for identifying architectural smells can detect the smells once they exist in the source code. This means that their undesired dependencies are already created. In this work, we explore a forward-looking approach that is able to infer groups of likely module dependencies that can anticipate architectural smells in a future system version. Our approach considers the current module structure as a network, along with information from previous versions, and applies link prediction techniques (from the field of social network analysis). In particular, we focus on dependency-related smells, such as Cyclic Dependency and Hub-like Dependency, which fit well with the link prediction model. An initial evaluation with two open-source projects shows that, under certain considerations, the predictions of our approach are satisfactory. Furthermore, the approach can be extended to other types of dependency-based smells or metrics. © 2018 IEEE.</t>
  </si>
  <si>
    <t>Context-based approach to prioritize code smells for prefactoring</t>
  </si>
  <si>
    <t>https://www.scopus.com/inward/record.uri?eid=2-s2.0-85040565901&amp;doi=10.1002%2fsmr.1886&amp;partnerID=40&amp;md5=37cc6894c928a530d03d2ff259537e36;http://dx.doi.org/10.1002/smr.1886</t>
  </si>
  <si>
    <t>10.1002/smr.1886</t>
  </si>
  <si>
    <t>Existing techniques for detecting code smells (indicators of source code problems) do not consider the current context, which renders them unsuitable for developers who have a specific context, such as modules within their focus. Consequently, the developers must spend time identifying relevant smells. We propose a technique to prioritize code smells using the developers' context. Explicit data of the context are obtained using a list of issues extracted from an issue tracking system. We applied impact analysis to the list of issues and used the results to specify the context-relevant smells. Results show that our approach can provide developers with a list of prioritized code smells related to their current context. We conducted several empirical studies to investigate the characteristics of our technique and factors that might affect the ranking quality. Additionally, we conducted a controlled experiment with professional developers to evaluate our technique. The results demonstrate the effectiveness of our technique. © 2017 The Authors. Journal of Software: Evolution and Process published by John Wiley &amp; Sons Ltd.</t>
  </si>
  <si>
    <t>Cited by: 18; All Open Access, Hybrid Gold Open Access</t>
  </si>
  <si>
    <t>Guimarães E,Vidal S,Garcia A,Diaz Pace JA,Marcos C</t>
  </si>
  <si>
    <t>Exploring architecture blueprints for prioritizing critical code anomalies: Experiences and tool support</t>
  </si>
  <si>
    <t>1077 – 1106</t>
  </si>
  <si>
    <t>https://www.scopus.com/inward/record.uri?eid=2-s2.0-85041236239&amp;doi=10.1002%2fspe.2563&amp;partnerID=40&amp;md5=3257b0ac4f4ff1b978bb911d18bb5d23;http://dx.doi.org/10.1002/spe.2563</t>
  </si>
  <si>
    <t>10.1002/spe.2563</t>
  </si>
  <si>
    <t>The manifestation of code anomalies in software systems often indicates symptoms of architecture degradation. Several approaches have been proposed to detect such anomalies in the source code. However, most of them fail to assist developers in prioritizing anomalies harmful to the software architecture of a system. This article presents an investigation on how developers, when supported by architecture blueprints, are able to prioritize architecturally relevant code anomalies. First, we performed a controlled experiment where participants explored both blueprints and source code to reveal architecturally relevant code anomalies. Although the use of blueprints has the potential to improve code anomaly prioritization, the participants often made several mistakes. We found these mistakes might occur because developers miss relationships between implementation and blueprint elements when they prioritize anomalies in an ad hoc manner. Furthermore, the time spent on the prioritization process was considerably high. Aiming to improve the accuracy and effectiveness of the process, we provided means to automate the prioritization process. In particular, we explored 3 prioritization criteria, which establish different ways of relating the blueprint elements with code anomalies. These criteria were implemented in the JSpIRIT tool. The approach was evaluated in the context of 2 applications with satisfactory precision results. Copyright © 2018 John Wiley &amp; Sons, Ltd.</t>
  </si>
  <si>
    <t>Chen T,Bahsoon R,Wang S,Yao X</t>
  </si>
  <si>
    <t>To adapt or not to adapt? Technical debt and learning driven self-adaptation for managing runtime performance</t>
  </si>
  <si>
    <t>48 – 55</t>
  </si>
  <si>
    <t>https://www.scopus.com/inward/record.uri?eid=2-s2.0-85051087850&amp;doi=10.1145%2f3184407.3184413&amp;partnerID=40&amp;md5=c4b0153bcd017d224774532305d422fa;http://dx.doi.org/10.1145/3184407.3184413</t>
  </si>
  <si>
    <t>10.1145/3184407.3184413</t>
  </si>
  <si>
    <t>Self-adaptive system (SAS) can adapt itself to optimize various key performance indicators in response to the dynamics and uncertainty in environment. In this paper, we present Debt Learning Driven Adaptation (DLDA), an framework that dynamically determines when and whether to adapt the SAS at runtime. DLDA leverages the temporal adaptation debt, a notion derived from the technical debt metaphor, to quantify the time-varying money that the SAS carries in relation to its performance and Service Level Agreements. We designed a temporal net debt driven labeling to label whether it is economically healthier to adapt the SAS (or not) in a circumstance, based on which an online machine learning classifier learns the correlation, and then predicts whether to adapt under the future circumstances. We conducted comprehensive experiments to evaluate DLDA with two different planners, using 5 online machine learning classifiers, and in comparison to 4 state-of-the-art debt-oblivious triggering approaches. The results reveal the effectiveness and superiority of DLDA according to different metrics. © 2018 Association for Computing Machinery.</t>
  </si>
  <si>
    <t>Smells like teen spirit: Improving bug prediction performance using the intensity of code smells</t>
  </si>
  <si>
    <t>244 – 255</t>
  </si>
  <si>
    <t>https://www.scopus.com/inward/record.uri?eid=2-s2.0-85013078209&amp;doi=10.1109%2fICSME.2016.27&amp;partnerID=40&amp;md5=1fa0e20a3c078fea1c2c6ea63b399009;http://dx.doi.org/10.1109/ICSME.2016.27</t>
  </si>
  <si>
    <t>10.1109/ICSME.2016.27</t>
  </si>
  <si>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and comparing the results of the new model against the baseline model. Results indicate that the accuracy of a bug prediction model increases by adding the code smell intensity as predictor. We also evaluate the actual gain provided by the intensity index with respect to the other metrics in the model, including the ones used to compute the code smell intensity. We observe that the intensity index is much more important as compared to other metrics used for predicting the buggyness of smelly classes. © 2016 IEEE.</t>
  </si>
  <si>
    <t>Cited by: 43</t>
  </si>
  <si>
    <t>Palomba F,Zaidman A,Oliveto R,De Lucia A</t>
  </si>
  <si>
    <t>An Exploratory Study on the Relationship between Changes and Refactoring</t>
  </si>
  <si>
    <t>176 – 185</t>
  </si>
  <si>
    <t>https://www.scopus.com/inward/record.uri?eid=2-s2.0-85025172556&amp;doi=10.1109%2fICPC.2017.38&amp;partnerID=40&amp;md5=fd0269655eb20a7347798a4b00286fad;http://dx.doi.org/10.1109/ICPC.2017.38</t>
  </si>
  <si>
    <t>10.1109/ICPC.2017.38</t>
  </si>
  <si>
    <t>Refactoring aims at improving the internal structure of a software system without changing its external behavior. Previous studies empirically assessed, on the one hand, the benefits of refactoring in terms of code quality and developers' productivity, and on the other hand, the underlying reasons that push programmers to apply refactoring. Results achieved in the latter investigations indicate that besides personal motivation such as the responsibility concerned with code authorship, refactoring is mainly performed as a consequence of changes in the requirements rather than driven by software quality. However, these findings have been derived by surveying developers, and therefore no software repository study has been carried out to corroborate the achieved findings. To bridge this gap, we provide a quantitative investigation on the relationship between different types of code changes (i.e., Fault Repairing Modification, Feature Introduction Modification, and General Maintenance Modification) and 28 different refactoring types coming from 3 open source projects. Results showed that developers tend to apply a higher number of refactoring operations aimed at improving maintainability and comprehensibility of the source code when fixing bugs. Instead, when new features are implemented, more complex refactoring operations are performed to improve code cohesion. Most of the times, the underlying reasons behind the application of such refactoring operations are represented by the presence of duplicate code or previously introduced self-admitted technical debts. © 2017 IEEE.</t>
  </si>
  <si>
    <t>Cited by: 50</t>
  </si>
  <si>
    <t>Hilton R,Gethner E</t>
  </si>
  <si>
    <t>Predicting Code Hotspots in Open-Source Software from Object-Oriented Metrics Using Machine Learning</t>
  </si>
  <si>
    <t>311 – 331</t>
  </si>
  <si>
    <t>World Scientific Publishing Co. Pte Ltd</t>
  </si>
  <si>
    <t>https://www.scopus.com/inward/record.uri?eid=2-s2.0-85044588917&amp;doi=10.1142%2fS0218194018500110&amp;partnerID=40&amp;md5=335e5d58beca7a7c80f3679e24738fad;http://dx.doi.org/10.1142/S0218194018500110</t>
  </si>
  <si>
    <t>10.1142/S0218194018500110</t>
  </si>
  <si>
    <t>Software engineers are able to measure the quality of their code using a variety of metrics that can be derived directly from analyzing the source code. These internal quality metrics are valuable to engineers, but the organizations funding the software development effort find external quality metrics such as defect rates and time to develop features more valuable. Unfortunately, external quality metrics can only be calculated after costly software has been developed and deployed for end-users to utilize. Here, we present a method for mining data from freely available open source codebases written in Java to train a Random Forest classifier to predict which files are likely to be external quality hotspots based on their internal quality metrics with over 75% accuracy. We also used the trained model to predict hotspots for a Java project whose data was not used to train the classifier and achieved over 75% accuracy again, demonstrating the method's general applicability to different projects. © 2018 World Scientific Publishing Company.</t>
  </si>
  <si>
    <t>Rocha JC,Zapalowski V,Nunes I</t>
  </si>
  <si>
    <t>Understanding Technical Debt at the Code Level from the Perspective of Software Developers</t>
  </si>
  <si>
    <t>https://www.scopus.com/inward/record.uri?eid=2-s2.0-85055590546&amp;doi=10.1145%2f3131151.3131164&amp;partnerID=40&amp;md5=4579cd77eb8cf835cacb499c4388c170;http://dx.doi.org/10.1145/3131151.3131164</t>
  </si>
  <si>
    <t>10.1145/3131151.3131164</t>
  </si>
  <si>
    <t>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 © 2017 ACM.</t>
  </si>
  <si>
    <t>Zhang XR,Lei MY,Li Y</t>
  </si>
  <si>
    <t>An Amplitudes-Perturbation Data Augmentation Method in Convolutional Neural Networks for EEG Decoding</t>
  </si>
  <si>
    <t>231 – 235</t>
  </si>
  <si>
    <t>https://www.scopus.com/inward/record.uri?eid=2-s2.0-85060304273&amp;doi=10.1109%2fICCSS.2018.8572304&amp;partnerID=40&amp;md5=321d9814261515dcc8c381a05cb91445;http://dx.doi.org/10.1109/ICCSS.2018.8572304</t>
  </si>
  <si>
    <t>10.1109/ICCSS.2018.8572304</t>
  </si>
  <si>
    <t>Brain-Computer Interface (BCI)system provides a pathway between humans and the outside world by analyzing brain signals which contain potential neural information. Electroencephalography (EEG)is one of most commonly used brain signals and EEG recognition is an important part of BCI system. Recently, convolutional neural networks (ConvNet)in deep learning are becoming the new cutting edge tools to tackle the problem of EEG recognition. However, training an effective deep learning model requires a big number of data, which limits the application of EEG datasets with a small number of samples. In order to solve the issue of data insufficiency in deep learning for EEG decoding, we propose a novel data augmentation method that add perturbations to amplitudes of EEG signals after transform them to frequency domain. In experiments, we explore the performance of signal recognition with the state-of-the-art models before and after data augmentation on BCI Competition IV dataset 2a and our local dataset. The results show that our data augmentation technique can improve the accuracy of EEG recognition effectively. © 2018 IEEE.</t>
  </si>
  <si>
    <t>Tornhill A</t>
  </si>
  <si>
    <t>Assessing technical debt in automated tests with codescene</t>
  </si>
  <si>
    <t>https://www.scopus.com/inward/record.uri?eid=2-s2.0-85050969959&amp;doi=10.1109%2fICSTW.2018.00039&amp;partnerID=40&amp;md5=14265fd8be7c272ad271e9c8f8990221;http://dx.doi.org/10.1109/ICSTW.2018.00039</t>
  </si>
  <si>
    <t>10.1109/ICSTW.2018.00039</t>
  </si>
  <si>
    <t>Test automation promises several advantages such as shorter lead times, higher code quality, and an executable documentation of the system's behavior. However, test automation won't deliver on those promises unless the quality of the automated test code itself is maintained, and to manually inspect the evolution of thousands of tests that change on a daily basis is impractical at best. This paper investigates how CodeScene - a tool for predictive analyses and visualizations - could be used to identify technical debt in automated test code. CodeScene combines repository mining, static code analysis, and machine learning to prioritize potential code improvements based on the most likely return on investment. © 2018 IEEE.</t>
  </si>
  <si>
    <t>Ardagna CA,Bellandi V,Ceravolo P,Damiani E,Di Martino B,D'Angelo S,Esposito A</t>
  </si>
  <si>
    <t>A Fast and Incremental Development Life Cycle for Data Analytics as a Service</t>
  </si>
  <si>
    <t>174 – 181</t>
  </si>
  <si>
    <t>https://www.scopus.com/inward/record.uri?eid=2-s2.0-85057744680&amp;doi=10.1109%2fBigDataCongress.2018.00030&amp;partnerID=40&amp;md5=0adeb53ccd3c1b524c98d7172ce13d1f;http://dx.doi.org/10.1109/BigDataCongress.2018.00030</t>
  </si>
  <si>
    <t>10.1109/BigDataCongress.2018.00030</t>
  </si>
  <si>
    <t>Big Data does not only refer to a huge amount of diverse and heterogeneous data. It also points to the management of procedures, technologies, and competencies associated with the analysis of such data, with the aim of supporting high-quality decision making. There are, however, several obstacles to the effective management of a Big Data computation, such as data velocity, variety, and veracity, and technological complexity, which represent the main barriers towards the full adoption of the Big Data paradigm. The goal of this work is to define a new software Development Life Cycle for the design and implementation of a Big Data computation. Our proposal integrates two model-driven methods: a first method based on pre-configured services that reduces the cost of deployment and a second method based on custom component development that provides an incremental process of refinement and customization. The proposal is experimentally evaluated by clustering a data set of the distribution of the population in the United States based on contextual criteria. © 2018 IEEE.</t>
  </si>
  <si>
    <t>Ding W,Liang P,Tang A,Van Vliet H</t>
  </si>
  <si>
    <t>Understanding the causes of architecture changes using OSS mailing lists</t>
  </si>
  <si>
    <t>1633 – 1651</t>
  </si>
  <si>
    <t>https://www.scopus.com/inward/record.uri?eid=2-s2.0-84962499658&amp;doi=10.1142%2fS0218194015400367&amp;partnerID=40&amp;md5=e25c5fcba81f00475ea9f5ab534b450e;http://dx.doi.org/10.1142/S0218194015400367</t>
  </si>
  <si>
    <t>10.1142/S0218194015400367</t>
  </si>
  <si>
    <t>The causes of architecture changes can tell about why architecture changes, and this knowledge can be captured to prevent architecture knowledge vaporization and architecture degeneration. But the causes are not always known, especially in open source software (OSS) development. This makes it very hard to understand the underlying reasons for the architecture changes and design appropriate modifications. Architecture information is communicated in development mailing lists of OSS projects. To explore the possibility of identifying and understanding the causes of architecture changes, we conducted an empirical study to analyze architecture information (i.e. architectural threads) communicated in the development mailing lists of two popular OSS projects: Hibernate and ArgoUML, verified architecture changes with source code, and identified the causes of architecture changes from the communicated architecture information. The main findings of this study are: (1) architecture information communicated in OSS mailing lists does lead to architecture changes in code; (2) the major cause for architecture changes in both Hibernate and ArgoUML is preventative changes, and the causes of architecture changes are further classified to functional requirement, external quality requirement, and internal quality requirement using the coding techniques of grounded theory; (3) more than 45% of architecture changes in both projects happened before the first stable version was released. © 2015 World Scientific Publishing Company.</t>
  </si>
  <si>
    <t>Walter B,Fontana FA,Ferme V</t>
  </si>
  <si>
    <t>Code smells and their collocations: A large-scale experiment on open-source systems</t>
  </si>
  <si>
    <t>1 – 21</t>
  </si>
  <si>
    <t>https://www.scopus.com/inward/record.uri?eid=2-s2.0-85047970347&amp;doi=10.1016%2fj.jss.2018.05.057&amp;partnerID=40&amp;md5=13247a0e7927890a2a6e02889e25dbc8;http://dx.doi.org/10.1016/j.jss.2018.05.057</t>
  </si>
  <si>
    <t>10.1016/j.jss.2018.05.057</t>
  </si>
  <si>
    <t>Code smells indicate possible flaws in software design, that could negatively affect system's maintainability. Interactions among smells located in the same classes (i.e., collocated smells) have even more detrimental effect on quality. Extracted frequent patterns of collocated smells could help to understand practical consequences of collocations. In this paper we identify and empirically validate frequent collocations of 14 code smells detected in 92 Java systems, using three approaches: pairwise correlation analysis, PCA and associative rules. To cross-validate the results, we used up to 6 detectors for each smell. Additionally, we examine and compare techniques used to extract the relationships. The contribution is three-fold: (1) we identify and empirically validate relationships among the examined code smells on a large dataset that we made publicly available, (2) we discuss how the choice of code smell detectors affects results, and (3) we analyze the impact of software domain on existence of the smell collocations. Additionally, we found that analytical methods we used to discover collocations, are complementary. Smells collocations display recurring patterns that could help prioritizing the classes affected by code smells to be refactored and developing or enhancing detectors exploiting information about collocations. They can also help the developers focusing on classes deserving more maintenance effort. © 2018</t>
  </si>
  <si>
    <t>Jana S,Tian Y,Pei K,Ray B</t>
  </si>
  <si>
    <t>DeepTest: Automated testing of deep-neural-network-driven autonomous cars</t>
  </si>
  <si>
    <t>https://www.scopus.com/inward/record.uri?eid=2-s2.0-85069772253&amp;doi=10.1145%2f3180155.3180220&amp;partnerID=40&amp;md5=bd81c43f9e437a21d2524b38678cb67f;http://dx.doi.org/10.1145/3180155.3180220</t>
  </si>
  <si>
    <t>10.1145/3180155.3180220</t>
  </si>
  <si>
    <t>Recent advances in Deep Neural Networks (DNNs) have led to the development of DNN-driven autonomous cars that, using sensors like camera, LiDAR, etc., can drive without any human intervention. Most major manufacturers including Tesla, GM, Ford, BMW, and Waymo/Google are working on building and testing different types of autonomous vehicles. The lawmakers of several US states including California, Texas, and New York have passed new legislation to fast-track the process of testing and deployment of autonomous vehicles on their roads. However, despite their spectacular progress, DNNs, just like traditional software, often demonstrate incorrect or unexpected corner-case behaviors that can lead to potentially fatal collisions. Several such real-world accidents involving autonomous cars have already happened including one which resulted in a fatality. Most existing testing techniques for DNN-driven vehicles are heavily dependent on the manual collection of test data under different driving conditions which become prohibitively expensive as the number of test conditions increases. In this paper, we design, implement, and evaluate DeepTest, a systematic testing tool for automatically detecting erroneous behaviors of DNN-driven vehicles that can potentially lead to fatal crashes. First, our tool is designed to automatically generated test cases leveraging real-world changes in driving conditions like rain, fog, lighting conditions, etc. DeepTest systematically explore different parts of the DNN logic by generating test inputs that maximize the numbers of activated neurons. DeepTest found thousands of erroneous behaviors under different realistic driving conditions (e.g., blurring, rain, fog, etc.) many of which lead to potentially fatal crashes in three top performing DNNs in the Udacity self-driving car challenge. © 2018 Association for Computing Machinery.</t>
  </si>
  <si>
    <t>Cited by: 587; All Open Access, Bronze Open Access</t>
  </si>
  <si>
    <t>Feng Q,Kazman R,Cai Y,Mo R,Xiao L</t>
  </si>
  <si>
    <t>Towards an architecture-centric approach to security analysis</t>
  </si>
  <si>
    <t>221 – 230</t>
  </si>
  <si>
    <t>https://www.scopus.com/inward/record.uri?eid=2-s2.0-84983238335&amp;doi=10.1109%2fWICSA.2016.41&amp;partnerID=40&amp;md5=8758a2e935627411a84d692025434931;http://dx.doi.org/10.1109/WICSA.2016.41</t>
  </si>
  <si>
    <t>10.1109/WICSA.2016.41</t>
  </si>
  <si>
    <t>Recently there has been increased attention to the consequences of architecture design decisions and their impact on security. Architectural design decisions have been identified as being critical for achieving high levels of software system security. However the majority of this research has been anecdotal and there are few tools or methods for understanding the architectural relations among files, and their impact on security. In this paper we employ a DRSpace-based analysis approach to identify architectural design flaws and we show, via an empirical study of 10 open source projects, that areas of a software architecture that suffer from greater numbers of design flaws are highly correlated with security bugs, and high levels of churn associated with those security bugs. Finally, we show that a specific type of design flaw - unstable interface - is correlated with the greatest increase in software security bugs. © 2016 IEEE.</t>
  </si>
  <si>
    <t>Falessi D,Reichel A</t>
  </si>
  <si>
    <t>Towards an open-source tool for measuring and visualizing the interest of technical debt</t>
  </si>
  <si>
    <t>https://www.scopus.com/inward/record.uri?eid=2-s2.0-84963624234&amp;doi=10.1109%2fMTD.2015.7332618&amp;partnerID=40&amp;md5=89d81ad9d7d2146b53990a627c01b7ea;http://dx.doi.org/10.1109/MTD.2015.7332618</t>
  </si>
  <si>
    <t>10.1109/MTD.2015.7332618</t>
  </si>
  <si>
    <t>Current tools for managing technical debt are able to report the principal of the debt, i.e., the amount of effort required to fix all the quality rules violated in a project. However, they do not report the interest, i.e., the disadvantages the project had or will have due to quality rules violations. As a consequence, the user lacks support in understanding how much the principal should be reduced and why. We claim that information about the interest is, at least, as important as the information about the principal; the interest should be quantified and treated as a first-class entity like the principal. In this paper we aim to advance the state of the art of how the interest is measured and visualized. The goal of the paper is to describe MIND, an open-source tool which is, to the best of our knowledge, the first tool supporting the quantification and visualization of the interest. MIND, by analyzing historical data coming from Redmine and Git repositories, reports the interest incurring in a software project in terms of how many extra defects occurred, or will occur, due to quality rules violations. We evaluated MIND by using it to analyze a software project stored in a dataset of more than a million lines of code. Results suggest that MIND accurately measures the interest of technical debt. © 2015 IEEE.</t>
  </si>
  <si>
    <t>Tsoukalas D,Siavvas M,Jankovic M,Kehagias D,Chatzigeorgiou A,Tzovaras D</t>
  </si>
  <si>
    <t>Methods and Tools for TD Estimation and Forecasting: A State-of-the-art Survey</t>
  </si>
  <si>
    <t>698 – 705</t>
  </si>
  <si>
    <t>https://www.scopus.com/inward/record.uri?eid=2-s2.0-85065960484&amp;doi=10.1109%2fIS.2018.8710521&amp;partnerID=40&amp;md5=0a898ef8fbff21aa2cc0f1b7c26b83a7;http://dx.doi.org/10.1109/IS.2018.8710521</t>
  </si>
  <si>
    <t>10.1109/IS.2018.8710521</t>
  </si>
  <si>
    <t>Technical debt (TD), a metaphor inspired by the financial debt of economic theory, indicates quality compromises that can yield short-term benefits in the software development process, but may negatively affect the long-term quality of software products. Numerous techniques, methods, and tools have been proposed over the years for estimating and managing TD, providing a variety of options to the developers and project managers of software applications. However, apart from managing TD, predicting its future value is equally important since this knowledge is expected to facilitate decision-making tasks regarding software implementation and maintenance, such as incurring or paying off TD instances. To this end, the purpose of the present study is to (i) summarize the work that has been conducted until today in the field of TD estimation and forecasting, and (ii) to identify existing open issues that have not been adequately addressed yet and require further research. The present survey led to two interesting observations. Firstly, none of the existing TD estimation methods and tools has reached a desired level of maturity, while a large volume of previously uninvestigated metrics and techniques exist that could potentially increase the completeness of TD estimation. Secondly, no notable contributions exist in the field of TD forecasting, indicating that it is a scarcely investigated field. The latter constitutes the main finding of the present literature review, since TD forecasting could lead to the development of practical decision-making mechanisms, which could assist developers and project managers in taking proactive actions regarding TD repayment. © 2018 IEEE.</t>
  </si>
  <si>
    <t>Cited by: 12; All Open Access, Green Open Access</t>
  </si>
  <si>
    <t>Fontana FA,Zanoni M,Marino A,Mäntylä MV</t>
  </si>
  <si>
    <t>Code smell detection: Towards a machine learning-based approach</t>
  </si>
  <si>
    <t>396 – 399</t>
  </si>
  <si>
    <t>https://www.scopus.com/inward/record.uri?eid=2-s2.0-84891688656&amp;doi=10.1109%2fICSM.2013.56&amp;partnerID=40&amp;md5=1580015a515cb7c8d67933935648c03a;http://dx.doi.org/10.1109/ICSM.2013.56</t>
  </si>
  <si>
    <t>10.1109/ICSM.2013.56</t>
  </si>
  <si>
    <t>Several code smells detection tools have been developed providing different results, because smells can be subjectively interpreted and hence detected in different ways. Usually the detection techniques are based on the computation of different kinds of metrics, and other aspects related to the domain of the system under analysis, its size and other design features are not taken into account. In this paper we propose an approach we are studying based on machine learning techniques. We outline some common problems faced for smells detection and we describe the different steps of our approach and the algorithms we use for the classification. © 2013 IEEE.</t>
  </si>
  <si>
    <t>Cited by: 93</t>
  </si>
  <si>
    <t>Mani S</t>
  </si>
  <si>
    <t>Improving enterprise software maintenance efficiency through mining software repositories in an industry context</t>
  </si>
  <si>
    <t>706 – 709</t>
  </si>
  <si>
    <t>https://www.scopus.com/inward/record.uri?eid=2-s2.0-84903641089&amp;doi=10.1145%2f2591062.2591085&amp;partnerID=40&amp;md5=b1018435ab0a9634720e47e219964737;http://dx.doi.org/10.1145/2591062.2591085</t>
  </si>
  <si>
    <t>10.1145/2591062.2591085</t>
  </si>
  <si>
    <t>There is an increasing trend to outsource maintenance of large applications and application portfolios of a business to third parties, specializing in application maintenance, who are incented to deliver the best possible maintenance at the lowest cost. In a typical industry setting any maintenance project spans three different phases; Transition, Steady-State and Preventive Maintenance. Each phase has different goals and drivers, but underlying software repositories or artifacts remain the same. To improve the overall efficiency of the process and people involved in these different phases, we require appropriate insights to be derived from the available software repositories. In the past decade considerable research has been done in mining software repositories and deriving insights, particularly focussed on open source softwares. However, focussed studies on enterprise software maintenance in an industrial setting is severely lacking. In this thesis work, we intend to understand the industry needs on desired insights and limitations on available software artifacts across these different phases. Based on this understanding we intend to propose and develop novel methods and approaches for deriving desirable insights from software repositories. We also intend to leverage empirical techniques to validate our approaches both qualitatively and quantitatively. Copyright © 2014 ACM.</t>
  </si>
  <si>
    <t>Sheil H,Rana O,Reilly R</t>
  </si>
  <si>
    <t>Predicting purchasing intent: Automatic feature learning using recurrent neural networks</t>
  </si>
  <si>
    <t>https://www.scopus.com/inward/record.uri?eid=2-s2.0-85062324873&amp;partnerID=40&amp;md5=362500e663e18919bb737be67017b1ef</t>
  </si>
  <si>
    <t>We present a neural network for predicting purchasing intent in an Ecommerce setting. Our main contribution is to address the significant investment in feature engineering that is usually associated with state-of-the-art methods such as Gradient Boosted Machines. We use trainable vector spaces to model varied, semi-structured input data comprising categoricals, quantities and unique instances. Multi-layer recurrent neural networks capture both session-local and dataset-global event dependencies and relationships for user sessions of any length. An exploration of model design decisions including parameter sharing and skip connections further increase model accuracy. Results on benchmark datasets deliver classification accuracy within 98% of state-of-the-art on one and exceed state-of-the-art on the second without the need for any domain / dataset-specific feature engineering on both short and long event sequences. Copyright © 2018 by the paper’s authors.</t>
  </si>
  <si>
    <t>Perez-Castillo R,Piattini M</t>
  </si>
  <si>
    <t>An empirical study on how project context impacts on code cloning</t>
  </si>
  <si>
    <t>https://www.scopus.com/inward/record.uri?eid=2-s2.0-85058463945&amp;doi=10.1002%2fsmr.2115&amp;partnerID=40&amp;md5=a3dfe1fadc2b7a37ca9536733b49c84e;http://dx.doi.org/10.1002/smr.2115</t>
  </si>
  <si>
    <t>10.1002/smr.2115</t>
  </si>
  <si>
    <t>Code cloning can seriously affect software quality. Code clones are various fragments of syntactically or semantically equivalent code. Some authors argue that code clones have a negative impact on maintainability and understandability, since clones propagate defects and make it mandatory to pay attention to several copies. However, other authors believe clones are not necessarily bad, since self-admitted clones favor system stability and allow developers to move projects forward. Although some root causes and effects of cloning have been widely studied, there is not much relevant work analyzing how certain projects context factors impact on code cloning. This work presents an empirical validation of six open source projects by considering certain factors from Git repositories measured throughout a total of 70 releases for the 6 systems. The factors analyzed were the number of commits and committers per release, the average size of the commits and the size of the system in each release. The main conclusion obtained from the study is that, while the number of commits and committers and the system size do not significantly affect cloning, larger commits lead to a higher cloning ratio. These insights contribute to predicting and preventing code cloning, thus enabling a software quality improvement. © 2018 John Wiley &amp; Sons, Ltd.</t>
  </si>
  <si>
    <t>Bulmer T,Montgomery L,Damian D</t>
  </si>
  <si>
    <t>Predicting developers' IDE commands with machine learning</t>
  </si>
  <si>
    <t>82 – 85</t>
  </si>
  <si>
    <t>https://www.scopus.com/inward/record.uri?eid=2-s2.0-85051654015&amp;doi=10.1145%2f3196398.3196459&amp;partnerID=40&amp;md5=68ae9396be10178693fabb42ae333235;http://dx.doi.org/10.1145/3196398.3196459</t>
  </si>
  <si>
    <t>10.1145/3196398.3196459</t>
  </si>
  <si>
    <t>When a developer is writing code they are usually focused and in a state-of-mind which some refer to as flow. Breaking out of this flow can cause the developer to lose their train of thought and have to start their thought process from the beginning. This loss of thought can be caused by interruptions and sometimes slow IDE interactions. Predictive functionality has been harnessed in user applications to speed up load times, such as in Google Chrome's browser which has a feature called Predicting Network Actions. This will pre-load web-pages that the user is most likely to click through. This mitigates the interruption that load times can introduce. In this paper we seek to make the first step towards predicting user commands in the IDE. Using the MSR 2018 Challenge Data of over 3000 developer session and over 10 million recorded events, we analyze and cleanse the data to be parsed into event series, which can then be used to train a variety of machine learning models, including a neural network, to predict user induced commands. Our highest performing model is able to obtain a 5 cross-fold validation prediction accuracy of 64%. © 2018 ACM.</t>
  </si>
  <si>
    <t>Shahbazian A,Nam D,Medvidovic N</t>
  </si>
  <si>
    <t>Toward predicting architectural significance of implementation issues</t>
  </si>
  <si>
    <t>215 – 219</t>
  </si>
  <si>
    <t>https://www.scopus.com/inward/record.uri?eid=2-s2.0-85051672122&amp;doi=10.1145%2f3196398.3196440&amp;partnerID=40&amp;md5=e0eab957a50dd87034aaca6069769b30;http://dx.doi.org/10.1145/3196398.3196440</t>
  </si>
  <si>
    <t>10.1145/3196398.3196440</t>
  </si>
  <si>
    <t>In a software system's development lifecycle, engineers make numerous design decisions that subsequently cause architectural change in the system. Previous studies have shown that, more often than not, these architectural changes are unintentional by-products of continual software maintenance tasks. The result of inadvertent architectural changes is accumulation of technical debt and deterioration of software quality. Despite their important implications, there is a relative shortage of techniques, tools, and empirical studies pertaining to architectural design decisions. In this paper, we take a step toward addressing that scarcity by using the information in the issue and code repositories of open-source software systems to investigate the cause and frequency of such architectural design decisions. Furthermore, building on these results, we develop a predictive model that is able to identify the architectural significance of newly submitted issues, thereby helping engineers to prevent the adverse effects of architectural decay. The results of this study are based on the analysis of 21,062 issues affecting 301 versions of 5 large open-source systems for which the code changes and issues were publicly accessible. © 2018 ACM.</t>
  </si>
  <si>
    <t>Cited by: 8; All Open Access, Bronze Open Access</t>
  </si>
  <si>
    <t>Goleva RI,Garcia NM,Mavromoustakis CX,Dobre C,Mastorakis G,Stainov R,Chorbev I,Trajkovik V</t>
  </si>
  <si>
    <t>AAL and ELE Platform Architecture</t>
  </si>
  <si>
    <t>https://www.scopus.com/inward/record.uri?eid=2-s2.0-85024370661&amp;doi=10.1016%2fB978-0-12-805195-5.00008-9&amp;partnerID=40&amp;md5=a2abf57e3e55b52dfd00d506f7b0d93a;http://dx.doi.org/10.1016/B978-0-12-805195-5.00008-9</t>
  </si>
  <si>
    <t>10.1016/B978-0-12-805195-5.00008-9</t>
  </si>
  <si>
    <t>The aim of this chapter is to present the Ambient Assisted Living/Enhanced Living Environment (AAL/ELE) platform architecture that is an open system for internetworking and defines a provision of services to the citizens. The work is describing the framework, main hierarchical layers, common and specific services and applications, important functionality, possible technologies, supported protocols and common interfaces that will allow interoperability between already existing and newly designed platforms.The described platform is not a single product in the cloud but generic specification of many existing platforms and their possible extended internetworked versions. The chapter identifies main platform building blocks and is not limited to sensor networks, wire and wireless communication infrastructure for AAL services, requirement analysis, stakeholders' profiling, protocols, platform analysis algorithms, Quality of Service, Quality of Experience analyses, capacity planning, data models for medical/personal data acquisition, processing algorithms, user interaction interfaces, end-user testing, mobile AAL/ELE, web-based, cloud-based AAL/ELE applications as well as AAL as a Service (AALaaS) and ELE as a Service (ELEaaS). © 2017 Elsevier Inc. All rights reserved.</t>
  </si>
  <si>
    <t>171 – 209</t>
  </si>
  <si>
    <t>Mittal S</t>
  </si>
  <si>
    <t>Self-organizing infrastructure for machine (deep) learning at scale</t>
  </si>
  <si>
    <t>5 – 8</t>
  </si>
  <si>
    <t>https://www.scopus.com/inward/record.uri?eid=2-s2.0-85051677013&amp;doi=10.1145%2f3195555.3195562&amp;partnerID=40&amp;md5=399ade8ebe06d485719a7dd517c847ef;http://dx.doi.org/10.1145/3195555.3195562</t>
  </si>
  <si>
    <t>10.1145/3195555.3195562</t>
  </si>
  <si>
    <t>Building machine (deep) learning1 systems is hard. Computation requirements grow non-linearly with the complexity of the task at hand creating acute challenges relating to data dimensionality, complex model development, slow experiments, and scalability of production deployments. The bulk of the ML/DL effort is consumed in infrastructure and data management. Automating such workflows has become the focus of recent research activity, so as to make ML/DL systems universally accessible. We extend these paradigms by infusing domain knowledge for infrastructure self-management. Key elements include understanding application design intent, fingerprinting the neural network for its computational, data and convergence properties, optimizing the implementation to achieving workload intent, and accelerating the neural network implementation in real-time hardware implementation. Keys to success require offline behavioural modelling coupled with online dynamic adaptation, made possible by the use of cognitive algorithms that accumulate knowledge in a dynamic and continuously evolving knowledgebase. In this way, we use machine learning to automate AI infrastructure management to minimize human engineering, and significantly accelerating application performance. © 2018 ACM.</t>
  </si>
  <si>
    <t>Arvanitou EM,Ampatzoglou A,Chatzigeorgiou A,Avgeriou P</t>
  </si>
  <si>
    <t>A method for assessing class change proneness</t>
  </si>
  <si>
    <t>186 – 195</t>
  </si>
  <si>
    <t>https://www.scopus.com/inward/record.uri?eid=2-s2.0-85025432762&amp;doi=10.1145%2f3084226.3084239&amp;partnerID=40&amp;md5=874158b90143a4a1ada5da7df674be31;http://dx.doi.org/10.1145/3084226.3084239</t>
  </si>
  <si>
    <t>10.1145/3084226.3084239</t>
  </si>
  <si>
    <t>Change proneness is a quality characteristic of software artifacts that represents their probability to change in the future due to: (a) evolving requirements, (b) bug fixing, or (c) ripple effects. In the literature, change proneness has been associated with many negative consequences along software evolution. For example, artifacts that are change-prone tend to produce more defects, and accumulate more technical debt. Therefore, identifying and monitoring modules of the system that are change-prone is of paramount importance. Assessing change proneness requires information from two sources: (a) the history of changes in the artifact as a proxy of how frequently the artifact itself is changing, and (b) the source code structure that affects the probability of a change being propagated among artifacts. In this paper, we propose a method for assessing the change proneness of classes based on the two aforementioned information sources. To validate the proposed approach, we performed a case study on five open-source projects. Specifically, we compared the accuracy of the proposed approach to the use of other software metrics and change history to assess change proneness, based on the 1061-1998 IEEE Standard on Software Measurement. The results of the case study suggest that the proposed method is the most accurate and reliable assessor of change proneness. The high accuracy of the method suggests that the method and accompanying tool can effectively aid practitioners during software maintenance and evolution. © 2017 Association for Computing Machinery ACM.</t>
  </si>
  <si>
    <t>Fontana FA,Dietrich J,Walter B,Yamashita A,Zanoni M</t>
  </si>
  <si>
    <t>Anti-pattern and code smell false positives: Preliminary conceptualisation and classification</t>
  </si>
  <si>
    <t>609 – 613</t>
  </si>
  <si>
    <t>https://www.scopus.com/inward/record.uri?eid=2-s2.0-84991000274&amp;doi=10.1109%2fSANER.2016.84&amp;partnerID=40&amp;md5=ba372f42bf0c3a1b468fbfa8760e6a84;http://dx.doi.org/10.1109/SANER.2016.84</t>
  </si>
  <si>
    <t>10.1109/SANER.2016.84</t>
  </si>
  <si>
    <t>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 © 2016 IEEE.</t>
  </si>
  <si>
    <t>Cited by: 59; All Open Access, Green Open Access</t>
  </si>
  <si>
    <t>Lin Y,Peng X,Cai Y,Dig D,Zheng D,Zhao W</t>
  </si>
  <si>
    <t>Interactive and guided architectural refactoring with search-based recommendation</t>
  </si>
  <si>
    <t>13-18-Noember-2016</t>
  </si>
  <si>
    <t>https://www.scopus.com/inward/record.uri?eid=2-s2.0-84997124483&amp;doi=10.1145%2f2950290.2950317&amp;partnerID=40&amp;md5=a398b600201d12b8e78ac14606f33ccb;http://dx.doi.org/10.1145/2950290.2950317</t>
  </si>
  <si>
    <t>10.1145/2950290.2950317</t>
  </si>
  <si>
    <t>Architectural refactorings can contain hundreds of steps and experienced developers could carry them out over several weeks. Moreover, developers need to explore a correct sequence of refactorings steps among many more incorrect alternatives. Thus, carrying out architectural refactorings is costly, risky, and challenging. In this paper, we present Refactoring Navigator: A tool-supported and interactive recommendation approach for aiding architectural refactoring. Our approach takes a given implementation as the starting point, a desired high-level design as the target, and iteratively recommends a series of refactoring steps. Moreover, our approach allows the user to accept, reject, or ignore a recommended refactoring step, and uses the user's feedback in further refactoring recommendations. We evaluated the effectiveness of our approach and tool using a controlled experiment and an industrial case study. The controlled experiment shows that the participants who used Refactoring Navigator accomplished their tasks in 77.4% less time and manually edited 98.3% fewer lines than the control group. The industrial case study suggests that Refactoring Navigator has the potential to help with architectural refactorings in practice. © 2016 ACM.</t>
  </si>
  <si>
    <t>Cited by: 46</t>
  </si>
  <si>
    <t>Krishna R,Menzies T,Layman L</t>
  </si>
  <si>
    <t>Less is more: Minimizing code reorganization using XTREE</t>
  </si>
  <si>
    <t>53 – 66</t>
  </si>
  <si>
    <t>https://www.scopus.com/inward/record.uri?eid=2-s2.0-85016444613&amp;doi=10.1016%2fj.infsof.2017.03.012&amp;partnerID=40&amp;md5=8b759acaa01c5136355d900e55157249;http://dx.doi.org/10.1016/j.infsof.2017.03.012</t>
  </si>
  <si>
    <t>10.1016/j.infsof.2017.03.012</t>
  </si>
  <si>
    <t>Context: Developers use bad code smells to guide code reorganization. Yet developers, textbooks, tools, and researchers disagree on which bad smells are important. How can we offer reliable advice to developers about which bad smells to fix? Objective: To evaluate the likelihood that a code reorganization to address bad code smells will yield improvement in the defect-proneness of the code. 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 Evaluation: We evaluate XTREE's recommendations for bad smell improvement against recommendations from previous work (Shatnawi, Alves, and Borges) using multiple data sets of code metrics and defect counts. 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 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 © 2017 Elsevier B.V.</t>
  </si>
  <si>
    <t>Mannan UA,Ahmed I,Sarma A</t>
  </si>
  <si>
    <t>Towards understanding code readability and its impact on design quality</t>
  </si>
  <si>
    <t>18 – 21</t>
  </si>
  <si>
    <t>https://www.scopus.com/inward/record.uri?eid=2-s2.0-85061820119&amp;doi=10.1145%2f3283812.3283820&amp;partnerID=40&amp;md5=7bb0b78d489818aa147e2c7e2bcc0a46;http://dx.doi.org/10.1145/3283812.3283820</t>
  </si>
  <si>
    <t>10.1145/3283812.3283820</t>
  </si>
  <si>
    <t>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τ) with code smell count (indicator of design quality). Since current readability measure is unable to capture the increased difficulty in reading code due to the degraded design quality, our results hint towards the need of a better measurement and modeling of code readability. © 2018 Association for Computing Machinery.</t>
  </si>
  <si>
    <t>Liu Z,Huang Q,Xia X,Shihab E,Lo D,Li S</t>
  </si>
  <si>
    <t>SATD detector: A text-mining-based self-Admitted technical debt detection tool</t>
  </si>
  <si>
    <t>9 – 12</t>
  </si>
  <si>
    <t>https://www.scopus.com/inward/record.uri?eid=2-s2.0-85049683556&amp;doi=10.1145%2f3183440.3183478&amp;partnerID=40&amp;md5=fc9b4f29011dee78dffc65dcb86362ba;http://dx.doi.org/10.1145/3183440.3183478</t>
  </si>
  <si>
    <t>10.1145/3183440.3183478</t>
  </si>
  <si>
    <t>In software projects, technical debt metaphor is used to describe the situation where developers and managers have to accept compromises in long-Term software quality to achieve short-Term goals. There are many types of technical debt, and self-Admitted technical debt (SATD) was proposed recently to consider debt that is introduced intentionally (e.g., through temporaryfi x) and admitted by developers themselves. Previous work has shown that SATD can be successfully detected using source code comments. However, most current state-of-The-Art approaches identify SATD comments through pattern matching, which achieve high precision but very low recall. That means they may miss many SATD comments and are not practical enough. In this paper, we propose SATD Detector, a tool that is able to (i) automatically detect SATD comments using text mining and (ii) highlight, list and manage detected comments in an integrated development environment (IDE). This tool consists of a Java library and an Eclipse plug-in. The Java library is the back-end, which provides command-line interfaces and Java APIs to re-Train the text mining model using users' data and automatically detect SATD comments using either the build-in model or a user-specified model. The Eclipse plug-in, which is the front-end, first leverages our pre-Trained composite classifier to detect SATD comments, and then highlights and marks these detected comments in the source code editor of Eclipse. In addition, the Eclipse plug-in provides a view in IDE which collects all detected comments for management. Demo URL: https://youtu.be/sn4gU2qhGm0 Java library download: https://git.io/vNdnY Eclipse plug-in download: https://goo.gl/ZzjBzp. © 2018 Authors.</t>
  </si>
  <si>
    <t>Da Maldonado ES,Abdalkareem R,Shihab E,Serebrenik A</t>
  </si>
  <si>
    <t>An empirical study on the removal of Self-Admitted Technical Debt</t>
  </si>
  <si>
    <t>238 – 248</t>
  </si>
  <si>
    <t>https://www.scopus.com/inward/record.uri?eid=2-s2.0-85040559968&amp;doi=10.1109%2fICSME.2017.8&amp;partnerID=40&amp;md5=87314b2704eb01c637755bc6b19462bc;http://dx.doi.org/10.1109/ICSME.2017.8</t>
  </si>
  <si>
    <t>10.1109/ICSME.2017.8</t>
  </si>
  <si>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 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 © 2017 IEEE.</t>
  </si>
  <si>
    <t>Kalles D</t>
  </si>
  <si>
    <t>Artificial intelligence meets software engineering in computing education</t>
  </si>
  <si>
    <t>18-20-May-2016</t>
  </si>
  <si>
    <t>https://www.scopus.com/inward/record.uri?eid=2-s2.0-84986567908&amp;doi=10.1145%2f2903220.2903223&amp;partnerID=40&amp;md5=abf8f9677f7f6a30d956f24886c14aeb;http://dx.doi.org/10.1145/2903220.2903223</t>
  </si>
  <si>
    <t>10.1145/2903220.2903223</t>
  </si>
  <si>
    <t>In this paper we report on the experience of using artificial intelligence systems as the basis of educating IT students in software engineering practices. These systems have been evolving over nearly a dozen years and the process has been generating a steady stream of graduates, at the undergraduate and postgraduate level, whose dissertations and projects demonstrate the strong interplay of artificial intelligence and software engineering. The AI domains where we have applied a software engineering approach for instruction are focused on decision tree lifecycle management and board game learning mechanisms. Quite as importantly, both approaches have also delivered working research tools. © 2016 ACM.</t>
  </si>
  <si>
    <t>Zampetti F,Serebrenik A,Di Penta M</t>
  </si>
  <si>
    <t>Was self-admitted technical debt removal a real removal?: An in-depth perspective</t>
  </si>
  <si>
    <t>526 – 536</t>
  </si>
  <si>
    <t>https://www.scopus.com/inward/record.uri?eid=2-s2.0-85051635603&amp;doi=10.1145%2f3196398.3196423&amp;partnerID=40&amp;md5=55574cd1b42668435b7df6ea09d91098;http://dx.doi.org/10.1145/3196398.3196423</t>
  </si>
  <si>
    <t>10.1145/3196398.3196423</t>
  </si>
  <si>
    <t>Technical Debt (TD) has been defined as code being not quite right yet, and its presence is often self-admitted by developers through comments. The purpose of such comments is to keep track of TD and appropriately address it when possible. Building on a previous quantitative investigation by Maldonado et al. on the removal of self-admitted technical debt (SATD), in this paper we perform an in-depth quantitative and qualitative study of how SATD is addressed in five Java open source projects. On the one hand, we look at whether SATD is accidentally removed, and the extent to which the SATD removal is being documented. We found that that (i) between 20% and 50% of SATD comments are accidentally removed while entire classes or methods are dropped, (ii) 8% of the SATD removal is acknowledged in commit messages, and (iii) while most of the changes addressing SATD require complex source code changes, very often SATD is addressed by specific changes to method calls or conditionals. Our results can be used to better plan TD management or learn patterns for addressing certain kinds of TD and provide recommendations to developers. © 2018 ACM.</t>
  </si>
  <si>
    <t>Cited by: 33; All Open Access, Green Open Access</t>
  </si>
  <si>
    <t>Miljkovic D,Aleksovski D,Podpečan V,Lavrač N,Malle B,Holzinger A</t>
  </si>
  <si>
    <t>Machine learning and data mining methods for managing Parkinson’s disease</t>
  </si>
  <si>
    <t>9605 LNCS</t>
  </si>
  <si>
    <t>209 – 220</t>
  </si>
  <si>
    <t>https://www.scopus.com/inward/record.uri?eid=2-s2.0-85006456778&amp;doi=10.1007%2f978-3-319-50478-0_10&amp;partnerID=40&amp;md5=4c4373897f09d45e54249bb2d656efc0;http://dx.doi.org/10.1007/978-3-319-50478-0_10</t>
  </si>
  <si>
    <t>10.1007/978-3-319-50478-0_10</t>
  </si>
  <si>
    <t>Parkinson’s disease (PD) results primarily from dying of dopaminergic neurons in the Substantia Nigra, a part of the Mesencephalon (midbrain), which is not curable to date. PD medications treat symptoms only, none halt or retard dopaminergic neuron degeneration. Here machine learning methods can be of help since one of the crucial roles in the management and treatment of PD patients is detection and classification of tremors. In the clinical practice, this is one of the most common movement disorders and is typically classified using behavioral or etiological factors. Another important issue is to detect and evaluate PD related gait patterns, gait initiation and freezing of gait, which are typical symptoms of PD. Medical studies have shown that 90% of people with PD suffer from vocal impairment, consequently the analysis of voice data to discriminate healthy people from PD is relevant. This paper provides a quick overview of the state-of-the-art and some directions for future research, motivated by the ongoing PD manager project. © Springer International Publishing AG 2016.</t>
  </si>
  <si>
    <t>Bowlds TF,Fossaceca JM,Iammartino R</t>
  </si>
  <si>
    <t>Software obsolescence risk assessment approach using multicriteria decision-making</t>
  </si>
  <si>
    <t>Systems Engineering</t>
  </si>
  <si>
    <t>455 – 465</t>
  </si>
  <si>
    <t>John Wiley and Sons Inc.</t>
  </si>
  <si>
    <t>1098-1241</t>
  </si>
  <si>
    <t>https://www.scopus.com/inward/record.uri?eid=2-s2.0-85047663116&amp;doi=10.1002%2fsys.21446&amp;partnerID=40&amp;md5=9f64869ad5c8051e78e7b90916fd443b;http://dx.doi.org/10.1002/sys.21446</t>
  </si>
  <si>
    <t>10.1002/sys.21446</t>
  </si>
  <si>
    <t>System obsolescence issues are a routine occurrence, especially for systems with a high utilization of commercial electronic components or software applications with a long operational life. The extended length of a system's development can often result in obsolescence well before system production and fielding begins. Obsolescence affects individual electronic components and availability of materials, as well as access to experienced personnel, processes, and software. Legacy application software obsolescence is influenced by multiple factors. Included in these factors are hardware obsolescence, increased software maintenance, commercial off-the-shelf software obsolescence, growth in technical debt, growth in complexity, and a lack of embedded business rule documentation. These criteria influence subjective management decisions in the remediation of current or future obsolescence risk. A multicriteria decision-making (MCDM) approach is proposed to evaluate the impact of multiple obsolescence elements over the life cycle of a software application with consideration for the knowledge, preference, and subjectivity of experts to better inform the risk assessment and timing of future mitigation strategies. The resulting MCDM score provides a break point for a quantifiable increase in obsolescence risk. © 2018 Wiley Periodicals, Inc.</t>
  </si>
  <si>
    <t>Ahmed I,Brindescu C,Mannan UA,Jensen C,Sarma A</t>
  </si>
  <si>
    <t>An Empirical Examination of the Relationship between Code Smells and Merge Conflicts</t>
  </si>
  <si>
    <t>58 – 67</t>
  </si>
  <si>
    <t>https://www.scopus.com/inward/record.uri?eid=2-s2.0-85042390923&amp;doi=10.1109%2fESEM.2017.12&amp;partnerID=40&amp;md5=9ab6c329033b57a845b80a8fde98a836;http://dx.doi.org/10.1109/ESEM.2017.12</t>
  </si>
  <si>
    <t>10.1109/ESEM.2017.12</t>
  </si>
  <si>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 © 2017 IEEE.</t>
  </si>
  <si>
    <t>Cited by: 26</t>
  </si>
  <si>
    <t>Zhu Q,Guo S,Ogilvie P,Liu Y</t>
  </si>
  <si>
    <t>Business applications of predictive modeling at scale</t>
  </si>
  <si>
    <t>13-17-August-2016</t>
  </si>
  <si>
    <t>2139 – 2140</t>
  </si>
  <si>
    <t>https://www.scopus.com/inward/record.uri?eid=2-s2.0-84985021331&amp;doi=10.1145%2f2939672.2945388&amp;partnerID=40&amp;md5=c72fda8d1d66dc2a09daed6c9e63682b;http://dx.doi.org/10.1145/2939672.2945388</t>
  </si>
  <si>
    <t>10.1145/2939672.2945388</t>
  </si>
  <si>
    <t>Predictive modeling is the art of building statistical models that forecast probabilities and trends of future events. It has broad applications in industry across different domains. Some popular examples include user intention predictions, lead scoring, churn analysis, etc. In this tutorial, we will focus on the best practice of predictive modeling in the big data era and its applications in industry, with motivating examples across a range of business tasks and relevance products. We will start with an overview of how predictive modeling helps power and drive various key business use cases [5]. We will introduce the essential concepts and state of the art in building end-to-end predictive modeling solutions, and discuss the challenges [6], key technologies, and lessons learned from our practice, including case studies of LinkedIn feed relevance [1-4] and a platform for email response prediction. Moreover, we will discuss some practical solutions of building predictive modeling platform to scale the modeling efforts for data scientists and analysts, along with an overview of popular tools and platforms used across the industry.</t>
  </si>
  <si>
    <t>Your system gets better every day you use it: Towards automated continuous experimentation</t>
  </si>
  <si>
    <t>256 – 265</t>
  </si>
  <si>
    <t>https://www.scopus.com/inward/record.uri?eid=2-s2.0-85034432549&amp;doi=10.1109%2fSEAA.2017.15&amp;partnerID=40&amp;md5=45c23c07014a9deea0ed21eebd3ec72a;http://dx.doi.org/10.1109/SEAA.2017.15</t>
  </si>
  <si>
    <t>10.1109/SEAA.2017.15</t>
  </si>
  <si>
    <t>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 © 2017 IEEE.</t>
  </si>
  <si>
    <t>Palomba F,Tamburri DA,Serebrenik A,Zaidman A,Fontana FA,Oliveto R</t>
  </si>
  <si>
    <t>How do community smells influence code smells?</t>
  </si>
  <si>
    <t>240 – 241</t>
  </si>
  <si>
    <t>https://www.scopus.com/inward/record.uri?eid=2-s2.0-85049674778&amp;doi=10.1145%2f3183440.3194950&amp;partnerID=40&amp;md5=e3304807d2353cd906e4c925fd57549b;http://dx.doi.org/10.1145/3183440.3194950</t>
  </si>
  <si>
    <t>10.1145/3183440.3194950</t>
  </si>
  <si>
    <t>Code smells reflect sub-optimal patterns of code that often lead to critical software flaws or failure. In the same way, community smells reflect sub-optimal organisational and socio-Technical patterns in the organisational structure of the software community. To understand the relation between the community smells and code smells we start by surveying 162 developers of nine open-source systems. Then we look deeper into this connection by conducting an empirical study of 117 releases from these systems. Our results indicate that community-related factors are intuitively perceived by most developers as causes of the persistence of code smells. Inspired by this observation we design a community-Aware prediction model for code smells and show that it outperforms a model that does not consider community factors. © 2018 Authors.</t>
  </si>
  <si>
    <t>Zhang D,Li B,Li Z,Liang P</t>
  </si>
  <si>
    <t>A preliminary investigation of self-Admitted refactorings in open source software</t>
  </si>
  <si>
    <t>165 – 168</t>
  </si>
  <si>
    <t>https://www.scopus.com/inward/record.uri?eid=2-s2.0-85056883561&amp;doi=10.18293%2fSEKE2018-081&amp;partnerID=40&amp;md5=58e6161dc9a55d903b889ce41da3d294;http://dx.doi.org/10.18293/SEKE2018-081</t>
  </si>
  <si>
    <t>10.18293/SEKE2018-081</t>
  </si>
  <si>
    <t>In software development, developers commit code changes to the version control system. In a commit message, the committer may explicitly claim that the commit is a refactoring with the intention of code quality improvement. We defined such a commit as a self-Admitted refactoring (SAR). Currently, there is little knowledge about the SAR phenomenon, and the impact of SARs on software projects is not clear. In this work, we performed a preliminary investigation on SARs with an emphasis on their impact on code quality using the assessment of code smells. We used two non-Trivial open source software projects as cases and employed the PMD tool to detect code smells. The study results shows that: (1) SARs tend to improve code quality, though a small proportion of SARs introduced new code smells; and (2) projects that contain SARs have different results on frequently affected code smells. © 2018 Universitat zu Koln. All rights reserved.</t>
  </si>
  <si>
    <t>Cited by: 10; All Open Access, Bronze Open Access</t>
  </si>
  <si>
    <t>Mensah S,Keung J,Svajlenko J,Bennin KE,Mi Q</t>
  </si>
  <si>
    <t>On the value of a prioritization scheme for resolving Self-admitted technical debt</t>
  </si>
  <si>
    <t>37 – 54</t>
  </si>
  <si>
    <t>https://www.scopus.com/inward/record.uri?eid=2-s2.0-85031008685&amp;doi=10.1016%2fj.jss.2017.09.026&amp;partnerID=40&amp;md5=38bde174d903e196f4c42505e21c36f7;http://dx.doi.org/10.1016/j.jss.2017.09.026</t>
  </si>
  <si>
    <t>10.1016/j.jss.2017.09.026</t>
  </si>
  <si>
    <t>Programmers tend to leave incomplete, temporary workarounds and buggy codes that require rework in software development and such pitfall is referred to as Self-admitted Technical Debt (SATD). Previous studies have shown that SATD negatively affects software project and incurs high maintenance overheads. In this study, we introduce a prioritization scheme comprising mainly of identification, examination and rework effort estimation of prioritized tasks in order to make a final decision prior to software release. Using the proposed prioritization scheme, we perform an exploratory analysis on four open source projects to investigate how SATD can be minimized. Four prominent causes of SATD are identified, namely code smells (23.2%), complicated and complex tasks (22.0%), inadequate code testing (21.2%) and unexpected code performance (17.4%). Results show that, among all the types of SATD, design debts on average are highly prone to software bugs across the four projects analysed. Our findings show that a rework effort of approximately 10 to 25 commented LOC per SATD source file is needed to address the highly prioritized SATD (vital few) tasks. The proposed prioritization scheme is a novel technique that will aid in decision making prior to software release in an attempt to minimize high maintenance overheads. © 2017 Elsevier Inc.</t>
  </si>
  <si>
    <t>Dahlmeier D</t>
  </si>
  <si>
    <t>On the challenges of translating NLP research into commercial products</t>
  </si>
  <si>
    <t>92 – 96</t>
  </si>
  <si>
    <t>https://www.scopus.com/inward/record.uri?eid=2-s2.0-85040565964&amp;doi=10.18653%2fv1%2fP17-2015&amp;partnerID=40&amp;md5=9e60a9624e4d86031cf60ec90c63360e;http://dx.doi.org/10.18653/v1/P17-2015</t>
  </si>
  <si>
    <t>10.18653/v1/P17-2015</t>
  </si>
  <si>
    <t>This paper highlights challenges in industrial research related to translating research in natural language processing into commercial products. While the interest in natural language processing from industry is significant, the transfer of research to commercial products is non-trivial and its challenges are often unknown to or underestimated by many researchers. I discuss current obstacles and provide suggestions for increasing the chances for translating research to commercial success based on my experience in industrial research. © 2017 Association for Computational Linguistics.</t>
  </si>
  <si>
    <t>Nayebi M,Ruhe G</t>
  </si>
  <si>
    <t>Analytical Product Release Planning</t>
  </si>
  <si>
    <t>https://www.scopus.com/inward/record.uri?eid=2-s2.0-84944128754&amp;doi=10.1016%2fB978-0-12-411519-4.00019-7&amp;partnerID=40&amp;md5=9b8d4010380d27f42aef6ed21682e4b1;http://dx.doi.org/10.1016/B978-0-12-411519-4.00019-7</t>
  </si>
  <si>
    <t>10.1016/B978-0-12-411519-4.00019-7</t>
  </si>
  <si>
    <t>As part of any incremental and iterative development, release planning is the process of assigning features to upcoming releases (or iterations) such that the overall product evolution is optimized. Analytical product release planning refers to the application of analytical methods in this process, thereby utilizing the diversity of data available from internal and external sources of information. In this chapter, information needs for release planning are outlined and a taxonomy of release planning problems is given. The paradigm of Open Innovation is introduced as a new way to elicit and gain access to relevant data related to product objectives, features and their dependencies, customers and changing priorities, as well as product values and market trends. Analytical Open Innovation (AOI) is the integration of Open Innovation with (a portfolio of) analytical methods which could be used in different problems of a semi-wicked nature such as planning and design. This chapter studies the usage of AOI in the context of release planning (RP). The respective approach called AOI@RP is taking advantage of gathering and generating data and relating data into well-defined aspects of the problem and combining analytical methods to address the solution. The usage of AOI is studied in more detail for two of the concrete release planning problems given in the taxonomy: (1) Release planning in the presence of advanced feature dependencies and synergies detected from morphological analysis; (2) continuous what-to-release planning in consideration of ongoing trial feature evaluation. An illustrative case study is used as proof of concept to the proposed solution methodology. © 2015 Elsevier Inc. All rights reserved.</t>
  </si>
  <si>
    <t>555 – 589</t>
  </si>
  <si>
    <t>Guerrouj L,Kermansaravi Z,Arnaoudova V,Fung BC,Khomh F,Antoniol G,Guéhéneuc YG</t>
  </si>
  <si>
    <t>Investigating the relation between lexical smells and change- and fault-proneness: an empirical study</t>
  </si>
  <si>
    <t>641 – 670</t>
  </si>
  <si>
    <t>https://www.scopus.com/inward/record.uri?eid=2-s2.0-84966659039&amp;doi=10.1007%2fs11219-016-9318-6&amp;partnerID=40&amp;md5=679f8af0dbafcf53bdea72619405f042;http://dx.doi.org/10.1007/s11219-016-9318-6</t>
  </si>
  <si>
    <t>10.1007/s11219-016-9318-6</t>
  </si>
  <si>
    <t>Past and recent studies have shown that design smells which are poor solutions to recurrent design problems make object-oriented systems difficult to maintain, and that they negatively impact the class change- and fault-proneness. More recently, lexical smells have been introduced to capture recurring poor practices in the naming, documentation, and choice of identifiers during the implementation of an entity. Although recent studies show that developers perceive lexical smells as impairing program understanding, no study has actually evaluated the relationship between lexical smells and software quality as well as their interaction with design smells. In this paper, we detect 29 smells consisting of 13 design smells and 16 lexical smells in 30 releases of three projects: ANT, ArgoUML, and Hibernate. We analyze to what extent classes containing lexical smells have higher (or lower) odds to change or to be subject to fault fixing than other classes containing design smells. Our results show and bring empirical evidence on the fact that lexical smells can make, in some cases, classes with design smells more fault-prone. In addition, we empirically demonstrate that classes containing design smells only are more change- and fault-prone than classes with lexical smells only. © 2016, Springer Science+Business Media New York.</t>
  </si>
  <si>
    <t>Why should i trust you? Explaining the predictions of any classifier</t>
  </si>
  <si>
    <t>1135 – 1144</t>
  </si>
  <si>
    <t>https://www.scopus.com/inward/record.uri?eid=2-s2.0-84984985889&amp;doi=10.1145%2f2939672.2939778&amp;partnerID=40&amp;md5=217b33ce367d1ea7001014a5ac694c79;http://dx.doi.org/10.1145/2939672.2939778</t>
  </si>
  <si>
    <t>10.1145/2939672.2939778</t>
  </si>
  <si>
    <t>Despite widespread adoption, machine learning models remain mostly black boxes. Understanding the reasons behind predictions is, however, quite important in assessing trust, which is fundamental if one plans to take action based on a prediction, or when choosing whether to deploy a new model. Such understanding also provides insights into the model, which can be used to transform an untrustworthy model or prediction into a trustworthy one. In this work, we propose LIME, a novel explanation technique that explains the predictions of any classifier in an interpretable and faithful manner, by learning an interpretable model locally around the prediction. We also propose a method to explain models by presenting representative individual predictions and their explanations in a non-redundant way, framing the task as a submodular optimization problem. We demonstrate the flexibility of these methods by explaining different models for text (e.g. random forests) and image classification (e.g. neural networks). We show the utility of explanations via novel experiments, both simulated and with human subjects, on various scenarios that require trust: deciding if one should trust a prediction, choosing between models, improving an untrustworthy classifier, and identifying why a classifier should not be trusted. © 2016 Copyright held by the owner/author(s). Publication rights licensed to ACM.</t>
  </si>
  <si>
    <t>Cited by: 5350</t>
  </si>
  <si>
    <t>Fontana FA,Ferme V,Zanoni M,Roveda R</t>
  </si>
  <si>
    <t>Towards a prioritization of code debt: A code smell Intensity Index</t>
  </si>
  <si>
    <t>16 – 24</t>
  </si>
  <si>
    <t>https://www.scopus.com/inward/record.uri?eid=2-s2.0-84963626757&amp;doi=10.1109%2fMTD.2015.7332620&amp;partnerID=40&amp;md5=38e26e5f7b29899c8ee03a18d5930277;http://dx.doi.org/10.1109/MTD.2015.7332620</t>
  </si>
  <si>
    <t>10.1109/MTD.2015.7332620</t>
  </si>
  <si>
    <t>Code smells can be used to capture symptoms of code decay and potential maintenance problems that can be avoided by applying the right refactoring. They can be seen as a source of technical debt. However, tools for code smell detection often provide far too many and different results, and identify many false positive code smell instances. In fact, these tools are rooted on initial and rather informal code smell definitions. This represents a challenge to interpret their results in different ways. In this paper, we provide an Intensity Index, to be used as an estimator to determine the most critical instances, prioritizing the examination of smells and, potentially, their removal. We apply Intensity on the detection of six well known and common smells and we report their Intensity distribution from an analysis performed on 74 systems of the Qualitas Corpus, showing how Intensity could be used to prioritize code smells inspection. © 2015 IEEE.</t>
  </si>
  <si>
    <t>Fernández Del Carpio A,Angarita LB</t>
  </si>
  <si>
    <t>Techniques based on data science for software processes: A systematic literature review</t>
  </si>
  <si>
    <t>16 – 30</t>
  </si>
  <si>
    <t>https://www.scopus.com/inward/record.uri?eid=2-s2.0-85054881933&amp;doi=10.1007%2f978-3-030-00623-5_2&amp;partnerID=40&amp;md5=2b8c9a4443e0bc62d0139c404268876f;http://dx.doi.org/10.1007/978-3-030-00623-5_2</t>
  </si>
  <si>
    <t>10.1007/978-3-030-00623-5_2</t>
  </si>
  <si>
    <t>Software quality is an important topic for software practitioners in order to guarantee how the system is built and performed. In last years, techniques related to data science have been utilized in software engineering field as sup-port for building mainly prediction models. These approaches focused on trying to minimize software problems during the development and performance of software, helping to make right decisions. This systematic literature review (SLR) aims at investigating the significant techniques of data sciences used in software processes, identifying their major impacts and problems/challenges of use. This review will be of interest for software practitioners concerned on software quality. © Springer Nature Switzerland AG 2018.</t>
  </si>
  <si>
    <t>Mathur B,Kaushik M</t>
  </si>
  <si>
    <t>Data analysis utilizing principal component analysis</t>
  </si>
  <si>
    <t>International Journal of Engineering Research and Technology</t>
  </si>
  <si>
    <t>333 – 348</t>
  </si>
  <si>
    <t>International Research Publication House</t>
  </si>
  <si>
    <t>0974-3154</t>
  </si>
  <si>
    <t>https://www.scopus.com/inward/record.uri?eid=2-s2.0-85051073384&amp;partnerID=40&amp;md5=80215b7b99c9566a45d30083140535d7</t>
  </si>
  <si>
    <t>More information is collected from a population. The purpose of the research is that the covariance matrix or correlation matrix has been detected by principal component analysis. These major component scores have been used in further investigation. This work has been done by the Principal Component Analysis (PCA) and the calculation of Change- proneness of both the software has been calculated. PCA technology enhances the quality of the software in this paper. This is a data-dimensional reduction method. The main purpose of PCA is to understand many versions of software and complete software process. This software is used in client applications. PCA algorithm which reduces large amounts of information in 2-dimensional. Here we have used object-oriented software which is built in the Ada language. These are two commercial software UIMS (User Interface System) and QUES (Quality Assessment System) whose best source code metrics and maintenance are calculated. QUES has 71 examples and 11 features. There are 39 instances and features in UIMS. Software quality has been earned by seven classified techniques like IBK, Multilayer Perceptron, Simple Linear Regression, Decision Table, Decision Stump, RBF Network and Gaussian Process. © International Research Publication House.</t>
  </si>
  <si>
    <t>Márquez G,Astudillo H</t>
  </si>
  <si>
    <t>Helping novice architects to manage architectural technical debt in microservices architecture</t>
  </si>
  <si>
    <t>Escuela Superior Politecnica de Chimborazo</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</si>
  <si>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</si>
  <si>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</si>
  <si>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https://www.scopus.com/inward/record.uri?eid=2-s2.0-85053913046&amp;doi=10.1145%2f3183428.3183435&amp;partnerID=40&amp;md5=4b8869fff7f56e549d660a454148a02e;http://dx.doi.org/10.1145/3183428.3183435</t>
  </si>
  <si>
    <t>Efstathiou V,Chatzilenas C,Spinellis D</t>
  </si>
  <si>
    <t>Word embeddings for the software engineering domain</t>
  </si>
  <si>
    <t>38 – 41</t>
  </si>
  <si>
    <t>https://www.scopus.com/inward/record.uri?eid=2-s2.0-85051661163&amp;doi=10.1145%2f3196398.3196448&amp;partnerID=40&amp;md5=2a7324a25c3c9b2722fec72a8a978fc2;http://dx.doi.org/10.1145/3196398.3196448</t>
  </si>
  <si>
    <t>10.1145/3196398.3196448</t>
  </si>
  <si>
    <t>The software development process produces vast amounts of textual data expressed in natural language. Outcomes from the natural language processing community have been adapted in software engineering research for leveraging this rich textual information; these include methods and readily available tools, often furnished with pre-trained models. State of the art pre-trained models however, capture general, common sense knowledge, with limited value when it comes to handling data specific to a specialized domain. There is currently a lack of domain-specific pre-trained models that would further enhance the processing of natural language artefacts related to software engineering. To this end, we release a word2vec model trained over 15GB of textual data from Stack Overflow posts. We illustrate how the model disambiguates polysemous words by interpreting them within their software engineering context. In addition, we present examples of fine-grained semantics captured by the model, that imply transferability of these results to diverse, targeted information retrieval tasks in software engineering and motivate for further reuse of the model. © 2018 ACM.</t>
  </si>
  <si>
    <t>Cited by: 53; All Open Access, Green Open Access</t>
  </si>
  <si>
    <t>Kaur A,Dhiman G</t>
  </si>
  <si>
    <t>A review on search-based tools and techniques to identify bad code smells in object-oriented systems</t>
  </si>
  <si>
    <t>909 – 921</t>
  </si>
  <si>
    <t>https://www.scopus.com/inward/record.uri?eid=2-s2.0-85053250705&amp;doi=10.1007%2f978-981-13-0761-4_86&amp;partnerID=40&amp;md5=83df076c0c8371cc0f82cc2139fc4ad1;http://dx.doi.org/10.1007/978-981-13-0761-4_86</t>
  </si>
  <si>
    <t>10.1007/978-981-13-0761-4_86</t>
  </si>
  <si>
    <t>Researchers have provided various techniques and tools in the past few years for identification of code smells. Due to their changing outcomes and features, the classification, comparison, and evaluation of this existing code smell detection techniques and tool are imperative. This paper presents the current state of the art in the area of approaches that use search-based techniques to identify code smell from the source code of object-oriented systems. The classification of code bad smells approaches is done on the basis of their detection and analysis method. The results of selected techniques were analyzed. The observations and recommendations were presented after critical analysis of existing code smell detection approaches. These observations and recommendations can help the researchers and practitioners working in the area of designing a tool/technique for code smell detection. © Springer Nature Singapore Pte Ltd. 2019.</t>
  </si>
  <si>
    <t>Cited by: 54</t>
  </si>
  <si>
    <t>Enhanced feature selection using word embeddings for self-admitted technical debt identification</t>
  </si>
  <si>
    <t>230 – 233</t>
  </si>
  <si>
    <t>https://www.scopus.com/inward/record.uri?eid=2-s2.0-85057152167&amp;doi=10.1109%2fSEAA.2018.00045&amp;partnerID=40&amp;md5=2515f9dad60877d3a0677a95c896d60f;http://dx.doi.org/10.1109/SEAA.2018.00045</t>
  </si>
  <si>
    <t>10.1109/SEAA.2018.00045</t>
  </si>
  <si>
    <t>Technical debt (TD) is a term used to describe a trade off between code quality and timely software release. Since technical debt has negative impact on software development, identification of such debt is an important task in the software engineering domain. Sometimes, technical debt is annotated in source code comments. This kind of debt is referred to as self-admitted technical debt (SATD). Recently, some studies have focused on automated detection and classification of SATD using natural language processing methods. However, these methods have only used manually annotated data to train their classifiers. In this paper, we present the results of a performed exploratory study for using large corpus of unlabeled code comments, extracted from open source projects on git-hub, to train word embeddings, in order to improve detection of SATD. Our approach aims to enhance the feature selection method by taking advantage of the pre-trained word embeddings to detect similar features in source code comments. The experimental results show a significant improvement in SATD classification. With achieved 82% of correct predictions of SATD, the method seems to be a good candidate to be adopted in practice. © 2018 IEEE.</t>
  </si>
  <si>
    <t>Mohammed S,Shi P,Lin J</t>
  </si>
  <si>
    <t>Strong baselines for simple question answering over knowledge graphs with and without neural networks</t>
  </si>
  <si>
    <t>291 – 296</t>
  </si>
  <si>
    <t>https://www.scopus.com/inward/record.uri?eid=2-s2.0-85061740114&amp;partnerID=40&amp;md5=3e3623ffe598569020b4ca67f8637c28</t>
  </si>
  <si>
    <t>We examine the problem of question answering over knowledge graphs, focusing on simple questions that can be answered by the lookup of a single fact. Adopting a straightforward decomposition of the problem into entity detection, entity linking, relation prediction, and evidence combination, we explore simple yet strong baselines. On the popular SIMPLEQUESTIONS dataset, we find that basic LSTMs and GRUs plus a few heuristics yield accuracies that approach the state of the art, and techniques that do not use neural networks also perform reasonably well. These results show that gains from sophisticated deep learning techniques proposed in the literature are quite modest and that some previous models exhibit unnecessary complexity. © 2018 Association for Computational Linguistics.</t>
  </si>
  <si>
    <t>Cited by: 49</t>
  </si>
  <si>
    <t>Ji Y,Zhang X,Wang T</t>
  </si>
  <si>
    <t>Backdoor attacks against learning systems</t>
  </si>
  <si>
    <t>https://www.scopus.com/inward/record.uri?eid=2-s2.0-85046538470&amp;doi=10.1109%2fCNS.2017.8228656&amp;partnerID=40&amp;md5=410698b1599618c640c36c579761578e;http://dx.doi.org/10.1109/CNS.2017.8228656</t>
  </si>
  <si>
    <t>10.1109/CNS.2017.8228656</t>
  </si>
  <si>
    <t>Many of today's machine learning (ML) systems are composed by an array of primitive learning modules (PLMs). The heavy use of PLMs significantly simplifies and expedites the system development cycles. However, as most PLMs are contributed and maintained by third parties, their lack of standardization or regulation entails profound security implications. In this paper, for the first time, we demonstrate that potentially harmful PLMs incur immense threats to the security of ML-powered systems. We present a general class of backdoor attacks in which maliciously crafted PLMs trigger host systems to malfunction in a predictable manner once predefined conditions are present. We validate the feasibility of such attacks by empirically investigating a state-of-the-art skin cancer screening system. For example, it proves highly probable to force the system to misdiagnose a targeted victim, without any prior knowledge about how the system is built or trained. Further, we discuss the root causes behind the success of PLM-based attacks, which point to the characteristics of today's ML models: High dimensionality, non-linearity, and non-convexity. Therefore, the issue seems industry-wide. © 2017 IEEE.</t>
  </si>
  <si>
    <t>Cited by: 35</t>
  </si>
  <si>
    <t>158 – 173</t>
  </si>
  <si>
    <t>https://www.scopus.com/inward/record.uri?eid=2-s2.0-85044651549&amp;doi=10.1016%2fj.jss.2017.12.034&amp;partnerID=40&amp;md5=0275655072c9d7072652bb43654908e7;http://dx.doi.org/10.1016/j.jss.2017.12.034</t>
  </si>
  <si>
    <t>Context: Smells in software systems impair software quality and make them hard to maintain and evolve. The software engineering community has explored various dimensions concerning smells and produced extensive research related to smells. The plethora of information poses challenges to the community to comprehend the state-of-the-art tools and techniques. Objective: We aim to present the current knowledge related to software smells and identify challenges as well as opportunities in the current practices. Method: We explore the definitions of smells, their causes as well as effects, and their detection mechanisms presented in the current literature. We studied 445 primary studies in detail, synthesized the information, and documented our observations. Results: The study reveals five possible defining characteristics of smells — indicator, poor solution, violates best-practices, impacts quality, and recurrence. We curate ten common factors that cause smells to occur including lack of skill or awareness and priority to features over quality. We classify existing smell detection methods into five groups — metrics, rules/heuristics, history, machine learning, and optimization-based detection. Challenges in the smells detection include the tools’ proneness to false-positives and poor coverage of smells detectable by existing tools. © 2017</t>
  </si>
  <si>
    <t>Cited by: 122; All Open Access, Green Open Access</t>
  </si>
  <si>
    <t>Abad ZS,Karras O,Ghazi P,Glinz M,Ruhe G,Schneider K</t>
  </si>
  <si>
    <t>What Works Better? A Study of Classifying Requirements</t>
  </si>
  <si>
    <t>496 – 501</t>
  </si>
  <si>
    <t>https://www.scopus.com/inward/record.uri?eid=2-s2.0-85032825139&amp;doi=10.1109%2fRE.2017.36&amp;partnerID=40&amp;md5=1a0038b42890663de6a1aec409206a91;http://dx.doi.org/10.1109/RE.2017.36</t>
  </si>
  <si>
    <t>10.1109/RE.2017.36</t>
  </si>
  <si>
    <t>Classifying requirements into functional requirements (FR) and non-functional ones (NFR) is an important task in requirements engineering. However, automated classification of requirements written in natural language is not straightforward, due to the variability of natural language and the absence of a controlled vocabulary. This paper investigates how automated classification of requirements into FR and NFR can be improved and how well several machine learning approaches work in this context. We contribute an approach for preprocessing requirements that standardizes and normalizes requirements before applying classification algorithms. Further, we report on how well several existing machine learning methods perform for automated classification of NFRs into sub-categories such as usability, availability, or performance. Our study is performed on 625 requirements provided by the OpenScience tera-PROMISE repository. We found that our preprocessing improved the performance of an existing classification method. We further found significant differences in the performance of approaches such as Latent Dirichlet Allocation, Biterm Topic Modeling, or Naïve Bayes for the sub-classification of NFRs. © 2017 IEEE.</t>
  </si>
  <si>
    <t>Cited by: 64; All Open Access, Green Open Access</t>
  </si>
  <si>
    <t>Tan J,Lungu M,Avgeriou P</t>
  </si>
  <si>
    <t>Towards studying the evolution of technical debt in the Python projects from the apache software ecosystem</t>
  </si>
  <si>
    <t>https://www.scopus.com/inward/record.uri?eid=2-s2.0-85065757709&amp;partnerID=40&amp;md5=b1f61ab9d24c141ce25864f50e8c6468</t>
  </si>
  <si>
    <t>The topic of technical debt has gained significant attention from researchers in recent years since its management has significant impact of software development. Several studies that analyze technical debt evolution from different perspectives; however since most of these studies are done for Java very little is known about the evolution of technical debt in software ecosystems consisting of projects written in other languages. In this paper we run a study across nine Python open-source software projects belonging to the Apache Software Foundation to investigate the amount of technical debt that is paid back. To measure technical debt we use one of the standard tools in industry: SonarQube. We investigate the impact of using the 28 default rules of SonarQube for Python versus using an extended set of 208 rules to detect instances of technical debt. © 2018 CEUR-WS. All rights reserved.</t>
  </si>
  <si>
    <t>Sîrbu A,Pop C,Şerbănescu C,Pop F</t>
  </si>
  <si>
    <t>Predicting provisioning and booting times in a Metal-as-a-service system</t>
  </si>
  <si>
    <t>180 – 192</t>
  </si>
  <si>
    <t>https://www.scopus.com/inward/record.uri?eid=2-s2.0-84995404176&amp;doi=10.1016%2fj.future.2016.07.001&amp;partnerID=40&amp;md5=6e519449c0dce7eb03fba5233bd1cb0e;http://dx.doi.org/10.1016/j.future.2016.07.001</t>
  </si>
  <si>
    <t>10.1016/j.future.2016.07.001</t>
  </si>
  <si>
    <t>Cloud management automation and management of SLA incidents become a research challenges for any Cloud service-based system. In the era of ongoing adoption of Cloud Computing at a fast rate the Metal-as-a-service (MaaS) platforms assure a higher level of performance, but at the cost of a more complex provisioning system, all of these being imposed by SLA assurance. More, disaster recovery and critical infrastructure protection become important aspects for any real-time applications that use Cloud Services. This paper deals with the problem of predicting provisioning and booting times in a MaaS system, and proposed a solution based on platform monitoring and a multi-variate regression algorithm. The configuration, provisioning flow, and capacity management capabilities were tested on Bigstep Full Metal Cloud platform an event-based tracking system, based on which provisioning times can be calculated for each individual element. We analyzed the performance of proposed solution by comparing the predicted booting and provisioning times with real times using different scenarios. © 2016 Elsevier B.V.</t>
  </si>
  <si>
    <t>Masuda S,Ono K,Yasue T,Hosokawa N</t>
  </si>
  <si>
    <t>A survey of software quality for machine learning applications</t>
  </si>
  <si>
    <t>279 – 284</t>
  </si>
  <si>
    <t>https://www.scopus.com/inward/record.uri?eid=2-s2.0-85050978697&amp;doi=10.1109%2fICSTW.2018.00061&amp;partnerID=40&amp;md5=8aa733b622c72d534b6786eaad52b095;http://dx.doi.org/10.1109/ICSTW.2018.00061</t>
  </si>
  <si>
    <t>10.1109/ICSTW.2018.00061</t>
  </si>
  <si>
    <t>Machine learning (ML) is now widespread. Traditional software engineering can be applied to the development ML applications. However, we have to consider specific problems with ML applications in therms of their quality. In this paper, we present a survey of software quality for ML applications to consider the quality of ML applications as an emerging discussion. From this survey, we raised problems with ML applications and discovered software engineering approaches and software testing research areas to solve these problems. We classified survey targets into Academic Conferences, Magazines, and Communities. We targeted 16 academic conferences on artificial intelligence and software engineering, including 78 papers. We targeted 5 Magazines, including 22 papers. The results indicated key areas, such as deep learning, fault localization, and prediction, to be researched with software engineering and testing. © 2018 IEEE.</t>
  </si>
  <si>
    <t>Di Nucci D,Palomba F,Tamburri DA,Serebrenik A,De Lucia A</t>
  </si>
  <si>
    <t>Detecting code smells using machine learning techniques: Are we there yet?</t>
  </si>
  <si>
    <t>612 – 621</t>
  </si>
  <si>
    <t>https://www.scopus.com/inward/record.uri?eid=2-s2.0-85049734434&amp;doi=10.1109%2fSANER.2018.8330266&amp;partnerID=40&amp;md5=0f2a02ffd59853212affe7704357ea21;http://dx.doi.org/10.1109/SANER.2018.8330266</t>
  </si>
  <si>
    <t>10.1109/SANER.2018.8330266</t>
  </si>
  <si>
    <t>Code smells are symptoms of poor design and implementation choices weighing heavily on the quality of produced source code. During the last decades several code smell detection tools have been proposed. However, the literature shows that the results of these tools can be subjective and are intrinsically tied to the nature and approach of the detection. In a recent work the use of Machine-Learning (ML) techniques for code smell detection has been proposed, possibly solving the issue of tool subjectivity giving to a learner the ability to discern between smelly and non-smelly source code elements. While this work opened a new perspective for code smell detection, it only considered the case where instances affected by a single type smell are contained in each dataset used to train and test the machine learners. In this work we replicate the study with a different dataset configuration containing instances of more than one type of smell. The results reveal that with this configuration the machine learning techniques reveal critical limitations in the state of the art which deserve further research. © 2018 IEEE.</t>
  </si>
  <si>
    <t>Cited by: 123; All Open Access, Green Open Access</t>
  </si>
  <si>
    <t>Bibi S,Ampatzoglou A,Stamelos I</t>
  </si>
  <si>
    <t>A Bayesian Belief Network for modeling open source software maintenance productivity</t>
  </si>
  <si>
    <t>32 – 44</t>
  </si>
  <si>
    <t>https://www.scopus.com/inward/record.uri?eid=2-s2.0-84971577036&amp;doi=10.1007%2f978-3-319-39225-7_3&amp;partnerID=40&amp;md5=a1bfb946220695530cc6d826730ad804;http://dx.doi.org/10.1007/978-3-319-39225-7_3</t>
  </si>
  <si>
    <t>10.1007/978-3-319-39225-7_3</t>
  </si>
  <si>
    <t>Maintenance is one of the most effort consuming activities in the software development lifecycle. Efficient maintenance within short release cycles depends highly on the underlying source code structure, in the sense that complex modules are more difficult to maintain. In this paper we attempt to unveil and discuss relationships between maintenance productivity, the structural quality of the source code and process metrics like the type of a release and the number of downloads. To achieve this goal, we developed a Bayesian Belief Network (BBN) involving several maintainability predictors and three managerial indices for maintenance (i.e., duration, production, and productivity) on 20 open source software projects. The results suggest that maintenance duration depends on inheritance, coupling, and process metrics. On the other hand maintenance production and productivity depend mostly on code quality metrics. © IFIP International Federation for Information Processing 2016.</t>
  </si>
  <si>
    <t>Walter B,Alkhaeir T</t>
  </si>
  <si>
    <t>The relationship between design patterns and code smells: An exploratory study</t>
  </si>
  <si>
    <t>127 – 142</t>
  </si>
  <si>
    <t>https://www.scopus.com/inward/record.uri?eid=2-s2.0-84961144203&amp;doi=10.1016%2fj.infsof.2016.02.003&amp;partnerID=40&amp;md5=39d31d9a944d5e67c10ac63568c00a64;http://dx.doi.org/10.1016/j.infsof.2016.02.003</t>
  </si>
  <si>
    <t>10.1016/j.infsof.2016.02.003</t>
  </si>
  <si>
    <t>Context - Design patterns represent recommended generic solutions to various design problems, whereas code smells are symptoms of design issues that could hinder further maintenance of a software system. We can intuitively expect that both concepts are mutually exclusive, and the presence of patterns is correlated with the absence of code smells. However, the existing experimental evidence supporting this claim is still insufficient, and studies separately analyzing the impact of smells and patterns on code quality deliver diverse results. Objective - The aim of the paper is threefold: (1) to determine if and how the presence of the design patterns is linked to the presence of code smells, (2) to investigate if and how these relationships change throughout evolution of code, and (3) to identify the relationships between individual patterns and code smells. Method - We analyze nine design patterns and seven code smells in two medium-size, long-evolving, open source Java systems. In particular, we explore how the presence of design patterns impacts the presence of code smells, analyze if this link evolves over time, and extract association rules that describe their individual relationships. Results - Classes participating in design patterns appear to display code smells less frequently than other classes. The observed effect is stronger for some patterns (e.g., Singleton, State-Strategy) and weaker for others (e.g., Composite). The ratio between the relative number of smells in the classes participating in patterns and the relative number of smells in other classes, is approximately stable or slightly decreasing in time. Conclusion - This observation could be used to anticipate the smell-proneness of individual classes, and improve code smell detectors. Overall, our findings indicate that the presence of design patterns is linked with a lower number of code smell instances. This could support programmers in a context-sensitive analysis of smells in code. © 2016 Elsevier B.V. All rights reserved.</t>
  </si>
  <si>
    <t>Beranič T,Podgorelec V,Heričko M</t>
  </si>
  <si>
    <t>Towards a reliable identification of deficient code with a combination of software metrics</t>
  </si>
  <si>
    <t>https://www.scopus.com/inward/record.uri?eid=2-s2.0-85054769455&amp;doi=10.3390%2fapp8101902&amp;partnerID=40&amp;md5=d159a5c90da2427a86371925b4d16b0b;http://dx.doi.org/10.3390/app8101902</t>
  </si>
  <si>
    <t>10.3390/app8101902</t>
  </si>
  <si>
    <t>Different challenges arise while detecting deficient software source code. Usually a large number of potentially problematic entities are identified when an individual software metric or individual quality aspect is used for the identification of deficient program entities. Additionally, a lot of these entities quite often turn out to be false positives, i.e., the metrics indicate poor quality whereas experienced developers do not consider program entities as problematic. The number of entities identified as potentially deficient does not decrease significantly when the identification of deficient entities is carried out by applying code smell detection rules. Moreover, the intersection of entities identified as allegedly deficient among different code smell detection tools is small, which suggests that the implementation of code smell detection rules are not consistent and uniform. To address these challenges, we present a novel approach for identifying deficient entities that is based on applying the majority function on the combination of software metrics. Program entities are assessed according to selected quality aspects that are evaluated with a set of software metrics and corresponding threshold values derived from benchmark data, considering the statistical distributions of software metrics values. The proposed approach was implemented and validated on projects developed in Java, C++ and C#. The validation of the proposed approach was done with expert judgment, where software developers and architects with multiple years of experiences assessed the quality of the software classes. Using a combination of software metrics as the criteria for the identification of deficient source code, the number of potentially deficient object-oriented program entities proved to be reduced. The results show the correctness of quality ratings determined by the proposed identification approach, and most importantly, confirm the absence of false positive entities. © 2018 by the authors.</t>
  </si>
  <si>
    <t>Palomba F,Bavota G,Di Penta M,Fasano F,Oliveto R,De Lucia A</t>
  </si>
  <si>
    <t>A large-scale empirical study on the lifecycle of code smell co-occurrences</t>
  </si>
  <si>
    <t>https://www.scopus.com/inward/record.uri?eid=2-s2.0-85042941931&amp;doi=10.1016%2fj.infsof.2018.02.004&amp;partnerID=40&amp;md5=abf547bf7f9e4706c230c761b0260b81;http://dx.doi.org/10.1016/j.infsof.2018.02.004</t>
  </si>
  <si>
    <t>10.1016/j.infsof.2018.02.004</t>
  </si>
  <si>
    <t>Context: Code smells are suboptimal design or implementation choices made by programmers during the development of a software system that possibly lead to low code maintainability and higher maintenance costs. Objective: Previous research mainly studied the characteristics of code smell instances affecting a source code file, while only few studies analyzed the magnitude and effects of smell co-occurrence, i.e., the co-occurrence of different types of smells on the same code component. This paper aims at studying in details this phenomenon. Method: We analyzed 13 code smell types detected in 395 releases of 30 software systems to firstly assess the extent to which code smells co-occur, and then we analyze (i) which code smells co-occur together, and (ii) how and why they are introduced and removed by developers. Results: 59% of smelly classes are affected by more than one smell, and in particular there are six pairs of smell types (e.g., Message Chains and Spaghetti Code) that frequently co-occur. Furthermore, we observed that method-level code smells may be the root cause for the introduction of class-level smells. Finally, code smell co-occurrences are generally removed together as a consequence of other maintenance activities causing the deletion of the affected code components (with a consequent removal of the code smell instances) as well as the result of a major restructuring or scheduled refactoring actions. Conclusions: Based on our findings, we argue that more research aimed at designing co-occurrence-aware code smell detectors and refactoring approaches is needed. © 2018 Elsevier B.V.</t>
  </si>
  <si>
    <t>Cited by: 56</t>
  </si>
  <si>
    <t>418 – 451</t>
  </si>
  <si>
    <t>https://www.scopus.com/inward/record.uri?eid=2-s2.0-85019111869&amp;doi=10.1007%2fs10664-017-9522-4&amp;partnerID=40&amp;md5=bf81dd210ee56c037ad5dcc46f13b901;http://dx.doi.org/10.1007/s10664-017-9522-4</t>
  </si>
  <si>
    <t>Technical debt is a metaphor to describe the situation in which long-term code quality is traded for short-term goals in software projects. Recently, the concept of self-admitted technical debt (SATD) was proposed, which considers debt that is intentionally introduced, e.g., in the form of quick or temporary fixes. Prior work on SATD has shown that source code comments can be used to successfully detect SATD, however, most current state-of-the-art classification approaches of SATD rely on manual inspection of the source code comments. In this paper, we proposed an automated approach to detect SATD in source code comments using text mining. In our approach, we utilize feature selection to select useful features for classifier training, and we combine multiple classifiers from different source projects to build a composite classifier that identifies SATD comments in a target project. We investigate the performance of our approach on 8 open source projects that contain 212,413 comments. Our experimental results show that, on every target project, our approach outperforms the state-of-the-art and the baselines approaches in terms of F1-score. The F1-score achieved by our approach ranges between 0.518 - 0.841, with an average of 0.737, which improves over the state-of-the-art approach proposed by Potdar and Shihab by 499.19%. When compared with the text mining-based baseline approaches, our approach significantly improves the average F1-score by at least 58.49%. When compared with a natural language processing-based baseline, our approach also significantly improves its F1-score by 27.95%. Our proposed approach can be used by project personnel to effectively identify SATD with minimal manual effort. © 2017, Springer Science+Business Media New York.</t>
  </si>
  <si>
    <t>Kanagal B,Tata S</t>
  </si>
  <si>
    <t>Recommendations for all: Solving thousands of recommendation problems daily</t>
  </si>
  <si>
    <t>1414 – 1422</t>
  </si>
  <si>
    <t>https://www.scopus.com/inward/record.uri?eid=2-s2.0-85057113704&amp;doi=10.1109%2fICDE.2018.00159&amp;partnerID=40&amp;md5=9f84eeae9e2f154f00c81fbded42d099;http://dx.doi.org/10.1109/ICDE.2018.00159</t>
  </si>
  <si>
    <t>10.1109/ICDE.2018.00159</t>
  </si>
  <si>
    <t>Recommender systems are a key technology for many online services including e-commerce, movies, music, and news. Online retailers use product recommender systems to help users discover items that they may like. However, building a large-scale product recommender system is a challenging task. The problems of sparsity and cold-start are much more pronounced in this domain. Large online retailers have used good recommendations to drive user engagement and improve revenue, but the complexity involved is a roadblock to widespread adoption by smaller retailers. In this paper, we tackle the problem of generating product recommendations for tens of thousands of online retailers. Sigmund is an industrial-scale system for providing recommendations as a service. Sigmund was deployed to production in early 2014 and has been serving retailers every day. We describe the design choices that we made in order to train accurate matrix factorization models at minimal cost. We also share the lessons we learned from this experience-both from a machine learning perspective and a systems perspective. We hope that these lessons are useful for building future machine-learning services. © 2018 IEEE.</t>
  </si>
  <si>
    <t>Palomba F,Panichella A,Zaidman A,Oliveto R,De Lucia A</t>
  </si>
  <si>
    <t>The Scent of a Smell: An Extensive Comparison between Textual and Structural Smells</t>
  </si>
  <si>
    <t>977 – 1000</t>
  </si>
  <si>
    <t>https://www.scopus.com/inward/record.uri?eid=2-s2.0-85030217493&amp;doi=10.1109%2fTSE.2017.2752171&amp;partnerID=40&amp;md5=08076642c9fa25afdcc104371b29f29e;http://dx.doi.org/10.1109/TSE.2017.2752171</t>
  </si>
  <si>
    <t>10.1109/TSE.2017.2752171</t>
  </si>
  <si>
    <t>Code smells are symptoms of poor design or implementation choices that have a negative effect on several aspects of software maintenance and evolution, such as program comprehension or change-and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 © 1976-2012 IEEE.</t>
  </si>
  <si>
    <t>Cited by: 42; All Open Access, Green Open Access</t>
  </si>
  <si>
    <t>Reddy PM,Iyer J</t>
  </si>
  <si>
    <t>Effective collaboration across the globe through digital dash boards and machine learning</t>
  </si>
  <si>
    <t>35 – 39</t>
  </si>
  <si>
    <t>https://www.scopus.com/inward/record.uri?eid=2-s2.0-85051544507&amp;doi=10.1145%2f3196369.3196391&amp;partnerID=40&amp;md5=1db0914241bc8c746677c681d387b301;http://dx.doi.org/10.1145/3196369.3196391</t>
  </si>
  <si>
    <t>10.1145/3196369.3196391</t>
  </si>
  <si>
    <t>In a large sized project with globally distributed environment, it is challenging to have a common information radiator across all global locations and it is difficult to make sense of the long list of tasks displayed on a single dashboard. Different time zones make it difficult to collaborate and cater to a customer who demands frequent releases and transparency. This paper demonstrates a unique solution driven by a novel mix of digitization and machine learning to solve this ubiquitous problem. After value stream mapping the team developed a tool backed with machine learning, helped us to deliver our concepts faster to market. We derived unconventional digital dash boards which helped in building collaborative environment across different time zones. This paper also highlights the critical role of machine learning in project management, proposes improvements various in areas like task estimation, team velocity and turnaround time prediction. This paper is targeted to agile practitioners who are interested in improving workflows and building intelligent process systems using new modern technologies in globally distributed environment. © 2018 Authors.</t>
  </si>
  <si>
    <t>Varshney LR</t>
  </si>
  <si>
    <t>Fundamental limits of data analytics in sociotechnical systems</t>
  </si>
  <si>
    <t>Frontiers in ICT</t>
  </si>
  <si>
    <t>FEB</t>
  </si>
  <si>
    <t>2297-198X</t>
  </si>
  <si>
    <t>https://www.scopus.com/inward/record.uri?eid=2-s2.0-85061993669&amp;doi=10.3389%2ffict.2016.00002&amp;partnerID=40&amp;md5=2c17672af2cd3970e22753ec24c43c7b;http://dx.doi.org/10.3389/fict.2016.00002</t>
  </si>
  <si>
    <t>10.3389/fict.2016.00002</t>
  </si>
  <si>
    <t>In the Big Data era, informational systems involving humans and machines are being deployed in multifarious societal settings. Many use data analytics as subcomponents for descriptive, predictive, and prescriptive tasks, often trained using machine learning. Yet when analytics components are placed in large-scale sociotechnical systems, it is often difficult to characterize how well the systems will act, measured with criteria relevant in the world. Here, we propose a system modeling technique that treats data analytics components as noisy black boxes or stochastic kernels, which together with elementary stochastic analysis provides insight into fundamental performance limits. An example application is helping prioritize people's limited attention, where learning algorithms rank tasks using noisy features and people sequentially select from the ranked list. This paper demonstrates the general technique by developing a stochastic model of analytics-enabled sequential selection, derives fundamental limits using concomitants of order statistics, and assesses limits in terms of system-wide performance metrics, such as screening cost and value of objects selected. Connections to sample complexity for bipartite ranking are also made. © 2016 Varshney.</t>
  </si>
  <si>
    <t>Cited by: 6; All Open Access, Gold Open Access</t>
  </si>
  <si>
    <t>Tsakiltsidis S,Miranskyy A,Mazzawi E</t>
  </si>
  <si>
    <t>On Automatic Detection of Performance Bugs</t>
  </si>
  <si>
    <t>132 – 139</t>
  </si>
  <si>
    <t>https://www.scopus.com/inward/record.uri?eid=2-s2.0-85009812066&amp;doi=10.1109%2fISSREW.2016.43&amp;partnerID=40&amp;md5=ff20df4eca8118cbca210f65f564b65b;http://dx.doi.org/10.1109/ISSREW.2016.43</t>
  </si>
  <si>
    <t>10.1109/ISSREW.2016.43</t>
  </si>
  <si>
    <t>Context: Software performance is a critical non-functional requirement, appearing in many fields such as mission critical applications, financial, and real time systems. In this work we focused on early detection of performance bugs, our software under study was a real time system used in the mobile advertisement / marketing domain. Goal: Find a simple and easy to implement solution, predicting performance bugs. Method: We built several models using four machine learning methods, commonly used for defect prediction: C4.5 Decision Trees, Naive Bayes, Bayesian Networks, and Logistic Regression. Results: Our empirical results show that a C4.5 model, using lines of code changed, file's age and size as explanatory variables, can be used to predict performance bugs (recall = 0.73, accuracy = 0.85, and precision = 0.96). We show that reducing the number of changes delivered on a commit, can decrease the chance of performance bug injection. Conclusions: We believe that our approach can help practitioners to eliminate performance bugs early in the development cycle. Our results are also of interest to theoreticians, establishing a link between functional bugs and (non-functional) performance bugs, and explicitly showing that attributes used for prediction of functional bugs can be used for prediction of performance bugs. © 2016 IEEE.</t>
  </si>
  <si>
    <t>Diegmann P,Binzer B,Dreesen T,Rosenkranz C</t>
  </si>
  <si>
    <t>Journey towards agility: Three decades of research on agile information systems development</t>
  </si>
  <si>
    <t>https://www.scopus.com/inward/record.uri?eid=2-s2.0-85062505759&amp;partnerID=40&amp;md5=636a61064499fcd05da9d69617d70c0d</t>
  </si>
  <si>
    <t>After more than 15 years since the Agile Manifesto and extensive research on agile information systems development for nearly three decades, a comprehensive body of knowledge is available and is constantly growing. Agile information systems development is considered an effective way for managing information systems development projects in environments characterized by rapidly changing requirements. This study aims to shed light on the existing knowledge on agile information systems development by applying a structured literature review and computer aided analysis consisting of distinct text mining techniques. We analyzed a sample of 775 papers and provide results from articles among the Senior Scholars' Basket, selected information systems conferences, and selected journals from management and computer science. Based on our approach, we are able to (1) evaluate key articles and journals, (2) analyze the development of agile information systems development research in the last three decades and, most importantly, (3) identify research foci of the past as well as gaps in our knowledge on agile information systems development for further research. © International Conference on Information Systems 2018, ICIS 2018.All rights reserved.</t>
  </si>
  <si>
    <t>Zampetti F,Noiseux C,Antoniol G,Khomh F,Di Penta M</t>
  </si>
  <si>
    <t>Recommending when design technical debt should be self-admitted</t>
  </si>
  <si>
    <t>216 – 226</t>
  </si>
  <si>
    <t>https://www.scopus.com/inward/record.uri?eid=2-s2.0-85040591802&amp;doi=10.1109%2fICSME.2017.44&amp;partnerID=40&amp;md5=c6b4d39f711b62ac322cc93b626dc5a0;http://dx.doi.org/10.1109/ICSME.2017.44</t>
  </si>
  <si>
    <t>10.1109/ICSME.2017.44</t>
  </si>
  <si>
    <t>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 © 2017 IEEE.</t>
  </si>
  <si>
    <t>Aubaid AM,Mishra A</t>
  </si>
  <si>
    <t>Text classification using word embedding in Rule-based methodologies: A systematic mapping</t>
  </si>
  <si>
    <t>TEM Journal</t>
  </si>
  <si>
    <t>902 – 914</t>
  </si>
  <si>
    <t>UIKTEN - Association for Information Communication Technology Education and Science</t>
  </si>
  <si>
    <t>2217-8309</t>
  </si>
  <si>
    <t>https://www.scopus.com/inward/record.uri?eid=2-s2.0-85058117217&amp;doi=10.18421%2fTEM74-31&amp;partnerID=40&amp;md5=bdfedb748512a88db98c63aa8972759e;http://dx.doi.org/10.18421/TEM74-31</t>
  </si>
  <si>
    <t>10.18421/TEM74-31</t>
  </si>
  <si>
    <t>With the advancing growth of the World Wide Web (WWW) and the expanding availability of electronic text documents, the automatic assignment of text classification (ATC) has become more important in sorting out information and knowledge. One of the most crucial tasks that should be carried out is document representation using word embedding and Rule-Based methodologies. As a result, this, along with their modeling methods, has become an essential step to improve neural language processing for text classification. In this paper, a systematic mapping study is a way to survey all the primary studies on word embedding to rule-based and machine learning of automatic text classification. The search procedure identifies 20 articles as relevant to answer our research questions. This study maps what is currently known about word embedding in rule-based text classification (TC). The result shows that the research is concentrated on some main areas, mainly in social sciences, shopping products classification, digital libraries, and spam filtering. The present paper contributes to the available literature by summarizing all research in the field of TC and it can be beneficial to other researchers and specialists in order to sort information. © 2018 Asmaa M. Aubaid, Alok Mishra; published by UIKTEN.</t>
  </si>
  <si>
    <t>Wang W,Gao J,Zhang M,Wang S,Chen G,Ng TK,Ooi BC,Shao J,Reyad M</t>
  </si>
  <si>
    <t>Rafiki: Machine learning as an analytics service system</t>
  </si>
  <si>
    <t>128 – 140</t>
  </si>
  <si>
    <t>https://www.scopus.com/inward/record.uri?eid=2-s2.0-85061759520&amp;doi=10.14778%2f3282495.3282499&amp;partnerID=40&amp;md5=a22d5fef39e21569f72e25db07226865;http://dx.doi.org/10.14778/3282495.3282499</t>
  </si>
  <si>
    <t>10.14778/3282495.3282499</t>
  </si>
  <si>
    <t>Big data analytics is gaining massive momentum in the last few years. Applying machine learning models to big data has become an implicit requirement or an expectation for most analysis tasks, especially on high-stakes applications. Typical applications include sentiment analysis against reviews for analyzing on-line products, image classification in food logging applications for monitoring user's daily intake, and stock movement prediction. Extending traditional database systems to support the above analysis is intriguing but challenging. First, it is almost impossible to implement all machine learning models in the database engines. Second, expert knowledge is required to optimize the training and inference procedures in terms of efficiency and effectiveness, which imposes heavy burden on the system users. In this paper, we develop and present a system, called Rafiki, to provide the training and inference service of machine learning models. Rafiki provides distributed hyper-parameter tuning for the training service, and online ensemble modeling for the inference service which trades off between latency and accuracy. Experimental results confirm the efficiency, effectiveness, scalability and usability of Rafiki. © 2018 VLDB Endowment 21508097/18/07.</t>
  </si>
  <si>
    <t>Lutellier T,Chollak D,Garcia J,Tan L,Rayside D,Medvidovic N,Kroeger R</t>
  </si>
  <si>
    <t>Measuring the Impact of Code Dependencies on Software Architecture Recovery Techniques</t>
  </si>
  <si>
    <t>159 – 181</t>
  </si>
  <si>
    <t>https://www.scopus.com/inward/record.uri?eid=2-s2.0-85032433166&amp;doi=10.1109%2fTSE.2017.2671865&amp;partnerID=40&amp;md5=4db7eb5764a6022a18ba1a99cf9ec1bb;http://dx.doi.org/10.1109/TSE.2017.2671865</t>
  </si>
  <si>
    <t>10.1109/TSE.2017.2671865</t>
  </si>
  <si>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 First, we study the impact of leveraging accurate symbol dependencies on the accuracy of architecture recovery techniques. In addition, we evaluate other factors of the input dependencies such as the level of granularity and the dynamic-bindings graph construction. Second, we recovered the architecture of a large system, Chromium, that was not available previously. Obtaining the ground-truth architecture of Chromium involved two years of collaboration with its developers. As part of this work, we developed a new submodule-based technique to recover preliminary versions of ground-truth architectures. The results of our evaluation of nine architecture recovery techniques and their variants suggest that (1) using accurate symbol dependencies has a major influence on recovery quality, and (2) more accurate recovery techniques are needed. Our results show that some of the studied architecture recovery techniques scale to very large systems, whereas others do not. © 1976-2012 IEEE.</t>
  </si>
  <si>
    <t>Cited by: 38; All Open Access, Bronze Open Access, Green Open Access</t>
  </si>
  <si>
    <t>Akbarinasaji S,Caglayan B,Bener A</t>
  </si>
  <si>
    <t>Predicting bug-fixing time: A replication study using an open source software project</t>
  </si>
  <si>
    <t>https://www.scopus.com/inward/record.uri?eid=2-s2.0-85014053590&amp;doi=10.1016%2fj.jss.2017.02.021&amp;partnerID=40&amp;md5=247b29b699e29dbd357cf9dc95e3354c;http://dx.doi.org/10.1016/j.jss.2017.02.021</t>
  </si>
  <si>
    <t>10.1016/j.jss.2017.02.021</t>
  </si>
  <si>
    <t>Background: On projects with tight schedules and limited budgets, it may not be possible to resolve all known bugs before the next release. Estimates of the time required to fix known bugs (the “bug fixing time”) would assist managers in allocating bug fixing resources when faced with a high volume of bug reports. Aim: In this work, we aim to replicate a model for predicting bug fixing time with open source data from Bugzilla Firefox. Method: To perform the replication study, we follow the replication guidelines put forth by Carver [J. C. Carver, Towards reporting guidelines for experimental replications: a proposal, in: 1st International Workshop on Replication in Empirical Software Engineering, 2010.]. Similar to the original study, we apply a Markov-based model to predict the number of bugs that can be fixed monthly. In addition, we employ Monte-Carlo simulation to predict the total fixing time for a given number of bugs. We then use the k-nearest neighbors algorithm to classify fixing times into slow and fast. Result: The results of the replicated study on Firefox are consistent with those of the original study. The results show that there are similarities in the bug handling behaviour of both systems. Conclusion: We conclude that the model that estimates the bug fixing time is robust enough to be generalized, and we can rely on this model for our future research. © 2017 Elsevier Inc.</t>
  </si>
  <si>
    <t>Cited by: 40</t>
  </si>
  <si>
    <t>Alfraihi H,Lano K,Kolahdouz-Rahimi S,Sharbaf M,Haughton H</t>
  </si>
  <si>
    <t>The impact of integrating agile software development and model-driven development: A comparative case study</t>
  </si>
  <si>
    <t>11150 LNCS</t>
  </si>
  <si>
    <t>229 – 245</t>
  </si>
  <si>
    <t>https://www.scopus.com/inward/record.uri?eid=2-s2.0-85054784046&amp;doi=10.1007%2f978-3-030-01042-3_14&amp;partnerID=40&amp;md5=eb8f2bfd96f8220542a4058ba72bf954;http://dx.doi.org/10.1007/978-3-030-01042-3_14</t>
  </si>
  <si>
    <t>10.1007/978-3-030-01042-3_14</t>
  </si>
  <si>
    <t>Agile and Model-Driven Development integration (Agile MDD) is of significant interest to researchers who want to leverage the best of both worlds. Currently, there is no clear evidence or proof for the real impact of such integration. As a first step in this direction, this paper reports an empirical investigation on the impact of integrating Agile and Model-Driven Development on the quality of software systems. To this end, we developed a financial application using Agile MDD, which is further contrasted with three other independent versions of the same application developed using different approaches: Agile method, MDD method, and traditional (manually-coded) method, respectively. We also compared the functionality of the systems and a variety of technical debt metrics measuring the quality of the code and its design. Based on the case study results, we have found that the use of Agile MDD shows some improvements in the product quality and efficiency. © Springer Nature Switzerland AG 2018.</t>
  </si>
  <si>
    <t>Challenges and strategies for undertaking continuous experimentation to embedded systems: Industry and research perspectives</t>
  </si>
  <si>
    <t>277 – 292</t>
  </si>
  <si>
    <t>https://www.scopus.com/inward/record.uri?eid=2-s2.0-85048052155&amp;doi=10.1007%2f978-3-319-91602-6_20&amp;partnerID=40&amp;md5=4cd490b5b3146b473727c373bbd28e51;http://dx.doi.org/10.1007/978-3-319-91602-6_20</t>
  </si>
  <si>
    <t>10.1007/978-3-319-91602-6_20</t>
  </si>
  <si>
    <t>Context: Continuous experimentation is frequently used in web-facing companies and it is starting to gain the attention of embedded systems companies. However, embedded systems companies have different challenges and requirements to run experiments in their systems. Objective: This paper explores the challenges during the adoption of continuous experimentation in embedded systems from both industry practice and academic research. It presents strategies, guidelines, and solutions to overcome each of the identified challenges. Method: This research was conducted in two parts. The first part is a literature review with the aim to analyze the challenges in adopting continuous experimentation from the research perspective. The second part is a multiple case study based on interviews and workshop sessions with five companies to understand the challenges from the industry perspective and how they are working to overcome them. Results: This study found a set of twelve challenges divided into three areas; technical, business, and organizational challenges and strategies grouped into three categories, architecture, data handling and development processes. Conclusions: The set of identified challenges are presented with a set of strategies, guidelines, and solutions. To the knowledge of the authors, this paper is the first to provide an extensive list of challenges and strategies for continuous experimentation in embedded systems. Moreover, this research points out open challenges and the need for new tools and novel solutions for the further development of experimentation in embedded systems. © The Author(s) 2018.</t>
  </si>
  <si>
    <t>Ceravolo P,Azzini A,Angelini M,Catarci T,Cudré-Mauroux P,Damiani E,Mazak A,Van Keulen M,Jarrar M,Santucci G,Sattler KU,Scannapieco M,Wimmer M,Wrembel R,Zaraket F</t>
  </si>
  <si>
    <t>Big Data Semantics</t>
  </si>
  <si>
    <t>Journal on Data Semantics</t>
  </si>
  <si>
    <t>65 – 85</t>
  </si>
  <si>
    <t>1861-2032</t>
  </si>
  <si>
    <t>https://www.scopus.com/inward/record.uri?eid=2-s2.0-85048500823&amp;doi=10.1007%2fs13740-018-0086-2&amp;partnerID=40&amp;md5=384d40e6b2ccb7b40f3745f3a7e7881f;http://dx.doi.org/10.1007/s13740-018-0086-2</t>
  </si>
  <si>
    <t>10.1007/s13740-018-0086-2</t>
  </si>
  <si>
    <t>Big Data technology has discarded traditional data modeling approaches as no longer applicable to distributed data processing. It is, however, largely recognized that Big Data impose novel challenges in data and infrastructure management. Indeed, multiple components and procedures must be coordinated to ensure a high level of data quality and accessibility for the application layers, e.g., data analytics and reporting. In this paper, the third of its kind co-authored by members of IFIP WG 2.6 on Data Semantics, we propose a review of the literature addressing these topics and discuss relevant challenges for future research. Based on our literature review, we argue that methods, principles, and perspectives developed by the Data Semantics community can significantly contribute to address Big Data challenges. © 2018, Springer-Verlag GmbH Germany, part of Springer Nature.</t>
  </si>
  <si>
    <t>Rios N,Mendonça Neto MG,Spínola RO</t>
  </si>
  <si>
    <t>A tertiary study on technical debt: Types, management strategies, research trends, and base information for practitioners</t>
  </si>
  <si>
    <t>117 – 145</t>
  </si>
  <si>
    <t>https://www.scopus.com/inward/record.uri?eid=2-s2.0-85048168263&amp;doi=10.1016%2fj.infsof.2018.05.010&amp;partnerID=40&amp;md5=710823121ee7e1f1408ff5f77ecc912b;http://dx.doi.org/10.1016/j.infsof.2018.05.010</t>
  </si>
  <si>
    <t>10.1016/j.infsof.2018.05.010</t>
  </si>
  <si>
    <t>Context: The concept of technical debt (TD) contextualizes problems faced during software evolution considering the tasks that are not carried out adequately during its development. Currently, it is common to associate any impediment related to the software product and its development process to the definition of TD. This can bring confusion and ambiguity in the use of the term. Besides, due to the increasing amount of work in the area, it is difficult to have a comprehensive view of the plethora of proposals on TD management. Objective: This paper intends to investigate the current state of research on TD by identifying what research topics have been considered, organizing research directions and practical knowledge that has already been defined, identifying the known types of TD, and organizing what activities, strategies and tools have been proposed to support the management of TD. Method: A tertiary study was performed based on a set of five research questions. In total, 13 secondary studies, dated from 2012 to March 2018, were evaluated. Results: The results of this tertiary study are beneficial for both practitioners and researchers. We evolved a taxonomy of TD types, identified a list of situations in which debt items can be found in software projects, and organized a map representing the state of the art of activities, strategies and tools to support TD management. Besides, we also summarized some research directions and practical knowledge, and identified the research topics that have been more considered in secondary studies. Conclusion: This tertiary study revisited the TD landscape. Its results can help to identify points that still require further investigation in TD research. © 2018 Elsevier B.V.</t>
  </si>
  <si>
    <t>Cited by: 97</t>
  </si>
  <si>
    <t>Book title</t>
  </si>
  <si>
    <t>Proceedings title</t>
  </si>
  <si>
    <t>Keywords</t>
  </si>
  <si>
    <t>242-245</t>
  </si>
  <si>
    <t>2020 IEEE/ACM 42nd International Conference on Software Engineering: Companion Proceedings (ICSE-Companion)</t>
  </si>
  <si>
    <t>2574-1926</t>
  </si>
  <si>
    <t>Technical debt (TD) is an economical term used to depict non-optimal choices made in the software development process. It occurs usually when developers take shortcuts instead of following agreed upon development practices, and unchecked growth of technical debt can start to incur negative effects for software development processes. Technical debt detection and management is mainly done manually, and this is both slow and costly way of detecting technical debt. Automatic detection would solve this issue, but even state-of-the-art tools of today do not accurately detect the appearance of technical debt. Therefore, increasing the accuracy of automatic classification is of high importance, so that we could eliminate significant portion from the costs relating to technical debt detection. This research aims to solve the problem in detection accuracy by bringing in together static code analysis and natural language processing. This combination of techniques will allow more accurate detection of technical debt, when compared to them being used separately from each other. Research also aims to discover themes and topics from written developer messages that can be linked to technical debt. These can help us to understand technical debt from developers' viewpoint. Finally, we will build an open-source tool/plugin that can be used to accurately detect technical debt using both static analysis and natural language processing methods.</t>
  </si>
  <si>
    <t>Measurement;Tools;Software;Open source software;Natural language processing;Software engineering;Object oriented programming;natural language processing;machine learning;technical debt</t>
  </si>
  <si>
    <t>1939-3520</t>
  </si>
  <si>
    <t>Software;Natural language processing;Manuals;Entropy;Unified modeling language;Java;Structured Query Language;Technical debt;source code comments;natural language processing;empirical study</t>
  </si>
  <si>
    <t>41-45</t>
  </si>
  <si>
    <t>2022 IEEE/ACM International Conference on Technical Debt (TechDebt)</t>
  </si>
  <si>
    <t>http://dx.doi.org/10.1145/3524843.3528093</t>
  </si>
  <si>
    <t>During the development phase, software programmers usually introduce code that contains issues intentionally left for additional treatment. To allow for future fixing, they mark such code using textual comments, resulting in Self-Admitted Technical Debt (SATD). Detecting SATD contained in source code has become crucial in the development cycle since it helps program-mers locate issues that need to be solved, thus improving code quality. We introduce PILOT, a technical debt detector built on top of a combination of different natural language processing (NLP) and machine learning (ML) techniques. First, the semantic among SATD comments is captured using feature extraction steps. Then, neural network algorithms are applied to classify comments, represented as vectors. We built a PILOT prototype with a feed-forward neural network and evaluated it using real-world datasets as proof of concept. The empirical evaluation shows that PILOT obtains an encouraging performance and outperforms a well-established baseline. We anticipate that our tool will come in handy, as once being embedded in the IDE, it can help developers recognize SATD manifested in their code, allowing them to conveniently identify and fix issues.</t>
  </si>
  <si>
    <t>Codes;Machine learning algorithms;Neural networks;Semantics;Prototypes;Machine learning;Feature extraction;Self-Admitted Technical Debt;NLP techniques;Neural Networks</t>
  </si>
  <si>
    <t>Woods E</t>
  </si>
  <si>
    <t>The Past, Present and Future of Technical Debt: Learning from the Past to Prepare for the Future</t>
  </si>
  <si>
    <t>61-61</t>
  </si>
  <si>
    <t>2018 IEEE/ACM International Conference on Technical Debt (TechDebt)</t>
  </si>
  <si>
    <t>While technical debt has emerged as a formal concept relatively recently we have had technical debt from the earliest days of software development, it has simply evolved in nature. So what can we learn from past types of technical debt to allow us to prepare for its future forms? When we look back over recent software history, we can see identifiable evolutions of software systems, each one roughly aligning with a decade. In this talk we will explore what technical debt has meant during each era of software systems and what this might mean for technical debt in the future.</t>
  </si>
  <si>
    <t>Machine learning;Internet;Software systems;Computers;Data models;technical debt;software evolution</t>
  </si>
  <si>
    <t>Sharma T</t>
  </si>
  <si>
    <t>How Deep is the Mud: Fathoming Architecture Technical Debt Using Designite</t>
  </si>
  <si>
    <t>59-60</t>
  </si>
  <si>
    <t>2019 IEEE/ACM International Conference on Technical Debt (TechDebt)</t>
  </si>
  <si>
    <t>http://dx.doi.org/10.1109/TechDebt.2019.00018</t>
  </si>
  <si>
    <t>10.1109/TechDebt.2019.00018</t>
  </si>
  <si>
    <t>The quality of software architecture is an important concern for any software development team. Architecture smells represent quality issues at architecture granularity. Identifying and refactoring them periodically is a necessity to keep architecture quality high. We present Designite, a software design quality assessment tool, that identifies seven well-known architecture smells. Along with the identification, the tool provides supplementary information such as cause and responsible classes for each identified smell instance to help developers understand and refactor the smell. The tool is relevant and useful in both research and practice context. Software developers may use it to identify technical debt instances and to refactor them. On the other hand, software engineering researchers may use the tool to carry out large-scale empirical studies concerning code smells.</t>
  </si>
  <si>
    <t>Tools;Computer architecture;Visualization;Software design;Quality assessment;Software engineering;Architecture smells, code smells, technical debt, maintainability, code quality, refactoring</t>
  </si>
  <si>
    <t>Ranawana R,Karunananda AS</t>
  </si>
  <si>
    <t>An Agile Software Development Life Cycle Model for Machine Learning Application Development</t>
  </si>
  <si>
    <t>2021 5th SLAAI International Conference on Artificial Intelligence (SLAAI-ICAI)</t>
  </si>
  <si>
    <t>http://dx.doi.org/10.1109/SLAAI-ICAI54477.2021.9664736</t>
  </si>
  <si>
    <t>10.1109/SLAAI-ICAI54477.2021.9664736</t>
  </si>
  <si>
    <t>Software development teams are often hampered when aligning machine learning production with standard software development processes. Iterative experimentation is needed to address the inherent complexities of data collection and preparation, model entanglement, and the technical debt of machine learning. The complexity of this process is compounded due to dependencies on the production environment and real- time data. We propose a unified framework which facilitates the planning, development, and deployment of a machine learning application through parallel processes for software and machine learning engineering. This allows for the risk of both the project and machine learning development to be significantly reduced through continuous integration, evaluation, and production. The framework, named MLASDLC, unifies concepts from standard software development life cycle methodologies (SDLC), development operations (DevOps) and machine learning operations (MLOps) to present a framework for the development of machine learning applications.</t>
  </si>
  <si>
    <t>Agile software development;Machine learning;Production;Data collection;Software;Data models;Complexity theory;Machine learning;MLOps;DevOps;agile;SDLC;software development life cycle;experimentation;data-centric</t>
  </si>
  <si>
    <t>Enhanced Feature Selection Using Word Embeddings for Self-Admitted Technical Debt Identification</t>
  </si>
  <si>
    <t>230-233</t>
  </si>
  <si>
    <t>2018 44th Euromicro Conference on Software Engineering and Advanced Applications (SEAA)</t>
  </si>
  <si>
    <t>http://dx.doi.org/10.1109/SEAA.2018.00045</t>
  </si>
  <si>
    <t>Technical debt (TD) is a term used to describe a trade off between code quality and timely software release. Since technical debt has negative impact on software development, identification of such debt is an important task in the software engineering domain. Sometimes, technical debt is annotated in source code comments. This kind of debt is referred to as self-admitted technical debt (SATD). Recently, some studies have focused on automated detection and classification of SATD using natural language processing methods. However, these methods have only used manually annotated data to train their classifiers. In this paper, we present the results of a performed exploratory study for using large corpus of unlabeled code comments, extracted from open source projects on git-hub, to train word embeddings, in order to improve detection of SATD. Our approach aims to enhance the feature selection method by taking advantage of the pre-trained word embeddings to detect similar features in source code comments. The experimental results show a significant improvement in SATD classification. With achieved 82% of correct predictions of SATD, the method seems to be a good candidate to be adopted in practice.</t>
  </si>
  <si>
    <t>Feature extraction;Task analysis;Java;Computer hacking;Semantics;Software;Distance measurement;text classification, feature selection, self-admitted technical debt, word embeddings</t>
  </si>
  <si>
    <t>Word Embeddings for the Software Engineering Domain</t>
  </si>
  <si>
    <t>38-41</t>
  </si>
  <si>
    <t>2018 IEEE/ACM 15th International Conference on Mining Software Repositories (MSR)</t>
  </si>
  <si>
    <t>2574-3864</t>
  </si>
  <si>
    <t>The software development process produces vast amounts of textual data expressed in natural language. Outcomes from the natural language processing community have been adapted in software engineering research for leveraging this rich textual information; these include methods and readily available tools, often furnished with pretrained models. State of the art pretrained models however, capture general, common sense knowledge, with limited value when it comes to handling data specific to a specialized domain. There is currently a lack of domain-specific pretrained models that would further enhance the processing of natural language artefacts related to software engineering. To this end, we release a word2vec model trained over 15GB of textual data from Stack Overflow posts. We illustrate how the model disambiguates polysemous words by interpreting them within their software engineering context. In addition, we present examples of fine-grained semantics captured by the model, that imply transferability of these results to diverse, targeted information retrieval tasks in software engineering and motivate for further reuse of the model.</t>
  </si>
  <si>
    <t>Software engineering;Software;Natural language processing;Task analysis;Biological system modeling;Information retrieval;Knowledge engineering;Natural Language Processing;Skip gram;word2vec;Stack Overflow</t>
  </si>
  <si>
    <t>Abad ZS,Ruhe G,Bauer M</t>
  </si>
  <si>
    <t>Understanding Task Interruptions in Service Oriented Software Development Projects: An Exploratory Study</t>
  </si>
  <si>
    <t>34-40</t>
  </si>
  <si>
    <t>2017 IEEE/ACM 4th International Workshop on Software Engineering Research and Industrial Practice (SER&amp;IP)</t>
  </si>
  <si>
    <t>http://dx.doi.org/10.1109/SER-IP.2017..5</t>
  </si>
  <si>
    <t>10.1109/SER-IP.2017..5</t>
  </si>
  <si>
    <t>The Service-Oriented Software Development (SOSD) approach is a common software development paradigm. Previous qualitative and quantitative studies looked at the main reasons for the delay in software development so as to help project's stakeholders to take appropriate actions for improvement in their planning. In SOSD projects, due to the high level of user involvement in new service and product development, service providers need to make dynamic trade-offs to address their clients' demands. In this paper, we look at interruptions and their impact on tasks duration. We used text classification, Natural Language Processing (NLP), and quantitative time series analysis techniques to analyze 7, 770 development tasks of five real SOSD projects at Arcurve Inc. Our results show that fixing an issue, addressing changes, and adding new features are the most frequently perceived causes of interruption in SOSD projects. Furthermore, we have found that requirements engineering and project management tasks experience less delay time over a project's life-cycle. We also visualized the association between the interruption length and the extra tasks' duration resulted from these interruptions within various development task types, which shows there is no strong association between task type with regard to these two parameters.</t>
  </si>
  <si>
    <t>Software;Natural language processing;Companies;Interviews;Data collection;Delays;Time series analysis;Service Oriented Software Development (SOSD);empirical study;delay</t>
  </si>
  <si>
    <t>Lomio F,Pascarella L,Palomba F,Lenarduzzi V</t>
  </si>
  <si>
    <t>Regularity or Anomaly? On The Use of Anomaly Detection for Fine-Grained JIT Defect Prediction</t>
  </si>
  <si>
    <t>270-273</t>
  </si>
  <si>
    <t>2022 48th Euromicro Conference on Software Engineering and Advanced Applications (SEAA)</t>
  </si>
  <si>
    <t>http://dx.doi.org/10.1109/SEAA56994.2022.00049</t>
  </si>
  <si>
    <t>10.1109/SEAA56994.2022.00049</t>
  </si>
  <si>
    <t>Fine-grained just-in-time defect prediction aims at identifying likely defective files within new commits. Popular techniques are based on supervised learning, where machine learning algorithms are fed with historical data. One of the limitations of these techniques is concerned with the use of imbalanced data that only contain a few defective samples to enable a proper learning phase. To overcome this problem, recent work has shown that anomaly detection can be used as an alternative. With our study, we aim at assessing how anomaly detection can be employed for the problem of fine-grained just-in-time defect prediction. We conduct an empirical investigation on 32 open-source projects, designing and evaluating three anomaly detection methods for fine-grained just-in-time defect prediction. Our results do not show significant advantages that justify the benefit of anomaly detection over machine learning approaches.</t>
  </si>
  <si>
    <t>Machine learning algorithms;Supervised learning;Machine learning;Software;Anomaly detection;Software engineering;Defect Prediction;Anomaly Detection;Empirical Software Engineering;Software Evolution</t>
  </si>
  <si>
    <t>Sonarlizer Xplorer: a tool to mine Github projects and identify technical debt items using SonarQube</t>
  </si>
  <si>
    <t>71-75</t>
  </si>
  <si>
    <t>http://dx.doi.org/10.1145/3524843.3528098</t>
  </si>
  <si>
    <t>The advancement of artificial intelligence and the imple-mentation of machine learning capabilities in programming languages such as Python, along with cloud services, allow researchers to apply methods to cluster and predict behav-iors and patterns in software engineering data. On the other hand, these methods need a large amount of data in order to work with high accuracy in different contexts. This paper introduces Sonarlizer Xplorer: a tool that captures a large number of technical debt items and code metrics from pub-lic GitHub projects. Sonarlizer Xplorer is composed of two sub-tools. The first is Github Xplorer, responsible for mining public Github repositories from an initial project. The second is Sonarlizer, responsible for taking projects and analyzing them using SonarQube. We used the tool over four months, collecting technical debt items and code metrics on almost 46,000 public Java projects. In addition, we mined over 57 million repositories and 4 million users.</t>
  </si>
  <si>
    <t>Measurement;Java;Codes;IEEE Xplore;Machine learning;Data mining;Software development management;technical debt identifier;metric analyzer;public projects mining;Github;SonarQube</t>
  </si>
  <si>
    <t>Pina D,Goldman A,Tonin G</t>
  </si>
  <si>
    <t>Technical Debt Prioritization: Taxonomy, Methods Results, and Practical Characteristics</t>
  </si>
  <si>
    <t>206-213</t>
  </si>
  <si>
    <t>2021 47th Euromicro Conference on Software Engineering and Advanced Applications (SEAA)</t>
  </si>
  <si>
    <t>http://dx.doi.org/10.1109/SEAA53835.2021.00034</t>
  </si>
  <si>
    <t>10.1109/SEAA53835.2021.00034</t>
  </si>
  <si>
    <t>Technical debt is the metaphor for shortcuts in software development that bring short-term benefits, but long-term consequences hinder the process of maintaining and developing software. It is important to manage these technical debt items, as not all of them need to be paid. Having a list of prioritized debts is an essential step in decision-making in the management process. This work aims at finding technical debt prioritization methods, providing a classification of them. That is, methods to identify whether and when a technical debt should be paid off. We performed a systematic mapping review to find and analyze the main papers of the area, covering the main bases. We selected 112 studies, resulting in 51 unique papers. We classified the methods in a two-level taxonomy containing 10 categories according to their different possible outcomes. In addition, we have identified three methods results: boolean, category and ordered list. Finally, we have also identified practical technical characteristics and requirements for a method to prioritize technical debt items in real projects. Although several methods have been found in literature, none of them are adaptive to the context and are language-independent, nor cover several technical debt types. Moreover, there is a clear lack of tools to use them. So, in conclusion, the research on technical debt prioritization is still wide open. From this study, a combination of the techniques used in these methods can be tested and automated to assist in the decision-making process on which debts should be paid.</t>
  </si>
  <si>
    <t>Computer languages;Systematics;Databases;Taxonomy;Decision making;Tools;Programming;Technical debt;Technical debt prioritization;Technical debt management;Technical debt decision-making;Systematic mapping study</t>
  </si>
  <si>
    <t>76-80</t>
  </si>
  <si>
    <t>http://dx.doi.org/10.1145/3524843.3528094</t>
  </si>
  <si>
    <t>To date, the identification and quantification of Technical Debt (TD) rely heavily on a few sophisticated tools that check for violations of certain predefined rules, usually through static analysis. Different tools result in divergent TD estimates calling into question the reliability of findings derived by a single tool. To alleviate this issue, we present a tool that employs machine learning on a dataset built upon the convergence of three widely-adopted TD Assessment tools to automatically assess the class-level TD for any arbitrary Java project. The proposed tool is able to classify software classes as high-TD or not, by synthesizing source code and repository ac-tivity information retrieved by employing four popular open source analyzers. The classification results are combined with proper vi-sualization techniques, to enable the identification of classes that are more likely to be problematic. To demonstrate the proposed tool and evaluate its usefulness, a case study is conducted based on a real-world open-source software project. The proposed tool is expected to facilitate TD management activities and enable fur-ther experimentation through its use in an academic or industrial setting. Video: https://youtu.be/umgXU8u7lIA Running Instance: http://160.40.52.130:3000/tdclassifier Source Code: https://gitlab.seis.iti.gr/root/td-classifier.git</t>
  </si>
  <si>
    <t>Java;Codes;Scalability;Pipelines;Static analysis;Machine learning;Reliability;technical debt;technical debt identification;machine learning;tool</t>
  </si>
  <si>
    <t>1208-1209</t>
  </si>
  <si>
    <t>2021 36th IEEE/ACM International Conference on Automated Software Engineering (ASE)</t>
  </si>
  <si>
    <t>2643-1572</t>
  </si>
  <si>
    <t>http://dx.doi.org/10.1109/ASE51524.2021.9678532</t>
  </si>
  <si>
    <t>Despite the fact that there are numerous classifications of technical debt based on various criteria, Code Debt or code smells is a category that appears in the majority of current research. One of the primary causes of code debt is the urgency to deliver software quickly, as well as bad coding practices. Among many approaches, static code analysis has received the most attention in studies to detect code-smell/code debt. However, most of them examine the same programming language, although today’s software company utilizes many development stacks with various languages and tools. This problem can be resolved by detecting code debt with Issue/Ticket cards. This paper presents a method for detecting code debt leveraging natural language processing on issue tickets. It also proposes a method for calculating the average amount of time that a code debt was present in the software. This method is implemented utilizing git mining.</t>
  </si>
  <si>
    <t>Computer languages;Codes;Costs;Biological system modeling;Machine learning;Software;Data models;Code Debt;Code Smell;Architectural Degradation;Technical Debt;Economical-Cost;Version Control;Issue Ticket</t>
  </si>
  <si>
    <t>21-30</t>
  </si>
  <si>
    <t>http://dx.doi.org/10.1145/3524843.3528097</t>
  </si>
  <si>
    <t>Technical Debt (TD) refers to the consequences of taking shortcuts when developing software. Technical Debt Management (TDM) becomes complex since it relies on a decision process based on multiple and heterogeneous data, which are not straightforward to be synthesized. In this context, there is a promising opportunity to use Intelligent Techniques to support TDM activities since these techniques explore data for knowledge discovery, reasoning, learning, or supporting decision-making. Although these techniques can be used for improving TDM activities, there is no empirical study exploring this research area. This study aims to identify and analyze solutions based on Intelligent Techniques employed to sup-port TDM activities. A Systematic Mapping Study was performed, covering publications between 2010 and 2020. From 2276 extracted studies, we selected 111 unique studies. We found a positive trend in applying Intelligent Techniques to support TDM activities, being Machine Learning, Reasoning Under Uncertainty, and Natu-ral Language Processing the most recurrent ones. Identification, measurement, and monitoring were the more recurrent TDM ac-tivities, whereas Design, Code, and Architectural were the most frequently investigated TD types. Although the research area is up-and-coming, it is still in its infancy, and this study provides a baseline for future research.</t>
  </si>
  <si>
    <t>Uncertainty;Systematics;Decision making;Machine learning;Time division multiplexing;Market research;Knowledge discovery;Technical Debt;Intelligent Techniques;Systematic Mapping Study;Technical Debt Management</t>
  </si>
  <si>
    <t>Bellomo S,Nord RL,Ozkaya I,Popeck M</t>
  </si>
  <si>
    <t>Got Technical Debt? Surfacing Elusive Technical Debt in Issue Trackers</t>
  </si>
  <si>
    <t>327-338</t>
  </si>
  <si>
    <t>2016 IEEE/ACM 13th Working Conference on Mining Software Repositories (MSR)</t>
  </si>
  <si>
    <t>Concretely communicating technical debt and its consequences is of common interest to both researchers and software engineers. In the absence of validated tools and techniques to achieve this goal with repeatable results, developers resort to ad hoc practices. Most commonly they report using issue trackers or their existing backlog management practices to capture and track technical debt. In a manual examination of 1,264 issues from four issue trackers from open source industry and government projects, we identified 109 examples of technical debt. Our study reveals that technical debt and its related concepts have entered the vernacular of developers as they discuss development tasks through issue trackers. Even when issues are not explicitly tagged as technical debt, it is possible to identify technical debt items in these issue trackers using a categorization method we developed. We use our results and data to motivate an improved definition and an approach to explicitly report technical debt in issue trackers.</t>
  </si>
  <si>
    <t>Software;Chromium;Government;Data mining;Software engineering;Computer bugs;Technical debt;software anomalies;issue tracking;text categorization;software design</t>
  </si>
  <si>
    <t>Avgeriou P,Kruchten P,Nord RL,Ozkaya I,Seaman C</t>
  </si>
  <si>
    <t>Reducing Friction in Software Development</t>
  </si>
  <si>
    <t>66-73</t>
  </si>
  <si>
    <t>1937-4194</t>
  </si>
  <si>
    <t>http://dx.doi.org/10.1109/MS.2016.13</t>
  </si>
  <si>
    <t>10.1109/MS.2016.13</t>
  </si>
  <si>
    <t>Software is being produced so fast that its growth hinders its sustainability. Technical debt, which encompasses internal software quality, evolution and maintenance, reengineering, and economics, is growing such that its management is becoming the dominant driver of software engineering progress. It spans the software engineering life cycle, and its management capitalizes on recent advances in fields such as source code analysis, quality measurement, and project management. Managing technical debt will become an investment activity applying economic theories. It will effectively address the architecture level and will offer specific processes and tools employing data science and analytics to support decision making. It will also be an essential part of the software engineering curriculum. Getting ahead of the software quality and innovation curve will inevitably involve establishing technical-debt management as a core software engineering practice. This article is part of a special issue on the Future of Software Engineering.</t>
  </si>
  <si>
    <t>Software development;Economics;Software engineering;Stakeholders;Sustainability;Maintenance engineering;technical debt;software management;software economics;software quality;software engineering;software development;software architecture;maintenance and evolution;sustainability;education</t>
  </si>
  <si>
    <t>Trendowicz A,Siebert J,Jedlitschka A</t>
  </si>
  <si>
    <t>Data-Driven Technical Debt Management: Software Engineering or Data Science Challenge?</t>
  </si>
  <si>
    <t>59-64</t>
  </si>
  <si>
    <t>http://dx.doi.org/10.1109/MS.2021.3103326</t>
  </si>
  <si>
    <t>10.1109/MS.2021.3103326</t>
  </si>
  <si>
    <t>In this article, we summarize experience with data-driven technical debt management that we gained through several industry research projects. We report challenges and their consequences, propose solutions, and sketch improvement directions.</t>
  </si>
  <si>
    <t>Industries;Data science;Software engineering;Costs;Finance;Software development management</t>
  </si>
  <si>
    <t>Alfayez R,Behnamghader P,Srisopha K,Boehm B</t>
  </si>
  <si>
    <t>An Exploratory Study on the Influence of Developers in Technical Debt</t>
  </si>
  <si>
    <t>Software systems are often developed by many developers who have a varying range of skills and habits. These developers have a big impact on software quality. Understanding how different developers and developer characteristics impact the quality of a software is crucial to properly deploy human resources and help managers improve quality outcomes which is essential for software systems success. Addressing this concern, we conduct a study on how different developers and developer characteristics such as developer seniority in a system, frequency of commits, and interval between commits relate to Technical Debt (TD). We performed a large-scale analysis on 19,088 commits from 38 Apache Java systems and applied multiple statistical analysis tests to evaluate our hypotheses. Our empirical evaluation suggests that developers unequally increase and decrease TD, a developer seniority in a software system and frequency of commits are negatively correlated with the TD the developer induces, and a developer commit interval has a positive correlation with the TD the developer induces.</t>
  </si>
  <si>
    <t>Software systems;Software quality;Software engineering;Software maintenance;Computer bugs;Java;Software Engineering;Software Maintenance;Technical Debt;Project Management;Human Factors;Developer Experience;Developer Contribution</t>
  </si>
  <si>
    <t>Predicting Community Smells’ Occurrence on Individual Developers by Sentiments</t>
  </si>
  <si>
    <t>230-241</t>
  </si>
  <si>
    <t>2021 IEEE/ACM 29th International Conference on Program Comprehension (ICPC)</t>
  </si>
  <si>
    <t>2643-7171</t>
  </si>
  <si>
    <t>http://dx.doi.org/10.1109/ICPC52881.2021.00030</t>
  </si>
  <si>
    <t>Community smells appear in sub-optimal software development community structures, causing unforeseen additional project costs, e.g., lower productivity and more technical debt. Previous studies analyzed and predicted community smells in the granularity of community sub-groups using socio-technical factors. However, refactoring such smells requires the effort of developers individually. To eliminate them, supportive measures for every developer should be constructed according to their motifs and working states. Recent work revealed developers' personalities could influence community smells' variation, and their sentiments could impact productivity. Thus, sentiments could be evaluated to predict community smells' occurrence on them. To this aim, this paper builds a developer-oriented and sentiment-aware community smell prediction model considering 3 smells such as Organizational Silo, Lone Wolf, and Bottleneck. Furthermore, it also predicts if a developer quitted the community after being affected by any smell. The proposed model achieves cross- and within-project prediction F-Measure ranging from 76% to 93%. Research also reveals 6 sentimental features having stronger predictive power compared with activeness metrics. Imperative and indicative expressions, politeness, and several emotions are the most powerful predictors. Finally, we test statistically the mean and distribution of sentimental features. Based on our findings, we suggest developers should communicate in a straightforward and polite way.</t>
  </si>
  <si>
    <t>Productivity;Organizations;Predictive models;Distance measurement;Software;Software engineering;community smell;developer sentiment;social debt;open source system;empirical software engineering</t>
  </si>
  <si>
    <t>Pina D,Seaman C,Goldman A</t>
  </si>
  <si>
    <t>Technical Debt Prioritization: A Developer's Perspective</t>
  </si>
  <si>
    <t>46-55</t>
  </si>
  <si>
    <t>http://dx.doi.org/10.1145/3524843.3528096</t>
  </si>
  <si>
    <t>10.1145/3524843.3528096</t>
  </si>
  <si>
    <t>Background: The prioritization of technical debt is an essen-tial task in managing software projects because, with current analysis tools, it is possible to find thousands of technical debt items in the software that would take months or even years to be fully paid. Aims: In this study, we aim to under-stand which criteria software developers use to prioritize code technical debt in real software projects. Methods: We performed a survey to collect data from open-source soft-ware projects in order to reach a large and diverse set of ex-periences. We analyzed the data using Straussian Grounded Theory techniques: open coding, axial coding, and selective coding. Results: We grouped the criteria into 15 categories and divided them into 2 super-categories related to paying off the technical debt and 3 related to not paying it. Conclusions: When participants decided to pay off technical debt, they wanted to do it soon. However, when they decided not to pay it, it is often because the debt occurred intentionally due to a project decision. Also, participants using similar criteria for their decisions tended to choose similar priority levels for those decisions. Finally, we observed that each software project needs to tailor the rules used to identify code technical debt to their project context.</t>
  </si>
  <si>
    <t>Codes;Encoding;Task analysis;Open source software;technical debt;technical debt prioritization;code technical debt;survey;grounded theory</t>
  </si>
  <si>
    <t>SATD Detector: A Text-Mining-Based Self-Admitted Technical Debt Detection Tool</t>
  </si>
  <si>
    <t>2018 IEEE/ACM 40th International Conference on Software Engineering: Companion (ICSE-Companion)</t>
  </si>
  <si>
    <t>2574-1934</t>
  </si>
  <si>
    <t>In software projects, technical debt metaphor is used to describe the situation where developers and managers have to accept compromises in long-term software quality to achieve short-term goals. There are many types of technical debt, and self-admitted technical debt (SATD) was proposed recently to consider debt that is introduced intentionally (e.g., through temporary fix) and admitted by developers themselves. Previous work has shown that SATD can be successfully detected using source code comments. However, most current state-of-the-art approaches identify SATD comments through pattern matching, which achieve high precision but very low recall. That means they may miss many SATD comments and are not practical enough. In this paper, we propose SATD Detector, a tool that is able to (i) automatically detect SATD comments using text mining and (ii) highlight, list and manage detected comments in an integrated development environment (IDE). This tool consists of a Java library and an Eclipse plug-in. The Java library is the back-end, which provides command-line interfaces and Java APIs to re-train the text mining model using users' data and automatically detect SATD comments using either the build-in model or a user-specified model. The Eclipse plug-in, which is the front-end, first leverages our pre-trained composite classifier to detect SATD comments, and then highlights and marks these detected comments in the source code editor of Eclipse. In addition, the Eclipse plug-in provides a view in IDE which collects all detected comments for management.</t>
  </si>
  <si>
    <t>Tools;Java;Libraries;Feature extraction;Detectors;Data models;Text mining;Self-admitted technical debt;SATD detection;Eclipse plug-in</t>
  </si>
  <si>
    <t>Halepmollası R</t>
  </si>
  <si>
    <t>186-189</t>
  </si>
  <si>
    <t>Technical debt (TD), its impact on development and its consequences such as defects and vulnerabilities, are of common interest and great importance to software researchers and practitioners. Although there exist many studies investigating TD, the majority of them focuses on identifying and detecting TD from a single stage of development. There are also studies that analyze vulnerabilities focusing on some phases of the life cycle. Moreover, several approaches have investigated the relationship between TD and vulnerabilities, however, the generalizability and validity of findings are limited due to small dataset. In this study, we aim to identify TD through multiple phases of development, and to automatically measure it through data and text mining techniques to form a comprehensive feature model. We plan to utilize neural network based classifiers that will incorporate evolutionary changes on TD measures into predicting vulnerabilities. Our approach will be empirically assessed on open source and industrial projects.</t>
  </si>
  <si>
    <t>Software;Security;Testing;Tools;Software systems;Predictive models;Phase measurement;technical debt;software security;machine learning;feature engineering</t>
  </si>
  <si>
    <t>Wan Z,Xia X,Lo D,Murphy GC</t>
  </si>
  <si>
    <t>How does Machine Learning Change Software Development Practices?</t>
  </si>
  <si>
    <t>1857-1871</t>
  </si>
  <si>
    <t>http://dx.doi.org/10.1109/TSE.2019.2937083</t>
  </si>
  <si>
    <t>10.1109/TSE.2019.2937083</t>
  </si>
  <si>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</si>
  <si>
    <t>Software;Interviews;Data models;Machine learning;Testing;Task analysis;Software engineering;Software engineering;machine learning;practitioner;empirical study</t>
  </si>
  <si>
    <t>de Freitas Farias MA,de Mendonça Neto MG,Silva AB,Spínola RO</t>
  </si>
  <si>
    <t>A Contextualized Vocabulary Model for identifying technical debt on code comments</t>
  </si>
  <si>
    <t>25-32</t>
  </si>
  <si>
    <t>2015 IEEE 7th International Workshop on Managing Technical Debt (MTD)</t>
  </si>
  <si>
    <t>http://dx.doi.org/10.1109/MTD.2015.7332621</t>
  </si>
  <si>
    <t>10.1109/MTD.2015.7332621</t>
  </si>
  <si>
    <t>The identification of technical debt (TD) is an important step to effectively manage it. In this context, a set of indicators has been used by automated approaches to identify TD items, but some debt may not be directly identified using only metrics collected from the source code. In this work we propose CVM-TD, a model to support the identification of technical debt through code comment analysis. We performed an exploratory study on two large open sources projects with the goal of characterizing the feasibility of the proposed model to support the detection of TD through code comments analysis. The results indicate that (1) developers use the dimensions considered by CVM-TD when writing code comments, (2) CVM-TD provides a vocabulary that may be used to detect TD items, and (3) the proposed model needs to be calibrated in order to reduce the difference between comments returned by the vocabulary and those that may indicate a TD item. Code comments analysis can be used to detect TD in software projects and CVM-TD may support the development team to perform this task.</t>
  </si>
  <si>
    <t>Software;Vocabulary;Measurement;Context;Data mining;Documentation;Context modeling;Technical debt identification;technical debt indicator;mining comment;code comment analysis</t>
  </si>
  <si>
    <t>Maldonado ES,Shihab E</t>
  </si>
  <si>
    <t>Detecting and quantifying different types of self-admitted technical Debt</t>
  </si>
  <si>
    <t>http://dx.doi.org/10.1109/MTD.2015.7332619</t>
  </si>
  <si>
    <t>10.1109/MTD.2015.7332619</t>
  </si>
  <si>
    <t>Technical Debt is a term that has been used to express non-optimal solutions during the development of software projects. These non optimal solutions are often shortcuts that allow the project to move faster in the short term, at the cost of increased maintenance in the future. To help alleviate the impact of technical debt, a number of studies focused on the detection of technical debt. More recently, our work shown that one possible source to detect technical debt is using source code comments, also referred to as self-admitted technical debt. However, what types of technical debt can be detected using source code comments remains as an open question. Therefore, in this paper we examine code comments to determine the different types of technical debt. First, we propose four simple filtering heuristics to eliminate comments that are not likely to contain technical debt. Second, we read through more than 33K comments, and we find that self-admitted technical debt can be classified into five main types - design debt, defect debt, documentation debt, requirement debt and test debt. The most common type of self-admitted technical debt is design debt, making up between 42% to 84% of the classified comments. Lastly, we make the classified dataset of more than 33K comments publicly available for the community as a way to encourage future research and the evolution of the technical debt landscape.</t>
  </si>
  <si>
    <t>Java;Documentation;Licenses;Data mining;Software;Maintenance engineering;Context</t>
  </si>
  <si>
    <t>Zhang H,Cruz L,van Deursen A</t>
  </si>
  <si>
    <t>217-228</t>
  </si>
  <si>
    <t>2022 IEEE/ACM 1st International Conference on AI Engineering – Software Engineering for AI (CAIN)</t>
  </si>
  <si>
    <t>http://dx.doi.org/10.1145/3522664.3528620</t>
  </si>
  <si>
    <t>The popularity of machine learning has wildly expanded in recent years. Machine learning techniques have been heatedly studied in academia and applied in the industry to create business value. However, there is a lack of guidelines for code quality in machine learning applications. In particular, code smells have rarely been studied in this domain. Although machine learning code is usually integrated as a small part of an overarching system, it usually plays an important role in its core functionality. Hence ensuring code quality is quintessential to avoid issues in the long run. This paper proposes and identifies a list of 22 machine learning-specific code smells collected from various sources, including papers, grey literature, GitHub commits, and Stack Overflow posts. We pinpoint each smell with a description of its context, potential issues in the long run, and proposed solutions. In addition, we link them to their respective pipeline stage and the evidence from both academic and grey literature. The code smell catalog helps data scientists and developers produce and maintain high-quality machine learning application code. ACM Reference Format: Haiyin Zhang, Luís Cruz, and Arie van Deursen. 2022. Code Smells for Machine Learning Applications. In 1st Conference on AI Engineering - Software Engineering for AI (CAIN’22), May 16-24, 2022, Pittsburgh, PA, USA. ACM, New York, NY, USA, 12 pages. https://doi.org/10.1145/3522664.3528620</t>
  </si>
  <si>
    <t>Industries;Heating systems;Codes;Pipelines;Machine learning;Software engineering;Software development management;Code Smell;Anti-pattern;Machine Learning;Code Quality;Technical Debt</t>
  </si>
  <si>
    <t>291-300</t>
  </si>
  <si>
    <t>2019 IEEE/ACM 41st International Conference on Software Engineering: Software Engineering in Practice (ICSE-SEIP)</t>
  </si>
  <si>
    <t>http://dx.doi.org/10.1109/ICSE-SEIP.2019.00042</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</si>
  <si>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</si>
  <si>
    <t>Software;Machine learning;Software engineering;Buildings;Organizations;Data models;artifical intelligence;machine learning;software engineering;process;data</t>
  </si>
  <si>
    <t>Lenarduzzi V,Martini A,Saarimäki N,Tamburri DA</t>
  </si>
  <si>
    <t>188-195</t>
  </si>
  <si>
    <t>http://dx.doi.org/10.1109/SEAA53835.2021.00032</t>
  </si>
  <si>
    <t>Background: Technical Debt is a consolidated notion in software engineering research and practice. However, the estimation of its impact (interest of the debt) is still imprecise and requires heavy empirical and experimental inquiry. Objective: We aim at developing a data-driven approach to calculate the interest of Technical Debt in terms of delays in resolving affected tasks.Method: We conducted a case study to estimate the Technical Debt interest by analyzing its association with the lead time variation of resolving related Jira issues.Results: Data-driven approaches could significantly change the Technical Debt estimation and improve the removing Technical Debt prioritization. Our case study shows that the presence of Code Technical Debt did not affect the lead time for resolving the issues.Conclusion: Future works include the further refinement of this approach and its application to a larger data-set and on different type of issues.</t>
  </si>
  <si>
    <t>Codes;Runtime;Estimation;Production;Tools;Lead;Software;Technical Debt;SonarQube;Empirical Study</t>
  </si>
  <si>
    <t>Shafiq S,Mashkoor A,Mayr-Dorn C,Egyed A</t>
  </si>
  <si>
    <t>A Literature Review of Using Machine Learning in Software Development Life Cycle Stages</t>
  </si>
  <si>
    <t>140896-140920</t>
  </si>
  <si>
    <t>http://dx.doi.org/10.1109/ACCESS.2021.3119746</t>
  </si>
  <si>
    <t>10.1109/ACCESS.2021.3119746</t>
  </si>
  <si>
    <t>The software engineering community is rapidly adopting machine learning for transitioning modern-day software towards highly intelligent and self-learning systems. However, the software engineering community is still discovering new ways how machine learning can offer help for various software development life cycle stages. In this article, we present a study on the use of machine learning across various software development life cycle stages. The overall aim of this article is to investigate the relationship between software development life cycle stages, and machine learning tools, techniques, and types. We attempt a holistic investigation in part to answer the question of whether machine learning favors certain stages and/or certain techniques.</t>
  </si>
  <si>
    <t>Machine learning;Data mining;Tools;Support vector machines;Software testing;Software systems;Software engineering;Software engineering;machine learning;literature review</t>
  </si>
  <si>
    <t>Dilorenzo E,Dantas E,Perkusich M,Ramos F,Costa A,Albuquerque D,Almeida H,Perkusich A</t>
  </si>
  <si>
    <t>Enabling the Reuse of Software Development Assets Through a Taxonomy for User Stories</t>
  </si>
  <si>
    <t>107285-107300</t>
  </si>
  <si>
    <t>http://dx.doi.org/10.1109/ACCESS.2020.2996951</t>
  </si>
  <si>
    <t>10.1109/ACCESS.2020.2996951</t>
  </si>
  <si>
    <t>Context - Agile Software Development (ASD) and Reuse-Driven Software Engineering (RDSE) are well-accepted strategies to improve the efficiency of software processes. A challenge to integrate both approaches is that ASD relies mostly on tacit knowledge, hampering the reuse of software development assets. An opportunity to enable RDSE for ASD is by improving the traceability between user stories (USs), the most used notation to register product requirements in ASD. Having enough link semantics between USs could enable defining similarity between them and, consequently, promote RDSE for ASD. However, this is an open challenge. Objective - To propose a taxonomy for adding link semantics between USs, focusing on easing the task of identifying similar ones. Such links, with support of traceability tools, enable the reuse of USs and their related assets. Method: We constructed a taxonomy for types of US focusing on Web Information Systems. The taxonomy is used to classify the US, given two facets: module and operation. Such information is used to infer the similarity between USs using link rules. We developed the taxonomy based on an empirical analysis of five product backlogs, containing a total of 118 USs. Afterward, we validated the taxonomy in terms of its potential to enable the reuse of US-related assets. First, we executed an offline validation by applying it to classify 530 USs from 26 already ended projects. Finally, we applied the taxonomy in a case study with two ongoing projects (59 USs). Results: The proposed taxonomy for USs is composed of two sub-facets, namely, module and operation, which have, respectively, three and 18 terms. In terms of coverage, for the offline study and case study, we classified 90.17% of the USs with the proposed taxonomy. For the case study, we classified all the USs analyzed. Conclusion: We concluded that it is possible to use our approach to compare USs and, consequently, retrieve their related assets. Our results regarding its practical utility have shown that users considered the taxonomy a useful approach to ease the process of assessing the similarity between user stories.</t>
  </si>
  <si>
    <t>Taxonomy;Software;Semantics;Tools;Task analysis;Software engineering;Companies;Agile software development;software reuse;user stories;information retrieval;technology acceptance model</t>
  </si>
  <si>
    <t>de Aguiar Monteiro L</t>
  </si>
  <si>
    <t>A Proposal to Systematize Introducing DevOps into the Software Development Process</t>
  </si>
  <si>
    <t>269-271</t>
  </si>
  <si>
    <t>2021 IEEE/ACM 43rd International Conference on Software Engineering: Companion Proceedings (ICSE-Companion)</t>
  </si>
  <si>
    <t>http://dx.doi.org/10.1109/ICSE-Companion52605.2021.00124</t>
  </si>
  <si>
    <t>10.1109/ICSE-Companion52605.2021.00124</t>
  </si>
  <si>
    <t>The software development industry has been evolving with new development standards and service delivery models. Agile methodologies have reached their completion with DevOps, thereby increasing the quality of the software and creating greater speed in delivery. However, a gap regarding the formalization of its adoption and implementation doubts became relevant. My hypothesis is that, by systematizing the introduction of DevOps into the software development process and defining the function of the members of the DevOps team members, may well make it quicker to implement this process, thus reducing conflicts between the teams. As part of the investigation of this hypothesis, the result of the research will be applied in practical development environments i.e. in a Technology Agency of the State of the Brazilian Government and also at the Brazilian Company Neurotech in order to evaluate its effectiveness from metrics appropriate for DevOps environments.</t>
  </si>
  <si>
    <t>Measurement;Industries;Government;Software;Proposals;Standards;Software engineering;Devops;software development;maturity model</t>
  </si>
  <si>
    <t>Hinsen K</t>
  </si>
  <si>
    <t>Technical Debt in Computational Science</t>
  </si>
  <si>
    <t>Computing in Science &amp; Engineering</t>
  </si>
  <si>
    <t>103-107</t>
  </si>
  <si>
    <t>1558-366X</t>
  </si>
  <si>
    <t>http://dx.doi.org/10.1109/MCSE.2015.113</t>
  </si>
  <si>
    <t>10.1109/MCSE.2015.113</t>
  </si>
  <si>
    <t>Technical debt is a useful metaphor for understanding the long-term impact of technical choices. The analysis of technical debt has found its place in the software industry, with results that are applicable to scientific software as well. But technical debt is also a useful concept to look at how we use computers in doing scientific research.</t>
  </si>
  <si>
    <t>Software development;Scientific computing;Standards;Computer languages;scientific programming;technical debt;software development;scientific computing</t>
  </si>
  <si>
    <t>Identifying Design and Requirement Self-Admitted Technical Debt Using N-gram IDF</t>
  </si>
  <si>
    <t>2018 9th International Workshop on Empirical Software Engineering in Practice (IWESEP)</t>
  </si>
  <si>
    <t>2573-2021</t>
  </si>
  <si>
    <t>http://dx.doi.org/10.1109/IWESEP.2018.00010</t>
  </si>
  <si>
    <t>In software projects, technical debt takes place when a developer adopting a trivial solution containing quick and easy shortcuts to implement over a suitable solution that can take a longer time to solve a problem. This can cause major additional costs leading to negative impacts for software maintenance since those shortcuts might need to be reworked in the future. Detecting technical debt early can help a team cope with those risks. In this paper, we focus on Self-Admitted Technical Debt (SATD) that is a debt intentionally produced by developers. We propose an automated model to identify two most common types of self-admitted technical debt, requirement and design debt, from source code comments. We combine N-gram IDF and auto-sklearn machine learning to build the model. With the empirical evaluation on ten projects, our approach outperform the baseline method by improving the performance over 20% when identifying requirement self-admitted technical debt and achieving an average F1-score of 64% when identifying design self-admitted technical debt.</t>
  </si>
  <si>
    <t>Machine learning;Dictionaries;Sparse matrices;Software;Manuals;Inspection;Training;Self-admitted-technical-debt;N-gram-IDF;Automated-machine-learning;Comment-classification</t>
  </si>
  <si>
    <t>Identification and Remediation of Self-Admitted Technical Debt in Issue Trackers</t>
  </si>
  <si>
    <t>495-503</t>
  </si>
  <si>
    <t>2020 46th Euromicro Conference on Software Engineering and Advanced Applications (SEAA)</t>
  </si>
  <si>
    <t>http://dx.doi.org/10.1109/SEAA51224.2020.00083</t>
  </si>
  <si>
    <t>10.1109/SEAA51224.2020.00083</t>
  </si>
  <si>
    <t>Technical debt refers to taking shortcuts to achieve short-term goals, which might negatively influence software maintenance in the long-term. There is increasing attention on technical debt that is admitted by developers in source code comments (termed as self-admitted technical debt or SATD). But SATD in issue trackers is relatively unexplored. We performed a case study, where we manually examined 500 issues from two open source projects (i.e. Hadoop and Camel), which contained 152 SATD items. We found that: 1) eight types of technical debt are identified in issues, namely architecture, build, code, defect, design, documentation, requirement, and test debt; 2) developers identify technical debt in issues in three different points in time, and a small part is identified by its creators; 3) the majority of technical debt is paid off, 4) mostly by those who identified it or created it; 5) the median time and average time to repay technical debt are 25.0 and 872.3 hours respectively.</t>
  </si>
  <si>
    <t>Software;Java;Documentation;Computer architecture;Maintenance engineering;Connectors;Tracking;mining software repositories;self-admitted technical debt;technical debt introduction;technical debt repayment;issue tracking system</t>
  </si>
  <si>
    <t>Data Balancing Improves Self-Admitted Technical Debt Detection</t>
  </si>
  <si>
    <t>358-368</t>
  </si>
  <si>
    <t>2021 IEEE/ACM 18th International Conference on Mining Software Repositories (MSR)</t>
  </si>
  <si>
    <t>http://dx.doi.org/10.1109/MSR52588.2021.00048</t>
  </si>
  <si>
    <t>A high imbalance exists between technical debt and non-technical debt source code comments. Such imbalance affects Self-Admitted Technical Debt (SATD) detection performance, and existing literature lacks empirical evidence on the choice of balancing technique. In this work, we evaluate the impact of multiple balancing techniques, including Data level, Classifier level, and Hybrid, for SATD detection in Within-Project and Cross-Project setup. Our results show that the Data level balancing technique SMOTE or Classifier level Ensemble approaches Random Forest or XGBoost are reasonable choices depending on whether the goal is to maximize Precision, Recall, F1, or AUC-ROC. We compared our best-performing model with the previous SATD detection benchmark (cost-sensitive Convolution Neural Network). Interestingly the top-performing XGBoost with SMOTE sampling improved the Within-project F1 score by 10% but fell short in Cross-Project set up by 9%. This supports the higher generalization capability of deep learning in Cross-Project SATD detection, yet while working within individual projects, classical machine learning algorithms can deliver better performance. We also evaluate and quantify the impact of duplicate source code comments in SATD detection performance. Finally, we employ SHAP and discuss the interpreted SATD features. We have included the replication package1 and shared a web-based SATD prediction tool2 with the balancing techniques in this study.</t>
  </si>
  <si>
    <t>Deep learning;Machine learning algorithms;Transfer learning;Neural networks;Focusing;Tools;Software;Self-Admitted Technical Debt;data imbalance;classification;data sampling techniques;cost-sensitive technique;ensemble techniques</t>
  </si>
  <si>
    <t>An Empirical Study of Refactorings and Technical Debt in Machine Learning Systems</t>
  </si>
  <si>
    <t>238-250</t>
  </si>
  <si>
    <t>2021 IEEE/ACM 43rd International Conference on Software Engineering (ICSE)</t>
  </si>
  <si>
    <t>1558-1225</t>
  </si>
  <si>
    <t>http://dx.doi.org/10.1109/ICSE43902.2021.00033</t>
  </si>
  <si>
    <t>Machine Learning (ML), including Deep Learning (DL), systems, i.e., those with ML capabilities, are pervasive in today's data-driven society. Such systems are complex; they are comprised of ML models and many subsystems that support learning processes. As with other complex systems, ML systems are prone to classic technical debt issues, especially when such systems are long-lived, but they also exhibit debt specific to these systems. Unfortunately, there is a gap of knowledge in how ML systems actually evolve and are maintained. In this paper, we fill this gap by studying refactorings, i.e., source-to-source semantics-preserving program transformations, performed in real-world, open-source software, and the technical debt issues they alleviate. We analyzed 26 projects, consisting of 4.2 MLOC, along with 327 manually examined code patches. The results indicate that developers refactor these systems for a variety of reasons, both specific and tangential to ML, some refactorings correspond to established technical debt categories, while others do not, and code duplication is a major cross-cutting theme that particularly involved ML configuration and model code, which was also the most refactored. We also introduce 14 and 7 new ML-specific refactorings and technical debt categories, respectively, and put forth several recommendations, best practices, and anti-patterns. The results can potentially assist practitioners, tool developers, and educators in facilitating long-term ML system usefulness.</t>
  </si>
  <si>
    <t>Deep learning;Tools;Data mining;Complex systems;Open source software;Best practices;Software engineering;empirical studies;refactoring;machine learning systems;technical debt;software repository mining;software evolution</t>
  </si>
  <si>
    <t>Carver JC,Cabot J,Capilla R,Muccini H</t>
  </si>
  <si>
    <t>GitHub, Technical Debt, Code Formatting, and More</t>
  </si>
  <si>
    <t>105-107</t>
  </si>
  <si>
    <t>http://dx.doi.org/10.1109/MS.2017.51</t>
  </si>
  <si>
    <t>10.1109/MS.2017.51</t>
  </si>
  <si>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</si>
  <si>
    <t>GitHub;open source;UML;technical debt;code smells;model-driven engineering;code formatting;machine learning;AQAF;Architecture Quality Assurance Framework;AADL;Architecture Analysis and Design Language;architectural quality;continuous architecting;CAFFEA;Continuous Architecture Framework for Embedded and Agile Software Development;software engineering;software development</t>
  </si>
  <si>
    <t>Carver JC,Serebrenik A</t>
  </si>
  <si>
    <t>Software Maintenance and Evolution and Automated Software Engineering</t>
  </si>
  <si>
    <t>102-104</t>
  </si>
  <si>
    <t>http://dx.doi.org/10.1109/MS.2018.1661318</t>
  </si>
  <si>
    <t>10.1109/MS.2018.1661318</t>
  </si>
  <si>
    <t>This issue’s column reports on the 33rd International Conference on Software Maintenance and Evolution and 32nd International Conference on Automated Software Engineering. Topics include flaky tests, technical debt, QA bots, and regular expressions.</t>
  </si>
  <si>
    <t>33rd International Conference on Software Maintenance and Evolution;ICSME 17;32nd International Conference on Automated Software Engineering;ASE 17;software maintenance;software evolution;automated software engineering;flaky tests;technical debt;self-admitted technical debt;SATD;QA bots;regular expressions;regexes;software engineering;software development;Practitioners’ Digest</t>
  </si>
  <si>
    <t>Making the Most of Small Software Engineering Datasets With Modern Machine Learning</t>
  </si>
  <si>
    <t>5050-5067</t>
  </si>
  <si>
    <t>http://dx.doi.org/10.1109/TSE.2021.3135465</t>
  </si>
  <si>
    <t>This paper provides a starting point for Software Engineering (SE) researchers and practitioners faced with the problem of training machine learning models on small datasets. Due to the high costs associated with labeling data, in Software Engineering, there exist many small (&lt; 5,000 samples) and medium-sized (&lt;100,000 samples) datasets. While deep learning has set the state of the art in many machine learning tasks, it is only recently that it has proven effective on small-sized datasets, primarily thanks to pre-training, a semi-supervised learning technique that leverages abundant unlabelled data alongside scarce labelled data. In this work, we evaluate pre-trained Transformer models on a selection of 13 smaller datasets from the SE literature, covering both, source code and natural language. Our results suggest that pre-trained Transformers are competitive and in some cases superior to previous models, especially for tasks involving natural language; whereas for source code tasks, in particular for very small datasets, traditional machine learning methods often has the edge. In addition, we experiment with several techniques that ought to aid training on small datasets, including active learning, data augmentation, soft labels, self-training and intermediate-task fine-tuning, and issue recommendations on when they are effective. We also release all the data, scripts, and most importantly pre-trained models for the community to reuse on their own datasets.</t>
  </si>
  <si>
    <t>Codes;Task analysis;Transformers;Training;Software;Machine learning;Support vector machines;Small datasets;transformer;BERT;RoBERTA;pre-training;fine-tuning;data augmentation;back translation;soft labels;active learning</t>
  </si>
  <si>
    <t>Washizaki H,Uchida H,Khomh F,Guéhéneuc YG</t>
  </si>
  <si>
    <t>Studying Software Engineering Patterns for Designing Machine Learning Systems</t>
  </si>
  <si>
    <t>49-495</t>
  </si>
  <si>
    <t>2019 10th International Workshop on Empirical Software Engineering in Practice (IWESEP)</t>
  </si>
  <si>
    <t>http://dx.doi.org/10.1109/IWESEP49350.2019.00017</t>
  </si>
  <si>
    <t>10.1109/IWESEP49350.2019.00017</t>
  </si>
  <si>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</si>
  <si>
    <t>Software;Computer architecture;Pipelines;Data models;Software engineering;Mathematics;Machine learning;Machine Learning;Architecture Patterns;Design Patterns;Anti-patterns;ML Patterns</t>
  </si>
  <si>
    <t>Louridas P,Ebert C</t>
  </si>
  <si>
    <t>110-115</t>
  </si>
  <si>
    <t>http://dx.doi.org/10.1109/MS.2016.114</t>
  </si>
  <si>
    <t>10.1109/MS.2016.114</t>
  </si>
  <si>
    <t>In machine learning, a computer first learns to perform a task by studying a training set of examples. The computer then performs the same task with data it hasn't encountered before. This article presents a brief overview of machine-learning technologies, with a concrete case study from code analysis.</t>
  </si>
  <si>
    <t>Machine learning;Software engineering;Classification;Complexity theory;Neural networks;Artificial neural networks;Clustering;Supervised learning;machine learning;supervised learning;unsupervised learning;classification;regression;clustering;dimensionality reduction;R;Python;Hadoop;Spark;H2O;Julia;Matlab;SAS;TensorFlow;artificial neural networks;ANNs;deep learning;software development;software engineering;software technology</t>
  </si>
  <si>
    <t>Teaching Software Engineering for Al-Enabled Systems</t>
  </si>
  <si>
    <t>45-48</t>
  </si>
  <si>
    <t>2020 IEEE/ACM 42nd International Conference on Software Engineering: Software Engineering Education and Training (ICSE-SEET)</t>
  </si>
  <si>
    <t>Software engineers have significant expertise to offer when building intelligent systems, drawing on decades of experience and methods for building systems that are scalable, responsive and robust, even when built on unreliable components. Systems with artificial-intelligence or machine-learning (ML) components raise new challenges and require careful engineering. We designed a new course to teach software-engineering skills to students with a background in ML. We specifically go beyond traditional ML courses that teach modeling techniques under artificial conditions and focus, in lecture and assignments, on realism with large and changing datasets, robust and evolvable infrastructure, and purposeful requirements engineering that considers ethics and fairness as well. We describe the course and our infrastructure and share experience and all material from teaching the course for the first time.</t>
  </si>
  <si>
    <t>Artificial intelligence;Software;Software engineering;Data models;Motion pictures;Buildings;Testing;software engineering;machine learning;education</t>
  </si>
  <si>
    <t>33-34</t>
  </si>
  <si>
    <t>http://dx.doi.org/10.1145/3522664.3528611</t>
  </si>
  <si>
    <t>DevOps practices have increasingly been applied to software development and engineering, as well as the machine learning lifecycle – in a process also known as MLOps. Today, many companies and professionals have been working and writing on this topic. However, in the academic and scientific literature, few results can be found on MLOps and how to implement it efficiently. This paper presents five essential steps to guide the understanding and practice of MLOps, which, based on the authors’ research and experience, can assist in its effective implementation. The study aims to serve as a reference guide for all those who wish to learn more about the topic and intend to implement MLOps practices in the development of their systems. CCS CONCEPTS • Software and its engineering → Software creation and management; • Computing methodologies → Machine learning.</t>
  </si>
  <si>
    <t>Training;Pipelines;Standards organizations;Machine learning;Writing;Software;Data models;MLOps;DevOps;machine learning;model;development</t>
  </si>
  <si>
    <t>1432-1450</t>
  </si>
  <si>
    <t>http://dx.doi.org/10.1109/TSE.2020.3021736</t>
  </si>
  <si>
    <t>Refactoring is the process of changing the internal structure of software to improve its quality without modifying its external behavior. Empirical studies have repeatedly shown that refactoring has a positive impact on the understandability and maintainability of software systems. However, before carrying out refactoring activities, developers need to identify refactoring opportunities. Currently, refactoring opportunity identification heavily relies on developers’ expertise and intuition. In this paper, we investigate the effectiveness of machine learning algorithms in predicting software refactorings. More specifically, we train six different machine learning algorithms (i.e., Logistic Regression, Naive Bayes, Support Vector Machine, Decision Trees, Random Forest, and Neural Network) with a dataset comprising over two million refactorings from 11,149 real-world projects from the Apache, F-Droid, and GitHub ecosystems. The resulting models predict 20 different refactorings at class, method, and variable-levels with an accuracy often higher than 90 percent. Our results show that (i) Random Forests are the best models for predicting software refactoring, (ii) process and ownership metrics seem to play a crucial role in the creation of better models, and (iii) models generalize well in different contexts.</t>
  </si>
  <si>
    <t>Biological system modeling;Measurement;Tools;Software;Predictive models;Context modeling;Prediction algorithms;Software engineering;software refactoring;machine learning for software engineering</t>
  </si>
  <si>
    <t>http://dx.doi.org/10.1109/SEAA53835.2021.00050</t>
  </si>
  <si>
    <t>The adoption of continuous software engineering practices such as DevOps (Development and Operations) in business operations has contributed to significantly shorter software development and deployment cycles. Recently, the term MLOps (Machine Learning Operations) has gained increasing interest as a practice that brings together data scientists and operations teams. However, the adoption of MLOps in practice is still in its infancy and there are few common guidelines on how to effectively integrate it into existing software development practices. In this paper, we conduct a systematic literature review and a grey literature review to derive a framework that identifies the activities involved in the adoption of MLOps and the stages in which companies evolve as they become more mature and advanced. We validate this framework in three case companies and show how they have managed to adopt and integrate MLOps in their large-scale software development companies. The contribution of this paper is threefold. First, we review contemporary literature to provide an overview of the state-of-the-art in MLOps. Based on this review, we derive an MLOps framework that details the activities involved in the continuous development of machine learning models. Second, we present a maturity model in which we outline the different stages that companies go through in evolving their MLOps practices. Third, we validate our framework in three embedded systems case companies and map the companies to the stages in the maturity model.</t>
  </si>
  <si>
    <t>Embedded systems;Systematics;Bibliographies;Companies;Machine learning;Software;Software engineering;MLOps;Framework;Maturity Model;SLR;GLR;Validation Study</t>
  </si>
  <si>
    <t>Albuquerque D,Guimarães E,Tonin G,Rodriguez P,Perkusich M,Almeida H,Perkusich A,Chagas F</t>
  </si>
  <si>
    <t>http://dx.doi.org/10.1109/TSE.2022.3214764</t>
  </si>
  <si>
    <t>Technical Debt (TD) is a metaphor reflecting technical compromises that can yield short-term benefits but might hurt the long-term health of a software system. With the increasing amount of data generated when performing software development activities, an emergent research field has gained attention: applying Intelligent Techniques to solve Software Engineering problems. Intelligent Techniques were used to explore data for knowledge discovery, reasoning, learning, planning, perception, or supporting decision-making. Although these techniques can be promising, there is no structured understanding related to their application to support Technical Debt Management (TDM) activities. Within this context, this study aims to investigate to what extent the literature has proposed and evaluated solutions based on Intelligent Techniques to support TDM activities. To this end, we performed a Systematic Mapping Study (SMS) to investigate to what extent the literature has proposed and evaluated solutions based on Intelligent Techniques to support TDM activities. In total, 150 primary studies were identified and analyzed, dated from 2012 to 2021. The results indicated a growing interest in applying Intelligent Techniques to support TDM activities, the most used: Machine Learning and Reasoning under uncertainty. Intelligent Techniques aimed to assist mainly TDM activities related to identification, measurement, and monitoring. Design TD, Code TD, and Architectural TD are the TD types in the spotlight. Most studies were categorized at automation levels 1 and 2, meaning that existing approaches still require substantial human intervention. Symbolists and Analogizers are levels of explanation presented by most Intelligent Techniques, implying that these solutions conclude a general truth after considering a sufficient number of particular cases. Moreover, we also cataloged the empirical research types, contributions, and validation strategies described in primary studies. Based on our findings, we argue that there is still room to improve the use of Intelligent Techniques to support TDM activities. The open issues that emerged from this study can represent future opportunities for practitioners and researchers.</t>
  </si>
  <si>
    <t>Time division multiplexing;Cognition;Codes;Costs;Systematics;Software systems;Knowledge discovery;Technical Debt;Intelligent Techniques;Technical Debt Management Activities;Systematic Mapping Study</t>
  </si>
  <si>
    <t>2020 IEEE/ACM 42nd International Conference on Software Engineering: Software Engineering in Society (ICSE-SEIS)</t>
  </si>
  <si>
    <t>Developers of deep learning applications (shortened as application developers) commonly use deep learning frameworks in their projects. However, due to time pressure, market competition, and cost reduction, developers of deep learning frameworks (shortened as framework developers) often have to sacrifice software quality to satisfy a shorter completion time. This practice leads to technical debt in deep learning frameworks, which results in the increasing burden to both the application developers and the framework developers in future development.In this paper, we analyze the comments indicating technical debt (self-admitted technical debt) in 7 of the most popular open-source deep learning frameworks. Although framework developers are aware of such technical debt, typically the application developers are not. We find that: 1) there is a significant number of technical debt in all the studied deep learning frameworks. 2) there is design debt, defect debt, documentation debt, test debt, requirement debt, compatibility debt, and algorithm debt in deep learning frameworks. 3) the majority of the technical debt in deep learning framework is design debt (24.07% - 65.27%), followed by requirement debt (7.09% - 31.48%) and algorithm debt (5.62% - 20.67%). In some projects, compatibility debt accounts for more than 10%. These findings illustrate that technical debt is common in deep learning frameworks, and many types of technical debt also impact the deep learning applications. Based on our findings, we highlight future research directions and provide recommendations for practitioners.</t>
  </si>
  <si>
    <t>Deep learning;C++ languages;Software engineering;Software quality;Open source software;Manuals;Software development management;• Software and its engineering → Software evolution; Maintaining software</t>
  </si>
  <si>
    <t>Besker T,Martini A,Bosch J</t>
  </si>
  <si>
    <t>How Regulations of Safety-Critical Software Affect Technical Debt</t>
  </si>
  <si>
    <t>74-81</t>
  </si>
  <si>
    <t>2019 45th Euromicro Conference on Software Engineering and Advanced Applications (SEAA)</t>
  </si>
  <si>
    <t>http://dx.doi.org/10.1109/SEAA.2019.00020</t>
  </si>
  <si>
    <t>10.1109/SEAA.2019.00020</t>
  </si>
  <si>
    <t>In recent years in the software industry, the use of safety-critical software is increasing at a rapid rate. However, little is known about the relationship between safety-critical regulations and the management of technical debt. The research is based on interviews with 19 practitioners working in different safety-critical domains implementing software according to different safety regulation standards. The results are three-fold. First, the result shows that performing technical debt refactoring tasks in safety-critical software requires several additional activities and costs, compared to non-safety-critical software. This study has also identified several negative effects due to the impact of these regulatory requirements. Second, the results show that the safety-critical regulations strengthen the implementation of both source code and architecture and thereby initially limit the introduction of technical debt. However, at the same time, the regulations also force the software companies to perform later suboptimal work-around solutions that are counterproductive in achieving a high-quality software since the regulations constrain the possibility of performing optimal TD refactoring activities. Third, the result shows that technical debt refactoring decisions are heavily weighed on the costs associated with the application's recertification process and that these decisions seldom include the benefits of the refactoring activities in a structured way.</t>
  </si>
  <si>
    <t>Software;Companies;Standards;Safety;Regulation;Interviews;Software engineering;Technical Debt;Safety-Critical Software;Software Development;Refactoring</t>
  </si>
  <si>
    <t>Tools;Software;Java;Radio frequency;Codes;Support vector machines;Benchmark testing;Machine learning;metrics/measurement;quality analysis and evaluation;software maintenance</t>
  </si>
  <si>
    <t>1558-1721</t>
  </si>
  <si>
    <t>In software development, due to the demands from users or the limitations of time and resources, developers tend to adopt suboptimal solutions to achieve quick software development. In such a way, the released software usually involves not-quite-right code that is called technical debt, which will significantly decrease the quality of software and increase the maintenance cost. Recently, the concept of self-admitted technical debt (SATD) is proposed and refers to technical debt that is self-admitted by developers in code comments. Existing studies mainly focus on detecting technical debt by classifying code comments into either “SATD” or “non-SATD.” However, different types of SATD has different impacts on software maintenance and needs to be handled by different developers. Therefore, the detected SATD should be further classified so that developers can understand and remove technical debt better. In this article, we propose a new method based on eXtreme Gradient Boosting (XGBoost) to classify SATD into multiple classes. In our approach, we first preprocess the original code comments and adopt the easy data augmentation strategy to overcome the class unbalance problem. Then, chi-square is leveraged to select representative features from the textual feature set. Finally, we apply XGBoost to train a classifier and use the trained classifier to partition each comment into the corresponding class. We experimentally investigate the effectiveness of our approach on a public dataset, including 62 566 code comments from 10 open-source projects. Experimental results show that our approach achieves 56.66% in terms of macroaveraged precision, 59.07% in terms of macroaveraged recall, and 55.77% in terms of macroaveraged F-measure on average, and outperforms the natural language processing based method by 4.98%, 5.32%, and 3.17%, respectively. In addition, the experimental results also demonstrate that the data augmentation strategy is effective in improving the effectiveness of our approach.</t>
  </si>
  <si>
    <t>Software;Feature extraction;Task analysis;Maintenance engineering;Data models;Software maintenance;Semantics;Class unbalanced problem;easy data augmentation (EDA);multiclass classification;technical debt;XGBoost</t>
  </si>
  <si>
    <t>Detecting and Managing Code Smells: Research and Practice</t>
  </si>
  <si>
    <t>546-547</t>
  </si>
  <si>
    <t>Code smells indicate the presence of quality problems that make the software hard to maintain and evolve. A software development team can keep their software maintainable by identifying smells and refactor them. In the first part of the session, we present a comprehensive overview of the literature concerning smells covering various dimensions of the metaphor including defining characteristics, classification, types, as well as causes and impacts of smells. In the second part, we delve into the details of smell detection methods prevailed currently both in research prototypes and industrial tools. The final part present actionable and pragmatic strategies for practitioners to avoid, detect, and eradicate smells from their codebase.</t>
  </si>
  <si>
    <t>Tools;Software engineering;Software design;Conferences;Software maintenance;Pragmatics;Code smells Antipatterns;Software quality;Code Quality;Smell detection tools;Software maintenance;Technical debt</t>
  </si>
  <si>
    <t>2021 International Joint Conference on Neural Networks (IJCNN)</t>
  </si>
  <si>
    <t>2161-4407</t>
  </si>
  <si>
    <t>http://dx.doi.org/10.1109/IJCNN52387.2021.9534423</t>
  </si>
  <si>
    <t>Technical debt is a metaphor that refers to all the consequences of poorly written code and trade-offs in development. Early technical debt diagnosis is important for software developers because it allows planning for software maintenance and improvement activities, such as refactoring, to prevent system degradation. Several studies have been conducted in the literature on the identification of the technical debt and its consequences, thanks to useful tools for identifying the problem within the source code. On the other hand, this work aims to explore a deep learning approach to predict the rise of technical debt in software code by leveraging the knowledge of changing quality metrics. For validation of the approach, a large dataset was built, related to four known Java software projects, with the collection of numerous class-level code quality metrics. The results obtained show the effectiveness of the proposed approach in predicting the development of Technical Debt within the source code. We obtained an F1 score of 0.99 for two of the chosen software systems and greater than 0.91 for the remaining two.</t>
  </si>
  <si>
    <t>Measurement;Degradation;Deep learning;Software maintenance;Java;Neural networks;Tools;Deep Learning;Technical Debt;Prediction</t>
  </si>
  <si>
    <t>1211-1229</t>
  </si>
  <si>
    <t>http://dx.doi.org/10.1109/TSE.2018.2831232</t>
  </si>
  <si>
    <t>Technical debt (TD) is a metaphor to describe the situation where developers introduce suboptimal solutions during software development to achieve short-term goals that may affect the long-term software quality. Prior studies proposed different techniques to identify TD, such as identifying TD through code smells or by analyzing source code comments. Technical debt identified using comments is known as Self-Admitted Technical Debt (SATD) and refers to TD that is introduced intentionally. Compared with TD identified by code metrics or code smells, SATD is more reliable since it is admitted by developers using comments. Thus far, all of the state-of-the-art approaches identify SATD at the file-level. In essence, they identify whether a file has SATD or not. However, all of the SATD is introduced through software changes. Previous studies that identify SATD at the file-level in isolation cannot describe the TD context related to multiple files. Therefore, it is beneficial to identify the SATD once a change is being made. We refer to this type of TD identification as “Change-level SATD Determination”, which determines whether or not a change introduces SATD. Identifying SATD at the change-level can help to manage and control TD by understanding the TD context through tracing the introducing changes. To build a change-level SATD Determination model, we first identify TD from source code comments in source code files of all versions. Second, we label the changes that first introduce the SATD comments as TD-introducing changes. Third, we build the determination model by extracting 25 features from software changes that are divided into three dimensions, namely diffusion, history and message, respectively. To evaluate the effectiveness of our proposed model, we perform an empirical study on 7 open source projects containing a total of 100,011 software changes. The experimental results show that our model achieves a promising and better performance than four baselines in terms of AUC and cost-effectiveness (i.e., percentage of TD-introducing changes identified when inspecting 20 percent of changed LOC). On average across the 7 experimental projects, our model achieves AUC of 0.82, cost-effectiveness of 0.80, which is a significant improvement over the comparison baselines used. In addition, we found that “Diffusion” is the most discriminative dimension among the three dimensions of features for determining TD-introducing changes.</t>
  </si>
  <si>
    <t>Feature extraction;Java;Labeling;Software quality;Technical debt;software change;change-level determination;self-admitted technical debt</t>
  </si>
  <si>
    <t>2017 14th International Conference on Telecommunications (ConTEL)</t>
  </si>
  <si>
    <t>http://dx.doi.org/10.23919/ConTEL.2017.8000012</t>
  </si>
  <si>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t>
  </si>
  <si>
    <t>Cloud computing;Games;Optimization;Nash equilibrium;Current measurement;Quality of service;cloud computing;game theory;technical debt measurement;technical debt management;fluctuation-based modelling;non-linearity</t>
  </si>
  <si>
    <t>Rantala L,Mäntylä M,Lo D</t>
  </si>
  <si>
    <t>385-388</t>
  </si>
  <si>
    <t>http://dx.doi.org/10.1109/SEAA51224.2020.00069</t>
  </si>
  <si>
    <t>When developers use different keywords such as TODO and FIXME in source code comments to describe self-admitted technical debt (SATD), we refer it as Keyword-Labeled SATD (KL-SATD). We study KL-SATD from 33 software repositories with 13,588 KL-SATD comments. We find that the median percentage of KL-SATD comments among all comments is only 1,52%. We find that KL-SATD comment contents include words expressing code changes and uncertainty, such as remove, fix, maybe and probably. This makes them different compared to other comments. KL-SATD comment contents are similar to manually labeled SATD comments of prior work. Our machine learning classifier using logistic Lasso regression has good performance in detecting KL-SATD comments (AUC-ROC 0.88). Finally, we demonstrate that using machine learning we can identify comments that are currently missing but which should have a SATD keyword in them. Automating SATD identification of comments that lack SATD keywords can save time and effort by replacing manual identification of comments. Using KL-SATD offers a potential to bootstrap a complete SATD detector.</t>
  </si>
  <si>
    <t>Machine learning;Logistics;Task analysis;Vocabulary;Tag clouds;Correlation;Uncertainty;Natural language processing;self-admitted technical debt;data mining</t>
  </si>
  <si>
    <t>Keeping track of and managing Self-Admitted Technical Debts (SATDs) are important to maintaining a healthy software project. This requires much time and effort from human experts to identify the SATDs manually. The current automated solutions do not have satisfactory precision and recall in identifying SATDs to fully automate the process. To solve the above problems, we propose a two-step framework called Jitterbug for identifying SATDs. Jitterbug first identifies the “easy to find” SATDs automatically with close to 100 percent precision using a novel pattern recognition technique. Subsequently, machine learning techniques are applied to assist human experts in manually identifying the remaining “hard to find” SATDs with reduced human effort. Our simulation studies on ten software projects show that Jitterbug can identify SATDs more efficiently (with less human effort) than the prior state-of-the-art methods.</t>
  </si>
  <si>
    <t>Software;Machine learning;Pattern recognition;Training;Computer hacking;Machine learning algorithms;Estimation;Technical debt;software engineering;machine learning;pattern recognition</t>
  </si>
  <si>
    <t>Software Engineering Challenges of Deep Learning</t>
  </si>
  <si>
    <t>50-59</t>
  </si>
  <si>
    <t>http://dx.doi.org/10.1109/SEAA.2018.00018</t>
  </si>
  <si>
    <t>Surprisingly promising results have been achieved by deep learning (DL) systems in recent years. Many of these achievements have been reached in academic settings, or by large technology companies with highly skilled research groups and advanced supporting infrastructure. For companies without large research groups or advanced infrastructure, building high-quality production-ready systems with DL components has proven challenging. There is a clear lack of well-functioning tools and best practices for building DL systems. It is the goal of this research to identify what the main challenges are, by applying an interpretive research approach in close collaboration with companies of varying size and type. A set of seven projects have been selected to describe the potential with this new technology and to identify associated main challenges. A set of 12 main challenges has been identified and categorized into the three areas of development, production, and organizational challenges. Furthermore, a mapping between the challenges and the projects is defined, together with selected motivating descriptions of how and why the challenges apply to specific projects. Compared to other areas such as software engineering or database technologies, it is clear that DL is still rather immature and in need of further work to facilitate development of high-quality systems. The challenges identified in this paper can be used to guide future research by the software engineering and DL communities. Together, we could enable a large number of companies to start taking advantage of the high potential of the DL technology.</t>
  </si>
  <si>
    <t>Companies;Machine learning;Big Data;Buildings;Software engineering;Oils;Google;deep learning;machine learning;artificial intelligence;software engineering challenges</t>
  </si>
  <si>
    <t>Recommending when Design Technical Debt Should be Self-Admitted</t>
  </si>
  <si>
    <t>216-226</t>
  </si>
  <si>
    <t>2017 IEEE International Conference on Software Maintenance and Evolution (ICSME)</t>
  </si>
  <si>
    <t>http://dx.doi.org/10.1109/ICSME.2017.44</t>
  </si>
  <si>
    <t>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t>
  </si>
  <si>
    <t>Measurement;Tools;Feature extraction;Static analysis;Training;Complexity theory;Readability metrics;Self-Admitted Technical Debt;Recommender Systems;Static Analysis Tools</t>
  </si>
  <si>
    <t>Technical Debt as an External Software Attribute</t>
  </si>
  <si>
    <t>Background: Technical debt is currently receiving increasing attention from practitioners and researchers. Several metaphors, concepts, and indications concerning technical debt have been introduced, but no agreement exists about a solid definition of technical debt. Objective: We aim at providing a solid basis to the definition of technical debt and the way it should be quantified. Method: We view technical debt as a software quality attribute and therefore we use Measurement Theory, the general reference framework for the quantification of attributes, to define technical debt and its characteristics in a rigorous way. Results: We show that technical debt should be defined as an external software quality attribute. Therefore, it should be quantified via statistical and machine-learning models whose independent variables are internal software quality attributes. Different models may exist, depending on the specific needs and goals of the software product and development environment. Also, technical debt is a multifaceted concept, so different kinds of technical debt exist, related to different quality attributes, such as performance, usability, and maintainability. These different kinds of technical debt should be evaluated individually, so one can better focus on the specific quality issues that need to be addressed. Conclusions: We show that, to provide it with a rigorous basis, technical debt should be considered and measured as an external software attribute. Researchers and practitioners should build models for technical debt and use them to (1) assess the extent of the technical debt and (2) investigate and assess different ways of modifying software to repay technical debt.</t>
  </si>
  <si>
    <t>Maintenance engineering;Software measurement;Indexes;Software quality;Software reliability;Technical Debt;Software Quality</t>
  </si>
  <si>
    <t>Automated Identification of On-hold Self-admitted Technical Debt</t>
  </si>
  <si>
    <t>54-64</t>
  </si>
  <si>
    <t>2020 IEEE 20th International Working Conference on Source Code Analysis and Manipulation (SCAM)</t>
  </si>
  <si>
    <t>2470-6892</t>
  </si>
  <si>
    <t>http://dx.doi.org/10.1109/SCAM51674.2020.00011</t>
  </si>
  <si>
    <t>Modern software is developed under considerable time pressure, which implies that developers more often than not have to resort to compromises when it comes to code that is well written and code that just does the job. This has led over the past decades to the concept of “technical debt”, a short-term hack that potentially generates long-term maintenance problems. Self-admitted technical debt (SATD) is a particular form of technical debt: developers consciously perform the hack but also document it in the code by adding comments as a reminder (or as an admission of guilt). We focus on a specific type of SATD, namely “On-hold” SATD, in which developers document in their comments the need to halt an implementation task due to conditions outside of their scope of work (e.g., an open issue must be closed before a function can be implemented).We present an approach, based on regular expressions and machine learning, which is able to detect issues referenced in code comments, and to automatically classify the detected instances as either “On-hold” (the issue is referenced to indicate the need to wait for its resolution before completing a task), or as “cross-reference”, (the issue is referenced to document the code, for example to explain the rationale behind an implementation choice). Our approach also mines the issue tracker of the projects to check if the On-hold SATD instances are “superfluous” and can be removed (i.e., the referenced issue has been closed, but the SATD is still in the code). Our evaluation confirms that our approach can indeed identify relevant instances of On-hold SATD. We illustrate its usefulness by identifying superfluous On-hold SATD instances in open source projects as confirmed by the original developers.</t>
  </si>
  <si>
    <t>Computer hacking;Roads;Maintenance engineering;Software;Reliability;Time factors;Task analysis;Self-admitted technical debt;empirical software engineering;issue</t>
  </si>
  <si>
    <t>1080-1084</t>
  </si>
  <si>
    <t>2020 8th International Conference on Reliability, Infocom Technologies and Optimization (Trends and Future Directions) (ICRITO)</t>
  </si>
  <si>
    <t>http://dx.doi.org/10.1109/ICRITO48877.2020.9197868</t>
  </si>
  <si>
    <t>Businesses running software applications are moving more towards vendor-agnostic approaches. Integration testing becoming more demanding and complex than ever. Determining integration testing requires a solid dependency pattern among different software applications. We would like to use here an NLP (Natural language processing) &amp; Machine learning Classification model-based approach to identify the dependency graph between different component across applications. There are existing approaches eliciting about package dependencies and source code-based dependencies. In this paper, we would like to introduce an approach to understand the communication dependencies between products rather than just high-level package or install dependencies. The communication dependencies will be prioritized based on the frequency and criticality of usage. The prioritization helps us in determining the software inter-dependency patterns for Integration testing.</t>
  </si>
  <si>
    <t>Testing;Software;Servers;Machine learning;Telemetry;Ecosystems;Software reliability;Dependency Coverage;Machine Learning;Software logs;Software Reliability;Reverse Engineering;Dependability;Integration Testing;Software Interoperability;Telemetry</t>
  </si>
  <si>
    <t>2740-2754</t>
  </si>
  <si>
    <t>http://dx.doi.org/10.1109/TSE.2020.2967380</t>
  </si>
  <si>
    <t>Continuous integration (CI) frameworks, such as Travis CI, are growing in popularity, encouraged by market trends towards speeding up the release cycle and building higher-quality software. A key facilitator of CI is to automatically build and run tests whenever a new commit is submitted/pushed. Despite the many advantages of using CI, it is known that the CI process can take a very long time to complete. One of the core causes for such delays is the fact that some commits (e.g., cosmetic changes) unnecessarily kick off the CI process. Therefore, the main goal of this paper is to automate the process of determining which commits can be CI skipped through the use of machine learning techniques. We first extracted 23 features from historical data of ten software repositories. Second, we conduct a study on the detection of CI skip commits using machine learning where we built a decision tree classifier. We then examine the accuracy of using the decision tree in detecting CI skip commits. Our results show that the decision tree can identify CI skip commits with an average AUC equal to 0.89. Furthermore, the top node analysis shows that the number of developers who changed the modified files, the CI-Skip rules, and commit message are the most important features to detect CI skip commits. Finally, we investigate the generalizability of identifying CI skip commits through applying cross-project validation, and our results show that the general classifier achieves an average 0.74 of AUC values.</t>
  </si>
  <si>
    <t>Machine learning;Decision trees;Feature extraction;Message systems;Documentation;Buildings;Continuous integration;travis CI;build status;machine learning</t>
  </si>
  <si>
    <t>871-882</t>
  </si>
  <si>
    <t>2020 35th IEEE/ACM International Conference on Automated Software Engineering (ASE)</t>
  </si>
  <si>
    <t>Self-Admitted Technical Debt (SATD) is a sub-type of technical debt. It is introduced to represent such technical debts that are intentionally introduced by developers in the process of software development. While being able to gain short-term benefits, the introduction of SATDs often requires to be paid back later with a higher cost, e.g., introducing bugs to the software or increasing the complexity of the software. To cope with these issues, our community has proposed various machine learning-based approaches to detect SATDs. These approaches, however, are either not generic that usually require manual feature engineering efforts or do not provide promising means to explain the predicted outcomes. To that end, we propose to the community a novel approach, namely HATD (Hybrid Attention-based method for self-admitted Technical Debt detection), to detect and explain SATDs using attention-based neural networks. Through extensive experiments on 445,365 comments in 20 projects, we show that HATD is effective in detecting SATDs on both in-the-lab and in-the-wild datasets under both within-project and cross-project settings. HATD also outperforms the state-of-the-art approaches in detecting and explaining SATDs.</t>
  </si>
  <si>
    <t>Neural networks;Computer bugs;Switches;Manuals;Maintenance engineering;Software;Software engineering;Self-Admitted Technical Debt;Word Embedding;Attention-based Neural Networks;SATD</t>
  </si>
  <si>
    <t>Russo B,Camilli M,Mock M</t>
  </si>
  <si>
    <t>WeakSATD: Detecting Weak Self-admitted Technical Debt</t>
  </si>
  <si>
    <t>448-453</t>
  </si>
  <si>
    <t>2022 IEEE/ACM 19th International Conference on Mining Software Repositories (MSR)</t>
  </si>
  <si>
    <t>http://dx.doi.org/10.1145/3524842.3528469</t>
  </si>
  <si>
    <t>10.1145/3524842.3528469</t>
  </si>
  <si>
    <t>Speeding up development may produce technical debt, i.e., not-quite-right code for which the effort to make it right increases with time as a sort of interest. Developers may be aware of the debt as they admit it in their code comments. Literature reports that such a self-admitted technical debt survives for a long time in a program, but it is not yet clear its impact on the quality of the code in the long term. We argue that self-admitted technical debt contains a number of different weaknesses that may affect the security of a program. Therefore, the longer a debt is not paid back the higher is the risk that the weaknesses can be exploited. To discuss our claim and rise the developers' awareness of the vulnerability of the self-admitted technical debt that is not paid back, we explore the self-admitted technical debt in the Chromium C-code to detect any known weaknesses. In this preliminary study, we first mine the Common Weakness Enumeration repository to define heuristics for the automatic detection and fix of weak code. Then, we parse the C-code to find self-admitted technical debt and the code block it refers to. Finally, we use the heuristics to find weak code snippets associated to self-admitted technical debt and recommend their potential mitigation to developers. Such knowledge can be used to prioritize self-admitted technical debt for repair. A prototype has been developed and applied to the Chromium code. Initial findings report that 55% of self-admitted technical debt code contains weak code of 14 different types.</t>
  </si>
  <si>
    <t>Codes;Prototypes;Chromium;Maintenance engineering;Software;Security;Data mining;Self-admitted technical debt;Weak code;Security;Vulnerability</t>
  </si>
  <si>
    <t>Holvitie J</t>
  </si>
  <si>
    <t>Software implementation knowledge management with technical debt and network analysis</t>
  </si>
  <si>
    <t>2014 IEEE Eighth International Conference on Research Challenges in Information Science (RCIS)</t>
  </si>
  <si>
    <t>2151-1357</t>
  </si>
  <si>
    <t>http://dx.doi.org/10.1109/RCIS.2014.6861083</t>
  </si>
  <si>
    <t>10.1109/RCIS.2014.6861083</t>
  </si>
  <si>
    <t>Modern, fast-phased, iterative and incremental software development constantly struggles with limited resources and a plethora of frequently changing requirements. This environment often requires the development projects to intentionally — for example through implementing quick-and-dirty — or unintentionally — for example through misinterpretation of requirements — deviate from the optimal product state. While most of the deviation is caught through practices like customer reviews, the remainder stays hidden in the product. The undocumented remainder is difficult to remove, it expands uncontrollably and it negatively affects development as deviations are unexpectedly encountered and overcome. The term technical debt describes this process of accumulating hidden work. Management of technical debt can be expected to be a major factor in software development efficiency and sustainability and as such it should be an integral part of the software implementation's knowledge management. In addition to being difficult to capture, the continuous evolution of the implementation makes maintenance of gained information a challenge. This paper discusses applying technical debt management for software implementations including the entry points for knowledge discovery, network analysis for overcoming the maintenance challenges as well as the pursued outcomes.</t>
  </si>
  <si>
    <t>Software;Maintenance engineering;Context;Organizations;Decision making;Manuals;Analytical models;technical debt management;network analysis;program visualization;refactorization</t>
  </si>
  <si>
    <t>64-73</t>
  </si>
  <si>
    <t>2021 IEEE/ACM International Conference on Technical Debt (TechDebt)</t>
  </si>
  <si>
    <t>http://dx.doi.org/10.1109/TechDebt52882.2021.00016</t>
  </si>
  <si>
    <t>Background: With the rising popularity of Artificial Intelligence (AI), there is a growing need to build large and complex AI-based systems in a cost-effective and manageable way. Like with traditional software, Technical Debt (TD) will emerge naturally over time in these systems, therefore leading to challenges and risks if not managed appropriately. The influence of data science and the stochastic nature of AI-based systems may also lead to new types of TD or antipatterns, which are not yet fully understood by researchers and practitioners. Objective: The goal of our study is to provide a clear overview and characterization of the types of TD (both established and new ones) that appear in AI-based systems, as well as the antipatterns and related solutions that have been proposed. Method: Following the process of a systematic mapping study, 21 primary studies are identified and analyzed. Results: Our results show that (i) established TD types, variations of them, and four new TD types (data, model, configuration, and ethics debt) are present in AI-based systems, (ii) 72 antipatterns are discussed in the literature, the majority related to data and model deficiencies, and (iii) 46 solutions have been proposed, either to address specific TD types, antipatterns, or TD in general. Conclusions: Our results can support AI professionals with reasoning about and communicating aspects of TD present in their systems. Additionally, they can serve as a foundation for future research to further our understanding of TD in AI-based systems.</t>
  </si>
  <si>
    <t>Ethics;Systematics;Pipelines;Stochastic processes;Tools;Data models;Software;Artificial Intelligence;Machine Learning;Technical Debt;Antipatterns;Systematic Mapping Study</t>
  </si>
  <si>
    <t>4214-4228</t>
  </si>
  <si>
    <t>http://dx.doi.org/10.1109/TSE.2021.3115772</t>
  </si>
  <si>
    <t>Technical Debt is a metaphor used to describe the situation in which long-term software artifact quality is traded for short-term goals in software projects. In recent years, the concept of self-admitted technical debt (SATD) was proposed, which focuses on debt that is intentionally introduced and described by developers. Although prior work has made important observations about admitted technical debt in source code, little is known about SATD in build systems. In this paper, we set out to better understand the characteristics of SATD in build systems. To do so, through a qualitative analysis of 500 SATD comments in the Maven build system of 291 projects, we characterize SATD by location and rationale (reason and purpose). Our results show that limitations in tools and libraries, and complexities of dependency management are the most frequent causes, accounting for 50% and 24% of the comments. We also find that developers often document SATD as issues to be fixed later. As a first step towards the automatic detection of SATD rationale, we train classifiers to detect the two most frequently occurring reasons and the four most frequently occurring purposes of SATD in the content of comments in Maven build systems. The classifier performance is promising, achieving an F1-score of 0.71–0.79. Finally, within 16 identified ‘ready-to-be-addressed’ SATD instances, the three SATD submitted by pull requests and the five SATD submitted by issue reports were resolved after developers were made aware. Our work presents the first step towards understanding technical debt in build systems and opens up avenues for future work, such as tool support to track and manage SATD backlogs.</t>
  </si>
  <si>
    <t>Codes;Software;Tools;Encoding;Analytical models;XML;Software development management;Self-admitted technical debt;build system;build maintenance</t>
  </si>
  <si>
    <t>1257-1261</t>
  </si>
  <si>
    <t>http://dx.doi.org/10.1109/ASE51524.2021.9678680</t>
  </si>
  <si>
    <t>Self-Admitted Technical Debt (SATD) is a special form of technical debt in which developers intentionally record their hacks in the code by adding comments for attention. Here, we focus on issue-related On-hold SATD, where developers suspend proper implementation due to issues reported inside or outside the project. When the referenced issues are resolved, the On-hold SATD also need to be addressed, but since monitoring these issue reports takes a lot of time and effort, developers may not be aware of the resolved issues and leave the On-hold SATD in the code. In this paper, we propose FixMe, a GitHub bot that helps developers detecting and monitoring On-hold SATD in their repositories and notify them whenever the On-hold SATDs are ready to be fixed (i.e. the referenced issues are resolved). The bot can automatically detect On-hold SATD comments from source code using machine learning techniques and discover referenced issues. When the referenced issues are resolved, developers will be notified by FixMe bot. The evaluation conducted with 11 participants shows that our FixMe bot can support them in dealing with On-hold SATD. FixMe is available at https://www.fixmebot.app/ and FixMe's VDO is at https://youtu.be/YSz9kFxN_YQ.</t>
  </si>
  <si>
    <t>Computer science;Codes;Filtering;Machine learning;Software;Usability;Monitoring</t>
  </si>
  <si>
    <t>1417-1428</t>
  </si>
  <si>
    <t>1558-3783</t>
  </si>
  <si>
    <t>http://dx.doi.org/10.1109/TASE.2020.3008055</t>
  </si>
  <si>
    <t>Automation engineering is the task of integrating, via software, various sensors, actuators, and controls to automate a real-world process. Today, automation engineering is supported by a suite of software tools, including integrated development environments (IDEs), hardware configurators, compilers, and runtimes. These tools focus on the automation code itself but leave the automation engineer unassisted in their decision-making. This can lead to longer software development cycles due to the imperfections in the decision-making, which arise when integrating software and hardware. To address this problem, this article addresses multiple challenges often faced in automation engineering and proposes machine learning-based solutions to assist engineers tackle these challenges. We show that machine learning can be leveraged to assist the automation engineer in classifying automation code, finding similar code snippets, and reasoning about the hardware selection of sensors and actuators. We validate our architecture on two real data sets consisting of 2927 Arduino projects and 683 programmable logic controller (PLC) projects. Our results show that paragraph embedding techniques can be utilized to classify automation using code snippets with precision close to human annotation, giving an $F_1$ -score of 72%. Furthermore, we show that such embedding techniques can help us find similar code snippets with high accuracy. Finally, we use autoencoder models for hardware recommendation and achieve a $p\text@3$ of 0.79 and $p\text@5$ of 0.95. We also present the implementation of ArduCode in a proof-of-concept user interface integrated into an existing automation engineering system platform. Note to Practitioners—This article is motivated by the use of artificial intelligence methods to improve the efficiency and quality of the automation engineering software development process. Our goal is to develop and integrate intelligent assistants in existing automation engineering development tools to minimally disrupt existing workflows. Practitioners should be able to adapt our framework to other tools and data. Our contributions address important practical problems: 1) we address the lack of realistic data sets in automation engineering with two publicly available data sources; 2) we make the reference implementation of our algorithms publicly available on GitHub for other practitioners to have a starting point for future research; and 3) we demonstrate the integration of our framework as an add-on to an existing automation engineering toolchain.</t>
  </si>
  <si>
    <t>Automation;Machine learning;Software engineering;Artificial intelligence;Computational and artificial intelligence (AI) - machine learning;computer-aided software engineering;software engineering</t>
  </si>
  <si>
    <t>2020 International Conference on Communications, Computing, Cybersecurity, and Informatics (CCCI)</t>
  </si>
  <si>
    <t>http://dx.doi.org/10.1109/CCCI49893.2020.9256507</t>
  </si>
  <si>
    <t>In this era, the agile mindset has innovated the traditional software engineering (SE) process through the integration of DevOps flow engines, scrum iterations, and automation of continuous integration (CI) and continuous deployment (CD) cycles. However, the CI/CD integration requires manual code-revisions and refactoring at large scales. Recently, machine-learning (ML) is employed in SE that allows legacy codes to be highly dynamic, less coupling in related modules, automatic code versioning, and refactoring, with less coupling among related modules. However, over time, ML models tend to become bulky, with increasing monotonic losses during model training. To address this, SE techniques like code revisions are employed over ML codes to allow low-order training losses, that enables seamless and precise workflow structures. Motivated from the aforementioned discussions, the paper presents a systematic review of the close interplay of SE and ML and possible interactions in different applications. Suitable research questions and case studies are presented for possible adoption scenarios that depict the close ML-SE interplay share with each other, with the concluding remarks. The paper forms useful insights for ML engineers, data science practitioners, and SE quality estimators towards the building of efficient and scalable software solutions.</t>
  </si>
  <si>
    <t>Software;Maximum likelihood estimation;Data models;Software algorithms;Training;Task analysis;Mathematical model;Machine learning;Software Engineering;Effort estimation;Quality estimation</t>
  </si>
  <si>
    <t>Potdar A,Shihab E</t>
  </si>
  <si>
    <t>An Exploratory Study on Self-Admitted Technical Debt</t>
  </si>
  <si>
    <t>91-100</t>
  </si>
  <si>
    <t>2014 IEEE International Conference on Software Maintenance and Evolution</t>
  </si>
  <si>
    <t>1063-6773</t>
  </si>
  <si>
    <t>http://dx.doi.org/10.1109/ICSME.2014.31</t>
  </si>
  <si>
    <t>10.1109/ICSME.2014.31</t>
  </si>
  <si>
    <t>Throughout a software development life cycle, developers knowingly commit code that is either incomplete, requires rework, produces errors, or is a temporary workaround. Such incomplete or temporary workarounds are commonly referred to as 'technical debt'. Our experience indicates that self-admitted technical debt is common in software projects and may negatively impact software maintenance, however, to date very little is known about them. Therefore, in this paper, we use source-code comments in four large open source software projects-Eclipse, Chromium OS, Apache HTTP Server, and ArgoUML to identify self-admitted technical debt. Using the identified technical debt, we study 1) the amount of self-admitted technical debt found in these projects, 2) why this self-admitted technical debt was introduced into the software projects and 3) how likely is the self-admitted technical debt to be removed after their introduction. We find that the amount of self-admitted technical debt exists in 2.4%-31% of the files. Furthermore, we find that developers with higher experience tend to introduce most of the self-admitted technical debt and that time pressures and complexity of the code do not correlate with the amount of self-admitted technical debt. Lastly, although self-admitted technical debt is meant to be addressed or removed in the future, only between 26.3%-63.5% of self-admitted technical debt gets removed from projects after introduction.</t>
  </si>
  <si>
    <t>Chromium;Complexity theory;Java;Computer hacking;Software maintenance;Correlation;Technical debt;Software comments</t>
  </si>
  <si>
    <t>2021 26th IEEE International Conference on Emerging Technologies and Factory Automation (ETFA )</t>
  </si>
  <si>
    <t>http://dx.doi.org/10.1109/ETFA45728.2021.9613538</t>
  </si>
  <si>
    <t>Nowadays, the data silo problem in the industrial systems is a major problem hindering scalable design of data-driven use cases across the value stream of products. Although the notion of digital twins is gaining attention as a solution to address the data silo problem, we observe that various kinds of technical debt may occur in the design of digital twin solutions. Such technical debt can eventually reduce the agility of companies in addressing the changing customers' demands. This paper defines a maturity model for digital twin solutions, and outlines roles and products that emerge in digital twin solutions. These are then used as the basis to identify various kinds of technical debt that we observe emerging in the realization of digital twin solutions in practice. The increasing demand for digital twins in industrial use cases on one hand, and extensive studies on its simulation and analysis aspects on the other hand, have caused practitioners and researchers to overlook the software engineering aspects of digital twins. We believe that this paper helps close this gap by identifying various topics that need to be addressed by the practitioners and researchers to design scalable and maintainable digital twin solutions.</t>
  </si>
  <si>
    <t>Industries;Analytical models;Digital twin;Conferences;Companies;Standards;Manufacturing automation;Digital twin;API-as-a-product;Data-as-a-product;Maturity model;Technical debt</t>
  </si>
  <si>
    <t>1123-1132</t>
  </si>
  <si>
    <t>2017 IEEE International Conference on Big Data (Big Data)</t>
  </si>
  <si>
    <t>http://dx.doi.org/10.1109/BigData.2017.8258038</t>
  </si>
  <si>
    <t>Creating reliable, production-level machine learning systems brings on a host of concerns not found in small toy examples or even large offline research experiments. Testing and monitoring are key considerations for ensuring the production-readiness of an ML system, and for reducing technical debt of ML systems. But it can be difficult to formulate specific tests, given that the actual prediction behavior of any given model is difficult to specify a priori. In this paper, we present 28 specific tests and monitoring needs, drawn from experience with a wide range of production ML systems to help quantify these issues and present an easy to follow road-map to improve production readiness and pay down ML technical debt.</t>
  </si>
  <si>
    <t>Testing;Production;Data models;Measurement;Training;Reliability;Monitoring;Machine Learning;Testing;Monitoring;Reliability;Best Practices;Technical Debt</t>
  </si>
  <si>
    <t>Maldonado ES,Abdalkareem R,Shihab E,Serebrenik A</t>
  </si>
  <si>
    <t>An Empirical Study on the Removal of Self-Admitted Technical Debt</t>
  </si>
  <si>
    <t>238-248</t>
  </si>
  <si>
    <t>http://dx.doi.org/10.1109/ICSME.2017.8</t>
  </si>
  <si>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t>
  </si>
  <si>
    <t>Data mining;Java;Computer bugs;Electronic mail;Open source software;Licenses;Self-Admitted Technical Debt;Source Code Quality;Mining Software Repositories</t>
  </si>
  <si>
    <t>Nogueira AF,C.B. Ribeiro J,Zenha-Rela MA,Craske A</t>
  </si>
  <si>
    <t>Improving La Redoute's CI/CD Pipeline and DevOps Processes by Applying Machine Learning Techniques</t>
  </si>
  <si>
    <t>282-286</t>
  </si>
  <si>
    <t>2018 11th International Conference on the Quality of Information and Communications Technology (QUATIC)</t>
  </si>
  <si>
    <t>http://dx.doi.org/10.1109/QUATIC.2018.00050</t>
  </si>
  <si>
    <t>10.1109/QUATIC.2018.00050</t>
  </si>
  <si>
    <t>The complexity inherent to software development and maintenance - not only in technical terms, but also from a human perspective - entails challenges that can be addressed as learning problems. Machine learning techniques may be employed as tools to gain insight about strategies that can lead to the improvement of the quality of software processes and products. Defect proneness prediction, in particular, may be identified as an active research field. As stated by DevOps guidelines, the possibility of obtaining quick feedback allows teams to operate in an agile mode in which communication, decision taking and problem solving are expeditious, allowing companies to boost business value. This paper describes ongoing research for applying machine learning techniques to improve the quality of processes and products inside the DevOps pipeline of the La Redoute's IT department.</t>
  </si>
  <si>
    <t>Software;Measurement;Machine learning;Predictive models;Data models;Pipelines;Object oriented modeling;DevOps;CI/CD Pipeline;Software Development Life Cycle;Machine Learning;Software Defect Prediction;Software Quality</t>
  </si>
  <si>
    <t>Tamburri DA,Palomba F,Kazman R</t>
  </si>
  <si>
    <t>Exploring Community Smells in Open-Source: An Automated Approach</t>
  </si>
  <si>
    <t>630-652</t>
  </si>
  <si>
    <t>http://dx.doi.org/10.1109/TSE.2019.2901490</t>
  </si>
  <si>
    <t>10.1109/TSE.2019.2901490</t>
  </si>
  <si>
    <t>Software engineering is now more than ever a community effort. Its success often weighs on balancing distance, culture, global engineering practices and more. In this scenario many unforeseen socio-technical events may result into additional project cost or “social” debt, e.g., sudden, collective employee turnover. With industrial research we discovered community smells, that is, sub-optimal patterns across the organisational and social structure in a software development community that are precursors of such nasty socio-technical events. To understand the impact of community smells at large, in this paper we first introduce CodeFace4Smells, an automated approach able to identify four community smell types that reflect socio-technical issues that have been shown to be detrimental both the software engineering and organisational research fields. Then, we perform a large-scale empirical study involving over 100 years worth of releases and communication structures data of 60 open-source communities: we evaluate (i) their diffuseness, i.e., how much are they distributed in open-source, (ii) how developers perceive them, to understand whether practitioners recognize their presence and their negative effects in practice, and (iii) how community smells relate to existing socio-technical factors, with the aim of assessing the inter-relations between them. The key findings of our study highlight that community smells are highly diffused in open-source and are perceived by developers as relevant problems for the evolution of software communities. Moreover, a number of state-of-the-art socio-technical indicators (e.g., socio-technical congruence) can be used to monitor how healthy a community is and possibly avoid the emergence of social debt.</t>
  </si>
  <si>
    <t>Software engineering;Open source software;Organizational aspects;Social networking (online);Tools;Microstructure;Software organisational structures;software community smells;human aspects in software engineering;social software engineering;empirical software engineering</t>
  </si>
  <si>
    <t>Albarak M,Alrazgan M,Bahsoon R</t>
  </si>
  <si>
    <t>Identifying Technical Debt in Database Normalization Using Association Rule Mining</t>
  </si>
  <si>
    <t>437-441</t>
  </si>
  <si>
    <t>http://dx.doi.org/10.1109/SEAA.2018.00077</t>
  </si>
  <si>
    <t>10.1109/SEAA.2018.00077</t>
  </si>
  <si>
    <t>In previous work, we explored a new context of technical debt that relates to database normalization design decisions. We claimed that database normalization debts are likely to be incurred for tables below the fourth normal form. We proposed a method to prioritize the tables that should be normalized based on their impact on data quality and performance. In this study, we propose a framework to identify normalization debt items (i.e. tables below the fourth normal form) by mining the data stored in each table. Our framework makes use of association rule mining to discover functional dependencies between attributes in a table, which will help determine the current normal form of that table and reveal debt tables. To illustrate our method, we use a case study from Microsoft, AdventureWorks database. The results revealed the applicability of our framework to identify debt tables.</t>
  </si>
  <si>
    <t>Databases;Data mining;Remuneration;Data integrity;Ice;Testing;Electronic mail;Technical Debt;Database Normalization;Data mining</t>
  </si>
  <si>
    <t>2022 IEEE/ACM 1st International Workshop on Software Engineering for Responsible Artificial Intelligence (SE4RAI)</t>
  </si>
  <si>
    <t>http://dx.doi.org/10.1145/3526073.3527584</t>
  </si>
  <si>
    <t>Deploying machine learning (ML) models to production with the same level of rigor and automation as traditional software systems has shown itself to be a non-trivial task, requiring extra care and infrastructure to deal with the additional challenges. Although many studies focus on adapting ML software engineering (SE) approaches and techniques, few studies have summarized the status and challenges of operationalizing ML models. Model operationalization encompasses all steps after model training and evaluation, including packaging the model in a format appropriate for deployment, publishing to a model registry or storage, integrating the model into a broader software system, serving, and monitoring. This study is the first systematic literature review investigating the techniques, tools, and infrastructures to operationalize ML models. After reviewing 24 primary studies, the results show that there are a number of tools for most use cases to operationalize ML models and cloud deployment in particular. The review also revealed several research opportunities, such as dynamic model-switching, continuous model-monitoring, and efficient edge ML deployments. CCS CONCEPTS • General and reference → Surveys and overviews; • Computing methodologies → Machine learning; • Software and its engineering → Software development techniques.</t>
  </si>
  <si>
    <t>Training;Adaptation models;Systematics;Publishing;Computational modeling;Bibliographies;Machine learning;Systematic literature review;Machine learning;MLOps;Deployment;Operationalization</t>
  </si>
  <si>
    <t>Woods E,Fairbanks G</t>
  </si>
  <si>
    <t>The Pragmatic Architect Evolves</t>
  </si>
  <si>
    <t>http://dx.doi.org/10.1109/MS.2018.4321235</t>
  </si>
  <si>
    <t>10.1109/MS.2018.4321235</t>
  </si>
  <si>
    <t>The software architect’s role has changed in response to the changing demands of software engineering practice. Now, the Pragmatic Architect department is changing too. This installment looks back over the department’s history to see how it has changed and considers the topics it should cover in the future.</t>
  </si>
  <si>
    <t>Software architecture;Software development;Software engineering;software architecture;software development;software engineering;The Pragmatic Architect</t>
  </si>
  <si>
    <t>65-70</t>
  </si>
  <si>
    <t>http://dx.doi.org/10.1109/MS.2019.2919573</t>
  </si>
  <si>
    <t>We propose a sentiment classification method with a general machine-learning framework. In comparison to publicly available data sets, our method achieved the highest F1 values in positive and negative sentences on all data sets.</t>
  </si>
  <si>
    <t>Classification;Machine learning;Feature extraction;Software engineering;Training data;Sentiment analysis;Machine learning;Automated machine learning;N-gram IDF;Sentiment classification</t>
  </si>
  <si>
    <t>Abadeer M,Sabetzadeh M</t>
  </si>
  <si>
    <t>Machine Learning-based Estimation of Story Points in Agile Development: Industrial Experience and Lessons Learned</t>
  </si>
  <si>
    <t>106-115</t>
  </si>
  <si>
    <t>2021 IEEE 29th International Requirements Engineering Conference Workshops (REW)</t>
  </si>
  <si>
    <t>http://dx.doi.org/10.1109/REW53955.2021.00022</t>
  </si>
  <si>
    <t>10.1109/REW53955.2021.00022</t>
  </si>
  <si>
    <t>Estimating story points is an important activity in agile software engineering. Story-point estimation enables software development teams to, among other things, better scope products, prioritize requirements, allocate resources and measure progress. Several machine learning techniques have been proposed for automated story-point estimation. However, most of these techniques use open-source projects for evaluation. There are important differences between open-source and commercial projects with respect to story authoring. The goal of this paper is to evaluate a state-of-the-art machine learning technique, known as Deep-SE [3], for estimating story points in a commercial project. Our dataset is comprised of 4,727 stories for a data anonymization product developed by a 27-member agile team at a healthcare data science company, IQVIA. Over this dataset, Deep-SE achieved a mean absolute error of 1.46, significantly better than three different baselines. Model performance nonetheless varied across stories, with the estimation error being larger for stories that had higher points. Our results further indicate that model performance is correlated with certain story characteristics such as the level of detail and the frequency of vague terms in the stories. An important take-away from our study is that, before organizations attempt to introduce machine learning-based estimation into agile development, they need to better embrace agile best practices, particularly in relation to story authoring and expert-based estimation.</t>
  </si>
  <si>
    <t>Systematics;Conferences;Semantics;Estimation;Machine learning;Predictive models;Software measurement;Agile Development;Story-point Estimation;Machine Learning</t>
  </si>
  <si>
    <t>Lafi M,Botros JW,Kafaween H,Al-Dasoqi AB,Al-Tamimi A</t>
  </si>
  <si>
    <t>Code Smells Analysis Mechanisms, Detection Issues, and Effect on Software Maintainability</t>
  </si>
  <si>
    <t>663-666</t>
  </si>
  <si>
    <t>2019 IEEE Jordan International Joint Conference on Electrical Engineering and Information Technology (JEEIT)</t>
  </si>
  <si>
    <t>http://dx.doi.org/10.1109/JEEIT.2019.8717457</t>
  </si>
  <si>
    <t>10.1109/JEEIT.2019.8717457</t>
  </si>
  <si>
    <t>Software evolution is an inevitable need in most of the modern businesses, software that doesn't accommodate changes is hard to survive the market needs. Also, software changes can affect the overall design of the software and sometimes in a corrupting way, affecting the maintainability and evolvability of the software, which introduces technical debt that needs to be solved by continuous refactoring and restructuring of software. Code smells are useful indicators to identify the parts of the code to be refactored to improve the overall maintainability of the software. We present an overview of software code smells, detection and analysis mechanisms and difficulties. Also, we address the effect of refactoring on software maintainability and error-proneness of software.</t>
  </si>
  <si>
    <t>Software;Measurement;Machine learning algorithms;Software engineering;Optimization;Software algorithms;Manuals;Code Smells;Refactoring;Design Patterns;Technical Debt</t>
  </si>
  <si>
    <t>ISO/IEC/IEEE International Standard - Systems and software engineering--Vocabulary</t>
  </si>
  <si>
    <t>ISO/IEC/IEEE 24765:2017(E)</t>
  </si>
  <si>
    <t>1-541</t>
  </si>
  <si>
    <t>http://dx.doi.org/10.1109/IEEESTD.2017.8016712</t>
  </si>
  <si>
    <t>10.1109/IEEESTD.2017.8016712</t>
  </si>
  <si>
    <t>This document provides a common vocabulary applicable to all systems and software engineering work. It was prepared to collect and standardize terminology. This document is intended to serve as a useful reference for those in the information technology field, and to encourage the use of systems and software engineering standards prepared by ISO and liaison organizations IEEE Computer Society and Project Management Institute. This document includes references to the active source standards for definitions so that systems and software engineering concepts and requirements can be further explored.</t>
  </si>
  <si>
    <t>IEEE Standards;ISO Standards;IEC Standards;Informatino technology;Software engineering;Systems engineering and theoryt;Terminology;computer;dictionary;information technology;software engineering;systems engineering;24765</t>
  </si>
  <si>
    <t>106475-106494</t>
  </si>
  <si>
    <t>http://dx.doi.org/10.1109/ACCESS.2019.2933318</t>
  </si>
  <si>
    <t>Self-admitted technical debt (SATD) is annotated in source code comments by developers and has been recognized as a great source of discovering flawed software. To reduce manual effort, some recent studies have focused on automated detection of SATD using text classification methods. To train their classifier, these methods need labeled samples, which also require a lot of effort to obtain. We developed a new SATD identification method, which takes advantage of a large corpus of unlabeled code comments, extracted from open source projects, to train a word embedding model. After applying feature selection, the pre-trained word embedding is used for discovering semantically similar features in source code comments to enhance the original feature set. By using such enhanced feature set for classification, our goal was to improve the identification of SATD when compared to existing methods. The proposed feature enhancement method was used with the three most common feature selection methods (CHI, IG, and MI), and three well-known text classification algorithms (NB, SVM, and ME) and was tested on ten open source projects. The experimental results show a significant improvement in SATD identification over the compared methods. With an achieved 82% of correct predictions of SATD, the proposed method seems to be a good candidate to be adopted in practice.</t>
  </si>
  <si>
    <t>Feature extraction;Software;Task analysis;Manuals;Adaptation models;Computer hacking;Tools;Feature enhancement;feature selection;self-admitted technical debt;text classification;word embedding</t>
  </si>
  <si>
    <t>765-776</t>
  </si>
  <si>
    <t>2022 IEEE International Conference on Software Analysis, Evolution and Reengineering (SANER)</t>
  </si>
  <si>
    <t>1534-5351</t>
  </si>
  <si>
    <t>http://dx.doi.org/10.1109/SANER53432.2022.00094</t>
  </si>
  <si>
    <t>Technical debt (TD) is a metaphor for code-related problems that arise as a result of prioritizing speedy delivery over perfect code. Given that the reduction of TDs can have long-term positive impact in the software engineering life-cycle (SDLC), TDs are studied extensively in the literature. However, very few of the existing research focused on the technical debts of R programming language despite its popularity and usage. Recent research by Codabux et al. [21] finds that $R$ packages can have 10 diverse TD types analyzing peer-review documentation. However, the findings are based on the manual analysis of a small sample of R package review comments. In this paper, we develop a suite of Machine Learning (ML) classifiers to detect the 10 TDs automatically. The best performing classifier is based on the deep ML model BERT, which achieves F1-scores of 0.71 - 0.91. We then apply the trained BERT models on all available peer-review issue comments from two platforms, rOpenSci and BioConductor (13.5K review comments coming from a total of 1297 R packages). We conduct an empirical study on the prevalence and evolution of 10 TDs in the two R platforms. We discovered documentation debt is the most prevalent among all types of TD, and it is also expanding rapidly. We also find that R packages of generic platform (i.e. rOpenSci) are more prone to TD compared to domain-specific platform (i.e. BioConductor). Our empirical study findings can guide future improvements opportunities in R package documentation. Our ML models can be used to automatically monitor the prevalence and evolution of TDs in R package documentation.</t>
  </si>
  <si>
    <t>Computer languages;Quality assurance;Biological system modeling;Bit error rate;Mission critical systems;Documentation;Market research;R;Technical Debt;Machine Learning;Empirical Study;rOpenSci;BioConductor;Documentation</t>
  </si>
  <si>
    <t>2021 IEEE Aerospace Conference (50100)</t>
  </si>
  <si>
    <t>http://dx.doi.org/10.1109/AERO50100.2021.9438359</t>
  </si>
  <si>
    <t>This paper explores applications of the Technical Debt metaphor, which originated in the agile software community, at a systems level. We present a summary of current understanding of the technical debt concept and propose a broader application of the approach at a system level. The technical debt metaphor provides a method to identify cases when design or implementation decisions are being made for expediency and assess their long term impact on productivity and risk. In addition, technical debt management offers a logical approach to tracking expedient decisions and determining when it makes sense to carry the debt and when it's better to pay it off by updating designed and retrofitting units. In this paper, we describe various kinds of technical debt that may be present in a system baseline and consider how the presence of debt impacts further evolution of the system. Types of debt include architectural debt, configuration debt, testing debt and deprecation debt among others. We also present use case studies that illustrate how technical debt assessment and management can have a positive impact on system realization. Cases include moving a baseline from R&amp;D to operations, reusing a baseline in a new context, and planning a technical refresh. We discuss methods of managing technical debt in a baseline including identification, quantification, tracking and payoff.</t>
  </si>
  <si>
    <t>Productivity;System realization;Conferences;Software;Planning;Research and development;Testing</t>
  </si>
  <si>
    <t>Was Self-Admitted Technical Debt Removal a Real Removal? An In-Depth Perspective</t>
  </si>
  <si>
    <t>526-536</t>
  </si>
  <si>
    <t>Technical Debt (TD) has been defined as code being not quite right yet, and its presence is often self-admitted by developers through comments. The purpose of such comments is to keep track of TD and appropriately address it when possible. Building on a previous quantitative investigation by Maldonado et al. on the removal of self-admitted technical debt (SATD), in this paper we perform an in-depth quantitative and qualitative study of how SATD is addressed in five Java open source projects. On the one hand, we look at whether SATD is accidentally removed, and the extent to which the SATD removal is being documented. We found that that (i) between 20% and 50% of SATD comments are accidentally removed while entire classes or methods are dropped, (ii) 8% of the SATD removal is acknowledged in commit messages, and (iii) while most of the changes addressing SATD require complex source code changes, very often SATD is addressed by specific changes to method calls or conditionals. Our results can be used to better plan TD management or learn patterns for addressing certain kinds of TD and provide recommendations to developers.</t>
  </si>
  <si>
    <t>Computer bugs;Software;Java;History;Data mining;Natural language processing;Libraries;Software and its engineering;Software evolution</t>
  </si>
  <si>
    <t>Fungprasertkul S,Bahsoon R</t>
  </si>
  <si>
    <t>Managing Technical Debt Under Uncertainty</t>
  </si>
  <si>
    <t>30-34</t>
  </si>
  <si>
    <t>http://dx.doi.org/10.1109/MS.2021.3101945</t>
  </si>
  <si>
    <t>10.1109/MS.2021.3101945</t>
  </si>
  <si>
    <t>A fundamental problem and an open challenge is managing technical debt in the presence of uncertainty. We provide an overview of the research, practical limitations, and future study of the current state of technical debt management under uncertainty.</t>
  </si>
  <si>
    <t>Uncertainty;Time division multiplexing;Costs;Economics;Decision making;Computer architecture;Measurement uncertainty</t>
  </si>
  <si>
    <t>Quality Assurance Challenges For Machine Learning Software Applications During Software Development Life Cycle Phases</t>
  </si>
  <si>
    <t>2021 IEEE International Conference on Autonomous Systems (ICAS)</t>
  </si>
  <si>
    <t>http://dx.doi.org/10.1109/ICAS49788.2021.9551151</t>
  </si>
  <si>
    <t>In the past decades, the revolutionary advances of Machine Learning (ML) have shown a rapid adoption of ML models into software systems of diverse types. Such Machine Learning Software Applications (MLSAs) are gaining importance in our daily lives. As such, the Quality Assurance (QA) of MLSAs is of paramount importance. Several research efforts are dedicated to determining the specific challenges we can face while adopting ML models into software systems. However, we are aware of no research that offered a holistic view of the distribution of those ML quality assurance challenges across the various phases of software development life cycles (SDLC). This paper conducts an in-depth literature review of a large volume of research papers that focused on the quality assurance of ML models. We developed a taxonomy of MLSA quality assurance issues by mapping the various ML adoption challenges across different phases of SDLC. We provide recommendations and research opportunities to improve SDLC practices based on the taxonomy. This mapping can help prioritize quality assurance efforts of MLSAs where the adoption of ML models can be considered crucial.</t>
  </si>
  <si>
    <t>Solid modeling;Quality assurance;Autonomous systems;Conferences;Bibliographies;Taxonomy;Machine learning;Machine Learning Software Application (MLSA);SDLC;ML Pipeline;Challenge;Quality Assurance</t>
  </si>
  <si>
    <t>A Survey of Software Quality for Machine Learning Applications</t>
  </si>
  <si>
    <t>279-284</t>
  </si>
  <si>
    <t>2018 IEEE International Conference on Software Testing, Verification and Validation Workshops (ICSTW)</t>
  </si>
  <si>
    <t>http://dx.doi.org/10.1109/ICSTW.2018.00061</t>
  </si>
  <si>
    <t>Machine learning (ML) is now widespread. Traditional software engineering can be applied to the development ML applications. However, we have to consider specific problems with ML applications in therms of their quality. In this paper, we present a survey of software quality for ML applications to consider the quality of ML applications as an emerging discussion. From this survey, we raised problems with ML applications and discovered software engineering approaches and software testing research areas to solve these problems. We classified survey targets into Academic Conferences, Magazines, and Communities. We targeted 16 academic conferences on artificial intelligence and software engineering, including 78 papers. We targeted 5 Magazines, including 22 papers. The results indicated key areas, such as deep learning, fault localization, and prediction, to be researched with software engineering and testing.</t>
  </si>
  <si>
    <t>Software engineering;Machine learning;Software testing;Conferences;Software quality;Machine Learning;Software Quality;Software Engineering and Testing</t>
  </si>
  <si>
    <t>Li† S,Guo† J,Lou JG,Fan M,Liu‡ T,Zhang D</t>
  </si>
  <si>
    <t>Testing Machine Learning Systems in Industry: An Empirical Study</t>
  </si>
  <si>
    <t>263-272</t>
  </si>
  <si>
    <t>2022 IEEE/ACM 44th International Conference on Software Engineering: Software Engineering in Practice (ICSE-SEIP)</t>
  </si>
  <si>
    <t>http://dx.doi.org/10.1145/3510457.3513036</t>
  </si>
  <si>
    <t>10.1145/3510457.3513036</t>
  </si>
  <si>
    <t>Machine learning becomes increasingly prevalent and integrated into a wide range of software systems. These systems, named ML systems, must be adequately tested to gain confidence that they behave correctly. Although many research efforts have been devoted to testing technologies for ML systems, the industrial teams are faced with new challenges on testing the ML systems in real-world settings. To absorb inspirations from the industry on the problems in ML testing, we conducted an empirical study including a survey with 87 responses and interviews with 7 senior ML practitioners from well-known IT companies. Our study uncovers significant industrial concerns on major testing activities, i.e., test data collection, test execution, and test result analysis, and also the good practices and open challenges from the perspective of the industry. (1) Test data collection is conducted in different ways on ML model, data, and code and faced with different challenges. (2) Test execution in ML systems suffers from two major problems: entanglement among the components and the regression on model performance. (3) Test result analysis centers on quantitative methods, e.g., metric-based evaluation, and is combined with some qualitative methods based on practitioners’ experience. Based on our findings, we highlight the research opportunities and also provide some implications for practitioners.</t>
  </si>
  <si>
    <t>Industries;Software testing;Analytical models;Technological innovation;Machine learning;Data collection;Software systems;machine learning;software testing;survey</t>
  </si>
  <si>
    <t>Big Code != Big Vocabulary: Open-Vocabulary Models for Source Code</t>
  </si>
  <si>
    <t>1073-1085</t>
  </si>
  <si>
    <t>2020 IEEE/ACM 42nd International Conference on Software Engineering (ICSE)</t>
  </si>
  <si>
    <t>Statistical language modeling techniques have successfully been applied to large source code corpora, yielding a variety of new software development tools, such as tools for code suggestion, improving readability, and API migration. A major issue with these techniques is that code introduces new vocabulary at a far higher rate than natural language, as new identifier names proliferate. Both large vocabularies and out-of-vocabulary issues severely affect Neural Language Models (NLMs) of source code, degrading their performance and rendering them unable to scale. In this paper, we address this issue by: 1) studying how various modelling choices impact the resulting vocabulary on a large-scale corpus of 13,362 projects; 2) presenting an open vocabulary source code NLM that can scale to such a corpus, 100 times larger than in previous work; and 3) showing that such models outperform the state of the art on three distinct code corpora (Java, C, Python). To our knowledge, these are the largest NLMs for code that have been reported. All datasets, code, and trained models used in this work are publicly available.</t>
  </si>
  <si>
    <t>Training;Vocabulary;Adaptation models;Computer bugs;Predictive models;Tools;Software engineering;Naturalness of code;Neural Language Models;Byte-Pair Encoding</t>
  </si>
  <si>
    <t>Klotins E,Unterkalmsteiner M,Gorschek T</t>
  </si>
  <si>
    <t>Software Engineering Antipatterns in Start-Ups</t>
  </si>
  <si>
    <t>118-126</t>
  </si>
  <si>
    <t>http://dx.doi.org/10.1109/MS.2018.227105530</t>
  </si>
  <si>
    <t>10.1109/MS.2018.227105530</t>
  </si>
  <si>
    <t>Software start-up failures are often explained with poor business models, market issues, or insufficient funding. Inadequacies in software engineering could be a significant contributing factor to the high start-up failure rate and precede any marketing or business related challenges. We reveal three antipatterns associated with start-up progression phases.</t>
  </si>
  <si>
    <t>Software engineering;Software development;Companies;Business;Investment;Software;Software Engineering;Requirements;specifications;Software quality;SQA;management;programming teams</t>
  </si>
  <si>
    <t>534-543</t>
  </si>
  <si>
    <t>2019 IEEE 26th International Conference on Software Analysis, Evolution and Reengineering (SANER)</t>
  </si>
  <si>
    <t>http://dx.doi.org/10.1109/SANER.2019.8667999</t>
  </si>
  <si>
    <t>Large software systems tend to be highly complex and often contain unaddressed issues that evolve from bad design practices or architectural implementations that drift from definition. These design flaws can originate from quick fixes, hacks or shortcuts to a solution, hence they can be seen as Technical Debt. Recently, new work has focused on studying source code comments that indicate Technical Debt, i.e., Self-Admitted Technical Debt (SATD). However, it is not known if addressing information left by developers in the form source code comments can give insight about the design flaws in a system and have the potential to provide fixes for bad architectural implementations. This paper investigates the possibility of using SATD comments to resolve architectural divergences. We leverage a data set of previously classified SATD comments to trace them to the architectural divergences of a large open source system, namely ArgoUML. We extract its conceptual and concrete architectures based on available design documentation and source code, and contrast both to expose divergences, trace them to SATD comments, and investigate their resolution. We found 7 high-level divergences in ArgoUML and 22 others among its subsystems, observing that merely 4 out of 29 (14%) divergences can be directly traced to SATD. Although using SATD as an indicator of architectural divergences is viable, the effort of doing so is time-intensive, and in general, will not lend to a significant reduction of architectural flaws in a software system.</t>
  </si>
  <si>
    <t>Documentation;Software systems;Computer architecture;Tools;Task analysis;Information services;Electronic publishing;Self-Admitted Technical Debt;Software Re-Engineering;Software Architecture;Architecture Recovery</t>
  </si>
  <si>
    <t>316-322</t>
  </si>
  <si>
    <t>2019 26th Asia-Pacific Software Engineering Conference (APSEC)</t>
  </si>
  <si>
    <t>2640-0715</t>
  </si>
  <si>
    <t>http://dx.doi.org/10.1109/APSEC48747.2019.00050</t>
  </si>
  <si>
    <t>Technical Debt (TD) introduces a quality problem and increases maintenance cost since it may require improvements in the future. Several studies show that it is possible to automatically detect TD from source code comments that developers intentionally created, so-called self-admitted technical debt (SATD). Those studies proposed to use binary classification technique to predict whether a comment shows SATD. However, SATD has different types (e.g. design SATD and requirement SATD). In this paper, we therefore propose an approach using N-gram Inverse Document Frequency (IDF) and employ a multi-class classification technique to build a model that can identify different types of SATD. From the empirical evaluation on 10 open-source projects, our approach outperforms alternative methods (e.g. using BOW and TF-IDF). Our approach also improves the prediction performance over the baseline benchmark by 33%.</t>
  </si>
  <si>
    <t>Random forests;Dictionaries;Support vector machines;Feature extraction;Tools;Training;Software;Self Admitted Technical Debt;N-Gram IDF;Multi class Classification</t>
  </si>
  <si>
    <t>78-89</t>
  </si>
  <si>
    <t>2020 7th International Conference on Dependable Systems and Their Applications (DSA)</t>
  </si>
  <si>
    <t>http://dx.doi.org/10.1109/DSA51864.2020.00019</t>
  </si>
  <si>
    <t>Software requirements are constantly changing. Consequently, the development process is frequently under time pressure, which results in technical debt. To illustrate the symptoms of technical debt, 22 code smells have been introduced to indicate the poor design in code fragment, among which refused bequest is one of the most harmful smells and with high diffuseness. However, refused bequest is rarely taken into account because there is a lack of dataset. Moreover, it is difficult to design the detection rules for refused bequest compared with other popular smells. In this paper, we propose a machine-learning-based refused bequest smell detection framework SEADART, which features the utilization of a set of synthetic smelly instances. Specifically, SEADART comprises three components: (1) a smell generation approach, and (2) a model training strategy, and (3) an AdaBoost-based detection model. We evaluate the performance of the proposed framework. The evaluation results suggest that the generated smelly instances are reliable, and the trained AdaBoost model significantly outperforms the state-of-the-art over a real-world dataset.</t>
  </si>
  <si>
    <t>Measurement;Training;Java;Machine learning;Feature extraction;Software;Reliability;Technical Debt;Code Smell;Refused Bequest;AdaBoost</t>
  </si>
  <si>
    <t>Li Y,Soliman M,Avgeriou P,Somers L</t>
  </si>
  <si>
    <t>Self-Admitted Technical Debt in the Embedded Systems Industry: An Exploratory Case Study</t>
  </si>
  <si>
    <t>http://dx.doi.org/10.1109/TSE.2022.3224378</t>
  </si>
  <si>
    <t>10.1109/TSE.2022.3224378</t>
  </si>
  <si>
    <t>Technical debt denotes shortcuts taken during software development, mostly for the sake of expedience. When such shortcuts are admitted explicitly by developers (e.g., writing a TODO/Fixme comment), they are termed as Self-Admitted Technical Debt or SATD. There has been a fair amount of work studying SATD management in Open Source projects, but SATD in industry is relatively unexplored. At the same time, there is no work focusing on developers' perspectives towards SATD and its management. To address this, we conducted an exploratory case study in cooperation with an industrial partner to study how they think of SATD and how they manage it. Specifically, we collected data by identifying and characterizing SATD in different sources (issues, source code comments, and commits) and carried out a series of interviews with 12 software practitioners. The results show: 1) the core characteristics of SATD in industrial projects; 2) developers' attitudes towards identified SATD and statistics; 3) triggers for practitioners to introduce and repay SATD; 4) relations between SATD in different sources; 5) practices used to manage SATD; 6) challenges and tooling ideas for SATD management.</t>
  </si>
  <si>
    <t>Source coding;Software;Codes;Industries;Interviews;Embedded systems;Documentation;technical debt;self-admitted technical debt;mining software repositories;source code comment;issue tracking system;commit;empirical study</t>
  </si>
  <si>
    <t>45-49</t>
  </si>
  <si>
    <t>http://dx.doi.org/10.1145/3526073.3527591</t>
  </si>
  <si>
    <t>DevOps practices have increasingly been applied to software development as well as the machine learning lifecycle, in a process known as MLOps. Currently, many professionals have written about this topic, but still few results can be found in the academic and scientific literature on MLOps and how to to implement it effectively. Considering aspects of responsible AI, this number is even lower, opening up a field of research with many possibilities. This article presents five steps to guide the understanding and adoption of MLOps in the context of responsible AI. The study aims to serve as a reference guide for all those who wish to learn more about the topic and intend to implement MLOps practices to develop their systems, following responsible AI principles.CCS CONCEPTS• Software and its engineering → Software creation and management; • Computing methodologies → Machine learning.</t>
  </si>
  <si>
    <t>Conferences;Machine learning;Software;Software engineering;MLOps;DevOps;responsible AI;machine learning;model;development</t>
  </si>
  <si>
    <t>256-260</t>
  </si>
  <si>
    <t>2022 IEEE/ACM 44th International Conference on Software Engineering: Companion Proceedings (ICSE-Companion)</t>
  </si>
  <si>
    <t>http://dx.doi.org/10.1145/3510454.3517055</t>
  </si>
  <si>
    <t>10.1145/3510454.3517055</t>
  </si>
  <si>
    <t>The massive trend of integrating data-driven AI capabilities into traditional software systems is rising new intriguing challenges. One of such challenges is achieving a smooth transition from the explorative phase of Machine Learning projects – in which data scientists build prototypical models in the lab – to their production phase – in which software engineers translate prototypes into production-ready AI components. To narrow down the gap between these two phases, tools and practices adopted by data scientists might be improved by incorporating consolidated software engineering solutions. In particular, computational notebooks have a prominent role in determining the quality of data science prototypes. In my research project, I address this challenge by studying the best practices for collaboration with computational notebooks and proposing proof-of-concept tools to foster guidelines compliance.CCS CONCEPTS • Software and its engineering; • Computing methodologies → Machine learning;</t>
  </si>
  <si>
    <t>Prototypes;Collaboration;Production;Machine learning;Medical services;Data science;Software systems;Software Engineering;Artificial Intelligence;Data Science;Machine Learning;computational notebooks;static analysis tools;linters</t>
  </si>
  <si>
    <t>van Oort B,Cruz L,Aniche M,van Deursen A</t>
  </si>
  <si>
    <t>The Prevalence of Code Smells in Machine Learning projects</t>
  </si>
  <si>
    <t>2021 IEEE/ACM 1st Workshop on AI Engineering - Software Engineering for AI (WAIN)</t>
  </si>
  <si>
    <t>http://dx.doi.org/10.1109/WAIN52551.2021.00011</t>
  </si>
  <si>
    <t>Artificial Intelligence (AI) and Machine Learning (ML) are pervasive in the current computer science landscape. Yet, there still exists a lack of software engineering experience and best practices in this field. One such best practice, static code analysis, can be used to find code smells, i.e., (potential) defects in the source code, refactoring opportunities, and violations of common coding standards. Our research set out to discover the most prevalent code smells in ML projects. We gathered a dataset of 74 open-source ML projects, installed their dependencies and ran Pylint on them. This resulted in a top 20 of all detected code smells, per category. Manual analysis of these smells mainly showed that code duplication is widespread and that the PEP8 convention for identifier naming style may not always be applicable to ML code due to its resemblance with mathematical notation. More interestingly, however, we found several major obstructions to the maintainability and reproducibility of ML projects, primarily related to the dependency management of Python projects. We also found that Pylint cannot reliably check for correct usage of imported dependencies, including prominent ML libraries such as PyTorch.</t>
  </si>
  <si>
    <t>Manuals;Machine learning;Static analysis;Tools;Reproducibility of results;Libraries;Reliability;Artificial Intelligence;Machine Learning;static code analysis;code smells;Python;dependency management</t>
  </si>
  <si>
    <t>Boaye Belle A,Lethbridge TC,Kpodjedo S,Adesina OO,Garzón MA</t>
  </si>
  <si>
    <t>A Novel Approach to Measure Confidence and Uncertainty in Assurance Cases</t>
  </si>
  <si>
    <t>24-33</t>
  </si>
  <si>
    <t>2019 IEEE 27th International Requirements Engineering Conference Workshops (REW)</t>
  </si>
  <si>
    <t>http://dx.doi.org/10.1109/REW.2019.00011</t>
  </si>
  <si>
    <t>The following topics are dealt with: formal specification; formal verification; systems analysis; software engineering; learning (artificial intelligence); data mining; mobile computing; security of data; project management; software development management.</t>
  </si>
  <si>
    <t>Uncertainty;Measurement uncertainty;Weight measurement;Software systems;Hazards;Software measurement;Assurance case, Goal Structuring Notation (GSN), confidence measure, feature identification, technical debt (requirement debt), maintenance and evolution</t>
  </si>
  <si>
    <t>Krishnamurthy R</t>
  </si>
  <si>
    <t>Breezing My Way as a Solution Architect: A Retrospective on Skill Development and Use</t>
  </si>
  <si>
    <t>http://dx.doi.org/10.1109/MS.2017.83</t>
  </si>
  <si>
    <t>10.1109/MS.2017.83</t>
  </si>
  <si>
    <t>Solution architecture is a team effort balancing various forces. Solution architects must consciously cultivate skills cutting across technical, social, and behavioral domains. In this article, Raghuraman Krishnamurthy discusses eight such skills that will likely be helpful.</t>
  </si>
  <si>
    <t>Software architecture;Databases;Stakeholders;Strategic planning;Software engineering;Software development;software architecture;software systems;knowledge management;software engineering;software development</t>
  </si>
  <si>
    <t>333-337</t>
  </si>
  <si>
    <t>http://dx.doi.org/10.1109/SEAA.2019.00057</t>
  </si>
  <si>
    <t>Architectural smells can be detrimental to the system maintainability, evolvability and represent a source of architectural debt. Thus, it is very important to be able to understand how they evolved in the past and to predict their future evolution. In this paper, we evaluate if the existence of architectural smells in the past versions of a project can be used to predict their presence in the future. We analyzed four Java projects in 295 Github releases and we applied for the prediction four different supervised learning models in a repeated cross-validation setting. We found that historical architectural smell information can be used to predict the presence of architectural smells in the future. Hence, practitioners should carefully monitor the evolution of architectural smells and take preventative actions to avoid introducing them and stave off their progressive growth.</t>
  </si>
  <si>
    <t>Predictive models;History;Java;Data models;Computer bugs;Machine learning;Measurement;Architectural smells prediction and evolution;architectural technical debt</t>
  </si>
  <si>
    <t>81-85</t>
  </si>
  <si>
    <t>http://dx.doi.org/10.1109/MS.2019.2954841</t>
  </si>
  <si>
    <t>It is time to talk about software engineering (SE) for artificial intelligence (AI). As shown in Figure 1, industry is becoming increasingly dependent on AI software. Clearly, AI is useful for SE. But what about the other way around? How important is SE for AI? Many thought leaders in the AI industry are asking how to better develop and maintain AI software (see Figure 2).</t>
  </si>
  <si>
    <t>Software engineering;Artificial intelligence;Software development management</t>
  </si>
  <si>
    <t>83311-83321</t>
  </si>
  <si>
    <t>http://dx.doi.org/10.1109/ACCESS.2022.3196923</t>
  </si>
  <si>
    <t>Effort estimation is an important practice in agile software development. The agile community believes that developers’ estimates get more accurate over time due to the cumulative effect of learning from short and frequent feedback. However, there is no empirical evidence of an improvement in estimation accuracy over time, nor have prior studies examined effort estimation in different development activities, which are associated with substantial costs. This study fills the knowledge gap in the field of software estimation in agile software development by investigating estimations across time and different development activities based on data collected from a large agile project. This study investigated effort estimation in various development activities, including feature development, bug fixing, and refactoring in agile software development. The results indicate that estimation of agile development does not improve over time, as claimed in the literature. Our data also indicate that no difference exists in the magnitude of estimation errors between feature tasks and bug-fixing/refactoring tasks, while bug-fixing and refactoring tasks are overestimated more frequently than feature tasks. This study also contributes to our knowledge about overestimation and underestimation patterns in agile software development.</t>
  </si>
  <si>
    <t>Estimation;Software;Task analysis;Agile software development;Computer bugs;Planning;Predictive models;Agile software effort estimation;bug-fixing effort estimation;refactoring effort estimation</t>
  </si>
  <si>
    <t>http://dx.doi.org/10.1109/WAIN52551.2021.00008</t>
  </si>
  <si>
    <t>Logs are a common way to record detailed run-time information in software. As modern software systems evolve in scale and complexity, logs have become indispensable to understanding the internal states of the system. At the same time however, manually inspecting logs has become impractical. In recent times, there has been more emphasis on statistical and machine learning (ML) based methods for analyzing logs. While the results have shown promise, most of the literature focuses on algorithms and state-of-the-art (SOTA), while largely ignoring the practical aspects. In this paper we demonstrate our end-to-end log classification pipeline, Linnaeus. Besides showing the more traditional ML flow, we also demonstrate our solutions for adaptability and re-use, integration towards large scale software development processes, and how we cope with lack of labelled data. We hope Linnaeus can serve as a blueprint for, and inspire the integration of, various ML based solutions in other large scale industrial settings.</t>
  </si>
  <si>
    <t>Machine learning algorithms;Conferences;Pipelines;Software algorithms;Machine learning;Software systems;Complexity theory;log classification;machine learning;anomaly detection;troubleshooting;automation</t>
  </si>
  <si>
    <t>612-621</t>
  </si>
  <si>
    <t>2018 IEEE 25th International Conference on Software Analysis, Evolution and Reengineering (SANER)</t>
  </si>
  <si>
    <t>http://dx.doi.org/10.1109/SANER.2018.8330266</t>
  </si>
  <si>
    <t>Code smells are symptoms of poor design and implementation choices weighing heavily on the quality of produced source code. During the last decades several code smell detection tools have been proposed. However, the literature shows that the results of these tools can be subjective and are intrinsically tied to the nature and approach of the detection. In a recent work the use of Machine-Learning (ML) techniques for code smell detection has been proposed, possibly solving the issue of tool subjectivity giving to a learner the ability to discern between smelly and non-smelly source code elements. While this work opened a new perspective for code smell detection, it only considered the case where instances affected by a single type smell are contained in each dataset used to train and test the machine learners. In this work we replicate the study with a different dataset configuration containing instances of more than one type of smell. The results reveal that with this configuration the machine learning techniques reveal critical limitations in the state of the art which deserve further research.</t>
  </si>
  <si>
    <t>Detectors;Measurement;Tools;Software systems;Training;Predictive models;Buildings;Code Smells;Machine Learning;Empirical Studies;Replication Study</t>
  </si>
  <si>
    <t>355-366</t>
  </si>
  <si>
    <t>2020 IEEE 27th International Conference on Software Analysis, Evolution and Reengineering (SANER)</t>
  </si>
  <si>
    <t>http://dx.doi.org/10.1109/SANER48275.2020.9054868</t>
  </si>
  <si>
    <t>Technical Debt (TD) expresses the need for improvements in a software system, e.g., to its source code or architecture. In certain circumstances, developers “self-admit” technical debt (SATD) in their source code comments. Previous studies investigate when SATD is admitted, and what changes developers perform to remove it. Building on these studies, we present a first step towards the automated recommendation of SATD removal strategies. By leveraging a curated dataset of SATD removal patterns, we build a multi-level classifier capable of recommending six SATD removal strategies, e.g., changing API calls, conditionals, method signatures, exception handling, return statements, or telling that a more complex change is needed. SARDELE (SAtd Removal using DEep LEarning) combines a convolutional neural network trained on embeddings extracted from the SATD comments with a recurrent neural network trained on embeddings extracted from the SATD-affected source code. Our evaluation reveals that SARDELE is able to predict the type of change to be applied with an average precision of 55%, recall of 57%, and AUC of 0.73, reaching up to 73% precision, 63% recall, and 0.74 AUC for certain categories such as changes to method calls. Overall, results suggest that SATD removal follows recurrent patterns and indicate the feasibility of supporting developers in this task with automated recommenders.</t>
  </si>
  <si>
    <t>Deep learning;Java;Codes;Recurrent neural networks;Taxonomy;Software systems;Reliability;Self-Admitted Technical Debt;Recommender Systems;Deep Learning;Neural Networks</t>
  </si>
  <si>
    <t>Yasmin J,Sheikhaei MS,Tian Y</t>
  </si>
  <si>
    <t>A First Look at Duplicate and Near-duplicate Self-admitted Technical Debt Comments</t>
  </si>
  <si>
    <t>614-618</t>
  </si>
  <si>
    <t>2022 IEEE/ACM 30th International Conference on Program Comprehension (ICPC)</t>
  </si>
  <si>
    <t>http://dx.doi.org/10.1145/3524610.3528387</t>
  </si>
  <si>
    <t>10.1145/3524610.3528387</t>
  </si>
  <si>
    <t>Self-admitted technical debt (SATD) refers to technical debt that is intentionally introduced by developers and explicitly documented in code comments or other software artifacts (e.g., issue reports) to annotate sub-optimal decisions made by developers in the software development process. In this work, we take the first look at the existence and char-acteristics of duplicate and near-duplicate SATD comments in five popular Apache OSS projects, i.e., JSPWiki, Helix, Jackrab-bit, Archiva, and SystemML. We design a method to automatically identify groups of duplicate and near-duplicate SATD comments and track their evolution in the software system by mining the com-mit history of a software project. Leveraging the proposed method, we identified 3,520 duplicate and near-duplicate SATD comments from the target projects, which belong to 1,141 groups. We man-ually analyze the content and context of a sample of 1,505 SATD comments (by sampling 100 groups for each project) and identify if they annotate the same root cause. We also investigate whether du-plicate SATD comments exist in code clones, whether they co-exist in the same file, and whether they are introduced and removed simultaneously. Our preliminary study reveals several surprising findings that would shed light on future studies aiming to improve the management of duplicate SATD comments. For instance, only 48.5% duplicate SATD comment groups with the same root cause exist in regular code clones, and only 33.9% of the duplicate SATD comment pairs are introduced in the same commit.</t>
  </si>
  <si>
    <t>Codes;Target tracking;Design methodology;Cloning;Software systems;History;Data mining;Self-admitted technical debt (SATD);Apache;OSS;duplicate comments;documentation</t>
  </si>
  <si>
    <t>2020 International Conference on Innovation and Intelligence for Informatics, Computing and Technologies (3ICT)</t>
  </si>
  <si>
    <t>http://dx.doi.org/10.1109/3ICT51146.2020.9311978</t>
  </si>
  <si>
    <t>Software change-proneness is one of the vital quality metrics that represents the extent of change of a class across versions of the system. This change may occur due to evolving requirements, bug fixing, or code refactoring. Consequently, change-proneness may have a negative impact on software evolution. For instance, modules that are change-prone tend to produce more defects and accumulate more technical debt. This research work applies different Machine Learning (ML) techniques on a large dataset from a wide commercial software system to investigate the relationships between object-oriented (OO) metrics and change-proneness, and determine which OO metrics are necessary to predict change-prone classes. Moreover, several state-of-the-art combining methods were evaluated that were constructed by combining several heterogeneous single and ensemble classifiers with voting, Select-Best, and staking scheme. The result of the study indicates a high prediction performance of many of the ensemble classifiers as well as the combining methods selected and proved that ML methods are very beneficial for predicting change-prone classes in software. The study also proved that software metrics are significant indicators of class change-proneness and should be monitored regularly during software development and maintenance.</t>
  </si>
  <si>
    <t>Measurement;Software;Maintenance engineering;Couplings;Classification algorithms;Prediction algorithms;Technological innovation;Machine Learning Technique;Change-Proneness;Software Quality;Ensemble Methods</t>
  </si>
  <si>
    <t>Silva L,Unterkalmsteiner M,Wnuk K</t>
  </si>
  <si>
    <t>MultiDimEr : A Multi-Dimensional bug analyzEr</t>
  </si>
  <si>
    <t>66-70</t>
  </si>
  <si>
    <t>http://dx.doi.org/10.1145/3524843.3528099</t>
  </si>
  <si>
    <t>10.1145/3524843.3528099</t>
  </si>
  <si>
    <t>Background: Bugs and bug management consumes a significant amount of time and effort from software development organizations. A reduction in bugs can significantly improve the capacity for new feature development. Aims: We categorize and visualize dimensions of bug reports to identify accruing technical debt. This evidence can serve practitioners and decision makers not only as an argumentative basis for steering improvement efforts, but also as a starting point for root cause analysis, reducing overall bug inflow. Method: We implemented a tool, MultiDimEr, that analyzes and visualizes bug reports. The tool was implemented and evaluated at Ericsson. Results: We present our preliminary findings using the MultiDimEr for bug analysis, where we successfully identified components generating most of the bugs and bug trends within certain components. Conclusions: By analyzing the dimensions provided by MultiDimEr, we show that classifying and visualizing bug reports in different dimensions can stimulate discussions around bug hot spots as well as validating the accuracy of manually entered bug report attributes used in technical debt measurements such as fault slip through.</t>
  </si>
  <si>
    <t>Visualization;Root cause analysis;Computer bugs;Organizations;Market research;Software;technical debt;bug analysis;bug visualization;tool support;soft-ware maintenance;bug management</t>
  </si>
  <si>
    <t>3686-3715</t>
  </si>
  <si>
    <t>http://dx.doi.org/10.1109/TSE.2021.3102221</t>
  </si>
  <si>
    <t>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t>
  </si>
  <si>
    <t>Maintenance engineering;Software;Compounds;Computer architecture;History;Trajectory;Aggregates;Software architecture;technical debt;software maintenance;debt quantification and prioritization</t>
  </si>
  <si>
    <t>Lewis C,Lin Z,Sadowski C,Zhu X,Ou R,Whitehead EJ</t>
  </si>
  <si>
    <t>Does bug prediction support human developers? Findings from a Google case study</t>
  </si>
  <si>
    <t>372-381</t>
  </si>
  <si>
    <t>2013 35th International Conference on Software Engineering (ICSE)</t>
  </si>
  <si>
    <t>http://dx.doi.org/10.1109/ICSE.2013.6606583</t>
  </si>
  <si>
    <t>10.1109/ICSE.2013.6606583</t>
  </si>
  <si>
    <t>While many bug prediction algorithms have been developed by academia, they're often only tested and verified in the lab using automated means. We do not have a strong idea about whether such algorithms are useful to guide human developers. We deployed a bug prediction algorithm across Google, and found no identifiable change in developer behavior. Using our experience, we provide several characteristics that bug prediction algorithms need to meet in order to be accepted by human developers and truly change how developers evaluate their code.</t>
  </si>
  <si>
    <t>Prediction algorithms;Software algorithms;Google;Algorithm design and analysis;Computer bugs;Measurement;Software</t>
  </si>
  <si>
    <t>Caulo M,Scanniello G</t>
  </si>
  <si>
    <t>A Taxonomy of Metrics for Software Fault Prediction</t>
  </si>
  <si>
    <t>429-436</t>
  </si>
  <si>
    <t>http://dx.doi.org/10.1109/SEAA51224.2020.00075</t>
  </si>
  <si>
    <t>10.1109/SEAA51224.2020.00075</t>
  </si>
  <si>
    <t>Researchers in the field of Software Fault Prediction (SFP) make use of software metrics to build predictive models, for example, by means of machine learning and statistical techniques. The number of metrics used for SFP has increased dramatically in the last few decades. Therefore, a taxonomy of metrics for SFP could be useful to standardize the lexicon, to simplify the communication among researchers/practitioners, and to organize and classify such metrics. In this research, we built a taxonomy of metrics for SFP with the aim of making it as comprehensive as possible. We exploited and extended two Systematic Literature Reviews (SLRs) to collect and classify a total of 512 metrics for SFP and then to build our taxonomy. We also provide information on the metrics in this taxonomy in terms of: acronym(s), extended name, description, granularity of the prediction, category, and research papers in which they were used. To allow the taxonomy to be constantly updated over time, we provide external contributors the possibility to ask for changes via pull-requests on GitHub.</t>
  </si>
  <si>
    <t>Measurement;Taxonomy;Software metrics;Software;Systematics;Software engineering;Object oriented modeling;software metrics;fault prediction;taxonomy</t>
  </si>
  <si>
    <t>Investigating the Relationship between Co-occurring Technical Debt in Python</t>
  </si>
  <si>
    <t>487-494</t>
  </si>
  <si>
    <t>http://dx.doi.org/10.1109/SEAA51224.2020.00082</t>
  </si>
  <si>
    <t>10.1109/SEAA51224.2020.00082</t>
  </si>
  <si>
    <t>Technical debt (TD) reflects issues that may negatively affect software maintenance and evolution. There is currently little evidence on how the different types of TD co-occur; for example, how code smells and design smells affect the same part of the system. This paper investigates how different types of TD co-occur, as well as the time period of the co-occurrence. To that end, we analyzed the co-occurring associations between five types of TD, captured in 42 SonarQube rules, in 3862 files of 20 Python projects from the Apache Software Foundation. We found that this phenomenon is dominant, affecting more than 90% of Python files. We also found that Documentation Debt and Test Debt appear in the majority of the files, although it seems to be mostly by coincidence. Finally, we noticed that co-occurrence of TD seems to happen very quickly: co-occurring issues tend to be introduced within the same week. But once it does happen, it is hard to get rid of. These results can benefit both researchers and practitioners by: aiding the prioritization of TD remediation; leading to novel tools for detecting co-occurring TD and warning potential issues; shedding further light on the explanation of how TD is introduced and can be mitigated.</t>
  </si>
  <si>
    <t>Python;Software;Documentation;Tools;Maintenance engineering;Software systems;Software maintenance;technical debt;co-occurrence;Python;Apache Software Foundation</t>
  </si>
  <si>
    <t>Self-Admitted Technical Debt in R Packages: An Exploratory Study</t>
  </si>
  <si>
    <t>179-189</t>
  </si>
  <si>
    <t>http://dx.doi.org/10.1109/MSR52588.2021.00030</t>
  </si>
  <si>
    <t>Self-Admitted Technical Debt (SATD) is a particular case of Technical Debt (TD) where developers explicitly acknowledge their sub-optimal implementation decisions. Though previous studies have demonstrated that SATD is common in software projects and negatively impacts their maintenance, they have mostly approached software systems coded in traditional object-oriented programming (OOP), such as Java, C++ or .NET. This paper studies SATD in R packages, and reports results of a three-part study. The first part mined more than 500 R packages available on GitHub, and manually analysed more than 164k of comments to generate a dataset. The second part administered a crowd-sourcing to analyse the quality of the extracted comments, while the third part conducted a survey to address developers' perspectives regarding SATD comments. The main findings indicate that a large amount of outdated code is left commented, with SATD accounting for about 3% of comments. Code Debt was the most common type, but there were also traces of Algorithm Debt, and there is a considerable amount of comments dedicated to circumventing CRAN checks. Moreover, package authors seldom address the SATD they encounter and often add it as self-reminders.</t>
  </si>
  <si>
    <t>Java;Natural languages;Focusing;Documentation;Maintenance engineering;Inspection;Software systems;Self-Admitted Technical Debt;Mining Software Repositories;Empirical Software Engineering;R Programming</t>
  </si>
  <si>
    <t>Technical Debt in the Peer-Review Documentation of R Packages: a rOpenSci Case Study</t>
  </si>
  <si>
    <t>195-206</t>
  </si>
  <si>
    <t>http://dx.doi.org/10.1109/MSR52588.2021.00032</t>
  </si>
  <si>
    <t>Context: Technical Debt (TD) is a metaphor used to describe code that is not quite right. Although TD studies have gained momentum, TD has yet to be studied as thoroughly in non-Object-Oriented (OO) or scientific software such as R. R is a multi-paradigm programming language, whose popularity in data science and statistical applications has amplified in recent years. Due to R’s inherent ability to expand through user-contributed packages, several community-led organizations were created to organize and peer-review packages in a concerted effort to increase their quality. Nonetheless, it is well-known that most R users do not have a technical programming background, being from multiple disciplines. Objective: The goal of this study is to investigate TD in the documentation of the peer-review of R packages led by rOpenSci. Method: We collected over 5,000 comments from 157 packages that had been reviewed and approved to be published at rOpenSci. We manually analyzed a sample dataset of these comments posted by package authors, editors of rOpenSci, and reviewers during the review process to investigate the types of TD present in these reviews. Results: The findings of our study include (i) a taxonomy of TD derived from our analysis of the peer-reviews (ii) documentation debt as being the most prevalent type of debt (iii) different user roles are concerned with different types of TD. For instance, reviewers tend to report some types of TD more than other roles, and the types of TD they report are different from those reported by the authors of a package. Conclusion: TD analysis in scientific software or peer-review is almost non-existent. Our study is a pioneer but within the context of R packages. However, our findings can serve as a starting point for replication studies, given our public datasets, to perform similar analyses in other scientific software or to investigate the rationale behind our findings.</t>
  </si>
  <si>
    <t>Computer languages;Taxonomy;Documentation;Organizations;Programming;Data science;Software;Technical Debt;R Programming;rOpensci;Technical Debt Taxonomy;Mining Software Repositories</t>
  </si>
  <si>
    <t>156-166</t>
  </si>
  <si>
    <t>http://dx.doi.org/10.1145/3524842.3528458</t>
  </si>
  <si>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 The prior study from TSE'21 proposing this novel “fuzzy sampling” was somewhat limited in that the method was tested on defect prediction, but nothing else. Like defect prediction, code smell detection datasets have a class imbalance (which motivated “fuzzy sampling”). Hence, in this work we test if fuzzy sampling is useful for code smell detection. The results of this paper show that we can achieve better than state-of-the-art results on code smell detection with fuzzy oversampling. For example, for “feature envy”, we were able to achieve 99+% AUC across all our datasets, and on 8/10 datasets for “misplaced class”. While our specific results refer to code smell detection, they do suggest other lessons for other kinds of analytics. For example: (a) try better preprocessing before trying complex learners (b) include simpler learners as a baseline in software analytics (c) try “fuzzy sampling” as one such baseline. In order to support others trying to reproduce/extend/refute this work, all our code and data is available online at https://github.com/yrahul3910/code-smell-detection.</t>
  </si>
  <si>
    <t>Deep learning;Codes;Software algorithms;Detectors;Prediction algorithms;Software;Feedforward neural networks;code smell detection;deep learning;autoencoders</t>
  </si>
  <si>
    <t>Algarni A,Magel K</t>
  </si>
  <si>
    <t>Applying Software Design Metrics to Developer Story: A Supervised Machine Learning Analysis</t>
  </si>
  <si>
    <t>156-159</t>
  </si>
  <si>
    <t>2019 IEEE First International Conference on Cognitive Machine Intelligence (CogMI)</t>
  </si>
  <si>
    <t>http://dx.doi.org/10.1109/CogMI48466.2019.00030</t>
  </si>
  <si>
    <t>10.1109/CogMI48466.2019.00030</t>
  </si>
  <si>
    <t>Object-oriented analysis is a significant step that plays a vital role in the success of software development. The planning and management stages, in particular, profoundly rely on the deliverance of an accurate estimate that takes the software's complexity and size into consideration. Today, several software industries are transforming their development methodologies to Agile due to its ability to deliver value in a short time and its cost efficiency. However, Agile methods prevent heavyweight modeling analysis and depend on user stories to drive the estimation process. Because user stories are descriptive language, they may not provide a clear picture for the implementation. Also, they may not help Agile developers give an accurate estimation due to their difficulty in measuring the complexity and size of a feature. Thus, this paper presents a new Agile artifact called developer story that allows the Agile developer to not only analyze and design software products but also predict the size of each feature, including its complexity. In this paper, a case study is presented that shows how the utilization of developer story is a practical approach in predicting the source code size of a feature and its complexity.</t>
  </si>
  <si>
    <t>Predictive models;Measurement;Software design;Complexity theory;Machine learning;Estimation;agile estimation;object-oriented analysis;developer story;software design;software size</t>
  </si>
  <si>
    <t>The Application of Machine Learning in Self-Adaptive Systems: A Systematic Literature Review</t>
  </si>
  <si>
    <t>205948-205967</t>
  </si>
  <si>
    <t>http://dx.doi.org/10.1109/ACCESS.2020.3036037</t>
  </si>
  <si>
    <t>Context: Self-adaptive systems have been studied in software engineering over the past few decades attempting to address challenges within the field. There is a continuous significant need to fully understand the behavior and characteristics of the systems that operate in dynamic environments. By learning the behavior pattern of the environment, we can avoid unnecessary adaptations imbalance efforts for adaptation. As such, there exist research in the area of machine learning aimed at understanding dynamic environments regarding self-adaptive systems. Objective: This study aims to help software practitioners to address adaptation concerns by performing a systematic literature review that provides a comprehensive overview of using machine learning (ML) in self-adaptive systems. We summarize state-of-the-art Of the ML approaches used to handle self-adaptation to help software engineers in the proper selection of ML techniques based on the adaptation concern. Method: This review examines research published between 2001 and 2019 on ML implementation in self-adaptive systems, focusing on the adaptation aspects and purposes. The review was conducted by analyzing major scientific databases that resulted in 78 primary studies from 315 papers from an automatic search. Result: Finally, this study recommends three future research directions to enhance the application of machine learning in self-adaptive systems.</t>
  </si>
  <si>
    <t>Synthetic aperture sonar;Machine learning;Systematics;Adaptation models;Bibliographies;Taxonomy;Market research;Systematic literature review;self-adaptive systems;machine learning;adaptation</t>
  </si>
  <si>
    <t>Zozas I,Bibi S,Ampatzoglou A</t>
  </si>
  <si>
    <t>Forecasting the Principal of Code Technical Debt in JavaScript Applications</t>
  </si>
  <si>
    <t>http://dx.doi.org/10.1109/TSE.2022.3222318</t>
  </si>
  <si>
    <t>10.1109/TSE.2022.3222318</t>
  </si>
  <si>
    <t>JavaScript (JS) is one of the most popular programming languages for developing client-side applications mainly due to allowing the adoption of different programming styles, not having strict syntax rules, and supporting a plethora of frameworks. The flexibility that the language provides may accelerate the development of application, but also pose threats to the quality of the final software product, e.g., introducing Technical Debt (TD). TD reflects the additional cost of software maintenance activities to implement new features, occurring due to poorly developed solutions. Being able to forecast the levels of TD in the future can be extremely valuable in managing TD, since it can contribute to informed decision making when designating future repayments and refactoring budget among a company's projects. Despite the popularity of JS and the undoubtful benefits of accurate TD forecasting, in the literature, there is available only a limited number of tools and methodologies that are able to: (a) forecast TD during software evolution, (b) provide a ground-truth TD quantifications to train forecasting, since TD tools that are available are based on different rulesets and none is recognized as a state-of-the-art solution, (c) take into consideration the language-specific characteristics of JS. As a main contribution for this study, we propose a methodology (along with a supporting tool) that supports the aforementioned goals based on the Backward Stepwise Regression and Auto-Regressive Integrated Moving Average (ARIMA). We evaluate the proposed approach through a case study on 19,636 releases of 105 open-source applications. The results point out that: (a) the proposed model can lead to an accurate prediction of TD, and (b) the Number of appearances of the “new” and “eval” keyword along with the number of “anonymous” and “arrow” functions are among the features of JavaScript language that are related to high levels of TD.</t>
  </si>
  <si>
    <t>Predictive models;Measurement;Forecasting;Codes;Java;Source coding;Programming;Software Quality;JavaScript;Code Technical Debt;Source Code Quality</t>
  </si>
  <si>
    <t>Jabrayilzade E,Evtikhiev M,Tüzün E,Kovalenko V</t>
  </si>
  <si>
    <t>Bus Factor in Practice</t>
  </si>
  <si>
    <t>97-106</t>
  </si>
  <si>
    <t>http://dx.doi.org/10.1145/3510457.3513082</t>
  </si>
  <si>
    <t>10.1145/3510457.3513082</t>
  </si>
  <si>
    <t>Bus factor is a metric that identifies how resilient is the project to the sudden engineer turnover. It states the minimal number of engineers that have to be hit by a bus for a project to be stalled. Even though the metric is often discussed in the community, few studies consider its general relevance. Moreover, the existing tools for bus factor estimation focus solely on the data from version control systems, even though there exists other channels for knowledge generation and distribution. With a survey of 269 engineers, we find that the bus factor is perceived as an important problem in collective development, and determine the highest impact channels of knowledge generation and distribution in software development teams. We also propose a multimodal bus factor estimation algorithm that uses data on code reviews and meetings together with the VCS data. We test the algorithm on 13 projects developed at JetBrains and compared its results to the results of the state-of-the-art tool by Avelino et al. against the ground truth collected in a survey of the engineers working on these projects. Our algorithm is slightly better in terms of both predicting the bus factor as well as key developers compared to the results of Avelino et al. Finally, we use the interviews and the surveys to derive a set of best practices to address the bus factor issue and proposals for the possible bus factor assessment tool.</t>
  </si>
  <si>
    <t>Measurement;Knowledge engineering;Software algorithms;Estimation;Prediction algorithms;Control systems;Software;bus factor;truck factor;case study;knowledge management;intelligent collaboration tools</t>
  </si>
  <si>
    <t>Identifying Experts in Software Libraries and Frameworks Among GitHub Users</t>
  </si>
  <si>
    <t>276-287</t>
  </si>
  <si>
    <t>2019 IEEE/ACM 16th International Conference on Mining Software Repositories (MSR)</t>
  </si>
  <si>
    <t>http://dx.doi.org/10.1109/MSR.2019.00054</t>
  </si>
  <si>
    <t>Software development increasingly depends on libraries and frameworks to increase productivity and reduce time-to-market. Despite this fact, we still lack techniques to assess developers expertise in widely popular libraries and frameworks. In this paper, we evaluate the performance of unsupervised (based on clustering) and supervised machine learning classifiers (Random Forest and SVM) to identify experts in three popular JavaScript libraries: facebook/react, mongodb/node-mongodb, and socketio/socket.io. First, we collect 13 features about developers activity on GitHub projects, including commits on source code files that depend on these libraries. We also build a ground truth including the expertise of 575 developers on the studied libraries, as self-reported by them in a survey. Based on our findings, we document the challenges of using machine learning classifiers to predict expertise in software libraries, using features extracted from GitHub. Then, we propose a method to identify library experts based on clustering feature data from GitHub; by triangulating the results of this method with information available on Linkedin profiles, we show that it is able to recommend dozens of GitHub users with evidences of being experts in the studied JavaScript libraries. We also provide a public dataset with the expertise of 575 developers on the studied libraries.</t>
  </si>
  <si>
    <t>Software;Feature extraction;Machine learning;Software libraries;LinkedIn;Data mining;expertise identification;technical expertise;software libraries;github;machine learning</t>
  </si>
  <si>
    <t>2022 IEEE/ACM 44th International Conference on Software Engineering: New Ideas and Emerging Results (ICSE-NIER)</t>
  </si>
  <si>
    <t>http://dx.doi.org/10.1145/3510455.3512773</t>
  </si>
  <si>
    <t>10.1145/3510455.3512773</t>
  </si>
  <si>
    <t>Meeting the rise of industry demand to incorporate machine learning (ML) components into software systems requires interdisciplinary teams contributing to a shared code base. To maintain consistency, reduce defects and ensure maintainability, developers use code analysis tools to aid them in identifying defects and maintaining standards. With the inclusion of machine learning, tools must account for the cultural differences within the teams which manifests as multiple programming languages, and conflicting definitions and objectives. Existing tools fail to identify these cultural differences and are geared towards software engineering which reduces their adoption in ML projects. In our approach we attempt to resolve this problem by exploring the use of context which includes i) purpose of the source code, ii) technical domain, iii) problem domain, iv) team norms, v) operational environment, and vi) development lifecycle stage to provide contextualised error reporting for code analysis. To demonstrate our approach, we adapt Pylint as an example and apply a set of contextual transformations to the linting results based on the domain of individual project files under analysis. This allows for contextualised and meaningful error reporting for the end user. CCS CONCEPTS • Software and its engineering → Software maintenance tools.</t>
  </si>
  <si>
    <t>Industries;Computer languages;Codes;Source coding;Machine learning;Software systems;Cultural differences;Standards;Software engineering;Machine learning;code smells;context-aware</t>
  </si>
  <si>
    <t>Voria G,Pentangelo V,Porta AD,Lambiase S,Catolino G,Palomba F,Ferrucci F</t>
  </si>
  <si>
    <t>Community Smell Detection and Refactoring in SLACK: The CADOCS Project</t>
  </si>
  <si>
    <t>469-473</t>
  </si>
  <si>
    <t>2022 IEEE International Conference on Software Maintenance and Evolution (ICSME)</t>
  </si>
  <si>
    <t>2576-3148</t>
  </si>
  <si>
    <t>http://dx.doi.org/10.1109/ICSME55016.2022.00061</t>
  </si>
  <si>
    <t>10.1109/ICSME55016.2022.00061</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</si>
  <si>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t>
  </si>
  <si>
    <t>Software maintenance;Instruments;Collaboration;Communication channels;Robustness;Stakeholders;Usability;Conversational Agents;Community Smells;Socio-Technical Analysis</t>
  </si>
  <si>
    <t>Comparing Heuristic and Machine Learning Approaches for Metric-Based Code Smell Detection</t>
  </si>
  <si>
    <t>93-104</t>
  </si>
  <si>
    <t>2019 IEEE/ACM 27th International Conference on Program Comprehension (ICPC)</t>
  </si>
  <si>
    <t>http://dx.doi.org/10.1109/ICPC.2019.00023</t>
  </si>
  <si>
    <t>Code smells represent poor implementation choices performed by developers when enhancing source code. Their negative impact on source code maintainability and comprehensibility has been widely shown in the past and several techniques to automatically detect them have been devised. Most of these techniques are based on heuristics, namely they compute a set of code metrics and combine them by creating detection rules; while they have a reasonable accuracy, a recent trend is represented by the use of machine learning where code metrics are used as predictors of the smelliness of code artefacts. Despite the recent advances in the field, there is still a noticeable lack of knowledge of whether machine learning can actually be more accurate than traditional heuristic-based approaches. To fill this gap, in this paper we propose a large-scale study to empirically compare the performance of heuristic-based and machine-learning-based techniques for metric-based code smell detection. We consider five code smell types and compare machine learning models with DECOR, a state-of-the-art heuristic-based approach. Key findings emphasize the need of further research aimed at improving the effectiveness of both machine learning and heuristic approaches for code smell detection: while DECOR generally achieves better performance than a machine learning baseline, its precision is still too low to make it usable in practice.</t>
  </si>
  <si>
    <t>Code Smells Detection;Heuristics;Machine Learning;Empirical Study</t>
  </si>
  <si>
    <t>van Oort B,Cruz L,Loni B,van Deursen A</t>
  </si>
  <si>
    <t>“Project smells” - Experiences in Analysing the Software Quality of ML Projects with mllint</t>
  </si>
  <si>
    <t>211-220</t>
  </si>
  <si>
    <t>http://dx.doi.org/10.1145/3510457.3513041</t>
  </si>
  <si>
    <t>10.1145/3510457.3513041</t>
  </si>
  <si>
    <t>Machine Learning (ML) projects incur novel challenges in their development and productionisation over traditional software applications, though established principles and best practices in ensuring the project's software quality still apply. While using static analysis to catch code smells has been shown to improve software quality attributes, it is only a small piece of the software quality puzzle, especially in the case of ML projects given their additional challenges and lower degree of Software Engineering (SE) experience in the data scientists that develop them. We introduce the novel concept of project smells which consider deficits in project management as a more holistic perspective on software quality in ML projects. An open-source static analysis tool mllint was also implemented to help detect and mitigate these. Our research evaluates this novel concept of project smells in the industrial context of ING, a global bank and large software- and data-intensive organisation. We also investigate the perceived importance of these project smells for proof-of-concept versus production-ready ML projects, as well as the perceived obstructions and benefits to using static analysis tools such as mllint. Our findings indicate a need for context-aware static analysis tools, that fit the needs of the project at its current stage of development, while requiring minimal configuration effort from the user.</t>
  </si>
  <si>
    <t>Codes;Project management;Software quality;Static analysis;Machine learning;Open source software;Best practices;project smells;software quality;machine learning;mllint;code smells;context-aware;static analysis;dependency management;Python</t>
  </si>
  <si>
    <t>698-705</t>
  </si>
  <si>
    <t>2018 International Conference on Intelligent Systems (IS)</t>
  </si>
  <si>
    <t>1541-1672</t>
  </si>
  <si>
    <t>http://dx.doi.org/10.1109/IS.2018.8710521</t>
  </si>
  <si>
    <t>Technical debt (TD), a metaphor inspired by the financial debt of economic theory, indicates quality compromises that can yield short-term benefits in the software development process, but may negatively affect the long-term quality of software products. Numerous techniques, methods, and tools have been proposed over the years for estimating and managing TD, providing a variety of options to the developers and project managers of software applications. However, apart from managing TD, predicting its future value is equally important since this knowledge is expected to facilitate decision-making tasks regarding software implementation and maintenance, such as incurring or paying off TD instances. To this end, the purpose of the present study is to (i) summarize the work that has been conducted until today in the field of TD estimation and forecasting, and (ii) to identify existing open issues that have not been adequately addressed yet and require further research. The present survey led to two interesting observations. Firstly, none of the existing TD estimation methods and tools has reached a desired level of maturity, while a large volume of previously uninvestigated metrics and techniques exist that could potentially increase the completeness of TD estimation. Secondly, no notable contributions exist in the field of TD forecasting, indicating that it is a scarcely investigated field. The latter constitutes the main finding of the present literature review, since TD forecasting could lead to the development of practical decision-making mechanisms, which could assist developers and project managers in taking proactive actions regarding TD repayment.</t>
  </si>
  <si>
    <t>Software;Estimation;Tools;Time division multiplexing;Forecasting;Economics;Measurement;technical debt;technical debt estimation;technical debt forecasting</t>
  </si>
  <si>
    <t>Mühlbauer S,Apel S,Siegmund N</t>
  </si>
  <si>
    <t>Identifying Software Performance Changes Across Variants and Versions</t>
  </si>
  <si>
    <t>611-622</t>
  </si>
  <si>
    <t>We address the problem of identifying performance changes in the evolution of configurable software systems. Finding optimal configurations and configuration options that influence performance is already difficult, but in the light of software evolution, configuration-dependent performance changes may lurk in a potentially large number of different versions of the system. In this work, we combine two perspectives-variability and time-into a novel perspective. We propose an approach to identify configuration-dependent performance changes retrospectively across the software variants and versions of a software system. In a nutshell, we iteratively sample pairs of configurations and versions and measure the respective performance, which we use to update a model of likelihoods for performance changes. Pursuing a search strategy with the goal of measuring selectively and incrementally further pairs, we increase the accuracy of identified change points related to configuration options and interactions. We have conducted a number of experiments both on controlled synthetic data sets as well as in real-world scenarios with different software systems. Our evaluation demonstrates that we can pinpoint performance shifts to individual configuration options and interactions as well as commits introducing change points with high accuracy and at scale. Experiments on three real-world systems explore the effectiveness and practicality of our approach.</t>
  </si>
  <si>
    <t>Static analysis;Software performance;Software systems;Extraterrestrial measurements;Time measurement;Software measurement;Software engineering;Software performance;software evolution;configurable software systems;machine learning;active learning</t>
  </si>
  <si>
    <t>90-100</t>
  </si>
  <si>
    <t>2022 IEEE 19th International Conference on Software Architecture (ICSA)</t>
  </si>
  <si>
    <t>http://dx.doi.org/10.1109/ICSA53651.2022.00017</t>
  </si>
  <si>
    <t>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t>
  </si>
  <si>
    <t>Knowledge engineering;Software architecture;Conferences;Decision making;Unified modeling language;Machine learning;Production;Architectural Design Decisions;Machine Learning;Software Architecture;Grey Literature;Grounded Theory</t>
  </si>
  <si>
    <t>Dominguez GA,Kawaai K,Maruyama H</t>
  </si>
  <si>
    <t>FAILS: a tool for assessing risk in ML systems</t>
  </si>
  <si>
    <t>2021 28th Asia-Pacific Software Engineering Conference Workshops (APSEC Workshops)</t>
  </si>
  <si>
    <t>http://dx.doi.org/10.1109/APSECW53869.2021.00010</t>
  </si>
  <si>
    <t>10.1109/APSECW53869.2021.00010</t>
  </si>
  <si>
    <t>Quality assurance of AI based systems presents a unique set of challenges to software engineers, making it difficult to assess the risks involved when deploying them. We present a risk assessment tool based on the widely used failure mode effect analysis (FMEA) methodology, as well as quality assurance guidelines released in recent years. The tool aims to support the search for potential risks in machine learning (ML) components used in the design and development of AI products. A preliminary evaluation showed its effectiveness and pointed toward areas for future improvement.</t>
  </si>
  <si>
    <t>Quality assurance;Conferences;Machine learning;Software;Risk management;Software engineering;Guidelines;AI engineering;quality assurance;software engineering;machine learning</t>
  </si>
  <si>
    <t>229-239</t>
  </si>
  <si>
    <t>http://dx.doi.org/10.1145/3522664.3528590</t>
  </si>
  <si>
    <t>High data quality is fundamental for today’s AI-based systems. However, although data quality has been an object of research for decades, there is a clear lack of research on potential data quality issues (e.g., ambiguous, extraneous values). These kinds of issues are latent in nature and thus often not obvious. Nevertheless, they can be associated with an increased risk of future problems in AI-based systems (e.g., technical debt, data-induced faults). As a counterpart to code smells in software engineering, we refer to such issues as Data Smells. This article conceptualizes data smells and elaborates on their causes, consequences, detection, and use in the context of AI-based systems. In addition, a catalogue of 36 data smells divided into three categories (i.e., Believability Smells, Understandability Smells, Consistency Smells) is presented. Moreover, the article outlines tool support for detecting data smells and presents the result of an initial smell detection on more than 240 real-world datasets.</t>
  </si>
  <si>
    <t>Industries;Codes;Data integrity;Maintenance engineering;Solids;Oncology;Software;data smells;artificial intelligence;data engineering;software engineering;data quality</t>
  </si>
  <si>
    <t>152-163</t>
  </si>
  <si>
    <t>http://dx.doi.org/10.1109/SANER53432.2022.00029</t>
  </si>
  <si>
    <t>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t>
  </si>
  <si>
    <t>Couplings;Privacy;Uncertainty;Systematics;Software architecture;Scalability;Machine learning;software engineering;software architecture;machine learning</t>
  </si>
  <si>
    <t>Lee T,Nam J,Han D,Kim S,Peter In H</t>
  </si>
  <si>
    <t>Developer Micro Interaction Metrics for Software Defect Prediction</t>
  </si>
  <si>
    <t>1015-1035</t>
  </si>
  <si>
    <t>http://dx.doi.org/10.1109/TSE.2016.2550458</t>
  </si>
  <si>
    <t>10.1109/TSE.2016.2550458</t>
  </si>
  <si>
    <t>To facilitate software quality assurance, defect prediction metrics, such as source code metrics, change churns, and the number of previous defects, have been actively studied. Despite the common understanding that developer behavioral interaction patterns can affect software quality, these widely used defect prediction metrics do not consider developer behavior. We therefore propose micro interaction metrics (MIMs), which are metrics that leverage developer interaction information. The developer interactions, such as file editing and browsing events in task sessions, are captured and stored as information by Mylyn, an Eclipse plug-in. Our experimental evaluation demonstrates that MIMs significantly improve overall defect prediction accuracy when combined with existing software measures, perform well in a cost-effective manner, and provide intuitive feedback that enables developers to recognize their own inefficient behaviors during software development.</t>
  </si>
  <si>
    <t>Software quality;Software metrics;Quality assurance;Complexity theory;Defect prediction;software quality;software metrics;developer interaction;Mylyn</t>
  </si>
  <si>
    <t>Self-Organizing Infrastructure for Machine (Deep) Learning at Scale</t>
  </si>
  <si>
    <t>2018 IEEE/ACM 1st International Workshop on Software Engineering for Cognitive Services (SE4COG)</t>
  </si>
  <si>
    <t>Building machine (deep) learning systems is hard. Computation requirements grow non-linearly with the complexity of the task at hand creating acute challenges relating to data dimensionality, complex model development, slow experiments, and scalability of production deployments. e bulk of the ML/DL effort is consumed in infrastructure and data management. Automating such workflows has become the focus of recent research activity, so as to make ML/DL systems universally accessible. We extend these paradigms by infusing domain knowledge for infrastructure self-management. Key elements include understanding application design intent, fingerprinting the neural network for its computational, data and convergence properties, optimizing the implementation to achieving workload intent, and accelerating the neural network implementation in real-time hardware implementation. Keys to success require offline behavioural modelling coupled with online dynamic adaptation, made possible by the use of cognitive algorithms that accumulate knowledge in a dynamic and continuously evolving knowledgebase. In this way, we use machine learning to automate AI infrastructure management to minimize human engineering, and significantly accelerating application performance.</t>
  </si>
  <si>
    <t>Machine learning;Computational modeling;Neural networks;Data models;Acceleration;Heuristic algorithms;Complexity theory;Deep learning;machine learning;cognitive infrastructure</t>
  </si>
  <si>
    <t>Ebert C,Heidrich J,Martinez-Fernandez S,Trendowicz A</t>
  </si>
  <si>
    <t>Data Science: Technologies for Better Software</t>
  </si>
  <si>
    <t>66-72</t>
  </si>
  <si>
    <t>http://dx.doi.org/10.1109/MS.2019.2933681</t>
  </si>
  <si>
    <t>10.1109/MS.2019.2933681</t>
  </si>
  <si>
    <t>Data science is mandatory in today's business to capitalize on achievements and assets. This specifically holds for modern software development, where data science facilitates analyzing product, process, and usage and thus managing evolution and performance. With the convergence of embedded and IT domains, such as the Internet of Things (IoT) and automotive systems, software systems are becoming more complex. Complexity has two faces. On one hand it means more functionality and fluid delivery models, thus offering markets more value, such as the ability to deliver a single-customer focus. Complexity, however, also means the growth of technical debt, which slows productivity and lowers quality. As software engineering generates ever larger and more varied data sets, such as feature usage, code analysis, test coverage, error logs, and maintenance data, companies face the challenge of unlocking the value of that data.</t>
  </si>
  <si>
    <t>Software tools;Data science;Software measurement;Complexity theory;Analytical models</t>
  </si>
  <si>
    <t>Martínez-Fernández S,Jedlitschka A,Guzmán L,Vollmer AM</t>
  </si>
  <si>
    <t>A Quality Model for Actionable Analytics in Rapid Software Development</t>
  </si>
  <si>
    <t>370-377</t>
  </si>
  <si>
    <t>http://dx.doi.org/10.1109/SEAA.2018.00067</t>
  </si>
  <si>
    <t>10.1109/SEAA.2018.00067</t>
  </si>
  <si>
    <t>Background: Accessing relevant data on the product, process, and usage perspectives of software as well as integrating and analyzing such data is crucial for getting reliable and timely actionable insights aimed at continuously managing software quality in Rapid Software Development (RSD). In this context, several software analytics tools have been developed in recent years. However, there is a lack of explainable software analytics that software practitioners trust. Aims: We aimed at creating a quality model (called Q-Rapids quality model) for actionable analytics in RSD, implementing it, and evaluating its understandability and relevance. Method: We performed workshops at four companies in order to determine relevant metrics as well as product and process factors. We also elicited how these metrics and factors are used and interpreted by practitioners when making decisions in RSD. We specified the Q-Rapids quality model by comparing and integrating the results of the four workshops. Then we implemented the Q-Rapids tool to support the usage of the Q-Rapids quality model as well as the gathering, integration, and analysis of the required data. Afterwards we installed the Q-Rapids tool in the four companies and performed semi-structured interviews with eight product owners to evaluate the understandability and relevance of the Q-Rapids quality model. Results: The participants of the evaluation perceived the metrics as well as the product and process factors of the Q-Rapids quality model as understandable. Also, they considered the Q-Rapids quality model relevant for identifying product and process deficiencies (e.g., blocking code situations). Conclusions: By means of heterogeneous data sources, the Q-Rapids quality model enables detecting problems that take more time to find manually and adds transparency among the perspectives of system, process, and usage.</t>
  </si>
  <si>
    <t>Software;Measurement;Analytical models;Tools;Conferences;Companies;Data models;quality model, software quality, software analytics, rapid software development, Q-Rapids, H2020, agile</t>
  </si>
  <si>
    <t>Alkharabsheh K,Taboada JA,Crespo Y,Alzu'bi T</t>
  </si>
  <si>
    <t>Improving Design Smell Detection for Adoption in Industry</t>
  </si>
  <si>
    <t>213-218</t>
  </si>
  <si>
    <t>2018 8th International Conference on Computer Science and Information Technology (CSIT)</t>
  </si>
  <si>
    <t>http://dx.doi.org/10.1109/CSIT.2018.8486180</t>
  </si>
  <si>
    <t>10.1109/CSIT.2018.8486180</t>
  </si>
  <si>
    <t>This work deals with the development of a classification algorithm that will improve the usefulness of design smell detection tools for its adoption in industry in order to increase software quality (maintainability, understandability, etc.). The current knowledge of Design Smell Detection (types of smells, approaches, strategies, algorithms, tools, etc.) will be identified. After that, a dataset that allow the comparison of different machine learning techniques will be developed. Analysis of possible improvements derived of the introduction of subjectivity, adaptability and gray scale are also an objective of the work.</t>
  </si>
  <si>
    <t>Tools;Software quality;Measurement;Software algorithms;Java;Machine learning algorithms;Design Smell;Detection Tools;Machine Learning;Software Quality;Empirical Study</t>
  </si>
  <si>
    <t>13-23</t>
  </si>
  <si>
    <t>2021 IEEE 29th International Requirements Engineering Conference (RE)</t>
  </si>
  <si>
    <t>2332-6441</t>
  </si>
  <si>
    <t>http://dx.doi.org/10.1109/RE51729.2021.00009</t>
  </si>
  <si>
    <t>Machine Learning (ML) is an application of Artificial Intelligence (AI) that uses big data to produce complex predictions and decision-making systems, which would be challenging to obtain otherwise. To ensure the success of ML-enabled systems, it is essential to be aware of certain qualities of ML solutions (performance, transparency, fairness), known from a Requirement Engineering (RE) perspective as non-functional requirements (NFRs). However, when systems involve ML, NFRs for traditional software may not apply in the same ways; some NFRs may become more prominent or less important; NFRs may be defined over the ML model, data, or the entire system; and NFRs for ML may be measured differently. In this work, we aim to understand the state-of-the-art and challenges of dealing with NFRs for ML in industry. We interviewed ten engineering practitioners working with NFRs and ML. We find examples of (1) the identification and measurement of NFRs for ML, (2) identification of more and less important NFRs for ML, and (3) the challenges associated with NFRs and ML in the industry. This knowledge paints a picture of how ML-related NFRs are treated in practice and helps to guide future RE for ML efforts.</t>
  </si>
  <si>
    <t>Industries;Knowledge engineering;Decision making;Machine learning;Software;Requirements engineering;Software measurement;Non-Functional Requirements;NFRs;qualities;Machine Learning;NFR Challenges;Requirements Engineering</t>
  </si>
  <si>
    <t>Akbarinasaji S,Bener AB,Erdem A</t>
  </si>
  <si>
    <t>Measuring the Principal of Defect Debt</t>
  </si>
  <si>
    <t>2016 IEEE/ACM 5th International Workshop on Realizing Artificial Intelligence Synergies in Software Engineering (RAISE)</t>
  </si>
  <si>
    <t>http://dx.doi.org/10.1145/2896995.2896999</t>
  </si>
  <si>
    <t>10.1145/2896995.2896999</t>
  </si>
  <si>
    <t>Identifying and fixing of defects is part of software maintenance activities. However, due to tight budget and schedule, software development teams may not resolve all the existing bugs in the issue tracking systems. The trade-off between the short-term benefit of postponing bug fixing activities and long-term consequence of delaying those activities is interpreted as defect debt. The accumulation of defect debt in the issue tracking system might cause system bankruptcy. Therefore, there is a necessity for software project managers to measure and monitor defect debts. In this study, we categorized the bugs into regular bugs and debt prone bugs and employed the historical data from regular bugs to train a prediction model for estimating the principal for debt prone bugs. The principal for the regular bug is equivalent to a standard amount of time to fix them. There are studies in the literature that predict bug fixing time as a classification. We proposed KNN-regression to predict the standard time for bug fixing time (principal). We performed an empirical study on both commercial and open source projects to investigate the feasibility of our model. The results showed that KNN-regression outperformed the simple linear regression with the predictive power (R^2) ranges between 74% to 85 %.</t>
  </si>
  <si>
    <t>Computer bugs;Software;Predictive models;Standards;Measurement;Linear regression;Schedules;Defect debt;measuring the technical debt;KNN-regression;bug fixing time</t>
  </si>
  <si>
    <t>Pradhan S,Nanniyur V</t>
  </si>
  <si>
    <t>Back to Basics - Redefining Quality Measurement for Hybrid Software Development Organizations</t>
  </si>
  <si>
    <t>402-412</t>
  </si>
  <si>
    <t>2019 IEEE 30th International Symposium on Software Reliability Engineering (ISSRE)</t>
  </si>
  <si>
    <t>2332-6549</t>
  </si>
  <si>
    <t>http://dx.doi.org/10.1109/ISSRE.2019.00047</t>
  </si>
  <si>
    <t>10.1109/ISSRE.2019.00047</t>
  </si>
  <si>
    <t>As the software industry transitions from a license-based model to a subscription-based Software-as-aService (SaaS) model, many software development groups are using a hybrid development model that incorporates Agile and Waterfall methodologies in different parts of the organization. The traditional metrics used for measuring software quality in Waterfall or Agile paradigms do not apply to this new hybrid methodology. In addition, to respond to higher quality demands from customers and to gain a competitive advantage in the market, many companies are starting to prioritize quality as a strategic differentiator. As a result, quality metrics are included in the decision-making activities all the way up to the executive level, including Board of Director reviews. This paper presents key challenges associated with measuring software quality in organizations using the hybrid development model. We developed a framework called PIER (Prevention-InspectionEvaluation-Removal) to provide a comprehensive metric definition for hybrid organizations. The framework includes quality measurements, quality enforcement, and quality decision points at different organizational levels and project milestones during the software development life cycle (SDLC). The metrics framework defined in this paper is being used for all Cisco Systems products used in customer premises. Preliminary field metrics data for one of the product groups show quality improvement after implementation of the proposed measurement system.</t>
  </si>
  <si>
    <t>quality metrics framework;quality metrics;quality management system;agile;waterfall;hybrid development system</t>
  </si>
  <si>
    <t>DevOps for AI – Challenges in Development of AI-enabled Applications</t>
  </si>
  <si>
    <t>2020 International Conference on Software, Telecommunications and Computer Networks (SoftCOM)</t>
  </si>
  <si>
    <t>1847-358X</t>
  </si>
  <si>
    <t>http://dx.doi.org/10.23919/SoftCOM50211.2020.9238323</t>
  </si>
  <si>
    <t>When developing software systems that contain Machine Learning (ML) based components, the development process become significantly more complex. The central part of the ML process is training iterations to find the best possible prediction model. Modern software development processes, such as DevOps, have widely been adopted and typically emphasise frequent development iterations and continuous delivery of software changes. Despite the ability of modern approaches in solving some of the problems faced when building ML-based software systems, there are no established procedures on how to combine them with processes in ML workflow in practice today. This paper points out the challenges in development of complex systems that include ML components, and discuss possible solutions driven by the combination of DevOps and ML workflow processes. Industrial cases are presented to illustrate these challenges and the possible solutions.</t>
  </si>
  <si>
    <t>Training;Buildings;Machine learning;Predictive models;Software systems;Computer networks;Telecommunications;AI;Machine Learning;Agile software development</t>
  </si>
  <si>
    <t>Emotions in Computer Vision Service Q&amp;A</t>
  </si>
  <si>
    <t>13-18</t>
  </si>
  <si>
    <t>2021 IEEE/ACM Sixth International Workshop on Emotion Awareness in Software Engineering (SEmotion)</t>
  </si>
  <si>
    <t>http://dx.doi.org/10.1109/SEmotion52567.2021.00011</t>
  </si>
  <si>
    <t>Software developers are increasingly using cloud-based services that provide machine learning capabilities to implement `intelligent' features. Studies show that incorporating machine learning into an application increases technical debt, creates data dependencies, and introduces uncertainty due to their non-deterministic behaviour. We know very little about the emotional state of software developers who have to deal with such issues; and the impacts on productivity. This paper presents a preliminary effort to better understand the emotions of developers when experiencing issues with these services with the wider goal of discovering potential service improvements. We conducted a landscape analysis of emotions found in 1,425 Stack Overflow questions about a specific and mature subset of these cloud-based services, namely those that provide computer vision techniques. To speed up the emotion identification process, we trialled an automatic approach using a pre-trained emotion classifier that was specifically trained on Stack Overflow content, EmoTxt, and manually verified its classification results. We found that the identified emotions vary for different types of questions, and a discrepancy exists between automatic and manual emotion analysis due to subjectivity.</t>
  </si>
  <si>
    <t>Productivity;Computer vision;Uncertainty;Conferences;Manuals;Machine learning;Software;emotion mining;stack overflow;DevX;computer vision services;empirical study</t>
  </si>
  <si>
    <t>Martínez-Fernández S,Vollmer AM,Jedlitschka A,Franch X,López L,Ram P,Rodríguez P,Aaramaa S,Bagnato A,Choraś M,Partanen J</t>
  </si>
  <si>
    <t>Continuously Assessing and Improving Software Quality With Software Analytics Tools: A Case Study</t>
  </si>
  <si>
    <t>68219-68239</t>
  </si>
  <si>
    <t>http://dx.doi.org/10.1109/ACCESS.2019.2917403</t>
  </si>
  <si>
    <t>10.1109/ACCESS.2019.2917403</t>
  </si>
  <si>
    <t>In the last decade, modern data analytics technologies have enabled the creation of software analytics tools offering real-time visualization of various aspects related to software development and usage. These tools seem to be particularly attractive for companies doing agile software development. However, the information provided by the available tools is neither aggregated nor connected to higher quality goals. At the same time, assessing and improving the software quality has also been the key targets for the software engineering community, yielding several proposals for standards and software quality models. Integrating such quality models into software analytics tools could close the gap by providing the connection to higher quality goals. This paper aims at understanding whether the integration of quality models into software analytics tools provides understandable, reliable, useful, and relevant information at the right level of detail about the quality of a process or product and whether practitioners intend to use it. Over the course of more than a year, four companies involved in this case study deployed such a tool to assess and improve software quality in several projects. We used standardized measurement instruments to elicit the perception of 22 practitioners regarding their use of the tool. We complemented the findings with debriefing sessions held at the companies. In addition, we discussed challenges and lessons learned with four practitioners leading the use of the tool. The quantitative and qualitative analyses provided positive results, i.e., the practitioners' perception with regard to the tool's understandability, reliability, usefulness, and relevance was positive. Individual statements support the statistical findings, and constructive feedback can be used for future improvements. We conclude that the potential for future adoption of quality models within software analytics tools definitely exists and encourage other practitioners to use the presented seven challenges and seven lessons learned and adopt them in their companies.</t>
  </si>
  <si>
    <t>Tools;Software quality;Companies;Real-time systems;Monitoring;Agile software development;case study;quality model;software analytics;software analytics tool;software quality</t>
  </si>
  <si>
    <t>Lenarduzzi V,Fucci D</t>
  </si>
  <si>
    <t>Towards a Holistic Definition of Requirements Debt</t>
  </si>
  <si>
    <t>2019 ACM/IEEE International Symposium on Empirical Software Engineering and Measurement (ESEM)</t>
  </si>
  <si>
    <t>1949-3789</t>
  </si>
  <si>
    <t>http://dx.doi.org/10.1109/ESEM.2019.8870159</t>
  </si>
  <si>
    <t>10.1109/ESEM.2019.8870159</t>
  </si>
  <si>
    <t>When not appropriately managed, technical debt is considered to have negative effects to the long term success of software projects. However, how the debt metaphor applies to requirements engineering in general, and to requirements engineering activities in particular, is not well understood. Grounded in the existing literature, we present a holistic definition of requirements debt which includes debt incurred during the identification, formalization, and implementation of requirements. We outline future assessment to validate and further refine our proposed definition. This conceptualization is a first step towards a requirements debt monitoring framework to support stakeholders decisions, such as when to incur and eventually pay back requirements debt, and at what costs.</t>
  </si>
  <si>
    <t>Software;Interviews;Stakeholders;Requirements engineering;Dictionaries;Monitoring;Technical Debt;Requirement Engineering;Requirement Elicitation</t>
  </si>
  <si>
    <t>Chaudhary DK,Srivastava S,Kumar V</t>
  </si>
  <si>
    <t>A Review on Hidden Debts in Machine Learning Systems</t>
  </si>
  <si>
    <t>619-624</t>
  </si>
  <si>
    <t>2018 Second International Conference on Green Computing and Internet of Things (ICGCIoT)</t>
  </si>
  <si>
    <t>http://dx.doi.org/10.1109/ICGCIoT.2018.8753081</t>
  </si>
  <si>
    <t>10.1109/ICGCIoT.2018.8753081</t>
  </si>
  <si>
    <t>In the present situation, Machine Learning provides a very sturdy toolkit for building applicable and useful complex prediction systems by providing new methods for creating high-show software. Unlike traditional software engineering, the collection of training examples is performed, and then the algorithms are applied. It is the hidden agenda behind artificial intelligence. Despite this fact, it is dangerous to think that this fast triumph comes for no cost. Glaring restrictions still exists in the measurements utilized and how much outcomes are imparted back to their radiating areas. We are evident of several ML-specific unpredictable factors to account for in the system design. These include algorithmic inclinations, technical arrears, data dependencies, configuration issues, the problem of authentication, granting-approval, along with faith, and human bias. We mean to motivate the continuous exchange and concentrate on coordinating the machine learning research.</t>
  </si>
  <si>
    <t>Machine Learning;Glaring restrictions;unpredictable factors;technical arrears;human bias</t>
  </si>
  <si>
    <t>Ernst N,Kazman R,Bianco P</t>
  </si>
  <si>
    <t>Component Comparison, Evaluation, and Selection: A Continuous Approach</t>
  </si>
  <si>
    <t>87-90</t>
  </si>
  <si>
    <t>2019 IEEE International Conference on Software Architecture Companion (ICSA-C)</t>
  </si>
  <si>
    <t>http://dx.doi.org/10.1109/ICSA-C.2019.00023</t>
  </si>
  <si>
    <t>10.1109/ICSA-C.2019.00023</t>
  </si>
  <si>
    <t>Early visions of component-based software development have been realized, with software projects now composed mostly of other peoples code. However, the challenge of selecting the best components, with speed and confidence in the result, has only become more difficult. Previous work has focused on systematic approaches to component selection, but in continuous-* and agile settings, the increase in confidence from being systematic is not worth the cost of delay. In this emerging ideas paper, we present early results on work to balance speed with confidence in component selection. Our idea is to define a scorecard for components based on high-level quality attribute indicators, project health measures, and a context-specific aggregation function for producing a single yes/no decision for integrators. We present preliminary results showing how this scorecard approach works on computer vision components.</t>
  </si>
  <si>
    <t>Software;Tools;Measurement;Security;Software engineering;Computer vision;Stakeholders</t>
  </si>
  <si>
    <t>1062-1069</t>
  </si>
  <si>
    <t>2022 IEEE 46th Annual Computers, Software, and Applications Conference (COMPSAC)</t>
  </si>
  <si>
    <t>http://dx.doi.org/10.1109/COMPSAC54236.2022.00166</t>
  </si>
  <si>
    <t>Modeling in machine learning (ML) is becoming an essential part of software systems in practice. Validating ML applications is a challenging and time-consuming process for developers since the accuracy of prediction heavily relies on generated models. ML applications are written by relatively more data-driven programming based on the blackbox of ML frameworks. If all of the datasets and the ML application need to be individually investigated, the ML debugging tasks would take a lot of time and effort. To address this limitation, we present a novel debugging technique for machine learning applications, called MLDBUG that helps ML application developers inspect the training data and the generated features for the ML model. Inspired by software debugging for reproducing the potential reported bugs, MLDBUG takes as input an ML application and its training datasets to build the ML models, helping ML application developers easily reproduce and understand anomalies on the ML application. We have implemented an Eclipse plugin for MLDBUG which allows developers to validate the prediction behavior of their ML applications, the ML model, and the training data on the Eclipse IDE. In our evaluation, we used 23,500 documents in the bioengineering research domain. We assessed the MLDBUG's capability of how effectively our debugging technique can help ML application developers investi-gate the connection between the produced features and the labels in the training model and the relationship between the training instances and the instances the model predicts.</t>
  </si>
  <si>
    <t>Training;Biological system modeling;Computational modeling;Training data;Debugging;Machine learning;Predictive models;Machine Learning;Bioengineering;Debugging</t>
  </si>
  <si>
    <t>Borrego G</t>
  </si>
  <si>
    <t>Condensing Architectural Knowledge from Unstructured Textual Media in Agile GSD Teams</t>
  </si>
  <si>
    <t>69-72</t>
  </si>
  <si>
    <t>2016 IEEE 11th International Conference on Global Software Engineering Workshops (ICGSEW)</t>
  </si>
  <si>
    <t>2329-6313</t>
  </si>
  <si>
    <t>http://dx.doi.org/10.1109/ICGSEW.2016.16</t>
  </si>
  <si>
    <t>10.1109/ICGSEW.2016.16</t>
  </si>
  <si>
    <t>Agile Global Software Development (AGSD) is a reality, since nowadays software products are required to get into the market with more speed than before. This situation has pushed Global Software Development (GSD) companies to adopt lighter ways to develop software (Agile Software Development - ASD) to satisfy market demands. However, AGSD companies have encountered increased technical debt and architectural knowledge (AK) vaporization, mainly because the inherent differences between ASD and GSD, especially in documentation handling. This paper describes a research project in which it is proposed to exploit the AK that is recorded in unstructured textual electronic media (UTEM) generally used in AGSD, in order to decrease the problems of software evolution and maintenance, caused by a lack of adequate AK. Until now, the preliminary results of this research show that this approach could be feasible in AGSD environments.</t>
  </si>
  <si>
    <t>Software;Documentation;Companies;Media;Maintenance engineering;Electronic mail;Collaboration;agile global software development;architectural knowledge;unstructured textual media;architectural knowledge vaporization;technical debt;architectural knowledge condensation</t>
  </si>
  <si>
    <t>629-639</t>
  </si>
  <si>
    <t>2020 IEEE International Conference on Software Maintenance and Evolution (ICSME)</t>
  </si>
  <si>
    <t>http://dx.doi.org/10.1109/ICSME46990.2020.00065</t>
  </si>
  <si>
    <t>Defect technical debt (defect debt) refers to known deferred bugs that have not been fixed. The interest of a defect debt item (i.e., bug) is the extra effort needed to fix the bug due to the delay of fixing. It is important to measure defect debt interest in a software system in order to be aware of how much the interest of certain bugs is and which bugs should be fixed first. Furthermore, it is valuable to understand the features of the bugs of high interest or no interest, so as to facilitate the identification of those kinds of bugs. In this work, we proposed three pairs of measures for quantifying defect debt interest at three granularities (i.e., lines of code, source file, and package) of software changes, and conducted an exploratory case study on 13,438 bugs collected from 59 non-trivial Apache open source software projects written mainly in Java. We have the following findings. (1) Each bug, with an average of 224 days delay of fixing, has interest of 660 to 845 lines of code, 0.57 to 1.05 source files, and 0.29 to 0.35 package on average in need for understanding or modifying when fixing the bug. (2) The average interest of a bug shows overall increasing trends over delayed time of bug fixing and bug priority levels from the lowest to highest. (3) Around 30% of the bugs under study did not incur interest at the granularity of lines of code, which means that the involved source files in the bug-fixing commits of such bugs were not modified at all during the delayed time of bug fixing. (4) The average code change size of bug-fixing commits of a bug without interest is much smaller than that of a bug with (high) interest; for a bug without interest at the granularity of lines of code, the source files involved in the bug-fixing commits of the bug were alternately modified by different committers much less frequently than those of the bug with (high) interest.</t>
  </si>
  <si>
    <t>Software maintenance;Computer bugs;Software systems;Market research;Delays;Software measurement;Open source software;defect technical debt;interest;interest measure;case study</t>
  </si>
  <si>
    <t>Li Z,Chen TH,Yang J,Shang W</t>
  </si>
  <si>
    <t>DLFinder: Characterizing and Detecting Duplicate Logging Code Smells</t>
  </si>
  <si>
    <t>2019 IEEE/ACM 41st International Conference on Software Engineering (ICSE)</t>
  </si>
  <si>
    <t>http://dx.doi.org/10.1109/ICSE.2019.00032</t>
  </si>
  <si>
    <t>10.1109/ICSE.2019.00032</t>
  </si>
  <si>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</si>
  <si>
    <t>Manuals;Static analysis;Cloud computing;Debugging;Tools;Semantics;Java;log;code smell;duplicate log;static analysis;empirical study</t>
  </si>
  <si>
    <t>Sharma T,Fragkoulis M,Rizou S,Bruntink M,Spinellis D</t>
  </si>
  <si>
    <t>Smelly Relations: Measuring and Understanding Database Schema Quality</t>
  </si>
  <si>
    <t>55-64</t>
  </si>
  <si>
    <t>2018 IEEE/ACM 40th International Conference on Software Engineering: Software Engineering in Practice Track (ICSE-SEIP)</t>
  </si>
  <si>
    <t>Context: Databases are an integral element of enterprise applications. Similarly to code, database schemas are also prone to smells - best practice violations. Objective: We aim to explore database schema quality, associated characteristics and their relationships with other software artifacts. Method: We present a catalog of 13 database schema smells and elicit developers' perspective through a survey. We extract embedded SQL statements and identify database schema smells by employing the DbDeo tool which we developed. We analyze 2925 production-quality systems (357 industrial and 2568 well-engineered open-source projects) and empirically study quality characteristics of their database schemas. In total, we analyze 629 million lines of code containing more than 393 thousand SQL statements. Results: We find that the index abuse smell occurs most frequently in database code, that the use of an ORM framework doesn't immune the application from database smells, and that some database smells, such as adjacency list, are more prone to occur in industrial projects compared to open-source projects. Our co-occurrence analysis shows that whenever the clone table smell in industrial projects and the values in attribute definition smell in open-source projects get spotted, it is very likely to find other database smells in the project. Conclusion: The awareness and knowledge of database smells are crucial for developing high-quality software systems and can be enhanced by the adoption of better tools helping developers to identify database smells early.</t>
  </si>
  <si>
    <t>Open source software;Tools;Indexes;Software systems;Software engineering;Database schema smells;Code smells;Antipatterns;Software quality;Software maintenance;Technical debt</t>
  </si>
  <si>
    <t>Venkatasubramanyam RD,Gupta S,Uppili U</t>
  </si>
  <si>
    <t>Assessing the Effectiveness of Static Analysis through Defect Correlation Analysis</t>
  </si>
  <si>
    <t>100-104</t>
  </si>
  <si>
    <t>2015 IEEE 10th International Conference on Global Software Engineering</t>
  </si>
  <si>
    <t>http://dx.doi.org/10.1109/ICGSE.2015.18</t>
  </si>
  <si>
    <t>10.1109/ICGSE.2015.18</t>
  </si>
  <si>
    <t>Assessment of code and design quality using Software Code Assessment tools is important for continuous improvement and monitoring of code quality in the software industry in general and for global software development in particular. Static Analysis is believed to help identify issues at an early stage in the software development life cycle (SDLC), however it is still under utilized in the industry. In this paper, we discuss our experiences in determining the importance of Static Analysis and the extent to which the defects (that could otherwise be slipped to later stages of SDLC) could have been reduced with the continuous use of Static Analysis. Towards this end, we have performed analysis of defects reported from testing/field by correlating the defects to Static Analysis Rules, for projects that were developed across different regions. Our focus was to gather insight into the number and type of defects that could be identified in advance through Static Analysis Rules. The purpose of gaining the insights is to justify the ROI for software quality checks, fine tune, update existing software quality practices and introduce new practices uniformly across the teams as necessary. The results substantiate the role of Static Analysis in reducing technical debt by identifying potential defects early in the SDLC.</t>
  </si>
  <si>
    <t>Testing;Correlation;Software quality;Computer bugs;Industries;Monitoring;defect analysis;software code quality;software product quality;static analysis;defect correlation</t>
  </si>
  <si>
    <t>Patnaik A,Panigrahi R,Padhy N</t>
  </si>
  <si>
    <t>Prediction Of Accuracy On Open Source Java Projects Using Class Level Refactoring</t>
  </si>
  <si>
    <t>2020 International Conference on Computer Science, Engineering and Applications (ICCSEA)</t>
  </si>
  <si>
    <t>http://dx.doi.org/10.1109/ICCSEA49143.2020.9132886</t>
  </si>
  <si>
    <t>10.1109/ICCSEA49143.2020.9132886</t>
  </si>
  <si>
    <t>The refactoring approach is used to restructure the software system without altering its external functionalities. Our research objective is to analyze the accuracy of the software metrics using machine learning classifiers. After predicting the accuracy we can refactor the inaccurate source metrics by using different refactoring tools and machine learning algorithms. We have considered 30 code metrics from 3 open source java projects by using different framework like antlr4,junit and oryx at the class level and predict its accuracy using different machine learning classifiers. We have used Gaussian, Bernoulli and Multinomial classifiers to predict the accuracy of the software metrics. Statistical significant test reveals the mean accuracy for the above sources are 33.33%,39%,48.33% respectively. As per the prediction analysis we can correct the fault and improve the performance of our source metrics by conducting unit level testing which leads to software refactoring.</t>
  </si>
  <si>
    <t>Software Engineering;Source Code Metrics;Code Refactoring;Machine learning;Software Maintenance</t>
  </si>
  <si>
    <t>Vaidhyanathan K,Chandran A,Muccini H,Roy R</t>
  </si>
  <si>
    <t>Agile4MLS—Leveraging Agile Practices for Developing Machine Learning-Enabled Systems: An Industrial Experience</t>
  </si>
  <si>
    <t>43-50</t>
  </si>
  <si>
    <t>http://dx.doi.org/10.1109/MS.2022.3195432</t>
  </si>
  <si>
    <t>10.1109/MS.2022.3195432</t>
  </si>
  <si>
    <t>Increased adoption of machine learning (ML) in business has led to a surge in ML-enabled systems in the market giving rise to new challenges. This article provides insights into Agile4MLS, highlighting the challenges we faced and the process we followed.</t>
  </si>
  <si>
    <t>6G mobile communication;Machine learning;Mathematics;Learning systems;Computer science;Agile;Software engineering;Machine learning;ML-enabled systems;Development Methodology</t>
  </si>
  <si>
    <t>Grossman M,Breternitz M,Sarkar V</t>
  </si>
  <si>
    <t>HadoopCL2: Motivating the Design of a Distributed, Heterogeneous Programming System With Machine-Learning Applications</t>
  </si>
  <si>
    <t>IEEE Transactions on Parallel and Distributed Systems</t>
  </si>
  <si>
    <t>762-775</t>
  </si>
  <si>
    <t>1558-2183</t>
  </si>
  <si>
    <t>http://dx.doi.org/10.1109/TPDS.2015.2414943</t>
  </si>
  <si>
    <t>10.1109/TPDS.2015.2414943</t>
  </si>
  <si>
    <t>Machine learning (ML) algorithms have garnered increased interest as they demonstrate improved ability to extract meaningful trends from large, diverse, and noisy data sets. While research is advancing the state-of-the-art in ML algorithms, it is difficult to drastically improve the real-world performance of these algorithms. Porting new and existing algorithms from single-node systems to multi-node clusters, or from architecturally homogeneous systems to heterogeneous systems, is a promising optimization technique. However, performing optimized ports is challenging for domain experts who may lack experience in distributed and heterogeneous software development. This work explores how challenges in ML application development on heterogeneous, distributed systems shaped the development of the HadoopCL2 (HCL2) programming system. ML applications guide this work because they exhibit features that make application development difficult: large &amp; diverse datasets, complex algorithms, and the need for domain-specific knowledge. The goal of this work is a general, MapReduce programming system that outperforms existing programming systems. This work evaluates the performance and portability of HCL2 against five ML applications from the Mahout ML framework on two hardware platforms. HCL2 demonstrates speedups of greater than 20x relative to Mahout for three computationally heavy algorithms and maintains minor performance improvements for two I/O bound algorithms.</t>
  </si>
  <si>
    <t>Programming;Performance evaluation;Vectors;Java;Kernel;Object oriented modeling;Computational modeling;MapReduce;heterogeneous;distributed;programming model;GPU;auto-scheduling</t>
  </si>
  <si>
    <t>108-129</t>
  </si>
  <si>
    <t>http://dx.doi.org/10.1109/TSE.2018.2883603</t>
  </si>
  <si>
    <t>Code smells are poor implementation choices applied by developers during software evolution that often lead to critical flaws or failure. Much in the same way, community smells reflect the presence of organizational and socio-technical issues within a software community that may lead to additional project costs. Recent empirical studies provide evidence that community smells are often-if not always-connected to circumstances such as code smells. In this paper we look deeper into this connection by conducting a mixed-methods empirical study of 117 releases from 9 open-source systems. The qualitative and quantitative sides of our mixed-methods study were run in parallel and assume a mutually-confirmative connotation. On the one hand, we survey 162 developers of the 9 considered systems to investigate whether developers perceive relationship between community smells and the code smells found in those projects. On the other hand, we perform a fine-grained analysis into the 117 releases of our dataset to measure the extent to which community smells impact code smell intensity (i.e., criticality). We then propose a code smell intensity prediction model that relies on both technical and community-related aspects. The results of both sides of our mixed-methods study lead to one conclusion: community-related factors contribute to the intensity of code smells. This conclusion supports the joint use of community and code smells detection as a mechanism for the joint management of technical and social problems around software development communities.</t>
  </si>
  <si>
    <t>Predictive models;Software engineering;Open source software;Convergence;Tools;Feature extraction;Code smells;organizational structure;community smells;mixed-methods study</t>
  </si>
  <si>
    <t>ISO/IEC/IEEE Draft Systems and Software Engineering - Vocabulary</t>
  </si>
  <si>
    <t>ISO/IEC/IEEE FDIS P24765 FDIS, October 2016</t>
  </si>
  <si>
    <t>1-554</t>
  </si>
  <si>
    <t>Consistent with ISO vocabulary standards, each technical committee is responsible for standard terminology in its area of specialization. This International Standard provides a common vocabulary applicable to all systems and software engineering work falling within the scope of ISO/IEC JTC 1/SC 7, Systems and software engineering, and the IEEE Computer Society Systems and Software Engineering Standards Committee (IEEE-CS S2ESC).The scope of each concept defined has been chosen to provide a definition that is suitable for general application. In those circumstances where a restricted application is concerned, a more specific definition might be needed.Terms have been excluded if they were considered to be parochial to one group or organization; company proprietary or trademarked; multi-word terms whose meaning could be inferred from the definitions of the component words; terms whose meaning in the information technology (IT) field could be directly inferred from their common English dictionary meaning.</t>
  </si>
  <si>
    <t>IEEE Standards;ISO Standards;IEC Standards;Software engineering;Terminology;Dictionaries</t>
  </si>
  <si>
    <t>ISO/IEC/IEEE Approved Draft International Standard - Systems and Software Engineering - Vocabulary</t>
  </si>
  <si>
    <t>ISO/IEC/IEEE P24765/D3:2017</t>
  </si>
  <si>
    <t>1-570</t>
  </si>
  <si>
    <t>IEEE Standards;IEC Standards;ISO Standards;Terminology;Dictionaries;Software engineering</t>
  </si>
  <si>
    <t>ISO/IEC/IEEE FDIS P24765:2016(E), January 2017</t>
  </si>
  <si>
    <t>1-568</t>
  </si>
  <si>
    <t>IEEE Standards;IEC Standards;ISO Standards;Dictionaries;Terminology;Software engineering</t>
  </si>
  <si>
    <t>Carver JC,Larrucea X,Serebrenik A,Staron M</t>
  </si>
  <si>
    <t>Technical Debt Problems and Concerns</t>
  </si>
  <si>
    <t>116-119</t>
  </si>
  <si>
    <t>http://dx.doi.org/10.1109/MS.2021.3133734</t>
  </si>
  <si>
    <t>10.1109/MS.2021.3133734</t>
  </si>
  <si>
    <t>This article reports papers about technical debt (TD) from the 2021 IEEE/Association for Computing Machinery (ACM) International Conference on technical debt (TechDebt’21), the 43rd IEEE/ACM International Conference on Software Engineering: Journal First Track (ICSE-JF’21), the 43rd IEEE/ACM International Conference on Software Engineering: Software Engineering in Practice Track (ICSE-SEIP’21), and the 2021 IEEE/ACM 18th International Conference on Mining Software Repositories (MSR’21). Feedback or suggestions are welcome. In addition, if you try or adopt any of the practices included in the column, please send us and the authors a note about your experiences.</t>
  </si>
  <si>
    <t>Studying Duplicate Logging Statements and Their Relationships With Code Clones</t>
  </si>
  <si>
    <t>2476-2494</t>
  </si>
  <si>
    <t>http://dx.doi.org/10.1109/TSE.2021.3060918</t>
  </si>
  <si>
    <t>10.1109/TSE.2021.3060918</t>
  </si>
  <si>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t>
  </si>
  <si>
    <t>Cloning;Manuals;Tools;Static analysis;Maintenance engineering;Java;Cloud computing;Log;code smell;duplicate log;code clone;static analysis;empirical study</t>
  </si>
  <si>
    <t>Better Data Labelling With EMBLEM (and how that Impacts Defect Prediction)</t>
  </si>
  <si>
    <t>278-294</t>
  </si>
  <si>
    <t>http://dx.doi.org/10.1109/TSE.2020.2986415</t>
  </si>
  <si>
    <t>Standard automatic methods for recognizing problematic development commits can be greatly improved via the incremental application of human+artificial expertise. In this approach, called EMBLEM, an AI tool first explore the software development process to label commits that are most problematic. Humans then apply their expertise to check those labels (perhaps resulting in the AI updating the support vectors within their SVM learner). We recommend this human+AI partnership, for several reasons. When a new domain is encountered, EMBLEM can learn better ways to label which comments refer to real problems. Also, in studies with 9 open source software projects, labelling via EMBLEM's incremental application of human+AI is at least an order of magnitude cheaper than existing methods ($\approx$≈ eight times). Further, EMBLEM is very effective. For the data sets explored here, EMBLEM better labelling methods significantly improved $P_opt20$Popt20 and G-scores performance in nearly all the projects studied here.</t>
  </si>
  <si>
    <t>Labeling;Computer bugs;Data models;Software;Support vector machines;Standards;Task analysis;Human-in-the-loop AI;data labelling;defect prediction;software analytics</t>
  </si>
  <si>
    <t>Sharma VS,Mehra R,Kaulgud V,Podder S</t>
  </si>
  <si>
    <t>An Extended Reality Approach for Creating Immersive Software Project Workspaces</t>
  </si>
  <si>
    <t>27-30</t>
  </si>
  <si>
    <t>2019 IEEE/ACM 12th International Workshop on Cooperative and Human Aspects of Software Engineering (CHASE)</t>
  </si>
  <si>
    <t>2574-1837</t>
  </si>
  <si>
    <t>http://dx.doi.org/10.1109/CHASE.2019.00013</t>
  </si>
  <si>
    <t>10.1109/CHASE.2019.00013</t>
  </si>
  <si>
    <t>Software project workspaces are areas of constant project activities across different phases of the software development lifecycle. Besides being physical spaces to house the team members these are also areas of teamwork, creativity and collaboration. It is well established that there are several information and insight needs of software teams (both individual and collective) during the course of any project. Interestingly, the use of the project workspaces themselves for assisting in getting those insights has been almost non-existent and there is little technological support for doing so. Here we present our approach that utilizes advances in extended reality to augment the software project bay with important insights which are anchored on and around real objects in the workspace. The approach is based upon mining the data exhaust (disparate sources of data and logs) of the software project and development environment, for data important to construct insights relevant to an XR headset wearer and the team. The wearer's location and parts of the workspace (floors, furniture, ceilings) are detected in the wearer's field of view and thereon spatial mapping is utilized to overlay important representations of the relevant insights onto/around them. The immersive insights are contextual, can be continuously updated and leverage affordances of human perception, for better comprehension, enhanced creativity as well as recall. Along with our approach, we also present an early Microsoft Hololens based implementation which allows for different categories of live augmentations for creating a smart immersive workspace.</t>
  </si>
  <si>
    <t>Software;Three-dimensional displays;Extended reality;Collaboration;Visualization;Software engineering;Extended Reality, Project Workspaces, Software Delivery, Immersive Experiences</t>
  </si>
  <si>
    <t>Etter M,Mehta F</t>
  </si>
  <si>
    <t>CodePanorama: a language agnostic tool for visual code inspection</t>
  </si>
  <si>
    <t>225-228</t>
  </si>
  <si>
    <t>http://dx.doi.org/10.1145/3524610.3527874</t>
  </si>
  <si>
    <t>10.1145/3524610.3527874</t>
  </si>
  <si>
    <t>Software projects change hands frequently. Oftentimes, developers are interested in the quality of the code before taking over responsibility on a project. This quality is commonly assessed using various code metrics, reducing the code into a handful of numbers. While useful, these numerical reductions quickly become detached from the real code. CodePanorama uses an alternative approach to summarize code not into numbers, but into images. By generating zoomed-out images of the code-base, the human eye can quickly spot anomalies without the need to rely on numerical metrics and statistics. This paper describes the tool CodePanorama, the images it generates, and the insights that can be gained from these images. We finally invite the software engineering community to start using it.</t>
  </si>
  <si>
    <t>Measurement;Visualization;Codes;Software metrics;Software quality;Inspection;Software engineering;Software Visualization;Code Review;Evolution and Maintenance;Software Quality;Software Engineering</t>
  </si>
  <si>
    <t>2081-2086</t>
  </si>
  <si>
    <t>TENCON 2019 - 2019 IEEE Region 10 Conference (TENCON)</t>
  </si>
  <si>
    <t>2159-3450</t>
  </si>
  <si>
    <t>http://dx.doi.org/10.1109/TENCON.2019.8929628</t>
  </si>
  <si>
    <t>A smell in software refers to a symptom introduced in software artifacts such as architecture, design or code. A code smell can potentially cause deeper and serious problems, while dealing with mainly non-functional requirements such as testability, maintainability, extensibility and scalability. The detection of code smell is an essential step in the refactoring process, which facilitates non functional requirements in a software. The existing approaches for detecting code smells use detection rules or standards using a combination of different object-oriented metrics. Although a variety of code smell detection tools have been developed, they still have limitations and constraints in their capabilities. The most well-known object-oriented metrics are considered to identify the presence of smells in software. This paper proposes a deep learning based approach to detect two code smells (Brain Class and Brain Method). The proposed system uses thirty open source Java projects, which are shared by many users in GitHub repositories. The dataset of these Java projects is partitioned into mutually exclusive training and test sets. Our experiments have demonstrated high accuracy results for both the code smells.</t>
  </si>
  <si>
    <t>Machine learning;Software;Measurement;Convolutional codes;Tools;Biological neural networks;Training;Code smells;Deep Learning;Object-oriented metrics;Code smell detection tools</t>
  </si>
  <si>
    <t>Belani H,Vukovic M,Car Ž</t>
  </si>
  <si>
    <t>Requirements Engineering Challenges in Building AI-Based Complex Systems</t>
  </si>
  <si>
    <t>252-255</t>
  </si>
  <si>
    <t>http://dx.doi.org/10.1109/REW.2019.00051</t>
  </si>
  <si>
    <t>This paper identifies and tackles the challenges of the requirements engineering discipline when applied to development of AI-based complex systems. Due to their complex behaviour, there is an immanent need for a tailored development process for such systems. However, there is still no widely used and specifically tailored process in place to effectively and efficiently deal with requirements suitable for specifying a software solution that uses machine learning. By analysing the related work from software engineering and artificial intelligence fields, potential contributions have been recognized from agent-based software engineering and goal-oriented requirements engineering research, as well as examples from large product development companies. The challenges have been discussed, with proposals given how and when to tackle them. RE4AI taxonomy has also been outlined, to inform the tailoring of development process.</t>
  </si>
  <si>
    <t>Artificial intelligence;Software;Data models;Analytical models;Complex systems;Taxonomy;Adaptation models;requirements-engineering,-software-development,-artificial-intelligence,-complex-systems,-data-science,-machine-learning,-deep-learning,-development-process</t>
  </si>
  <si>
    <t>Link D,Behnamghader P,Moazeni R,Boehm B</t>
  </si>
  <si>
    <t>Recover and RELAX: Concern-Oriented Software Architecture Recovery for Systems Development and Maintenance</t>
  </si>
  <si>
    <t>2019 IEEE/ACM International Conference on Software and System Processes (ICSSP)</t>
  </si>
  <si>
    <t>http://dx.doi.org/10.1109/ICSSP.2019.00018</t>
  </si>
  <si>
    <t>10.1109/ICSSP.2019.00018</t>
  </si>
  <si>
    <t>The stakeholders of a system are legitimately interested in whether and how its architecture reflects their respective concerns at each point of its development and maintenance processes. Having such knowledge available at all times would enable them to continually adjust their systems structure at each juncture and reduce the buildup of technical debt that can be hard to reduce once it has persisted over many iterations. Unfortunately, software systems often lack reliable and current documentation about their architecture. In order to remedy this situation, researchers have conceived a number of architectural recovery methods, some of them concern-oriented. However, the design choices forming the bases of most existing recovery methods make it so none of them have a complete set of desirable qualities for the purpose stated above. Tailoring a recovery to a system is either not possible or only through iterative experiments with numeric parameters. Furthermore, limitations in the scalability of the employed recovery algorithms make it prohibitive to apply the existing techniques to large systems. Finally, since several current recovery methods employ nondeterministic sampling, their inconsistent results do not lend themselves well to tracking a systems course over several versions, as needed by its stakeholders. RELAX (RELiable Architecture EXtraction), a new concern based recovery method that uses text classification, addresses these issues efficiently (1) by assembling the overall recovery result from smaller, independent parts, (2) basing it on an algorithm with linear time complexity and (3) being tailorable to the recovery of a single system or a sequence thereof through the selection of meaningfully named, semantic topics. An intuitive and informative architectural visualization rounds out RELAX's contributions. RELAX is illustrated on a number of existing open-source systems and compared to other recovery methods. Index Terms-software architecture, architectural change, software evolution, open source software, architecture recovery, software development management, software maintenance.</t>
  </si>
  <si>
    <t>Computer architecture;Stakeholders;Software architecture;Visualization;Maintenance engineering;Software systems;Documentation;software architecture, architectural change, software evolution, open source software, architecture recovery, software development management, software maintenance</t>
  </si>
  <si>
    <t>Shukla RM,Cartlidge J</t>
  </si>
  <si>
    <t>Challenges Faced by Industries and Their Potential Solutions in Deploying Machine Learning Applications</t>
  </si>
  <si>
    <t>0119-0124</t>
  </si>
  <si>
    <t>2022 IEEE 12th Annual Computing and Communication Workshop and Conference (CCWC)</t>
  </si>
  <si>
    <t>http://dx.doi.org/10.1109/CCWC54503.2022.9720900</t>
  </si>
  <si>
    <t>10.1109/CCWC54503.2022.9720900</t>
  </si>
  <si>
    <t>Across all sectors, organizations attempt to make efficiency savings and performance improvements by incorporating machine learning (ML) into commercial application services. However, in comparison to traditional software applications, design, deployment, and maintenance of ML applications is more complicated. In particular, ML introduces new challenges of data availability, concept drift, scalability, and technical debt. In this paper, we introduce some of the practical challenges that arise when deploying ML applications, and describe potential solutions. Our analysis is based on experience designing and deploying a commercial spend classification service.</t>
  </si>
  <si>
    <t>Industries;Conferences;Scalability;Machine learning;Organizations;Computer architecture;Maintenance engineering;Spend analysis;ML service;Application deployment</t>
  </si>
  <si>
    <t>Penzenstadler B,Abrahão S,Staron M,Serebrenik A,Carver JC,Hochstein L</t>
  </si>
  <si>
    <t>Bots in Software Engineering</t>
  </si>
  <si>
    <t>101-104</t>
  </si>
  <si>
    <t>http://dx.doi.org/10.1109/MS.2022.3180906</t>
  </si>
  <si>
    <t>10.1109/MS.2022.3180906</t>
  </si>
  <si>
    <t>The theme of this issue is “Bots in Software Engineering,” and we’ve collected a number of recent papers about bots that interact with source code repositories. These papers were published at the fourth International Workshop on Bots in Software Engineering (BotSE ’22), the 37th ACM/SIGAPP Symposium on Applied Computing (SAC ’22), the International Conference on Information Systems (ICIS ’21), and the 19th International Conference on Mining Software Repositories (MSR ’22).</t>
  </si>
  <si>
    <t>97-108</t>
  </si>
  <si>
    <t>2019 IEEE 19th International Conference on Software Quality, Reliability and Security (QRS)</t>
  </si>
  <si>
    <t>http://dx.doi.org/10.1109/QRS.2019.00026</t>
  </si>
  <si>
    <t>Regardless of attempts to extract knowledge from code bases to aid in program comprehension, there is an absence of a framework to extract and integrate knowledge to provide a near-complete multifaceted understanding of a program. To bridge this gap, we propose SMARTKT (Smart Knowledge Transfer) to extract and transfer knowledge related to software development and application-specific characteristics and their interrelationships in form of a knowledge graph. For an application, the knowledge graph provides an overall understanding of the design and implementation and can be used by an intelligent natural language query system to convert the process of knowledge transfer into a developer-friendly Google-like search. For validation, we develop an analyzer to discover concurrency-related design aspects from runtime traces in a machine learning framework and obtain a precision and recall of around 97% and 95% respectively. We extract application-specific knowledge from code comments and obtain 72% match against human-annotated ground truth.</t>
  </si>
  <si>
    <t>Software;Runtime;Knowledge transfer;Instruments;Reliability;Data mining;Computer bugs;Knowledge Transfer, Program Comprehension, Knowledge Graph, Machine Learning, Natural Language Processing</t>
  </si>
  <si>
    <t>Phan H,Sharma A,Jannesari A</t>
  </si>
  <si>
    <t>Generating Context-Aware API Calls from Natural Language Description Using Neural Embeddings and Machine Translation</t>
  </si>
  <si>
    <t>219-226</t>
  </si>
  <si>
    <t>2021 36th IEEE/ACM International Conference on Automated Software Engineering Workshops (ASEW)</t>
  </si>
  <si>
    <t>2151-0830</t>
  </si>
  <si>
    <t>http://dx.doi.org/10.1109/ASEW52652.2021.00050</t>
  </si>
  <si>
    <t>10.1109/ASEW52652.2021.00050</t>
  </si>
  <si>
    <t>API calls can be described using natural language and can be implemented using a programming language. A programming environment that can process natural language descriptions within source code and provide context aware code suggestions can significantly improve productivity of developers and make programming more accessible to non-programmers and less experienced programmers. This paper proposes a context-aware tool called API Call Programming Interface (ACPI) which allows developers to write a natural language description for methods within source code and get correct and compilable API Call (AC) based on the text description and surrounding code. Existing work and code suggestion tools only consider the user's natural language description as input and ignore the contextual surrounding code. We take surrounding code into account and include information about local variable names within the code suggestion. Our approach consists of three modules. First, Method Name Generator, an unsupervised neural-embeddings-based algorithm to map the natural language description of methods to a list of most likely method names. Second, an AST Generator, a supervised Machine Translation model that predicts the structure of the AST from the list of the method names. And third, a Code Synthesizer that assigns local variables names to the AST to get the final method calls. Further, we include a Ranking Module that ranks the list of suggested method names based on their completeness. We evaluated our approach on data from 1000 high-quality Java projects and achieved an accuracy of 61% for API calls suggestions from natural language descriptions, which outperforms prior work and demonstrates the potential of our approach. We also conducted productivity experiments with 148 undergraduate participants to measure the usefulness of ACPI. The experiment showed that programming with ACPI can reduce programming time by 45% and increase programming accuracy from 19% to 83% when compared to programming without ACPI in four code completion tasks.</t>
  </si>
  <si>
    <t>Productivity;Codes;Synthesizers;Natural languages;Programming;Predictive models;Generators;API Call;Machine Translation;Program Synthesis</t>
  </si>
  <si>
    <t>da Silva MC,Cizotto AA,Paraiso EC</t>
  </si>
  <si>
    <t>A Developer Recommendation Method Based on Code Quality</t>
  </si>
  <si>
    <t>2020 International Joint Conference on Neural Networks (IJCNN)</t>
  </si>
  <si>
    <t>http://dx.doi.org/10.1109/IJCNN48605.2020.9207116</t>
  </si>
  <si>
    <t>10.1109/IJCNN48605.2020.9207116</t>
  </si>
  <si>
    <t>During the development cycle of a project, it is common for software requirements and functionality to change and for code errors to occur. To deal with these unforeseen changes, the artifact known as change request, which is a formal proposal to alter a system, is used. Its assignment is an important step in the development process. Projects can receive a very high number of requests daily, which makes the automation of this process compelling. This work proposes a method for assigning unresolved requests, based on developer's profiles. The proposed method consists of three steps. The first step is to extract code quality metrics, commit data and previously resolved requests, in order to model developers through the mining of repositories. The second step concerns with the selection of the profile of potential developers through the application of natural language processing and information retrieval techniques. And finally, in the third step the appropriate developers are selected based on the quality of their code and the impact of their commits. Results from experimental evaluation show that the method is able to recommend more developers with a positive impact on the repository quality if compared to the iMacPro method.</t>
  </si>
  <si>
    <t>Tools;Data mining;Measurement;Computer bugs;Task analysis;Software;Maintenance engineering;Software quality;clustering;developer recommendation;developer profile</t>
  </si>
  <si>
    <t>Cascavilla G,Catolino G,Ebert F,Tamburri DA,van den Heuvel WJ</t>
  </si>
  <si>
    <t>When the Code becomes a Crime Scene Towards Dark Web Threat Intelligence with Software Quality Metrics</t>
  </si>
  <si>
    <t>439-443</t>
  </si>
  <si>
    <t>http://dx.doi.org/10.1109/ICSME55016.2022.00055</t>
  </si>
  <si>
    <t>10.1109/ICSME55016.2022.00055</t>
  </si>
  <si>
    <t>The increasing growth of illegal online activities in the so-called dark web—that is, the hidden collective of internet sites only accessible by a specialized web browsers—has challenged law enforcement agencies in recent years with sparse research efforts to help. For example, research has been devoted to supporting law enforcement by employing Natural Language Processing (NLP) to detect illegal activities on the dark web and build models for their classification. However, current approaches strongly rely upon the linguistic characteristics used to train the models, e.g., language semantics, which threatens their generalizability. To overcome this limitation, we tackle the problem of predicting illegal and criminal activities—a process defined as threat intelligence—on the dark web from a complementary perspective—that of dark web code maintenance and evolution— and propose a novel approach that uses software quality metrics and dark website appearance parameters instead of linguistic characteristics. We performed a preliminary empirical study on 10.367 web pages and collected more than 40 code metrics and website parameters using sonarqube. Results show an accuracy of up to 82% for predicting the three types of illegal activities (i.e., suspicious, normal, and unknown) and 66% for detecting 26 specific illegal activities, such as drugs or weapons trafficking. We deem our results can influence the current trends in detecting illegal activities on the dark web and put forward a completely novel research avenue toward dealing with this problem from a software maintenance and evolution perspective.</t>
  </si>
  <si>
    <t>Measurement;Software maintenance;Dark Web;Codes;Law enforcement;Weapons;Web pages;Software Code metrics;Dark Web;Software Code Quality;Machine Learning</t>
  </si>
  <si>
    <t>Jafari AJ,Costa DE,Abdalkareem R,Shihab E,Tsantalis N</t>
  </si>
  <si>
    <t>Dependency Smells in JavaScript Projects</t>
  </si>
  <si>
    <t>3790-3807</t>
  </si>
  <si>
    <t>http://dx.doi.org/10.1109/TSE.2021.3106247</t>
  </si>
  <si>
    <t>10.1109/TSE.2021.3106247</t>
  </si>
  <si>
    <t>Dependency management in modern software development poses many challenges for developers who wish to stay up to date with the latest features and fixes whilst ensuring backwards compatibility. Project maintainers have opted for varied, and sometimes conflicting, approaches for maintaining their dependencies. Opting for unsuitable approaches can introduce bugs and vulnerabilities into the project, introduce breaking changes, cause extraneous installations, and reduce dependency understandability, making it harder for others to contribute effectively. In this paper, we empirically examine evidence of recurring dependency management issues (dependency smells). We look at the commit data for a dataset of 1,146 active JavaScript repositories to catalog, quantify and understand dependency smells. Through a series of surveys with practitioners, we identify and quantify seven dependency smells with varying degrees of popularity and investigate why they are introduced throughout project history. Our findings indicate that dependency smells are prevalent in JavaScript projects with two or more distinct smells appearing in 80 percent of the projects, but they generally infect a minority of a project’s dependencies. Our observations show that the number of dependency smells tend to increase over time. Practitioners agree that dependency smells bring about many problems including security threats, bugs, dependency breakage, runtime errors, and other maintenance issues. These smells are generally introduced as developers react to dependency misbehaviour and the shortcomings of the npm ecosystem.</t>
  </si>
  <si>
    <t>Ecosystems;Guidelines;Semantics;Runtime;Tools;Computer science;Computer bugs;Dependency smells;software ecosystems;dependency management;npm</t>
  </si>
  <si>
    <t>Yedida R,Krishna R,Kalia A,Menzies T,Xiao J,Vukovic M</t>
  </si>
  <si>
    <t>Lessons learned from hyper-parameter tuning for microservice candidate identification</t>
  </si>
  <si>
    <t>1141-1145</t>
  </si>
  <si>
    <t>http://dx.doi.org/10.1109/ASE51524.2021.9678704</t>
  </si>
  <si>
    <t>10.1109/ASE51524.2021.9678704</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</si>
  <si>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</si>
  <si>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Java;Microservice architectures;Software;Task analysis;Optimization;Tuning;Software engineering;microservices;hyper-parameter optimization</t>
  </si>
  <si>
    <t>What if I Had No Smells?</t>
  </si>
  <si>
    <t>78-84</t>
  </si>
  <si>
    <t>2017 ACM/IEEE International Symposium on Empirical Software Engineering and Measurement (ESEM)</t>
  </si>
  <si>
    <t>http://dx.doi.org/10.1109/ESEM.2017.14</t>
  </si>
  <si>
    <t>What would have happened if I did not have any code smell? This is an interesting question that no previous study, to the best of our knowledge, has tried to answer. In this paper, we present a method for implementing a what-if scenario analysis estimating the number of defective files in the absence of smells. Our industrial case study shows that 20% of the total defective files were likely avoidable by avoiding smells. Such estimation needs to be used with the due care though as it is based on a hypothetical history (i.e., zero number of smells and same process and product change characteristics). Specifically, the number of defective files could even increase for some types of smells. In addition, we note that in some circumstances, accepting code with smells might still be a good option for a company.</t>
  </si>
  <si>
    <t>Tools;Maintenance engineering;Software;Logic gates;Estimation;History;Business;code smells;machine learning;software estimation;technical debt</t>
  </si>
  <si>
    <t>Yu Z,Theisen C,Williams L,Menzies T</t>
  </si>
  <si>
    <t>Improving Vulnerability Inspection Efficiency Using Active Learning</t>
  </si>
  <si>
    <t>2401-2420</t>
  </si>
  <si>
    <t>http://dx.doi.org/10.1109/TSE.2019.2949275</t>
  </si>
  <si>
    <t>10.1109/TSE.2019.2949275</t>
  </si>
  <si>
    <t>Software engineers can find vulnerabilities with less effort if they are directed towards code that might contain more vulnerabilities. HARMLESS is an incremental support vector machine tool that builds a vulnerability prediction model from the source code inspected to date, then suggests what source code files should be inspected next. In this way, HARMLESS can reduce the time and effort required to achieve some desired level of recall for finding vulnerabilities. The tool also provides feedback on when to stop (at that desired level of recall) while at the same time, correcting human errors by double-checking suspicious files. This paper evaluates HARMLESS on Mozilla Firefox vulnerability data. HARMLESS found 80, 90, 95, 99 percent of the vulnerabilities by inspecting 10, 16, 20, 34 percent of the source code files. When targeting 90, 95, 99 percent recall, HARMLESS could stop after inspecting 23, 30, 47 percent of the source code files. Even when human reviewers fail to identify half of the vulnerabilities (50 percent false negative rate), HARMLESS could detect 96 percent of the missing vulnerabilities by double-checking half of the inspected files. Our results serve to highlight the very steep cost of protecting software from vulnerabilities (in our case study that cost is, for example, the human effort of inspecting 28,750 × 20% = 5,750 source code files to identify 95 percent of the vulnerabilities). While this result could benefit the mission-critical projects where human resources are available for inspecting thousands of source code files, the research challenge for future work is how to further reduce that cost. The conclusion of this paper discusses various ways that goal might be achieved.</t>
  </si>
  <si>
    <t>Inspection;Software;Tools;Security;Predictive models;Error correction;NIST;Active learning;security;vulnerabilities;software engineering;error correction</t>
  </si>
  <si>
    <t>Malavolta I,Lewis G,Schmerl B,Lago P,Garlan D</t>
  </si>
  <si>
    <t>How do you Architect your Robots? State of the Practice and Guidelines for ROS-based Systems</t>
  </si>
  <si>
    <t>31-40</t>
  </si>
  <si>
    <t>2020 IEEE/ACM 42nd International Conference on Software Engineering: Software Engineering in Practice (ICSE-SEIP)</t>
  </si>
  <si>
    <t>The Robot Operating System (ROS) is the de-facto standard for robotic software. If on one hand ROS is helping roboticists, e.g., by providing a standardized communication platform, on the other hand ROS-based systems are getting larger and more complex and could benefit from good software architecture practices. This paper presents an observational study aimed at (i) unveiling the state-of the-practice for architecting ROS-based systems and (ii) providing guidance to roboticists about how to properly architect ROS-based systems. To achieve these goals, we (i) build a dataset of 335 GitHub repositories containing real open-source ROS-based systems, (ii) mine the repositories for extracting the state of the practice about how roboticists are architecting them, and (iii) synthesize a catalog of 49 evidence-based guidelines for architecting ROS-based systems. The guidelines have been validated by 77 roboticists working on real-world open-source ROS-based systems.</t>
  </si>
  <si>
    <t>Robots;Guidelines;Computer architecture;Open source software;Documentation;Data mining;Service robots;Mining Software Repositories;Software Architecture;Robotics</t>
  </si>
  <si>
    <t>Vendome C,Rao DM,Giabbanelli PJ</t>
  </si>
  <si>
    <t>How do Modelers Code Artificial Societies? Investigating Practices and Quality of Netlogo Codes from Large Repositories</t>
  </si>
  <si>
    <t>2020 Spring Simulation Conference (SpringSim)</t>
  </si>
  <si>
    <t>http://dx.doi.org/10.22360/SpringSim.2020.HSAA.007</t>
  </si>
  <si>
    <t>10.22360/SpringSim.2020.HSAA.007</t>
  </si>
  <si>
    <t>Many guidelines have been developed for simulations in general or for agent-based models which support artificial societies. When applying such guidelines to examine existing practices, assessment studies are limited by the artifacts released by modelers. Although code is the final product defining an artificial society, 90% of the code produced is not released hence previous assessments necessarily focused on higher-level items such as conceptual design or validation. We address this gap by collecting 338 artificial societies from two hosting platforms, CoMSES/OpenABM and GitHub. An innovation of our approach is the use of software engineering techniques to automatically examine the models with respect to items such as commenting the code, using libraries, or dividing code into functions. We found that developers of artificial societies code the decision-making of their agents from scratch in every model, despite the existence of several libraries that could be used as building blocks.</t>
  </si>
  <si>
    <t>Measurement;Biological system modeling;Computational modeling;Libraries;Software;Complexity theory;Software engineering;Agent-Based Model;GitHub;Model Quality;NetLogo;Software Repository Mining</t>
  </si>
  <si>
    <t>1393-1398</t>
  </si>
  <si>
    <t>2022 45th Jubilee International Convention on Information, Communication and Electronic Technology (MIPRO)</t>
  </si>
  <si>
    <t>2623-8764</t>
  </si>
  <si>
    <t>http://dx.doi.org/10.23919/MIPRO55190.2022.9803727</t>
  </si>
  <si>
    <t>Artificial intelligence is one of the key advances in computing. AI has applications in improving the quality of software, supporting software development tools, and providing smartness to the systems we develop. In this paper, we study the adaptability of AI in a simple software engineering-related problem, a code smell analysis. Code smells are characteristics in the source code that indicate that there is a deeper problem, and they are a long-term nuisance for the developers. The code smells are not syntax or semantics errors, they simply are a product of too many fixes, changes and additions grinding down the code coherence. While it might be easy to refactor to get rid of code smells, first they need to be discovered. In this paper, our research group demonstrates a prototype for detecting these code smells. The prototype was implemented in Python, using machine learning, neural networks, and deep learning as a basis. Training and testing data were taken from external data storages. As a result, the prototype was able to detect two different code smells successfully, with a relatively small amount of training data. In addition, we identified issues that need to be addressed when the line of research and prototype development is pursued further.</t>
  </si>
  <si>
    <t>Training;Codes;Neural networks;Prototypes;Maintenance engineering;Software;Artificial intelligence</t>
  </si>
  <si>
    <t>Robles-Aguilar A,Ocharán-Hernández JO,Sánchez-García ÁJ,Limón X</t>
  </si>
  <si>
    <t>132-141</t>
  </si>
  <si>
    <t>2021 9th International Conference in Software Engineering Research and Innovation (CONISOFT)</t>
  </si>
  <si>
    <t>http://dx.doi.org/10.1109/CONISOFT52520.2021.00028</t>
  </si>
  <si>
    <t>Software Design (SD from now on) is a critical process in the Software Development Life Cycle. Like all processes, there is a constant search for the improvement of SD activities. Artificial Intelligence (AI) has proven to be an effective tool to perform activities of any kind, this includes SD assisting. This study presents the state of the art related to the application of AI techniques in SD activities, in order to achieve this goal, we carried out a systematic mapping study consisting of 36 papers. The studies reported the use of 28 AI techniques, such as Neural Networks and Decision Trees; considering 20 SD activities, like diagram generation and design pattern detection. The inclusion of AI techniques in SD is an increasing trend in software development. The collected studies demonstrate the effectiveness of This inclusion, showing successful applications, which in turn may create more interest in the coupling of AI and SD in further studies.</t>
  </si>
  <si>
    <t>Couplings;Technological innovation;Systematics;Software design;Neural networks;Market research;Software;Software Design;Artificial Intelligence;systematic mapping study</t>
  </si>
  <si>
    <t>Rezk C,Kamei Y,McIntosh S</t>
  </si>
  <si>
    <t>The Ghost Commit Problem When Identifying Fix-Inducing Changes: An Empirical Study of Apache Projects</t>
  </si>
  <si>
    <t>3297-3309</t>
  </si>
  <si>
    <t>http://dx.doi.org/10.1109/TSE.2021.3087419</t>
  </si>
  <si>
    <t>10.1109/TSE.2021.3087419</t>
  </si>
  <si>
    <t>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t>
  </si>
  <si>
    <t>Maintenance engineering;Data mining;Electronic mail;Computer bugs;Information filters;Tools;Taxonomy;SZZ;fix-inducing changes;defect-fixing changes</t>
  </si>
  <si>
    <t>González CA,Zumel LA,Acero JA,Lenarduzzi V,Martínez-Fernández S,Rodríguez SR</t>
  </si>
  <si>
    <t>938-945</t>
  </si>
  <si>
    <t>2021 IEEE 21st International Conference on Software Quality, Reliability and Security (QRS)</t>
  </si>
  <si>
    <t>http://dx.doi.org/10.1109/QRS54544.2021.00103</t>
  </si>
  <si>
    <t>Developers work on different tasks in different conditions based on individual technical skills and personal habits. Identifying developer groups by mining their repositories is key for various tasks ranging from understanding developers types in open source projects, to help project managers concerned with the team allocation and coordination of human resources in companies. We aimed at identifying distinct groups of developer profiles based on well defined characteristics and at characterizing the most common quality issue types introduced by each profile in their code. We considered 77,932 commits of 33 open source Java projects, clustering their 2460 developers using dimensionality reduction techniques and applying the k-means algorithm. We identified five profiles among 2460 developers based on project experience, developer productivity and the common quality issues they introduce in the code. Results can be used by developer teams to detect and cope with harmful practices, in order to be more efficient by reducing the number of bugs they produce, looking for adequate training options, and balancing their teams.</t>
  </si>
  <si>
    <t>Training;Productivity;Java;Codes;Software quality;Reliability engineering;Software reliability;machine learning;developer characterisation;SonarQube;code quality;software engineering</t>
  </si>
  <si>
    <t>657-682</t>
  </si>
  <si>
    <t>http://dx.doi.org/10.1109/TSE.2018.2797899</t>
  </si>
  <si>
    <t>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t>
  </si>
  <si>
    <t>Computer bugs;Computer architecture;Software architecture;Production facilities;Analytical models;Software systems;Software architecture;reverse-engineering;defect prediction;technical debt;code smells;bug localization</t>
  </si>
  <si>
    <t>Poth A,Meyer B,Schlicht P,Riel A</t>
  </si>
  <si>
    <t>Quality Assurance for Machine Learning – an approach to function and system safeguarding</t>
  </si>
  <si>
    <t>22-29</t>
  </si>
  <si>
    <t>2020 IEEE 20th International Conference on Software Quality, Reliability and Security (QRS)</t>
  </si>
  <si>
    <t>http://dx.doi.org/10.1109/QRS51102.2020.00016</t>
  </si>
  <si>
    <t>10.1109/QRS51102.2020.00016</t>
  </si>
  <si>
    <t>In an industrial context, high software quality is mandatory in order to avoid costly patching. We present a state of the art analysis of approaches to ensure that a specific Artificial Intelligence (AI) model is ready for release. We analyze the requirements a Machine Learning (ML) system has to fulfill in order to comply with the needs of an automotive OEM. The main implication for projects relying on ML is a holistic assessment of possible quality risks. These risks may stem from implemented ML models and spread into the delivery. We present a methodological quality assurance (QA) approach and its evaluation.</t>
  </si>
  <si>
    <t>Quality assurance;Conferences;Software quality;Machine learning;Software reliability;Security;Automotive engineering;artificial intelligence;machine learning;quality management;quality assurance;risk management</t>
  </si>
  <si>
    <t>Hill C,Bellamy R,Erickson T,Burnett M</t>
  </si>
  <si>
    <t>Trials and tribulations of developers of intelligent systems: A field study</t>
  </si>
  <si>
    <t>162-170</t>
  </si>
  <si>
    <t>2016 IEEE Symposium on Visual Languages and Human-Centric Computing (VL/HCC)</t>
  </si>
  <si>
    <t>1943-6106</t>
  </si>
  <si>
    <t>http://dx.doi.org/10.1109/VLHCC.2016.7739680</t>
  </si>
  <si>
    <t>10.1109/VLHCC.2016.7739680</t>
  </si>
  <si>
    <t>Intelligent systems are gaining in popularity and receiving increased media attention, but little is known about how people actually go about developing them. In this paper, we attempt to fill this gap through a set of field interviews that investigate how people develop intelligent systems that incorporate machine learning algorithms. The developers we interviewed were experienced at working with machine learning algorithms and dealing with the large amounts of data needed to develop intelligent systems. Despite their level of experience, we learned that they struggle to establish a repeatable process. They described problems with each step of the processes they perform, as well as cross-cutting issues that pervade multiple steps of their processes. The unique difficulties that developers like these face seem to point to a need for software engineering advances that address such machine learning systems, and we conclude by discussing this need and some of its implications.</t>
  </si>
  <si>
    <t>Empirical;applying machine learning;machim learning</t>
  </si>
  <si>
    <t>Alnegheimish S,Alrashed N,Aleissa F,Althobaiti S,Liu D,Alsaleh M,Veeramachaneni K</t>
  </si>
  <si>
    <t>Cardea: An Open Automated Machine Learning Framework for Electronic Health Records</t>
  </si>
  <si>
    <t>536-545</t>
  </si>
  <si>
    <t>2020 IEEE 7th International Conference on Data Science and Advanced Analytics (DSAA)</t>
  </si>
  <si>
    <t>http://dx.doi.org/10.1109/DSAA49011.2020.00068</t>
  </si>
  <si>
    <t>10.1109/DSAA49011.2020.00068</t>
  </si>
  <si>
    <t>An estimated 180 papers focusing on deep learning and EHR were published between 2010 and 2018. Despite the common workflow structure appearing in these publications, no trusted and verified software framework exists, forcing researchers to arduously repeat previous work. In this paper, we propose Cardea, an extensible open-source automated machine learning framework encapsulating common prediction problems in the health domain and allows users to build predictive models with their own data. This system relies on two components: Fast Healthcare Interoperability Resources (FHIR) - a standardized data structure for electronic health systems - and several AU TOML frameworks for automated feature engineering, model selection, and tuning. We augment these components with an adaptive data assembler and comprehensive data- and modelauditing capabilities. We demonstrate our framework via 5 prediction tasks on MIMIC-III and KAGGLE datasets, which highlight Cardea's human competitiveness, flexibility in problem definition, extensive feature generation capability, adaptable automatic data assembler, and its usability.</t>
  </si>
  <si>
    <t>Medical services;Adaptation models;Predictive models;Standards;Hospitals;Task analysis;Open source software;electronic health records;fast healthcare interoperability resources;autoML</t>
  </si>
  <si>
    <t>Muccini H,Vaidhyanathan K</t>
  </si>
  <si>
    <t>Software Architecture for ML-based Systems: What Exists and What Lies Ahead</t>
  </si>
  <si>
    <t>121-128</t>
  </si>
  <si>
    <t>http://dx.doi.org/10.1109/WAIN52551.2021.00026</t>
  </si>
  <si>
    <t>10.1109/WAIN52551.2021.00026</t>
  </si>
  <si>
    <t>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t>
  </si>
  <si>
    <t>Software architecture;Conferences;Machine learning;Computer architecture;Propulsion;Software systems;Market research;Software Architecture;Machine Learning;Artificial Intelligence;Architecture Framework;Architecting Process;Self-adaptive Architecting;Architecture Evolution</t>
  </si>
  <si>
    <t>QScored: A Large Dataset of Code Smells and Quality Metrics</t>
  </si>
  <si>
    <t>590-594</t>
  </si>
  <si>
    <t>http://dx.doi.org/10.1109/MSR52588.2021.00080</t>
  </si>
  <si>
    <t>Code quality aspects such as code smells and code quality metrics are widely used in exploratory and empirical software engineering research. In such studies, researchers spend a substantial amount of time and effort to not only select the appropriate subject systems but also to analyze them to collect the required code quality information. In this paper, we present QScored dataset; the dataset contains code quality information of more than 86 thousand C# and Java GitHub repositories containing more than 1.1 billion lines of code. The code quality information contains seven kinds of detected architecture smells, 20 kinds of design smells, eleven kinds of implementation smells, and 27 commonly used code quality metrics computed at project, package, class, and method levels. Availability of the dataset will facilitate empirical studies involving code quality aspects by making the information readily available for a large number of active GitHub repositories.</t>
  </si>
  <si>
    <t>Measurement;Java;Computer architecture;Software;C# languages;Data mining;Software development management;Code quality;code smells;quality metrics;maintainability;technical debt</t>
  </si>
  <si>
    <t>2091-2103</t>
  </si>
  <si>
    <t>2022 IEEE/ACM 44th International Conference on Software Engineering (ICSE)</t>
  </si>
  <si>
    <t>http://dx.doi.org/10.1145/3510003.3510057</t>
  </si>
  <si>
    <t>Increasingly larger number of software systems today are including data science components for descriptive, predictive, and prescriptive analytics. The collection of data science stages from acquisition, to cleaning/curation, to modeling, and so on are referred to as data science pipelines. To facilitate research and practice on data science pipelines, it is essential to understand their nature. What are the typical stages of a data science pipeline? How are they connected? Do the pipelines differ in the theoretical representations and that in the practice? Today we do not fully understand these architectural characteristics of data science pipelines. In this work, we present a three-pronged comprehensive study to answer this for the state-of-the-art, data science in-the-small, and data science in-the-large, Our study analyzes three datasets: a collection of 71 proposals for data science pipelines and related concepts in theory, a collection of over 105 implementations of curated data science pipelines from Kaggle competitions to understand data science in-the-small, and a collection of 21 mature data science projects from GitHub to understand data science in-the-large. Our study has led to three representations of data science pipelines that capture the essence of our subjects in theory, in-the-small, and in-the-large.</t>
  </si>
  <si>
    <t>Feedback loop;Art;Pipelines;Data science;Software systems;Data models;Proposals;data science pipelines;data science processes;descriptive;predictive</t>
  </si>
  <si>
    <t>The Scent of a Smell: An Extensive Comparison Between Textual and Structural Smells</t>
  </si>
  <si>
    <t>977-1000</t>
  </si>
  <si>
    <t>http://dx.doi.org/10.1109/TSE.2017.2752171</t>
  </si>
  <si>
    <t>Code smells are symptoms of poor design or implementation choices that have a negative effect on several aspects of software maintenance and evolution, such as program comprehension or change- 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</si>
  <si>
    <t>Tools;Data mining;Software systems;Detectors;Maintenance engineering;Large scale integration;Code smells;empirical study;mining software repositories</t>
  </si>
  <si>
    <t>218-223</t>
  </si>
  <si>
    <t>2021 IEEE/ACIS 22nd International Conference on Software Engineering, Artificial Intelligence, Networking and Parallel/Distributed Computing (SNPD)</t>
  </si>
  <si>
    <t>2693-8421</t>
  </si>
  <si>
    <t>http://dx.doi.org/10.1109/SNPD51163.2021.9705010</t>
  </si>
  <si>
    <t>This paper proposes a conceptual framework for developing new technologies that will solve today’s technical issues in software development and operations (DevOps) and support the future software ecosystems. The proposed framework perceives resources essential for software DevOps from three perspectives: products, people, and technical information, and actively utilizes and link the latest digital technologies such as AI, natural language processing, microservices, and blockchain. The goal is not to aim fully automate software DevOps, but also to achieve high economic efficiency and sustainability by eliminating waste in software DevOps, assuming a human-centered society. The principal approaches of new technology development in the framework are product up-cycling, placement of the right people and AI in the right places, and quality control linked to external technical information. New technologies to be developed with these approaches will expand conventional concepts in software DevOps with three dimensions of reuse, human resources, and quality control.</t>
  </si>
  <si>
    <t>Technological innovation;Ecosystems;Software algorithms;Quality control;Solids;Software;Sustainable development;Software Reuse;Microservices;AI Applications;Blockchain Technology</t>
  </si>
  <si>
    <t>Fabijan A,Dmitriev P,Holmström Olsson H,Bosch J,Vermeer L,Lewis D</t>
  </si>
  <si>
    <t>Three Key Checklists and Remedies for Trustworthy Analysis of Online Controlled Experiments at Scale</t>
  </si>
  <si>
    <t>http://dx.doi.org/10.1109/ICSE-SEIP.2019.00009</t>
  </si>
  <si>
    <t>10.1109/ICSE-SEIP.2019.00009</t>
  </si>
  <si>
    <t>Online Controlled Experiments (OCEs) are transforming the decision-making process of data-driven companies into an experimental laboratory. Despite their great power in identifying what customers actually value, experimentation is very sensitive to data loss, skipped checks, wrong designs, and many other 'hiccups' in the analysis process. For this purpose, experiment analysis has traditionally been done by experienced data analysts and scientists that closely monitored experiments throughout their lifecycle. Depending solely on scarce experts, however, is neither scalable nor bulletproof. To democratize experimentation, analysis should be streamlined and meticulously performed by engineers, managers, or others responsible for the development of a product. In this paper, based on synthesized experience of companies that run thousands of OCEs per year, we examined how experts inspect online experiments. We reveal that most of the experiment analysis happens before OCEs are even started, and we summarize the key analysis steps in three checklists. The value of the checklists is threefold. First, they can increase the accuracy of experiment set-up and decision-making process. Second, checklists can enable novice data scientists and software engineers to become more autonomous in setting-up and analyzing experiments. Finally, they can serve as a base to develop trustworthy platforms and tools for OCE set-up and analysis.</t>
  </si>
  <si>
    <t>Companies;Software;Tools;Decision making;Measurement;Product development;Online Controlled Experiments;A/B testing;Experiment Checklists</t>
  </si>
  <si>
    <t>Arunachalam M,Sanghavi V,Kaira S,Ahuja NA</t>
  </si>
  <si>
    <t>End-to-End Industrial IoT: Software Optimization and Acceleration</t>
  </si>
  <si>
    <t>IEEE Internet of Things Magazine</t>
  </si>
  <si>
    <t>48-53</t>
  </si>
  <si>
    <t>2576-3199</t>
  </si>
  <si>
    <t>http://dx.doi.org/10.1109/IOTM.005.2100196</t>
  </si>
  <si>
    <t>10.1109/IOTM.005.2100196</t>
  </si>
  <si>
    <t>Application of artificial intelligence and machine learning is transforming Industrial Internet of Things (IIoT) segments by enabling higher productivity, better insights, less downtime, and superior product quality. Through AI-inspired innovations, businesses are gaining a sizable competitive edge and product leadership. To realize the promise and potential of AI, software needs to enable fast prototyping and experimentation at scale, and efficiently turn data into valuable insights. Over 100× performance speedup is possible with software that is well parallelized, vectorized, written with better data reuse, has cache blocking, makes good use of prefetching, and above all, is abstracted with familiar industry-standard APIs and libraries used by ML developers and data scientists. As a result of increased software performance efficiency, on the same hardware system, a customer can realize and serve higher insights per second and increase inference throughput. Our software optimizations target a general-purpose CPU, which, in addition to AI models and pipelines, can also be efficient through workload consolidation for other IIoT applications. Both general-purpose workloads and AI model inferencing run on the same hardware targets while minimizing energy, maintenance, and total cost of ownership of a heterogenous infrastructure. Edge IIoT also has unique power and space constraints that can be addressed well with multi-stream inferencing support on general-purpose CPUs. It is imperative to optimize software for all phases of the end-to-end AI pipeline to run “efficient AI” and realize quicker insights, thereby turning them into concrete business results for IIoT solutions. In this article, using optimized frameworks such as Intel Pytorch extensions, Intel Scikit-learn extensions, and Intel distribution of Modin, we get 3.6x-81 × improvement in end-to-end pipeline performance. What this means for the CNN-based anomaly detection pipeline and predictive analytics pipeline solutions is higher throughput of insights and also serving multiple streams of inference across the shop floor, thereby maximizing the potential of the IIoT AI solution. Popular and relevant IIoT AI use cases can realize significant performance improvement when software and AI implementations are purposefully optimized for the target AI hardware and systems.</t>
  </si>
  <si>
    <t>Industrial Internet of Things;Throughput;Pipelines;Hardware;Artificial intelligence;Predictive analytics;Performance evaluation;Edge computing;Machine learning</t>
  </si>
  <si>
    <t>Champion K,Hill BM</t>
  </si>
  <si>
    <t>Underproduction: An Approach for Measuring Risk in Open Source Software</t>
  </si>
  <si>
    <t>388-399</t>
  </si>
  <si>
    <t>2021 IEEE International Conference on Software Analysis, Evolution and Reengineering (SANER)</t>
  </si>
  <si>
    <t>http://dx.doi.org/10.1109/SANER50967.2021.00043</t>
  </si>
  <si>
    <t>10.1109/SANER50967.2021.00043</t>
  </si>
  <si>
    <t>The widespread adoption of Free/Libre and Open Source Software (FLOSS) means that the ongoing maintenance of many widely used software components relies on the collaborative effort of volunteers who set their own priorities and choose their own tasks. We argue that this has created a new form of risk that we call ‘underproduction' which occurs when the supply of software engineering labor becomes out of alignment with the demand of people who rely on the software produced. We present a conceptual framework for identifying relative underproduction in software as well as a statistical method for applying our framework to a comprehensive dataset from the Debian GNU/Linux distribution that includes 21,902 source packages and the full history of 461,656 bugs. We draw on this application to present two experiments: (1) a demonstration of how our technique can be used to identify at-risk software packages in a large FLOSS repository and (2) a validation of these results using an alternate indicator of package risk. Our analysis demonstrates both the utility of our approach and reveals the existence of widespread underproduction in a range of widely-installed software components in Debian.</t>
  </si>
  <si>
    <t>Statistical analysis;Software packages;Computer bugs;Maintenance engineering;Software;Software measurement;Task analysis;open source;FLOSS;FOSS;OSS;mining software repositories;commons-based peer production;software quality;risk;quantitative methods</t>
  </si>
  <si>
    <t>Architectural Decay as Predictor of Issue- and Change-Proneness</t>
  </si>
  <si>
    <t>92-103</t>
  </si>
  <si>
    <t>2021 IEEE 18th International Conference on Software Architecture (ICSA)</t>
  </si>
  <si>
    <t>http://dx.doi.org/10.1109/ICSA51549.2021.00017</t>
  </si>
  <si>
    <t>Architectural decay imposes real costs in terms of developer effort, system correctness, and performance. Over time, those problems are likely to be revealed as explicit implementation issues (defects, feature changes, etc.). Recent empirical studies have demonstrated that there is a significant correlation between architectural smells—manifestations of architectural decay—and implementation issues. In this paper, we take a step further in exploring this phenomenon. We analyze the available development data from 10 open-source software systems and show that information regarding current architectural decay in these systems can be used to build models that accurately predict future issue-proneness and change-proneness of the systems’ implementations. As a less intuitive result, we also show that, in cases where historical data for a system is unavailable, such data from other, unrelated systems can provide reasonably accurate issue- and change-proneness prediction capabilities.</t>
  </si>
  <si>
    <t>Correlation;Software architecture;Predictive models;Tools;Maintenance engineering;Software systems;Data models;Architectural Decay;Issue Proneness;Change Proneness;Architectural Smell;Decay Prediction</t>
  </si>
  <si>
    <t>Schwanke R,Xiao L,Cai Y</t>
  </si>
  <si>
    <t>Measuring architecture quality by structure plus history analysis</t>
  </si>
  <si>
    <t>891-900</t>
  </si>
  <si>
    <t>http://dx.doi.org/10.1109/ICSE.2013.6606638</t>
  </si>
  <si>
    <t>10.1109/ICSE.2013.6606638</t>
  </si>
  <si>
    <t>This case study combines known software structure and revision history analysis techniques, in known and new ways, to predict bug-related change frequency, and uncover architecture-related risks in an agile industrial software development project. We applied a suite of structure and history measures and statistically analyzed the correlations between them. We detected architecture issues by identifying outliers in the distributions of measured values and investigating the architectural significance of the associated classes. We used a clustering method to identify sets of files that often change together without being structurally close together, investigating whether architecture issues were among the root causes. The development team confirmed that the identified clusters reflected significant architectural violations, unstable key interfaces, and important undocumented assumptions shared between modules. The combined structure diagrams and history data justified a refactoring proposal that was accepted by the project manager and implemented.</t>
  </si>
  <si>
    <t>Computer architecture;Correlation;Computer bugs;History;Software;Size measurement;Complexity theory;measure;structure;change history;software architecture;fault prediction</t>
  </si>
  <si>
    <t>Shome A,Cruz L,van Deursen A</t>
  </si>
  <si>
    <t>205-216</t>
  </si>
  <si>
    <t>http://dx.doi.org/10.1145/3522664.3528621</t>
  </si>
  <si>
    <t>The adoption of Artificial Intelligence (AI) in high-stakes domains such as healthcare, wildlife preservation, autonomous driving and criminal justice system calls for a data-centric approach to AI. Data scientists spend the majority of their time studying and wrangling the data, yet tools to aid them with data analysis are lacking. This study identifies the recurrent data quality issues in public datasets. Analogous to code smells, we introduce a novel catalogue of data smells that can be used to indicate early signs of problems or technical debt in machine learning systems. To understand the prevalence of data quality issues in datasets, we analyse 25 public datasets and identify 14 data smells.</t>
  </si>
  <si>
    <t>Training;Codes;Data analysis;Data integrity;Wildlife;Machine learning;Documentation;data quality;data smells;ai engineering;code smells</t>
  </si>
  <si>
    <t>Pascarella L</t>
  </si>
  <si>
    <t>Classifying Code Comments in Java Mobile Applications</t>
  </si>
  <si>
    <t>39-40</t>
  </si>
  <si>
    <t>2018 IEEE/ACM 5th International Conference on Mobile Software Engineering and Systems (MOBILESoft)</t>
  </si>
  <si>
    <t>Developers adopt code comments for different reasons such as document source codes or change program flows. Due to a variety of use scenarios, code comments may impact on readability and maintainability. In this study, we investigate how developers of 5 open-source mobile applications use code comments to document their projects. Additionally, we evaluate the performance of two machine learning models to automatically classify code comments. Initial results show marginal differences between desktop and mobile applications.</t>
  </si>
  <si>
    <t>Java;Taxonomy;Open source software;Machine learning;Classification algorithms;Mobile applications;Android;Mining Software Repositories;Code Comments</t>
  </si>
  <si>
    <t>Kaulgud V,Saxena A,Podder S,Sharma VS,Dinakar C</t>
  </si>
  <si>
    <t>Shifting Testing beyond the Deployment Boundary</t>
  </si>
  <si>
    <t>30-33</t>
  </si>
  <si>
    <t>2016 IEEE/ACM International Workshop on Continuous Software Evolution and Delivery (CSED)</t>
  </si>
  <si>
    <t>http://dx.doi.org/10.1145/2896941.2896954</t>
  </si>
  <si>
    <t>10.1145/2896941.2896954</t>
  </si>
  <si>
    <t>Optimization of software testing has typically relied on a philosophy of 'shift left' where the focus is on using automation to start testing as early as possible in a software development life-cycle. With enterprises striving for continual business transformation, it becomes essential to focus on rapid and iterative software development. Moreover, understanding customer reactions, feedback and needs, and translating them as actionable insights to software development teams. This requires testing to 'shift right', i.e. move beyond the deployment boundary, and adopt a data-driven approach leveraging post-release production data and customer feedback. In this position paper we articulate the need for continuous, shift right testing, define a taxonomy for structuring testing types, analyses and data requirements. We end by providing a conceptual framework for applying shift right testing for Digital apps.</t>
  </si>
  <si>
    <t>Testing;Software;Security;Computer bugs;Market research;Sentiment analysis;Shift Right Testing;Continuous testing;Customer feedback</t>
  </si>
  <si>
    <t>Shivashankar K,Martini A</t>
  </si>
  <si>
    <t>Maintainability Challenges in ML: A Systematic Literature Review</t>
  </si>
  <si>
    <t>60-67</t>
  </si>
  <si>
    <t>http://dx.doi.org/10.1109/SEAA56994.2022.00018</t>
  </si>
  <si>
    <t>10.1109/SEAA56994.2022.00018</t>
  </si>
  <si>
    <t>Background: As Machine Learning (ML) advances rapidly in many fields, it is being adopted by academics and businesses alike. However, ML has a number of different challenges in terms of maintenance not found in traditional software projects. Identifying what causes these maintainability challenges can help mitigate them early and continue delivering value in the long run without degrading ML performance. Aim: This study aims to identify and synthesise the maintainability challenges in different stages of the ML workflow and understand how these stages are interdependent and impact each other’s maintainability. Method: Using a systematic literature review, we screened more than 13000 papers, then selected and qualitatively analysed 56 of them. Results: (i) a catalogue of maintainability challenges in different stages of Data Engineering, Model Engineering workflows and the current challenges when building ML systems are discussed; (ii) a map of 13 maintainability challenges to different interdependent stages of ML that impact the overall workflow; (iii) Provided insights to developers of ML tools and researchers. Conclusions: In this study, practitioners and organisations will learn about maintainability challenges and their impact at different stages of ML workflow. This will enable them to avoid pitfalls and help to build a maintainable ML system. The implications and challenges will also serve as a basis for future research to strengthen our understanding of the ML system’s maintainability.</t>
  </si>
  <si>
    <t>Systematics;Bibliographies;Buildings;Machine learning;Maintenance engineering;Data engineering;Software;Machine Learning;Deep Learning;Artificial Intelligence;Maintainability;Systematic Literature Review</t>
  </si>
  <si>
    <t>Amrollahi F,Shashikumar SP,Kathiravelu P,Sharma A,Nemati S</t>
  </si>
  <si>
    <t>AIDEx - An Open-source Platform for Real-Time Forecasting Sepsis and A Case Study on Taking ML Algorithms to Production</t>
  </si>
  <si>
    <t>5610-5614</t>
  </si>
  <si>
    <t>2020 42nd Annual International Conference of the IEEE Engineering in Medicine &amp; Biology Society (EMBC)</t>
  </si>
  <si>
    <t>2694-0604</t>
  </si>
  <si>
    <t>http://dx.doi.org/10.1109/EMBC44109.2020.9175947</t>
  </si>
  <si>
    <t>10.1109/EMBC44109.2020.9175947</t>
  </si>
  <si>
    <t>Sepsis, a dysregulated immune response to infection, has been the leading cause of morbidity and mortality in critically ill patients. Multiple studies have demonstrated improved survival outcomes when early treatment is initiated for septic patients. In our previous work, we developed a real-time machine learning algorithm capable of predicting onset of sepsis four to six hours prior to clinical recognition. In this work, we develop AIDEx, an open-source platform that consumes data as FHIR resources. It is capable of consuming live patient data, securely transporting it into a cloud environment, and monitoring patients in real-time. We build AIDEx as an EHR vendor-agnostic open-source platform that can be easily deployed in clinical environments. Finally, the computation of the sepsis risk scores uses a common design pattern that is seen in streaming clinical informatics and predictive analytics applications. AIDEx provides a comprehensive case study in the design and development of a production-ready ML platform that integrates with Healthcare IT systems.</t>
  </si>
  <si>
    <t>Sociology;Statistics;Real-time systems;Prediction algorithms;Medical services;Machine learning;Databases</t>
  </si>
  <si>
    <t>González-Hemández S,Sánchez-García AJ,Cortés-Verdín K,Pérez-Arriaga JC</t>
  </si>
  <si>
    <t>54-60</t>
  </si>
  <si>
    <t>http://dx.doi.org/10.1109/CONISOFT52520.2021.00019</t>
  </si>
  <si>
    <t>Software estimation is a fundamental activity in the Software development process, since it is possible to predict the number of defects, size, effort, among other attributes. With this, it is possible to improve the quality of the product and process. To predict quantitative values, it is common to use Regression Model mechanisms, although each model adjusts to a specific behavior of the data. In this work, a Systematic Literature Review is carried out based on the Kitchenham and Charters guide, to know the different types of Regression that have been used in the Software estimates. In addition, it seeks to know those attributes that are estimated and those that function as independent variables. Simple Linear Regression, Multiple Linear Regression and Logistic Regression were the most used, although other types of regression were found that can be further explored. Finally, the attributes that work as predictor variables were categorized, where the attributes of effort, lines of code and use cases were the most frequent.</t>
  </si>
  <si>
    <t>Technological innovation;Systematics;Bibliographies;Linear regression;Estimation;Predictive models;Software;Regression;Software estimation;Systematic Literature Review</t>
  </si>
  <si>
    <t>Forecasting Architectural Decay From Evolutionary History</t>
  </si>
  <si>
    <t>2439-2454</t>
  </si>
  <si>
    <t>http://dx.doi.org/10.1109/TSE.2021.3060068</t>
  </si>
  <si>
    <t>As a software system evolves, its architecture tends to decay, leading to the occurrence of architectural elements that become resistant to maintenance or prone to defects. To address this problem, engineers can significantly benefit from determining which architectural elements will decay before that decay actually occurs. Forecasting decay allows engineers to take steps to prevent decay, such as focusing maintenance resources on the architectural elements most likely to decay. To that end, we construct novel models that predict the quality of an architectural element by utilizing multiple architectural views (both structural and semantic) and architectural metrics as features for prediction. We conduct an empirical study using our prediction models on 38 versions of five systems. Our findings show that we can predict low architectural quality, i.e., architectural decay, with high performance—even for cases of decay that suddenly occur in an architectural module. We further report the factors that best predict architectural quality.</t>
  </si>
  <si>
    <t>Measurement;Predictive models;Software;Computer architecture;Maintenance engineering;Semantics;Software systems;Software architecture;prediction model;architectural smell;architectural decay</t>
  </si>
  <si>
    <t>1560-1578</t>
  </si>
  <si>
    <t>http://dx.doi.org/10.1109/TSE.2020.3024814</t>
  </si>
  <si>
    <t>Due to the conflicting nature of quality measures, there are always multiple refactoring options to fix quality issues. Thus, interaction with developers is critical to inject their preferences. While several interactive techniques have been proposed, developers still need to examine large numbers of possible refactorings, which makes the interaction time-consuming. Furthermore, existing interactive tools are limited to the ”objective space” to show developers the impacts of refactorings on quality attributes. However, the “decision space” is also important since developers may want to focus on specific code locations. In this paper, we propose an interactive approach that enables developers to pinpoint their preference simultaneously in the objective (quality metrics) and decision (code location) spaces. Developers may be interested in looking at refactoring strategies that can improve a specific quality attribute, such as extendibility (objective space), but such strategies may be related to different code locations (decision space). A plethora of solutions is generated at first using multi-objective search that tries to find the possible trade-offs between quality objectives. Then, an unsupervised learning algorithm clusters the trade-off solutions based on their quality metrics, and another clustering algorithm is applied within each cluster of the objective space to identify solutions related to different code locations. The objective and decision spaces can now be explored more efficiently by the developer, who can give feedback on a smaller number of solutions. This feedback is then used to generate constraints for the optimization process, to focus on the developer's regions of interest in both the decision and objective spaces. A manual validation of selected refactoring solutions by developers confirms that our approach outperforms state of the art refactoring techniques.</t>
  </si>
  <si>
    <t>Tools;Clustering algorithms;Measurement;Search problems;Manuals;Software;Space exploration;Search based software engineering;refactoring;multi-objective search;clustering</t>
  </si>
  <si>
    <t>Acharya MP,Parnin C,Kraft NA,Dagnino A,Qu X</t>
  </si>
  <si>
    <t>Code Drones</t>
  </si>
  <si>
    <t>785-788</t>
  </si>
  <si>
    <t>2016 IEEE/ACM 38th International Conference on Software Engineering Companion (ICSE-C)</t>
  </si>
  <si>
    <t>We propose and explore a new paradigm called Code Drones in which every software artifact such as a class is an intelligent and socially active entity. In this paradigm, humanized artifacts take the lead and choreograph (socially, in collaboration with other intelligent software artifacts and humans) automated software engineering solutions to a myriad of development and maintenance challenges,including API migration, reuse, documentation, testing, patching, and refactoring. We discuss the implications of having social and intelligent/cognitive software artifacts that guide their own self-improvement.</t>
  </si>
  <si>
    <t>Drones;Software;Social network services;Cognition;Software engineering;Testing;Maintenance engineering</t>
  </si>
  <si>
    <t>Lee N,Abreu R,Nagappan N</t>
  </si>
  <si>
    <t>Code Quality Prediction Under Super Extreme Class Imbalance</t>
  </si>
  <si>
    <t>99-104</t>
  </si>
  <si>
    <t>2022 IEEE International Symposium on Software Reliability Engineering Workshops (ISSREW)</t>
  </si>
  <si>
    <t>http://dx.doi.org/10.1109/ISSREW55968.2022.00047</t>
  </si>
  <si>
    <t>10.1109/ISSREW55968.2022.00047</t>
  </si>
  <si>
    <t>Predicting the quality of software in the early phases of the development life cycle has various benefits to an organization's bottom line with wide applicability across industry and government. Yet, developing robust software quality prediction models in practice is a challenging task due to “super” extreme class imbalance. In this paper, we present our work on a code quality prediction framework, we call Automated Incremental Effort Investments (AIEl), to fasten the process of going from data to a performant model under super extreme class imbalance. Experiments on a large scale real-world dataset, from Meta Platforms, show that the proposed approach competes with or outperforms state-of-the art shallow and deep learning approaches. We evaluate the practical significance of the model predictions on test case prioritization efficiency, where AIEl achieves the top rank reducing code review time by 2.5 % and test case resource utilization by 9.3%.</t>
  </si>
  <si>
    <t>Industries;Codes;Soft sensors;Software quality;Predictive models;Reliability engineering;Software reliability;Software Reliability;Code Quality Prediction;Super Extreme Class Imbalance</t>
  </si>
  <si>
    <t>Cui D</t>
  </si>
  <si>
    <t>Early Detection of Flawed Structural Dependencies During Software Evolution</t>
  </si>
  <si>
    <t>28856-28871</t>
  </si>
  <si>
    <t>http://dx.doi.org/10.1109/ACCESS.2021.3054472</t>
  </si>
  <si>
    <t>10.1109/ACCESS.2021.3054472</t>
  </si>
  <si>
    <t>During software evolution, complex structural dependencies between source files pose a great challenge on maintenance activities. Some of these dependencies propagate defects among files, incurring frequent bugs or changes, and consuming significant maintenance costs. They can be referred to as flawed structural dependencies. In this paper, we proposed a method to identify these potential problematic dependencies at an early stage during software evolution, by combing structural and semantic dependencies, so that developers can save maintenance costs by fixing these issues in time. Our method works as follows: First, we extract structural dependencies from the source code syntax and semantic dependencies from the source code lexicon. Second, we collect suspect file pairs by calculating the difference between structural and semantic dependencies. Next, we exhaustively examine each source file in the system and locate the interaction of its impacted subordinated files and suspect file pairs (SFP) as suspect dependencies. Finally, we gather all the suspect dependencies as flawed structural dependencies candidates. We evaluate our method using 838 releases of 15 open source projects, including 33353 bug reports and 86690 revision commits. The detection result shows that our identified dependencies use 14% of all the files to capture almost 70% of top 10% bug-prone files or change-prone files with enough high precision: 92%. Moreover, our identified dependencies also incur 957% of bug frequencies and 1050% of change frequencies than average in future versions. In summary, our method can effectively and efficiently detect flawed structural dependencies in time during software evolution.</t>
  </si>
  <si>
    <t>Semantics;Computer bugs;Software;Maintenance engineering;History;Software systems;Syntactics;Software quality;software maintenance;software evolution;architectural design;code dependencies</t>
  </si>
  <si>
    <t>Paixao M,Krinke J,Han D,Ragkhitwetsagul C,Harman M</t>
  </si>
  <si>
    <t>The Impact of Code Review on Architectural Changes</t>
  </si>
  <si>
    <t>1041-1059</t>
  </si>
  <si>
    <t>http://dx.doi.org/10.1109/TSE.2019.2912113</t>
  </si>
  <si>
    <t>10.1109/TSE.2019.2912113</t>
  </si>
  <si>
    <t>Although considered one of the most important decisions in the software development lifecycle, empirical evidence on how developers perform and perceive architectural changes remains scarce. Architectural decisions have far-reaching consequences yet, we know relatively little about the level of developers' awareness of their changes' impact on the software's architecture. We also know little about whether architecture-related discussions between developers lead to better architectural changes. To provide a better understanding of these questions, we use the code review data from 7 open source systems to investigate developers' intent and awareness when performing changes alongside the evolution of the changes during the reviewing process. We extracted the code base of 18,400 reviews and 51,889 revisions. 4,171 of the reviews have changes in their computed architectural metrics, and 731 present significant changes to the architecture. We manually inspected all reviews that caused significant changes and found that developers are discussing the impact of their changes on the architectural structure in only 31% of the cases, suggesting a lack of awareness. Moreover, we noticed that in 73% of the cases in which developers provided architectural feedback during code review, the comments were addressed, where the final merged revision tended to exhibit higher architectural improvement than reviews in which the system's structure is not discussed.</t>
  </si>
  <si>
    <t>Computer architecture;Couplings;Software systems;Measurement;Software architecture;Agriculture;Java;Software architecture;code reviews;empirical software engineering</t>
  </si>
  <si>
    <t>Quaranta L,Calefato F,Lanubile F</t>
  </si>
  <si>
    <t>Pynblint: a Static Analyzer for Python Jupyter Notebooks</t>
  </si>
  <si>
    <t>48-49</t>
  </si>
  <si>
    <t>http://dx.doi.org/10.1145/3522664.3528612</t>
  </si>
  <si>
    <t>10.1145/3522664.3528612</t>
  </si>
  <si>
    <t>Jupyter Notebook is the tool of choice of many data scientists in the early stages of ML workflows. The notebook format, however, has been criticized for inducing bad programming practices; indeed, researchers have already shown that open-source repositories are inundated by poor-quality notebooks. Low-quality output from the prototypical stages of ML workflows constitutes a clear bottleneck towards the productization of ML models. To foster the creation of better notebooks, we developed Pynblint, a static analyzer for Jupyter notebooks written in Python. The tool checks the compliance of notebooks (and surrounding repositories) with a set of empirically validated best practices and provides targeted recommendations when violations are detected.CCS CONCEPTS• Software and its engineering → Software maintenance tools; Software configuration management and version control systems; • Human-centered computing → Collaborative and social computing systems and tools.</t>
  </si>
  <si>
    <t>Human computer interaction;Software maintenance;Social computing;Programming;Control systems;Floods;Artificial intelligence;Computational notebooks;lint;software quality;data science;machine learning</t>
  </si>
  <si>
    <t>Software Architecture in a Changing World</t>
  </si>
  <si>
    <t>94-97</t>
  </si>
  <si>
    <t>http://dx.doi.org/10.1109/MS.2016.149</t>
  </si>
  <si>
    <t>10.1109/MS.2016.149</t>
  </si>
  <si>
    <t>As software systems have evolved, so has software architecture, with practices growing to meet each era's new challenges. The next phase of evolution--intelligent connected systems--promises to be an exciting time for software architects.</t>
  </si>
  <si>
    <t>Computer architecture;Software architecture;Internet;Heuristic algorithms;Market research;Software systems;history of computing;software architect;software engineering;software development;Internet of Things;cloud;artificial intelligence</t>
  </si>
  <si>
    <t>758-774</t>
  </si>
  <si>
    <t>http://dx.doi.org/10.1109/TSE.2019.2903057</t>
  </si>
  <si>
    <t>Test cases are crucial to help developers preventing the introduction of software faults. Unfortunately, not all the tests are properly designed or can effectively capture faults in production code. Some measures have been defined to assess test-case effectiveness: the most relevant one is the mutation score, which highlights the quality of a test by generating the so-called mutants, i.e., variations of the production code that make it faulty and that the test is supposed to identify. However, previous studies revealed that mutation analysis is extremely costly and hard to use in practice. The approaches proposed by researchers so far have not been able to provide practical gains in terms of mutation testing efficiency. This leaves the problem of efficiently assessing test-case effectiveness as still open. In this paper, we investigate a novel, orthogonal, and lightweight methodology to assess test-case effectiveness: in particular, we study the feasibility to exploit production and test-code-quality indicators to estimate the mutation score of a test case. We first select a set of 67 factors and study their relation with test-case effectiveness. Then, we devise a mutation score estimation model exploiting such factors and investigate its performance as well as its most relevant features. The key results of the study reveal that our estimation model only based on static features has 86 percent of both F-Measure and AUC-ROC. This means that we can estimate the test-case effectiveness, using source-code-quality indicators, with high accuracy and without executing the tests. As a consequence, we can provide a practical approach that is beyond the typical limitations of current mutation testing techniques.</t>
  </si>
  <si>
    <t>Testing;Production;Estimation;Measurement;Predictive models;Machine learning;Computational modeling;Automated software testing;mutation testing;software quality</t>
  </si>
  <si>
    <t>Aniche M,Yoder J,Kon F</t>
  </si>
  <si>
    <t>Current Challenges in Practical Object-Oriented Software Design</t>
  </si>
  <si>
    <t>113-116</t>
  </si>
  <si>
    <t>2019 IEEE/ACM 41st International Conference on Software Engineering: New Ideas and Emerging Results (ICSE-NIER)</t>
  </si>
  <si>
    <t>http://dx.doi.org/10.1109/ICSE-NIER.2019.00037</t>
  </si>
  <si>
    <t>10.1109/ICSE-NIER.2019.00037</t>
  </si>
  <si>
    <t>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t>
  </si>
  <si>
    <t>Object oriented modeling;Unified modeling language;Software design;Business;Computer architecture;Libraries;software design;class design;object oriented design;domain modeling;software engineering;software architecture;object oriented programming</t>
  </si>
  <si>
    <t>930-950</t>
  </si>
  <si>
    <t>http://dx.doi.org/10.1109/TSE.2020.3007722</t>
  </si>
  <si>
    <t>Refactoring detection is crucial for a variety of applications and tasks: (i) empirical studies about code evolution, (ii) tools for library API migration, (iii) code reviews and change comprehension. However, recent research has questioned the accuracy of the state-of-the-art refactoring mining tools, which poses threats to the reliability of the detected refactorings. Moreover, the majority of refactoring mining tools depend on code similarity thresholds. Finding universal threshold values that can work well for all projects, regardless of their architectural style, application domain, and development practices is extremely challenging. Therefore, in a previous work [N. Tsantalis, M. Mansouri, L. M. Eshkevari, D. Mazinanian, and D. Dig, Accurate and efficient refactoring detection in commit history, in 40th International Conference on Software Engineering, 2018, pp. 483–494], we introduced the first refactoring mining tool that does not require any code similarity thresholds to operate. In this work, we extend our tool to support low-level refactorings that take place within the body of methods. To evaluate our tool, we created one of the most accurate, complete, and representative refactoring oracles to date, including 7,226 true instances for 40 different refactoring types detected by one (minimum) up to six (maximum) different tools, and validated by one up to four refactoring experts. Our evaluation showed that our approach achieves the highest average precision (99.6 percent) and recall (94 percent) among all competitive tools, and on median is 2.6 times faster than the second faster competitive tool.</t>
  </si>
  <si>
    <t>Tools;Open source software;Software systems;Task analysis;Libraries;Syntactics;Maintenance engineering;Refactoring mining;refactoring oracle;precision;recall;execution time;git;commit</t>
  </si>
  <si>
    <t>174-181</t>
  </si>
  <si>
    <t>2018 IEEE International Congress on Big Data (BigData Congress)</t>
  </si>
  <si>
    <t>http://dx.doi.org/10.1109/BigDataCongress.2018.00030</t>
  </si>
  <si>
    <t>Big Data does not only refer to a huge amount of diverse and heterogeneous data. It also points to the management of procedures, technologies, and competencies associated with the analysis of such data, with the aim of supporting high-quality decision making. There are, however, several obstacles to the effective management of a Big Data computation, such as data velocity, variety, and veracity, and technological complexity, which represent the main barriers towards the full adoption of the Big Data paradigm. The goal of this work is to define a new software Development Life Cycle for the design and implementation of a Big Data computation. Our proposal integrates two model-driven methods: a first method based on pre-configured services that reduces the cost of deployment and a second method based on custom component development that provides an incremental process of refinement and customization. The proposal is experimentally evaluated by clustering a data set of the distribution of the population in the United States based on contextual criteria.</t>
  </si>
  <si>
    <t>Big Data;Data models;Computational modeling;Data analysis;Complexity theory;Tuning;Proposals;Big Data Analytics;Model-Driven Development;Software Development Life Cycle</t>
  </si>
  <si>
    <t>Architectural Design Decisions for the Machine Learning Workflow</t>
  </si>
  <si>
    <t>40-51</t>
  </si>
  <si>
    <t>1558-0814</t>
  </si>
  <si>
    <t>http://dx.doi.org/10.1109/MC.2021.3134800</t>
  </si>
  <si>
    <t>10.1109/MC.2021.3134800</t>
  </si>
  <si>
    <t>We conducted a qualitative investigation of architectural decisions faced by practitioners and modeled current practices in machine learning. We describe a subset of the architectural decisions that were modeled, discuss uses for the model, and outline areas in which further research may be pursued.</t>
  </si>
  <si>
    <t>Computational modeling;Machine learning;Computer architecture;Quality assessment</t>
  </si>
  <si>
    <t>Trubiani C,Pinciroli R,Biaggi A,Fontana FA</t>
  </si>
  <si>
    <t>Automated Detection of Software Performance Antipatterns in Java-Based Applications</t>
  </si>
  <si>
    <t>http://dx.doi.org/10.1109/TSE.2023.3234321</t>
  </si>
  <si>
    <t>10.1109/TSE.2023.3234321</t>
  </si>
  <si>
    <t>The detection of performance issues in Java-based applications is not trivial since many factors concur to poor performance, and software engineers are not sufficiently supported for this task. The goal of this manuscript is the automated detection of performance problems in running systems to guarantee that no quality-based hinders prevent their successful usage. Starting from software performance antipatterns, i.e., bad practices (e.g., extensive interaction between software methods) expressing both the problem and the solution with the purpose of identifying shortcomings and promptly fixing them, we develop a framework that automatically detects seven software antipatterns capturing a variety of performance issues in Java-based applications. Our approach is applied to real-world case studies from different domains, and it captures four real-life performance issues of Hadoop and Cassandra that were not predicted by state-of-the-art approaches. As empirical evidence, we calculate the accuracy of the proposed detection rules, we show that code commits inducing and fixing real-life performance issues present interesting variations in the number of detected antipattern instances, and solving one of the detected antipatterns improves the system performance up to 50%.</t>
  </si>
  <si>
    <t>Codes;Software performance;Software;Java;Runtime;Monitoring;System performance;Dynamic analysis;java-based applications;software performance antipatterns</t>
  </si>
  <si>
    <t>Kenny R,Fallon E,Fallon S,Jacob P,Usher D</t>
  </si>
  <si>
    <t>CALAIS - A Component Analysis Learning Algorithm for Inner Source Development</t>
  </si>
  <si>
    <t>2017 UKSim-AMSS 19th International Conference on Computer Modelling &amp; Simulation (UKSim)</t>
  </si>
  <si>
    <t>2473-3520</t>
  </si>
  <si>
    <t>http://dx.doi.org/10.1109/UKSim.2017.28</t>
  </si>
  <si>
    <t>10.1109/UKSim.2017.28</t>
  </si>
  <si>
    <t>In the ever evolving world of software development, the complexity of products is increasing. This increased complexity is due to the integration of components built using multiple technologies. In this environment, companies are turning to open source software components to reduce software development time. These freely available open source components are often tried and tested by the software development community. Similar to open sourcing, inner sourcing involves the reuse of software components from other sections within large organizations. As with open sourcing, inner sourcing is experiencing a high adoption. Companies such as Philips, PayPal and Ericsson use open source software in an internal capacity to encourage the reuse of components. The challenge for system architects considering inner sourced components is to (a) determine the complexity, reliability, usage and therefore the importance of individual components within an overall product (b) assess the impact and importance of any individual component when components can differ in scale and technology. This work proposes CALAIS - A Component Analysis Learning Algorithm for Inner Source Development. CALAIS is a self-directed artificial neural network which uses historic performance to weigh the relative importance of an individual component within a system architecture. CALAIS operates by analyzing complexity, reliability, and usage. Using CALAIS, system architects can gain a fine grained view of the structural relevance of all system components proposed for inner sourcing. This view can be used to promote the delivery of high quality components within an inner source project.</t>
  </si>
  <si>
    <t>Software;Artificial neural networks;Complexity theory;Software reliability;Companies;Neurons;Inner Source; Open Source; Software Development; Component; Artificial Neural Networks</t>
  </si>
  <si>
    <t>370-372</t>
  </si>
  <si>
    <t>2019 IEEE International Conference on Software Maintenance and Evolution (ICSME)</t>
  </si>
  <si>
    <t>http://dx.doi.org/10.1109/ICSME.2019.00060</t>
  </si>
  <si>
    <t>During software maintenance, developers have different information needs (e.g., to understand what type of maintenance activity to perform, the impact of a maintenance activity and its effort). However, information to support developers may be distributed across various sources. Furthermore, information captured in formal architecture documentation may be outdated. In this paper, we put forward a late breaking idea and outline a solution to improve the productivity of developers by providing task-specific recommendations based on concrete information needs that arise during software maintenance.</t>
  </si>
  <si>
    <t>Maintenance engineering;Task analysis;Computer architecture;Software maintenance;Software architecture;software maintenance;software architecture;natural language processing;text classification</t>
  </si>
  <si>
    <t>Tieu B,Hacks S</t>
  </si>
  <si>
    <t>Determining Enterprise Architecture Smells from Software Architecture Smells</t>
  </si>
  <si>
    <t>134-142</t>
  </si>
  <si>
    <t>2021 IEEE 23rd Conference on Business Informatics (CBI)</t>
  </si>
  <si>
    <t>2378-1971</t>
  </si>
  <si>
    <t>http://dx.doi.org/10.1109/CBI52690.2021.10064</t>
  </si>
  <si>
    <t>10.1109/CBI52690.2021.10064</t>
  </si>
  <si>
    <t>Software Architectural Smells (SA smells) are design problems in the internal structure and behavior of an SA. These can be seen as a specific category under the umbrella concept of Technical Debt (TD). TD is a central concept in software development projects and having the means to detect and measure the smells is important to understand impairments they may cause. However, TD is only limited to the technical aspects and does not describe smells found on an enterprise level. Enterprise Architecture Debt (EAD) expands the concepts of TD beyond the technical aspects such that it covers the debts that can be found in all layers of an Enterprise Architecture (EA). EA smells give a measurement for EAD, by providing means for detecting the smell, hence enabling a method to quantify the level of debt. The goal of this paper is to find EA smells derived from existing SA smells. This has resulted in three new EA smells that could be used as measurements for the quality of an EA. They can also be used in the future as a basis for automatic EA smell detection.</t>
  </si>
  <si>
    <t>Software architecture;Conferences;Computer architecture;Organizations;Software;Cognition;Software measurement</t>
  </si>
  <si>
    <t>Mens T</t>
  </si>
  <si>
    <t>An Ecosystemic and Socio-Technical View on Software Maintenance and Evolution</t>
  </si>
  <si>
    <t>2016 IEEE International Conference on Software Maintenance and Evolution (ICSME)</t>
  </si>
  <si>
    <t>http://dx.doi.org/10.1109/ICSME.2016.19</t>
  </si>
  <si>
    <t>10.1109/ICSME.2016.19</t>
  </si>
  <si>
    <t>In this invited paper I focus on the difficulties of maintaining and evolving software systems that are part of a larger ecosystem. While not every software system falls under this category, software ecosystems are becoming ubiquitous due to the omnipresence of open source software. I present several challenges that arise during maintenance and evolution of software ecosystems, and I argue how some of these challenges should be addressed by adopting a socio-technical view and by relying on a multidisciplinary and mixed methods research approach. My arguments are accompanied by an extensive, though unavoidably incomplete, set of references to the state-of-the-art research in this domain.</t>
  </si>
  <si>
    <t>Ecosystems;Open source software;Collaboration;Software systems;Business;Linux;software ecosystem;socio-technical network;interdisciplinary research;mixed methods research;collaborative software engineering;empirical software engineering</t>
  </si>
  <si>
    <t>Fontana FA,Pigazzini I,Roveda R,Tamburri D,Zanoni M,Di Nitto E</t>
  </si>
  <si>
    <t>Arcan: A Tool for Architectural Smells Detection</t>
  </si>
  <si>
    <t>282-285</t>
  </si>
  <si>
    <t>2017 IEEE International Conference on Software Architecture Workshops (ICSAW)</t>
  </si>
  <si>
    <t>http://dx.doi.org/10.1109/ICSAW.2017.16</t>
  </si>
  <si>
    <t>10.1109/ICSAW.2017.16</t>
  </si>
  <si>
    <t>Code smells are sub-optimal coding circumstances such as blob classes or spaghetti code - they have received much attention and tooling in recent software engineering research. Higher-up in the abstraction level, architectural smells are problems or sub-optimal architectural patterns or other design-level characteristics. These have received significantly less attention even though they are usually considered more critical than code smells, and harder to detect, remove, and refactor. This paper describes an open-source tool called Arcan developed for the detection of architectural smells through an evaluation of several different architecture dependency issues. The detection techniques inside Arcan exploit graph database technology, allowing for high scalability in smells detection and better management of large amounts of dependencies of multiple kinds. In the scope of this paper, we focus on the evaluation of Arcan results carried out with real-life software developers to check if the architectural smells detected by Arcan are really perceived as problems and to get an overall usefulness evaluation of the tool.</t>
  </si>
  <si>
    <t>Tools;Databases;Computer architecture;Measurement;Java;Software;Shape;Software architecture;Architectural Smells;Dependency graph;Graph database</t>
  </si>
  <si>
    <t>152-165</t>
  </si>
  <si>
    <t>http://dx.doi.org/10.1109/TBDATA.2019.2921774</t>
  </si>
  <si>
    <t>There has been a very large growth in interest in big data analytics to discover patterns and insights. A major challenge in this domain is the need to combine domain knowledge – what the data means (semantics) and what it is used for – with advanced data analytics and visualization techniques to mine and communicate important information from the huge volumes of raw data. Many data analytics tools have been developed for both research and practice to assist in specifying, integrating and deploying data analytics applications. However, delivering such big data analytics applications requires a capable team with different skillsets including data scientists, software engineers and domain experts. Such teams and skillsets usually take a long time to build and have high running costs. An alternative is to provide domain experts and data scientists – the end users – with tools they can use to create and deploy complex data analytics application solutions directly with less technical skills required. In this paper we present a survey and analysis of several current research and practice approaches to supporting data analytics for end-users, identifying key strengths, weaknesses and opportunities for future research.</t>
  </si>
  <si>
    <t>Data analysis;Tools;Predictive models;Data models;Big Data;Analytical models;Software;Big data;data analytics;data science;data visualization;domain specific visual languages;machine learning</t>
  </si>
  <si>
    <t>Zhou Y,Yu Y,Ding B</t>
  </si>
  <si>
    <t>Towards MLOps: A Case Study of ML Pipeline Platform</t>
  </si>
  <si>
    <t>494-500</t>
  </si>
  <si>
    <t>2020 International Conference on Artificial Intelligence and Computer Engineering (ICAICE)</t>
  </si>
  <si>
    <t>http://dx.doi.org/10.1109/ICAICE51518.2020.00102</t>
  </si>
  <si>
    <t>10.1109/ICAICE51518.2020.00102</t>
  </si>
  <si>
    <t>The development and deployment of machine learning (ML) applications differ significantly from traditional applications in many ways, which have led to an increasing need for efficient and reliable production of ML applications and supported infrastructures. Though platforms such as TensorFlow Extended (TFX), ModelOps, and Kubeflow have provided end-to-end lifecycle management for ML applications by orchestrating its phases into multistep ML pipelines, their performance is still uncertain. To address this, we built a functional ML platform with DevOps capability from existing continuous integration (CI) or continuous delivery (CD) tools and Kubeflow, constructed and ran ML pipelines to train models with different layers and hyperparameters while time and computing resources consumed were recorded. On this basis, we analyzed the time and resource consumption of each step in the ML pipeline, explored the consumption concerning the ML platform and computational models, and proposed potential performance bottlenecks such as GPU utilization. Our work provides a valuable reference for ML pipeline platform construction in practice.</t>
  </si>
  <si>
    <t>Training;Computational modeling;Pipelines;Graphics processing units;Tools;Data models;Task analysis;MLOps;machine learning;end-to-end platform;DevOps;continuous training</t>
  </si>
  <si>
    <t>AlOmar E,Mkaouer MW,Ouni A</t>
  </si>
  <si>
    <t>Can Refactoring Be Self-Affirmed? An Exploratory Study on How Developers Document Their Refactoring Activities in Commit Messages</t>
  </si>
  <si>
    <t>51-58</t>
  </si>
  <si>
    <t>2019 IEEE/ACM 3rd International Workshop on Refactoring (IWoR)</t>
  </si>
  <si>
    <t>http://dx.doi.org/10.1109/IWoR.2019.00017</t>
  </si>
  <si>
    <t>Refactoring is a critical task in software maintenance and is usually performed to enforce best design practices, or to cope with design defects. Previous studies heavily rely on defining a set of keywords to identify refactoring commits from a list of general commits extracted from a small set of software systems. All approaches thus far consider all commits without checking whether refactorings had actually happened or not. In this paper, we aim at exploring how developers document their refactoring activities during the software life cycle. We call such activity Self-Affirmed Refactoring, which is an indication of the developer-related refactoring events in the commit messages. Our approach relies on text mining refactoring-related change messages and identifying refactoring patterns by only considering refactoring commits. We found that (1) developers use a variety of patterns to purposefully target refactoring-related activities; (2) developers tend to explicitly mention the improvement of specific quality attributes and code smells; and (3) commit messages with self-affirmed refactoring patterns tend to have more significant refactoring activity than those without.</t>
  </si>
  <si>
    <t>Data mining;History;Documentation;Manuals;Software quality;Detectors;Self-Affirmed Refactoring, Software Quality, Mining Software Repositories</t>
  </si>
  <si>
    <t>Ludwig J,Cline D</t>
  </si>
  <si>
    <t>Challenges in Explaining Source Code Quality Assessment</t>
  </si>
  <si>
    <t>2022 IEEE Aerospace Conference (AERO)</t>
  </si>
  <si>
    <t>http://dx.doi.org/10.1109/AERO53065.2022.9843840</t>
  </si>
  <si>
    <t>10.1109/AERO53065.2022.9843840</t>
  </si>
  <si>
    <t>Creating and maintaining high-quality source code is especially important for critical systems such as those made for aerospace and military domains as well as for software product lines where long-lived, reusable modules are intended to be shared by multiple systems. CBR-Insight is an open-source automated assessment tool that relies on data science and interface design to provide an objective and understandable measure of source code quality. CBR-Insight supports the ability of technical and non-technical decision makers to verify that a project's software implementation follows through on promises around developing and sustaining reliable and maintainable software while managing technical debt. The primary contribution of this work is an in-depth discussion on how source code quality assessment is communicated to the entire development team in CBR-Insight, spanning from non-technical decision makers overseeing the project to the software developers responsible for source code. Specific issues discussed include understandability of the explanations provided by the user interface along with transparency and trust in the underlying, technically complex, calculations and scoring algorithms.</t>
  </si>
  <si>
    <t>Codes;Software quality;User interfaces;Software;Quality assessment;Software reliability;Software product lines</t>
  </si>
  <si>
    <t>Baabad A,Zulzalil HB,Hassan S,Baharom SB</t>
  </si>
  <si>
    <t>Software Architecture Degradation in Open Source Software: A Systematic Literature Review</t>
  </si>
  <si>
    <t>173681-173709</t>
  </si>
  <si>
    <t>http://dx.doi.org/10.1109/ACCESS.2020.3024671</t>
  </si>
  <si>
    <t>10.1109/ACCESS.2020.3024671</t>
  </si>
  <si>
    <t>Software architecture (SA) has a prominent role in all stages of system development. Given the persistent evolution of software systems over time, SA tends to be eroded or degraded. Such phenomenon is called architectural degradation. In light of this phenomenon, the current study focuses on problems of architectural erosion in the open-source software (OSS). There has been a significant research activity on the OSS over the last decade. Nonetheless, the architectural degradation problems in the OSS are still scattered and disorganized. In addition, there has been no systematic attempt made on existing studies to provide evidence, insight and better understanding for researchers and practitioners. The main objective of the present study is to provide a profound understanding and to review the existing studies on the architectural erosion of the OSS. In this study, we conduct a systematic literature review (SLR) to gather, organize, classify, and analyze the architectural degradation of previous papers published until the year 2020. The data for this study were collected from eight major online databases (ACM, Springer, ScienceDirect, Taylor, IEEE Explorer, Scopus, Web of Science, and Wiley). A total of 74 primary studies were identified as the final samples of this research. The results indicated that rapid software evolution, frequent changes, and the lack of developers' awareness are the most common causes occurred in architecture degradation. Meanwhile, the prominent key indicators of architectural erosion symptoms are code smells and architectural smells. Additionally, the results indicated the most commonly used of the proposed solution for addressing architectural erosion is the metrics-based strategy. Acknowledging the limitations of the current study, more studies are needed that focus on determining other causes that are still ambiguous and improving the other solutions to provide better results in the precision and effectiveness of addressing architectural erosion.</t>
  </si>
  <si>
    <t>Degradation;Computer architecture;Software architecture;Open source software;Systematics;Bibliographies;Software architecture;architectural degradation;architectural erosion;open-source;OSS;systematic literature review</t>
  </si>
  <si>
    <t>Navaneeth V,Krithik Vasan B,Mageshwar S,Mercy W</t>
  </si>
  <si>
    <t>Building a Backend-as-a-Service Platform in Kubernetes</t>
  </si>
  <si>
    <t>894-899</t>
  </si>
  <si>
    <t>2022 3rd International Conference on Smart Electronics and Communication (ICOSEC)</t>
  </si>
  <si>
    <t>http://dx.doi.org/10.1109/ICOSEC54921.2022.9951895</t>
  </si>
  <si>
    <t>10.1109/ICOSEC54921.2022.9951895</t>
  </si>
  <si>
    <t>Cloudbase(our Backend-as-a-service platform), provides a system of services that helps improve developer productivity and reduce technical debt. It offers out-of-the-box solutions to common problems faced by a development team working on a typical project. The aim is to reduce the man hours spent on menial tasks and instead focus on working on the core product. Therefore the end-user of our system is the developer or the development team. The core product of Cloudbase centers around Server-less computing. The theme of the entire service is that the user should not worry about the scaling and the management of the underlying infrastructure.</t>
  </si>
  <si>
    <t>Productivity;Computational modeling;Buildings;Teamwork;Task analysis;Kubernetes;Server-less;Backend-as-a-Service;Cloud computing;Authentication;Hosting;Kaniko.</t>
  </si>
  <si>
    <t>Toward Predicting Architectural Significance of Implementation Issues</t>
  </si>
  <si>
    <t>215-219</t>
  </si>
  <si>
    <t>In a software system's development lifecycle, engineers make numerous design decisions that subsequently cause architectural change in the system. Previous studies have shown that, more often than not, these architectural changes are unintentional by-products of continual software maintenance tasks. The result of inadvertent architectural changes is accumulation of technical debt and deterioration of software quality. Despite their important implications, there is a relative shortage of techniques, tools, and empirical studies pertaining to architectural design decisions. In this paper, we take a step toward addressing that scarcity by using the information in the issue and code repositories of open-source software systems to investigate the cause and frequency of such architectural design decisions. Furthermore, building on these results, we develop a predictive model that is able to identify the architectural significance of newly submitted issues, thereby helping engineers to prevent the adverse effects of architectural decay. The results of this study are based on the analysis of 21,062 issues affecting 301 versions of 5 large open-source systems for which the code changes and issues were publicly accessible.</t>
  </si>
  <si>
    <t>Computer architecture;Software systems;Data mining;Open source software;Manganese;Task analysis;Architectural Design Decisions;Implementation Issues;Architectural Change Prediction</t>
  </si>
  <si>
    <t>How does contributors involvement influence open source systems</t>
  </si>
  <si>
    <t>2017 IEEE 28th Annual Software Technology Conference (STC)</t>
  </si>
  <si>
    <t>http://dx.doi.org/10.1109/STC.2017.8234462</t>
  </si>
  <si>
    <t>10.1109/STC.2017.8234462</t>
  </si>
  <si>
    <t>Open source software systems are based on the principle of open collaboration for innovation and production. They highly depend on volunteer developers contributions for their existence and continuity; attracting new volunteer developers is crucial for the OSS community sustainability. However, new developers might be hesitant to join and participate to a project due to many obstacles such as lack of awareness and guidelines in the OSS community and inability for long-term commitment and dedication which might result in a low retention rate. In the OSS community, contributors come from different backgrounds and skill levels, and they have different levels of participation in the system. They can be categorized into core and peripheral based on the frequency of the commits they author. While it is acknowledged that developers have different levels of participation to a software system, little is known about how different degrees of contribution impact the OSS system. In this study, we explore whether core and peripheral developers contributions to the OSS systems vary in terms of type and quality by analyzing a total of 19,580 commits from 38 Apache Java software systems to better understand how different levels of developers involvement within a software system relate to the type and quality of the their contributions.</t>
  </si>
  <si>
    <t>Software systems;Java;Open source software;Tools;Computer bugs;Security</t>
  </si>
  <si>
    <t>Fabijan A,Arai B,Dmitriev P,Vermeer L</t>
  </si>
  <si>
    <t>It takes a Flywheel to Fly: Kickstarting and Growing the A/B testing Momentum at Scale</t>
  </si>
  <si>
    <t>109-118</t>
  </si>
  <si>
    <t>http://dx.doi.org/10.1109/SEAA53835.2021.00023</t>
  </si>
  <si>
    <t>10.1109/SEAA53835.2021.00023</t>
  </si>
  <si>
    <t>Companies run A/B tests to accelerate innovation and make informed data-driven decisions. At Microsoft alone, over twenty thousand A/B tests are ran each year helping decide which features maximize user value. Not all teams and companies succeed in establishing and growing their A/B testing programs. In this paper, we explore multiple-case studies at Microsoft, Outreach, Booking.com, and empirical data collected, and share our learnings for iteratively adopting and growing A/B testing. The main contribution of this paper is the A/B Testing Flywheel. This conceptual model illustrates iteratively navigating the value-investment cycle with the goal to scale A/B testing. In every turn of the flywheel, teams need to invest in order to increase the A/B testing momentum. We describe the investments in software development processes that have been advantageous in getting the flywheel to turn. We also share example metrics that track the progress towards sustainable A/B testing momentum.</t>
  </si>
  <si>
    <t>Measurement;Technological innovation;Navigation;Pipelines;Companies;Life estimation;Software;A/B Testing;Online Controlled Experiments;Flywheel;Data-Driven Culture</t>
  </si>
  <si>
    <t>Zhang X,Zou W,Chen L,Li Y,Zhou Y</t>
  </si>
  <si>
    <t>Towards the Analysis and Completion of Syntactic Structure Ellipsis for Inline Comments</t>
  </si>
  <si>
    <t>http://dx.doi.org/10.1109/TSE.2022.3216279</t>
  </si>
  <si>
    <t>10.1109/TSE.2022.3216279</t>
  </si>
  <si>
    <t>The ellipsis of the syntactic structure is a common phenomenon in ordinary textual documents. Existing studies have found that despite syntactic ellipsis could help avoid repetition of normative documents, it could also, for example, lead to ambiguity and hamper the understandability of document contents. As a fundamental component of software, code comments are generally written by developers in a non-structured way just like normative documents. This naturally inspires us to explore whether syntactic ellipsis is also a common phenomenon in code comments and what potential negative effects would such ellipsis have on software tasks such as code/comments comprehension activities. Such explorations, in our opinion, are expected to facilitate the research on code comments and comments-related software tasks. To this end, we conduct the first large-scale study to explore the syntactic structure ellipsis problem of code comments, with a focus on Java inline comments. Specifically, we construct a data set of 1,000 Java projects with 1,307,457 inline comments and associated codes. Based on this data set, we first study the prevalence of syntactic structure ellipsis in inline comments. We find that syntactic structure ellipsis is quite common in inline comments where 83.6% comments have structure ellipsis (such as subject/predicate omissions). Then, we investigate the effects of syntactic structure ellipsis on code/comment understanding activities. As a result, we find that there indeed exists a negative relationship between them, with a medium effect size. Based on these findings, we further propose neural network based approaches to complete the ellipsis parts for the inline comments. With our approach, we could achieve: 1) a medium improvement in assisting code/comment understanding activities, and 2) a substantial improvement of 11.3% in comment-assisted code abbreviation extension task.</t>
  </si>
  <si>
    <t>Codes;Syntactics;Task analysis;Software;Java;Training;Software development management;Inline comments;syntactic structure;ellipsis analysis;ellipsis completion</t>
  </si>
  <si>
    <t>Massacci F,Pashchenko I</t>
  </si>
  <si>
    <t>Technical Leverage in a Software Ecosystem: Development Opportunities and Security Risks</t>
  </si>
  <si>
    <t>1386-1397</t>
  </si>
  <si>
    <t>http://dx.doi.org/10.1109/ICSE43902.2021.00125</t>
  </si>
  <si>
    <t>10.1109/ICSE43902.2021.00125</t>
  </si>
  <si>
    <t>In finance, leverage is the ratio between assets borrowed from others and one's own assets. A matching situation is present in software: by using free open-source software (FOSS) libraries a developer leverages on other people's code to multiply the offered functionalities with a much smaller own codebase. In finance as in software, leverage magnifies profits when returns from borrowing exceed costs of integration, but it may also magnify losses, in particular in the presence of security vulnerabilities. We aim to understand the level of technical leverage in the FOSS ecosystem and whether it can be a potential source of security vulnerabilities. Also, we introduce two metrics change distance and change direction to capture the amount and the evolution of the dependency on third-party libraries. The application of the proposed metrics on 8494 distinct library versions from the FOSS Maven-based Java libraries shows that small and medium libraries (less than 100KLoC) have disproportionately more leverage on FOSS dependencies in comparison to large libraries. We show that leverage pays off as leveraged libraries only add a 4% delay in the time interval between library releases while providing four times more code than their own. However, libraries with such leverage (i.e., 75% of libraries in our sample) also have 1.6 higher odds of being vulnerable in comparison to the libraries with lower leverage. We provide an online demo for computing the proposed metrics for real-world software libraries available under the following URL: https://techleverage.eu/.</t>
  </si>
  <si>
    <t>Measurement;Uniform resource locators;Ecosystems;Finance;Libraries;Security;Open source software;software security;dependencies;vulnerabilities;leverage;technical debt;empirical analysis;Maven;free open source software</t>
  </si>
  <si>
    <t>Butler S,Gamalielsson J,Lundell B,Brax C,Sjöberg J,Mattsson A,Gustavsson T,Feist J,Lönroth E</t>
  </si>
  <si>
    <t>On Company Contributions to Community Open Source Software Projects</t>
  </si>
  <si>
    <t>1381-1401</t>
  </si>
  <si>
    <t>http://dx.doi.org/10.1109/TSE.2019.2919305</t>
  </si>
  <si>
    <t>10.1109/TSE.2019.2919305</t>
  </si>
  <si>
    <t>The majority of contributions to community open source software (OSS) projects are made by practitioners acting on behalf of companies and other organisations. Previous research has addressed the motivations of both individuals and companies to engage with OSS projects. However, limited research has been undertaken that examines and explains the practical mechanisms or work practices used by companies and their developers to pursue their commercial and technical objectives when engaging with OSS projects. This research investigates the variety of work practices used in public communication channels by company contributors to engage with and contribute to eight community OSS projects. Through interviews with contributors to the eight projects we draw on their experiences and insights to explore the motivations to use particular methods of contribution. We find that companies utilise work practices for contributing to community projects which are congruent with the circumstances and their capabilities that support their short- and long-term needs. We also find that companies contribute to community OSS projects in ways that may not always be apparent from public sources, such as employing core project developers, making donations, and joining project steering committees in order to advance strategic interests. The factors influencing contributor work practices can be complex and are often dynamic arising from considerations such as company and project structure, as well as technical concerns and commercial strategies. The business context in which software created by the OSS project is deployed is also found to influence contributor work practices.</t>
  </si>
  <si>
    <t>Companies;Software;Technological innovation;Collaboration;Interviews;Licenses;Open source software;company contribution;work practices</t>
  </si>
  <si>
    <t>López-Fernández D,Díaz J,García J,Pérez J,González-Prieto Á</t>
  </si>
  <si>
    <t>DevOps Team Structures: Characterization and Implications</t>
  </si>
  <si>
    <t>3716-3736</t>
  </si>
  <si>
    <t>http://dx.doi.org/10.1109/TSE.2021.3102982</t>
  </si>
  <si>
    <t>10.1109/TSE.2021.3102982</t>
  </si>
  <si>
    <t>Context: DevOps can be defined as a cultural movement to improve and accelerate the delivery of business value by making the collaboration between development and operations effective. Objective: This paper aims to help practitioners and researchers to better understand the organizational structure and characteristics of teams adopting DevOps. Method: We conducted an exploratory study by leveraging in-depth, semi-structured interviews with relevant stakeholders of 31 multinational software-intensive companies, together with industrial workshops and observations at organizations’ facilities that supported triangulation. We used Grounded Theory as qualitative research method to explore the structure and characteristics of teams, and statistical analysis to discover their implications in software delivery performance. Results: We describe a taxonomy of team structures that shows emerging, stable and consolidated product teams that are classified according to six variables, such as collaboration frequency, product ownership sharing, and autonomy, among others, as well as their implications on software delivery performance. These teams are often supported by horizontal teams (DevOps platform teams, Centers of Excellence, and chapters) that provide them with platform technical capabilities, mentoring and evangelization, and even temporarily may facilitate human resources. Conclusion: This study aims to strengthen evidence and support practitioners in making better informed about organizational team structures by analyzing their main characteristics and implications in software delivery performance.</t>
  </si>
  <si>
    <t>Software;Companies;Interviews;Taxonomy;Telecommunications;Stakeholders;Collaboration;DevOps;team structures;grounded theory</t>
  </si>
  <si>
    <t>254-261</t>
  </si>
  <si>
    <t>http://dx.doi.org/10.1109/ICSA-C.2019.00053</t>
  </si>
  <si>
    <t>As a software system evolves, the amount and complexity of the interactions amongst its components is likely to increase, which negatively affects the system design structure and also its quality. For instance, certain modules might become coupled due to a new user feature being added or to suboptimal development decisions. Design degradation symptoms are often related to high coupling and unwanted dependencies, such as: cyclic dependencies or violations to design rules, amongst other architectural smells. Thus, the early detection of such symptoms is important for architects to: i) anticipate dependency-related design problems in different parts of the system, ii) assess possible situations of technical debt, and iii) proactively look for solutions to preserve the quality of the system. Although there are approaches that analyse design dependencies in code bases and flag smell occurrences, very few of them have dealt with the prediction of dependency relations amongst software components. This research hypothesises that a predictive approach can warn architects about dependency-related problems before they appear. To this end, a particular graph-based approach is social networks analysis (SNA), which has been used for modelling both nature and human phenomena. Specifically, SNA techniques can predict links that do not yet exist between pairs of nodes in a network. SNA applications have shown evidence that the topological features of dependency graphs can reveal interesting properties of the software system under analysis. Nonetheless, SNA techniques have not yet been extensively exploited in the Software Architecture community. In this context, the question that motivates this research is to what extent SNA can leverage on information from a software design (and its evolution over time) for inferring new dependencies and likely configurations of architectural smells out of those dependencies.</t>
  </si>
  <si>
    <t>Measurement;Social networking (online);Computer architecture;Software architecture;Software systems;Software design</t>
  </si>
  <si>
    <t>Chongpakdee P,Vatanawood W</t>
  </si>
  <si>
    <t>Estimating user story points using document fingerprints</t>
  </si>
  <si>
    <t>149-152</t>
  </si>
  <si>
    <t>2017 8th IEEE International Conference on Software Engineering and Service Science (ICSESS)</t>
  </si>
  <si>
    <t>2327-0594</t>
  </si>
  <si>
    <t>http://dx.doi.org/10.1109/ICSESS.2017.8342885</t>
  </si>
  <si>
    <t>10.1109/ICSESS.2017.8342885</t>
  </si>
  <si>
    <t>In Scrum process, there are several techniques for estimating user story points such as planning poker, expert judgment and analogy. The effort estimation might be performed by the inexperienced team members who are unfamiliar with the particular business domain involved. To improve the estimation performance, the historical data of the similar user story points from the previous successful projects are considered useful and guiding as the analogous estimation. In this paper, we exploit an alternative searching technique, called the document fingerprints, to retrieve the similar issues from the public repository of project management assets, called JIRA. We also use MMRE and Benchmarking class to evaluate the effectiveness and efficiency of our searching algorithm. The results show that the document fingerprints technique works reasonably well, especially for the user stories regarding the existing business domain.</t>
  </si>
  <si>
    <t>Estimation;Tools;Fingerprint recognition;Search engines;Task analysis;Software;Feature extraction;estimation;user story points;scrum;document fingerprints</t>
  </si>
  <si>
    <t>Bhave A,Sinha R</t>
  </si>
  <si>
    <t>Deep Multimodal Architecture for Detection of Long Parameter List and Switch Statements using DistilBERT</t>
  </si>
  <si>
    <t>116-120</t>
  </si>
  <si>
    <t>2022 IEEE 22nd International Working Conference on Source Code Analysis and Manipulation (SCAM)</t>
  </si>
  <si>
    <t>http://dx.doi.org/10.1109/SCAM55253.2022.00018</t>
  </si>
  <si>
    <t>10.1109/SCAM55253.2022.00018</t>
  </si>
  <si>
    <t>Code smell detection and refactoring are crucial to sustain quality, reduce complexity and increase the efficiency of a software application. Code smells are observable patterns in the source code of a program that indicate deeper structural issues. Most traditional methods for code smell classification rely exclusively on structural object-oriented metrics and manually-designed heuristics. We propose a novel multimodal deep learning approach that combines structural and semantic information to detect two commonly-encountered code smells: Long Parameter Lists and Switch Statements. The presented architecture applies transfer learning on DistilBERT to generate vector embeddings representing classes and methods concatenated with numerical metrics for joint feature extraction using CNN, to build a complex mapping between the features and predict the output as smelly or non-smelly. Subsequently, to perform a holistic comparative analysis we also implement two multimodal machine learning pipelines, the first employs a sci-kit learn TF-IDF Vectorizer with Random Forest Classifier, and the second merges CNN with Bi-LSTM. Our approach achieves an accuracy of 91.2% as corroborated by experimental evaluation, outperforming the state-of-the-art techniques.</t>
  </si>
  <si>
    <t>Measurement;Codes;Source coding;Transfer learning;Semantics;Switches;Computer architecture;Code Smell Classification;Code Refactoring;Multimodal Deep Learning;Long Parameter Lists;Switch Statements</t>
  </si>
  <si>
    <t>Ebert C,Kirschke-Biller F</t>
  </si>
  <si>
    <t>Agile Systems Engineering</t>
  </si>
  <si>
    <t>http://dx.doi.org/10.1109/MS.2021.3071806</t>
  </si>
  <si>
    <t>10.1109/MS.2021.3071806</t>
  </si>
  <si>
    <t>There is no software without systems engineering. Software is always part of a bigger system. Even a simple application interacting with a human user consists of software building blocks, a service delivery, various hardware systems, user experience, energy management, connectivity and many more. Systems engineering or systems thinking, as it is often called, ensures that products deliver more value than the capabilities of their individual parts. Such value beyond the individual components is what we call a system, or even a system of systems. A system is a set of interacting elements that together achieve a purpose.</t>
  </si>
  <si>
    <t>User experience;Systems thinking;System of systems;Hardware;Energy management;Agile software development</t>
  </si>
  <si>
    <t>Mo R,Cai Y,Kazman R,Xiao L,Feng Q</t>
  </si>
  <si>
    <t>Architecture Anti-Patterns: Automatically Detectable Violations of Design Principles</t>
  </si>
  <si>
    <t>1008-1028</t>
  </si>
  <si>
    <t>http://dx.doi.org/10.1109/TSE.2019.2910856</t>
  </si>
  <si>
    <t>10.1109/TSE.2019.2910856</t>
  </si>
  <si>
    <t>In large-scale software systems, error-prone or change-prone files rarely stand alone. They are typically architecturally connected and their connections usually exhibit architecture problems causing the propagation of error-proneness or change-proneness. In this paper, we propose and empirically validate a suite of architecture anti-patterns that occur in all large-scale software systems and are involved in high maintenance costs. We define these architecture anti-patterns based on fundamental design principles and Baldwin and Clark's design rule theory. We can automatically detect these anti-patterns by analyzing a project's structural relationships and revision history. Through our analyses of 19 large-scale software projects, we demonstrate that these architecture anti-patterns have significant impact on files' bug-proneness and change-proneness. In particular, we show that 1) files involved in these architecture anti-patterns are more error-prone and change-prone; 2) the more anti-patterns a file is involved in, the more error-prone and change-prone it is; and 3) while all of our defined architecture anti-patterns contribute to file's error-proneness and change-proneness, Unstable Interface and Crossing contribute the most by far.</t>
  </si>
  <si>
    <t>Computer architecture;Maintenance engineering;History;Software systems;Tools;Observers;Java;Software architecture;software maintenance;software quality</t>
  </si>
  <si>
    <t>Golendukhina V,Lenarduzzi V,Felderer M</t>
  </si>
  <si>
    <t>What is Software Quality for AI Engineers? Towards a Thinning of the Fog</t>
  </si>
  <si>
    <t>http://dx.doi.org/10.1145/3522664.3528599</t>
  </si>
  <si>
    <t>10.1145/3522664.3528599</t>
  </si>
  <si>
    <t>It is often overseen that AI-enabled systems are also software systems and therefore rely on software quality assurance (SQA). Thus, the goal of this study is to investigate the software quality assurance strategies adopted during the development, integration, and maintenance of AI/ML components and code. We conducted semi-structured interviews with representatives of ten Austrian SMEs that develop AI-enabled systems. A qualitative analysis of the interview data identified 12 issues in the development of AI/ML components. Furthermore, we identified when quality issues arise in AI/ML components and how they are detected. The results of this study should guide future work on software quality assurance processes and techniques for AI/ML components.</t>
  </si>
  <si>
    <t>Training;Codes;Software quality;Maintenance engineering;Programming;Software systems;Libraries;AI;Machine Learning;Software Quality;Empirical Study</t>
  </si>
  <si>
    <t>58-67</t>
  </si>
  <si>
    <t>http://dx.doi.org/10.1109/ESEM.2017.12</t>
  </si>
  <si>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t>
  </si>
  <si>
    <t>Software;Merging;Computer bugs;Tools;Software measurement;Semantics;Code Smell;Merge Conflict;Empirical Analysis;Machine Learning</t>
  </si>
  <si>
    <t>Rabbani SM,Ahmad Gulzar N,Arshad S,Abid S,Shamail S</t>
  </si>
  <si>
    <t>A Comparative Analysis of Clone Detection Techniques on SemanticCloneBench</t>
  </si>
  <si>
    <t>16-22</t>
  </si>
  <si>
    <t>2022 IEEE 16th International Workshop on Software Clones (IWSC)</t>
  </si>
  <si>
    <t>2572-6587</t>
  </si>
  <si>
    <t>http://dx.doi.org/10.1109/IWSC55060.2022.00011</t>
  </si>
  <si>
    <t>10.1109/IWSC55060.2022.00011</t>
  </si>
  <si>
    <t>Semantic code clone detection involves the detection of functionally similar code fragments which may otherwise be lexically, syntactically, or structurally dissimilar. The detection of semantic code clones has important applications in aspect mining and product line analysis. The accurate detection of semantic code clones is a challenging task and various techniques have been proposed. However, the evaluation of these techniques is performed using various datasets and we do not have a clear picture of the performance of these techniques relative to each other. Recently, SemanticCloneBench has been introduced as a benchmark for semantic clones. Now, we can use the SemanticCloneBench to effectively evaluate and compare the performance of semantic code clone detection techniques. In this paper, we compare the semantic code clone detection performance of three different code clone detection techniques namely FACER-CD, CodeBERT and NIL for Java code clones using SemanticCloneBench. FACER-CD performs API usage similarity-based clustering to detect clones, while CodeBERT is a deep-learning based approach which uses a pre-trained programming language model, and NIL is a token-based large-gapped code clones detector. FACER-CD, NIL, and CodeBERT show a recall of 64.3%, 12.7%, and 83.2% respectively on SemanticCloneBench. Using all three techniques together on the SemanticCloneBench dataset gives us an overall recall of 95.5% which is currently the best performance achieved on SemanticCloneBench.</t>
  </si>
  <si>
    <t>Deep learning;Java;Codes;Conferences;Semantics;Neural networks;Cloning;Semantic Clone Detection;Semantic-CloneBench;Deep Learning;Semantic Similarity;CodeBERT;Large-Variance Clones</t>
  </si>
  <si>
    <t>Yaraghi AS,Bagherzadeh M,Kahani N,Briand L</t>
  </si>
  <si>
    <t>Scalable and Accurate Test Case Prioritization in Continuous Integration Contexts</t>
  </si>
  <si>
    <t>http://dx.doi.org/10.1109/TSE.2022.3184842</t>
  </si>
  <si>
    <t>10.1109/TSE.2022.3184842</t>
  </si>
  <si>
    <t>Continuous Integration (CI) requires efficient regression testing to ensure software quality without significantly delaying its CI builds. This warrants the need for techniques to reduce regression testing time, such as Test Case Prioritization (TCP) techniques that prioritize the execution of test cases to detect faults as early as possible. Many recent TCP studies employ various Machine Learning (ML) techniques to deal with the dynamic and complex nature of CI. However, most of them use a limited number of features for training ML models and evaluate the models on subjects for which the application of TCP makes little practical sense, due to their small regression testing time and low number of failed builds. In this work, we first define, at a conceptual level, a data model that captures data sources and their relations in a typical CI environment. Second, based on this data model, we define a comprehensive set of features that covers all features previously used by related studies. Third, we develop methods and tools to collect the defined features for 25 open-source software systems with enough failed builds and whose regression testing takes at least five minutes. Fourth, relying on the collected dataset containing a comprehensive feature set, we answer four research questions concerning data collection time, the effectiveness of ML-based TCP, the impact of the features on effectiveness, the decay of ML-based TCP models over time, and the trade-off between data collection time and the effectiveness of ML-based TCP techniques.</t>
  </si>
  <si>
    <t>Feature extraction;Codes;Testing;History;Training;Data collection;Computational modeling;Continuous integration;machine learning;software testing;test case prioritization;test case selection</t>
  </si>
  <si>
    <t>Sondhi D,Gupta A,Purandare S,Rana A,Kaushal D,Purandare R</t>
  </si>
  <si>
    <t>On Indirectly Dependent Documentation in the Context of Code Evolution: A Study</t>
  </si>
  <si>
    <t>1498-1509</t>
  </si>
  <si>
    <t>http://dx.doi.org/10.1109/ICSE43902.2021.00134</t>
  </si>
  <si>
    <t>10.1109/ICSE43902.2021.00134</t>
  </si>
  <si>
    <t>A software system evolves over time due to factors such as bug-fixes, enhancements, optimizations and deprecation. As entities interact in a software repository, the alterations made at one point may require the changes to be reflected at various other points to maintain consistency. However, often less attention is given to making appropriate changes to the documentation associated with the functions. Inconsistent documentation is undesirable, since documentation serves as a useful source of information about the functionality. This paper presents a study on the prevalence of function documentations that are indirectly or implicitly dependent on entities other than the associated function. We observe a substantial presence of such documentations, with 62% of the studied Javadoc comments being dependent on other entities, as studied in 11 open-source repositories implemented in Java. We comprehensively analyze the nature of documentation updates made in 1288 commit logs and study patterns to reason about the cause of dependency in the documentation. Our findings from the observed patterns may be applied to suggest documentations that should be updated on making a change in the repository.</t>
  </si>
  <si>
    <t>Target tracking;Documentation;Feature extraction;Software systems;Open source software;Optimization;Software engineering;code evolution, GitHub repositories, documentation, commits</t>
  </si>
  <si>
    <t>Wolf M,Logan J,Mehta K,Jacobson D,Cashman M,Walker AM,Eisenhauer G,Widener P,Cliff A</t>
  </si>
  <si>
    <t>Reusability First: Toward FAIR Workflows</t>
  </si>
  <si>
    <t>444-455</t>
  </si>
  <si>
    <t>2021 IEEE International Conference on Cluster Computing (CLUSTER)</t>
  </si>
  <si>
    <t>2168-9253</t>
  </si>
  <si>
    <t>http://dx.doi.org/10.1109/Cluster48925.2021.00053</t>
  </si>
  <si>
    <t>10.1109/Cluster48925.2021.00053</t>
  </si>
  <si>
    <t>The FAIR principles of open science (Findable, Accessible, Interoperable, and Reusable) have had transformative effects on modern large-scale computational science. In particular, they have encouraged more open access to and use of data, an important consideration as collaboration among teams of researchers accelerates and the use of workflows by those teams to solve problems increases. How best to apply the FAIR principles to workflows themselves, and software more generally, is not yet well understood. We argue that the software engineering concept of technical debt management provides a useful guide for application of those principles to workflows, and in particular that it implies reusability should be considered as ‘first among equals’. Moreover, our approach recognizes a continuum of reusability where we can make explicit and selectable the tradeoffs required in workflows for both their users and developers.To this end, we propose a new abstraction approach for reusable workflows, with demonstrations for both synthetic workloads and real-world computational biology workflows. Through application of novel systems and tools that are based on this abstraction, these experimental workflows are refactored to rightsize the granularity of workflow components to efficiently fill the gap between end-user simplicity and general customizability. Our work makes it easier to selectively reason about and automate the connections between trade-offs across user and developer concerns when exposing degrees of freedom for reuse. Additionally, by exposing fine-grained reusability abstractions we enable performance optimizations, as we demonstrate on both institutional-scale and leadership-class HPC resources.</t>
  </si>
  <si>
    <t>Automation;Scientific computing;Open Access;Semantics;Metadata;Tools;Data encapsulation;Workflows;FAIR;Reusability;Distributed Information systems;Middleware</t>
  </si>
  <si>
    <t>Pautasso C,Zimmermann O,Amundsen M,Lewis J,Josuttis N</t>
  </si>
  <si>
    <t>Microservices in Practice, Part 2: Service Integration and Sustainability</t>
  </si>
  <si>
    <t>97-104</t>
  </si>
  <si>
    <t>http://dx.doi.org/10.1109/MS.2017.56</t>
  </si>
  <si>
    <t>10.1109/MS.2017.56</t>
  </si>
  <si>
    <t>Service-oriented architecture (SOA) and microservices insiders Mike Amundsen, James Lewis, and Nicolai Josuttis share their experiences and predictions with department editors Cesare Pautasso and Olaf Zimmermann.</t>
  </si>
  <si>
    <t>Service-oriented architecture;Protocols;Data models;Semantics;Sustainable development;microservices;service-oriented architecture;SOA;domain-driven design;DDD;enterprise service bus;HTTP;Mike Amundsen;James Lewis;Nicolai Josuttis;software engineering;software development</t>
  </si>
  <si>
    <t>736-748</t>
  </si>
  <si>
    <t>http://dx.doi.org/10.1145/3510003.3510225</t>
  </si>
  <si>
    <t>Over the years, researchers capitalized on the repetitiveness of software changes to automate many software evolution tasks. Despite the extraordinary rise in popularity of Python-based ML systems, they do not benefit from these advances. Without knowing what are the repetitive changes that ML developers make, researchers, tool, and library designers miss opportunities for automation, and ML developers fail to learn and use best coding practices. To fill the knowledge gap and advance the science and tooling in ML software evolution, we conducted the first and most fine-grained study on code change patterns in a diverse corpus of 1000 top-rated ML systems comprising 58 million SLOC. To conduct this study we reuse, adapt, and improve upon the state-of-the-art repetitive change mining techniques. Our novel tool, R-CPATMINER, mines over 4M commits and constructs 350K fine-grained change graphs and detects 28K change patterns. Using thematic analysis, we identified 22 pattern groups and we reveal 4 major trends of how ML developers change their code. We surveyed 650 ML developers to further shed light on these patterns and their applications, and we received a 15% response rate. We present actionable, empirically-justified implications for four audiences: (i) researchers, (ii) tool builders, (iii) ML library vendors, and (iv) developers and educators.</t>
  </si>
  <si>
    <t>Java;Codes;Market research;Software systems;Libraries;Data mining;History;Refactoring;Repetition;Code changes;Machine learning;Python</t>
  </si>
  <si>
    <t>Calefato F,Lanubile F,Novielli N,Quaranta L</t>
  </si>
  <si>
    <t>EMTk - The Emotion Mining Toolkit</t>
  </si>
  <si>
    <t>34-37</t>
  </si>
  <si>
    <t>2019 IEEE/ACM 4th International Workshop on Emotion Awareness in Software Engineering (SEmotion)</t>
  </si>
  <si>
    <t>http://dx.doi.org/10.1109/SEmotion.2019.00014</t>
  </si>
  <si>
    <t>10.1109/SEmotion.2019.00014</t>
  </si>
  <si>
    <t>The Emotion Mining Toolkit (EMTk) is a suite of modules and datasets offering a comprehensive solution for mining sentiment and emotions from technical text contributed by developers on communication channels. The toolkit is written in Java, Python, and R, and is released under the MIT open source license. In this paper, we describe its architecture and the benchmark against the previous, standalone versions of our sentiment analysis tools. Results show large improvements in terms of speed.</t>
  </si>
  <si>
    <t>Tools;Computational modeling;Training;Gold;Feature extraction;Mood;Java;sentiment analysis, emotion mining, social software engineering</t>
  </si>
  <si>
    <t>Corley CS,Damevski K,Kraft NA</t>
  </si>
  <si>
    <t>Changeset-Based Topic Modeling of Software Repositories</t>
  </si>
  <si>
    <t>1068-1080</t>
  </si>
  <si>
    <t>http://dx.doi.org/10.1109/TSE.2018.2874960</t>
  </si>
  <si>
    <t>10.1109/TSE.2018.2874960</t>
  </si>
  <si>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</si>
  <si>
    <t>Task analysis;Standards;Feature extraction;Resource management;Software maintenance;Maintenance engineering;Changesets;feature location;developer identification;program comprehension;mining software repositories;online topic modeling</t>
  </si>
  <si>
    <t>Your System Gets Better Every Day You Use It: Towards Automated Continuous Experimentation</t>
  </si>
  <si>
    <t>256-265</t>
  </si>
  <si>
    <t>2017 43rd Euromicro Conference on Software Engineering and Advanced Applications (SEAA)</t>
  </si>
  <si>
    <t>http://dx.doi.org/10.1109/SEAA.2017.15</t>
  </si>
  <si>
    <t>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t>
  </si>
  <si>
    <t>Software architecture;Computer architecture;Optimization;Testing;Autonomous systems;Companies;Software;Automated experimentation;Software architecture;Autonomous systems;Controlled Experiments</t>
  </si>
  <si>
    <t>394-406</t>
  </si>
  <si>
    <t>http://dx.doi.org/10.1109/ASE51524.2021.9678617</t>
  </si>
  <si>
    <t>Standard software analytics often involves having a large amount of data with labels in order to commission models with acceptable performance. However, prior work has shown that such requirements can be expensive, taking several weeks to label thousands of commits, and not always available when traversing new research problems and domains. Unsupervised Learning is a promising direction to learn hidden patterns within unlabelled data, which has only been extensively studied in defect prediction. Nevertheless, unsupervised learning can be ineffective by itself and has not been explored in other domains (e.g., static analysis and issue close time).Motivated by this literature gap and technical limitations, we present FRUGAL, a tuned semi-supervised method that builds on a simple optimization scheme that does not require sophisticated (e.g., deep learners) and expensive (e.g., 100% manually labelled data) methods. FRUGAL optimizes the unsupervised learner’s configurations (via a simple grid search) while validating our design decision of labelling just 2.5% of the data before prediction.As shown by the experiments of this paper FRUGAL outperforms the state-of-the-art adoptable static code warning recognizer and issue closed time predictor, while reducing the cost of labelling by a factor of 40 (from 100% to 2.5%). Hence we assert that FRUGAL can save considerable effort in data labelling especially in validating prior work or researching new problems.Based on this work, we suggest that proponents of complex and expensive methods should always baseline such methods against simpler and cheaper alternatives. For instance, a semi-supervised learner like FRUGAL can serve as a baseline to the state-of-theart software analytics.</t>
  </si>
  <si>
    <t>Costs;Static analysis;Semisupervised learning;Software;Data models;Labeling;Unsupervised learning;Software Analytics;Data Labelling Efforts;Semi-Supervised Learning</t>
  </si>
  <si>
    <t>Moran K,Bernal-Cárdenas C,Linares-Vásquez M,Poshyvanyk D</t>
  </si>
  <si>
    <t>Overcoming Language Dichotomies: Toward Effective Program Comprehension for Mobile App Development</t>
  </si>
  <si>
    <t>7-711</t>
  </si>
  <si>
    <t>2018 IEEE/ACM 26th International Conference on Program Comprehension (ICPC)</t>
  </si>
  <si>
    <t>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t>
  </si>
  <si>
    <t>Program Comprehension;Mobile;Android;Natural Language;Code</t>
  </si>
  <si>
    <t>Uwasomba CF,Lee Y,Yusoff Z,Min CT</t>
  </si>
  <si>
    <t>FHKG: A Framework to Harvest Knowledge from Groupware Raw Data for AI</t>
  </si>
  <si>
    <t>49-54</t>
  </si>
  <si>
    <t>2021 IEEE International Conference on Computing (ICOCO)</t>
  </si>
  <si>
    <t>http://dx.doi.org/10.1109/ICOCO53166.2021.9673561</t>
  </si>
  <si>
    <t>10.1109/ICOCO53166.2021.9673561</t>
  </si>
  <si>
    <t>In the era of textual data explosion, including due to a rising remote work culture, a system to harvest on-the-job knowledge of experts from groupware for AI enrichment has become one of the crucial technologies sought after in the field of knowledge technology. Most existing systems for knowledge harvesting are developed based on text corpora from the web, social media, newspapers and textbooks with little or no changeable modules and ontological representations. In this paper, we propose a deeper framework with changeable modules to acquire and represent knowledge from raw data in groupware discussions for AI. Such a framework can be implemented on any platform of choice using existing or newly designed modules that can be continually improved upon with higher sophistication or by added-value extensions. The framework is a formalisation of a semi-automated structure with reusable and incremental modules. The overall architecture of the framework is presented with evaluation results. The paper concludes by highlighting the proposed future developments within the framework.</t>
  </si>
  <si>
    <t>Biotechnology;Social networking (online);Collaborative software;Knowledge acquisition;Conferences;Ontologies;Explosions;knowledge technology;natural language processing;knowledge harvesting/acquisition;knowledge representation;ontology;parsing;logico-semantic parser;groupware</t>
  </si>
  <si>
    <t>Sayagh M,Kerzazi N,Adams B,Petrillo F</t>
  </si>
  <si>
    <t>Software Configuration Engineering in Practice Interviews, Survey, and Systematic Literature Review</t>
  </si>
  <si>
    <t>646-673</t>
  </si>
  <si>
    <t>http://dx.doi.org/10.1109/TSE.2018.2867847</t>
  </si>
  <si>
    <t>10.1109/TSE.2018.2867847</t>
  </si>
  <si>
    <t>Modern software applications are adapted to different situations (e.g., memory limits, enabling/disabling features, database credentials) by changing the values of configuration options, without any source code modifications. According to several studies, this flexibility is expensive as configuration failures represent one of the most common types of software failures. They are also hard to debug and resolve as they require a lot of effort to detect which options are misconfigured among a large number of configuration options and values, while comprehension of the code also is hampered by sprinkling conditional checks of the values of configuration options. Although researchers have proposed various approaches to help debug or prevent configuration failures, especially from the end users' perspective, this paper takes a step back to understand the process required by practitioners to engineer the run-time configuration options in their source code, the challenges they experience as well as best practices that they have or could adopt. By interviewing 14 software engineering experts, followed by a large survey on 229 Java software engineers, we identified 9 major activities related to configuration engineering, 22 challenges faced by developers, and 24 expert recommendations to improve software configuration quality. We complemented this study by a systematic literature review to enrich the experts' recommendations, and to identify possible solutions discussed and evaluated by the research community for the developers' problems and challenges. We find that developers face a variety of challenges for all nine configuration engineering activities, starting from the creation of options, which generally is not planned beforehand and increases the complexity of a software system, to the non-trivial comprehension and debugging of configurations, and ending with the risky maintenance of configuration options, since developers avoid touching and changing configuration options in a mature system. We also find that researchers thus far focus primarily on testing and debugging configuration failures, leaving a large range of opportunities for future work.</t>
  </si>
  <si>
    <t>Software systems;Interviews;Systematics;Facebook;Bibliographies;Software algorithms;Empirical study;configuration;configuration engineering;Systematic literature review;interviews;survey</t>
  </si>
  <si>
    <t>A Survey of Current End-User Data Analytics Tool Support</t>
  </si>
  <si>
    <t>41-48</t>
  </si>
  <si>
    <t>http://dx.doi.org/10.1109/BigDataCongress.2018.00013</t>
  </si>
  <si>
    <t>10.1109/BigDataCongress.2018.00013</t>
  </si>
  <si>
    <t>There is a large growth in interest in big data analytics to discover unknown patterns and insights. A major challenge in this domain is the need to combine domain knowledge - what the data means (semantics) and what it is used for - with data analytics and visualization techniques to mine and communicate important information from huge volumes of raw data. Many data analytics tools have been developed for both research and practice to assist in specifying, integrating and deploying data analytics and visualization applications. However, delivering such big data analytics application requires a capable team with different skillsets including data scientists, software engineers and domain experts. Such teams and skillset usually take a long time to build and have high running costs. An alternative is to provide domain experts and data scientists with tools they can use to do the exploration and analysis directly with less technical skills required. We present an overview and analysis of several current approaches to supporting the data analytics for endusers, identifying key strengths, weaknesses and opportunities for future research.</t>
  </si>
  <si>
    <t>Tools;Data visualization;Data analysis;Software;Machine learning;Business;Data models;big data;data visualization;machine learning;domain specific visual languages;data analytics</t>
  </si>
  <si>
    <t>IEEE Draft Recommended Practice for Implementation and Management Methodology for Software Based Intelligent Process Automation (SBIPA)</t>
  </si>
  <si>
    <t>IEEE P2755. 2/D1, June 2020</t>
  </si>
  <si>
    <t>1-58</t>
  </si>
  <si>
    <t>Provided in this recommended practice is a comprehensive methodology for technology domain exploration, development of strategy, technology evaluation, implementation, management, operations, program optimization, and successful enterprise scaling for IPA programs while utilizing terminology as established in IEEE Std 2755™-2017 and technology taxonomy as established in IEEE Std 2755.1™-2019. This recommended practice is a compilation of best practices from industry leaders on the proven methods from the initial discovery and exploration of the transformative capabilities of IPA technology through to developing and running an enterprise-wide program.</t>
  </si>
  <si>
    <t>IEEE Standards;Machine learning;Artificial intelligence;Robots;Automation;Process design;AI;artificial intelligence;automation center of excellence;autonomic;business process automation;business process management;center of excellence;cognitive computing;digital labor;digital process automation;digital workforce;IEEE 2755.2™;intelligent process automation;machine learning;narrow AI;process choreography;process discovery;process mining;process orchestration;robotic desktop automation;robotic process automation;RPA</t>
  </si>
  <si>
    <t>Accurate Modeling of Performance Histories for Evolving Software Systems</t>
  </si>
  <si>
    <t>640-652</t>
  </si>
  <si>
    <t>2019 34th IEEE/ACM International Conference on Automated Software Engineering (ASE)</t>
  </si>
  <si>
    <t>http://dx.doi.org/10.1109/ASE.2019.00065</t>
  </si>
  <si>
    <t>Learning from the history of a software system's performance behavior does not only help discovering and locating performance bugs, but also identifying evolutionary performance patterns and general trends, such as when technical debt accumulates. Exhaustive regression testing is usually impractical, because rigorous performance benchmarking requires executing a realistic workload per revision, which results in large execution times. In this paper, we propose a novel active revision sampling approach, which aims at tracking and understanding a system's performance history by approximating the performance behavior of a software system across all of its revisions. In a nutshell, we iteratively sample and measure the performance of specific revisions that help us building an exact performance-evolution model, and we use Gaussian Process models to assess in which revision ranges our model is most uncertain with the goal to sample further revisions for measurement. We have conducted an empirical analysis of the evolutionary performance behavior modeled as a time series of the histories of six real-world software systems. Our evaluation demonstrates that Gaussian Process models are able to accurately estimate the performance-evolution history of real-world software systems with only few measurements and to reveal interesting behaviors and trends.</t>
  </si>
  <si>
    <t>History;Software systems;Time series analysis;Market research;Benchmark testing;Standards;software evolution;software performance;time series analysis</t>
  </si>
  <si>
    <t>Tawosi V,Moussa R,Sarro F</t>
  </si>
  <si>
    <t>Agile Effort Estimation: Have We Solved the Problem Yet? Insights From A Replication Study</t>
  </si>
  <si>
    <t>http://dx.doi.org/10.1109/TSE.2022.3228739</t>
  </si>
  <si>
    <t>10.1109/TSE.2022.3228739</t>
  </si>
  <si>
    <t>In the last decade, several studies have explored automated techniques to estimate the effort of agile software development. We perform a close replication and extension of a seminal work proposing the use of Deep Learning for Agile Effort Estimation (namely Deep-SE), which has set the state-of-the-art since. Specifically, we replicate three of the original research questions aiming at investigating the effectiveness of Deep-SE for both within-project and cross-project effort estimation. We benchmark Deep-SE against three baselines (i.e., Random, Mean and Median effort estimators) and a previously proposed method to estimate agile software project development effort (dubbed TF/IDF-SVM), as done in the original study. To this end, we use the data from the original study and an additional dataset of 31,960 issues mined from TAWOS, as using more data allows us to strengthen the confidence in the results, and to further mitigate external validity threats. The results of our replication show that Deep-SE outperforms the Median baseline estimator and TF/IDF-SVM in only very few cases with statistical significance (8/42 and 9/32 cases, respectively), thus confounding previous findings on the efficacy of Deep-SE. The two additional RQs revealed that neither augmenting the training set nor pre-training Deep-SE play lead to an improvement of its accuracy and convergence speed. These results suggest that using semantic similarity is not enough to differentiate user stories with respect to their story points; thus, future work has yet to explore and find new techniques and features that obtain accurate agile software development estimates.</t>
  </si>
  <si>
    <t>Estimation;Feature extraction;Task analysis;Support vector machines;Semantics;Training;Software;Software Effort Estimation;Story Point Estimation;Deep Learning</t>
  </si>
  <si>
    <t>McFee B,Kim JW,Cartwright M,Salamon J,Bittner RM,Bello JP</t>
  </si>
  <si>
    <t>Open-Source Practices for Music Signal Processing Research: Recommendations for Transparent, Sustainable, and Reproducible Audio Research</t>
  </si>
  <si>
    <t>IEEE Signal Processing Magazine</t>
  </si>
  <si>
    <t>128-137</t>
  </si>
  <si>
    <t>1558-0792</t>
  </si>
  <si>
    <t>http://dx.doi.org/10.1109/MSP.2018.2875349</t>
  </si>
  <si>
    <t>10.1109/MSP.2018.2875349</t>
  </si>
  <si>
    <t>In the early years of music information retrieval (MIR), research problems were often centered around conceptually simple tasks, and methods were evaluated on small, idealized data sets. A canonical example of this is genre recognition-i.e., Which one of n genres describes this song?-which was often evaluated on the GTZAN data set (1,000 musical excerpts balanced across ten genres) [1]. As task definitions were simple, so too were signal analysis pipelines, which often derived from methods for speech processing and recognition and typically consisted of simple methods for feature extraction, statistical modeling, and evaluation. When describing a research system, the expected level of detail was superficial: it was sufficient to state, e.g., the number of mel-frequency cepstral coefficients used, the statistical model (e.g., a Gaussian mixture model), the choice of data set, and the evaluation criteria, without stating the underlying software dependencies or implementation details. Because of an increased abundance of methods, the proliferation of software toolkits, the explosion of machine learning, and a focus shift toward more realistic problem settings, modern research systems are substantially more complex than their predecessors. Modern MIR researchers must pay careful attention to detail when processing metadata, implementing evaluation criteria, and disseminating results.</t>
  </si>
  <si>
    <t>Data models;Open source software;Machine learning;Libraries;Task analysis;Complexity theory;Music ;Information retrieval</t>
  </si>
  <si>
    <t>Siddiqi MA,Hahn G,Hamdioui S,Serdijn WA,Strydis C</t>
  </si>
  <si>
    <t>Improving the Security of the IEEE 802.15.6 Standard for Medical BANs</t>
  </si>
  <si>
    <t>62953-62975</t>
  </si>
  <si>
    <t>http://dx.doi.org/10.1109/ACCESS.2022.3181630</t>
  </si>
  <si>
    <t>10.1109/ACCESS.2022.3181630</t>
  </si>
  <si>
    <t>A Medical Body Area Network (MBAN) is an ensemble of collaborating, potentially heterogeneous, medical devices located inside, on the surface of or around the human body with the objective of tackling one or multiple medical conditions of the MBAN host. These devices-which are a special category of Wireless Body Area Networks (WBANs)–collect, process and transfer medical data outside of the network, while in some cases they also administer medical treatment autonomously. Since communication is so pivotal to their operation, the newfangled IEEE 802.15.6 standard is aimed at the communication aspects of WBANs. It places a set of physical and communication constraints while it also includes association/disassociation protocols and security services that WBAN applications need to comply with. However, the security specifications put forward by the standard can be easily shown to be insufficient when considering realistic MBAN use cases and need further enhancements. The present work addresses these shortcomings by, first, providing a structured analysis of the IEEE 802.15.6 security features and, afterwards, proposing comprehensive and tangible recommendations on improving the standard’s security.</t>
  </si>
  <si>
    <t>Security;Standards;IEEE 802.15 Standard;Wireless sensor networks;Wireless communication;Sensors;Body area networks;Wireless body area network;WBAN;MBAN;IEEE 802.15.6;implantable medical device;IMD;security</t>
  </si>
  <si>
    <t>Leroux S,Simoens P,Lootus M,Thakore K,Sharma A</t>
  </si>
  <si>
    <t>TinyMLOps: Operational Challenges for Widespread Edge AI Adoption</t>
  </si>
  <si>
    <t>1003-1010</t>
  </si>
  <si>
    <t>2022 IEEE International Parallel and Distributed Processing Symposium Workshops (IPDPSW)</t>
  </si>
  <si>
    <t>http://dx.doi.org/10.1109/IPDPSW55747.2022.00160</t>
  </si>
  <si>
    <t>10.1109/IPDPSW55747.2022.00160</t>
  </si>
  <si>
    <t>Deploying machine learning applications on edge devices can bring clear benefits such as improved reliability, latency and privacy but it also introduces its own set of challenges. Most works focus on the limited computational resources of edge platforms but this is not the only bottleneck standing in the way of widespread adoption. In this paper we list several other challenges that a Tiny ML practitioner might need to consider when operationalizing an application on edge devices. We focus on tasks such as monitoring and managing the application, common functionality for a MLOps platform, and show how they are complicated by the distributed nature of edge deployment. We also discuss issues that are unique to edge applications such as protecting a model's intellectual property and verifying its integrity.</t>
  </si>
  <si>
    <t>Privacy;Distributed processing;Conferences;Machine learning;Intellectual property;Reliability;Task analysis;TinyML;Edge AI;MLOps;TinyMLOps</t>
  </si>
  <si>
    <t>273-283</t>
  </si>
  <si>
    <t>http://dx.doi.org/10.1109/SANER53432.2022.00043</t>
  </si>
  <si>
    <t>Social debts in software teams are gaining increasing attention from the research community due to their potential adverse effects on software quality. For instance, community smells are indicators of sub-optimal organizational structures and may well lead to the emergence of social debt. Previous studies analyzed which factors influence the emergence/mitigation of such smells. In particular, studies by Catolino et al. showed how factors related to team composition, particularly gender diversity, correlated to the mitigation of community smells. However, a confirmation survey on 60 practitioners suggested that these results were not aligned with the experts' perceptions. In a separate survey, Catolino et al. collected the most common team refactoring strategies for those community smells. In this work we replicate two studies by those authors, focusing on the Brazilian software teams; culture-specific expectations on the behavior of people of different genders might have affected the perception of the importance of gender diversity and refactoring strategies when mitigating community smells. We translated the survey instrument used by Catolino et al. to Brazilian Portuguese and recruited 184 Brazilian developers. Re-sults did not show significant differences from the original study; indeed, participants perceived gender diversity as less valuable to mitigate community smells than such factors like experience or team size. Additionally, we performed a qualitative analysis of an open question within the questionnaire for the refactoring strategies. Brazilian developers agree with the original studies for most smells, mainly promoting restructuring communities, creating a communication plan and mentoring. We believe these results provide further evidence on the problem and its implications when managing software teams, avoiding technical debt and maintenance issues due to team communication and coordination problems.</t>
  </si>
  <si>
    <t>Leadership;Instruments;Focusing;Software quality;Maintenance engineering;Particle measurements;Software;Gender Diversity;Development Teams;Commu-nity Smells;Social Debt</t>
  </si>
  <si>
    <t>Ndukwe IG,Licorish SA,MacDonell SG</t>
  </si>
  <si>
    <t>Perceptions on the Utility of Community Question and Answer Websites Like Stack Overflow to Software Developers</t>
  </si>
  <si>
    <t>http://dx.doi.org/10.1109/TSE.2022.3220236</t>
  </si>
  <si>
    <t>10.1109/TSE.2022.3220236</t>
  </si>
  <si>
    <t>Software developers make use of on crowdsourcing during development. Beyond learning from others, developers use online portals such as Stack Overflow as a vehicle for collaboration. However, little is known about developers' experiences on such platforms, particularly around problems that are encountered online. Such insights could benefit software developers in terms of recommendations for pitfalls to avoid, ways to exploit crowdsourced knowledge, and the provision of insights to improve online code sharing communities. We interviewed 50 practitioners to fill this gap, where outcomes show that software developers' use of online portals is targeted, and such portals are a lifeline to modern software development. Practitioners are facilitated with code solutions and debugging, often in a very timely fashion. While these experiences are largely positive, practitioners also encounter negative experiences online, some of which could be significantly deleterious to the community. We discuss the implications of these findings, such as creating awareness of the quality and reliability of code snippets, improving code searches, code validation and outdated code detection and attribution of code snippets.</t>
  </si>
  <si>
    <t>Codes;Portals;Software;Interviews;Collaboration;Crowdsourcing;Social networking (online);Community question answering portals;crowdsourced knowledge;stack overflow</t>
  </si>
  <si>
    <t>219-229</t>
  </si>
  <si>
    <t>http://dx.doi.org/10.1109/ICPC52881.2021.00029</t>
  </si>
  <si>
    <t>Modern software systems, such as Spark, are usually written in multiple programming languages (PLs). Besides benefiting from code reuse, such systems can also take advantages of specific PLs to implement certain features, to meet various quality needs, and to improve development efficiency. In this context, a change to such systems may need to modify source files written in different PLs. We define a multi-programming-language commit (MPLC) in a version control system (e.g., Git) as a commit that involves modified source files written in two or more PLs. To our knowledge, the phenomenon of MPLCs in software development has not been explored yet. In light of the potential impact of MPLCs on development difficulty and software quality, we performed an empirical study to understand the state of MPLCs, their change complexity, as well as their impact on open time of issues and bug proneness of source files in real-life software projects. By exploring the MPLCs in 20 non-trivial Apache projects with 205,994 commits, we obtained the following findings: (1) 9% of the commits from all the projects are MPLCs, and the proportion of MPLCs in 80% of the projects goes to a relatively stable level; (2) more than 90% of the MPLCs from all the projects involve source files written in two PLs; (3) the change complexity of MPLCs is significantly higher than that of non-MPLCs in all projects; (4) issues fixed in MPLCs take significantly longer to be resolved than issues fixed in non-MPLCs in 80% of the projects; and (5) source files that have been modified in MPLCs tend to be more bug-prone than source files that have never been modified in MPLCs. These findings provide practitioners with useful insights on the architecture design and quality management of software systems written in multiple PLs.</t>
  </si>
  <si>
    <t>Computer languages;Computer bugs;Software quality;Computer architecture;Software systems;Control systems;Complexity theory;Multi-Programming-Language Commit;Change Complexity;Defect Density;Open Source Software</t>
  </si>
  <si>
    <t>Yedida R,Kang HJ,Tu H,Yang X,Lo D,Menzies T</t>
  </si>
  <si>
    <t>How to Find Actionable Static Analysis Warnings: A Case Study With FindBugs</t>
  </si>
  <si>
    <t>http://dx.doi.org/10.1109/TSE.2023.3234206</t>
  </si>
  <si>
    <t>10.1109/TSE.2023.3234206</t>
  </si>
  <si>
    <t>Automatically generated static code warnings suffer from a large number of false alarms. Hence, developers only take action on a small percent of those warnings. To better predict which static code warnings should not be ignored, we suggest that analysts need to look deeper into their algorithms to find choices that better improve the particulars of their specific problem. Specifically, we show here that effective predictors of such warnings can be created by methods that locally adjust the decision boundary (between actionable warnings and others). These methods yield a new high water-mark for recognizing actionable static code warnings. For eight open-source Java projects (cassandra, jmeter, commons, lucene-solr, maven, ant, tomcat, derby) we achieve perfect test results on 4/8 datasets and, overall, a median AUC (area under the true negatives, true positives curve) of 92%.</t>
  </si>
  <si>
    <t>Codes;Computer bugs;Static analysis;Training;Source coding;Measurement;Industries;software analytics, static analysis;false alarms;locality, hyperparameter optimization</t>
  </si>
  <si>
    <t>Saltz JS,Sutherland A,Jombart T</t>
  </si>
  <si>
    <t>Identifying and Addressing 6 Key Questions when Using Data Driven Scrum</t>
  </si>
  <si>
    <t>2345-2352</t>
  </si>
  <si>
    <t>2021 IEEE International Conference on Big Data (Big Data)</t>
  </si>
  <si>
    <t>http://dx.doi.org/10.1109/BigData52589.2021.9671930</t>
  </si>
  <si>
    <t>10.1109/BigData52589.2021.9671930</t>
  </si>
  <si>
    <t>Data Driven Scrum (DDS) enables lean data science project agility and addresses the key challenges that have been identified when using Scrum in a data science context. However, little has been written with respect to the questions or challenges teams might encounter when trying to use DDS. Based on a survey of 18 team leads trying to use DDS, this paper describes six common questions teams might encounter when trying to implement DDS, as well as how to address these challenges.</t>
  </si>
  <si>
    <t>Conferences;Data science;Big Data</t>
  </si>
  <si>
    <t>Castro OJ,Vega IF</t>
  </si>
  <si>
    <t>Automated Generation of Optimized Code Implementing SVM models on GPUs</t>
  </si>
  <si>
    <t>IEEE Latin America Transactions</t>
  </si>
  <si>
    <t>413-420</t>
  </si>
  <si>
    <t>http://dx.doi.org/10.1109/TLA.2021.9447690</t>
  </si>
  <si>
    <t>10.1109/TLA.2021.9447690</t>
  </si>
  <si>
    <t>Deploying Support Vector Machine (SVM) models is challenging, since these contain complex math and logic, and also can be composed of a large number of real-valued coefficients; therefore, when performed by humans, the deployment is a slow and error-prone process. From the premise that the process of translating a machine learned predictive model into source code is deterministic and, hence, automatable, this paper's main contribution is demonstrating that it is possible to automate the generation of source code able to efficiently implement SVM models on Graphic Processing Units (GPU), and thus facilitate their operationalization. This research presents: guidelines for the automatic source code generation and efficient execution of SVM models, including code generation for specialized architectures such as GPUs using the Computed Unified Device Architecture (CUDA) platform/language; experimental evidence showing that the resulting source code implements these models efficiently; and a detailed description of the generated source code from sequential up to an optimized version of parallel code. Experiments with a large data set sized up to 9 GB were conducted to show the proposal's feasibility and scalability; such experiments showed an average speed-up of 112.71 times over the sequential, CPU-based, execution of SVMs; additionally, demonstrated a speed-up of 6.2 with respect to other SVM modeling tools running on GPU.</t>
  </si>
  <si>
    <t>Support vector machines;Graphics processing units;Computational modeling;Mathematical model;Software;Predictive models;Kernel;GPU;code implementation;SVM</t>
  </si>
  <si>
    <t>Harvey E,Milewicz R,Trott C,Berger-Vergiat L,Rajamanickam S</t>
  </si>
  <si>
    <t>Half-Precision Scalar Support in Kokkos and Kokkos Kernels: An Engineering Study and Experience Report</t>
  </si>
  <si>
    <t>551-560</t>
  </si>
  <si>
    <t>2022 IEEE 18th International Conference on e-Science (e-Science)</t>
  </si>
  <si>
    <t>http://dx.doi.org/10.1109/eScience55777.2022.00095</t>
  </si>
  <si>
    <t>10.1109/eScience55777.2022.00095</t>
  </si>
  <si>
    <t>To keep pace with the demand for innovation through scientific computing, modern scientific software development is increasingly reliant upon a rich and diverse ecosystem of software libraries and toolchains. Research software engineers (RSEs) responsible for that infrastructure perform highly integrative work, acting as a bridge between the hardware, the needs of researchers, and the software layers situated between them; relatively little, however, has been written about the role played by RSEs in that work and what support they need to thrive. To that end, we present a two-part report on the development of half-precision floating point support in the Kokkos Ecosystem. Half-precision computation is a promising strategy for increasing performance in numerical computing and is particularly attractive for emerging application areas (e.g., machine learning), but developing practicable, portable, and user-friendly abstractions is a nontrivial task. In the first half of the paper, we conduct an engineering study on the technical implementation of the Kokkos half-precision scalar feature and showcase experimental results; in the second half, we offer an experience report on the challenges and lessons learned during feature development by the first author. We hope our study provides a holistic view on scientific library development and surfaces opportunities for future studies into effective strategies for RSEs engaged in such work.</t>
  </si>
  <si>
    <t>Technological innovation;Software libraries;Scientific computing;Ecosystems;C++ languages;Software;Hardware;research software engineering;scientific computing;software libraries;floating-point arithmetic</t>
  </si>
  <si>
    <t>Hussain W,Shahin M,Hoda R,Whittle J,Perera H,Nurwidyantoro A,Shams RA,Oliver G</t>
  </si>
  <si>
    <t>How Can Human Values be Addressed in Agile Methods? A Case Study on SAFe</t>
  </si>
  <si>
    <t>5158-5175</t>
  </si>
  <si>
    <t>http://dx.doi.org/10.1109/TSE.2022.3140230</t>
  </si>
  <si>
    <t>10.1109/TSE.2022.3140230</t>
  </si>
  <si>
    <t>Agile methods are predominantly focused on delivering business values. But can Agile methods be adapted to effectively address and deliver human values such as social justice, privacy, and sustainability in the software they produce? Human values are what an individual or a society considers important in life. Ignoring these human values in software can pose difficulties or risks for all stakeholders (e.g., user dissatisfaction, reputation damage, financial loss). To answer this question, we selected the Scaled Agile Framework (SAFe), one of the most commonly used Agile methods in the industry, and conducted a qualitative case study to identify possible intervention points within SAFe that are the most natural to address and integrate human values in software. We present five high-level empirically-justified sets of interventions in SAFe: artefacts, roles, ceremonies, practices, and culture. We elaborate how some current Agile artefacts (e.g., user story), roles (e.g., product owner), ceremonies (e.g., stand-up meeting), and practices (e.g., business-facing testing) in SAFe can be modified to support the inclusion of human values in software. Further, our study suggests new and exclusive values-based artefacts (e.g., legislative requirement), ceremonies (e.g., values conversation), roles (e.g., values champion), and cultural practices (e.g., induction and hiring) to be introduced in SAFe for this purpose. Guided by our findings, we argue that existing Agile methods can account for human values in software delivery with some evolutionary adaptations.</t>
  </si>
  <si>
    <t>Software;Ethics;Privacy;Industries;Business;Security;Philosophical considerations;Human values;scaled agile framework (SAFe);agile methods;case study</t>
  </si>
  <si>
    <t>Mukelabai M,Nešić D,Maro S,Berger T,Steghöfer JP</t>
  </si>
  <si>
    <t>Tackling Combinatorial Explosion: A Study of Industrial Needs and Practices for Analyzing Highly Configurable Systems</t>
  </si>
  <si>
    <t>155-166</t>
  </si>
  <si>
    <t>2018 33rd IEEE/ACM International Conference on Automated Software Engineering (ASE)</t>
  </si>
  <si>
    <t>http://dx.doi.org/10.1145/3238147.3238201</t>
  </si>
  <si>
    <t>10.1145/3238147.3238201</t>
  </si>
  <si>
    <t>Highly configurable systems are complex pieces of software. To tackle this complexity, hundreds of dedicated analysis techniques have been conceived, many of which able to analyze system properties for all possible system configurations, as opposed to traditional, single-system analyses. Unfortunately, it is largely unknown whether these techniques are adopted in practice, whether they address actual needs, or what strategies practitioners actually apply to analyze highly configurable systems. We present a study of analysis practices and needs in industry. It relied on a survey with 27 practitioners engineering highly configurable systems and followup interviews with 15 of them, covering 18 different companies from eight countries. We confirm that typical properties considered in the literature (e.g., reliability) are relevant, that consistency between variability models and artifacts is critical, but that the majority of analyses for specifications of configuration options (a.k.a., variability model analysis) is not perceived as needed. We identified rather pragmatic analysis strategies, including practices to avoid the need for analysis. For instance, testing with experience-based sampling is the most commonly applied strategy, while systematic sampling is rarely applicable. We discuss analyses that are missing and synthesize our insights into suggestions for future research.</t>
  </si>
  <si>
    <t>Highly configurable systems;software product lines;analysis</t>
  </si>
  <si>
    <t>Ludwig J,Cline D,Novstrup A</t>
  </si>
  <si>
    <t>A Case Study Using CBR-Insight to Visualize Source Code Quality</t>
  </si>
  <si>
    <t>2020 IEEE Aerospace Conference</t>
  </si>
  <si>
    <t>http://dx.doi.org/10.1109/AERO47225.2020.9172526</t>
  </si>
  <si>
    <t>10.1109/AERO47225.2020.9172526</t>
  </si>
  <si>
    <t>Creating and maintaining high-quality source code is especially important for critical systems such as those made for NASA and the DoD, and for software product lines where long-lived, reusable modules are intended to be shared by multiple systems. CBR-Insight is an automated code assessment tool developed for the US Air Force, and released as open source on GitHub, to provide an objective and understandable measure of software quality. CBRI-Insight supports the ability of technical and non-technical decision makers to verify that a project's software implementation follows through on promises around developing and sustaining reliable and maintainable software while managing technical debt. The primary contributions of this work include advancing the state of the art in assessing software code quality, presenting a method to communicate code quality to decision makers, and examining a case study where these methods are applied to develop software in the aerospace domain.</t>
  </si>
  <si>
    <t>Codes;Force measurement;Software quality;Software;Libraries;Software reliability;Quality assessment</t>
  </si>
  <si>
    <t>337-356</t>
  </si>
  <si>
    <t>http://dx.doi.org/10.23919/JSC.2021.0023</t>
  </si>
  <si>
    <t>Tech critics become technocrats when they overlook the daunting administrative density of a digital-first society. The author implores critics to reject structural dependencies on digital tools rather than naturalize their integration through critique and reform. At stake is the degree to which citizens must defer to unelected experts to navigate such density. Democracy dies in the darkness of sysadmin. The argument and a candidate solution proceed as follows. Since entropy is intrinsic to all physical systems, including digital systems, perfect automation is a fiction. Concealing this fiction, however, are five historical forces usually treated in isolation: ghost work, technical debt, intellectual debt, the labor of algorithmic critique, and various types of participatory labor. The author connects these topics to emphasize the systemic impositions of digital decision tools, which compound entangled genealogies of oppression and temporal attrition. In search of a harmonious balance between the use of “AI” tools and the non-digital decision systems they are meant to supplant, the author draws inspiration from an unexpected source: musical notation. Just as musical notes require silence to be operative, the author positions algorithmic silence-the deliberate exclusion of highly abstract digital decision systems from human decision-making environments-as a strategic corrective to the fiction of total automation. Facial recognition bans and the Right to Disconnect are recent examples of algorithmic silence as an active trend.</t>
  </si>
  <si>
    <t>Vocabulary;Social computing;Automation;Shape;Heuristic algorithms;Music;Rhetoric;Artificial intelligence;Vehicle dynamics;Surface treatment;technocracy;algorithmic silence;history;labor;artificial intelligence;AI ethics;automation;decomputerization</t>
  </si>
  <si>
    <t>Feiner J,Andrews K</t>
  </si>
  <si>
    <t>RepoVis: Visual Overviews and Full-Text Search in Software Repositories</t>
  </si>
  <si>
    <t>2018 IEEE Working Conference on Software Visualization (VISSOFT)</t>
  </si>
  <si>
    <t>http://dx.doi.org/10.1109/VISSOFT.2018.00009</t>
  </si>
  <si>
    <t>10.1109/VISSOFT.2018.00009</t>
  </si>
  <si>
    <t>Project managers and software developers often have difficulty maintaining an overview of the structure, evolution, and status of collaborative software projects. Some tools are available for typical source code management systems, which provide summary statistics or simple visual representations of merge-branch graphs. However, comprehensive visual overview and search facilities for such repositories are lacking. RepoVis is a new tool which provides comprehensive visual overviews and full-text search for projects maintained in Git repositories. The overview shows folders, files, and lines of code colour-coded according to last modification, developer, file type, or associated issues. Full-text searches can be performed for terms of interest within source code files, commit messages, or any associated metadata or usability findings, with matches displayed visually in the overview. The utility of the RepoVis approach is illustrated with three use cases of real-world software inspection. Insights are presented into the utility of full-text search and visual presentation of matches for program comprehension.</t>
  </si>
  <si>
    <t>Visualization;Usability;Inspection;Metadata;Security;Libraries;software visualisation, program comprehension, usability, metrics, visual overview, full-text search, git repositories.</t>
  </si>
  <si>
    <t>Yin L,Zhang Z,Xuan Q,Filkov V</t>
  </si>
  <si>
    <t>Apache Software Foundation Incubator Project Sustainability Dataset</t>
  </si>
  <si>
    <t>595-599</t>
  </si>
  <si>
    <t>http://dx.doi.org/10.1109/MSR52588.2021.00081</t>
  </si>
  <si>
    <t>10.1109/MSR52588.2021.00081</t>
  </si>
  <si>
    <t>Open Source Software success and sustainability is critically important for the digital infrastructure as OSS is used broadly and yet 83+% of such projects fail. To increase chances of success many projects join established software communities, e.g. the Apache Software Foundation (ASF), with clearly established rules and support. Specifically at ASF, projects that strive to join ASF and are at a nascent development stage are digitally housed in the ASF incubator (ASFI), which provides a mature governance environment and expert help toward long-term sustainability. Projects in ASFI eventually conclude their incubation by graduating, if successful on the path to sustainability. Otherwise, they get retired. In ASF, digital traces of developer activities for projects in ASFI are publicly available, together with monthly project status.Here we present a longitudinal dataset of developer coding and communication activities of 269 projects from the Apache Software Foundation Incubator (ASFI). Each project in ASFI is evaluated while in incubation and is eventually graduated or retired, a label indicating the project sustainability promise with respect to their technical development and community diversity. This extrinsically labeled dataset offers heretofore unavailable sustainability data of OSS project development under ASF regulations and governance. We hope its availability will foster more research interest in studying sustainability in OSS projects.</t>
  </si>
  <si>
    <t>Regulation;Encoding;Data mining;Sustainable development;Open source software;Apache Software Foundation;OSS Projects;Incubator</t>
  </si>
  <si>
    <t>A Systematic Literature Review on Bad Smells–5 W's: Which, When, What, Who, Where</t>
  </si>
  <si>
    <t>17-66</t>
  </si>
  <si>
    <t>http://dx.doi.org/10.1109/TSE.2018.2880977</t>
  </si>
  <si>
    <t>Bad smells are sub-optimal code structures that may represent problems needing attention. We conduct an extensive literature review on bad smells relying on a large body of knowledge from 1990 to 2017. We show that some smells are much more studied in the literature than others, and also that some of them are intrinsically inter-related (which). We give a perspective on how the research has been driven across time (when). In particular, while the interest in duplicated code emerged before the reference publications by Fowler and Beck and by Brown et al., other types of bad smells only started to be studied after these seminal publications, with an increasing trend in the last decade. We analyzed aims, findings, and respective experimental settings, and observed that the variability of these elements may be responsible for some apparently contradictory findings on bad smells (what). Moreover, we could observe that, in general, papers tend to study different types of smells at once. However, only a small percentage of those papers actually investigate possible relations between the respective smells (co-studies), i.e., each smell tends to be studied in isolation. Despite of a few relations between some types of bad smells have been investigated, there are other possible relations for further investigation. We also report that authors have different levels of interest in the subject, some of them publishing sporadically and others continuously (who). We observed that scientific connections are ruled by a large “small world” connected graph among researchers and several small disconnected graphs. We also found that the communities studying duplicated code and other types of bad smells are largely separated. Finally, we observed that some venues are more likely to disseminate knowledge on Duplicate Code (which often is listed as a conference topic on its own), while others have a more balanced distribution among other smells (where). Finally, we provide a discussion on future directions for bad smell research.</t>
  </si>
  <si>
    <t>Systematics;Bibliographies;Software;Measurement;Organizations;Tools;Cloning;Software maintenance;reengineering;bad smell</t>
  </si>
  <si>
    <t>Kemell KK,Risku J,Strandjord KE,Nguyen-Duc A,Wang X,Abrahamsson P</t>
  </si>
  <si>
    <t>Internal Software Startups – A Multiple Case Study on Practices, Methods, and Success Factors</t>
  </si>
  <si>
    <t>326-333</t>
  </si>
  <si>
    <t>http://dx.doi.org/10.1109/SEAA51224.2020.00061</t>
  </si>
  <si>
    <t>10.1109/SEAA51224.2020.00061</t>
  </si>
  <si>
    <t>Startups are often seen as drivers of innovation. In an attempt to leverage this potential, larger business organizations have founded internal startups as a subset of internal corporate ventures (ICV). These smaller organizations are intended to be more agile than the parent organization, in order to produce new service and product innovations using their own methods and practices independently of the organizational culture and methods of the parent organization. However, our understanding of ICVs is still lacking in terms of processes and success factors, and especially the more recent internal startups have scarcely been studied thus far. To approach this novel area of research, we take on a qualitative approach by means of a multiple case study of internal startups in large companies. Based on the data, we argue that the origin of the idea of the internal startup heavily influences the processes utilized by the internal startup, as well as the connections between the internal startup and its parent organization. We also highlight various practical implications.</t>
  </si>
  <si>
    <t>Organizations;Technological innovation;Software;Organizational aspects;Entrepreneurship;Information technology;Uncertainty;Internal Startup;Corporate Venturing;Software Startup</t>
  </si>
  <si>
    <t>Decoupling Level: A New Metric for Architectural Maintenance Complexity</t>
  </si>
  <si>
    <t>499-510</t>
  </si>
  <si>
    <t>2016 IEEE/ACM 38th International Conference on Software Engineering (ICSE)</t>
  </si>
  <si>
    <t>http://dx.doi.org/10.1145/2884781.2884825</t>
  </si>
  <si>
    <t>10.1145/2884781.2884825</t>
  </si>
  <si>
    <t>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t>
  </si>
  <si>
    <t>Computer architecture;Software;Software measurement;Observers;Software architecture;Complexity theory;Software Architecture;Software Quality;Software Metrics</t>
  </si>
  <si>
    <t>Ketkar A,Mesbah A,Mazinanian D,Dig D,Aftandilian E</t>
  </si>
  <si>
    <t>Type Migration in Ultra-Large-Scale Codebases</t>
  </si>
  <si>
    <t>1142-1153</t>
  </si>
  <si>
    <t>http://dx.doi.org/10.1109/ICSE.2019.00117</t>
  </si>
  <si>
    <t>10.1109/ICSE.2019.00117</t>
  </si>
  <si>
    <t>Type migration is a refactoring activity in which an existing type is replaced with another one throughout the source code. Manually performing type migration is tedious as programmers need to find all instances of the type to be migrated, along with its dependencies that propagate over assignment operations, method hierarchies, and subtypes. Existing automated approaches for type migration are not adequate for ultra-large-codebases - they perform an intensive whole-program analysis that does not scale. If we could represent the type structure of the program as graphs, then we could employ a MAPREDUCE parallel and distributed process that scales to hundreds of millions of LOC. We implemented this approach as an IDE-independent tool called T2R, which integrates with most build systems. We evaluated T2R's accuracy, usefulness and scalability on seven open source projects and one proprietary codebase of 300M LOC. T2R generated 130 type migration patches, of which the original developers accepted 98%.</t>
  </si>
  <si>
    <t>Java;Google;Open source software;Tools;Scalability;Task analysis;Complexity theory;Refactoring;Type Migration;MapReduce</t>
  </si>
  <si>
    <t>Hamdi O,Ouni A,AlOmar EA,Ó Cinnéide M,Mkaouer MW</t>
  </si>
  <si>
    <t>An Empirical Study on the Impact of Refactoring on Quality Metrics in Android Applications</t>
  </si>
  <si>
    <t>28-39</t>
  </si>
  <si>
    <t>2021 IEEE/ACM 8th International Conference on Mobile Software Engineering and Systems (MobileSoft)</t>
  </si>
  <si>
    <t>http://dx.doi.org/10.1109/MobileSoft52590.2021.00010</t>
  </si>
  <si>
    <t>10.1109/MobileSoft52590.2021.00010</t>
  </si>
  <si>
    <t>Mobile applications must continuously evolve, sometimes under such time pressure that poor design or implementation choices are made, which inevitably result in structural software quality problems. Refactoring is the widely-accepted approach to ameliorating such quality problems. While the impact of refactoring on software quality has been widely studied in object-oriented software, its impact is still unclear in the context of mobile apps. This paper reports on the first empirical study that aims to address this gap. We conduct a large empirical study that analyses the evolution history of 300 open-source Android apps exhibiting a total of 42,181 refactoring operations. We analyze the impact of these refactoring operations on 10 common quality metrics using a causal inference method based on the Difference-in-Differences (DiD) model. Our results indicate that when refactoring affects the metrics it generally improves them. In many cases refactoring has no significant impact on the metrics, whereas one metric (LCOM) deteriorates overall as a result of refactoring. These findings provide practical insights into the current practice of refactoring in the context of Android app development.</t>
  </si>
  <si>
    <t>Measurement;Analytical models;Object oriented modeling;Software quality;Mobile applications;History;Open source software;Mobile app;refactoring;quality metrics;Android;empirical study</t>
  </si>
  <si>
    <t>Jolak R,Rosenstatter T,Aldaghistani S,Scandariato R</t>
  </si>
  <si>
    <t>RIPOSTE: A Collaborative Cyber Attack Response Framework for Automotive Systems</t>
  </si>
  <si>
    <t>350-357</t>
  </si>
  <si>
    <t>http://dx.doi.org/10.1109/SEAA56994.2022.00062</t>
  </si>
  <si>
    <t>10.1109/SEAA56994.2022.00062</t>
  </si>
  <si>
    <t>The automotive domain has got its own share of advancements in information and communication technology, providing more services and leading to more connectivity. However, more connectivity and openness raise cyber security and safety concerns. Indeed, services that depend on online connectivity can serve as entry points for attacks on different assets of the vehicle. This study explores collaborative ways of selecting response techniques to counter real-time cyber attacks on automotive systems. The aim is to mitigate the attacks more quickly than a single vehicle would be able to do, and increase the survivability chances of the collaborating vehicles. To achieve that, the design science research methodology is employed. As a result, we present RIPOSTE, a framework for collaborative real-time evaluation and selection of suitable response techniques when an attack is in progress. We evaluate the framework from a safety perspective by conducting a qualitative study involving domain experts. The proposed framework is deemed slightly unsafe, and insights into how to improve the overall safety of the framework are provided.</t>
  </si>
  <si>
    <t>Design methodology;Collaboration;Real-time systems;Safety;Information and communication technology;Security;Cyberattack;automotive security;response techniques;connected car;vehicle collaboration;resilient systems</t>
  </si>
  <si>
    <t>Alizadeh V,Fehri H,Kessentini M</t>
  </si>
  <si>
    <t>Less is More: From Multi-objective to Mono-objective Refactoring via Developer's Knowledge Extraction</t>
  </si>
  <si>
    <t>181-192</t>
  </si>
  <si>
    <t>2019 19th International Working Conference on Source Code Analysis and Manipulation (SCAM)</t>
  </si>
  <si>
    <t>http://dx.doi.org/10.1109/SCAM.2019.00029</t>
  </si>
  <si>
    <t>10.1109/SCAM.2019.00029</t>
  </si>
  <si>
    <t>Refactoring studies either aggregated quality metrics to evaluate possible code changes or treated them separately to find trade-offs. For the first category of work, it is challenging to define upfront the weights for the quality objectives since developers are not able to express them upfront. For the second category of work, the number of possible trade-offs between quality objectives is large which makes developers reluctant to look at many refactoring solutions. In this paper, we propose, for the first time, a way to convert multi-objective search into a mono-objective one after interacting with the developer to identify a good refactoring solution based on his preferences. The first step consists of using a multi-objective search to generate different possible refactoring strategies by finding a trade-off between several conflicting quality attributes. Then, an unsupervised learning algorithm clusters the different trade-off solutions, called the Pareto front, to guide the developers in selecting their region of interests and to reduce the number of refactoring options to explore. Finally, the extracted preferences from the developer are used to transform the multi-objective search into a mono-objective one by taking the preferred cluster of the Pareto front as the initial population for the mono-objective search and generating an evaluation function based on the weights that are automatically computed from the position of the cluster in the Pareto front. Thus, the developer will just interact with only one refactoring solution generated by the mono-objective search. We selected 32 participants to manually evaluate the effectiveness of our tool on 7 open source projects and one industrial project. The results show that the recommended refactorings are more accurate than the current state of the art.</t>
  </si>
  <si>
    <t>Tools;Clustering algorithms;Optimization;Software quality;Computer architecture;Search problems;Search Based Software Engineering;Interactive Refactoring;Software Quality</t>
  </si>
  <si>
    <t>Srisopha K,Alfayez R</t>
  </si>
  <si>
    <t>Software Quality through the Eyes of the End-User and Static Analysis Tools: A Study on Android OSS Applications</t>
  </si>
  <si>
    <t>2018 IEEE/ACM 1st International Workshop on Software Qualities and their Dependencies (SQUADE)</t>
  </si>
  <si>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</si>
  <si>
    <t>Tools;Software quality;Static analysis;Androids;Humanoid robots;Measurement;Software Engineering;Software Evolution;User Satisfaction;Static Analysis;Software Quality</t>
  </si>
  <si>
    <t>Gerostathopoulos I,Raibulet C,Alberts E</t>
  </si>
  <si>
    <t>Assessing Self-Adaptation Strategies Using Cost-Benefit Analysis</t>
  </si>
  <si>
    <t>92-95</t>
  </si>
  <si>
    <t>2022 IEEE 19th International Conference on Software Architecture Companion (ICSA-C)</t>
  </si>
  <si>
    <t>2768-4288</t>
  </si>
  <si>
    <t>http://dx.doi.org/10.1109/ICSA-C54293.2022.00023</t>
  </si>
  <si>
    <t>10.1109/ICSA-C54293.2022.00023</t>
  </si>
  <si>
    <t>Self-adaptive software systems stand out from traditional ones in that they are able to autonomously change their behavior and structure during their execution using one or more self-adaptation strategies. The main objective of such a strategy is to maintain or even improve the functionalities/qualities of the system despite uncertainty in its operational environment. To date, a number of self-adaptation strategies have been proposed – following the architectural, control-theoretic, or online search paradigm – for several application domains. However, it is still unclear when a particular self-adaptation strategy needs to be developed and when it needs to be used at runtime (when a system can choose among several available strategies). In this paper, we aim to answer the above questions by relying on the assessment of a strategy’s costs (e.g., development effort, performance decrease) and benefits (e.g., re-usability, performance improvement) at design time and runtime. The main novelty is that we provide a holistic view over the return on investment of a strategy and propose that the system itself uses cost-benefit analysis to decide on which strategy to apply at runtime.</t>
  </si>
  <si>
    <t>Runtime;Uncertainty;Software architecture;Conferences;Software systems;Control theory;Behavioral sciences;Self-adaptive systems;self-adaptation strategies;costs;benefits;cost-benefit analysis;return on investment</t>
  </si>
  <si>
    <t>101-115</t>
  </si>
  <si>
    <t>2021 51st Annual IEEE/IFIP International Conference on Dependable Systems and Networks (DSN)</t>
  </si>
  <si>
    <t>2158-3927</t>
  </si>
  <si>
    <t>http://dx.doi.org/10.1109/DSN48987.2021.00026</t>
  </si>
  <si>
    <t>Software-defined networking (SDN) enables innovative and impressive solutions in the networking domain by decoupling the control plane from the data plane. In an SDN environment, the network control logic for load balancing, routing, and access control is written in software running on a decoupled control plane. As with any software development cycle, the SDN control plane is prone to bugs that impact the network's performance and availability. Yet, as a community, we lack holistic, in-depth studies of bugs within the SDN ecosystem. A bug taxonomy is one of the most promising ways to lay the foundations required for (1) evaluating and directing emerging research directions on fault detection and recovery, and (2) informing operational practices of network administrators. This paper takes the first step towards laying this foundation by providing a comprehensive study and analysis of over 500 `critical' bugs (including 150 with manual analysis) in three of the most widely-used SDN controllers, i.e., FAUCET, ONOS, and CORD. We create a taxonomy of these SDN bugs, analyze their operational impact, and implications for the developers. We use our taxonomy to analyze the effectiveness and coverage of several prominent SDN fault tolerance and diagnosis techniques. This study is the first of its kind in scale and coverage to the best of our knowledge.</t>
  </si>
  <si>
    <t>Fault tolerance;Computer bugs;Taxonomy;Ecosystems;Fault tolerant systems;Manuals;Routing;SDN;Bugs;Fault-Tolerance;Taxonomy</t>
  </si>
  <si>
    <t>3144-3152</t>
  </si>
  <si>
    <t>2018 IEEE International Conference on Big Data (Big Data)</t>
  </si>
  <si>
    <t>http://dx.doi.org/10.1109/BigData.2018.8622357</t>
  </si>
  <si>
    <t>Artificial Intelligence (AI) and Deep Learning has been steadily gaining importance due it’s potential for a broad set of science and industry applications. The success of deep learning techniques has found many applications, e.g. in the domain of computer vision and natural language understanding. Developing AI applications is a complex task with many challenges related to data collection, model training, and deployment.In this paper, we evaluate architectures, models and deployment issues related to the usage of deep learning techniques in the automotive manufacturing domain. Particularly, we focus on different computer vision problems in automotive manufacturing processes, e.g., in logistics processes. We developed several deep learning models that help to improve the quality and efficiency of these processes. Finally, we provide an analysis of the architecture, datasets and models used, and provide performance metrics for each of the different models.</t>
  </si>
  <si>
    <t>Deep learning;Data models;Computational modeling;Visualization;Inspection;Mathematical model;AI;Deep Learning;Model Deployment;Edge Computing;Cloud Computing;Software Engineering</t>
  </si>
  <si>
    <t>Arakaki R,Hayashi VT,Ruggiero WV</t>
  </si>
  <si>
    <t>Available and Fault Tolerant IoT System: Applying Quality Engineering Method</t>
  </si>
  <si>
    <t>2020 International Conference on Electrical, Communication, and Computer Engineering (ICECCE)</t>
  </si>
  <si>
    <t>http://dx.doi.org/10.1109/ICECCE49384.2020.9179341</t>
  </si>
  <si>
    <t>10.1109/ICECCE49384.2020.9179341</t>
  </si>
  <si>
    <t>IoT systems include the creation of digital platforms that connect in real-time events, many devices with different levels of robustness. That is, some components are simple, and others sophisticated, connected by a well-designed project using methods or using “try-correct” ad hoc procedures. This paper presents how faulty an Internet of Things (IoT) system could be if implemented without engineering quality and architecture fundamentals. Furthermore, describe by concepts and practical examples, how engineering design should apply architectural techniques driven by quality attributes (referenced by ISO/IEC 25010 standard). A Markov Chain Model used to improve availability and maintenance of a smart home application is presented to illustrate the importance of techniques to balance quality attributes of IoT systems.</t>
  </si>
  <si>
    <t>Reliability;Actuators;Security;Temperature sensors;Usability;Sensor phenomena and characterization;IoT;Internet of Things;Education;Software Engineering;Quality Attributes;IoT Architecture;Fault-Tolerant Systems;Architectural Tactics</t>
  </si>
  <si>
    <t>Sriraman G,Sehar S,E S</t>
  </si>
  <si>
    <t>Agile and Touchless Automation in the software industry</t>
  </si>
  <si>
    <t>1492-1498</t>
  </si>
  <si>
    <t>2022 8th International Conference on Advanced Computing and Communication Systems (ICACCS)</t>
  </si>
  <si>
    <t>2575-7288</t>
  </si>
  <si>
    <t>http://dx.doi.org/10.1109/ICACCS54159.2022.9785260</t>
  </si>
  <si>
    <t>10.1109/ICACCS54159.2022.9785260</t>
  </si>
  <si>
    <t>Software and systems are becoming the business drivers and core competencies for organisations than enabling function. Building effective and quality software systems is a crucial success factor for any organization. Technology and infrastructure capabilities have gone through a significant leap in the last few decades at one end, and the complexity of software and its expectations have become too high at another end of the spectrum. With these developments, it is essential to revisit the traditional way of developing, building, and operating software that leverages the advancements in technology and infrastructure developments, automation, agility, and industrialization practices. A survey was done to study existing industry practices, Organization's readiness in DevOps adoption, their pain points and how they aim to address the same. This study aims to provide deep insights into how the software industry is evolving so academicians understand the state of the industry and further the research for betterment.</t>
  </si>
  <si>
    <t>Industries;Automation;Pain;Communication systems;Buildings;Organizations;Software systems;Software Engineering;Automation;Agile;DevOps;Continuous Delivery</t>
  </si>
  <si>
    <t>Garcia J,Mirakhorli M,Xiao L,Zhao Y,Mujhid I,Pham K,Okutan A,Malek S,Kazman R,Cai Y,Medvidović N</t>
  </si>
  <si>
    <t>150-161</t>
  </si>
  <si>
    <t>http://dx.doi.org/10.1109/ICSA51549.2021.00022</t>
  </si>
  <si>
    <t>Over the past three decades software engineering researchers have produced a wide range of techniques and tools for understanding the architectures of large, complex systems. However, these have tended to be one-off research projects, and their idiosyncratic natures have hampered research collaboration, extension and combination of the tools, and technology transfer. The area of software architecture is rich with disjoint research and development infrastructures, and datasets that are either proprietary or captured in proprietary formats. This paper describes a concerted effort to reverse these trends. We have designed and implemented a flexible and extensible infrastructure (SAIN) with the goal of sharing, replicating, and advancing software architecture research. We have demonstrated that SAIN is capable of incorporating the constituent tools extracted from three independently developed, large, long-lived software architecture research environments. We discuss SAIN's ambitious goals, the challenges we have faced in achieving those goals, the key decisions made in SAIN's design and implementation, the lessons learned from our experience to date, and our ongoing and future work.</t>
  </si>
  <si>
    <t>Software maintenance;Software architecture;Prototypes;Technology transfer;Computer architecture;Tools;Benchmark testing;architecture analysis;maintenance;interoperability;reproducibility;reusability</t>
  </si>
  <si>
    <t>Guamán D,Delgado S,Pérez J</t>
  </si>
  <si>
    <t>45201-45229</t>
  </si>
  <si>
    <t>http://dx.doi.org/10.1109/ACCESS.2021.3066348</t>
  </si>
  <si>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t>
  </si>
  <si>
    <t>Software;Software architecture;Computer architecture;Decision making;Clustering methods;Clustering algorithms;Self-organizing feature maps;Model-view-controller;software architectures;artificial neural networks;self-organizing maps (SOM);unsupervised clustering techniques;machine learning;software quality</t>
  </si>
  <si>
    <t>Hegedus P</t>
  </si>
  <si>
    <t>Revealing the Effect of Coding Practices on Software Maintainability</t>
  </si>
  <si>
    <t>578-581</t>
  </si>
  <si>
    <t>2013 IEEE International Conference on Software Maintenance</t>
  </si>
  <si>
    <t>http://dx.doi.org/10.1109/ICSM.2013.99</t>
  </si>
  <si>
    <t>10.1109/ICSM.2013.99</t>
  </si>
  <si>
    <t>Due to its very obvious and direct connection with the costs of altering the behavior of a software, maintainability is probably the most attractive, observed and evaluated quality characteristic of the software products. There are many coding practices and techniques that may influence the maintainability of a system (e.g. design patterns, coding rules, anti-patterns, refactoring techniques). However, the empirical evidences of the connection between coding practices and maintainability are vague due to the following reasons: i) finding instances of coding primitives like design patterns, anti-patterns, etc. precisely with reverse engineering tools is not easy, ii) the lack of mature practical quality models for objective calculation of maintainability and handling its ambiguity, iii) few empirical studies directly evaluating the connection of coding techniques and software maintainability. The presented work focuses on solving these major problems by creating a benchmark for evaluating the performance of different reverse engineering tools and introducing a novel probabilistic approach for measuring software maintainability. By performing case studies based on new analysis methods we evince that there is a significant correlation between the design pattern density and the maintainability of a system, e.g. 0.89 Pearson correlation for JHotDraw. Moreover, preliminary studies show that applying refactoring has indeed a traceable positive impact on software maintainability as anticipated.</t>
  </si>
  <si>
    <t>Software;Encoding;Benchmark testing;Computational modeling;ISO standards;IEC standards;Reverse engineering;Software Maintainability;ISO/IEC 9126;Desin Patterns;Anti-patterns;Refactoring;Case Study</t>
  </si>
  <si>
    <t>Marantos C,Siavvas M,Tsoukalas D,Lamprakos CP,Papadopoulos L,Boryszko P,Filus K,Domańska J,Ampatzoglou A,Chatzigeorgiou A,Gelenbe E,Kehagias D,Soudris D</t>
  </si>
  <si>
    <t>981-986</t>
  </si>
  <si>
    <t>2022 Design, Automation &amp; Test in Europe Conference &amp; Exhibition (DATE)</t>
  </si>
  <si>
    <t>1558-1101</t>
  </si>
  <si>
    <t>http://dx.doi.org/10.23919/DATE54114.2022.9774586</t>
  </si>
  <si>
    <t>Developing modern secure and low-energy applications in a short time imposes new challenges and creates the need of designing new software tools to assist developers in all phases of application development. The design of such tools cannot be considered a trivial task, as they should be able to provide optimization of multiple quality requirements. In this paper, we introduce the SDK4ED platform, which incorporates advanced methods and tools for measuring and optimizing maintainability, dependability and energy. The presented solution offers a com-plete tool-flow for providing indicators and optimization meth-ods with emphasis on embedded software. Effective forecasting models and decision-making solutions are also implemented to improve the quality of the software, respecting the constraints imposed on maintenance standards, energy consumption limits and security vulnerabilities. The use of the SDK4ED platform is demonstrated in a healthcare embedded application.</t>
  </si>
  <si>
    <t>Medical services;Predictive models;Maintenance engineering;Security;Forecasting;Task analysis;Software tools;Software quality;Energy consumption;Depend-ability;Development Toolkit</t>
  </si>
  <si>
    <t>Tian F,Liang P,Babar MA</t>
  </si>
  <si>
    <t>How Developers Discuss Architecture Smells? An Exploratory Study on Stack Overflow</t>
  </si>
  <si>
    <t>2019 IEEE International Conference on Software Architecture (ICSA)</t>
  </si>
  <si>
    <t>http://dx.doi.org/10.1109/ICSA.2019.00018</t>
  </si>
  <si>
    <t>10.1109/ICSA.2019.00018</t>
  </si>
  <si>
    <t>Architecture Smells (ASs) are design decisions that can have significant negative effects on a system's quality attributes such as reusability and testability. ASs are focused on higher level of software systems than code smells, which are implementation-level constructs. ASs can have much wider impact on a system than code smells. However, ASs usually receive less attention than code smells in both research and practice. We have conducted an exploratory study of developers' conception of ASs by analyzing related discussions in Stack Overflow. We used 14 ASs related terms to search the relevant posts in Stack Overflow and extracted 207 posts. We used Grounded Theory method for analyzing the extracted posts about developers' description of ASs, causes of ASs, approaches and tools for detecting and refactoring ASs, quality attributes affected by ASs, and difficulties in detecting and refactoring ASs. Our findings show that: (1) developers often describe ASs with some general terms; (2) ASs are mainly caused by violating architecture patterns, design principles, or misusing architecture antipatterns; (3) there is a lack of dedicated tools for detecting and refactoring ASs; (4) developers mainly concern about the maintainability and performance of systems affected by ASs; and (5) the inability to quantify the cost and benefit as well as the lack of approaches and tools makes detecting and refactoring ASs difficult.</t>
  </si>
  <si>
    <t>Computer architecture;Tools;Software systems;Data mining;Filtering;Computer science;Architecture Smell;Stack Overflow;Architecture Refactoring;Quality Attribute</t>
  </si>
  <si>
    <t>Grady NW,Payne JA,Parker H</t>
  </si>
  <si>
    <t>Agile big data analytics: AnalyticsOps for data science</t>
  </si>
  <si>
    <t>2331-2339</t>
  </si>
  <si>
    <t>http://dx.doi.org/10.1109/BigData.2017.8258187</t>
  </si>
  <si>
    <t>10.1109/BigData.2017.8258187</t>
  </si>
  <si>
    <t>Big data analytic (BDA) systems leverage data distribution and parallel processing across a cluster of resources. This introduces a number of new challenges specifically for analytics. The analytics portion of the complete lifecycle has typically followed a waterfall process - completing one step before beginning the next. While efforts have been made to map different types of analytics to an agile methodology, the steps are often described as breaking activities into smaller tasks while the overall process is still consistent with step-by-step waterfall. BDA changes a number of the activities in the analytics lifecycle, as well as their ordering. The goal of agile analytics - to reach a point of optimality between generating value from data and the time spent getting there. This paper discusses the implications of an agile process for BDA in cleansing, transformation, and analytics.</t>
  </si>
  <si>
    <t>Software;Data science;Analytical models;Big Data;Data models;Testing;Computational modeling;advanced analytics;agile development;analytics lifecycle;AnalyticsOps;big data analytics;data science;data science process models;Deep Learning;DevOps;Knowledge Discovery in Data Science;machine learning</t>
  </si>
  <si>
    <t>IEEE Recommended Practice for Implementation and Management Methodology for Software-Based Intelligent Process Automation</t>
  </si>
  <si>
    <t>IEEE Std 2755. 2-2020</t>
  </si>
  <si>
    <t>1-59</t>
  </si>
  <si>
    <t>http://dx.doi.org/10.1109/IEEESTD.2021.9404959</t>
  </si>
  <si>
    <t>10.1109/IEEESTD.2021.9404959</t>
  </si>
  <si>
    <t>IEEE Standards;Artificial intelligence;Automation;Business process management;Digital systems;Management;Personnel;Software enrgineering;AI;artificial intelligence;automation center of excellence;autonomic;business process automation;business process management;center of excellence;cognitive computing;digital labor;digital process automation;digital workforce;IEEE 2755.2™;intelligent process automation;machine learning;narrow AI;process choreography;process discovery;process mining;process orchestration;robotic desktop automation;robotic process automation;RPA</t>
  </si>
  <si>
    <t>Xie L,Zheng X,Sun Y,Huang T,Bruton T</t>
  </si>
  <si>
    <t>Massively Digitized Power Grid: Opportunities and Challenges of Use-Inspired AI</t>
  </si>
  <si>
    <t>1558-2256</t>
  </si>
  <si>
    <t>http://dx.doi.org/10.1109/JPROC.2022.3175070</t>
  </si>
  <si>
    <t>10.1109/JPROC.2022.3175070</t>
  </si>
  <si>
    <t>This article presents a use-inspired perspective of the opportunities and challenges in a massively digitized power grid. It argues that the intricate interplay of data availability, computing capability, and artificial intelligence (AI) algorithm development are the three key factors driving the adoption of digitized solutions in the power grid. The impact of these three factors on critical functions of power system operation and planning practices is reviewed and illustrated with industrial practice case studies. Open challenges and research opportunities for data, computing, and AI algorithms are articulated within the context of the power industry’s tremendous decarbonization efforts.</t>
  </si>
  <si>
    <t>Artificial intelligence;Power grids;Security;Power systems;Low-carbon economy;Renewable energy sources;Reliability;Artificial intelligence (AI);data-driven algorithms;decarbonization;industry use cases;machine learning;power grid</t>
  </si>
  <si>
    <t>248-259</t>
  </si>
  <si>
    <t>http://dx.doi.org/10.1109/QRS.2019.00041</t>
  </si>
  <si>
    <t>Software vulnerability analysis is one of the critical issues in the software industry, and vulnerability classification plays a major role in this analysis. A typical vulnerability classification model usually involves a stage of term selection, in which the relevant terms are identified via feature selection. It also involves a stage of term weighting, in which document weights for the selected terms are computed, and a stage for classifier learning. Generally, the term frequency-inverse document frequency (TF-IDF) is the most widely used term-weighting method. However, empirical evidence shows that the TF-IDF is plagued with issues pertaining to its effectiveness. This paper introduces a new approach for vulnerability classification, which is based on term frequency and inverse gravity moment (TF-IGM). The proposed method is validated by empirical experiments using three machine learning algorithms on ten publicly available vulnerability datasets. The result shows that TF-IGM outperforms the benchmark method across the applications studied.</t>
  </si>
  <si>
    <t>Feature extraction;Gravity;Security;Text categorization;Computer bugs;Frequency conversion;Software;Software vulnerability, Classification, Term weighting, Text Mining</t>
  </si>
  <si>
    <t>Tran VN,Tran LV,Tran VN</t>
  </si>
  <si>
    <t>Functional Hazard Analysis for Engineering Safe Software Requirements</t>
  </si>
  <si>
    <t>142-148</t>
  </si>
  <si>
    <t>2021 4th International Conference on Information and Computer Technologies (ICICT)</t>
  </si>
  <si>
    <t>http://dx.doi.org/10.1109/ICICT52872.2021.00031</t>
  </si>
  <si>
    <t>10.1109/ICICT52872.2021.00031</t>
  </si>
  <si>
    <t>Functional Hazard Analysis (FHA) is an inductive hazard analysis method used to evaluate the potential causes and hazardous consequences of a system's functional failures. Software safety uses the FHA to assess the software contribution to the system hazards and identify software improvement opportunities. The FHA integrates risk-driven and quality assurance-driven approaches into a single safety analysis method for safe software requirements engineering. Our paper reviews the use of the MIL-STD-882E FHA to support the development of software requirements for safety-critical systems. First, we summarize the distinguishing features of the FHA as a hazard analysis method. Second, we explain how to use this method to identify software safety risks and recommend software safety improvements in the software requirements engineering process.</t>
  </si>
  <si>
    <t>Military standards;Hazards;Software safety;Requirements engineering;Functional Hazard Analysis;Software Safety;Software Requirements;Safety Requirements Engineering</t>
  </si>
  <si>
    <t>Khezami N,Kessentini M,Ferreira TN</t>
  </si>
  <si>
    <t>A Systematic Literature Review on Software Maintenance for Cyber-Physical Systems</t>
  </si>
  <si>
    <t>159858-159872</t>
  </si>
  <si>
    <t>http://dx.doi.org/10.1109/ACCESS.2021.3126681</t>
  </si>
  <si>
    <t>10.1109/ACCESS.2021.3126681</t>
  </si>
  <si>
    <t>Cyber-physical systems (CPS) are widely used in almost every sector of our modern life. They are also changing the way how systems are designed and maintained as CPS represent a combination of hardware and software components. Thus, the maintenance of CPS is challenging due to the various components that are involved, including embedded software technologies, internet of things (IoT), machine to machine interactions, connectivity and wireless networks. In this paper, we performed a systematic literature review of the existing studies related to software maintenance of CPS starting from January 2006 until December 2020. After extensive manual analysis and filtering, we identified a total of 109 primary studies that we deeply analyzed through different criteria to answer four main research questions about software maintenance activities, techniques, types and evaluation methods used in CPS. Based on the data collected from this survey, we created a taxonomy to classify the existing research works, identified research trends, and highlighted gaps in the literature and avenues for further research in the field.</t>
  </si>
  <si>
    <t>Software maintenance;Maintenance engineering;Cyber-physical systems;Software;Systematics;Bibliographies;Internet of Things;Systematic literature review;cyber-physical systems;software maintenance</t>
  </si>
  <si>
    <t>Nazlıel K,Kayabay K,Gökalp MO,Gökalp E,Eren E</t>
  </si>
  <si>
    <t>172-178</t>
  </si>
  <si>
    <t>2022 IEEE Technology and Engineering Management Conference (TEMSCON EUROPE)</t>
  </si>
  <si>
    <t>http://dx.doi.org/10.1109/TEMSCONEUROPE54743.2022.9802054</t>
  </si>
  <si>
    <t>Developments in data science and related fields have created plentiful technologies for the business world. The rapid developments in new technologies obstruct analytics teams’ data science technology identification, selection, and management processes. Utilizing an improper set of tools, teams encounter problems and inefficiencies when managing their technology architecture. We undertake this problem by providing a technology selection approach synthesizing quantitative multi-criteria decision-making methods with qualitative group decision-making approaches. The purpose of this study is to develop a comprehensive technology selection methodology for Data Science that satisfies principles for developing a strategic technology management toolkit. Following the principles for developing technology management tools, the proposed methodology enables the decision-makers to compare the data science tools and select the most suitable alternative according to their data science project requirements. The practitioners can identify the technology categories, functional and non-functional requirements, differentiating features, and possible technology stacks. While the existing studies in this domain consider the technology selection problem in isolation and investigate a subset of technologies, our approach considers the end-to-end data science processes from the technology management perspective to provide data experts with a systematic approach exposing integrable technologies.</t>
  </si>
  <si>
    <t>Technology management;Systematics;Conferences;Decision making;Europe;Data science;Business;data science;data analytics;technology selection;technology management</t>
  </si>
  <si>
    <t>Book Chapter</t>
  </si>
  <si>
    <t>Tarun R</t>
  </si>
  <si>
    <t>The Convergence of Cyber and Physical</t>
  </si>
  <si>
    <t>169-178</t>
  </si>
  <si>
    <t>Wiley</t>
  </si>
  <si>
    <t>Fight Fire with Fire: Proactive Cybersecurity Strategies for Today's Leaders</t>
  </si>
  <si>
    <t>https://ieeexplore.ieee.org/document/9953517</t>
  </si>
  <si>
    <t>Protecting data, processes, and people beyond the traditional network perimeter—where the cyber and physical converge—is a growing challenge CISOs must address. Sophisticated threat actors and cyber criminals are actively using AI and machine learning (ML). The good news: these same technologies also offer new advantages for defenders. Information on emerging and troubling security trends and insight derived from ML and AI can be leveraged by being directly synced to modern IT infrastructure. Leveraging machine‐learned insight to drive toward auto‐remediation is fundamental in ensuring low‐level threats are thwarted, and teams can focus on remediation for more complex (and business detrimental) incidents. Invest in AI‐ and ML‐driven information services that will provide one's enterprise, and its edge points, with this valuable aggregation of widely focused and industry‐specific security intelligence.</t>
  </si>
  <si>
    <t>Software;Security;Business;Biomedical monitoring;Temperature sensors;Monitoring;Temperature measurement</t>
  </si>
  <si>
    <t>Garcia A,Benitez-Talamantes A,Manzano-Hernandez P</t>
  </si>
  <si>
    <t>Compatibility Validation Framework for Complex Data Center HW Components</t>
  </si>
  <si>
    <t>974-978</t>
  </si>
  <si>
    <t>2020 IEEE 7th International Conference on Industrial Engineering and Applications (ICIEA)</t>
  </si>
  <si>
    <t>http://dx.doi.org/10.1109/ICIEA49774.2020.9101913</t>
  </si>
  <si>
    <t>10.1109/ICIEA49774.2020.9101913</t>
  </si>
  <si>
    <t>This paper presents the quality assurance improvement strategy to transform Compatibility Validation (CV) process for complex Data Center (DC) HW components into an operational excellence that shifted left the validation results and built efficient test suites that minimized coverage redundancies, reduced test execution time and maximized infrastructure utilization. The latter was accomplished by implementing test development best practices to maintain the injected errors in test environment close to the minimum industry world class levels of approximately 2% and to increase product quality by detecting system and compatibility issues early and efficiently delivering high quality products to be integrated in commercial DC solutions. This document covers the description, complexity and challenges of CV, it also presents the methodologies implemented to improve coverage, reduce noise and the integrated management system to monitor results and remove waste.</t>
  </si>
  <si>
    <t>Testing;Software;Complexity theory;Ecosystems;Best practices;Industries;Data centers;compatibility validation;systems engineering;integrated management system</t>
  </si>
  <si>
    <t>Koenzen AP,Ernst NA,Storey MA</t>
  </si>
  <si>
    <t>Code Duplication and Reuse in Jupyter Notebooks</t>
  </si>
  <si>
    <t>2020 IEEE Symposium on Visual Languages and Human-Centric Computing (VL/HCC)</t>
  </si>
  <si>
    <t>http://dx.doi.org/10.1109/VL/HCC50065.2020.9127202</t>
  </si>
  <si>
    <t>10.1109/VL/HCC50065.2020.9127202</t>
  </si>
  <si>
    <t>Duplicating one’s own code makes it faster to write software. This expediency is particularly valuable for users of computational notebooks. Duplication allows notebook users to quickly test hypotheses and iterate over data. In this paper, we explore how much, how and from where code duplication occurs in computational notebooks, and identify potential barriers to code reuse. Previous work in the area of computational notebooks describes developers’ motivations for reuse and duplication but does not show how much reuse occurs or which barriers they face when reusing code. To address this gap, we first analyzed GitHub repositories for code duplicates contained in a repository’s Jupyter notebooks, and then conducted an observational user study of code reuse, where participants solved specific tasks using notebooks. Our findings reveal that repositories in our sample have a mean self-duplication rate of 7.6%. However, in our user study, few participants duplicated their own code, preferring to reuse code from online sources.</t>
  </si>
  <si>
    <t>Visualization;Codes;Data visualization;Programming;Data science;Control systems;Software;Jupyter;computational notebooks;code duplication;code clones;code reuse;data analysis;data exploration;exploratory programming</t>
  </si>
  <si>
    <t>Santos I,Melo SM,Lopes de Souza PS,Souza SR</t>
  </si>
  <si>
    <t>Towards a unified catalog of attributes to guide industry in software testing technique selection</t>
  </si>
  <si>
    <t>398-407</t>
  </si>
  <si>
    <t>2020 IEEE International Conference on Software Testing, Verification and Validation Workshops (ICSTW)</t>
  </si>
  <si>
    <t>http://dx.doi.org/10.1109/ICSTW50294.2020.00071</t>
  </si>
  <si>
    <t>10.1109/ICSTW50294.2020.00071</t>
  </si>
  <si>
    <t>[Context] The correct selection of a software testing technique can positively influence the quality of the software in development. In previous work, a mapping study was conducted to identify approaches concerning software testing techniques selection, highlighting the attributes used to support the testing technique selection process. [Objective] This paper presents a unified catalog composed of testing technique selection attributes, built from the mapping study results. The aim is to assist testing practitioners to choose the best testing techniques to apply to a particular software project. [Method] Through the 10 studies that present the attributes used for supporting the process of selecting software testing techniques, 178 attributes were extracted. From this, a careful analysis was conducted to exclude the attributes that appeared duplicated. [Results] According to the objective and features, the catalog of attributes was classified into 8 categories, namely (i) general testing characteristics; (ii) tools; (iii) test team; (iv) software project; (v) orthogonal defect classification (ODC) faults; (vi) web applications; (vii) concurrent software; and (viii) model-based testing. [Conclusion] Through the development of this catalog, we intend to help testers, guiding them on how to select the best testing technique to be applied to software projects in the industry. It is expected that this work can foster collaboration between industry and academia to help improve the quality of software developed by choosing the best testing technique. Also, we want to further extend this work through the validation in industry real cases.</t>
  </si>
  <si>
    <t>Software;Software testing;Industries;Tools;Electronic mail;Collaboration;Testing techniques selection;selection attributes;catalog;software testing</t>
  </si>
  <si>
    <t>van der Schuur H,Jansen S,Brinkkemper S</t>
  </si>
  <si>
    <t>Sending Out a Software Operation Summary: Leveraging Software Operation Knowledge for Prioritization of Maintenance Tasks</t>
  </si>
  <si>
    <t>160-169</t>
  </si>
  <si>
    <t>2011 Joint Conference of the 21st International Workshop on Software Measurement and the 6th International Conference on Software Process and Product Measurement</t>
  </si>
  <si>
    <t>http://dx.doi.org/10.1109/IWSM-MENSURA.2011.14</t>
  </si>
  <si>
    <t>10.1109/IWSM-MENSURA.2011.14</t>
  </si>
  <si>
    <t>Knowledge of in-the-field software operation is acquired by many software-producing organizations nowadays. While vendors are effective in acquiring large amounts of valuable software operation information, many are lacking methods to improve their software processes with such information. In this paper, we attempt to improve the software maintenance process by proposing a software operation summary: an overview of a vendor's recent in-the-field software operation, designed to support software processes by providing software operation knowledge. Particularly, we strive to improve prioritization of software maintenance tasks by fostering the reach of consensus between involved employees on such prioritization. Through an extensive survey among product software vendors in the Netherlands, we confirm the need for a software operation summary, and identify which crash report data are considered relevant as a basis for the summary when it is used for prioritization of software maintenance tasks. By means of a case study at a European software vendor, a software operation summary composed using crash report data is empirically evaluated. Results confirm the lack of consensus experienced between engineers and managers, and illustrate the value of the summary in fostering reach of consensus between employee roles, particularly in preparation of sprint planning and bug fixing activities.</t>
  </si>
  <si>
    <t>Software maintenance;Computer crashes;Maintenance engineering;Software architecture;Industries;Companies;maintenance task prioritization;software operation knowledge;empirical research</t>
  </si>
  <si>
    <t>Zhao X,Gray J,Riché T</t>
  </si>
  <si>
    <t>A Survey-Based Empirical Evaluation of Bad Smells in LabVIEW Systems Models</t>
  </si>
  <si>
    <t>177-188</t>
  </si>
  <si>
    <t>http://dx.doi.org/10.1109/SANER50967.2021.00025</t>
  </si>
  <si>
    <t>10.1109/SANER50967.2021.00025</t>
  </si>
  <si>
    <t>Bad smells are indications of poor designs that decrease the quality and maintainability of software. Compared with extensive research on bad smells in the context of Object-Oriented Programming (code smells), bad smells in systems models (model smells) need much more investigation. Although some works have proposed several model smells in a few modeling domains, the understanding and perception of different types of model smells may vary due to depth of knowledge and area of expertise. To fill this gap, we conducted an empirical study to evaluate the model smells summarized in the existing literature within the context of LabVIEW systems models through an anonymous online survey. Based on the 45 complete responses received from a diverse group of systems modelers, we observed that there exist differences regarding the perception of various model smells. Furthermore, depth of knowledge (experienced and inexperienced users) was observed as a factor that affects a user's understanding of different model smells. However, area of expertise (academia/industry, as well as domain of focus) did not show significant difference in model smells perception. Moreover, we identified additional model smells from this empirical study. In this paper, we provide several recommendations to avoid common model smells and we summarize the lessons learned from this investigation. Our exploratory research provides empirical evidence that drives deeper insights into model smells and lays out recommendations to practitioners on how to avoid some of the prominent smells, thus improving the quality of software artifacts in systems models.</t>
  </si>
  <si>
    <t>Analytical models;Object oriented modeling;Conferences;Software;Object oriented programming;Context modeling;Model smells;Systems models;Empirical study;Survey;LabVIEW</t>
  </si>
  <si>
    <t>Gortney ME,Harris PE,Cerny T,Maruf AA,Bures M,Taibi D,Tisnovsky P</t>
  </si>
  <si>
    <t>Visualizing Microservice Architecture in the Dynamic Perspective: A Systematic Mapping Study</t>
  </si>
  <si>
    <t>119999-120012</t>
  </si>
  <si>
    <t>http://dx.doi.org/10.1109/ACCESS.2022.3221130</t>
  </si>
  <si>
    <t>10.1109/ACCESS.2022.3221130</t>
  </si>
  <si>
    <t>As microservices become more popular, more drawbacks become apparent to developers. One issue that many teams face today is the failure to visualize the entire system architecture holistically. Without a full view of the system, the architecture can become convoluted as teams add and subtract from their system without reconciling their changes. One established practice to determine a view on the entire system involves dynamic analysis of microservice interaction and dependencies. In this mapping study, we investigate dynamic analysis as a way to visualize system architecture. Capturing the architectural view with dynamic analysis has the ability to build the system and then show its behavior at run-time. We identify dynamic analysis techniques, the corresponding tools, and the models that these practices can generate. The findings of this study are relevant to developers of decentralized systems looking for a way to visualize their system architecture in a dynamic perspective.</t>
  </si>
  <si>
    <t>Microservice architectures;Computer architecture;Data visualization;Visualization;Source coding;Software architecture;Codes;Architecture visualization;dynamic analysis;microservices</t>
  </si>
  <si>
    <t>Falco M,Robiolo G</t>
  </si>
  <si>
    <t>Trends and Findings in Measuring Software Quality Metrics in the Industry</t>
  </si>
  <si>
    <t>2022 IEEE Biennial Congress of Argentina (ARGENCON)</t>
  </si>
  <si>
    <t>http://dx.doi.org/10.1109/ARGENCON55245.2022.9939935</t>
  </si>
  <si>
    <t>10.1109/ARGENCON55245.2022.9939935</t>
  </si>
  <si>
    <t>The importance of software quality and the role of metrics is well recognized. However, they haven’t been standardized into the software life cycle. The main goal of this article is to identify the existence of quality metrics in terms of quality characteristics which has been applied within the industry. Trough a literature review we were able to extract the quality characteristics and the set of metrics from the relevant studies, from which we were able to build a catalogue of ready-to-apply metrics. This catalogue contains 177 metrics group by the quality characteristics: Functional Suitability, Performance Efficiency, Usability, Reliability, Fault Tolerance, Safety, Security, Maintainability, Testability, and Evolvability. A set of findings have been delineated to understand the trends within the analyzed studies.</t>
  </si>
  <si>
    <t>Measurement;Industries;Automation;Software quality;Software;Time measurement;Safety;Software quality;Quality measurement;Quality characteristics;Industrial setting</t>
  </si>
  <si>
    <t>Siddiq ML,Majumder SH,Mim MR,Jajodia S,Santos JC</t>
  </si>
  <si>
    <t>An Empirical Study of Code Smells in Transformer-based Code Generation Techniques</t>
  </si>
  <si>
    <t>71-82</t>
  </si>
  <si>
    <t>http://dx.doi.org/10.1109/SCAM55253.2022.00014</t>
  </si>
  <si>
    <t>10.1109/SCAM55253.2022.00014</t>
  </si>
  <si>
    <t>Prior works have developed transformer-based language learning models to automatically generate source code for a task without compilation errors. The datasets used to train these techniques include samples from open source projects which may not be free of security flaws, code smells, and violations of standard coding practices. Therefore, we investigate to what extent code smells are present in the datasets of coding generation techniques and verify whether they leak into the output of these techniques. To conduct this study, we used Pylint and Bandit to detect code smells and security smells in three widely used training sets (CodeXGlue, APPS, and Code Clippy). We observed that Pylint caught 264 code smell types, whereas Bandit located 44 security smell types in these three datasets used for training code generation techniques. By analyzing the output from ten different configurations of the open-source fine-tuned transformer-based GPT-Neo 125M parameters model, we observed that this model leaked the smells and non-standard practices to the generated source code. When analyzing GitHub Copilot's suggestions, a closed source code generation tool, we observed that it contained 18 types of code smells, including substandard coding patterns and 2 security smell types.</t>
  </si>
  <si>
    <t>Training;Analytical models;Codes;Source coding;Writing;Transformers;Security;code generation;code smell;security smell;transformer;pre-trained model;GitHub copilot</t>
  </si>
  <si>
    <t>Oliveira P,Valente MT,Lima FP</t>
  </si>
  <si>
    <t>Extracting relative thresholds for source code metrics</t>
  </si>
  <si>
    <t>254-263</t>
  </si>
  <si>
    <t>2014 Software Evolution Week - IEEE Conference on Software Maintenance, Reengineering, and Reverse Engineering (CSMR-WCRE)</t>
  </si>
  <si>
    <t>http://dx.doi.org/10.1109/CSMR-WCRE.2014.6747177</t>
  </si>
  <si>
    <t>10.1109/CSMR-WCRE.2014.6747177</t>
  </si>
  <si>
    <t>Establishing credible thresholds is a central challenge for promoting source code metrics as an effective instrument to control the internal quality of software systems. To address this challenge, we propose the concept of relative thresholds for evaluating metrics data following heavy-tailed distributions. The proposed thresholds are relative because they assume that metric thresholds should be followed by most source code entities, but that it is also natural to have a number of entities in the “long-tail” that do not follow the defined limits. In the paper, we describe an empirical method for extracting relative thresholds from real systems. We also report a study on applying this method in a corpus with 106 systems. Based on the results of this study, we argue that the proposed thresholds express a balance between real and idealized design practices.</t>
  </si>
  <si>
    <t>Measurement;Couplings;Java;Complexity theory;Proposals;Software quality;Source code metrics;Relative thresholds;Software quality;Software measurement</t>
  </si>
  <si>
    <t>Hummer W,Muthusamy V,Rausch T,Dube P,El Maghraoui K,Murthi A,Oum P</t>
  </si>
  <si>
    <t>ModelOps: Cloud-Based Lifecycle Management for Reliable and Trusted AI</t>
  </si>
  <si>
    <t>113-120</t>
  </si>
  <si>
    <t>2019 IEEE International Conference on Cloud Engineering (IC2E)</t>
  </si>
  <si>
    <t>http://dx.doi.org/10.1109/IC2E.2019.00025</t>
  </si>
  <si>
    <t>10.1109/IC2E.2019.00025</t>
  </si>
  <si>
    <t>This paper proposes a cloud-based framework and platform for end-to-end development and lifecycle management of artificial intelligence (AI) applications. We build on our previous work on platform-level support for cloud-managed deep learning services, and show how the principles of software lifecycle management can be leveraged and extended to enable automation, trust, reliability, traceability, quality control, and reproducibility of AI pipelines. Based on a discussion of use cases and current challenges, we describe a framework for managingAI application lifecycles and its key components. We also show concrete examples that illustrate how this framework enables managing and executing model training and continuous learning pipelines while infusing trusted AI principles.</t>
  </si>
  <si>
    <t>Artificial intelligence;Pipelines;Training;Data models;Cloud computing;Monitoring;Computational modeling;model;pipelines;DevOps;Cloud;harden;monitor-drift</t>
  </si>
  <si>
    <t>Bucaioni A,Pelliccione P</t>
  </si>
  <si>
    <t>Technical Architectures for Automotive Systems</t>
  </si>
  <si>
    <t>46-57</t>
  </si>
  <si>
    <t>2020 IEEE International Conference on Software Architecture (ICSA)</t>
  </si>
  <si>
    <t>http://dx.doi.org/10.1109/ICSA47634.2020.00013</t>
  </si>
  <si>
    <t>10.1109/ICSA47634.2020.00013</t>
  </si>
  <si>
    <t>Driven by software, the automotive domain is living an unprecedented revolution with original equipment manufacturers increasingly becoming software companies. Vehicle electrical and electronic software architectures are considered means for addressing several concerns, which span from safety to security, through electrification and autonomy. Such architectures serve also as pivotal means for enabling communication between an original equipment manufacturer and suppliers (tier 1 and 2 companies) within the automotive ecosystem. In the automotive domain, software architectures include (at least) three different views of descending abstraction: functional, logical, and technical. In this work, we focus on the technical view with a two-folded contribution. On the one hand, we propose a feature model of technical architectures for automotive systems. On the other hand, starting from the elicited feature model, we present three technical reference architectures able to guide three generations of automotive systems. We evaluate the contribution of this work by means of a focus group validation session and short semi-structured interviews with automotive experts and practitioners.</t>
  </si>
  <si>
    <t>Computer architecture;Automotive engineering;Companies;Software architecture;Software;Hardware;Topology;software architecture;automotive;technical architecture</t>
  </si>
  <si>
    <t>Lin B,Wang S,Liu K,Mao X,Bissyandé TF</t>
  </si>
  <si>
    <t>36-46</t>
  </si>
  <si>
    <t>http://dx.doi.org/10.1109/ICPC52881.2021.00013</t>
  </si>
  <si>
    <t>Code comments are key to program comprehension. When they are not consistent with the code, maintenance is hindered. Yet developers often forget to update comments along with their code evolution. With recent advances in neural machine translation, the research community is contemplating novel approaches for automatically generating up-to-date comments following code changes. CUP is such an example state-of-the-art approach whose promising performance remains however to be comprehensively assessed. Our study contributes to the literature by performing an in-depth analysis on the effectiveness of CUP. Our analysis revealed that the overall effectiveness of CUP is largely contributed by its success on updating comments via a single token change (96.6%). Several update failures occur when CUP ignores some code change information (10.4%) or when it is otherwise misled by additional information (12.8%). To put in perspective the achievements of CUP, we implement HEBCUP, a straightforward heuristic-based approach for code comment update. Building on our observations on CUP successful and failure cases, we design heuristics for focusing the update on the changed code and for performing token-level comment update. HebCup is shown to outperform CUP in terms of Accuracy by more than 60% while being over three orders of magnitude (i.e., 1700 times) faster. Further empirical analysis confirms that the HebCup does not even overfit to the empirical analysis set. Overall, with this study, we call for more research in deep learning based comment update towards achieving state-of-the-art performance that would be unreachable by other less sophisticated techniques.</t>
  </si>
  <si>
    <t>Deep learning;Automation;Buildings;Focusing;Maintenance engineering;Machine translation;Task analysis;Comment Update;Deep Learning;Empirical Assessment</t>
  </si>
  <si>
    <t>Synergizing Domain Expertise With Self-Awareness in Software Systems: A Patternized Architecture Guideline</t>
  </si>
  <si>
    <t>1094-1126</t>
  </si>
  <si>
    <t>http://dx.doi.org/10.1109/JPROC.2020.2985293</t>
  </si>
  <si>
    <t>To promote engineering self-aware and self-adaptive software systems in a reusable manner, architectural patterns and the related methodology provide an unified solution to handle the recurring problems in the engineering process. However, in existing patterns and methods, domain knowledge and engineers’ expertise that is built over time are not explicitly linked to the self-aware processes. This link is important, as knowledge is a valuable asset for the related problems and its absence would cause unnecessary overhead, possibly misleading results, and unwise waste of the tremendous benefits that could have been brought by the domain expertise. This article highlights the importance of synergizing domain expertise and the self-awareness to enable better self-adaptation in software systems, relying on well-defined expertise representation, algorithms, and techniques. In particular, we present a holistic framework of notions, enriched patterns and methodology, dubbed DBASES, that offers a principled guideline for the engineers to perform difficulty and benefit analysis on possible synergies, in an attempt to keep “engineers-in-the-loop.” Through three tutorial case studies, we demonstrate how DBASES can be applied in different domains, within which a carefully selected set of candidates with different synergies can be used for quantitative investigation, providing more informed decisions of the design choices.</t>
  </si>
  <si>
    <t>Software systems;Software algorithms;Self-aware;Guidelines;Knowledge engineering;Architectural patterns;human-in-the-loop;self-adaptive software systems;self-aware software systems</t>
  </si>
  <si>
    <t>Dealing With Software Collapse</t>
  </si>
  <si>
    <t>104-108</t>
  </si>
  <si>
    <t>http://dx.doi.org/10.1109/MCSE.2019.2900945</t>
  </si>
  <si>
    <t>10.1109/MCSE.2019.2900945</t>
  </si>
  <si>
    <t>Discusses the concept of software collapse. There is A good chance that you have never heard of software collapse before, for the simple reason that it is a term I have made up myself two years ago in a blog post. However, if you have been doing computational science for a few years, there is a good chance that you have experienced software collapse, and probably it was not a pleasant experience. In this paper, I will explain what software collapse is, what causes it, and how you can manage the risk of it happening to you. What I call software collapse is more commonly referred to as software rot: the fact that software stops working eventually if is not actively maintained. The rot metaphor has a long history, the first documented reference being the 1983 edition of the Hacker’s Dictionary. Back then, it was used jokingly by a small community of computer experts who understood the phenomenon perfectly well, and therefore a funny but technically inaccurate metaphor was not a problem. Today, it is being discussed in much wider circles, for example, in the context of reproducible research. In my opinion, it is appropriate to introduce a useful metaphor in place of the traditional humorous one, because good metaphors contribute to a better understanding of what is actually going on. The main issue with the rot metaphor is that it puts the blame on the wrong piece of the puzzle. If software becomes unusable over time, it is not because of any alteration to that software that needs to be reversed. Rather, it is the foundation on which the software has been built, ranging from the actual hardware via the operating system to programming languages and libraries, that has changed so much that the software is no longer compatible with it. Since unstable foundations resemble how a house is destroyed by an earthquake rather than how spoiling food is transformed by fungi, I consider collapse an appropriate metaphor.</t>
  </si>
  <si>
    <t>Hardware;Computer bugs;Operating systems;Maintenance engineering;Scientific computing</t>
  </si>
  <si>
    <t>Liechti O,Pasquier J,Reis R</t>
  </si>
  <si>
    <t>Supporting Agile Teams with a Test Analytics Platform: A Case Study</t>
  </si>
  <si>
    <t>2017 IEEE/ACM 12th International Workshop on Automation of Software Testing (AST)</t>
  </si>
  <si>
    <t>http://dx.doi.org/10.1109/AST.2017.3</t>
  </si>
  <si>
    <t>10.1109/AST.2017.3</t>
  </si>
  <si>
    <t>Continuous improvement, feedback mechanisms and automated testing are cornerstones of agile methods. We introduce the concept of test analytics, which brings these three practices together. We illustrate the concept with an industrial case study and describe the experiments run by a team who had set a goal for itself to get better at testing. Beyond technical aspects, we explain how these experiments have changed the mindset and the behaviour of the team members. We then present an open source test analytics platform, later developed to share the positive learnings with the community. We describe the platform features and architecture and explain how it can be easily put to use. Before the conclusions, we explain how test analytics fits in the broader context of software analytics and present our ideas for future work.</t>
  </si>
  <si>
    <t>Testing;Software;Companies;Context;Collaboration;agile development;automated testing;gamification;feedback channels</t>
  </si>
  <si>
    <t>16452-16472</t>
  </si>
  <si>
    <t>http://dx.doi.org/10.1109/JIOT.2020.3046441</t>
  </si>
  <si>
    <t>Modern Living, as we know it, has been impacted meaningfully by the Internet of Things (IoT). IoT consists of a network of things that collect data from machines (e.g., mobile devices) and people. Mobile application development is a flourishing tendency, given the increasing popularity of smartphones. Nowadays, users are accessing their desired services on the smartphone by means of dedicated applications as the latter offers a more customized and prompt service. In addition, companies are also looking to persuade users by offering interactive and effective mobile applications. Mobile application developers are using IoT to develop better applications. However, there is no generalized consensus on the selection of best architecture or even the most suitable communications protocols to be used on an IoT application development. Therefore, this article aims at presenting approaches, architectures, and methodologies relevant to the development of mobile IoT solutions.</t>
  </si>
  <si>
    <t>Internet of Things;Computer architecture;Protocols;Cloud computing;Software;TCPIP;Security;Architecture;Internet of Things (IoT);methodology;mobile development</t>
  </si>
  <si>
    <t>Gregory S</t>
  </si>
  <si>
    <t>Requirements Engineering: The Quest for Meaningful Metrics: Time for a Change?</t>
  </si>
  <si>
    <t>http://dx.doi.org/10.1109/MS.2019.2933685</t>
  </si>
  <si>
    <t>10.1109/MS.2019.2933685</t>
  </si>
  <si>
    <t>For many years, I quoted a misstatement of this quotation from statistician and quality guru W. Edwards Deming. From my graduate school days, If you can't measure it, you can't manage it has been drilled into my head as a mantra. While I gritted my teeth through many a metrics-focused activity, I consoled myself with the belief that the effort to get to some sort of objective measure-in requirements engineering (RE), defect density, the number of defects in an artifact or specification-would inevitably lead to better results. Measuring defects would lead to manageable requirements. Better requirements-requirements with fewer objective defects-would lead to better products.</t>
  </si>
  <si>
    <t>Requirements engineering;Current measurement;Performance evaluation;Training</t>
  </si>
  <si>
    <t>Ciordas-Hertel GP,Schneider J,Drachsler H</t>
  </si>
  <si>
    <t>Which Strategies are Used in the Design of Technical LA Infrastructure?: A Qualitative Interview Study</t>
  </si>
  <si>
    <t>96-105</t>
  </si>
  <si>
    <t>2020 IEEE Global Engineering Education Conference (EDUCON)</t>
  </si>
  <si>
    <t>2165-9567</t>
  </si>
  <si>
    <t>http://dx.doi.org/10.1109/EDUCON45650.2020.9125363</t>
  </si>
  <si>
    <t>10.1109/EDUCON45650.2020.9125363</t>
  </si>
  <si>
    <t>In order to obtain a holistic perspective on learning, technical infrastructure at an institutional level can be advantageous for Learning Analytics (LA). If personal data is collected and processed in such infrastructure, legal requirements are of crucial importance. Recent studies have examined various aspects of LA infrastructure, such as ethical trade-offs and stakeholder needs. However, strategies for designing technical LA infrastructure at the institutional level and strategies for dealing with data protection regulations have been lacking so far, although they are crucial for the adoption of LA in Europe. The purpose of this paper is to examine three research questions: (RQ1) which strategies are currently used to design LA infrastructure; (RQ2) how data protection and privacy affect the design of LA infrastructure; and (RQ3) how could technical measures support the adoption of LA. These research questions were investigated by conducting eleven interviews with LA infrastructure developers representing eight different higher education institutions and ten different infrastructures. According to RQ1, the paper first examines the domain specificity of LA infrastructure and the four design strategies used. The paper also examines, according to RQ2, the interviewees’ awareness of data protection, the conflict with users’ consent, and the data subject rights. Finally, the paper presents, in line with RQ3, the results of the strategies in dealing with trust, stakeholder expectations, and engagement. Researchers and infrastructure developers can use and adopt these findings to improve their strategies for developing technical LA infrastructure with regard to data protection, privacy, and trust.</t>
  </si>
  <si>
    <t>Ethics;Law;Conferences;Data protection;Europe;Regulation;Stakeholders;learning analytics;technical infrastructure;design strategy;data protection;privacy;GDPR;qualitative interview study</t>
  </si>
  <si>
    <t>Ebert C,Montenbruck JM</t>
  </si>
  <si>
    <t>Industry Survey: The Magic Triangle of the New Normal</t>
  </si>
  <si>
    <t>http://dx.doi.org/10.1109/MS.2022.3148928</t>
  </si>
  <si>
    <t>10.1109/MS.2022.3148928</t>
  </si>
  <si>
    <t>At year-end 2021 and in continuous flow of waves of COVID-19, Vector Consulting with IEEE Software contacted industry experts on their challenges, lessons learned, and outlook. We have been asking almost 3,000 people across different industries worldwide. With a response rate of 5.5% covering different industry domains, the survey well represents different business-to-business models and diverse regions in the world.</t>
  </si>
  <si>
    <t>Industries;COVID-19</t>
  </si>
  <si>
    <t>Dahm JP,Richards DF,Black A,Bertsch AD,Grinberg L,Karlin I,Kokkila-Schumacher S,León EA,Neely JR,Pankajakshan R,Pearce O</t>
  </si>
  <si>
    <t>Sierra Center of Excellence: Lessons learned</t>
  </si>
  <si>
    <t>IBM Journal of Research and Development</t>
  </si>
  <si>
    <t>2:1-2:14</t>
  </si>
  <si>
    <t>0018-8646</t>
  </si>
  <si>
    <t>http://dx.doi.org/10.1147/JRD.2019.2961069</t>
  </si>
  <si>
    <t>10.1147/JRD.2019.2961069</t>
  </si>
  <si>
    <t>The introduction of heterogeneous computing via GPUs from the Sierra architecture represented a significant shift in direction for computational science at Lawrence Livermore National Laboratory (LLNL), and therefore required significant preparation. Over the last five years, the Sierra Center of Excellence (CoE) has brought employees with specific expertise from IBM and NVIDIA together with LLNL in a concentrated effort to prepare applications, system software, and tools for the Sierra supercomputer. This article shares the process we applied for the CoE and documents lessons learned during the collaboration, with the hope that others will be able to learn from both our success and intermediate setbacks. We describe what we have found to work for the management of such a collaboration and best practices for algorithms and source code, system configuration and software stack, tools, and application performance.</t>
  </si>
  <si>
    <t>Graphics processing units;Heterogeneous networks;Standards;Parallel processing;Performance evaluation;Memory management</t>
  </si>
  <si>
    <t>Ardagna CA,Bellandi V,Ceravolo P,Damiani E,Finazzo R</t>
  </si>
  <si>
    <t>A Methodology for Cross-Platform, Event-Driven Big Data Analytics-as-a-Service</t>
  </si>
  <si>
    <t>3440-3448</t>
  </si>
  <si>
    <t>2019 IEEE International Conference on Big Data (Big Data)</t>
  </si>
  <si>
    <t>http://dx.doi.org/10.1109/BigData47090.2019.9005503</t>
  </si>
  <si>
    <t>10.1109/BigData47090.2019.9005503</t>
  </si>
  <si>
    <t>The advent of Big Data has revolutionized the way in which data are collected, analyzed, and processed, becoming a pre-requisite for each enterprise that competes in the global market. In this respect, the commodization of Big Data analytics is an essential goal to be faced in the near future. Recently, some preliminary approaches have been presented mostly focusing on distributing Big Data platforms as a service, while less has been done on cross-platform Big Data analytics. In this paper, we propose a model-based methodology for Big Data Analytics-as-a-Service that extends existing techniques by supporting cross-communication between batch and stream processing, deployment on multiple platforms, and end-to-end verification against users' requirements.</t>
  </si>
  <si>
    <t>Big Data;Computational modeling;Data models;Biological system modeling;Analytical models;Connectors;Adaptation models;Big Data Analytics;Model-Driven Development;Batch and Stream Processing.</t>
  </si>
  <si>
    <t>Vélez TC,Khatchadourian R,Bagherzadeh M,Raja A</t>
  </si>
  <si>
    <t>469-481</t>
  </si>
  <si>
    <t>http://dx.doi.org/10.1145/3524842.3528455</t>
  </si>
  <si>
    <t>Efficiency is essential to support responsiveness w.r.t. ever-growing datasets, especially for Deep Learning (DL) systems. DL frameworks have traditionally embraced deferred execution-style DL code that supports symbolic, graph-based Deep Neural Network (DNN) computation. While scalable, such development tends to produce DL code that is error-prone, non-intuitive, and difficult to debug. Consequently, more natural, less error-prone imperative DL frameworks encouraging eager execution have emerged at the expense of run-time performance. While hybrid approaches aim for the “best of both worlds,” the challenges in applying them in the real world are largely unknown. We conduct a data-driven analysis of challenges-and resultant bugs-involved in writing reliable yet performant imperative DL code by studying 250 open-source projects, consisting of 19.7 MLOC, along with 470 and 446 manually examined code patches and bug reports, respectively. The results indicate that hybridization: (i) is prone to API misuse, (ii) can result in performance degradation-the opposite of its intention, and (iii) has limited application due to execution mode incompatibility. We put forth several recommendations, best practices, and anti-patterns for effectively hybridizing imperative DL code, potentially benefiting DL practitioners, API designers, tool developers, and educators.</t>
  </si>
  <si>
    <t>Deep learning;Codes;Neural networks;Computer bugs;Writing;Reliability;Data mining;empirical studies;deep learning;imperative programs;hybrid programming paradigms;graph-based execution;software evolution</t>
  </si>
  <si>
    <t>Anderson R</t>
  </si>
  <si>
    <t>Banking and Bookkeeping</t>
  </si>
  <si>
    <t>405-469</t>
  </si>
  <si>
    <t>Security Engineering: A Guide to Building Dependable Distributed Systems</t>
  </si>
  <si>
    <t>https://ieeexplore.ieee.org/document/9821971;http://dx.doi.org/10.1002/9781119644682.ch12</t>
  </si>
  <si>
    <t>10.1002/9781119644682.ch12</t>
  </si>
  <si>
    <t>The underlying banking systems range from payment card processing and home banking through high‐value interbank money transfers to the back‐end bookkeeping systems that keep track of it all and settle up afterwards. In this chapter, the author first describes the bookkeeping systems used to track assets and manage the risk of corrupt staff; such accounting systems are also used by other companies of any size. He then describes the international funds‐transfer systems used for interbank payments. Next, the author describes automatic teller machine systems, the public face of banking, whose technology has also been adopted in applications such as utility meters. He then moves on to more recent technical advances, including contactless payments, phone payments and open banking. The biggest investment since 2003 has been in new card technologies, with banks replacing both credit cards and debit cards with EMV smartcards, followed by contactless payments with both cards and phones.</t>
  </si>
  <si>
    <t>Banking;Companies;Public transportation;Online banking;Business;Urban areas;Technological innovation</t>
  </si>
  <si>
    <t>Wilkinson SR,Eisenhauer G,Kapadia AJ,Knight K,Logan J,Widener P,Wolf M</t>
  </si>
  <si>
    <t>F*** workflows: when parts of FAIR are missing</t>
  </si>
  <si>
    <t>507-512</t>
  </si>
  <si>
    <t>http://dx.doi.org/10.1109/eScience55777.2022.00090</t>
  </si>
  <si>
    <t>10.1109/eScience55777.2022.00090</t>
  </si>
  <si>
    <t>The FAIR principles for scientific data (Findable, Accessible, Interoperable, Reusable) are also relevant to other digital objects such as research software and scientific workflows that operate on scientific data. The FAIR principles can be applied to the data being handled by a scientific workflow as well as the processes, software, and other infrastructure which are necessary to specify and execute a workflow. The FAIR principles were designed as guidelines, rather than rules, that would allow for differences in standards for different communities and for different degrees of compliance. There are many practical considerations which impact the level of FAIR-ness that can actually be achieved, including policies, traditions, and technologies. Because of these considerations, obstacles are often encountered during the workflow lifecycle that trace directly to shortcomings in the implementation of the FAIR principles. Here, we detail some cases, without naming names, in which data and workflows were Findable but otherwise lacking in areas commonly needed and expected by modern FAIR methods, tools, and users. We describe how some of these problems, all of which were overcome successfully, have motivated us to push on systems and approaches for fully FAIR workflows.</t>
  </si>
  <si>
    <t>Vocabulary;Runtime;Costs;Scientific computing;Operating systems;Application software;Standards;data science;FAIR principles;high performance computing;workflows</t>
  </si>
  <si>
    <t>Assurance and Sustainability</t>
  </si>
  <si>
    <t>1015-1058</t>
  </si>
  <si>
    <t>https://ieeexplore.ieee.org/document/9823192;http://dx.doi.org/10.1002/9781119644682.ch28</t>
  </si>
  <si>
    <t>10.1002/9781119644682.ch28</t>
  </si>
  <si>
    <t>This chapter focuses on the hardest parts of this book that is the question of assurance and sustainability. Assurance can be measured roughly by whether capable motivated people have beat up on the system enough. In the security engineering of a decade ago, we often talked of assurance in terms of evaluation, which was about how readers assembled the evidence to convince their boss, clients, and a jury, that it did indeed work. Things often fail because one principal carries the cost of protection while another carries the risk of failure. Third‐party evaluation schemes such as the Common Criteria were supposed to make these risks more transparent and mitigate them, but ended up acting as a liability shield – particularly in the public sector and in regulated industries such as banking. The chapter looks at dependability metrics from the viewpoints of failure analysis, bug tracking, cross‐product dependencies, open‐source software and the development team.</t>
  </si>
  <si>
    <t>Security;Safety;Industries;Standards;Usability;Testing;Software</t>
  </si>
  <si>
    <t>619-630</t>
  </si>
  <si>
    <t>http://dx.doi.org/10.1145/3524610.3527901</t>
  </si>
  <si>
    <t>When changing code, developers sometimes neglect updating the related comments, bringing inconsistent or outdated comments. These comments increase the cost of program understanding and greatly reduce software maintainability. Researchers have put forward some solutions, such as CUP and HEBCUP, which update comments efficiently for simple code changes (i.e. modifying of a single token), but not good enough for complex ones. In this paper, we propose an approach named HatCUP (Hybrid Analysis and Attention based Comment UPdater), to provide a new mechanism for comment updating task. HatCUP pays attention to hybrid analysis and information. First, HatCUP considers the code structure change information and introduces a structureguided attention mechanism combined with code change graph analysis and optimistic data flow dependency analysis. With a generally popular RNN-based encoder-decoder architecture, HatCUP takes the action of the code edits, the syntax, semantics and structure code changes, and old comments as inputs and generates a structural representation of the changes in the current code snippet. Furthermore, instead of directly generating new comments, HatCUP proposes a new edit or nonedit mechanism to mimic human editing behavior, by generating a sequence of edit actions and constructing a modified RNN model to integrate newly developed components. Evaluation on a popular dataset demonstrates that HatCUP outper-forms the state-of-the-art deep learning-based approaches (CUP) by 53.8% for accuracy, 31.3% for recall and 14.3% for METEOR of the original metrics. Compared with the heuristic-based approach (HEBCUP), HatCUP also shows better overall performance.</t>
  </si>
  <si>
    <t>Measurement;Codes;Costs;Semantics;Computer architecture;Syntactics;Software;comment updating;code-comment co-evolution;hybrid analysis;data flow analysis;deep learning</t>
  </si>
  <si>
    <t>AlOmar EA,Chouchen M,Mkaouer MW,Ouni A</t>
  </si>
  <si>
    <t>689-701</t>
  </si>
  <si>
    <t>http://dx.doi.org/10.1145/3524842.3527932</t>
  </si>
  <si>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t>
  </si>
  <si>
    <t>Industries;Codes;Taxonomy;Merging;Software quality;Encoding;Open source software;refactoring;code review;developer perception;software quality</t>
  </si>
  <si>
    <t>Bibliography</t>
  </si>
  <si>
    <t>1061-1141</t>
  </si>
  <si>
    <t>https://ieeexplore.ieee.org/document/9821663;http://dx.doi.org/10.1002/9781119644682.biblio</t>
  </si>
  <si>
    <t>10.1002/9781119644682.biblio</t>
  </si>
  <si>
    <t>Index</t>
  </si>
  <si>
    <t>Systems Engineering in the Fourth Industrial Revolution: Big Data, Novel Technologies, and Modern Systems Engineering</t>
  </si>
  <si>
    <t>https://ieeexplore.ieee.org/document/9823094;http://dx.doi.org/10.1002/9781119513957.index</t>
  </si>
  <si>
    <t>10.1002/9781119513957.index</t>
  </si>
  <si>
    <t>Ardito L,Barbato L,Mori P,Saracino A</t>
  </si>
  <si>
    <t>Preserving Privacy in the Globalized Smart Home: The SIFIS-Home Project</t>
  </si>
  <si>
    <t>IEEE Security &amp; Privacy</t>
  </si>
  <si>
    <t>33-44</t>
  </si>
  <si>
    <t>1558-4046</t>
  </si>
  <si>
    <t>http://dx.doi.org/10.1109/MSEC.2021.3118561</t>
  </si>
  <si>
    <t>10.1109/MSEC.2021.3118561</t>
  </si>
  <si>
    <t>This article introduces the Secure Interoperable Full-Stack Internet of Things for Smart Home (SIFIS-Home) project, which defines and enforces privacy and security policies in a smart home environment. SIFIS-Home allows users to control data privacy and developers to provide privacy-aware services to mitigate the privacy risk of a globalized smart home by leveraging the concept of the smart home cyberperimeter.</t>
  </si>
  <si>
    <t>Smart homes;Security;Privacy;Data privacy;Software;Internet of Things</t>
  </si>
  <si>
    <t>Stratoudakis T</t>
  </si>
  <si>
    <t>Artech</t>
  </si>
  <si>
    <t>https://ieeexplore.ieee.org/document/9380243</t>
  </si>
  <si>
    <t>Real-time testing and simulation of open- and closed-loop radio frequency (RF) systems for signal generation, signal analysis and digital signal processing require deterministic, low-latency, high-throughput capabilities afforded by user reconfigurable field programmable gate arrays (FPGAs). This comprehensive book introduces LabVIEW FPGA, provides best practices for multi-FPGA solutions, and guidance for developing high-throughput, low-latency FPGA based RF systems. Written by a recognized expert with a wealth of real-world experience in the field, this is the first book written on the subject of FPGAs for radar and other RF applications.</t>
  </si>
  <si>
    <t>Nayebi M,Kuznetsov K,Chen P,Zeller A,Ruhe G</t>
  </si>
  <si>
    <t>Anatomy of Functionality Deletion: An Exploratory Study on Mobile Apps</t>
  </si>
  <si>
    <t>243-253</t>
  </si>
  <si>
    <t>One of Lehman's laws of software evolution is that the functionality of programs has to increase over time to maintain user satisfaction. In the domain of mobile apps, though, too much functionality can easily impact usability, resource consumption, and maintenance effort. Hence, does the law of continuous growth apply there? This paper shows that in mobile apps, deletion of functionality is actually common, challenging Lehman's law. We analyzed user driven requests for deletions which were found in 213,866 commits from 1,519 open source Android mobile apps from a total of 14,238 releases. We applied hybrid (open and closed) card sorting and created taxonomies for nature and causes of deletions. We found that functionality deletions are mostly motivated by unneeded functionality, poor user experience, and compatibility issues. We also performed a survey with 106 mobile app developers. We found that 78.3% of developers consider deletion of functionality to be equally or more important than the addition of new functionality. Developers confirmed that they plan for deletions. This implies the need to re-think the process of planning for the next release, overcoming the simplistic assumptions to exclusively look at adding functionality to maximize the value of upcoming releases. Our work is the first to study the phenomenon of functionality deletion and opens the door to a wider perspective on software evolution.</t>
  </si>
  <si>
    <t>Data mining;Receivers;Usability;Taxonomy;Estimation;Google;Deletion;Taxonomy;Functionality;Mobile apps;Survey;App store mining</t>
  </si>
  <si>
    <t>Acronyms</t>
  </si>
  <si>
    <t>603-608</t>
  </si>
  <si>
    <t>https://ieeexplore.ieee.org/document/9823032;http://dx.doi.org/10.1002/9781119513957.acron</t>
  </si>
  <si>
    <t>10.1002/9781119513957.acron</t>
  </si>
  <si>
    <t>Mattern S</t>
  </si>
  <si>
    <t>Princeton University Press</t>
  </si>
  <si>
    <t>https://ieeexplore.ieee.org/document/9519685</t>
  </si>
  <si>
    <t>A bold reassessment of smart cities that reveals what is lost when we conceive of our urban spaces as computersComputational models of urbanism—smart cities that use data-driven planning and algorithmic administration—promise to deliver new urban efficiencies and conveniences. Yet these models limit our understanding of what we can know about a city. A City Is Not a Computer reveals how cities encompass myriad forms of local and indigenous intelligences and knowledge institutions, arguing that these resources are a vital supplement and corrective to increasingly prevalent algorithmic models.Shannon Mattern begins by examining the ethical and ontological implications of urban technologies and computational models, discussing how they shape and in many cases profoundly limit our engagement with cities. She looks at the methods and underlying assumptions of data-driven urbanism, and demonstrates how the city-as-computer metaphor, which undergirds much of today's urban policy and design, reduces place-based knowledge to information processing. Mattern then imagines how we might sustain institutions and infrastructures that constitute more diverse, open, inclusive urban forms. She shows how the public library functions as a steward of urban intelligence, and describes the scales of upkeep needed to sustain a city's many moving parts, from spinning hard drives to bridge repairs.Incorporating insights from urban studies, data science, and media and information studies, A City Is Not a Computer offers a visionary new approach to urban planning and design.</t>
  </si>
  <si>
    <t>Shazly HA,Ferraro A,Bennet K</t>
  </si>
  <si>
    <t>Ethical Concerns: An overview of Artificial Intelligence System Development and Life Cycle</t>
  </si>
  <si>
    <t>33-42</t>
  </si>
  <si>
    <t>2020 IEEE International Symposium on Technology and Society (ISTAS)</t>
  </si>
  <si>
    <t>2158-3412</t>
  </si>
  <si>
    <t>http://dx.doi.org/10.1109/ISTAS50296.2020.9462201</t>
  </si>
  <si>
    <t>10.1109/ISTAS50296.2020.9462201</t>
  </si>
  <si>
    <t>The expansive growth of Artificial Intelligent Systems (AIS),areas of applications, and their architectural complexity resulting in compound Systems of Systems has also carried with this, a myriad of ethical challenges. The ethical concerns are not limited to just the applications but also the data collection processes and derivative computed Information and Knowledge. A by product that has resulted is the extended marketing venues of data conversion to commodities. This paper examines how these issues effect ethics throughout the life cycle of the AIS and carries into the life cycle of the data.</t>
  </si>
  <si>
    <t>Ethics;Data conversion;Data collection;Complexity theory;Compounds;Intelligent systems;System of systems;Artificial Intelligence System;AIS;Ethics;Data Life Cycle;Stakeholders;Development Process;Stakeholder</t>
  </si>
  <si>
    <t>Genfer P,Grabner J,Zoffi C,Bernhart M,Grechenig T</t>
  </si>
  <si>
    <t>Visualizing Metric Trends for Software Portfolio Quality Management</t>
  </si>
  <si>
    <t>88-99</t>
  </si>
  <si>
    <t>2021 Working Conference on Software Visualization (VISSOFT)</t>
  </si>
  <si>
    <t>http://dx.doi.org/10.1109/VISSOFT52517.2021.00018</t>
  </si>
  <si>
    <t>10.1109/VISSOFT52517.2021.00018</t>
  </si>
  <si>
    <t>Software portfolios of today’s companies are comprised of a variety of heterogeneous, modular, and often polyglot software solutions. Ensuring high-quality standards across these entire portfolios raises additional challenges for quality engineers and requires new strategies and visualization approaches to support software quality management decisions. In this paper, we study the information needs of software quality engineers that drive these decisions on portfolio-level and propose Portfoliotrix -an expert visualization prototype for a portfolio-wide analysis and comparison of software quality metric trends. For this, we first introduce our four-phase fully automated data-mining process for gathering and aggregating quality metric data from the underlying software repositories. We then present our application frontend that implements different visualization and filtering concepts to satisfy eight specific information needs derived from our prior qualitative semi-structured expert interviews. A final scenario-based expert evaluation confirms the practical relevance of our prototype. Experts took less time to complete quality-related management tasks with our tool than they had estimated when relying only upon existing toolsets. Moreover, our visualization system reached the System Usability Scale (SUS) score of good with 76.7 points.</t>
  </si>
  <si>
    <t>Measurement;Data visualization;Prototypes;Software quality;Tools;Market research;Task analysis;Data visualization;software metrics;software portfolios;software quality;trend analysis</t>
  </si>
  <si>
    <t>Stewart JM</t>
  </si>
  <si>
    <t>Threats, Attacks, and Vulnerabilities</t>
  </si>
  <si>
    <t>1-122</t>
  </si>
  <si>
    <t>CompTIA Security+ Review Guide: Exam SY0-601</t>
  </si>
  <si>
    <t>https://ieeexplore.ieee.org/document/9936879</t>
  </si>
  <si>
    <t>Social engineering is a form of attack that exploits human nature and human behavior. Phishing is employed by attackers to obtain sensitive, confidential, or private information. SMS phishing or smishing is a social engineering attack that occurs over or through standard text messaging services or apps. Vishing is phishing done over any telephony or voice communication system. Spam is any type of email that is undesired and/or unsolicited. Spam over instant messaging is the transmission of unwanted communications over any messaging system that is supported by or occurs over the Internet. Impersonation is the act of taking on the identity of someone else to use their access or authority. Typosquatting is a practice employed to take advantage of when a user mistypes the domain name or IP address of an intended resource.</t>
  </si>
  <si>
    <t>Viruses (medical);Phishing;Reconnaissance;Passwords;Malware;Electronic mail;Browsers</t>
  </si>
  <si>
    <t>Malhotra V,Watchorn MS,Sharkey KL,Chanda D,Carlson AH,Lizar M,Gupta P,Enright MA,Polyakov A,Reynolds D</t>
  </si>
  <si>
    <t>Cybersecurity for Next-Generation Connectivity Systems--Rethinking Digital Architectures to Safeguard the Next Generation From Cybersecurity Breaches</t>
  </si>
  <si>
    <t>1-34</t>
  </si>
  <si>
    <t>This paper outlines the reasons why next-generation architecture is needed that can protect technology, systems, networks, and data in a dynamic risk environment. Although the Internet is integral to the flow of information across the globe and national boundaries, it was not built for the highly sensitive, critical data we see today. Architecture throughout protocol and software application stacks is not set up to face the cybersecurity issues. The forward-facing and strategic approach introduced here promotes an architecture inherently resilient to cybersecurity threats. This approach would also address the needs for 6G technologies, Web X.0, Metaverse, and any evolutionary technologies envisioned.</t>
  </si>
  <si>
    <t>architectures;cloud security;cybersecurity;data;Industry Connections;next generation</t>
  </si>
  <si>
    <t>Evdokimov I,Haensch S</t>
  </si>
  <si>
    <t>Quality Assessment of CFD Software Using Workflows and Decision Trees</t>
  </si>
  <si>
    <t>155-161</t>
  </si>
  <si>
    <t>2021 Ivannikov Ispras Open Conference (ISPRAS)</t>
  </si>
  <si>
    <t>2767-9535</t>
  </si>
  <si>
    <t>http://dx.doi.org/10.1109/ISPRAS53967.2021.00027</t>
  </si>
  <si>
    <t>10.1109/ISPRAS53967.2021.00027</t>
  </si>
  <si>
    <t>The present research focuses on the new efforts for leveraging so-called workflows for the management of dozens of CFD validation cases. Proposed workflows are meta-algorithms built on top of the free open-source Snakemake library. They allow manipulation of a growing database that currently contains 66 OpenFOAM cases representing various pipe and bubble column multiphase flows with supplied experimental data. The curated case set also provides documentation files. The proposed approach relies on the utilization of human-provided “keywords” for designing a featured dataset. We also use the method developed earlier for quantification of the fitness of simulated to experimental results. It leverages Fuzzy Logic for combining fitness metrics across various physical fields and produces single performance metric called “Goodness”. By transforming metrics into a single crisp output value, the algorithm can assign then and additional categorized property to the simulation result of each individual case such that “degraded”, “neutral” or “improved” with regard to available experimental data. At the top level, we demonstrate how successes and failures of case sets may be highlighted and analyzed with Decision Trees. The resulting tree is useful in the quality assessment of the CFD software in the final stages of solver development. Decision Trees provide a transparent way for analyzing diverse CFD validation case sets when investigating top-level CFD model changes (for example, applying a new turbulence model).</t>
  </si>
  <si>
    <t>Measurement;Fuzzy logic;Analytical models;Simulation;Software algorithms;Libraries;Classification algorithms;CFD;OpenFOAM;Decision Trees;workflow</t>
  </si>
  <si>
    <t>Rauh L,Reichardt M,Schotten HD</t>
  </si>
  <si>
    <t>AI Asset Management: a Case Study with the Asset Administration Shell (AAS)</t>
  </si>
  <si>
    <t>2022 IEEE 27th International Conference on Emerging Technologies and Factory Automation (ETFA)</t>
  </si>
  <si>
    <t>http://dx.doi.org/10.1109/ETFA52439.2022.9921705</t>
  </si>
  <si>
    <t>10.1109/ETFA52439.2022.9921705</t>
  </si>
  <si>
    <t>Driven by the goal of maintaining competitiveness within the shift toward personalized production, manufacturing companies are increasingly adopting Artificial Intelligence (AI) in their manufacturing facilities, empowered by the digital transformation, Big Data, and Cyber-Physical Systems (CPS). However, the complexity caused by the continuously growing variety of AI implementation frameworks, the initial high investment in resources, and the lack of industry-wide AI standards are hindering the rapid adoption of industrial AI. To improve asset interoperability for AI assets and thereby ensure sustainable reliability by reducing investment risks, previous work has proposed an information model to wrap AI assets into the Industry 4.0 framework. Therefore the approach utilizes the Asset Administration Shell (AAS) as a realization standard of the Digital Twin (DT) in the manufacturing Industry 4.0 context. This paper provides additional practical experience from implementing the AI AAS concept in a real use case as a basis for initiating a standardization process of the resulting AI AAS information model.</t>
  </si>
  <si>
    <t>Manufacturing industries;Production facilities;Fourth Industrial Revolution;Digital twins;Reliability;Artificial intelligence;Standards;AI Asset;Digital Twin;Asset Administration Shell</t>
  </si>
  <si>
    <t>Conference Digest</t>
  </si>
  <si>
    <t>1-310</t>
  </si>
  <si>
    <t>http://dx.doi.org/10.1109/AERO47225.2020.9172613</t>
  </si>
  <si>
    <t>10.1109/AERO47225.2020.9172613</t>
  </si>
  <si>
    <t>full conference PDF</t>
  </si>
  <si>
    <t>Space vehicles;Mars;Moon;Robots;Conferences;Space missions;Legged locomotion</t>
  </si>
  <si>
    <t>Chatterjee P,Sharma T,Ralph P</t>
  </si>
  <si>
    <t>Empirical Standards for Repository Mining</t>
  </si>
  <si>
    <t>142-143</t>
  </si>
  <si>
    <t>http://dx.doi.org/10.1145/3524842.3528032</t>
  </si>
  <si>
    <t>10.1145/3524842.3528032</t>
  </si>
  <si>
    <t>The purpose of scholarly peer review is to evaluate the quality of scientific manuscripts. However, study after study demonstrates that peer review neither effectively nor reliably assesses research quality. Empirical standards attempt to address this problem by modelling a scientific community's expectations for each kind of empirical study conducted in that community. This should enhance not only the quality of research but also the reliability and pre-dictability of peer review, as scientists adopt the standards in both their researcher and reviewer roles. However, these improvements depend on the quality and adoption of the standards. This tutorial will therefore present the empirical standard for mining software repositories, both to communicate its contents and to get feedback from the attendees. The tutorial will be organized into three parts: (1) brief overview of the empirical standards project; (2) detailed presentation of the repository mining standard; (3) discussion and suggestions for improvement.</t>
  </si>
  <si>
    <t>Tutorials;Software;Software reliability;Data mining;Standards;Mining software repositories;Empirical standards;scholarly peer review</t>
  </si>
  <si>
    <t>1143-1182</t>
  </si>
  <si>
    <t>https://ieeexplore.ieee.org/document/9822330;http://dx.doi.org/10.1002/9781119644682.index</t>
  </si>
  <si>
    <t>10.1002/9781119644682.index</t>
  </si>
  <si>
    <t>Sullivan D</t>
  </si>
  <si>
    <t>Answers to Review Questions</t>
  </si>
  <si>
    <t>241-266</t>
  </si>
  <si>
    <t>Official Google Cloud Certified Professional Cloud Architect Study Guide</t>
  </si>
  <si>
    <t>https://ieeexplore.ieee.org/document/9822652;http://dx.doi.org/10.1002/9781119602477.bapp</t>
  </si>
  <si>
    <t>10.1002/9781119602477.bapp</t>
  </si>
  <si>
    <t>No Abstract.</t>
  </si>
  <si>
    <t>Bhat S,Deepti V,Sori H</t>
  </si>
  <si>
    <t>Industry Connections Program--Need for Establishing Industrial AI Maturity Levels</t>
  </si>
  <si>
    <t>This white paper touches upon some important focus areas that can be of help in establishing a framework for determining industrial AI maturity levels. This includes establishing both technical as well as organizational readiness and sub-criteria therein for various AI maturity phases starting from exploration, experimentation, stabilization, expansion, and leading to AI enabled transformation. This sets the tone for setting up more detailed explorations to develop specific standards in this area, which will help in bridging gaps in expectations across multiple AI stakeholders, primarily the AI application providers and users/customers.</t>
  </si>
  <si>
    <t>AI maturity;Industry Connections;maturity levels;standardization;white paper</t>
  </si>
  <si>
    <t>Front Matter</t>
  </si>
  <si>
    <t>i-xxvii</t>
  </si>
  <si>
    <t>https://ieeexplore.ieee.org/document/9821778;http://dx.doi.org/10.1002/9781119513957.fmatter</t>
  </si>
  <si>
    <t>10.1002/9781119513957.fmatter</t>
  </si>
  <si>
    <t>The prelims comprise: What people say about the book Half Title Title Page Copyright Table of Contents Preface List of Contributors</t>
  </si>
  <si>
    <t>i-xxxvii</t>
  </si>
  <si>
    <t>https://ieeexplore.ieee.org/document/9822939;http://dx.doi.org/10.1002/9781119602477.fmatter</t>
  </si>
  <si>
    <t>10.1002/9781119602477.fmatter</t>
  </si>
  <si>
    <t>The prelims comprise: Half Title Title Copyright Dedication About the Author About the Technical Editor Acknowledgments Contents at a Glance Contents Introduction Assessment Test Answers to Assessment Test</t>
  </si>
  <si>
    <t>Power K,Wirfs-Brock R</t>
  </si>
  <si>
    <t>Sense of Place within the Virtuous Circle of Architecture Decision-Making</t>
  </si>
  <si>
    <t>http://dx.doi.org/10.1109/ICSA-C.2019.00007</t>
  </si>
  <si>
    <t>10.1109/ICSA-C.2019.00007</t>
  </si>
  <si>
    <t>First, we shape our architecture. Then, our architecture shapes us. As architects we bring part of ourselves to the systems we work with. We evolve with our architectures. In this tutorial we consider the metaphor of “terroir” to understand architectures and their sense of place. Terroir comes from the French word used to describe the set of all environmental factors that affect the observable characteristics of an organism, e.g., the unique set of contextual characteristics of place that influence food crops, coffee, tea, or wine. So too in systems, architectures are uniquely shaped by the culture and context of a place. Factors include people, organization, culture, technology, and tenets shared among the architects and makers. Understanding an architecture is a first step towards evaluating it. The set of concepts and practical tools covered in this tutorial are well suited to being used in conducting architecture analyses and reviews and integrate with any other processes an organization might be using.</t>
  </si>
  <si>
    <t>Computer architecture;Decision making;Tutorials;Software architecture;Organizations;Conferences;Biological system modeling;software architecture;decision making;decision models;complexity;large-scale systems;context;shared understanding</t>
  </si>
  <si>
    <t>Fogaça M,Monteiro E,Danigno M,Oliveira I,Butzen PF,Reis R</t>
  </si>
  <si>
    <t>Contributions to OpenROAD from Abroad: Experiences and Learnings : Invited Paper</t>
  </si>
  <si>
    <t>2020 IEEE/ACM International Conference On Computer Aided Design (ICCAD)</t>
  </si>
  <si>
    <t>1558-2434</t>
  </si>
  <si>
    <t>The OpenROAD project is an ambitious initiative seeking to develop an automated, open-source RTL-to-GDSII flow. To build its complex toolset, OpenROAD brings together a team of industry experts, veteran scholars, and enthusiastic students from different schools and different countries. This paper first presents our path to becoming OpenROAD contributors, highlighting the nature of the OpenROAD project, the recruitment process, and the necessary logistics. We then summarize the contributions of the Brazilian team to the OpenROAD project; these comprise the development of five tools and more than 10K lines of released code, along with authorship or co-authorship of two publications in the research literature. We also summarize our experiences from working in a large software project: (i) working environment and relationship with people from around the world; (ii) task management and short turnaround times; (iii) continuous integration and testing; etc. Finally, we highlight the challenges of “refurbishing” academic research codes for use in the design of production ICs.</t>
  </si>
  <si>
    <t>Tools;Open source software;Logistics;Companies;Clocks;Programming profession;Very large scale integration;Open-source;VLSI CAD;electronic design automation;RTL-to-GDSII;floorplan;placement;clock tree synthesis;routing</t>
  </si>
  <si>
    <t>Secure Systems Development</t>
  </si>
  <si>
    <t>965-1013</t>
  </si>
  <si>
    <t>https://ieeexplore.ieee.org/document/9822369;http://dx.doi.org/10.1002/9781119644682.ch27</t>
  </si>
  <si>
    <t>10.1002/9781119644682.ch27</t>
  </si>
  <si>
    <t>This chapter explores how we assess and manage risks – to both safety and security; and discusses how we build systems, once we've got a specification to work to. It also discusses some of the hazards that arise as a result of organisational behaviour – a real but often ignored kind of insider threat. At the heart of both safety engineering and security engineering lie decisions about priorities: how much to spend on protection against what. Risk management must be done within a broader framework of managing all the risks to an enterprise or indeed to a nation. Depending on the class of failure, critical computer systems may be safety‐critical, business‐critical, security‐critical, or critical to the environment. Obvious examples of the safety‐critical variety include flight controls and automatic braking systems. To develop secure and reliable code, readers need to build a team with the right culture, the right mix of skills, and the right incentives.</t>
  </si>
  <si>
    <t>Security;Safety;Insurance;Pandemics;Software;Business;Registers</t>
  </si>
  <si>
    <t>Bosch J,Olsson HH,Brinne B,Crnkovic I</t>
  </si>
  <si>
    <t>AI Engineering: Realizing the Potential of AI</t>
  </si>
  <si>
    <t>23-27</t>
  </si>
  <si>
    <t>http://dx.doi.org/10.1109/MS.2022.3199621</t>
  </si>
  <si>
    <t>10.1109/MS.2022.3199621</t>
  </si>
  <si>
    <t>Artificial Intelligence (AI) engineering is an engineering discipline that is concerned with all aspects of development and evolution of AI systems (that is, systems that include AI components). AI engineering is primarily an extension of software engineering, but it also includes methods and technologies from data science and AI in general.</t>
  </si>
  <si>
    <t>Special issues and sections;Artificial intelligence;Data models;Computational modeling;Data processing;Software development management;Machine learning;Deep learning;Task analysis;Computer applications</t>
  </si>
  <si>
    <t>Ciolkowski M,Lenarduzzi V,Martini A</t>
  </si>
  <si>
    <t>10 Years of Technical Debt Research and Practice: Past, Present, and Future</t>
  </si>
  <si>
    <t>24-29</t>
  </si>
  <si>
    <t>http://dx.doi.org/10.1109/MS.2021.3105625</t>
  </si>
  <si>
    <t>10.1109/MS.2021.3105625</t>
  </si>
  <si>
    <t>Delivering increasingly complex software-reliant systems demands better ways to manage the long-term effects of short-term expedients. The technical debt (TD) metaphor has gained significant traction as a way to understand and communicate such issues. Almost 25 years after the term was coined in 1992 by Ward Cunningham, and more than 10 years after the first edition of the TechDebt workshop/conference series, we take a brief look at the past, present, and future of TD.</t>
  </si>
  <si>
    <t>Special issues and sections;Software development management;Costs;Finance;Planning;Software design</t>
  </si>
  <si>
    <t>Serebrenik A,Staron M,Cabot J,Penzenstadler B,Hochstein L,Carver JC</t>
  </si>
  <si>
    <t>AI Engineering Research in Software Engineering Venues</t>
  </si>
  <si>
    <t>105-108</t>
  </si>
  <si>
    <t>http://dx.doi.org/10.1109/MS.2022.3196208</t>
  </si>
  <si>
    <t>10.1109/MS.2022.3196208</t>
  </si>
  <si>
    <t>In honor of this issue’s theme of “Artificial Intelligence (AI) Engineering—Realizing the Potential of AI,” this edition of the “Practitioners’ Digest” brings you recent papers on AI and machine learning (ML) engineering, which we believe will be of interest to practitioners. These papers were published in the First International Conference on AI Engineering (CAIN 2022), the 26th International Conference on Evaluation and Assessment in Software Engineering 2022 (EASE 2022), and the 2022 IEEE/Association for Computing Machinery First International Workshop on Software Engineering for Responsible Artificial Intelligence (SE4RAI).</t>
  </si>
  <si>
    <t>Leitner A,Nierstrasz O</t>
  </si>
  <si>
    <t>Summary of the ICSE 2012 tutorials and technical briefings</t>
  </si>
  <si>
    <t>1654-1657</t>
  </si>
  <si>
    <t>2012 34th International Conference on Software Engineering (ICSE)</t>
  </si>
  <si>
    <t>http://dx.doi.org/10.1109/ICSE.2012.6227212</t>
  </si>
  <si>
    <t>10.1109/ICSE.2012.6227212</t>
  </si>
  <si>
    <t>This year ICSE is offering a mix of half-day and full day tutorials in addition to shorter technical briefings in selected domains. Whereas tutorials cover a wide range of mature topics of both academic and practical interest, technical briefings are intended to provide a compact introduction to the state-of-the-art in an emerging area.</t>
  </si>
  <si>
    <t>Tutorials;Software engineering;Software;Proposals;Multicore processing;Data mining;Ecosystems</t>
  </si>
  <si>
    <t>Ozkaya I</t>
  </si>
  <si>
    <t>What Is Really Different in Engineering AI-Enabled Systems?</t>
  </si>
  <si>
    <t>http://dx.doi.org/10.1109/MS.2020.2993662</t>
  </si>
  <si>
    <t>10.1109/MS.2020.2993662</t>
  </si>
  <si>
    <t>Advances in machine learning (ML) algorithms and increasing availability of computational power have resulted in huge investments in systems that aspire to exploit artificial intelligence (AI), in particular ML. AIenabled systems, software-reliant systems that include data and components that implement algorithms mimicking learning and problem solving, have inherently different characteristics than software systems alone.1 However, the development and sustainment of such systems also have many parallels with building, deploying, and sustaining software systems. A common observation is that although software systems are deterministic and you can build and test to a specification, AI-enabled systems, in particular those that include ML components, are generally probabilistic. Systems with ML components can have a high margin of error due to the uncertainty that often follows predictive algorithms. The margin of error can be related to the inability to predict the result in advance or the same result cannot be reproduced. This characteristic makes AI-enabled systems hard to test and verify.2 Consequently, it is easy to assume that what we know about designing and reasoning about software systems does not immediately apply in AI engineering. AI-enabled systems are software systems. The sneaky part about engineering AI systems is they are just like conventional software systems we can design and reason about until they?re not.</t>
  </si>
  <si>
    <t>Winston P</t>
  </si>
  <si>
    <t>Paul Butcher on Fuzz Testing</t>
  </si>
  <si>
    <t>118-120</t>
  </si>
  <si>
    <t>http://dx.doi.org/10.1109/MS.2021.3118906</t>
  </si>
  <si>
    <t>10.1109/MS.2021.3118906</t>
  </si>
  <si>
    <t>Paul Butcher, senior software engineer, AdaCore, and lead U.K. engineer for the company’s High-Integrity, Complex, Large Software and Electronic Systems initiative, discusses fuzz testing, an automated technique to find security vulnerabilities and other software flaws. Host Philip Winston speaks with Butcher about positive and negative testing, how fuzz testing fits into software development, brute force and blunt force fuzz testing, the American Fuzzy Lop fuzzer from Google, and how fuzz testing works for Ada. We provide summary excerpts below; to hear the full interview, visit http://www.se-radio.net or access our archives via RSS at http://feeds.feedburner.com/se-radio.—Robert Blumen</t>
  </si>
  <si>
    <t>IEEE Computer Society Election</t>
  </si>
  <si>
    <t>103-118</t>
  </si>
  <si>
    <t>http://dx.doi.org/10.1109/MC.2021.3094960</t>
  </si>
  <si>
    <t>10.1109/MC.2021.3094960</t>
  </si>
  <si>
    <t>Reports on CS society elections.</t>
  </si>
  <si>
    <t>106-120</t>
  </si>
  <si>
    <t>http://dx.doi.org/10.1109/MC.2022.3183705</t>
  </si>
  <si>
    <t>10.1109/MC.2022.3183705</t>
  </si>
  <si>
    <t>This section includes the position statements and biographies of the IEEE Computer Society’s (CS’s) candidates for president-elect, first vice president, second vice president, and Board of Governors positions. Election of officers to one-year terms and of Board of Governors members to three-year terms, each beginning 1 January 2023, will be by the vote of the membership as specified in the CS’s bylaws. Within each category, candidates are listed in alphabetical order, and their biographies and statements are subject to word-count limits.</t>
  </si>
  <si>
    <t>Can We Really Achieve Software Quality?</t>
  </si>
  <si>
    <t>http://dx.doi.org/10.1109/MS.2021.3060552</t>
  </si>
  <si>
    <t>10.1109/MS.2021.3060552</t>
  </si>
  <si>
    <t>As software engineers, we need to reject a good enough quality mindset. Achieving software quality will be possible when better tools to enforce it will be widespread and software engineers will learn to make it a priority, no matter what.</t>
  </si>
  <si>
    <t>2019 Index IEEE Transactions on Software Engineering Vol. 45</t>
  </si>
  <si>
    <t>http://dx.doi.org/10.1109/TSE.2019.2960169</t>
  </si>
  <si>
    <t>10.1109/TSE.2019.2960169</t>
  </si>
  <si>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</si>
  <si>
    <t>Table of Contents</t>
  </si>
  <si>
    <t>2021 IEEE/ACM 43rd International Conference on Software Engineering: Software Engineering in Practice (ICSE-SEIP)</t>
  </si>
  <si>
    <t>http://dx.doi.org/10.1109/ICSE-SEIP52600.2021.00004</t>
  </si>
  <si>
    <t>10.1109/ICSE-SEIP52600.2021.00004</t>
  </si>
  <si>
    <t>Presents the table of contents/splash page of the proceedings record.</t>
  </si>
  <si>
    <t>ESEM 2019 Table of Contents</t>
  </si>
  <si>
    <t>i-iv</t>
  </si>
  <si>
    <t>http://dx.doi.org/10.1109/ESEM.2019.8870145</t>
  </si>
  <si>
    <t>10.1109/ESEM.2019.8870145</t>
  </si>
  <si>
    <t>Table of contents</t>
  </si>
  <si>
    <t>2020 8th International Conference in Software Engineering Research and Innovation (CONISOFT)</t>
  </si>
  <si>
    <t>http://dx.doi.org/10.1109/CONISOFT50191.2020.00004</t>
  </si>
  <si>
    <t>10.1109/CONISOFT50191.2020.00004</t>
  </si>
  <si>
    <t>http://dx.doi.org/10.1109/SEAA.2019.00004</t>
  </si>
  <si>
    <t>10.1109/SEAA.2019.00004</t>
  </si>
  <si>
    <t>i-xi</t>
  </si>
  <si>
    <t>http://dx.doi.org/10.1109/SEAA51224.2020.00004</t>
  </si>
  <si>
    <t>10.1109/SEAA51224.2020.00004</t>
  </si>
  <si>
    <t>http://dx.doi.org/10.1109/SEAA56994.2022.00004</t>
  </si>
  <si>
    <t>10.1109/SEAA56994.2022.00004</t>
  </si>
  <si>
    <t>Presents the conference table of contents.</t>
  </si>
  <si>
    <t>v-xxiii</t>
  </si>
  <si>
    <t>http://dx.doi.org/10.1109/SANER53432.2022.00004</t>
  </si>
  <si>
    <t>10.1109/SANER53432.2022.00004</t>
  </si>
  <si>
    <t>http://dx.doi.org/10.1109/MSR52588.2021.00004</t>
  </si>
  <si>
    <t>10.1109/MSR52588.2021.00004</t>
  </si>
  <si>
    <t>http://dx.doi.org/10.1109/MS.2020.3028678</t>
  </si>
  <si>
    <t>10.1109/MS.2020.3028678</t>
  </si>
  <si>
    <t>Presents the table of contents for this issue of the publication.</t>
  </si>
  <si>
    <t>http://dx.doi.org/10.1109/ICSME46990.2020.00004</t>
  </si>
  <si>
    <t>10.1109/ICSME46990.2020.00004</t>
  </si>
  <si>
    <t>Contents</t>
  </si>
  <si>
    <t>xi-xiv</t>
  </si>
  <si>
    <t>http://dx.doi.org/10.1109/SANER48275.2020.9054810</t>
  </si>
  <si>
    <t>10.1109/SANER48275.2020.9054810</t>
  </si>
  <si>
    <t>2018 IEEE International Conference on Software Maintenance and Evolution (ICSME)</t>
  </si>
  <si>
    <t>http://dx.doi.org/10.1109/ICSME.2018.00004</t>
  </si>
  <si>
    <t>10.1109/ICSME.2018.00004</t>
  </si>
  <si>
    <t>Smith N</t>
  </si>
  <si>
    <t>Interview beth holmes</t>
  </si>
  <si>
    <t>Engineering &amp; Technology</t>
  </si>
  <si>
    <t>64-67</t>
  </si>
  <si>
    <t>1750-9637</t>
  </si>
  <si>
    <t>http://dx.doi.org/10.1049/et.2022.0521</t>
  </si>
  <si>
    <t>10.1049/et.2022.0521</t>
  </si>
  <si>
    <t>IN RECENT YEARS, voice activation has become ubiquitous, with Amazon's cloud- based voice service Alexa a main player featuring on more than 100 million devices worldwide. Beth Holmes, who is principal knowledge engineer on Amazon Alexa, says there are billions of interactions with these devices per week.</t>
  </si>
  <si>
    <t>v-xvii</t>
  </si>
  <si>
    <t>2019 International Conference on Cyber Security and Protection of Digital Services (Cyber Security)</t>
  </si>
  <si>
    <t>http://dx.doi.org/10.1109/CyberSecPODS.2019.8885403</t>
  </si>
  <si>
    <t>10.1109/CyberSecPODS.2019.8885403</t>
  </si>
  <si>
    <t>Presents the title page of the proceedings record.</t>
  </si>
  <si>
    <t>http://dx.doi.org/10.1109/SANER50967.2021.00004</t>
  </si>
  <si>
    <t>10.1109/SANER50967.2021.00004</t>
  </si>
  <si>
    <t>http://dx.doi.org/10.1109/ICSTW.2018.00004</t>
  </si>
  <si>
    <t>10.1109/ICSTW.2018.00004</t>
  </si>
  <si>
    <t>Editors</t>
  </si>
  <si>
    <t>Edition</t>
  </si>
  <si>
    <t>Address</t>
  </si>
  <si>
    <t>Series</t>
  </si>
  <si>
    <t>https://www.sciencedirect.com/science/article/pii/S0164121220301448;http://dx.doi.org/10.1016/j.jss.2020.110693</t>
  </si>
  <si>
    <t>Code smells can compromise software quality in the long term by inducing technical debt. For this reason, many approaches aimed at identifying these design flaws have been proposed in the last decade. Most of them are based on heuristics in which a set of metrics is used to detect smelly code components. However, these techniques suffer from subjective interpretations, a low agreement between detectors, and threshold dependability. To overcome these limitations, previous work applied Machine-Learning that can learn from previous datasets without needing any threshold definition. However, more recent work has shown that Machine-Learning is not always suitable for code smell detection due to the highly imbalanced nature of the problem. In this study, we investigate five approaches to mitigate data imbalance issues to understand their impact on Machine Learning-based approaches for code smell detection in Object-Oriented systems and those implementing the Model-View-Controller pattern. Our findings show that avoiding balancing does not dramatically impact accuracy. Existing data balancing techniques are inadequate for code smell detection leading to poor accuracy for Machine-Learning-based approaches. Therefore, new metrics to exploit different software characteristics and new techniques to effectively combine them are needed.</t>
  </si>
  <si>
    <t>Code smells, Machine learning, Data balancing, Object oriented, Model view controller</t>
  </si>
  <si>
    <t>Chen HM,Nguyen BA,Dow CR</t>
  </si>
  <si>
    <t>Code-quality evaluation scheme for assessment of student contributions to programming projects</t>
  </si>
  <si>
    <t>https://www.sciencedirect.com/science/article/pii/S0164121222000358;http://dx.doi.org/10.1016/j.jss.2022.111273</t>
  </si>
  <si>
    <t>10.1016/j.jss.2022.111273</t>
  </si>
  <si>
    <t>Project-based learning is the most common approach to software engineering education, due to its emphasis on the teamwork skills essential to real-world collaborations. This study developed an automated programming assessment system (APAS) featuring a code-quality evaluation scheme to overcome difficulties in assessing the contribution of individual team members. Team participation is visualized on a weekly basis to provide insights pertaining to team dynamics, and metrics based on code quality allow the segmentation of students by level of contribution. Insights provided by the proposed system were also shown to facilitate interventions aimed at improving code quality. Empirical analysis based on submission data from 146 students (41 teams) demonstrated the feasibility of the proposed system in monitoring group-based learning projects at the university level, particularly in detecting free-riders.</t>
  </si>
  <si>
    <t>Quality, Project-based learning, Cooperative/collaborative learning, Programming education, Automated programming assessment system</t>
  </si>
  <si>
    <t>Procedia CIRP</t>
  </si>
  <si>
    <t>136-141</t>
  </si>
  <si>
    <t>https://www.sciencedirect.com/science/article/pii/S2212827122014986;http://dx.doi.org/10.1016/j.procir.2022.10.063</t>
  </si>
  <si>
    <t>Machine Learning Operations (MLOps) enables the streamlining of the development and deployment processes of machine learning models; thus, manufacturers can utilize the inherent flexibility and adaptability of Deep Learning at scale to further optimize their processes. This publication provides insights into the challenges that companies face while striving for the efficient operationalization of machine learning algorithms. Moreover, a mapping of capabilities and requirements is presented to provide a baseline for the qualitative analysis of the current state of the art. In conclusion, this article discusses the shortcomings of the existing literature and provides novel implications for MLOps systems in manufacturing.</t>
  </si>
  <si>
    <t>Machine Learning, Deep Learning, MLOps, IIoT</t>
  </si>
  <si>
    <t>10th CIRP Global Web Conference – Material Aspects of Manufacturing Processes</t>
  </si>
  <si>
    <t>https://www.sciencedirect.com/science/article/pii/S0950584922002257;http://dx.doi.org/10.1016/j.infsof.2022.107116</t>
  </si>
  <si>
    <t>Context: Burnout is a work-related syndrome that, similar to many occupations, influences most software developers. For decades, studies in software engineering(SE) have explored the causes of burnout and its consequences among IT professionals. Objective: This paper is a systematic mapping study (SMS) of the studies on burnout in SE, exploring its causes and consequences, and how it is studied (e.g., choice of data). Method: We conducted a systematic mapping study and identified 92 relevant research articles dating as early as the early 1990s, focusing on various aspects and approaches to detect burnout in software developers and IT professionals. Results: Our study shows that early research on burnout was primarily qualitative, which has steadily moved to more quantitative, data-driven in the last decade. The emergence of machine learning (ML) approaches to detect burnout in developers has become a de-facto standard. Conclusion: Our study summarises what we now know about burnout, how software artifacts indicate burnout, and how machine learning can help its early detection. As a comprehensive analysis of past and present research works in the field, we believe this paper can help future research and practice focus on the grand challenges ahead and offer necessary tools.</t>
  </si>
  <si>
    <t>Burnout, Software engineering, Systematic mapping study</t>
  </si>
  <si>
    <t>A sustainable-development approach for self-adaptive cyber–physical system’s life cycle: A systematic mapping study</t>
  </si>
  <si>
    <t>https://www.sciencedirect.com/science/article/pii/S0164121221001072;http://dx.doi.org/10.1016/j.jss.2021.111010</t>
  </si>
  <si>
    <t>Cyber–Physical Systems (CPS) refer to a new generation of systems where the cyber and physical layers are –strongly– interconnected. The development of these systems requires two fundamental parts. First, the design of sustainable architectures –centered on adaptation, throughout a System-Development Life-Cycle (SDLC)– to develop robust and economically profitable products. Second, the use of self-adaptive techniques to adjust CPSs to the evolving circumstances of their operation context. This work presents a systematic mapping study (SMS) that discusses different approaches used to develop self-adaptive CPSs (SA-CPSs) at each stage of the SDLC, focused on sustainability. The results show trends such as (i) Designs are not limited to particular application domains, (ii) Performance was the most commonly used attribute, and (iii) Monitor–Analyze–Plan–Execute over a shared Knowledge (MAPE-K) is the predominant feedback loop applied in the cyber layer. The results also raise challenges such as (i) How to design and evaluate sustainable SA-CPSs, (ii) How to apply unit and integration testing in the development of SA-CPSs, and (iii) How to develop feedback loops on SA-CPSs with the integration of machine-learning techniques.</t>
  </si>
  <si>
    <t>Self-adaptive systems, Sustainability, Cyber–physical systems, Systems-development life-cycle</t>
  </si>
  <si>
    <t>https://www.sciencedirect.com/science/article/pii/S0164121220302090;http://dx.doi.org/10.1016/j.jss.2020.110806</t>
  </si>
  <si>
    <t>Background Pull requests are a common practice for making contributions and reviewing them in both open-source and industrial contexts. Objective Our goal is to understand whether quality flaws such as code smells, anti-patterns, security vulnerabilities, and coding style violations in a pull request’s code affect the chance of its acceptance when reviewed by a maintainer of the project. Method We conducted a case study among 28 Java open-source projects, analyzing the presence of 4.7 M code quality flaws in 36 K pull requests. We analyzed further correlations by applying logistic regression and six machine learning techniques. Moreover, we manually validated 10% of the pull requests to get further qualitative insights on the importance of quality issues in cases of acceptance and rejection. Results Unexpectedly, quality flaws measured by PMD turned out not to affect the acceptance of a pull request at all. As suggested by other works, other factors such as the reputation of the maintainer and the importance of the delivered feature might be more important than other qualities in terms of pull request acceptance. Conclusions . Researchers have already investigated the influence of the developers’ reputation and the pull request acceptance. This is the first work investigating code style violations and specifically PMD rules. We recommend that researchers further investigate this topic to understand if different measures or different tools could provide some useful measures.</t>
  </si>
  <si>
    <t>Pull requests, PMD rules, Machine learning</t>
  </si>
  <si>
    <t>Zhou X,Li S,Cao L,Zhang H,Jia Z,Zhong C,Shan Z,Babar MA</t>
  </si>
  <si>
    <t>Revisiting the practices and pains of microservice architecture in reality: An industrial inquiry</t>
  </si>
  <si>
    <t>https://www.sciencedirect.com/science/article/pii/S0164121222001972;http://dx.doi.org/10.1016/j.jss.2022.111521</t>
  </si>
  <si>
    <t>10.1016/j.jss.2022.111521</t>
  </si>
  <si>
    <t>Background: Seeking an appropriate architecture for the design of software is always a challenge. Although microservices are claimed to be a lightweight architecture style that can improve current practices with several characteristics, many practices are based on different circumstances and reflect variant effects. Empirical inquiry gives us a systematic insight into industrial practices and sufferings on microservices. Objective: This study is to investigate the gaps between ideal visions and real industrial practices in microservices and what expenses microservices bring to industrial practitioners. Method: We carried out a series of industrial interviews with practitioners from 20 software companies. The collected data were then codified using qualitative methods. Results: Eight pairs of common practices and pains of microservices in industry were obtained after synthesizing the rich and detailed data collected. Five aspects that require careful decisions were extracted to help practitioners balance the possible benefits and pains of MSA. Five research directions that need further exploration were identified based on the pains associated with MSA. Conclusion: While the benefits of microservices are confirmed from the point of view of practitioners, decisions should be carefully made and the possible problems identified must be addressed with additional expense from experience. Furthermore, some of the topics and pains outlined, e.g., systematic evaluation and assessment, organizational transformation, decomposition, distributed monitoring, and bug localization, may inspire researchers to conduct further research.</t>
  </si>
  <si>
    <t>Microservices, Empirical study, Interview, Software architecture</t>
  </si>
  <si>
    <t>https://www.sciencedirect.com/science/article/pii/S0950584920300240;http://dx.doi.org/10.1016/j.infsof.2020.106274</t>
  </si>
  <si>
    <t>Context GitHub hosts an impressive number of high-quality OSS projects. However, selecting “the right tool for the job” is a challenging task, because we do not have precise information about those high-quality projects. Objective In this paper, we propose a data-driven approach to measure the level of maintenance activity of GitHub projects. Our goal is to alert users about the risks of using unmaintained projects and possibly motivate other developers to assume the maintenance of such projects. Method We train machine learning models to define a metric to express the level of maintenance activity of GitHub projects. Next, we analyze the historical evolution of 2927 active projects in the time frame of one year. Results From 2927 active projects, 16% become unmaintained in the interval of one year. We also found that Objective-C projects tend to have lower maintenance activity than projects implemented in other languages. Finally, software tools—such as compilers and editors—have the highest maintenance activity over time. Conclusions A metric about the level of maintenance activity of GitHub projects can help developers to select open source projects.</t>
  </si>
  <si>
    <t>Unmaintained projects, GitHub, Open source software</t>
  </si>
  <si>
    <t>https://www.sciencedirect.com/science/article/pii/S0164121220302375;http://dx.doi.org/10.1016/j.jss.2020.110847</t>
  </si>
  <si>
    <t>Community smells represent sub-optimal conditions appearing within software development communities (e.g., non-communicating sub-teams, deviant contributors, etc.) that may lead to the emergence of social debt and increase the overall project’s cost. Previous work has studied these smells under different perspectives, investigating their nature, diffuseness, and impact on technical aspects of source code. Furthermore, it has been shown that some socio-technical metrics like, for instance, the well-known socio-technical congruence, can potentially be employed to foresee their appearance. Yet, there is still a lack of knowledge of the actual predictive power of such socio-technical metrics. In this paper, we aim at tackling this problem by empirically investigating (i) the potential value of socio-technical metrics as predictors of community smells and (ii) what is the performance of within- and cross-project community smell prediction models based on socio-technical metrics. To this aim, we exploit a dataset composed of 60 open-source projects and consider four community smells such as Organizational Silo, Black Cloud, Lone Wolf, and Bottleneck. The key results of our work report that a within-project solution can reach F-Measure and AUC-ROC of 77% and 78%, respectively, while cross-project models still require improvements, being however able to reach an F-Measure of 62% and overcome a random baseline. Among the metrics investigated, socio-technical congruence, communicability, and turnover-related metrics are the most powerful predictors of the emergence of community smells.</t>
  </si>
  <si>
    <t>Community smells, Social debt, Empirical software engineering</t>
  </si>
  <si>
    <t>Freire S,Rios N,Pérez B,Castellanos C,Correal D,Ramač R,Mandić V,Taušan N,López G,Pacheco A,Mendonça M,Falessi D,Izurieta C,Seaman C,Spínola R</t>
  </si>
  <si>
    <t>Software practitioners’ point of view on technical debt payment</t>
  </si>
  <si>
    <t>https://www.sciencedirect.com/science/article/pii/S0164121222002308;http://dx.doi.org/10.1016/j.jss.2022.111554</t>
  </si>
  <si>
    <t>10.1016/j.jss.2022.111554</t>
  </si>
  <si>
    <t>Context: Technical debt (TD) payment refers to the activity of expending maintenance effort and resources to make up for the effects of previous technical compromises. Aims: To investigate if software practitioners have paid debt items off in their projects, the practices that have been used for paying off debt items, and the issues that hamper the implementation of these practices. Method: We analyze 653 responses collected by surveying practitioners from six countries about TD payment. Results: Practitioners have not paid off TD items in most cases. We identified 27 reasons for not paying off those items and 32 payment-related practices. Practices are mainly related to internal quality issues, while reasons for not paying TD off are mostly associated with planning and management issues. Lastly, we identified relationships between practices and between reasons, indicating that both can appear in combination. Conclusion: . We use different views to consolidate the set of information on TD payment, extending the conceptual model for TD and organizing the set of practices and reasons into a TD payment map. We believe that the model and the map can support practitioners in planning their TD payment strategy.</t>
  </si>
  <si>
    <t>Technical debt, Technical debt payment, Technical debt management</t>
  </si>
  <si>
    <t>Melegati J,Goldman A,Kon F,Wang X</t>
  </si>
  <si>
    <t>A model of requirements engineering in software startups</t>
  </si>
  <si>
    <t>92-107</t>
  </si>
  <si>
    <t>https://www.sciencedirect.com/science/article/pii/S095058491930028X;http://dx.doi.org/10.1016/j.infsof.2019.02.001</t>
  </si>
  <si>
    <t>10.1016/j.infsof.2019.02.001</t>
  </si>
  <si>
    <t>Context Over the past 20 years, software startups have created many products that have changed human life. Since these companies are creating brand-new products or services, requirements are difficult to gather and highly volatile. Although scientific interest in software development in this context has increased, the studies on requirements engineering in software startups are still scarce and mostly focused on elicitation activities. Objective This study overcomes this gap by answering how requirements engineering practices are performed in this context. Method We conducted a grounded theory study based on 17 interviews with software startups practitioners. Results We constructed a model to show that software startups do not follow a single set of practices but, instead, build a custom process, changed throughout the development of the company, combining different practices according to a set of influences (Founders, Software Development Manager, Developers, Market, Business Model and Startup Ecosystem). Conclusion Our findings show that requirements engineering activities in software startups are similar to those in agile teams, but some steps vary as a consequence of the lack of an accessible customer.</t>
  </si>
  <si>
    <t>Software startups, Requirements engineering, Empirical software engineering, Customer development, Product validation</t>
  </si>
  <si>
    <t>Lacerda G,Petrillo F,Pimenta M,Guéhéneuc YG</t>
  </si>
  <si>
    <t>Code smells and refactoring: A tertiary systematic review of challenges and observations</t>
  </si>
  <si>
    <t>https://www.sciencedirect.com/science/article/pii/S0164121220300881;http://dx.doi.org/10.1016/j.jss.2020.110610</t>
  </si>
  <si>
    <t>10.1016/j.jss.2020.110610</t>
  </si>
  <si>
    <t>Refactoring and smells have been well researched by the software-engineering research community these past decades. Several secondary studies have been published on code smells, discussing their implications on software quality, their impact on maintenance and evolution, and existing tools for their detection. Other secondary studies addressed refactoring, discussing refactoring techniques, opportunities for refactoring, impact on quality, and tools support. In this paper, we present a tertiary systematic literature review of previous surveys, secondary systematic literature reviews, and systematic mappings. We identify the main observations (what we know) and challenges (what we do not know) on code smells and refactoring. We perform this tertiary review using eight scientific databases, based on a set of five research questions, identifying 40 secondary studies between 1992 and 2018. We organize the main observations and challenges about code smell and their refactoring into: smells definitions, most common code-smell detection approaches, code-smell detection tools, most common refactoring, and refactoring tools. We show that code smells and refactoring have a strong relationship with quality attributes, i.e., with understandability, maintainability, testability, complexity, functionality, and reusability. We argue that code smells and refactoring could be considered as the two faces of a same coin. Besides, we identify how refactoring affects quality attributes, more than code smells. We also discuss the implications of this work for practitioners, researchers, and instructors. We identify 13 open issues that could guide future research work. Thus, we want to highlight the gap between code smells and refactoring in the current state of software-engineering research. We wish that this work could help the software-engineering research community in collaborating on future work on code smells and refactoring.</t>
  </si>
  <si>
    <t>Code smells, Refactoring, Tertiary systematic review</t>
  </si>
  <si>
    <t>https://www.sciencedirect.com/science/article/pii/S0164121220301734;http://dx.doi.org/10.1016/j.jss.2020.110750</t>
  </si>
  <si>
    <t>Context: Companies frequently invest effort to remove technical issues believed to impact software qualities, such as removing anti-patterns or coding styles violations. Objective: We aim to analyze the diffuseness of SonarQube issues in software systems and to assess their impact on code changes and fault-proneness, considering also their different types and severities. Methods: We conducted a case study among 33 Java projects from the Apache Software Foundation repository. Results: We analyzed 726 commits containing 27K faults and 12M changes in Java files. The projects violated 173 SonarQube rules generating more than 95K SonarQube issues in more than 200K classes. Classes not affected by SonarQube issues are less change-prone than affected ones, but the difference between the groups is small. Non-affected classes are slightly more change-prone than classes affected by SonarQube issues of type Code Smell or Security Vulnerability. As for fault-proneness, there is no difference between non-affected and affected classes. Moreover, we found incongruities in the type and severity assigned by SonarQube. Conclusion: Our result can be useful for practitioners to understand which SonarQube issues should be refactored and for researchers to bridge the missing gaps. Moreover, results can also support companies and tool vendors in identifying SonarQube issues as accurately as possible.</t>
  </si>
  <si>
    <t>Change-proneness, Fault-proneness, SonarQube, Empirical study</t>
  </si>
  <si>
    <t>https://www.sciencedirect.com/science/article/pii/S0952197622002998;http://dx.doi.org/10.1016/j.engappai.2022.105209</t>
  </si>
  <si>
    <t>Software systems naturally evolve, and this evolution often brings design problems that contribute to system degradation. Architectural smells are typical symptoms of such problems, and several of these smells are related to undesired dependencies among packages. The early detection of smells is essential for software engineers to plan ahead for maintenance or refactoring efforts. Although tools for identifying smells exist, they detect the smells once they already exist in the source code when their undesired dependencies are already created. In this work, we explore a forward-looking approach for identifying smells that can emerge in the next system version based on inferring package dependencies that are likely to appear in the system. Our approach takes the current design structure of the system as a network, along with information from previous versions, and applies link prediction techniques from the field of social network analysis. In particular, we consider a group of smells known as instability smells (cyclic dependency, hub-like dependency, and unstable dependency), which fit well with the link prediction model. The approach includes a feedback mechanism to progressively reduce false positives in predictions. An evaluation based on six open-source projects showed that, under certain considerations, the proposed approach can satisfactorily predict missing dependencies and smell configurations thereof. The feedback mechanism led to improvements of up to three times the initial precision values. Furthermore, we have developed a tool for practitioners to apply the approach in their projects.</t>
  </si>
  <si>
    <t>Package dependencies, Architectural smells, Link prediction, Cycles, Machine learning</t>
  </si>
  <si>
    <t>Knauss A,Damian D,Franch X,Rook A,Müller HA,Thomo A</t>
  </si>
  <si>
    <t>ACon: A learning-based approach to deal with uncertainty in contextual requirements at runtime</t>
  </si>
  <si>
    <t>85-99</t>
  </si>
  <si>
    <t>https://www.sciencedirect.com/science/article/pii/S0950584915001676;http://dx.doi.org/10.1016/j.infsof.2015.10.001</t>
  </si>
  <si>
    <t>Context: Runtime uncertainty such as unpredictable operational environment and failure of sensors that gather environmental data is a well-known challenge for adaptive systems. Objective: To execute requirements that depend on context correctly, the system needs up-to-date knowledge about the context relevant to such requirements. Techniques to cope with uncertainty in contextual requirements are currently underrepresented. In this paper we present ACon (Adaptation of Contextual requirements), a data-mining approach to deal with runtime uncertainty affecting contextual requirements. Method: ACon uses feedback loops to maintain up-to-date knowledge about contextual requirements based on current context information in which contextual requirements are valid at runtime. Upon detecting that contextual requirements are affected by runtime uncertainty, ACon analyses and mines contextual data, to (re-)operationalize context and therefore update the information about contextual requirements. Results: We evaluate ACon in an empirical study of an activity scheduling system used by a crew of 4 rowers in a wild and unpredictable environment using a complex monitoring infrastructure. Our study focused on evaluating the data mining part of ACon and analysed the sensor data collected onboard from 46 sensors and 90,748 measurements per sensor. Conclusion: ACon is an important step in dealing with uncertainty affecting contextual requirements at runtime while considering end-user interaction. ACon supports systems in analysing the environment to adapt contextual requirements and complements existing requirements monitoring approaches by keeping the requirements monitoring specification up-to-date. Consequently, it avoids manual analysis that is usually costly in today’s complex system environments.</t>
  </si>
  <si>
    <t>Requirements engineering, Self-adaptive systems, Contextual requirements, Operationalization, Machine learning</t>
  </si>
  <si>
    <t>Kumar R,Goyal R</t>
  </si>
  <si>
    <t>Modeling continuous security: A conceptual model for automated DevSecOps using open-source software over cloud (ADOC)</t>
  </si>
  <si>
    <t>Computers &amp; Security</t>
  </si>
  <si>
    <t>0167-4048</t>
  </si>
  <si>
    <t>https://www.sciencedirect.com/science/article/pii/S0167404820302406;http://dx.doi.org/10.1016/j.cose.2020.101967</t>
  </si>
  <si>
    <t>10.1016/j.cose.2020.101967</t>
  </si>
  <si>
    <t>Agile software development methodology and DevOps, together, have helped the business to achieve agility and velocity in delivering time-to-market applications and services. Open-source software (OSS) and cloud technologies are taking up business innovation and DevOps at new heights. However, in the quest of agility and velocity, user data security and privacy assurance often get lower priority as they are perceived as a time-consuming activity requiring specialized people, process, and technology. We see this problem being addressed by integrating security in DevOps processes. Security for DevOps has been institutionalized as DevSecOps with practical considerations for a given business context. In this work, we proposed a conceptual security model, ADOC, to facilitate adopting DevSecOps for the business processes capitalizing OSS over the cloud. This work contributes towards the following to integrate continuous security in application and service delivery: (i) A continuous security conceptual framework proposal based on the requirements elicited from the analysis of challenges in adopting DevSecOps using OSS over the cloud. (ii) An integrationist security model, ADOC, based on the proposed continuous security conceptual framework, integrating development, security, and operation activities through automation of security controls using OSS over the cloud. (iii) A set of inter-working OSS tools for automation of the proposed security controls in ADOC workflow and practices. (iv) A set of metrics for performance measurement of the ADOC model. (v) Mapping of the solutions for the analyzed challenges using the proposed security controls, followed by a use case scenario to adopt the ADOC workflow and continuous practices. The ADOC transforms security being adhoc compliance-oriented activities into continuous assurance-oriented activities by codifying security controls into an automated delivery workflow. Its practical adoption enables businesses to deliver time-to-market security ready applications and services with accelerated velocity and sustainable agility in a cost-effective way.</t>
  </si>
  <si>
    <t>Devsecops, Devops, Continuous integration and continuous deployment, Continuous security, Open-source software security, Cloud security</t>
  </si>
  <si>
    <t>Pachouly J,Ahirrao S,Kotecha K,Selvachandran G,Abraham A</t>
  </si>
  <si>
    <t>A systematic literature review on software defect prediction using artificial intelligence: Datasets, Data Validation Methods, Approaches, and Tools</t>
  </si>
  <si>
    <t>https://www.sciencedirect.com/science/article/pii/S0952197622000616;http://dx.doi.org/10.1016/j.engappai.2022.104773</t>
  </si>
  <si>
    <t>10.1016/j.engappai.2022.104773</t>
  </si>
  <si>
    <t>Delivering high-quality software products is a challenging task. It needs proper coordination from various teams in planning, execution, and testing. Many software products have high numbers of defects revealed in a production environment. Software failures are costly regarding money, time, and reputation for a business and even life-threatening if utilized in critical applications. Identifying and fixing software defects in the production system is costly, which could be a trivial task if detected before shipping the product. Binary classification is commonly used in existing software defect prediction studies. With the advancements in Artificial Intelligence techniques, there is a great potential to provide meaningful information to software development teams for producing quality software products. An extensive survey for Software Defect Prediction is necessary for exploring datasets, data validation methods, defect detection, and prediction approaches and tools. The survey infers standard datasets utilized in early studies lack adequate features and data validation techniques. According to the finding of the literature survey, the standard datasets has few labels, resulting in insufficient details regarding defects. Systematic Literature Reviews (SLR) on Software Defect Prediction are limited. Hence this SLR presents a comprehensive analysis of defect datasets, dataset validation, detection, prediction approaches, and tools for Software Defect Prediction. The survey exhibits the futuristic recommendations that will allow researchers to develop a tool for Software Defect Prediction. The survey introduces the architecture for developing a software prediction dataset with adequate features and statistical data validation techniques for multi-label classification for software defects.</t>
  </si>
  <si>
    <t>Software defect prediction, Classification, Artificial intelligence, Machine learning</t>
  </si>
  <si>
    <t>Rezaei Nasab A,Shahin M,Hoseyni Raviz SA,Liang P,Mashmool A,Lenarduzzi V</t>
  </si>
  <si>
    <t>An empirical study of security practices for microservices systems</t>
  </si>
  <si>
    <t>https://www.sciencedirect.com/science/article/pii/S0164121222002394;http://dx.doi.org/10.1016/j.jss.2022.111563</t>
  </si>
  <si>
    <t>10.1016/j.jss.2022.111563</t>
  </si>
  <si>
    <t>Despite the numerous benefits of microservices systems, security has been a critical issue in such systems. Several factors explain this difficulty, including a knowledge gap among microservices practitioners on properly securing a microservices system. To (partially) bridge this gap, we conducted an empirical study. We first manually analyzed 861 microservices security points, including 567 issues, 9 documents, and 3 wiki pages from 10 GitHub open-source microservices systems and 306 Stack Overflow posts concerning security in microservices systems. In this study, a microservices security point is referred to as “a GitHub issue, a Stack Overflow post, a document, or a wiki page that entails 5 or more microservices security paragraphs”. Our analysis led to a catalog of 28 microservices security practices. We then ran a survey with 74 microservices practitioners to evaluate the usefulness of these 28 practices. Our findings demonstrate that the survey respondents affirmed the usefulness of the 28 practices. We believe that the catalog of microservices security practices can serve as a valuable resource for microservices practitioners to more effectively address security issues in microservices systems. It can also inform the research community of the required or less explored areas to develop microservices-specific security practices and tools.</t>
  </si>
  <si>
    <t>Microservice, Security, Empirical study, Practitioners, Practice</t>
  </si>
  <si>
    <t>Nyamawe AS</t>
  </si>
  <si>
    <t>Mining commit messages to enhance software refactorings recommendation: A machine learning approach</t>
  </si>
  <si>
    <t>Machine Learning with Applications</t>
  </si>
  <si>
    <t>2666-8270</t>
  </si>
  <si>
    <t>https://www.sciencedirect.com/science/article/pii/S2666827022000354;http://dx.doi.org/10.1016/j.mlwa.2022.100316</t>
  </si>
  <si>
    <t>10.1016/j.mlwa.2022.100316</t>
  </si>
  <si>
    <t>Software refactoring is the common practice that is applied to improve the internal structure of software systems without altering their external behaviors. Software developers sometimes apply refactoring to prepare software systems for further extensions of requirements or adaptation to new requirements often presented as feature requests. However, in such context, identifying where and what type of refactoring to use is very challenging and mostly relies on developer’s intuition and experience. To facilitate refactorings selection during feature requests implementation, existing studies have relied on the past software change history to predict and recommend future refactorings. However, none of these approaches have attempted to exploit the potential of commit messages to drive refactoring recommendation. To this end, this paper proposes a machine-learning approach trained with the past history of previously applied refactorings detected using both traditional refactoring detectors and analysis of commit messages. The approach implements binary classifier to predict the need for refactoring, and a multi-label classifier to recommend required refactorings. The evaluation of the proposed approach based on the dataset comprised of commit messages of 65 open source projects suggest that, the approach significantly outperforms the state-of-the-art approach.</t>
  </si>
  <si>
    <t>Commit messages, Feature requests, Recommendation, Software refactoring, Machine learning</t>
  </si>
  <si>
    <t>Femmer H,Méndez Fernández D,Wagner S,Eder S</t>
  </si>
  <si>
    <t>Rapid quality assurance with Requirements Smells</t>
  </si>
  <si>
    <t>190-213</t>
  </si>
  <si>
    <t>https://www.sciencedirect.com/science/article/pii/S0164121216000789;http://dx.doi.org/10.1016/j.jss.2016.02.047</t>
  </si>
  <si>
    <t>10.1016/j.jss.2016.02.047</t>
  </si>
  <si>
    <t>Bad requirements quality can cause expensive consequences during the software development lifecycle, especially if iterations are long and feedback comes late. We aim at a light-weight static requirements analysis approach that allows for rapid checks immediately when requirements are written down. We transfer the concept of code smells to requirements engineering as Requirements Smells. To evaluate the benefits and limitations, we define Requirements Smells, realize our concepts for a smell detection in a prototype called Smella and apply Smella in a series of cases provided by three industrial and a university context. The automatic detection yields an average precision of 59% at an average recall of 82% with high variation. The evaluation in practical environments indicates benefits such as an increase of the awareness of quality defects. Yet, some smells were not clearly distinguishable. Lightweight smell detection can uncover many practically relevant requirements defects in a reasonably precise way. Although some smells need to be defined more clearly, smell detection provides a helpful means to support quality assurance in requirements engineering, for instance, as a supplement to reviews.</t>
  </si>
  <si>
    <t>Requirements engineering, Automatic defect detection, Requirements Smells</t>
  </si>
  <si>
    <t>Singjai A,Simhandl G,Zdun U</t>
  </si>
  <si>
    <t>On the practitioners’ understanding of coupling smells — A grey literature based Grounded-Theory study</t>
  </si>
  <si>
    <t>https://www.sciencedirect.com/science/article/pii/S0950584921000264;http://dx.doi.org/10.1016/j.infsof.2021.106539</t>
  </si>
  <si>
    <t>10.1016/j.infsof.2021.106539</t>
  </si>
  <si>
    <t>Context: Code and design smells, such as the coupling smells examined in this article, are widely studied. Existing empirical studies reveal gaps between the scientific theory and practice, not yet explained by the scientific literature. Only basic coupling smell detection approaches and metrics seem to have been transferred to practice so far. Objective: This article aims to study the current practitioner’s understanding of coupling smells. Method: Based on grey literature sources containing practitioner views on coupling smells, we performed a Grounded Theory (GT) study. We used UML-based modeling to precisely encode our findings and performed a rigorous analysis of our codes and models. Results: Our results are defining factors of coupling smells, as well as smell impacts, trade-offs, relationships to other smells, relationships to practices and patterns, and fix options as perceived by practitioners. We further identified gaps in the understanding of coupling smells between science and practice, and derived opportunities and challenges for future scientific work. Conclusions: Five lessons are presented as opportunities and challenges for future research. Our results can help scientists to get a better understanding of practitioner concerns, and practitioners to get an overview of the current perception of other practitioners on coupling smells.</t>
  </si>
  <si>
    <t>Grey literature, Grounded theory, Design smells, Code smells, Coupling smells, Software design quality, Code quality</t>
  </si>
  <si>
    <t>Urbieta M,Antonelli L,Rossi G,do Prado Leite JC</t>
  </si>
  <si>
    <t>The impact of using a domain language for an agile requirements management</t>
  </si>
  <si>
    <t>https://www.sciencedirect.com/science/article/pii/S0950584920301440;http://dx.doi.org/10.1016/j.infsof.2020.106375</t>
  </si>
  <si>
    <t>10.1016/j.infsof.2020.106375</t>
  </si>
  <si>
    <t>Context: The development of software systems is a complex activity because of its nature and the management of its construction. It is challenging to create and follow a plan. Moreover, budget overrun is a common consequence of this situation. Agile methods, like Scrum, help to mitigate this problem using incremental and iterative development. Agile methods jump start new developments, but it is difficult to be agile after several months when the software has to deal with many requirements that are scattered and tangled across several User Stories written in different Sprints. Objective: In this paper, we propose a traceability approach anchored on an index structure to access specific User Stories from a large set. Our proposed strategy has the goal to consolidate the information dispersed in different User Stories into a particular lexicon: The Language Extended Lexicon (LEL). Method: The proposed approach consists of a set of rules which extract the information dispersed in the User Stories and organize it in symbols of the Lexicon. Thus, the Lexicon supplies a consolidated and organized structure to mitigate the problem of tangled information that generates lack of traceability among different sprints. Results: We assessed how the Lexicon built by our approach improves everyday activities related to requirement management. The assessment is based on a quantitative evaluation with 36 subjects. Conclusion: The approach presents benefits for requirement tracing in agile methodologies supported by the preliminary results of the evaluation. We have developed an application (a prototype) that automates the LEL derivation rules from a set of User Stories.</t>
  </si>
  <si>
    <t>Domain knowledge, Agile methods, User stories, Language extended lexicon</t>
  </si>
  <si>
    <t>Pereira-Vale A,Fernandez EB,Monge R,Astudillo H,Márquez G</t>
  </si>
  <si>
    <t>Security in microservice-based systems: A Multivocal literature review</t>
  </si>
  <si>
    <t>https://www.sciencedirect.com/science/article/pii/S0167404821000249;http://dx.doi.org/10.1016/j.cose.2021.102200</t>
  </si>
  <si>
    <t>10.1016/j.cose.2021.102200</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</si>
  <si>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t>
  </si>
  <si>
    <t>Secure software development, Microservice-based systems, Security mechanisms, Security solutions, Multivocal literature review</t>
  </si>
  <si>
    <t>Memon A</t>
  </si>
  <si>
    <t>Contents of Volumes in this Series</t>
  </si>
  <si>
    <t>307-318</t>
  </si>
  <si>
    <t>Elsevier</t>
  </si>
  <si>
    <t>Advances in Computers</t>
  </si>
  <si>
    <t>0065-2458</t>
  </si>
  <si>
    <t>https://www.sciencedirect.com/science/article/pii/B9780128001622000142;http://dx.doi.org/10.1016/B978-0-12-800162-2.00014-2</t>
  </si>
  <si>
    <t>10.1016/B978-0-12-800162-2.00014-2</t>
  </si>
  <si>
    <t>Salaou AD,Damian D,Lassenius C,Voda D,Gançarski P</t>
  </si>
  <si>
    <t>Archetypes of delay: An analysis of online developer conversations on delayed work items in IBM Jazz</t>
  </si>
  <si>
    <t>https://www.sciencedirect.com/science/article/pii/S0950584920301907;http://dx.doi.org/10.1016/j.infsof.2020.106435</t>
  </si>
  <si>
    <t>10.1016/j.infsof.2020.106435</t>
  </si>
  <si>
    <t>Context. A widely adopted methodology, agile software development provides enhanced flexibility to actively adjust a project scope. In agile teams, particularly in distributed environment, developers interact, manage requirements knowledge, and coordinate primarily in online collaboration tools. Developer conversations become invaluable sources to track and understand developers’ interactions around implementation of requirements, as well as the progress of implementation relative to the project scope and the planned iterations in agile projects. Although extensive research around iteration planning exists, there is a lack of research that leverages developer conversation data to understand delays in implementing planned requirements in agile projects. Objective. By using developer conversations in a large agile project at IBM, this work aims to analyze conversation in work items (WIs) that are delayed and derive patterns that suggest reasons for delay in the project. Method. We conducted a case study of the IBM Jazz project, and used thematic analysis to code the developer conversations as time-series, and cluster analysis to identify patterns that differentiated the evolution of discussions in WIs that were late vs. not late in the project. Results. We identified six main patterns of WI delay. Through semantic analysis of developer conversations within particular clusters we were able to explain the reasons for delays in each pattern. In comparison to non-late WIs, we find that the major reason for delay is a lack of frequent communication associated with a poor project management of WIs. Similarly, non-late tasks more often delegate to children tasks to accelerate the implementation of requirements, in addition to processing requests quickly to resolve bottlenecks in implementation. Conclusion. Our study complements existing research in bringing evidence that developer conversations are a useful resource that can highlight delays in requirement implementation, as well as recommend patterns in the dynamics of developers interactions relevant to such delays.</t>
  </si>
  <si>
    <t>Text analysis, Software engineering, Agile development, Categorical time series, Clustering, Thematic analysis, Task completion, Iteration completion, Repository mining, Jazz repository</t>
  </si>
  <si>
    <t>Auer F,Ros R,Kaltenbrunner L,Runeson P,Felderer M</t>
  </si>
  <si>
    <t>Controlled experimentation in continuous experimentation: Knowledge and challenges</t>
  </si>
  <si>
    <t>https://www.sciencedirect.com/science/article/pii/S0950584921000367;http://dx.doi.org/10.1016/j.infsof.2021.106551</t>
  </si>
  <si>
    <t>10.1016/j.infsof.2021.106551</t>
  </si>
  <si>
    <t>Context: Continuous experimentation and A/B testing is an established industry practice that has been researched for more than 10 years. Our aim is to synthesize the conducted research. Objective: We wanted to find the core constituents of a framework for continuous experimentation and the solutions that are applied within the field. Finally, we were interested in the challenges and benefits reported of continuous experimentation. Methods: We applied forward snowballing on a known set of papers and identified a total of 128 relevant papers. Based on this set of papers we performed two qualitative narrative syntheses and a thematic synthesis to answer the research questions. Results: The framework constituents for continuous experimentation include experimentation processes as well as supportive technical and organizational infrastructure. The solutions found in the literature were synthesized to nine themes, e.g. experiment design, automated experiments, or metric specification. Concerning the challenges of continuous experimentation, the analysis identified cultural, organizational, business, technical, statistical, ethical, and domain-specific challenges. Further, the study concludes that the benefits of experimentation are mostly implicit in the studies. Conclusion: The research on continuous experimentation has yielded a large body of knowledge on experimentation. The synthesis of published research presented within include recommended infrastructure and experimentation process models, guidelines to mitigate the identified challenges, and what problems the various published solutions solve.</t>
  </si>
  <si>
    <t>Continuous experimentation, Online controlled experiments, A/B testing, Systematic literature review</t>
  </si>
  <si>
    <t>De Stefano M,Pecorelli F,Di Nucci D,Palomba F,De Lucia A</t>
  </si>
  <si>
    <t>Software engineering for quantum programming: How far are we?</t>
  </si>
  <si>
    <t>https://www.sciencedirect.com/science/article/pii/S0164121222000693;http://dx.doi.org/10.1016/j.jss.2022.111326</t>
  </si>
  <si>
    <t>10.1016/j.jss.2022.111326</t>
  </si>
  <si>
    <t>Quantum computing is no longer only a scientific interest but is rapidly becoming an industrially available technology that can potentially overcome the limits of classical computation. Over the last years, all major companies have provided frameworks and programming languages that allow developers to create their quantum applications. This shift has led to the definition of a new discipline called quantum software engineering, which is demanded to define novel methods for engineering large-scale quantum applications. While the research community is successfully embracing this call, we notice a lack of systematic investigations into the state of the practice of quantum programming. Understanding the challenges that quantum developers face is vital to precisely define the aims of quantum software engineering. Hence, in this paper, we first mine all the GitHub repositories that make use of the most used quantum programming frameworks currently on the market and then conduct coding analysis sessions to produce a taxonomy of the purposes for which quantum technologies are used. In the second place, we conduct a survey study that involves the contributors of the considered repositories, which aims to elicit the developers’ opinions on the current adoption and challenges of quantum programming. On the one hand, the results highlight that the current adoption of quantum programming is still limited. On the other hand, there are many challenges that the software engineering community should carefully consider: these do not strictly pertain to technical concerns but also socio-technical matters.</t>
  </si>
  <si>
    <t>Quantum computing, Software engineering for quantum programming, Empirical software engineering</t>
  </si>
  <si>
    <t>de Oliveira Neto FG,Torkar R,Feldt R,Gren L,Furia CA,Huang Z</t>
  </si>
  <si>
    <t>Evolution of statistical analysis in empirical software engineering research: Current state and steps forward</t>
  </si>
  <si>
    <t>246-267</t>
  </si>
  <si>
    <t>https://www.sciencedirect.com/science/article/pii/S0164121219301451;http://dx.doi.org/10.1016/j.jss.2019.07.002</t>
  </si>
  <si>
    <t>10.1016/j.jss.2019.07.002</t>
  </si>
  <si>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</si>
  <si>
    <t>Empirical software engineering, Statistical methods, Practical significance, Semi-automated literature review</t>
  </si>
  <si>
    <t>Relationships between software architecture and source code in practice: An exploratory survey and interview</t>
  </si>
  <si>
    <t>https://www.sciencedirect.com/science/article/pii/S0950584921001580;http://dx.doi.org/10.1016/j.infsof.2021.106705</t>
  </si>
  <si>
    <t>10.1016/j.infsof.2021.106705</t>
  </si>
  <si>
    <t>Context Software Architecture (SA) and Source Code (SC) are two intertwined artefacts that represent the interdependent design decisions made at different levels of abstractions - High-Level (HL) and Low-Level (LL). An understanding of the relationships between SA and SC is expected to bridge the gap between SA and SC for supporting maintenance and evolution of software systems. Objective We aimed at exploring practitioners’ understanding about the relationships between SA and SC. Method We used a mixed-method that combines an online survey with 87 respondents and an interview with 8 participants to collect the views of practitioners from 37 countries about the relationships between SA and SC. Results Our results reveal that: practitioners mainly discuss five features of relationships between SA and SC; a few practitioners have adopted dedicated approaches and tools in the literature for identifying and analyzing the relationships between SA and SC despite recognizing the importance of such information for improving a system's quality attributes, especially maintainability and reliability. It is felt that cost and effort are the major impediments that prevent practitioners from identifying, analyzing, and using the relationships between SA and SC. Conclusions The results have empirically identified five features of relationships between SA and SC reported in the literature from the perspective of practitioners and a systematic framework to manage the five features of relationships should be developed with dedicated approaches and tools considering the cost and benefit of maintaining the relationships.</t>
  </si>
  <si>
    <t>Software architecture, Source code, Relationship industrial survey</t>
  </si>
  <si>
    <t>https://www.sciencedirect.com/science/article/pii/S0950584921000495;http://dx.doi.org/10.1016/j.infsof.2021.106566</t>
  </si>
  <si>
    <t>Context: Analyzing software maintenance activities is very helpful in ensuring cost-effective evolution and development activities. The categorization of commits into maintenance tasks supports practitioners in making decisions about resource allocation and managing technical debt. Objective: In this paper, we propose to use a pre-trained language neural model, namely BERT (Bidirectional Encoder Representations from Transformers) for the classification of commits into three categories of maintenance tasks — corrective, perfective and adaptive. The proposed commit classification approach will help the classifier better understand the context of each word in the commit message. Methods: We built a balanced dataset of 1793 labeled commits that we collected from publicly available datasets. We used several popular code change distillers to extract fine-grained code changes that we have incorporated into our dataset as additional features to BERT’s word representation features. In our study, a deep neural network (DNN) classifier has been used as an additional layer to fine-tune the BERT model on the task of commit classification. Several models have been evaluated to come up with a deep analysis of the impact of code changes on the classification performance of each commit category. Results and conclusions: Experimental results have shown that the DNN model trained on BERT’s word representations and Fixminer code changes (DNN@BERT+Fix_cc) provided the best performance and achieved 79.66% accuracy and a macro-average f1 score of 0.8. Comparison with the state-of-the-art model that combines keywords and code changes (RF@KW+CD_cc) has shown that our model achieved approximately 8% improvement in accuracy. Results have also shown that a DNN model using only BERT’s word representation features achieved an improvement of 5% in accuracy compared to the RF@KW+CD_cc model.</t>
  </si>
  <si>
    <t>Software maintenance, Commit classification, Code changes, Deep neural networks, Pre-trained neural language model</t>
  </si>
  <si>
    <t>Vogel-Heuser B,Fay A,Schaefer I,Tichy M</t>
  </si>
  <si>
    <t>Evolution of software in automated production systems: Challenges and research directions</t>
  </si>
  <si>
    <t>54-84</t>
  </si>
  <si>
    <t>https://www.sciencedirect.com/science/article/pii/S0164121215001818;http://dx.doi.org/10.1016/j.jss.2015.08.026</t>
  </si>
  <si>
    <t>10.1016/j.jss.2015.08.026</t>
  </si>
  <si>
    <t>Abstract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</si>
  <si>
    <t>Evolution, Automation, Automated production systems, Software engineering</t>
  </si>
  <si>
    <t>Karanatsiou D,Li Y,Arvanitou EM,Misirlis N,Wong WE</t>
  </si>
  <si>
    <t>A bibliometric assessment of software engineering scholars and institutions (2010–2017)</t>
  </si>
  <si>
    <t>246-261</t>
  </si>
  <si>
    <t>https://www.sciencedirect.com/science/article/pii/S0164121218302334;http://dx.doi.org/10.1016/j.jss.2018.10.029</t>
  </si>
  <si>
    <t>10.1016/j.jss.2018.10.029</t>
  </si>
  <si>
    <t>This paper presents the findings of a bibliometric study, targeting an eight-year period (2010–2017), with the aim of identifying: (a) emerging research directions, (b) the top-20 institutions, and (c) top-20 early stage, consolidated, and experienced scholars in the field of software engineering. To perform this goal, we performed a bibliometric study, by applying the mapping study technique on top-quality software engineering venues, and developed a dataset of 14,456 primary studies. As the ranking metric for institutions, we used the count of papers in which authors affiliated with this institute have been identified in the obtained dataset, whereas regarding scholars we computed the corresponding rankings based on the number of published papers and the average number of citations. Finally, we identified the top-20 rising scholars in the SE research community, based on their recent publication record (between 2015 and 2017) and their research age.</t>
  </si>
  <si>
    <t>Top institutions, Top scholars, Software engineering, Publications</t>
  </si>
  <si>
    <t>Android code smells: From introduction to refactoring</t>
  </si>
  <si>
    <t>https://www.sciencedirect.com/science/article/pii/S0164121221000613;http://dx.doi.org/10.1016/j.jss.2021.110964</t>
  </si>
  <si>
    <t>10.1016/j.jss.2021.110964</t>
  </si>
  <si>
    <t>Object-oriented code smells are well-known concepts in software engineering that refer to bad design and development practices commonly observed in software systems. With the emergence of mobile apps, new classes of code smells have been identified by the research community as mobile-specific code smells. These code smells are presented as symptoms of important performance issues or bottlenecks. Despite the multiple empirical studies about these new code smells, their diffuseness and evolution along change histories remains unclear. We present in this article a large-scale empirical study that inspects the introduction, evolution, and removal of Android code smells. This study relies on data extracted from 324 apps, a manual analysis of 561 smell-removing commits, and discussions with 25 Android developers. Our findings reveal that the high diffuseness of mobile-specific code smells is not a result of releasing pressure. We also found that the removal of these code smells is generally a side effect of maintenance activities as developers do not refactor smell instances even when they are aware of them.</t>
  </si>
  <si>
    <t>https://www.sciencedirect.com/science/article/pii/S016412122200190X;http://dx.doi.org/10.1016/j.jss.2022.111514</t>
  </si>
  <si>
    <t>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documention debt.</t>
  </si>
  <si>
    <t>Software quality, Self-admitted technical debt, Multi-classification, Text generation oversampling</t>
  </si>
  <si>
    <t>Gill SS,Xu M,Ottaviani C,Patros P,Bahsoon R,Shaghaghi A,Golec M,Stankovski V,Wu H,Abraham A,Singh M,Mehta H,Ghosh SK,Baker T,Parlikad AK,Lutfiyya H,Kanhere SS,Sakellariou R,Dustdar S,Rana O,Brandic I,Uhlig S</t>
  </si>
  <si>
    <t>AI for next generation computing: Emerging trends and future directions</t>
  </si>
  <si>
    <t>Internet of Things</t>
  </si>
  <si>
    <t>2542-6605</t>
  </si>
  <si>
    <t>https://www.sciencedirect.com/science/article/pii/S254266052200018X;http://dx.doi.org/10.1016/j.iot.2022.100514</t>
  </si>
  <si>
    <t>10.1016/j.iot.2022.100514</t>
  </si>
  <si>
    <t>Autonomic computing investigates how systems can achieve (user) specified “control” outcomes on their own, without the intervention of a human operator. Autonomic computing fundamentals have been substantially influenced by those of control theory for closed and open-loop systems. In practice, complex systems may exhibit a number of concurrent and inter-dependent control loops. Despite research into autonomic models for managing computer resources, ranging from individual resources (e.g., web servers) to a resource ensemble (e.g., multiple resources within a data centre), research into integrating Artificial Intelligence (AI) and Machine Learning (ML) to improve resource autonomy and performance at scale continues to be a fundamental challenge. The integration of AI/ML to achieve such autonomic and self-management of systems can be achieved at different levels of granularity, from full to human-in-the-loop automation. In this article, leading academics, researchers, practitioners, engineers, and scientists in the fields of cloud computing, AI/ML, and quantum computing join to discuss current research and potential future directions for these fields. Further, we discuss challenges and opportunities for leveraging AI and ML in next generation computing for emerging computing paradigms, including cloud, fog, edge, serverless and quantum computing environments.</t>
  </si>
  <si>
    <t>Next generation computing, Artificial intelligence, Cloud computing, Fog computing, Edge computing, Serverless computing, Quantum computing, Machine learning</t>
  </si>
  <si>
    <t>https://www.sciencedirect.com/science/article/pii/S0164121220302922;http://dx.doi.org/10.1016/j.jss.2020.110902</t>
  </si>
  <si>
    <t>The booming advances of cloud computing promote rapid growth of the number of cloud service Application Program Interfaces (APIs) published at the large-scale software cloud markets. Cloud service APIs recommendation remains a challenging issue for a composite cloud system construction, due to massively available candidate component cloud services with similar (or identical) functionalities in the cloud markets. As for a specific user, the probability distribution of the data indicating his/her preferences to the cloud service APIs may change with time, resulting in concept drifting preferences. To adapt users’ preference drifts and provide effective recommendation results to composite cloud system developers, we propose a concept drift-aware temporal cloud service APIs recommendation approach for composite cloud systems (or CD-APIR) in this paper. First, we track users temporal preferences through users’ behavior-aware information analysis. Second, we utilize Singular Value Decomposition (SVD) method to predict the missing values in the user–service matrices. Third, we identify the degree of users preference drifts by Jensen–Shannon (or JS) divergence. Finally, we recommend cloud service APIs by presenting a piecewise trading-off equation. Experimental evaluations conducted on WS-Dream dataset demonstrate that the CD-APIR approach can effectively improve the accuracy of cloud service APIs recommendation comparing with 7 representative approaches.</t>
  </si>
  <si>
    <t>Application Programming Interfaces (APIs), Cloud service recommendation, Preference drift, Temporal recommendation, User behavior, User preference</t>
  </si>
  <si>
    <t>https://www.sciencedirect.com/science/article/pii/S0164121221000339;http://dx.doi.org/10.1016/j.jss.2021.110936</t>
  </si>
  <si>
    <t>Context: An excessive number of code smells make a software system hard to evolve and maintain. Machine learning methods, in addition to metric-based and heuristic-based methods, have been recently applied to detect code smells; however, current methods are considered far from mature. Objective: First, explore the feasibility of applying deep learning models to detect smells without extensive feature engineering. Second, investigate the possibility of applying transfer-learning in the context of detecting code smells. Methods: We train smell detection models based on Convolution Neural Networks and Recurrent Neural Networks as their principal hidden layers along with autoencoder models. For the first objective, we perform training and evaluation on C# samples, whereas for the second objective, we train the models from C# code and evaluate the models over Java code samples and vice-versa. Results: We find it feasible to detect smells using deep learning methods though the models’ performance is smell-specific. Our experiments show that transfer-learning is definitely feasible for implementation smells with performance comparable to that of direct-learning. This work opens up a new paradigm to detect code smells by transfer-learning especially for the programming languages where the comprehensive code smell detection tools are not available.</t>
  </si>
  <si>
    <t>Code smells, Smell detection tools, Deep learning, Transfer-learning</t>
  </si>
  <si>
    <t>Daneva M,van der Veen E,Amrit C,Ghaisas S,Sikkel K,Kumar R,Ajmeri N,Ramteerthkar U,Wieringa R</t>
  </si>
  <si>
    <t>Agile requirements prioritization in large-scale outsourced system projects: An empirical study</t>
  </si>
  <si>
    <t>1333-1353</t>
  </si>
  <si>
    <t>https://www.sciencedirect.com/science/article/pii/S0164121212003536;http://dx.doi.org/10.1016/j.jss.2012.12.046</t>
  </si>
  <si>
    <t>10.1016/j.jss.2012.12.046</t>
  </si>
  <si>
    <t>The application of agile practices for requirements prioritization in distributed and outsourced projects is a relatively recent trend. Hence, not all of its facets are well-understood. This exploratory study sets out to uncover the concepts that practitioners in a large software organization use in the prioritization process and the practices that they deem good. We seek to provide a rich analysis and a deep understanding of three cases in an exploratory study that was carried out in a large and mature company, widely recognized for its excellence and its engagement in outsourced software development. We used in-depth interviews for data collection and grounded theory techniques for data analysis. Our exploration efforts yielded the following findings: (i) understanding requirements dependencies is of paramount importance for the successful deployment of agile approaches in large outsourced projects. (ii) Next to business value, the most important prioritization criterion in the setting of outsourced large agile projects is risk. (iii) The software organization has developed a new artefact that seems to be a worthwhile contribution to agile software development in the large: ‘delivery stories’, which complement user stories with technical implications, effort estimation and associated risk. The delivery stories play a pivotal role in requirements prioritization. (iv) The vendor's domain knowledge is a key asset for setting up successful client-developer collaboration. (v) The use of agile prioritization practices depends on the type of project outsourcing arrangement. Our findings contribute to the empirical software engineering literature by bringing a rich analysis of cases in agile and distributed contexts, from a vendor's perspective. We also discuss the possible implications of the results for research and in practice.</t>
  </si>
  <si>
    <t>Agile requirements engineering, Requirements prioritization, Outsourced software development, Requirements dependencies, Large projects, Distributed project management Qualitative research, Case study</t>
  </si>
  <si>
    <t>Tahir A,Dietrich J,Counsell S,Licorish S,Yamashita A</t>
  </si>
  <si>
    <t>A large scale study on how developers discuss code smells and anti-pattern in Stack Exchange sites</t>
  </si>
  <si>
    <t>https://www.sciencedirect.com/science/article/pii/S0950584920300926;http://dx.doi.org/10.1016/j.infsof.2020.106333</t>
  </si>
  <si>
    <t>10.1016/j.infsof.2020.106333</t>
  </si>
  <si>
    <t>Context: In this paper, we investigate how developers discuss code smells and anti-patterns across three technical Stack Exchange sites. Understanding developers perceptions of these issues is important to inform and align future research efforts and direct tools vendors to design tailored tools that best suit developers. Method: we mined three Stack Exchange sites and used quantitative and qualitative methods to analyse more than 4000 posts that discuss code smells and anti-patterns.Results: results showed that developers often asked their peers to smell their code, thus utilising those sites as an informal, crowd-based code smell/anti-pattern detector. The majority of questions (556) asked were focused on smells like Duplicated Code, Spaghetti Code, God and Data Classes. In terms of languages, most of discussions centred around popular languages such as C# (772 posts), JavaScript (720) and Java (699), however greater support is available for Java compared to other languages (especially modern languages such as Swift and Kotlin). We also found that developers often discuss the downsides of implementing specific design patterns and ‘flag’ them as potential anti-patterns to be avoided. Some well-defined smells and anti-patterns are discussed as potentially being acceptable practice in certain scenarios. In general, developers actively seek to consider trade-offs to decide whether to use a design pattern, an anti-pattern or not.Conclusion: our results suggest that there is a need for: 1) more context and domain sensitive evaluations of code smells and anti-patterns, 2) better guidelines for making trade-offs when applying design patterns or eliminating smells/anti-patterns in industry, and 3) a unified, constantly updated, catalog of smells and anti-patterns. We conjecture that the crowd-based detection approach considers contextual factors and thus tend to be more trusted by developers than automated detection tools.</t>
  </si>
  <si>
    <t>Code smells, Anti-patterns, Mining software repositories, Stack exchange</t>
  </si>
  <si>
    <t>Zeb A,Kortelainen J,Rantala T,Saunila M,Ukko J</t>
  </si>
  <si>
    <t>On the alleviation of imminent technical and business challenges of long-lasting functional digital twins</t>
  </si>
  <si>
    <t>Computers in Industry</t>
  </si>
  <si>
    <t>0166-3615</t>
  </si>
  <si>
    <t>https://www.sciencedirect.com/science/article/pii/S0166361522000987;http://dx.doi.org/10.1016/j.compind.2022.103701</t>
  </si>
  <si>
    <t>10.1016/j.compind.2022.103701</t>
  </si>
  <si>
    <t>In this article, we discuss the technical and business risks associated with long-lasting functional digital twins, and describe different strategies for their alleviation. Functional digital twins are based on physics-based simulation models and are operated alongside the life cycle of their physical counterparts. These simulation-based digital twins are built using a simulation software. The problems with most of the commercial modeling and simulation tools are their black box nature and storing data in protective formats, leading to poor interoperability. Since the digital twins of certain assets need to be operated for a long period, even for several decades, there is a possibility that the computing infrastructure, i.e., the computing hardware and software, may not remain the same throughout the product or system life cycle. The computer hardware and operating systems are usually third-party components with limited choices for their users, whereas the selection of simulation tools is more flexible and the designer can choose from, for example, commercial, open-source, or in-house solutions. To avoid substantial costs or business disruption, the digital twin providers must be able to reproduce the underlying simulation models with up-to-date tools and adopt alternative solutions whenever needed. The findings of the study are presented in the form of propositions throughout the article.</t>
  </si>
  <si>
    <t>Business risk, Data model, Digital twin, File format, Modeling, Simulation, Standard</t>
  </si>
  <si>
    <t>Wong WE,Mittas N,Arvanitou EM,Li Y</t>
  </si>
  <si>
    <t>A bibliometric assessment of software engineering themes, scholars and institutions (2013–2020)</t>
  </si>
  <si>
    <t>https://www.sciencedirect.com/science/article/pii/S0164121221001266;http://dx.doi.org/10.1016/j.jss.2021.111029</t>
  </si>
  <si>
    <t>10.1016/j.jss.2021.111029</t>
  </si>
  <si>
    <t>This paper is the updated version (2013–2020) of the series of papers on emerging themes, top scholars and institutes on software engineering (SE), published by the Journal of Systems and Software for almost 25 years. The paper reports the findings of a bibliometric study by applying the systematic mapping technique on top-quality software engineering venues (handling a dataset of 11.668 studies). The design of the study remains the same for the complete decade, so that the results are consistent and comparable: As the ranking metric for institutions, we used the count of papers in which authors affiliated with the corresponding institute have been identified in the obtained dataset. Regarding scholars we computed the corresponding rankings based on the number of published papers and the average number of citations. In this version, the analysis of emerging trends and themes has been promoted compared to the previous years to provide more insights on what a newcomer in the software engineering domain should look at, as well as to recap the state-of-research in terms of themes to more experienced SE researchers.</t>
  </si>
  <si>
    <t>Bibliometrics, Top-scholars, Top-institutions, Software engineering research areas</t>
  </si>
  <si>
    <t>Gavidia-Calderon C,Sarro F,Harman M,Barr ET</t>
  </si>
  <si>
    <t>Game-theoretic analysis of development practices: Challenges and opportunities</t>
  </si>
  <si>
    <t>https://www.sciencedirect.com/science/article/pii/S0164121219301980;http://dx.doi.org/10.1016/j.jss.2019.110424</t>
  </si>
  <si>
    <t>10.1016/j.jss.2019.110424</t>
  </si>
  <si>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singlecode reviewer who needs to catch only 25% of kludges. This 25% accuracy is key; it means that a reviewer does not need to examine each commit in depth, making this process intervention cost-effective.</t>
  </si>
  <si>
    <t>Game theory, Empirical analysis, Technical debt, Software engineering practices</t>
  </si>
  <si>
    <t>Procedia Computer Science</t>
  </si>
  <si>
    <t>3391-3402</t>
  </si>
  <si>
    <t>https://www.sciencedirect.com/science/article/pii/S1877050921018512;http://dx.doi.org/10.1016/j.procs.2021.09.112</t>
  </si>
  <si>
    <t>The article presents the results of the study, which is a fragment of the work carried out under the project entitled “Hybrid system for intelligent diagnostics of prognostic models”, co-financed through the National Centre for Research and Development from the European Regional Development Fund. They concerned the analysis of the phenomenon of dataset shift, also known as the shift of variable distributions. It is important to answer the question: has the distribution of current data for the implemented forecasting model changed significantly compared to the distribution of data used to develop it? If so, it could lead to incorrect operation. In the context of assessing and monitoring the stability of variable distributions of predictive models, the aim of the study was to compare the properties of two indicators, the Population Stability Index (PSI) and Population Accuracy Index (PAI). These measures were calculated for 78 controlled shifts of the distribution of the 3 explanatory variables of the hypothetical prognostic model. The research procedure was carried out in 2 scenarios. The first involved a comparison of PSI and PAI for the distributions of categorical variables. In scenario 2, an answer was sought to the question whether discretization of variables significantly influenced the assessment of the stability of their distributions using PSI compared to PAI, which does not require such a procedure? The results of the research proved that both indicators complement each other well, and when used together to assess the stability of the model’s variable distributions, they compensate each other’s shortcomings. PSI and PAI measure subtly different concepts of stability – PSI measures any change in the distribution of explanatory variables, and PAI only measures how this change affects the prognostic accuracy of the model – therefore they should be treated as complementary measures.</t>
  </si>
  <si>
    <t>Dataset shift, Population Stability Index (PSI), Population Accuracy Index (PAI), monitoring of predictive model</t>
  </si>
  <si>
    <t>Knowledge-Based and Intelligent Information &amp; Engineering Systems: Proceedings of the 25th International Conference KES2021</t>
  </si>
  <si>
    <t>Palopak Y,Huang SJ,Ratnasari W</t>
  </si>
  <si>
    <t>Knowledge diffusion trajectories of agile software development research: A main path analysis</t>
  </si>
  <si>
    <t>https://www.sciencedirect.com/science/article/pii/S0950584922002403;http://dx.doi.org/10.1016/j.infsof.2022.107131</t>
  </si>
  <si>
    <t>10.1016/j.infsof.2022.107131</t>
  </si>
  <si>
    <t>Context The dramatic growth of agile software development (ASD) research has resulted in a large number of diverse theoretical and empirical publications. The citation relationships among these publications indicate knowledge dissemination across and within academia or scientists. Objective This study offers a comprehensive understanding of the ASD literature by exploring the knowledge diffusion path through the citation network of publications that have made significant contributions to its research development. Method We employ a quantitative citation-based methodology, main path analysis (MPA), to examine the citation relationship of 1431 scientific articles published in the Web of Science (WoS) between 2001 and 2021 and visualize the MPA results using Pajek software. Results Through citation analysis this study discovers knowledge diffusion trajectories of publications concerning ASD method. Our key results present 32 publications identified along the key-route main path as the most influential ones in the trajectories of ASD. There are three phases of ASD research development: introduction, evaluation, and deployment and expansion. Using the multiple-global main path, we further uncover the publication trends from a set of recent papers and reveal four sub-themes: tailoring of agile practices, large-scale agile context, challenges and success factors of large-scale organizations, and agile global software development. Conclusions Although there was little academic interest in the initial phase, ASD-related publication and citation trends have consistently increased over time. The historical development of ASD methods was established in three distinct phases of publications in the domain. Each phase presents a narrative of agile methods’ development with different focuses. The most recent trends of ASD publications tend to focus on the agile tailoring and scaling process in the global and distributed environment.</t>
  </si>
  <si>
    <t>Agile software development, Agile methods, Main path analysis, Citation analysis, Key-route analysis, Knowledge diffusion</t>
  </si>
  <si>
    <t>Sobhy D,Minku L,Bahsoon R,Chen T,Kazman R</t>
  </si>
  <si>
    <t>Run-time evaluation of architectures: A case study of diversification in IoT</t>
  </si>
  <si>
    <t>https://www.sciencedirect.com/science/article/pii/S016412121930202X;http://dx.doi.org/10.1016/j.jss.2019.110428</t>
  </si>
  <si>
    <t>10.1016/j.jss.2019.110428</t>
  </si>
  <si>
    <t>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t>
  </si>
  <si>
    <t>Run-time architecture evaluation, Runtime architecture evaluation, Software architectures for dynamic environments, Internet of things, IoT, Design diversity</t>
  </si>
  <si>
    <t>Biesialska K,Franch X,Muntés-Mulero V</t>
  </si>
  <si>
    <t>Big Data analytics in Agile software development: A systematic mapping study</t>
  </si>
  <si>
    <t>https://www.sciencedirect.com/science/article/pii/S0950584920301981;http://dx.doi.org/10.1016/j.infsof.2020.106448</t>
  </si>
  <si>
    <t>10.1016/j.infsof.2020.106448</t>
  </si>
  <si>
    <t>Context: Over the last decade, Agile methods have changed the software development process in an unparalleled way and with the increasing popularity of Big Data, optimizing development cycles through data analytics is becoming a commodity. Objective: Although a myriad of research exists on software analytics as well as on Agile software development (ASD) practice on itself, there exists no systematic overview of the research done on ASD from a data analytics perspective. Therefore, the objective of this work is to make progress by linking ASD with Big Data analytics (BDA). Method: As the primary method to find relevant literature on the topic, we performed manual search and snowballing on papers published between 2011 and 2019. Results: In total, 88 primary studies were selected and analyzed. Our results show that BDA is employed throughout the whole ASD lifecycle. The results reveal that data-driven software development is focused on the following areas: code repository analytics, defects/bug fixing, testing, project management analytics, and application usage analytics. Conclusions: As BDA and ASD are fast-developing areas, improving the productivity of software development teams is one of the most important objectives BDA is facing in the industry. This study provides scholars with information about the state of software analytics research and the current trends as well as applications in the business environment. Whereas, thanks to this literature review, practitioners should be able to understand better how to obtain actionable insights from their software artifacts and on which aspects of data analytics to focus when investing in such initiatives.</t>
  </si>
  <si>
    <t>Agile software development, Software analytics, Data analytics, Machine learning, Artificial intelligence, Literature review</t>
  </si>
  <si>
    <t>Abbad-Andaloussi A</t>
  </si>
  <si>
    <t>On the relationship between source-code metrics and cognitive load: A Systematic Tertiary Review</t>
  </si>
  <si>
    <t>https://www.sciencedirect.com/science/article/pii/S0164121223000146;http://dx.doi.org/10.1016/j.jss.2023.111619</t>
  </si>
  <si>
    <t>10.1016/j.jss.2023.111619</t>
  </si>
  <si>
    <t>The difficulty of software development tasks depends on several factors including the characteristics of the underlying source-code. These characteristics can be captured and measured using source-code metrics, which, in turn, can provide indications about the difficulty of the source-code. From a cognitive perspective, this difficulty is due to an increase in developers’ cognitive load, which can be estimated using psycho-physiological measures. Based on these measures, a handful of studies investigated the relationship between source-code metrics and cognitive load. For most of the metrics, such a relationship could not be established. While these studies used a small subset of metrics, the literature comprises hundreds of other metrics, which regardless of the existing reviews surveying them, a consolidated overview is still needed to understand their properties and leverage their potential to align with cognitive load. This need is addressed in this paper through a Systematic Tertiary Review (STR) covering the full spectrum of source-code metrics, studying their properties and investigating their potential relationship to cognitive load. The outcome of this STR is intended to guide practitioners in choosing appropriate metrics, set the grounds for conceptualizing the relationship between source-code metrics and cognitive load and raise new research challenges for the future.</t>
  </si>
  <si>
    <t>Source-code metrics, Software quality, Source-code readability, Cognitive load</t>
  </si>
  <si>
    <t>https://www.sciencedirect.com/science/article/pii/S0164121222001649;http://dx.doi.org/10.1016/j.jss.2022.111481</t>
  </si>
  <si>
    <t>Technical debt is a widely used metaphor to summarize all the consequences of poorly written code. Managing technical debt is important for software developers to allow adequate planning for software maintenance and improvement activities, such as refactoring and preventing system degradation. Several studies in the literature investigate the identification of technical debt and its consequences. This work aims to explore a deep learning approach to just-in-time predict the impact on technical debt when changes are performed on the source code. In this way the developer can work better, trying to improve the quality of the code that is being modified. Knowing what the TD trend will be in just-in-time source code with the change made is the key to avoiding a project taking a long time to remediate or improve. The model exploits the knowledge of quality and ad-hoc process metrics evolution over time. To validate the approach, a large dataset, including metrics evaluated from commits of ten Java software projects, was built. The results obtained show the effectiveness of the proposed approach in predicting the Technical Debt accumulation within the source code.</t>
  </si>
  <si>
    <t>Technical debt, Technical debt forecasting, Process metrics, Software quality metrics, Deep learning, Temporal convolutional network</t>
  </si>
  <si>
    <t>Haoues M,Sellami A,Ben-Abdallah H</t>
  </si>
  <si>
    <t>Towards functional change decision support based on COSMIC FSM method</t>
  </si>
  <si>
    <t>78-91</t>
  </si>
  <si>
    <t>https://www.sciencedirect.com/science/article/pii/S0950584919300321;http://dx.doi.org/10.1016/j.infsof.2019.02.004</t>
  </si>
  <si>
    <t>10.1016/j.infsof.2019.02.004</t>
  </si>
  <si>
    <t>Context: Managing requirements change is a central issue in the software development industry. In fact, inappropriate decisions about a change request may jeopardize the project development progress by going over budget/time or delivering a software with functional requirements that do not fully meet the user’s needs. Hence, a change decision support is required for the success of the software development. Objective: This paper has a three-fold objective: (i) explore the applicability of the ISO standard COSMIC FSM method to evaluate a change request; (ii) investigate the use of estimation models to predict the effort required to handle a functional change and its impact on the initially estimated software development effort; and (iii) propose a decision support method that offers the appropriate information for the change advisory board members to decide whether to accept, deny or defer a functional change request. Method: To guide the decision on a change request, the method proposed in this paper accounts for the most important factors when evaluating a change request, namely the functional change status, the preference of the change requester, and the effort required to handle the change. The functional change status is identified based on the sensitivity of the changed functionality and the functional size of the functional change. The functional change effort can be estimated using several ways including the COCOMO II model, the Simple Linear Regression Model and expert judgment. Furthermore, this paper proposes a prototype to determine automatically the functional change status and offers pertinent information that the change advisory board can use to determine how to handle a change request. The use of the decision support method and tool is illustrated through three case studies. Results: A decision support method to help decision-makers respond to a functional change request is provided. This method takes into account the functional change status, the preference of the change requester and the functional change effort. The empirical evaluation of the proposed method is illustrated through three case studies. The role of experiments here is primarily to provide a proof-of-concept rather than an exhaustive evaluation. Conclusion: Using COSMIC FSM method, it is possible to identify functional changes leading to a potential impact on the software development progress. Based on the evaluation of the functional change, the change advisory board members can make judicious decisions about whether to accept, defer or deny a functional change request.</t>
  </si>
  <si>
    <t>Use cases, COSMIC, Functional size measurement, Requirements management, Change status, Empirical requirements engineering, COCOMO II</t>
  </si>
  <si>
    <t>Capilla R,Staron M</t>
  </si>
  <si>
    <t>Software engineering and advanced applications conference 2019 – selected papers</t>
  </si>
  <si>
    <t>https://www.sciencedirect.com/science/article/pii/S0950584920301920;http://dx.doi.org/10.1016/j.infsof.2020.106439</t>
  </si>
  <si>
    <t>10.1016/j.infsof.2020.106439</t>
  </si>
  <si>
    <t>Software Engineering and Advanced Applications (SEAA) is a long-standing international forum for researchers, practitioners, and students to present and discuss the latest innovations, trends, experiences, and concerns in the field of Software Engineering and Advanced Applications in information technology for software-intensive systems. In this special issue, we present a selection of papers which show the current trends in software engineering – improved systematic reviews, deep learning and cloud computing.</t>
  </si>
  <si>
    <t>Lomio F,Iannone E,De Lucia A,Palomba F,Lenarduzzi V</t>
  </si>
  <si>
    <t>Just-in-time software vulnerability detection: Are we there yet?</t>
  </si>
  <si>
    <t>https://www.sciencedirect.com/science/article/pii/S0164121222000437;http://dx.doi.org/10.1016/j.jss.2022.111283</t>
  </si>
  <si>
    <t>10.1016/j.jss.2022.111283</t>
  </si>
  <si>
    <t>Background: Software vulnerabilities are weaknesses in source code that might be exploited to cause harm or loss. Previous work has proposed a number of automated machine learning approaches to detect them. Most of these techniques work at release-level, meaning that they aim at predicting the files that will potentially be vulnerable in a future release. Yet, researchers have shown that a commit-level identification of source code issues might better fit the developer’s needs, speeding up their resolution. Objective: To investigate how currently available machine learning-based vulnerability detection mechanisms can support developers in the detection of vulnerabilities at commit-level. Method: We perform an empirical study where we consider nine projects accounting for 8991 commits and experiment with eight machine learners built using process, product, and textual metrics. Results: We point out three main findings: (1) basic machine learners rarely perform well; (2) the use of ensemble machine learning algorithms based on boosting can substantially improve the performance; and (3) the combination of more metrics does not necessarily improve the classification capabilities. Conclusion: Further research should focus on just-in-time vulnerability detection, especially with respect to the introduction of smart approaches for feature selection and training strategies.</t>
  </si>
  <si>
    <t>Software vulnerabilities, Machine learning, Empirical SE</t>
  </si>
  <si>
    <t>Palma F,Olsson T,Wingkvist A,Gonzalez-Huerta J</t>
  </si>
  <si>
    <t>Assessing the linguistic quality of REST APIs for IoT applications</t>
  </si>
  <si>
    <t>https://www.sciencedirect.com/science/article/pii/S0164121222000954;http://dx.doi.org/10.1016/j.jss.2022.111369</t>
  </si>
  <si>
    <t>10.1016/j.jss.2022.111369</t>
  </si>
  <si>
    <t>Internet of Things (IoT) is a growing technology that relies on connected ‘things’ that gather data from peer devices and send data to servers via APIs (Application Programming Interfaces). The design quality of those APIs has a direct impact on their understandability and reusability. This study focuses on the linguistic design quality of REST APIs for IoT applications and assesses their linguistic quality by performing the detection of linguistic patterns and antipatterns in REST APIs for IoT applications. Linguistic antipatterns are considered poor practices in the naming, documentation, and choice of identifiers. In contrast, linguistic patterns represent best practices to APIs design. The linguistic patterns and their corresponding antipatterns are hence contrasting pairs. We propose the SARAv2 (Semantic Analysis of REST APIs version two) approach to perform syntactic and semantic analyses of REST APIs for IoT applications. Based on the SARAv2 approach, we develop the REST-Ling tool and empirically validate the detection results of nine linguistic antipatterns. We analyse 19 REST APIs for IoT applications. Our detection results show that the linguistic antipatterns are prevalent and the REST-Ling tool can detect linguistic patterns and antipatterns in REST APIs for IoT applications with an average accuracy of over 80%. Moreover, the tool performs the detection of linguistic antipatterns on average in the order of seconds, i.e., 8.396 s. We found that APIs generally follow good linguistic practices, although the prevalence of poor practices exists.</t>
  </si>
  <si>
    <t>REST APIs, IoT applications, Linguistic quality, Pattern, Antipattern, Detection</t>
  </si>
  <si>
    <t>Wimalasooriya C,Licorish SA,da Costa DA,MacDonell SG</t>
  </si>
  <si>
    <t>A systematic mapping study addressing the reliability of mobile applications: The need to move beyond testing reliability</t>
  </si>
  <si>
    <t>https://www.sciencedirect.com/science/article/pii/S016412122100251X;http://dx.doi.org/10.1016/j.jss.2021.111166</t>
  </si>
  <si>
    <t>10.1016/j.jss.2021.111166</t>
  </si>
  <si>
    <t>Intense competition in the mobile apps market means it is important to maintain high levels of app reliability to avoid losing users. Yet despite its importance, app reliability is underexplored in the research literature. To address this need, we identify, analyse, and classify the state-of-the-art in the field of mobile apps’ reliability through a systematic mapping study. From the results of such a study, researchers in the field can identify pressing research gaps, and developers can gain knowledge about existing solutions, to potentially leverage them in practice. We found 87 relevant papers which were then analysed and classified based on their research focus, research type, contribution, research method, study settings, data, quality attributes and metrics used. Results indicate that there is a lack of research on understanding reliability with regard to context-awareness, self-healing, ageing and rejuvenation, and runtime event handling. These aspects have rarely been studied, or if studied, there is limited evaluation. We also identified several other research gaps including the need to conduct more research in real-world industrial projects. Furthermore, little attention has been paid towards quality standards while conducting research. Outcomes here show numerous opportunities for greater research depth and breadth on mobile app reliability.</t>
  </si>
  <si>
    <t>Mapping study, Software reliability, Mobile app reliability, Evidence-based software engineering</t>
  </si>
  <si>
    <t>https://www.sciencedirect.com/science/article/pii/S0164121222000036;http://dx.doi.org/10.1016/j.jss.2022.111219</t>
  </si>
  <si>
    <t>Self-admitted technical debt (SATD) refers to a specific type of technical debt that is introduced intentionally in the software development and maintenance processes. SATD enables practitioners to take some temporary solutions instead of making comprehensive decisions, which will lead to the high complexity of the software. However, most existing studies relied on manual methods for detecting SATDs. A recent study proposed a method HATD that used a hybrid attention-based method to automatically detect SATDs and it achieved the state-of-the-art performance. However, HATD mainly focused on the locality of the comment instances and lacked of the relationship between long-distance and discontinuous comment instances. To address such an issue, in this work, we propose a novel approach named GGSATD. Specifically, GGSATD first builds the graph for comment instances and then employs the gated graph neural network to iteratively update node representation. The global representation can be obtained by the soft attention mechanism and pooling operation. Experiments on 10 projects show that our GGSATD method obtains promising performance against five baseline methods in both within-project and cross-project scenarios. Extended experiments on seven real-world projects illustrate the effectiveness of our GGSATD method.</t>
  </si>
  <si>
    <t>Technical debt, Self-admitted technical debt, Gated graph neural network, Attention mechanism</t>
  </si>
  <si>
    <t>Catolino G,Palomba F,Zaidman A,Ferrucci F</t>
  </si>
  <si>
    <t>Not all bugs are the same: Understanding, characterizing, and classifying bug types</t>
  </si>
  <si>
    <t>165-181</t>
  </si>
  <si>
    <t>https://www.sciencedirect.com/science/article/pii/S0164121219300536;http://dx.doi.org/10.1016/j.jss.2019.03.002</t>
  </si>
  <si>
    <t>10.1016/j.jss.2019.03.002</t>
  </si>
  <si>
    <t>Modern version control systems, e.g., GitHub, include bug tracking mechanisms that developers can use to highlight the presence of bugs. This is done by means of bug reports, i.e., textual descriptions reporting the problem and the steps that led to a failure. In past and recent years, the research community deeply investigated methods for easing bug triage, that is, the process of assigning the fixing of a reported bug to the most qualified developer. Nevertheless, only a few studies have reported on how to support developers in the process of understanding the type of a reported bug, which is the first and most time-consuming step to perform before assigning a bug-fix operation. In this paper, we target this problem in two ways: first, we analyze 1280 bug reports of 119 popular projects belonging to three ecosystems such as Mozilla, Apache, and Eclipse, with the aim of building a taxonomy of the types of reported bugs; then, we devise and evaluate an automated classification model able to classify reported bugs according to the defined taxonomy. As a result, we found nine main common bug types over the considered systems. Moreover, our model achieves high F-Measure and AUC-ROC (64% and 74% on overall, respectively).</t>
  </si>
  <si>
    <t>Bug classification, Taxonomy, Empirical study</t>
  </si>
  <si>
    <t>Ahmadi H,Ashtiani M,Azgomi MA,Saheb-Nassagh R</t>
  </si>
  <si>
    <t>A DQN-based agent for automatic software refactoring</t>
  </si>
  <si>
    <t>https://www.sciencedirect.com/science/article/pii/S0950584922000556;http://dx.doi.org/10.1016/j.infsof.2022.106893</t>
  </si>
  <si>
    <t>10.1016/j.infsof.2022.106893</t>
  </si>
  <si>
    <t>Context Nowadays, technical debt has become a very important issue in software project management. The main mechanism to repay this debt is through refactoring. Refactoring software projects usually comes at a high cost. As a result, researchers have always looked for ways to minimize this cost, and a good potential candidate to reduce the cost of a process is to automate it. Objective One of the automatic software refactoring methods that recently has received a lot of attention is based on search-based software engineering (SBSE) methods. Although because of comprehensiveness and versatility SBSE is considered an appropriate method for automatic refactoring, it has its downsides, the most important of which are the uncertainty of the results and the exponential execution time. Method In this research, a solution is proposed inspired by search-based refactoring while taking advantage of exploitation in reinforcement learning techniques. This work aims to solve the uncertainty problems and execution time for large programs. In the proposed approach, the problem of uncertainty is solved by targeting the selection of refactoring actions used in the search-based approach. Also, due to the reduction of the dependency between the choice of the appropriate refactoring and its execution time, the time problem in large software refactoring has been greatly improved. Results Amongst the performed evaluations and specifically for the refactoring of the largest case study, the proposed approach managed to increase the accuracy to more than twice of the SBSE refactoring approaches, while reducing the execution time of refactoring by more than 98%. Conclusion The results of the tests show that with increasing the volume and size of the software, the performance of the proposed approach also improves compared to the methods based on SBSE, both in terms of reducing technical debt and speeding up the refactoring process.</t>
  </si>
  <si>
    <t>Software refactoring, Design patterns, Technical debt, Software metrics, Reinforcement learning</t>
  </si>
  <si>
    <t>Fucci D,Alégroth E,Axelsson T</t>
  </si>
  <si>
    <t>When traceability goes awry: An industrial experience report</t>
  </si>
  <si>
    <t>https://www.sciencedirect.com/science/article/pii/S0164121222001091;http://dx.doi.org/10.1016/j.jss.2022.111389</t>
  </si>
  <si>
    <t>10.1016/j.jss.2022.111389</t>
  </si>
  <si>
    <t>The concept of traceability between artifacts is considered an enabler for software project success. This concept has received plenty of attention from the research community and is by many perceived to always be available in an industrial setting. In this industry-academia collaborative project, a team of researchers, supported by testing practitioners from a large telecommunication company, sought to investigate the partner company’s issues related to software quality. However, it was soon identified that the fundamental traceability links between requirements and test cases were missing. This lack of traceability impeded the implementation of a solution to help the company deal with its quality issues. In this experience report, we discuss lessons learned about the practical value of creating and maintaining traceability links in complex industrial settings and provide a cautionary tale for researchers.</t>
  </si>
  <si>
    <t>Industry-academia collaboration, Traceability, Software quality</t>
  </si>
  <si>
    <t>Rauh L,Gärtner S,Brandt D,Oberle M,Stock D,Bauernhansl T</t>
  </si>
  <si>
    <t>Towards AI Lifecycle Management in Manufacturing Using the Asset Administration Shell (AAS)</t>
  </si>
  <si>
    <t>576-581</t>
  </si>
  <si>
    <t>https://www.sciencedirect.com/science/article/pii/S2212827122003122;http://dx.doi.org/10.1016/j.procir.2022.05.028</t>
  </si>
  <si>
    <t>10.1016/j.procir.2022.05.028</t>
  </si>
  <si>
    <t>Driven by the digital transformation, manufacturing companies face the challenge of managing, but more importantly, enabling rapid operationalization of AI to achieve the full advantage of the exponential data growth. Heterogeneous data structures, the continuously growing variety of implementation frameworks, and the lack of standards for the semantic description of AI solution components, the effort required to manage and share datasets and models between stakeholders impedes efficient and reproducible progression. This paper addresses the current challenges in industrial AI applications currently hindering their acceptance and widespread adoption in manufacturing. Based on an overview of the AI application lifecycle, we present our approach for AI asset meta-data management utilizing the technical concept of the Asset Administration Shell (AAS). Following the definition of the AAS as a reference implementation of the digital twin that provides a digital representation of physical assets and their properties, we propose an AAS for AI assets. The AI AAS maps relevant properties of an AI model together with properties of the corresponding dataset and learning algorithm in order to integrate the AI lifecycle in the Industry4.0 ecosphere.</t>
  </si>
  <si>
    <t>AI Lifecycle, AI Asset, Industry 4.0, Digital Twin, Asset Administration Shell</t>
  </si>
  <si>
    <t>Leading manufacturing systems transformation – Proceedings of the 55th CIRP Conference on Manufacturing Systems 2022</t>
  </si>
  <si>
    <t>Bener A,Turhan B,Tosun A,Caglayan B,Kocaguneli E</t>
  </si>
  <si>
    <t>Menzies T,Williams L,Zimmermann T</t>
  </si>
  <si>
    <t>A success story in applying data science in practice</t>
  </si>
  <si>
    <t>85-90</t>
  </si>
  <si>
    <t>Morgan Kaufmann</t>
  </si>
  <si>
    <t>Boston</t>
  </si>
  <si>
    <t>Perspectives on Data Science for Software Engineering</t>
  </si>
  <si>
    <t>https://www.sciencedirect.com/science/article/pii/B9780128042069000179;http://dx.doi.org/10.1016/B978-0-12-804206-9.00017-9</t>
  </si>
  <si>
    <t>10.1016/B978-0-12-804206-9.00017-9</t>
  </si>
  <si>
    <t>In software engineering, the primary objective is delivering high-quality systems within budget and time constraints. Managers struggle to make many decisions under a lot of uncertainty. They would like to be confident in the product, team, and the processes. Therefore, the need for evidence-based decision making, a.k.a. data science and analysis, has been growing in the software development industry as data becomes available. Data science involves analytics for using data to understand the past and present, to analyze past performance, and for using optimization and/or prediction techniques.</t>
  </si>
  <si>
    <t>Data science, Learning-based predictive models, Measurement and data extraction tool, Confidence factor modeling, Data collection, Model selection, Problem selection, Tool support</t>
  </si>
  <si>
    <t>https://www.sciencedirect.com/science/article/pii/S0950584920301373;http://dx.doi.org/10.1016/j.infsof.2020.106368</t>
  </si>
  <si>
    <t>Background: Developing and maintaining large scale machine learning (ML) based software systems in an industrial setting is challenging. There are no well-established development guidelines, but the literature contains reports on how companies develop and maintain deployed ML-based software systems. Objective: This study aims to survey the literature related to development and maintenance of large scale ML-based systems in industrial settings in order to provide a synthesis of the challenges that practitioners face. In addition, we identify solutions used to address some of these challenges. Method: A systematic literature review was conducted and we identified 72 papers related to development and maintenance of large scale ML-based software systems in industrial settings. The selected articles were qualitatively analyzed by extracting challenges and solutions. The challenges and solutions were thematically synthesized into four quality attributes: adaptability, scalability, safety and privacy. The analysis was done in relation to ML workflow, i.e. data acquisition, training, evaluation, and deployment. Results: We identified a total of 23 challenges and 8 solutions related to development and maintenance of large scale ML-based software systems in industrial settings including six different domains. Challenges were most often reported in relation to adaptability and scalability. Safety and privacy challenges had the least reported solutions. Conclusion: The development and maintenance on large-scale ML-based systems in industrial settings introduce new challenges specific for ML, and for the known challenges characteristic for these types of systems, require new methods in overcoming the challenges. The identified challenges highlight important concerns in ML system development practice and the lack of solutions point to directions for future research.</t>
  </si>
  <si>
    <t>Machine learning systems, Software engineering, Industrial settings, Challenges, Solutions, SLR</t>
  </si>
  <si>
    <t>115-138</t>
  </si>
  <si>
    <t>https://www.sciencedirect.com/science/article/pii/S0950584918302623;http://dx.doi.org/10.1016/j.infsof.2018.12.009</t>
  </si>
  <si>
    <t>Background: Code smells indicate suboptimal design or implementation choices in the source code that often lead it to be more change- and fault-prone. Researchers defined dozens of code smell detectors, which exploit different sources of information to support developers when diagnosing design flaws. Despite their good accuracy, previous work pointed out three important limitations that might preclude the use of code smell detectors in practice: (i) subjectiveness of developers with respect to code smells detected by such tools, (ii) scarce agreement between different detectors, and (iii) difficulties in finding good thresholds to be used for detection. To overcome these limitations, the use of machine learning techniques represents an ever increasing research area. Objective: While the research community carefully studied the methodologies applied by researchers when defining heuristic-based code smell detectors, there is still a noticeable lack of knowledge on how machine learning approaches have been adopted for code smell detection and whether there are points of improvement to allow a better detection of code smells. Our goal is to provide an overview and discuss the usage of machine learning approaches in the field of code smells. Method: This paper presents a Systematic Literature Review (SLR) on Machine Learning Techniques for Code Smell Detection. Our work considers papers published between 2000 and 2017. Starting from an initial set of 2456 papers, we found that 15 of them actually adopted machine learning approaches. We studied them under four different perspectives: (i) code smells considered, (ii) setup of machine learning approaches, (iii) design of the evaluation strategies, and (iv) a meta-analysis on the performance achieved by the models proposed so far. Results: The analyses performed show that God Class, Long Method, Functional Decomposition, and Spaghetti Code have been heavily considered in the literature. Decision Trees and Support Vector Machines are the most commonly used machine learning algorithms for code smell detection. Models based on a large set of independent variables have performed well. JRip and Random Forest are the most effective classifiers in terms of performance. The analyses also reveal the existence of several open issues and challenges that the research community should focus on in the future. Conclusion: Based on our findings, we argue that there is still room for the improvement of machine learning techniques in the context of code smell detection. The open issues emerged in this study can represent the input for researchers interested in developing more powerful techniques.</t>
  </si>
  <si>
    <t>Code smells, Machine learning, Systematic literature review</t>
  </si>
  <si>
    <t>18-35</t>
  </si>
  <si>
    <t>https://www.sciencedirect.com/science/article/pii/S0167739X22003223;http://dx.doi.org/10.1016/j.future.2022.10.008</t>
  </si>
  <si>
    <t>The use of Artificial Intelligence solutions keeps raising in the business domain. However, this adoption has not brought the expected results to companies so far. There are several reasons that make Artificial Intelligence solutions particularly complicated to adopt by businesses, such as the knowledge gap between the data science and operations teams. In this paper, we tackle the operationalization of distributed analytical pipelines in heterogeneous production environments, which span across different computational layers. In particular, we present a system called Orfeon, which can leverage different objectives and yields an optimized deployment for these pipelines. In addition, we offer the mathematical formulation of the problem alongside the objectives in hand (i.e. resilience, performance, and cost). Next, we propose a scenario utilizing cloud and edge infrastructural devices, in which we demonstrate how the system can optimize these objectives, without incurring scalability issues in terms of time nor memory. Finally, we compare the usefulness of Orfeon with a variety of tools in the field of machine learning operationalization and conclude that it is able to outperform these tools under the analyzed criteria, making it an appropriate system for the operationalization of machine learning pipelines.</t>
  </si>
  <si>
    <t>Edge computing, Analytical pipelines, Machine learning operationalization, AIOps, MLOps</t>
  </si>
  <si>
    <t>Yang Y,Michel R,Wade J,Verma D,Törngren M,Alelyani T</t>
  </si>
  <si>
    <t>Towards a taxonomy of technical debt for COTS-intensive cyber physical systems</t>
  </si>
  <si>
    <t>108-117</t>
  </si>
  <si>
    <t>https://www.sciencedirect.com/science/article/pii/S1877050919307203;http://dx.doi.org/10.1016/j.procs.2019.05.061</t>
  </si>
  <si>
    <t>10.1016/j.procs.2019.05.061</t>
  </si>
  <si>
    <t>Most existing studies addressing COTS obsolescence issues in Cyber-Physical Systems (CPSs) have strong emphasis on the sustainment phases. We have identified a gap on methods, processes, and tools for effective COTS risk analysis in the early systems acquisition phases. To fill the gap, this study proposes a taxonomy of COTS-related technical debt in order to support early identification, communication, and assessment of obsolescence risks in CPS system engineering life cycles. The taxonomy contributes to the identification of seven key types of COTS technical debt according to systematic signs discoverable during early COTS activities, which may contribute to obsolescence in later phases. These seven types of COTS technical debt include COTS functionality mismatch, performance mismatch, interoperability difficulty, versioning frequency, documentation and support readiness, and limitation on system evolution. It is expected that such notions will help to increase the efficiency of COTS-based CPS development, readiness, and sustainment, through more informed COTS decision-making to avoid expensive and unaffordable obsolescence issues in the envisioned systems sustainment phases.</t>
  </si>
  <si>
    <t>commercial off-the-shelf (COTS), cyber physical system, technical debt, metrics, obsolescence, acquisition</t>
  </si>
  <si>
    <t>17th Annual Conference on Systems Engineering Research (CSER)</t>
  </si>
  <si>
    <t>de Freitas Farias MA,de Mendonça Neto MG,Kalinowski M,Spínola RO</t>
  </si>
  <si>
    <t>https://www.sciencedirect.com/science/article/pii/S0950584920300203;http://dx.doi.org/10.1016/j.infsof.2020.106270</t>
  </si>
  <si>
    <t>Context Previous work has shown that one can explore code comments to detect Self-Admitted Technical Debt (SATD) using a contextualized vocabulary. However, current detection strategies still return a large number of false positives items. Moreover, those strategies do not allow the automatic identification of the type of debt of the identified items. Objective This work applies, evaluates, and improves a set of contextualized patterns we built to detect self-admitted technical debt using code comment analysis. We refer to this set of patterns as the self-admitted technical debt identification vocabulary. Method We carry out three empirical studies. Firstly, 23 participants analyze the patterns of a previously defined contextualized vocabulary and register their level of importance in identifying SATD items. Secondly, we perform a qualitative analysis to investigate the relation between each pattern and types of debt. Finally, we perform a feasibility study using a new vocabulary, improved based on the results of the previous empirical studies, to automatically identify self-admitted technical debt items, and types of debt, that exist in three open source projects. Results More than half of the new patterns were considered decisive or very decisive to detect technical debt items. The new vocabulary was able to find items associated to code, design, defect, documentation, and requirement debt. Thus, the result of the work is an improved vocabulary that considers the level of importance of each pattern and the relationship between patterns and debt types to support the identification and classification of SATD items. Conclusion The studies allowed us to improve a vocabulary to identify self-admitted technical debt items through code comments analysis. The results show that the use of pattern-based code comment analysis can contribute to improve existing methods, or create new ones, for automatically identifying and classifying technical debt items.</t>
  </si>
  <si>
    <t>Technical debt, Self-admitted technical debt, Technical debt identification, Code comment analysis</t>
  </si>
  <si>
    <t>Lenarduzzi V,Lomio F,Saarimäki N,Taibi D</t>
  </si>
  <si>
    <t>Does migrating a monolithic system to microservices decrease the technical debt?</t>
  </si>
  <si>
    <t>https://www.sciencedirect.com/science/article/pii/S0164121220301539;http://dx.doi.org/10.1016/j.jss.2020.110710</t>
  </si>
  <si>
    <t>10.1016/j.jss.2020.110710</t>
  </si>
  <si>
    <t>Background: The migration from a monolithic system to microservices requires a deep refactoring of the system. Therefore, such a migration usually has a big economic impact and companies tend to postpone several activities during this process, mainly to speed up the migration itself, but also because of the demand for releasing new features. Objective: We monitored the technical debt of an SME while it migrated from a legacy monolithic system to an ecosystem of microservices. Our goal was to analyze changes in the code technical debt before and after the migration to microservices. Method: We conducted a case study analyzing more than four years of the history of a twelve-year-old project (280K Lines of Code) where two teams extracted five business processes from the monolithic system as microservices. For the study, we first analyzed the technical debt with SonarQube and then performed a qualitative study with company members to understand the perceived quality of the system and the motivation for possibly postponed activities. Results: The migration to microservices helped to reduce the technical debt in the long run. Despite an initial spike in the technical debt due to the development of the new microservice, after a relatively short period of time the technical debt tended to grow slower than in the monolithic system.</t>
  </si>
  <si>
    <t>Technical debt, Architectural debt, Code quality, Microservices, Refactoring</t>
  </si>
  <si>
    <t>Muñoz SG,Laird CD,Realff MJ</t>
  </si>
  <si>
    <t>137-150</t>
  </si>
  <si>
    <t>Proceedings of the 9th International Conference on Foundations of Computer-Aided Process Design</t>
  </si>
  <si>
    <t>https://www.sciencedirect.com/science/article/pii/B9780128185971500230;http://dx.doi.org/10.1016/B978-0-12-818597-1.50023-0</t>
  </si>
  <si>
    <t>Advanced modeling based on first principles approaches is an effective methodology for designing biopharmaceutical process and product systems that are reliable, efficient, agile, and differentiated. However, the industrial modeling practice has stagnated despite significant advances in other fields, and the digital accelerators (computing power, storage capacity, and bandwidth) have created a shifting landscape for the foundations of process systems engineering. This article argues for a stronger emphasis on modeling lifecycle frameworks as well as a clear focus on systematic value creation through greater immediate application and sustained utilization of models and advanced modeling methodologies. Convergence between first principles modeling, experimental methods, and machine learning techniques is postulated as the main direction for innovation. Modeling patterns are presented as a novel mechanism to create and reuse effective modeling abstractions. A community-centric approach to collaboration between industry, vendors, and academia is required to deliver these significant innovation needs.</t>
  </si>
  <si>
    <t>Biotechnology, biopharmaceutical product and process development, process systems engineering, first principles modeling, computer-aided product and process design, community of practice</t>
  </si>
  <si>
    <t>Hirsch T,Hofer B</t>
  </si>
  <si>
    <t>A systematic literature review on benchmarks for evaluating debugging approaches</t>
  </si>
  <si>
    <t>https://www.sciencedirect.com/science/article/pii/S0164121222001303;http://dx.doi.org/10.1016/j.jss.2022.111423</t>
  </si>
  <si>
    <t>10.1016/j.jss.2022.111423</t>
  </si>
  <si>
    <t>Bug benchmarks are used in development and evaluation of debugging approaches, e.g. fault localization and automated repair. Quantitative performance comparison of different debugging approaches is only possible when they have been evaluated on the same dataset or benchmark. However, benchmarks are often specialized towards usage for certain debugging approaches in their contained data, metrics, and artifacts. Such benchmarks cannot be easily used on debugging approaches outside their scope as such approach may rely on specific data such as bug reports or code metrics that are not included in the dataset. Furthermore, benchmarks vary in their size w.r.t. the number of subject programs and the size of the individual subject programs. For these reasons, we have performed a systematic literature review where we have identified 73 benchmarks that can be used to evaluate debugging approaches. We compare the different benchmarks w.r.t. their size and the provided information such as bug reports, contained test cases, and other code metrics. This comparison is intended to help researchers to quickly identify all suitable benchmarks for evaluating their specific debugging approaches. Furthermore, we discuss reoccurring issues and challenges in selection, acquisition, and usage of such bug benchmarks, i.e., data availability, data quality, duplicated content, data formats, reproducibility, and extensibility. Editor’s note: Open Science material was validated by the Journal of Systems and Software Open Science Board.</t>
  </si>
  <si>
    <t>Debugging, Benchmark, Fault localization, Automatic repair</t>
  </si>
  <si>
    <t>https://www.sciencedirect.com/science/article/pii/S016412122030217X;http://dx.doi.org/10.1016/j.jss.2020.110821</t>
  </si>
  <si>
    <t>The concept of Self-Affirmed Refactoring (SAR) was introduced to explore how developers document their refactoring activities in commit messages, i.e., developers explicit documentation of refactoring operations intentionally introduced during a code change. In our previous study, we have manually identified refactoring patterns and defined three main common quality improvement categories including internal quality attributes, external quality attributes, and code smells, by only considering refactoring-related commits. However, this approach heavily depends on the manual inspection of commit messages. In this paper, we propose a two-step approach to first identify whether a commit describes developer-related refactoring events, then to classify it according to the refactoring common quality improvement categories. Specifically, we combine the N-Gram TF–IDF feature selection with binary and multiclass classifiers to build a new model to automate the classification of refactorings based on their quality improvement categories. We challenge our model using a total of 2,867 commit messages extracted from well engineered open-source Java projects. Our findings show that (1) our model is able to accurately classify SAR commits, outperforming the pattern-based and random classifier approaches, and allowing the discovery of 40 more relevant SAR patterns, and (2) our model reaches an F-measure of up to 90% even with a relatively small training dataset.</t>
  </si>
  <si>
    <t>Refactoring, Self-affirmed Refactoring, Commit classification, Machine learning</t>
  </si>
  <si>
    <t>https://www.sciencedirect.com/science/article/pii/S095741742030912X;http://dx.doi.org/10.1016/j.eswa.2020.114176</t>
  </si>
  <si>
    <t>Refactoring is the art of improving the structural design of a software system without altering its external behavior. Today, refactoring has become a well-established and disciplined software engineering practice that has attracted a significant amount of research presuming that refactoring is primarily motivated by the need to improve system structures. However, recent studies have shown that developers may incorporate refactoring strategies in other development-related activities that go beyond improving the design especially with the emerging challenges in contemporary software engineering. Unfortunately, these studies are limited to developer interviews and a reduced set of projects. To cope with the above-mentioned limitations, we aim to better understand what motivates developers to apply a refactoring by mining and automatically classifying a large set of 111,884 commits containing refactoring activities, extracted from 800 open source Java projects. We trained a multi-class classifier to categorize these commits into three categories, namely, Internal Quality Attribute, External Quality Attribute, and Code Smell Resolution, along with the traditional Bug Fix and Functional categories. This classification challenges the original definition of refactoring, being exclusive to improving software design and fixing code smells. Furthermore, to better understand our classification results, we qualitatively analyzed commit messages to extract textual patterns that developers regularly use to describe their refactoring activities. The results of our empirical investigation show that (1) fixing code smells is not the main driver for developers to refactoring their code bases. Refactoring is solicited for a wide variety of reasons, going beyond its traditional definition; (2) the distribution of refactoring operations differs between production and test files; (3) developers use a variety of patterns to purposefully target refactoring-related activities; (4) the textual patterns, extracted from commit messages, provide better coverage for how developers document their refactorings.</t>
  </si>
  <si>
    <t>Refactoring, Software quality, Software engineering, Machine learning</t>
  </si>
  <si>
    <t>Nielsen ME,Madsen CØ</t>
  </si>
  <si>
    <t>Stakeholder influence on technical debt management in the public sector: An embedded case study</t>
  </si>
  <si>
    <t>Government Information Quarterly</t>
  </si>
  <si>
    <t>0740-624X</t>
  </si>
  <si>
    <t>https://www.sciencedirect.com/science/article/pii/S0740624X22000399;http://dx.doi.org/10.1016/j.giq.2022.101706</t>
  </si>
  <si>
    <t>10.1016/j.giq.2022.101706</t>
  </si>
  <si>
    <t>Technical debt (TD) entails the shortcuts and unsuitable choices made during the development or maintenance of an IT system, which can result in negative consequences such as inefficiency and instability of the IT system. Digitalizing the government has led to the development of numerous IT systems which must be maintained to prevent decay, standstill, additional costs, and a decline in software quality. Previous studies on TD have primarily focused on the private sector, while TD in the public sector has largely been ignored. Therefore, this case study investigated TD management in relation to two IT systems in a Danish agency. Through participant observations and in-situ interviews we studied actual TD behavior, while stakeholder theory combined with a categorization of TD types and activities served as our theoretical lens. Thus, our study (1) identifies the stakeholders influencing an agency's TD management, (2) maps stakeholders' actions, and (3) identifies stakeholders' influence on TD. We found that TD extends beyond the influence of software developers and is also influenced by the behavior of several non-technical stakeholders, e.g., the European Parliament. We offer practical recommendations for TD management based on these findings.</t>
  </si>
  <si>
    <t>Technical debt, Technical debt management, Stakeholder theory, E-government, Digital government</t>
  </si>
  <si>
    <t>https://www.sciencedirect.com/science/article/pii/S0950584920301701;http://dx.doi.org/10.1016/j.infsof.2020.106407</t>
  </si>
  <si>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t>
  </si>
  <si>
    <t>Sustainability, Software engineering, Meta-model, Machine learning, Requirements, Feature model, Metrics and measurements</t>
  </si>
  <si>
    <t>https://www.sciencedirect.com/science/article/pii/S095058492200088X;http://dx.doi.org/10.1016/j.infsof.2022.106939</t>
  </si>
  <si>
    <t>Context: Cross-version defect prediction (CVDP) is a practical scenario in which defect prediction models are derived from defect data of historical versions to predict potential defects in the current version. Prior research employed defect data of the latest historical version as the training set using the empirical recommended method, ignoring the concept drift between versions, which undermines the accuracy of CVDP. Objective: We customized a Selected Training set and Transfer Learning Framework (ST-TLF) with two objectives: a) to obtain the best training set for the version at hand, proposing an approach to select the training set from the historical data; b) to eliminate the concept drift, designing a transfer strategy for CVDP. Method: To evaluate the performance of ST-TLF, we investigated three research problems, covering the generalization of ST-TLF for multiple classifiers, the accuracy of our training set matching methods, and the performance of ST-TLF in CVDP compared against state-of-the-art approaches. Results: The results reflect that (a) the eight classifiers we examined are all boosted under our ST-TLF, where SVM improves 49.74% considering MCC, as is similar to others; (b) when performing the best training set matching, the accuracy of the method proposed by us is 82.4%, while the experience recommended method is only 41.2%; (c) comparing the 12 control methods, our ST-TLF (with BayesNet), against the best contrast method P15-NB, improves the average MCC by 18.84%. Conclusions: Our framework ST-TLF with various classifiers can work well in CVDP. The training set selection method we proposed can effectively match the best training set for the current version, breaking through the limitation of relying on experience recommendation, which has been ignored in other studies. Also, ST-TLF can efficiently elevate the CVDP performance compared with random forest and 12 control methods.</t>
  </si>
  <si>
    <t>Software testing, Defect prediction, Concept drift, Transfer learning, Clustering analysis</t>
  </si>
  <si>
    <t>https://www.sciencedirect.com/science/article/pii/S0164121222000772;http://dx.doi.org/10.1016/j.jss.2022.111336</t>
  </si>
  <si>
    <t>Code ridden with Technical Debt (TD) has motivated software engineers to keep the quality of systems under control to ease future maintenance tasks. In the last decade, there have been significant advances regarding TD management (TDM). However, research about incorporating TDM into the software development lifecycle remains scarce, and existing approaches aim to control TD through different processes. This proposal leverages the concept of infinite games from game theory to posit a different perspective. We argue that TD cannot be entirely removed and that its effects or consequences cannot be considered “managed” even when an occurrence (i.e., a smell) is repaid. Rather than using a mathematical approach, we present TDM in terms of the four components of infinite games (players, rules, goals, and time), its tradeoffs and relationships, to discuss its potential impact on TDM activities. As this is an incipient area, our goal is to motivate a change of mindset regarding TDM, stimulating reflective thinking and thus, posing a new line of research. We conclude with a series of potential research questions organised into three key areas.</t>
  </si>
  <si>
    <t>Technical debt, Game theory, Software lifecycles, Software maintenance and evolution</t>
  </si>
  <si>
    <t>https://www.sciencedirect.com/science/article/pii/S0164121220301904;http://dx.doi.org/10.1016/j.jss.2020.110777</t>
  </si>
  <si>
    <t>Technical debt (TD) is commonly used to indicate additional costs caused by quality compromises that can yield short-term benefits in the software development process, but may negatively affect the long-term quality of software products. Predicting the future value of TD could facilitate decision-making tasks regarding software maintenance and assist developers and project managers in taking proactive actions regarding TD repayment. However, no notable contributions exist in the field of TD forecasting, indicating that it is a scarcely investigated field. To this end, in the present paper, we empirically evaluate the ability of machine learning (ML) methods to model and predict TD evolution. More specifically, an extensive study is conducted, based on a dataset that we constructed by obtaining weekly snapshots of fifteen open source software projects over three years and using two popular static analysis tools to extract software-related metrics that can act as TD predictors. Subsequently, based on the identified TD predictors, a set of TD forecasting models are produced using popular ML algorithms and validated for various forecasting horizons. The results of our analysis indicate that linear Regularization models are able to fit and provide meaningful forecasts of TD evolution for shorter forecasting horizons, while the non-linear Random Forest regression performs better than the linear models for longer forecasting horizons. In most of the cases, the future TD value is captured with a sufficient level of accuracy. These models can be used to facilitate planning for software evolution budget and time allocation. The approach presented in this paper provides a basis for predictive TD analysis, suitable for projects with a relatively long history. To the best of our knowledge, this is the first study that investigates the feasibility of using ML models for forecasting TD.</t>
  </si>
  <si>
    <t>Technical debt, Technical debt forecasting, Machine learning, Empirical study</t>
  </si>
  <si>
    <t>Kretsou M,Arvanitou EM,Ampatzoglou A,Deligiannis I,Gerogiannis VC</t>
  </si>
  <si>
    <t>Change impact analysis: A systematic mapping study</t>
  </si>
  <si>
    <t>https://www.sciencedirect.com/science/article/pii/S016412122030282X;http://dx.doi.org/10.1016/j.jss.2020.110892</t>
  </si>
  <si>
    <t>10.1016/j.jss.2020.110892</t>
  </si>
  <si>
    <t>Change Impact Analysis (CIA) is the process of exploring the tentative effects of a change in other parts of a system. CIA is considered beneficial in practice, since it reduces cost of maintenance and the risk of software development failures. In this paper, we present a systematic mapping study that covers a plethora of CIA methods (by exploring 111 papers), putting special emphasis on how the CIA phenomenon can be quantified: to be efficiently managed. The results of our study suggest that: (a) the practical benefits of CIA cover any type of maintenance request (e.g., feature additions, bug fixing) and can help in reducing relevant cost; (b) CIA quantification relies on four parameters (instability, amount of change, change proneness, and changeability), whose assessment is supported by various metrics and predictors; and (c) in this vast research field, there are still some viewpoints that remain unexplored (e.g., the negative consequences of highly change prone artifacts), whereas others are over-researched (e.g., quantification of instability based on metrics). Based on our results, we provide: (a) useful information for practitioners—i.e., the expected benefits of CIA, and a list of CIA-related metrics, emphasizing on the provision of a detailed interpretation of their relation to CIA; and (b) interesting future research directions—i.e., over- and under-researched sub-fields of CIA.</t>
  </si>
  <si>
    <t>Change impact analysis, Change proneness, Instability, Changeability, Amount of change</t>
  </si>
  <si>
    <t>Kashiwa Y,Nishikawa R,Kamei Y,Kondo M,Shihab E,Sato R,Ubayashi N</t>
  </si>
  <si>
    <t>An empirical study on self-admitted technical debt in modern code review</t>
  </si>
  <si>
    <t>https://www.sciencedirect.com/science/article/pii/S0950584922000258;http://dx.doi.org/10.1016/j.infsof.2022.106855</t>
  </si>
  <si>
    <t>10.1016/j.infsof.2022.106855</t>
  </si>
  <si>
    <t>Technical debt is a sub-optimal state of development in projects. In particular, the type of technical debt incurred by developers themselves (e.g., comments that mean the implementation is imperfect and should be replaced with another implementation) is called self-admitted technical debt (SATD). In theory, technical debt should not be left for a long period because it accumulates more cost over time, making it more difficult to process. Accordingly, developers have traditionally conducted code reviews to find technical debt. In fact, we observe that many SATD comments are often introduced during modern code reviews (MCR) that are light-weight reviews with web applications. However, it is uncertain about the nature of SATD comments that are introduced in the review process: impact, frequency, characteristics, and triggers. Herein, this study empirically examines the relationship between SATD and MCR. Our case study of 156,372 review records from the Qt and OpenStack systems shows that (i) review records involving SATD are about 6%–7% less likely to be accepted by reviews than those without SATD; (ii) review records involving SATD tend to require two to three more revisions compared with those without SATD; (iii) 28–48% of SATD comments are introduced during code reviews; (iv) SATD during reviews works for communicating between authors and reviewers; and (v) 20% of the SATD comments are introduced due to reviewers’ requests.</t>
  </si>
  <si>
    <t>Self-admitted technical debt, Modern code reviews</t>
  </si>
  <si>
    <t>Giray G</t>
  </si>
  <si>
    <t>A software engineering perspective on engineering machine learning systems: State of the art and challenges</t>
  </si>
  <si>
    <t>https://www.sciencedirect.com/science/article/pii/S016412122100128X;http://dx.doi.org/10.1016/j.jss.2021.111031</t>
  </si>
  <si>
    <t>10.1016/j.jss.2021.111031</t>
  </si>
  <si>
    <t>Context: Advancements in machine learning (ML) lead to a shift from the traditional view of software development, where algorithms are hard-coded by humans, to ML systems materialized through learning from data. Therefore, we need to revisit our ways of developing software systems and consider the particularities required by these new types of systems. Objective: The purpose of this study is to systematically identify, analyze, summarize, and synthesize the current state of software engineering (SE) research for engineering ML systems. Method: I performed a systematic literature review (SLR). I systematically selected a pool of 141 studies from SE venues and then conducted a quantitative and qualitative analysis using the data extracted from these studies. Results: The non-deterministic nature of ML systems complicates all SE aspects of engineering ML systems. Despite increasing interest from 2018 onwards, the results reveal that none of the SE aspects have a mature set of tools and techniques. Testing is by far the most popular area among researchers. Even for testing ML systems, engineers have only some tool prototypes and solution proposals with weak experimental proof. Many of the challenges of ML systems engineering were identified through surveys and interviews. Researchers should conduct experiments and case studies, ideally in industrial environments, to further understand these challenges and propose solutions. Conclusion: The results may benefit (1) practitioners in foreseeing the challenges of ML systems engineering; (2) researchers and academicians in identifying potential research questions; and (3) educators in designing or updating SE courses to cover ML systems engineering.</t>
  </si>
  <si>
    <t>Software engineering, Software development, Software process, Machine learning, Deep learning, Systematic literature review</t>
  </si>
  <si>
    <t>https://www.sciencedirect.com/science/article/pii/S0164121221000364;http://dx.doi.org/10.1016/j.jss.2021.110939</t>
  </si>
  <si>
    <t>Previous studies have investigated a wide range of factors potentially explaining software build breakages, focusing primarily on build-triggering code changes or previous CI outcomes. However, code quality factors such as the presence of code/test smells have not been yet evaluated in the context of CI, even though such factors have been linked to problems of comprehension and technical debt, and hence might introduce bugs and build breakages. This paper performs a conceptual replication study on 27,675 Travis CI builds of 15 GitHub projects, considering the features reported by Rausch et al. and Zolfagharinia et al., as well as those related to code/test smells. Using a multivariate model constructed from nine dimensions of features, results indicate a precision (recall) ranging between 58.3% and 79.0% (52.4% and 69.6%) in balanced project datasets, and between 2.5% and 37.5% (2.5% and 12.4%) in imbalanced project datasets. Models trained on our balanced project datasets were later used to perform cross-project prediction on the imbalanced projects, achieving an average improvement of 9.3% (16.2%) in precision (recall). Statistically, the results confirm that features from the build history, author, code complexity, and code/test smell dimensions are the most important predictors of build failures.</t>
  </si>
  <si>
    <t>Continuous integration, Build failure, Test smells, Code smells, Quantitative analysis, Cross-project prediction</t>
  </si>
  <si>
    <t>Siavvas MG,Chatzidimitriou KC,Symeonidis AL</t>
  </si>
  <si>
    <t>QATCH - An adaptive framework for software product quality assessment</t>
  </si>
  <si>
    <t>350-366</t>
  </si>
  <si>
    <t>https://www.sciencedirect.com/science/article/pii/S0957417417303883;http://dx.doi.org/10.1016/j.eswa.2017.05.060</t>
  </si>
  <si>
    <t>10.1016/j.eswa.2017.05.060</t>
  </si>
  <si>
    <t>The subjectivity that underlies the notion of quality does not allow the design and development of a universally accepted mechanism for software quality assessment. This is why contemporary research is now focused on seeking mechanisms able to produce software quality models that can be easily adjusted to custom user needs. In this context, we introduce QATCH, an integrated framework that applies static analysis to benchmark repositories in order to generate software quality models tailored to stakeholder specifications. Fuzzy multi-criteria decision-making is employed in order to model the uncertainty imposed by experts’ judgments. These judgments can be expressed into linguistic values, which makes the process more intuitive. Furthermore, a robust software quality model, the base model, is generated by the system, which is used in the experiments for QATCH system verification. The paper provides an extensive analysis of QATCH and thoroughly discusses its validity and added value in the field of software quality through a number of individual experiments.</t>
  </si>
  <si>
    <t>Software quality assessment, Software engineering, Multi-criteria decision making, Fuzzy analytic hierarchy process, Software static analysis, Quality metrics</t>
  </si>
  <si>
    <t>Almarimi N,Ouni A,Mkaouer MW</t>
  </si>
  <si>
    <t>Learning to detect community smells in open source software projects</t>
  </si>
  <si>
    <t>https://www.sciencedirect.com/science/article/pii/S0950705120304226;http://dx.doi.org/10.1016/j.knosys.2020.106201</t>
  </si>
  <si>
    <t>10.1016/j.knosys.2020.106201</t>
  </si>
  <si>
    <t>Community smells are symptoms of organizational and social issues within the software development community that often lead to additional project costs. Recent studies identified a variety of community smells and defined them as sub-optimal patterns connected to organizational-social structures in the software development community. To early detect and discover existence of potential community smells in a software project, we introduce, in this paper, a novel machine learning-based detection approach, named csDetector, that learns from various existing bad community development practices to provide automated support in detecting such community smells. In particular, our approach learns from a set of organizational-social symptoms that characterize the existence of potential instances of community smells in a software project. We built a detection model using Decision Tree by adopting the C4.5 classifier to identify eight commonly occurring community smells in software projects. To evaluate the performance of our approach, we conduct an empirical study on a benchmark of 74 open source projects from Github. Our statistical results show a high performance of csDetector, achieving an average accuracy of 96% and AUC of 0.94. Moreover, our results indicate that the csDetector outperforms two recent state-of-the-art techniques in terms of detection accuracy. Finally, we investigate the most influential community-related metrics to identify each community smell type. We found that the number of commits and developers per time zone, the number of developers per community, and the social network betweenness and closeness centrality are the most influential community characteristics.</t>
  </si>
  <si>
    <t>Community smells detection, Social debt, Socio-technical metrics, Machine learning</t>
  </si>
  <si>
    <t>139-156</t>
  </si>
  <si>
    <t>https://www.sciencedirect.com/science/article/pii/S0164121219301013;http://dx.doi.org/10.1016/j.jss.2019.04.066</t>
  </si>
  <si>
    <t>Background. Architectural smells and code smells are symptoms of bad code or design that can cause different quality problems, such as faults, technical debt, or difficulties with maintenance and evolution. Some studies show that code smells and architectural smells often appear together in the same file. The correlation between code smells and architectural smells, however, is not clear yet; some studies on a limited set of projects have claimed that architectural smells can be derived from code smells, while other studies claim the opposite. Objective. The goal of this work is to understand whether architectural smells are independent from code smells or can be derived from a code smell or from one category of them. Method. We conducted a case study analyzing the correlations among 19 code smells, six categories of code smells, and four architectural smells. Results. The results show that architectural smells are correlated with code smells only in a very low number of occurrences and therefore cannot be derived from code smells. Conclusion. Architectural smells are independent from code smells, and therefore deserve special attention by researchers, who should investigate their actual harmfulness, and practitioners, who should consider whether and when to remove them.</t>
  </si>
  <si>
    <t>Code smells, Architectural smells, Technical debt, Empirical analysis</t>
  </si>
  <si>
    <t>Bukhsh FA,Bukhsh ZA,Daneva M</t>
  </si>
  <si>
    <t>A systematic literature review on requirement prioritization techniques and their empirical evaluation</t>
  </si>
  <si>
    <t>Computer Standards &amp; Interfaces</t>
  </si>
  <si>
    <t>0920-5489</t>
  </si>
  <si>
    <t>https://www.sciencedirect.com/science/article/pii/S0920548919300789;http://dx.doi.org/10.1016/j.csi.2019.103389</t>
  </si>
  <si>
    <t>10.1016/j.csi.2019.103389</t>
  </si>
  <si>
    <t>[Context and Motivation] Many requirements prioritization approaches have been proposed, however not all of them have been investigated empirically in real-life settings. As a result, our knowledge of their applicability and actual use is incomplete. [Question/problem] A 2007 systematic review on requirements prioritization mapped out the landscape of proposed prioritization approaches and their prioritization criteria. To understand how this sub-field of requirements engineering has developed since 2007 and what evidence has been accumulated through empirical evaluations, we carried out a literature review that takes as input publications published between 2007 and 2019. [Principle ideas/results] We evaluated 102 papers that proposed and/or evaluated requirements prioritization methods. Our results show that the newly proposed requirements prioritization methods tend to use as basis fuzzy logic and machine learning algorithms. We also concluded that the Analytical Hierarchy Process is the most accurate and extensively used requirement prioritization method in industry. However, scalability is still its major limitation when requirements are large in number. We have found that machine learning has shown potential to deal with this limitation. Last, we found that experiments were the most used research method to evaluate the various aspects of the proposed prioritization approaches. [Contribution] This paper identified and evaluated requirements prioritization techniques proposed between 2007 and 2019, and derived some trends. Limitations of the proposals and implications for research and practice are identified as well.</t>
  </si>
  <si>
    <t>Requirements engineering, Requirements prioritization, Empirical study, Empirical research method, Systematic literature review</t>
  </si>
  <si>
    <t>Behutiye W,Karhapää P,López L,Burgués X,Martínez-Fernández S,Vollmer AM,Rodríguez P,Franch X,Oivo M</t>
  </si>
  <si>
    <t>Management of quality requirements in agile and rapid software development: A systematic mapping study</t>
  </si>
  <si>
    <t>https://www.sciencedirect.com/science/article/pii/S095058491930240X;http://dx.doi.org/10.1016/j.infsof.2019.106225</t>
  </si>
  <si>
    <t>10.1016/j.infsof.2019.106225</t>
  </si>
  <si>
    <t>Context Quality requirements (QRs) describe the desired quality of software, and they play an important role in the success of software projects. In agile software development (ASD), QRs are often ill-defined and not well addressed due to the focus on quickly delivering functionality. Rapid software development (RSD) approaches (e.g., continuous delivery and continuous deployment), which shorten delivery times, are more prone to neglect QRs. Despite the significance of QRs in both ASD and RSD, there is limited synthesized knowledge on their management in those approaches. Objective This study aims to synthesize state-of-the-art knowledge about QR management in ASD and RSD, focusing on three aspects: bibliometric, strategies, and challenges. Research method Using a systematic mapping study with a snowballing search strategy, we identified and structured the literature on QR management in ASD and RSD. Results We found 156 primary studies: 106 are empirical studies, 16 are experience reports, and 34 are theoretical studies. Security and performance were the most commonly reported QR types. We identified various QR management strategies: 74 practices, 43 methods, 13 models, 12 frameworks, 11 advices, 10 tools, and 7 guidelines. Additionally, we identified 18 categories and 4 non-recurring challenges of managing QRs. The limited ability of ASD to handle QRs, time constraints due to short iteration cycles, limitations regarding the testing of QRs and neglect of QRs were the top categories of challenges. Conclusion Management of QRs is significant in ASD and is becoming important in RSD. This study identified research gaps, such as the need for more tools and guidelines, lightweight QR management strategies that fit short iteration cycles, investigations of the link between QRs challenges and technical debt, and extension of empirical validation of existing strategies to a wider context. It also synthesizes QR management strategies and challenges, which may be useful for practitioners.</t>
  </si>
  <si>
    <t>Quality requirements, Non-functional requirements, Agile software development, Rapid software development, Systematic mapping study, Systematic literature reviews</t>
  </si>
  <si>
    <t>https://www.sciencedirect.com/science/article/pii/S0164121222002643;http://dx.doi.org/10.1016/j.jss.2022.111588</t>
  </si>
  <si>
    <t>With the popularity of software ecosystems, the number of open source components (known as packages) has grown rapidly. Identifying high-quality and well-maintained packages from a large pool of packages to depend on is a basic and important problem, as it is beneficial for various applications, such as package recommendation and package search. However, no systematic and comprehensive work focuses on addressing this problem except in online discussions or informal literature and interviews. To fill this gap, in this paper, we conducted a mixed qualitative and quantitative analysis to understand how developers identify and select relevant open source packages. In particular, we started by surveying 118 JavaScript developers from the npm ecosystem to qualitatively understand the factors that make a package to be highly-selected within the npm ecosystem. The survey results showed that JavaScript developers believe that highly-selected packages are well-documented, receive a high number of stars on GitHub, have a large number of downloads, and do not suffer from vulnerabilities. Then, we conducted an experiment to quantitatively validate the developers’ perception of the factors that make a highly-selected package. In this analysis, we collected and mined historical data from 2,527 packages divided into highly-selected and not highly-selected packages. For each package in the dataset, we collected quantitative data to present the factors studied in the developers’ survey. Next, we used regression analysis to quantitatively investigate which of the studied factors are the most important. Our regression analysis complements our survey results about highly-selected packages. In particular, the results showed that highly-selected packages tend to be correlated by the number of downloads, stars, and how large the package’s readme file is.</t>
  </si>
  <si>
    <t>highly-selected packages, Package quality, Software ecosystem, npm</t>
  </si>
  <si>
    <t>Petersen K,Carlson J,Papatheocharous E,Wnuk K</t>
  </si>
  <si>
    <t>Context checklist for industrial software engineering research and practice</t>
  </si>
  <si>
    <t>https://www.sciencedirect.com/science/article/pii/S0920548921000362;http://dx.doi.org/10.1016/j.csi.2021.103541</t>
  </si>
  <si>
    <t>10.1016/j.csi.2021.103541</t>
  </si>
  <si>
    <t>The relevance of context is particularly stressed in case studies, where it is said that “case study is an empirical method aimed at investigating contemporary phenomena in their context”. In this research, we classify context information and provide a context checklist for industrial software engineering. The checklist serves the purpose of (a) supporting researchers and practitioners in characterizing the context in which they are working; (b) supporting researchers with a checklist to identify relevant contextual information to elicit and report during primary and secondary studies. We utilized a systematic approach for constructing the classification of context information and provided a detailed definition for each item. We collected feedback from researchers as well as practitioners. The usefulness of the checklist was perceived more positively by researchers than practitioners, though they highlighted benefits (raising awareness of the importance of context and usefulness for management). The understandability was perceived positively by both practitioners and researchers. The checklist may serve as a “meta-model”, forming the basis for specific adaptations for different research areas, and as input for researchers deciding which context information to extract in systematic reviews. The checklist may also help researchers in reporting context in research papers.</t>
  </si>
  <si>
    <t>Context, Software engineering, Evidence-based software engineering, Empirical, Checklist</t>
  </si>
  <si>
    <t>Heyn HM,Knauss E,Pelliccione P</t>
  </si>
  <si>
    <t>A compositional approach to creating architecture frameworks with an application to distributed AI systems</t>
  </si>
  <si>
    <t>https://www.sciencedirect.com/science/article/pii/S0164121222002801;http://dx.doi.org/10.1016/j.jss.2022.111604</t>
  </si>
  <si>
    <t>10.1016/j.jss.2022.111604</t>
  </si>
  <si>
    <t>Artificial intelligence (AI) in its various forms finds more and more its way into complex distributed systems. For instance, it is used locally, as part of a sensor system, on the edge for low-latency high-performance inference, or in the cloud, e.g. for data mining. Modern complex systems, such as connected vehicles, are often part of an Internet of Things (IoT). This poses additional architectural challenges. To manage complexity, architectures are described with architecture frameworks, which are composed of a number of architectural views connected through correspondence rules. Despite some attempts, the definition of a mathematical foundation for architecture frameworks that are suitable for the development of distributed AI systems still requires investigation and study. In this paper, we propose to extend the state of the art on architecture framework by providing a mathematical model for system architectures, which is scalable and supports co-evolution of different aspects for example of an AI system. Based on Design Science Research, this study starts by identifying the challenges with architectural frameworks in a use case of distributed AI systems. Then, we derive from the identified challenges four rules, and we formulate them by exploiting concepts from category theory. We show how compositional thinking can provide rules for the creation and management of architectural frameworks for complex systems, for example distributed systems with AI. The aim of the paper is not to provide viewpoints or architecture models specific to AI systems, but instead to provide guidelines based on a mathematical formulation on how a consistent framework can be built up with existing, or newly created, viewpoints. To put in practice and test the approach, the identified and formulated rules are applied to derive an architectural framework for the EU Horizon 2020 project “Very efficient deep learning in the IoT” (VEDLIoT) in the form of a case study.</t>
  </si>
  <si>
    <t>AI systems, Architectural frameworks, Compositional thinking, Requirements engineering, Systems engineering</t>
  </si>
  <si>
    <t>https://www.sciencedirect.com/science/article/pii/S095219762200313X;http://dx.doi.org/10.1016/j.engappai.2022.105240</t>
  </si>
  <si>
    <t>Defect prediction is commonly used to reduce the effort from the testing phase of software development. A promising strategy is to use machine learning techniques to predict which software components may be defective. Features are key factors to the prediction’s success, and thus extracting significant features can improve the model’s accuracy. In particular, code smells are a category of those features that have been shown to improve the prediction performance significantly. However, Design code smells, a state-of-the-art collection of code smells based on the violations of the object-oriented programming principles, have not been studied in the context of defect prediction. In this paper, we study the performance of defect prediction models by training multiple classifiers for 97 real projects. We compare using Design code smells as features and using other Traditional smells from the literature and both. Moreover, we cluster and analyze the models’ performance based on the categories of Design code smells. We conclude that the models trained with both the Design code smells and the smells from the literature performed the best, with an improvement of 4.1% for the AUC score, compared to models trained with only Traditional smells. Consequently, Design smells are a good addition to the smells commonly studied in the literature for defect prediction.</t>
  </si>
  <si>
    <t>Defect prediction, Code smell, Mining software repositories, Software quality, Software engineering</t>
  </si>
  <si>
    <t>Garg R,Singh RK</t>
  </si>
  <si>
    <t>Analysis and Prioritization of Design Metrics</t>
  </si>
  <si>
    <t>1495-1504</t>
  </si>
  <si>
    <t>https://www.sciencedirect.com/science/article/pii/S1877050920308267;http://dx.doi.org/10.1016/j.procs.2020.03.360</t>
  </si>
  <si>
    <t>10.1016/j.procs.2020.03.360</t>
  </si>
  <si>
    <t>Clones at domain level during the design phase plays an important role to identify the risk at an early stage. The authors have analyzed the Design Metrics (DM) for its contribution towards the structural properties in domain models of the software. Then prioritization of these DM leads to classification of the majorly contributing DM elements. These Design Metrics relates to classes within the class diagram at design level that is useful for the identification of cross cutting concerns, origin analysis of software, software quality prediction and maintenance at the class level granularity. The authors have empirically evaluated the results for structural model clone detection.</t>
  </si>
  <si>
    <t>Software Clones, Model clones, Model Driven Development, Software Maintenance</t>
  </si>
  <si>
    <t>International Conference on Computational Intelligence and Data Science</t>
  </si>
  <si>
    <t>https://www.sciencedirect.com/science/article/pii/S0167642321000861;http://dx.doi.org/10.1016/j.scico.2021.102693</t>
  </si>
  <si>
    <t>Self-Admitted Technical Debt (SATD) is a metaphorical concept to describe the self-documented addition of technical debt to a software project in the form of source code comments. SATD can linger in projects and degrade source-code quality, but it can also be more visible than unintentionally added or undocumented technical debt. Understanding the implications of adding SATD to a software project is important because developers can benefit from a better understanding of the quality trade-offs they are making. However, empirical studies, analyzing the survivability and removal of SATD comments, are challenged by potential code changes or SATD comment updates that may interfere with properly tracking their appearance, existence, and removal. In this paper, we propose SATDBailiff, a tool that uses an existing state-of-the-art SATD detection tool, to identify SATD in method comments, then properly track their lifespan. SATDBailiff is given as input links to open source projects, and its output is a list of all identified SATDs, and for each detected SATD, SATDBailiff reports all its associated changes, including any updates to its text, all the way to reporting its removal. The goal of SATDBailiff is to aid researchers and practitioners in better tracking SATDs instances, and providing them with a reliable tool that can be easily extended. SATDBailiff was validated using a dataset of previously detected and manually validated SATD instances. SATDBailiff is publicly available as an open source, along with the manual analysis of SATD instances associated with its validation, on the project website.11https://smilevo.github.io/self-affirmed-refactoring/SCP20_index.html</t>
  </si>
  <si>
    <t>Self-admitted technical debt, Mining software repositories</t>
  </si>
  <si>
    <t>https://www.sciencedirect.com/science/article/pii/S0164121217303114;http://dx.doi.org/10.1016/j.jss.2017.12.034</t>
  </si>
  <si>
    <t>Context Smells in software systems impair software quality and make them hard to maintain and evolve. The software engineering community has explored various dimensions concerning smells and produced extensive research related to smells. The plethora of information poses challenges to the community to comprehend the state-of-the-art tools and techniques. Objective We aim to present the current knowledge related to software smells and identify challenges as well as opportunities in the current practices. Method We explore the definitions of smells, their causes as well as effects, and their detection mechanisms presented in the current literature. We studied 445 primary studies in detail, synthesized the information, and documented our observations. Results The study reveals five possible defining characteristics of smells — indicator, poor solution, violates best-practices, impacts quality, and recurrence. We curate ten common factors that cause smells to occur including lack of skill or awareness and priority to features over quality. We classify existing smell detection methods into five groups — metrics, rules/heuristics, history, machine learning, and optimization-based detection. Challenges in the smells detection include the tools’ proneness to false-positives and poor coverage of smells detectable by existing tools.</t>
  </si>
  <si>
    <t>Code smells, Software smells, Antipatterns, Software quality, Maintainability, Smell detection tools, Technical debt</t>
  </si>
  <si>
    <t>130-135</t>
  </si>
  <si>
    <t>https://www.sciencedirect.com/science/article/pii/S2212827122014974;http://dx.doi.org/10.1016/j.procir.2022.10.062</t>
  </si>
  <si>
    <t>Inherent characteristics of machine learning algorithms such as their probabilistic nature, their reliance on large datasets as well as their need for constant retraining pose major challenges to the operationalization of machine learning models (MLOps) in the manufacturing domain. As such systems are known to quickly accumulate technical debt due to system-level interdependencies of code, data, and models, clear abstractions boundaries are mandatory. Therefore, this publication derives a systematic functional decomposition of an MLOps system tailored to the manufacturing industry into specific domains and contexts. Moreover, a concrete deployment view is provided, and possible future research directions are discussed.</t>
  </si>
  <si>
    <t>Machine Learning, Deep Learning, MLOps, Manufacturing</t>
  </si>
  <si>
    <t>Chen J,Kudjo PK,Mensah S,Brown SA,Akorfu G</t>
  </si>
  <si>
    <t>An automatic software vulnerability classification framework using term frequency-inverse gravity moment and feature selection</t>
  </si>
  <si>
    <t>https://www.sciencedirect.com/science/article/pii/S0164121220300947;http://dx.doi.org/10.1016/j.jss.2020.110616</t>
  </si>
  <si>
    <t>10.1016/j.jss.2020.110616</t>
  </si>
  <si>
    <t>Vulnerability classification is an important activity in software development and software quality maintenance. A typical vulnerability classification model usually involves a stage of term selection, in which the relevant terms are identified via feature selection. It also involves a stage of term-weighting, in which the document weights for the selected terms are computed, and a stage for classifier learning. Generally, the term frequency-inverse document frequency (TF-IDF) model is the most widely used term-weighting metric for vulnerability classification. However, several issues hinder the effectiveness of the TF-IDF model for document classification. To address this problem, we propose and evaluate a general framework for vulnerability severity classification using the term frequency-inverse gravity moment (TF-IGM). Specifically, we extensively compare the term frequency-inverse gravity moment, term frequency-inverse document frequency, and information gain feature selection using five machine learning algorithms on ten vulnerable software applications containing a total number of 27,248 security vulnerabilities. The experimental result shows that: (i) the TF-IGM model is a promising term weighting metric for vulnerability classification compared to the classical term-weighting metric, (ii) the effectiveness of feature selection on vulnerability classification varies significantly across the studied datasets and (iii) feature selection improves vulnerability classification.</t>
  </si>
  <si>
    <t>Software vulnerability, Classification, Feature selection, Machine learning algorithms, Severity, Term-weighting</t>
  </si>
  <si>
    <t>Al Khatib SM,Alkharabsheh K,Alawadi S</t>
  </si>
  <si>
    <t>Selection of human evaluators for design smell detection using dragonfly optimization algorithm: An empirical study</t>
  </si>
  <si>
    <t>https://www.sciencedirect.com/science/article/pii/S0950584922002294;http://dx.doi.org/10.1016/j.infsof.2022.107120</t>
  </si>
  <si>
    <t>10.1016/j.infsof.2022.107120</t>
  </si>
  <si>
    <t>Context: Design smell detection is considered an efficient activity that decreases maintainability expenses and improves software quality. Human context plays an essential role in this domain. Objective: In this paper, we propose a search-based approach to optimize the selection of human evaluators for design smell detection. Method: For this purpose, Dragonfly Algorithm (DA) is employed to identify the optimal or near-optimal human evaluator’s profiles. An online survey is designed and asks the evaluators to evaluate a sample of classes for the presence of god class design smell. The Kappa-Fleiss test has been used to validate the proposed approach. Results: The results show that the dragonfly optimization algorithm can be utilized effectively to decrease the efforts (time, cost ) of design smell detection concerning the identification of the number and the optimal or near-optimal profile of human experts required for the evaluation process. Conclusions: A Search-based approach can be effectively used for improving a god-class design smell detection. Consequently, this leads to minimizing the maintenance cost.</t>
  </si>
  <si>
    <t>Software quality, Design smell detection, Dragonfly Algorithm, Search-based software engineering, Optimization, God class, Empirical study</t>
  </si>
  <si>
    <t>Boutaib S,Elarbi M,Bechikh S,Coello CA,Said LB</t>
  </si>
  <si>
    <t>Uncertainty-wise software anti-patterns detection: A possibilistic evolutionary machine learning approach</t>
  </si>
  <si>
    <t>https://www.sciencedirect.com/science/article/pii/S156849462200669X;http://dx.doi.org/10.1016/j.asoc.2022.109620</t>
  </si>
  <si>
    <t>10.1016/j.asoc.2022.109620</t>
  </si>
  <si>
    <t>Context: Code smells (a.k.a. anti-patterns) are manifestations of poor design solutions that can deteriorate software maintainability and evolution. Research gap: Existing works did not take into account the issue of uncertain class labels, which is an important inherent characteristic of the smells detection problem. More precisely, two human experts may have different degrees of uncertainty about the smelliness of a particular software class not only for the smell detection task but also for the smell type identification one. Unluckily, existing approaches usually reject and/or ignore uncertain data that correspond to software classes (i.e. dataset instances) with uncertain labels. Throwing away and/or disregarding the uncertainty factor could considerably degrade the detection/identification process effectiveness. From a solution approach viewpoint, there is no work in the literature that proposed a method that is able to detect and/or identify code smells while preserving the uncertainty aspect. Objective: The main goal of our research work is to handle the uncertainty factor, issued from human experts, in detecting and/or identifying code smells by proposing an evolutionary approach that is able to deal with anti-patterns classification with uncertain labels. Method: We suggest Bi-ADIPOK, as an effective search-based tool that is capable to tackle the previously mentioned challenge for both detection and identification cases. The proposed method corresponds to an EA (Evolutionary Algorithm) that optimizes a set of detectors encoded as PK-NNs (Possibilistic K-nearest neighbors) based on a bi-level hierarchy, in which the upper level role consists on finding the optimal PK-NNs parameters, while the lower level one is to generate the PK-NNs. A newly fitness function has been proposed fitness function PomAURPC-OVA_dist (Possibilistic modified Area Under Recall Precision Curve One-Versus-All_distance, abbreviated PAURPC_d in this paper). Bi-ADIPOK is able to deal with label uncertainty using some concepts stemming from the Possibility Theory. Furthermore, the PomAURPC-OVA_dist is capable to process the uncertainty issue even with imbalanced data. We notice that Bi-ADIPOK is first built and then validated using a possibilistic base of smell examples that simulates and mimics the subjectivity of software engineers opinions. Results: The statistical analysis of the obtained results on a set of comparative experiments with respect to four relevant state-of-the-art methods shows the merits of our proposal. The obtained detection results demonstrate that, for the uncertain environment, the PomAURPC-OVA_dist of Bi-ADIPOK ranges between 0.902 and 0.932 and its IAC lies between 0.9108 and 0.9407, while for the certain environment, the PomAURPC-OVA_dist lies between 0.928 and 0.955 and the IAC ranges between 0.9477 and 0.9622. Similarly, the identification results, for the uncertain environment, indicate that the PomAURPC-OVA_dist of Bi-ADIPOK varies between 0.8576 and 0.9273 and its IAC is between 0.8693 and 0.9318. For the certain environment, the PomAURPC-OVA_dist lies between 0.8613 and 0.9351 and the IAC values are between 0.8672 and 0.9476. With uncertain data, Bi-ADIPOK can find 35% more code smells than the second best approach (i.e., BLOP). Furthermore, Bi-ADIPOK has succeeded to reduce the number of false alarms (i.e., misclassified smelly instances) by 12%. In addition, our proposed approach can identify 43% more smell types than BLOP and reduces the number of false alarms by 32%. The same results have been obtained for the certain environment, demonstrating Bi-ADIPOK’s ability to deal with such environment.</t>
  </si>
  <si>
    <t>Code smells detection, Data uncertainty, Possibility theory, Evolutionary Algorithm, Possibilistic K-NN</t>
  </si>
  <si>
    <t>https://www.sciencedirect.com/science/article/pii/S0950584922001872;http://dx.doi.org/10.1016/j.infsof.2022.107078</t>
  </si>
  <si>
    <t>Context: Social debt describes the accumulation of unforeseen project costs (or potential costs) from sub-optimal software development processes. Community smells are sociotechnical anti-patterns and one source of social debt. Because community smells impact software teams, development processes, outcomes, and organizations, we to understand their impact on software engineering. Objective: To provide an overview of community smells in social debt, based on published literature, and describe future research. Method: We conducted a systematic literature review (SLR) to identify properties, understand origins and evolution, and describe the emergence of community smells. This SLR explains the impact of community smells on teamwork and team performance. Results: We include 25 studies. Social debt describes the impacts of poor socio-technical decisions on work environments, people, software products, and society. For each of the 30 community smells identified as sources of social debt, we provide a detailed description, management approaches, organizational strategies, and mitigation effectiveness. We identify five groups of management approaches: organizational strategies, frameworks, models, tools, and guidelines. We describe 11 common properties of community smells. We develop the Community Smell Stages Framework to concisely describe the origin and evolution of community smells. We then describe the causes and effects for each community smell. We identify and describe 8 types of causes and 11 types of effects related to the community smells. Finally, we provide 8 comprehensive Sankey diagrams that offer insights into threats the community smells pose to teamwork factors and team performance. Conclusion: Community smells explain the influence work conditions have on software developers. The literature is scarce and focuses on a small number of community smells. Thus, the community smells still need more research. This review helps by organizing the state of the art about community smells. Our contributions provide motivations for future research and provide educational material for software engineering professionals.</t>
  </si>
  <si>
    <t>Community smells, Social debt, Software development teams, Systematic literature review, Teamwork, Team performance</t>
  </si>
  <si>
    <t>70-82</t>
  </si>
  <si>
    <t>https://www.sciencedirect.com/science/article/pii/S0164121219300457;http://dx.doi.org/10.1016/j.jss.2019.02.056</t>
  </si>
  <si>
    <t>Technical Debt is a metaphor used to express sub-optimal source code implementations that are introduced for short-term benefits that often need to be paid back later, at an increased cost. In recent years, various empirical studies have focused on investigating source code comments that indicate Technical Debt often referred to as Self-Admitted Technical Debt (SATD). Since the introduction of SATD as a concept, an increasing number of studies have examined various aspects pertaining to SATD. Therefore, in this paper we survey research work on SATD, analyzing the characteristics of current approaches and techniques for SATD detection, comprehension, and repayment. To motivate the submission of novel and improved work, we compile tools, resources, and data sets made available to replicate or extend current SATD research. To set the stage for future work, we identify open challenges in the study of SATD, areas that are missing investigation, and discuss potential future research avenues.</t>
  </si>
  <si>
    <t>Self admitted technical debt, Software maintenance, Literature survey, Source code comments</t>
  </si>
  <si>
    <t>Yang X,Yu Z,Wang J,Menzies T</t>
  </si>
  <si>
    <t>Understanding static code warnings: An incremental AI approach</t>
  </si>
  <si>
    <t>https://www.sciencedirect.com/science/article/pii/S0957417420308824;http://dx.doi.org/10.1016/j.eswa.2020.114134</t>
  </si>
  <si>
    <t>10.1016/j.eswa.2020.114134</t>
  </si>
  <si>
    <t>Knowledge-based systems reason over some knowledge base. Hence, an important issue for such systems is how to acquire the knowledge needed for their inference. This paper assesses active learning methods for acquiring knowledge for “static code warnings”. Static code analysis is a widely-used method for detecting bugs and security vulnerabilities in software systems. As software becomes more complex, analysis tools also report lists of increasingly complex warnings that developers need to address on a daily basis. Such static code analysis tools are usually over-cautious; i.e. they often offer many warnings about spurious issues. Previous research work shows that about 35% to 91 % warnings reported as bugs by SA tools are actually unactionable (i.e., warnings that would not be acted on by developers because they are falsely suggested as bugs). Experienced developers know which errors are important and which can be safely ignored. How can we capture that experience? This paper reports on an incremental AI tool that watches humans reading false alarm reports. Using an incremental support vector machine mechanism, this AI tool can quickly learn to distinguish spurious false alarms from more serious matters that deserve further attention. In this work, nine open-source projects are employed to evaluate our proposed model on the features extracted by previous researchers and identify the actionable warnings in a priority order given by our algorithm. We observe that our model can identify over 90% of actionable warnings when our methods tell humans to ignore 70 to 80% of the warnings.</t>
  </si>
  <si>
    <t>Actionable warning identification, Active learning, Static analysis, Selection process</t>
  </si>
  <si>
    <t>Steidl M,Felderer M,Ramler R</t>
  </si>
  <si>
    <t>The pipeline for the continuous development of artificial intelligence models—Current state of research and practice</t>
  </si>
  <si>
    <t>https://www.sciencedirect.com/science/article/pii/S0164121223000109;http://dx.doi.org/10.1016/j.jss.2023.111615</t>
  </si>
  <si>
    <t>10.1016/j.jss.2023.111615</t>
  </si>
  <si>
    <t>Companies struggle to continuously develop and deploy Artificial Intelligence (AI) models to complex production systems due to AI characteristics while assuring quality. To ease the development process, continuous pipelines for AI have become an active research area where consolidated and in-depth analysis regarding the terminology, triggers, tasks, and challenges is required. This paper includes a Multivocal Literature Review (MLR) where we consolidated 151 relevant formal and informal sources. In addition, nine-semi structured interviews with participants from academia and industry verified and extended the obtained information. Based on these sources, this paper provides and compares terminologies for Development and Operations (DevOps) and Continuous Integration (CI)/Continuous Delivery (CD) for AI, Machine Learning Operations (MLOps), (end-to-end) lifecycle management, and Continuous Delivery for Machine Learning (CD4ML). Furthermore, the paper provides an aggregated list of potential triggers for reiterating the pipeline, such as alert systems or schedules. In addition, this work uses a taxonomy creation strategy to present a consolidated pipeline comprising tasks regarding the continuous development of AI. This pipeline consists of four stages: Data Handling, Model Learning, Software Development and System Operations. Moreover, we map challenges regarding pipeline implementation, adaption, and usage for the continuous development of AI to these four stages.</t>
  </si>
  <si>
    <t>Continuous development of AI, Continuous (end-to-end) lifecycle pipeline for AI, MLOps, CI/CD for AI, DevOps for AI, Multivocal literature review</t>
  </si>
  <si>
    <t>https://www.sciencedirect.com/science/article/pii/S0164121222001844;http://dx.doi.org/10.1016/j.jss.2022.111508</t>
  </si>
  <si>
    <t>Context: Modern software systems (e.g., Apache Spark) are usually written in multiple programming languages (PLs). There is little understanding on the phenomenon of multi-programming-language commits (MPLCs), which involve modified source files written in multiple PLs. Objective: This work aims to explore MPLCs and their impacts on development difficulty and software quality. Methods: We performed an empirical study on eighteen non-trivial Apache projects with 197,566 commits. Results : (1) the most commonly used PL combination consists of all the four PLs, i.e., C/C++, Java, JavaScript, and Python; (2) 9% of the commits from all the projects are MPLCs, and the proportion of MPLCs in 83% of the projects goes to a relatively stable level; (3) more than 90% of the MPLCs from all the projects involve source files in two PLs; (4) the change complexity of MPLCs is significantly higher than that of non-MPLCs; (5) issues fixed in MPLCs take significantly longer to be resolved than issues fixed in non-MPLCs in 89% of the projects; (6) MPLCs do not show significant effects on issue reopen; (7) source files undergoing MPLCs tend to be more bug-prone; and (8) MPLCs introduce more bugs than non-MPLCs. Conclusions: MPLCs are related to increased development difficulty and decreased software quality.</t>
  </si>
  <si>
    <t>Multi-programming-language commit, Change complexity, Bug proneness, Bug introduction, Issue reopen, Open source software</t>
  </si>
  <si>
    <t>Cascavilla G,Tamburri DA,Van Den Heuvel WJ</t>
  </si>
  <si>
    <t>Cybercrime threat intelligence: A systematic multi-vocal literature review</t>
  </si>
  <si>
    <t>https://www.sciencedirect.com/science/article/pii/S0167404821000821;http://dx.doi.org/10.1016/j.cose.2021.102258</t>
  </si>
  <si>
    <t>10.1016/j.cose.2021.102258</t>
  </si>
  <si>
    <t>Significant cybersecurity and threat intelligence analysts agree that online criminal activity is increasing exponentially. To offer an overview of the techniques and indicators to perform cyber crime detection by means of more complex machine- and deep-learning investigations as well as similar threat intelligence and engineering activities over multiple analysis levels (i.e., surface, deep, and darknets), we systematically analyze state of the art in such techniques. First, to aid the engineering and management of such intelligence solutions. We provide (i) a taxonomy of existing methods mapped to (ii) an overview of detectable criminal activities as well as (iii) an overview of the indicators and risk parameters that can be used for such detection. Second, to find the major engineering and management challenges and variables to be addressed. We apply a Topic Modelling Analysis to identify and analyze the most relevant threat concepts both in Surface and in Deep-, Dark-Web. Third, we identify gaps and challenges, defining a roadmap. Practitioners value and conclusions. The analysis mentioned above effectively provided a photograph of the scientific and practice gaps among the Surface Web and the Deep-, Dark-Web cybercrime and threat engineering and management. More specifically, our systematic literature review shows: (i) the dimensions of risk assessment techniques today available for the aforementioned areas—addressing these is vital for Law-enforcement agencies to combat cybercrime and cyber threats effectively; (ii) what website features should be used in order to identify a cyber threat or attack—researchers and non-governmental organizations in support of Law Enforcement Agencies (LEAs) should cover these features with appropriate technologies to aid in the investigative processes; (iii) what (limited) degree of anonymity is possible when crawling in Deep-, Dark-Web—researchers should strive to fill this gap with more and more advanced degrees of anonymity to grant protection to LEAs during their investigations.</t>
  </si>
  <si>
    <t>Cyber threat intelligence, Cybersecurity, Dark web, Deep web, Surface web, Topic modelling</t>
  </si>
  <si>
    <t>93-118</t>
  </si>
  <si>
    <t>https://www.sciencedirect.com/science/article/pii/S0164121216302321;http://dx.doi.org/10.1016/j.jss.2016.11.030</t>
  </si>
  <si>
    <t>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 (c) describing the demographics of design patterns research. The last secondary study with similar goals in the design patterns field considers the Gang of Four design patterns only. However, the scope of the current study is all of the design patterns. Moreover, our review covers about six additional years and a larger number of publications and venues. In this systematic mapping study, a total of 2775 papers were identified as relevant, and 637 of them were included. According to the results, design patterns can be classified into six different research topics. As a consequence, it is concluded that Pattern Development, Pattern Mining, and Pattern Usage are the most active topics in the field of design patterns.</t>
  </si>
  <si>
    <t>Design patterns, Systematic mapping study, Systematic review</t>
  </si>
  <si>
    <t>Boutaib S,Bechikh S,Palomba F,Elarbi M,Makhlouf M,Said LB</t>
  </si>
  <si>
    <t>Code smell detection and identification in imbalanced environments</t>
  </si>
  <si>
    <t>https://www.sciencedirect.com/science/article/pii/S0957417420308356;http://dx.doi.org/10.1016/j.eswa.2020.114076</t>
  </si>
  <si>
    <t>10.1016/j.eswa.2020.114076</t>
  </si>
  <si>
    <t>Context: Code smells are sub-optimal design choices that could lower software maintainability. Objective: Previous literature did not consider an important characteristic of the smell detection problem, namely data imbalance. When considering a high number of code smell types, the number of smelly classes is likely to largely exceed the number of non-smelly ones, and vice versa. Moreover, most studies did address the smell identification problem, which is more likely to present a higher imbalance as the number of smelly classes is relatively much less than the number of non-smelly ones. Furthermore, an additional research gap in the literature consists in the fact that the number of smell type identification methods is very small compared to the detection ones. Research gap: The main challenges in smell detection and identification in an imbalanced environment are: (1) the structuring of the smell detector that should be able to deal with complex splitting boundaries and small disjuncts, (2) the design of the detector quality evaluation function that should take into account data imbalance, and (3) the efficient search for effective software metrics’ thresholds that should well characterize the different smells. Furthermore, the number of smell type identification methods is very small compared to the detection ones. Method: We propose ADIODE, an effective search-based engine that is able to deal with all the above-described challenges not only for the smell detection case but also for the identification one. Indeed, ADIODE is an EA (Evolutionary Algorithm) that evolves a population of detectors encoded as ODTs (Oblique Decision Trees) using the F-measure as a fitness function. This allows ADIODE to efficiently approximate globally-optimal detectors with effective oblique splitting hyper-planes and metrics’ thresholds. We note that to build the BE, each software class is parsed using a particular tool with the aim to extract its metrics’ values, based on which the considered class is labeled by means of a set of existing advisors; which could be seen as a two-step construction process. Results: A comparative experimental study on six open-source software systems demonstrates the merits and the outperformance of our approach compared to four of the most representative and prominent baseline techniques available in literature. The detection results show that the F-measure of ADIODE ranges between 91.23 % and 95.24 %, and its AUC lies between 0.9273 and 0.9573. Similarly, the identification results indicate that the F-measure of ADIODE varies between 86.26 % and 94.5 %, and its AUC is between 0.8653 and 0.9531.</t>
  </si>
  <si>
    <t>Code smells detection, Smell type identification, Imbalanced data classification, Oblique decision tree, Evolutionary algorithm</t>
  </si>
  <si>
    <t>Yang C,Liang P,Avgeriou P,Eliasson U,Heldal R,Pelliccione P,Bi T</t>
  </si>
  <si>
    <t>An industrial case study on an architectural assumption documentation framework</t>
  </si>
  <si>
    <t>190-210</t>
  </si>
  <si>
    <t>https://www.sciencedirect.com/science/article/pii/S0164121217301966;http://dx.doi.org/10.1016/j.jss.2017.09.007</t>
  </si>
  <si>
    <t>10.1016/j.jss.2017.09.007</t>
  </si>
  <si>
    <t>As an important type of architectural knowledge, documenting architectural assumptions (AAs) is critical to the success of projects. In this work, we proposed and validated an Architectural Assumption Documentation Framework (AADF), which is composed of four viewpoints (i.e., the Detail, Relationship, Tracing, and Evolution viewpoint), to document AAs in projects. One case study with two cases was conducted at two companies from different domains and countries. The main findings are: (1) AADF can be understood by architects in a short time (i.e., a half day workshop); (2) the AA Evolution view requires the least time to create, followed by the AA Detail view and the AA Relationship view; (3) AADF can help stakeholders to identify risks and understand AAs documented by other stakeholders; and (4) understanding and applying AADF is related to various factors, including factors regarding the framework per se (e.g., tutorial, examples, concepts, and terms), personal experience, resources (e.g., time), tool support, and project context (e.g., project size and number of AAs). Adjusting these factors in an appropriate way can facilitate the usage of AADF and further benefit the projects.</t>
  </si>
  <si>
    <t>Software architecture, Architectural assumption, Documentation framework, Case study</t>
  </si>
  <si>
    <t>Gill SS,Tuli S,Toosi AN,Cuadrado F,Garraghan P,Bahsoon R,Lutfiyya H,Sakellariou R,Rana O,Dustdar S,Buyya R</t>
  </si>
  <si>
    <t>ThermoSim: Deep learning based framework for modeling and simulation of thermal-aware resource management for cloud computing environments</t>
  </si>
  <si>
    <t>https://www.sciencedirect.com/science/article/pii/S0164121220300753;http://dx.doi.org/10.1016/j.jss.2020.110596</t>
  </si>
  <si>
    <t>10.1016/j.jss.2020.110596</t>
  </si>
  <si>
    <t>Current cloud computing frameworks host millions of physical servers that utilize cloud computing resources in the form of different virtual machines. Cloud Data Center (CDC) infrastructures require significant amounts of energy to deliver large scale computational services. Moreover, computing nodes generate large volumes of heat, requiring cooling units in turn to eliminate the effect of this heat. Thus, overall energy consumption of the CDC increases tremendously for servers as well as for cooling units. However, current workload allocation policies do not take into account effect on temperature and it is challenging to simulate the thermal behavior of CDCs. There is a need for a thermal-aware framework to simulate and model the behavior of nodes and measure the important performance parameters which can be affected by its temperature. In this paper, we propose a lightweight framework, ThermoSim, for modeling and simulation of thermal-aware resource management for cloud computing environments. This work presents a Recurrent Neural Network based deep learning temperature predictor for CDCs which is utilized by ThermoSim for lightweight resource management in constrained cloud environments. ThermoSim extends the CloudSim toolkit helping to analyze the performance of various key parameters such as energy consumption, service level agreement violation rate, number of virtual machine migrations and temperature during the management of cloud resources for execution of workloads. Further, different energy-aware and thermal-aware resource management techniques are tested using the proposed ThermoSim framework in order to validate it against the existing framework (Thas). The experimental results demonstrate the proposed framework is capable of modeling and simulating the thermal behavior of a CDC and ThermoSim framework is better than Thas in terms of energy consumption, cost, time, memory usage and prediction accuracy.</t>
  </si>
  <si>
    <t>Cloud computing, Resource management, Thermal-aware, Simulation, Deep learning, Energy</t>
  </si>
  <si>
    <t>https://www.sciencedirect.com/science/article/pii/S0950584920300914;http://dx.doi.org/10.1016/j.infsof.2020.106332</t>
  </si>
  <si>
    <t>Context The purpose of software restructuring, or refactoring, is to improve software quality and developer productivity. Objective Prior studies have relied mainly on static and dynamic analysis of code to detect and recommend refactoring opportunities, such as code smells. Once identified, these smells are fixed by applying refactorings which then improve a set of quality metrics. While this approach has value and has shown promising results, many detected refactoring opportunities may not be related to a developer’s current context and intention. Recent studies have shown that while developers document their refactoring intentions, they may miss relevant refactorings aligned with their rationale. Method In this paper, we first identify refactoring opportunities by analyzing developer commit messages and check the quality improvements in the changed files, then we distill this knowledge into usable context-driven refactoring recommendations to complement static and dynamic analysis of code. Results The evaluation of our approach, based on six open source projects, shows that we outperform prior studies that apply refactorings based on static and dynamic analysis of code alone. Conclusion This study provides compelling evidence of the value of using the information contained in existing commit messages to recommend future refactorings.</t>
  </si>
  <si>
    <t>Commit message, Refactoring recommendation, Quality attributes</t>
  </si>
  <si>
    <t>Hurson AR,Milutinovic V</t>
  </si>
  <si>
    <t>Contents of Volumes in This Series</t>
  </si>
  <si>
    <t>247-259</t>
  </si>
  <si>
    <t>Dataflow Processing</t>
  </si>
  <si>
    <t>https://www.sciencedirect.com/science/article/pii/S0065245815000133;http://dx.doi.org/10.1016/S0065-2458(15)00013-3</t>
  </si>
  <si>
    <t>10.1016/S0065-2458(15)00013-3</t>
  </si>
  <si>
    <t>Farcas E,Menarini M,Farcas C,Griswold WG,Patrick K,Krueger I,Demchak B,Raab F,Yan Y,Ziftci C</t>
  </si>
  <si>
    <t>Mistrik I,Soley R,Ali N,Grundy J,Tekinerdogan B</t>
  </si>
  <si>
    <t>Chapter 13 - Influences of architectural and implementation choices on CyberInfrastructure quality—a case study</t>
  </si>
  <si>
    <t>279-332</t>
  </si>
  <si>
    <t>Software Quality Assurance</t>
  </si>
  <si>
    <t>https://www.sciencedirect.com/science/article/pii/B9780128023013000132;http://dx.doi.org/10.1016/B978-0-12-802301-3.00013-2</t>
  </si>
  <si>
    <t>10.1016/B978-0-12-802301-3.00013-2</t>
  </si>
  <si>
    <t>CyberInfrastructures (CIs) are complex socio-technical-economical systems that are difficult to describe, design, analyze, and evaluate. As one example, E-Health CIs are patient-centric community-serving systems that have particular regulations for information security, governance, resource management, scalability, and maintainability. We have built multiple successful E-Health interdisciplinary projects at the University of California, San Diego, including CYberinfrastructure for COmparative effectiveness REsearch (CYCORE) for cancer clinical trials, Personal Activity Location Measurement System (PALMS) for studying human activity patterns, CitiSense for sensing city pollution, and Integrating Data for Analysis, Anonymization, and SHaring (iDASH), which is a National Center for Biomedical Computing. These CIs have served their user communities well with respect to their projects’ goals and durations. Due to their shared requirements, these systems were all designed around the service bus-based Rich Services software architecture. However, there are also significant differences in how these CIs were designed and implemented, which might be informative to the community of CI developers. In this chapter, we detail our experience with developing E-Health CIs from the software quality perspective. We start from generic CI requirements along with domain and application-specific requirements, and we analyze the tradeoffs of development and deployment choices and propose a blueprint for next generation CIs. The main question that we answer is: How can we improve the quality of the next CIs by capitalizing on lessons learned, the best architectural and implementation choices, and reusing elements from previously existing systems? We present three contributions. First, we identify a set of activities and attributes that enable us to assess the quality of a CI with regard to important maintenance activities that are common to all CIs. These activities and attributes and the way we perform the evaluation are generic and can be applied to other projects and domains. Second, we analyze multiple projects and identify a set of common requirements for CIs and applications in the E-Health domain. We separate these requirements into common requirements that apply to all CIs, E-Health specific requirements that apply to CIs and most applications in the Health domain, and application-specific requirements. This separation makes many requirements reusable, and we expect that they will inform the development of future E-Health CIs and applications. Finally, we identify a set of architectural and implementation recommendations that will help developers create higher quality CIs for the E-Health domain.</t>
  </si>
  <si>
    <t>Maintainability, maintenance activities, quality models, system architecture, architecture evaluation, service-oriented architecture, design methodology, cyberinfrastructure, requirements, distributed systems, large-scale systems, e-health, agile processes</t>
  </si>
  <si>
    <t>de Oliveira MC,Freitas D,Bonifácio R,Pinto G,Lo D</t>
  </si>
  <si>
    <t>Finding needles in a haystack: Leveraging co-change dependencies to recommend refactorings</t>
  </si>
  <si>
    <t>https://www.sciencedirect.com/science/article/pii/S0164121219301943;http://dx.doi.org/10.1016/j.jss.2019.110420</t>
  </si>
  <si>
    <t>10.1016/j.jss.2019.110420</t>
  </si>
  <si>
    <t>A fine-grained co-change dependency arises when two fine-grained source-code entities, e.g., a method, change frequently together. This kind of dependency is relevant when considering remodularization efforts (e.g., to keep methods that change together in the same class). However, existing approaches for recommending refactorings that change software decomposition (such as a move method) do not explore the use of fine-grained co-change dependencies. In this paper we present a novel approach for recommending move method and move field refactorings, which removes co-change dependencies and evolutionary smells, a particular type of dependency that arise when fine-grained entities that belong to different classes frequently change together. First we evaluate our approach using 49 open-source Java projects, finding 610 evolutionary smells. Our approach automatically computes 56 refactoring recommendations that remove these evolutionary smells, without introducing new static dependencies. We also evaluate our approach by submitting pull-requests with the recommendations of our technique, in the context of one large and two medium size proprietary Java systems. Quantitative results show that our approach outperforms existing approaches for recommending refactorings when dealing with co-change dependencies. Qualitative results show that our approach is promising, not only for recommending refactorings but also to reveal opportunities of design improvements.</t>
  </si>
  <si>
    <t>Refactoring, Co-change dependencies, Remodularization, Software clustering, Design quality</t>
  </si>
  <si>
    <t>Hurson AR</t>
  </si>
  <si>
    <t>225-238</t>
  </si>
  <si>
    <t>https://www.sciencedirect.com/science/article/pii/S0065245815000455;http://dx.doi.org/10.1016/S0065-2458(15)00045-5</t>
  </si>
  <si>
    <t>10.1016/S0065-2458(15)00045-5</t>
  </si>
  <si>
    <t>Malavolta I,Lewis GA,Schmerl B,Lago P,Garlan D</t>
  </si>
  <si>
    <t>Mining guidelines for architecting robotics software</t>
  </si>
  <si>
    <t>https://www.sciencedirect.com/science/article/pii/S0164121221000662;http://dx.doi.org/10.1016/j.jss.2021.110969</t>
  </si>
  <si>
    <t>10.1016/j.jss.2021.110969</t>
  </si>
  <si>
    <t>Context: The Robot Operating System (ROS) is the de-facto standard for robotics software. However, ROS-based systems are getting larger and more complex and could benefit from good software architecture practices. Goal: We aim at (i) unveiling the state-of-the-practice in terms of targeted quality attributes and architecture documentation in ROS-based systems, and (ii) providing empirically-grounded guidance to roboticists about how to properly architect ROS-based systems. Methods: We designed and conducted an observational study where we (i) built a dataset of 335 GitHub repositories containing real open-source ROS-based systems, and (ii) mined the repositories to extract and synthesize quantitative and qualitative findings about how roboticists are architecting ROS-based systems. Results: First, we extracted an empirically-grounded overview of the state of the practice for architecting and documenting ROS-based systems. Second, we synthesized a catalog of 47 architecting guidelines for ROS-based systems. Third, the extracted guidelines were validated by 119 roboticists working on real-world open-source ROS-based systems. Conclusion: Roboticists can use our architecting guidelines for applying good design principles to develop robots that meet quality requirements, and researchers can use our results as evidence-based indications about how real-world ROS systems are architected today, thus inspiring future research contributions.</t>
  </si>
  <si>
    <t>Software architecture, Robotics, ROS</t>
  </si>
  <si>
    <t>239-252</t>
  </si>
  <si>
    <t>https://www.sciencedirect.com/science/article/pii/S0065245815000571;http://dx.doi.org/10.1016/S0065-2458(15)00057-1</t>
  </si>
  <si>
    <t>10.1016/S0065-2458(15)00057-1</t>
  </si>
  <si>
    <t>Ridge E</t>
  </si>
  <si>
    <t>Chapter 16 - People</t>
  </si>
  <si>
    <t>205-215</t>
  </si>
  <si>
    <t>Guerrilla Analytics</t>
  </si>
  <si>
    <t>https://www.sciencedirect.com/science/article/pii/B9780128002186000163;http://dx.doi.org/10.1016/B978-0-12-800218-6.00016-3</t>
  </si>
  <si>
    <t>10.1016/B978-0-12-800218-6.00016-3</t>
  </si>
  <si>
    <t>Summary No analytics would be possible without analysts. In this chapter, you will learn about the skill sets required in a Guerrilla Analytics team. This will help you make decisions about interviewing and training teams so they can perform in Guerrilla Analytics projects.</t>
  </si>
  <si>
    <t>People, Skills, Data Wrangling, Software Engineering, Communication, Management, Mindset</t>
  </si>
  <si>
    <t>McGilvray D</t>
  </si>
  <si>
    <t>Chapter 4 - The Ten Steps Process</t>
  </si>
  <si>
    <t>73-252</t>
  </si>
  <si>
    <t>Second Edition</t>
  </si>
  <si>
    <t>Academic Press</t>
  </si>
  <si>
    <t>Executing Data Quality Projects (Second Edition)</t>
  </si>
  <si>
    <t>https://www.sciencedirect.com/science/article/pii/B9780128180150000062;http://dx.doi.org/10.1016/B978-0-12-818015-0.00006-2</t>
  </si>
  <si>
    <t>10.1016/B978-0-12-818015-0.00006-2</t>
  </si>
  <si>
    <t>This chapter contains the step-by-step guide for creating, assessing, improving, sustaining, and managing information and data quality. Concrete instructions, sample output and templates, and practical advice for executing every step of the Ten Steps Process are provided. A step summary table gives an at-a-glance overview of objectives, purpose, inputs and outputs, techniques and tools, communication, and checkpoints for each step. The Ten Steps Process was designed to be flexible. Suggestions are given to help the reader select and adjust the Ten Steps to various situations, business needs, and data quality issues. The layout allows for quick reference with an easy-to-use format highlighting key concepts and definitions, important checkpoints, communication activities, best practices, and warnings. The experience of actual clients and users of the Ten Steps are highlighted in callout boxes called Ten Steps in Action.</t>
  </si>
  <si>
    <t>business needs, information environment, information life cycle, data quality dimensions, business impact techniques, root causes, improvement, correction, prevention, controls, monitor, communicate, ethics, change management</t>
  </si>
  <si>
    <t>Memon AM</t>
  </si>
  <si>
    <t>253-265</t>
  </si>
  <si>
    <t>https://www.sciencedirect.com/science/article/pii/S0065245815000248;http://dx.doi.org/10.1016/S0065-2458(15)00024-8</t>
  </si>
  <si>
    <t>10.1016/S0065-2458(15)00024-8</t>
  </si>
  <si>
    <t>Kristoffersen E,Mikalef P,Blomsma F,Li J</t>
  </si>
  <si>
    <t>Towards a business analytics capability for the circular economy</t>
  </si>
  <si>
    <t>Technological Forecasting and Social Change</t>
  </si>
  <si>
    <t>0040-1625</t>
  </si>
  <si>
    <t>https://www.sciencedirect.com/science/article/pii/S0040162521003899;http://dx.doi.org/10.1016/j.techfore.2021.120957</t>
  </si>
  <si>
    <t>10.1016/j.techfore.2021.120957</t>
  </si>
  <si>
    <t>Digital technologies are growing in importance for accelerating firms’ circular economy transition. However, so far, the focus has primarily been on the technical aspects of implementing these technologies with limited research on the organizational resources and capabilities required for successfully leveraging digital technologies for circular economy. To address this gap, this paper explores the business analytics resources firms should develop and how these should be orchestrated towards a firm-wide capability. The paper proposes a conceptual model highlighting eight business analytics resources that, in combination, build a business analytics capability for the circular economy and how this relates to firms’ circular economy implementation, resource orchestration capability, and competitive performance. The model is based on the results of a thematic analysis of 15 semi-structured expert interviews with key positions in industry. Our approach is informed by and further develops, the theory of the resource-based view and the resource orchestration view. Based on the results, we develop a deeper understanding of the importance of taking a holistic approach to business analytics when leveraging data and analytics towards a more efficient and effective digital-enabled circular economy, the smart circular economy.</t>
  </si>
  <si>
    <t>Digital circular economy, Sustainability, Big data analytics, Competitive advantage, Resource-based view, Expert interviews</t>
  </si>
  <si>
    <t>Pigazzini I,Fontana FA,Walter B</t>
  </si>
  <si>
    <t>A study on correlations between architectural smells and design patterns</t>
  </si>
  <si>
    <t>https://www.sciencedirect.com/science/article/pii/S0164121221000819;http://dx.doi.org/10.1016/j.jss.2021.110984</t>
  </si>
  <si>
    <t>10.1016/j.jss.2021.110984</t>
  </si>
  <si>
    <t>Design patterns are recommended solutions for typical software design problems, with an extensively studied and documented impact on various quality factors. Flaws in design at a higher levels of abstraction are manifested in architectural smells. Some of those smells, similarly to code smells, can reduce the expected advantages of design patterns or even prevent their proper implementation. In this paper we study if and how design patterns and architectural smells are related, and how this knowledge could be exploited in practice. We present an empirical study with an analysis of 16 design patterns and 3 architectural smells in 60 open source Java systems. We analyze their diffuseness and correlation, and we extract association rules that describe their presence and dependencies. We demonstrate that there exist relationships between architectural smells and design patterns, both at the class and package levels. Some smells appear falsely positive, as they result from conscious decisions made by programmers, while the application of some patterns can be a cause of certain smells. Our results provide evidence that design patterns and architectural smells are related and affect each other. With knowledge about the relationships, programmers can avoid the side effects of applying some design patterns.</t>
  </si>
  <si>
    <t>Architectural smells, Design patterns, Architectural smells and design patterns relationships</t>
  </si>
  <si>
    <t>317-329</t>
  </si>
  <si>
    <t>https://www.sciencedirect.com/science/article/pii/B9780128001608099927;http://dx.doi.org/10.1016/B978-0-12-800160-8.09992-7</t>
  </si>
  <si>
    <t>10.1016/B978-0-12-800160-8.09992-7</t>
  </si>
  <si>
    <t>Hurson AR,Milutinović V</t>
  </si>
  <si>
    <t>215-229</t>
  </si>
  <si>
    <t>Creativity in Computing and DataFlow SuperComputing</t>
  </si>
  <si>
    <t>https://www.sciencedirect.com/science/article/pii/S0065245816300717;http://dx.doi.org/10.1016/S0065-2458(16)30071-7</t>
  </si>
  <si>
    <t>10.1016/S0065-2458(16)30071-7</t>
  </si>
  <si>
    <t>Carrozza G,Pietrantuono R,Russo S</t>
  </si>
  <si>
    <t>A software quality framework for large-scale mission-critical systems engineering</t>
  </si>
  <si>
    <t>100-116</t>
  </si>
  <si>
    <t>https://www.sciencedirect.com/science/article/pii/S0950584918300922;http://dx.doi.org/10.1016/j.infsof.2018.05.009</t>
  </si>
  <si>
    <t>10.1016/j.infsof.2018.05.009</t>
  </si>
  <si>
    <t>Context:In the industry of large-scale mission-critical systems, software is a pivotal asset and a key business driver. Production and maintenance costs of systems in domains like air/naval traffic control or homeland security are largely dependent on the quality of software, and there are numerous examples where poor software quality is blamed for major business failures. Because of the size, the complexity and the nature of systems and engineering processes in this industry, there is a strong need yet a slow shift toward innovation in software quality management. Objective:We present SVEVIA, a framework for software quality assessment and strategic decisions support for large-scale mission-critical systems engineering, and its application in a three years long industry-academy cooperation. Method:We started with the analysis of the industrial software quality management processes, and identified the key challenges toward a satisfying quality-cost-time trade-off. We defined new methods for product/process quality assessment, prediction, planning and optimization. We experimented them on the industrial partner systems and processes. They finally conflated in the SVEVIA framework. Results:SVEVIA was integrated into the industrial process, and tested with hundreds of software (sub)systems. More than 20 millions of lines of code – deployed in about 20 sites in Italy and UK – have come under the new quality measurement and improvement chain. The framework proved its ability to support systematic management of software quality and key decisions for productivity improvement. Conclusion:SVEVIA supports team leaders and managers coping with software quality in mission-critical industries, yielding figures and projections about quality and productivity trends for a prompt and informed decision-making.</t>
  </si>
  <si>
    <t>Software quality, Decision support systems, Mission-critical systems, Software testing, Software reliability, Automatic static analysis, Testing resource allocation, Defect prediction, Fault prediction</t>
  </si>
  <si>
    <t>Marcilio D,Furia CA,Bonifácio R,Pinto G</t>
  </si>
  <si>
    <t>SpongeBugs: Automatically generating fix suggestions in response to static code analysis warnings</t>
  </si>
  <si>
    <t>https://www.sciencedirect.com/science/article/pii/S016412122030128X;http://dx.doi.org/10.1016/j.jss.2020.110671</t>
  </si>
  <si>
    <t>10.1016/j.jss.2020.110671</t>
  </si>
  <si>
    <t>Static code analysis tools such as FindBugs and SonarQube are widely used on open-source and industrial projects to detect a variety of issues that may negatively affect the quality of software. Despite these tools’ popularity and high level of automation, several empirical studies report that developers normally fix only a small fraction (typically, less than 10% (Marcilio et al., 2019) of the reported issues—so-called “warnings”. If these analysis tools could also automatically provide suggestions on how to fix the issues that trigger some of the warnings, their feedback would become more actionable and more directly useful to developers. In this work, we investigate whether it is feasible to automatically generate fix suggestions for common warnings issued by static code analysis tools, and to what extent developers are willing to accept such suggestions into the codebases they are maintaining. To this end, we implemented SpongeBugs, a Java program transformation technique that fixes 11 distinct rules checked by two well-known static code analysis tools (SonarQube and SpotBugs). Fix suggestions are generated automatically based on templates, which are instantiated in a way that removes the source of the warnings; templates for some rules are even capable of producing multi-line patches. Based on the suggestions provided by SpongeBugs, we submitted 38 pull requests, including 946 fixes generated automatically by our technique for various open-source Java projects, including Eclipse UI – a core component of the Eclipse IDE – and both SonarQube and SpotBugs. Project maintainers accepted 87% of our fix suggestions (97% of them without any modifications). We further evaluated the applicability of our technique on software written by students and on a curated collection of bugs. All results indicate that our approach to generating fix suggestions is feasible, flexible, and can help increase the applicability of static code analysis tools.</t>
  </si>
  <si>
    <t>Static code analysis, Automatic fix suggestion</t>
  </si>
  <si>
    <t>Tuli S,Gill SS,Xu M,Garraghan P,Bahsoon R,Dustdar S,Sakellariou R,Rana O,Buyya R,Casale G,Jennings NR</t>
  </si>
  <si>
    <t>HUNTER: AI based holistic resource management for sustainable cloud computing</t>
  </si>
  <si>
    <t>https://www.sciencedirect.com/science/article/pii/S0164121221002211;http://dx.doi.org/10.1016/j.jss.2021.111124</t>
  </si>
  <si>
    <t>10.1016/j.jss.2021.111124</t>
  </si>
  <si>
    <t>The worldwide adoption of cloud data centers (CDCs) has given rise to the ubiquitous demand for hosting application services on the cloud. Further, contemporary data-intensive industries have seen a sharp upsurge in the resource requirements of modern applications. This has led to the provisioning of an increased number of cloud servers, giving rise to higher energy consumption and, consequently, sustainability concerns. Traditional heuristics and reinforcement learning based algorithms for energy-efficient cloud resource management address the scalability and adaptability related challenges to a limited extent. Existing work often fails to capture dependencies across thermal characteristics of hosts, resource consumption of tasks and the corresponding scheduling decisions. This leads to poor scalability and an increase in the compute resource requirements, particularly in environments with non-stationary resource demands. To address these limitations, we propose an artificial intelligence (AI) based holistic resource management technique for sustainable cloud computing called HUNTER. The proposed model formulates the goal of optimizing energy efficiency in data centers as a multi-objective scheduling problem, considering three important models: energy, thermal and cooling. HUNTER utilizes a Gated Graph Convolution Network as a surrogate model for approximating the Quality of Service (QoS) for a system state and generating optimal scheduling decisions. Experiments on simulated and physical cloud environments using the CloudSim toolkit and the COSCO framework show that HUNTER outperforms state-of-the-art baselines in terms of energy consumption, SLA violation, scheduling time, cost and temperature by up to 12, 35, 43, 54 and 3 percent respectively.</t>
  </si>
  <si>
    <t>Holistic resource management, Energy-efficiency, Cloud computing, Artificial intelligence, Thermal management</t>
  </si>
  <si>
    <t>Catolino G,Palomba F,De Lucia A,Ferrucci F,Zaidman A</t>
  </si>
  <si>
    <t>Enhancing change prediction models using developer-related factors</t>
  </si>
  <si>
    <t>14-28</t>
  </si>
  <si>
    <t>https://www.sciencedirect.com/science/article/pii/S0164121218300918;http://dx.doi.org/10.1016/j.jss.2018.05.003</t>
  </si>
  <si>
    <t>10.1016/j.jss.2018.05.003</t>
  </si>
  <si>
    <t>Continuous changes applied during software maintenance risk to deteriorate the structure of a system and are a threat to its maintainability. In this context, predicting the portions of source code where specific maintenance operations should be focused on may be crucial for developers to prevent maintainability issues. Previous work proposed change prediction models relying on product and process metrics as predictors of change-prone source code classes. However, we believe that existing approaches still miss an important piece of information, i.e., developer-related factors that are able to capture the complexity of the development process under different perspectives. In this paper, we firstly investigate three change prediction models that exploit developer-related factors (e.g., number of developers working on a class) as predictors of change-proneness of classes and then we compare them with existing models. Our findings reveal that these factors improve the capabilities of change prediction models. Moreover, we observed interesting complementarities among the prediction models. For this reason, we devised a novel change prediction model exploiting the combination of developer-related factors and product and evolution metrics. The results show that such a combined model is up to 22% more effective than the single models in the identification of change-prone classes.</t>
  </si>
  <si>
    <t>Change prediction, Mining software repositories, Empirical study</t>
  </si>
  <si>
    <t>https://www.sciencedirect.com/science/article/pii/B9780124080942000138;http://dx.doi.org/10.1016/B978-0-12-408094-2.00013-8</t>
  </si>
  <si>
    <t>10.1016/B978-0-12-408094-2.00013-8</t>
  </si>
  <si>
    <t>Ionescu TB,Schlund S</t>
  </si>
  <si>
    <t>Programming cobots by voice: A human-centered, web-based approach</t>
  </si>
  <si>
    <t>123-129</t>
  </si>
  <si>
    <t>https://www.sciencedirect.com/science/article/pii/S2212827120314347;http://dx.doi.org/10.1016/j.procir.2020.05.213</t>
  </si>
  <si>
    <t>10.1016/j.procir.2020.05.213</t>
  </si>
  <si>
    <t>We present a new voice-based programming approach and software framework for collaborative robots (cobots) based on the Web Speech API, which is now supported by most modern browsers. The framework targets human programmable interfaces (HPIs), which can be used by people with little or no programming experience. The framework follows a meta-programming approach by enabling users to program cobots by voice in addition to using a mouse, tablet or keyboard. Upon a voice instruction (such as move, pick, release, etc.), the framework automates the manual tasks required to manipulate the vendor-provided HPI. The main advantages of this approach are simplified, guided programming, which only requires the knowledge of 5–10 voice instructions; increased programming speed by up to 46% compared to the manual approach; and the possibility of sharing programs as videos. The open-source framework was evaluated using two application scenarios.</t>
  </si>
  <si>
    <t>Robot programming, Speech-based programming, Voice-based programming, Collaborative robots, Cobots, Assembly, GUI automation, Speech API</t>
  </si>
  <si>
    <t>8th CIRP Conference of Assembly Technology and Systems</t>
  </si>
  <si>
    <t>Chapter 12 - Introduction to Testing</t>
  </si>
  <si>
    <t>149-158</t>
  </si>
  <si>
    <t>https://www.sciencedirect.com/science/article/pii/B9780128002186000126;http://dx.doi.org/10.1016/B978-0-12-800218-6.00012-6</t>
  </si>
  <si>
    <t>10.1016/B978-0-12-800218-6.00012-6</t>
  </si>
  <si>
    <t>Summary This chapter introduces testing in Guerrilla Analytics projects. It begins with describing where testing fits within the Guerrilla Analytics workflow. We will then discuss the fundamental concept of what it means to test something and why it is important. The areas of analytics testing will be introduced. You will also learn some tips on testing that can be applied across all these areas.</t>
  </si>
  <si>
    <t>Testing, Expected Value, Test UID, Unique Identifiers</t>
  </si>
  <si>
    <t>Capilla R,Fuentes L,Lochau M</t>
  </si>
  <si>
    <t>Software variability in dynamic environments</t>
  </si>
  <si>
    <t>62-64</t>
  </si>
  <si>
    <t>https://www.sciencedirect.com/science/article/pii/S0164121219301323;http://dx.doi.org/10.1016/j.jss.2019.06.003</t>
  </si>
  <si>
    <t>10.1016/j.jss.2019.06.003</t>
  </si>
  <si>
    <t>Yan J,Zhou H,Deng X,Wang P,Yan R,Yan J,Zhang J</t>
  </si>
  <si>
    <t>Efficient testing of GUI applications by event sequence reduction</t>
  </si>
  <si>
    <t>https://www.sciencedirect.com/science/article/pii/S0167642320301301;http://dx.doi.org/10.1016/j.scico.2020.102522</t>
  </si>
  <si>
    <t>10.1016/j.scico.2020.102522</t>
  </si>
  <si>
    <t>Automatic event sequence generation tools are widely used for testing GUI applications. With these tools, developers can easily test the target GUI applications with a large number of events and collect a group of crash-triggering sequences in a short time. However, some efficiency-oriented tools generate low-level events randomly based on coordinates of the screen instead of widgets, which leads to many ineffective events that have no contribution to the test. Besides, the randomly generated sequences may repeatedly operate on the same widget or jump to the same window, which increases the complexity of sequences and makes it difficult to extract key events that can lead to crashes. The sequence reduction technique can effectively help developers to understand the crashes and further improve the quality of code. In this paper, we propose a general model for the event sequence reduction problem on GUI applications. For better illustration, we take the random test generation tool Monkey as a concrete instance, which is widely used for testing Android applications, owing to its simplicity, effectiveness and good compatibility. To address the major drawbacks in original Monkey testing, in this paper, we attempt to enhance Monkey to support the sequence record-and-replay and propose a sequence reduction approach for Android apps, which helps the crash behavior comprehension and fault localization. By manually investigating the effectiveness of Monkey events, we find three types of ineffective events, including no-ops, single and combination of effect-free ones, and design nine reduction rules for them. To extract key events in one sequence for crash understanding, we analyze the state transition relation among events and propose a static GUI state hierarchy-tree-guided reduction approach. Additionally, we implement our approach in a tool CHARD to achieve event sequence reduction on real-world apps. We also design a semi-structured format to describe the actual behavior of events and improve the sequence comprehensibility. We collect 890 sequences from 74 applications as our benchmark, including 740 basic sequences, each of which contains 1,000 events, and 150 longer ones, each of which contains 10,000 events. CHARD can quickly identify 41.3% events as ineffective ones in the collected sequences. For sequences that can be stably replayed, over 94% of the reduced sequences keep the same functionalities as the original ones. By removing ineffective events, CHARD can be used as a pre-process part of the traditional delta-debugging process and make significant speed up. To evaluate the effectiveness of the key event extraction approach, we pick eight buggy applications and collect 40 crash-triggering event sequences generated by Monkey, the length of which varies from 19 to 2700. The results show that CHARD can successfully remove over 95.4% crash-irrelevant events in these crash-triggering sequences within around ten seconds, while the state-of-the-art delta-debugging tool removes 71.3% ones using over 27 hours, which indicates that CHARD can efficiently help the crash replay and sequence comprehension.</t>
  </si>
  <si>
    <t>GUI testing, Test reduction, Record-and-replay, Android application, Monkey</t>
  </si>
  <si>
    <t>157-171</t>
  </si>
  <si>
    <t>https://www.sciencedirect.com/science/article/pii/S0065245816300547;http://dx.doi.org/10.1016/S0065-2458(16)30054-7</t>
  </si>
  <si>
    <t>10.1016/S0065-2458(16)30054-7</t>
  </si>
  <si>
    <t>Hurson AR,Sarbazi-Azad H</t>
  </si>
  <si>
    <t>275-288</t>
  </si>
  <si>
    <t>Energy Efficiency in Data Centers and Clouds</t>
  </si>
  <si>
    <t>https://www.sciencedirect.com/science/article/pii/S0065245816300109;http://dx.doi.org/10.1016/S0065-2458(16)30010-9</t>
  </si>
  <si>
    <t>10.1016/S0065-2458(16)30010-9</t>
  </si>
  <si>
    <t>Hurson A</t>
  </si>
  <si>
    <t>Contents of volumes in this series</t>
  </si>
  <si>
    <t>263-273</t>
  </si>
  <si>
    <t>Green and Sustainable Computing: Part II</t>
  </si>
  <si>
    <t>https://www.sciencedirect.com/science/article/pii/B9780124077256000125;http://dx.doi.org/10.1016/B978-0-12-407725-6.00012-5</t>
  </si>
  <si>
    <t>10.1016/B978-0-12-407725-6.00012-5</t>
  </si>
  <si>
    <t>Papamichail MD,Symeonidis AL</t>
  </si>
  <si>
    <t>A generic methodology for early identification of non-maintainable source code components through analysis of software releases</t>
  </si>
  <si>
    <t>https://www.sciencedirect.com/science/article/pii/S0950584919302289;http://dx.doi.org/10.1016/j.infsof.2019.106218</t>
  </si>
  <si>
    <t>10.1016/j.infsof.2019.106218</t>
  </si>
  <si>
    <t>Context Contemporary development approaches consider that time-to-market is of utmost importance and assume that software projects are constantly evolving, driven by the continuously changing requirements of end-users. This practically requires an iterative process where software is changing by introducing new or updating existing software/user features, while at the same time continuing to support the stable ones. In order to ensure efficient software evolution, the need to produce maintainable software is evident. Objective In this work, we argue that non-maintainable software is not the outcome of a single change, but the consequence of a series of changes throughout the development lifecycle. To that end, we define a maintainability evaluation methodology across releases and employ various information residing in software repositories, so as to decide on the maintainability of software. Method Upon using the dropping of packages as a non-maintainability indicator (accompanied by a series of quality-related criteria), the proposed methodology involves using one-class-classification techniques for evaluating maintainability at a package level, on four different axes each targeting a primary source code property: complexity, cohesion, coupling, and inheritance. Results Given the qualitative and quantitative evaluation of our methodology, we argue that apart from providing accurate and interpretable maintainability evaluation at package level, we can also identify non-maintainable components at an early stage. This early stage is in many cases around 50% of the software package lifecycle. Conclusion Based on our findings, we conclude that modeling the trending behavior of certain static analysis metrics enables the effective identification of non-maintainable software components and thus can be a valuable tool for the software engineers.</t>
  </si>
  <si>
    <t>Software releases, Maintainability evaluation, Software quality, Static analysis metrics, Trend analysis</t>
  </si>
  <si>
    <t>179-190</t>
  </si>
  <si>
    <t>https://www.sciencedirect.com/science/article/pii/B978012800161509993X;http://dx.doi.org/10.1016/B978-0-12-800161-5.09993-X</t>
  </si>
  <si>
    <t>10.1016/B978-0-12-800161-5.09993-X</t>
  </si>
  <si>
    <t>Hurson AR,Goudarzi M</t>
  </si>
  <si>
    <t>183-197</t>
  </si>
  <si>
    <t>https://www.sciencedirect.com/science/article/pii/S0065245816300420;http://dx.doi.org/10.1016/S0065-2458(16)30042-0</t>
  </si>
  <si>
    <t>10.1016/S0065-2458(16)30042-0</t>
  </si>
  <si>
    <t>259-272</t>
  </si>
  <si>
    <t>https://www.sciencedirect.com/science/article/pii/S0065245816300225;http://dx.doi.org/10.1016/S0065-2458(16)30022-5</t>
  </si>
  <si>
    <t>10.1016/S0065-2458(16)30022-5</t>
  </si>
  <si>
    <t>Garousi V,Felderer M,Kılıçaslan FN</t>
  </si>
  <si>
    <t>A survey on software testability</t>
  </si>
  <si>
    <t>35-64</t>
  </si>
  <si>
    <t>https://www.sciencedirect.com/science/article/pii/S0950584918302490;http://dx.doi.org/10.1016/j.infsof.2018.12.003</t>
  </si>
  <si>
    <t>10.1016/j.infsof.2018.12.003</t>
  </si>
  <si>
    <t>Context Software testability is the degree to which a software system or a unit under test supports its own testing. To predict and improve software testability, a large number of techniques and metrics have been proposed by both practitioners and researchers in the last several decades. Reviewing and getting an overview of the entire state-of-the-art and state-of-the-practice in this area is often challenging for a practitioner or a new researcher. Objective Our objective is to summarize the body of knowledge in this area and to benefit the readers (both practitioners and researchers) in preparing, measuring and improving software testability. Method To address the above need, the authors conducted a survey in the form of a systematic literature mapping (classification) to find out what we as a community know about this topic. After compiling an initial pool of 303 papers, and applying a set of inclusion/exclusion criteria, our final pool included 208 papers (published between 1982 and 2017). Results The area of software testability has been comprehensively studied by researchers and practitioners. Approaches for measurement of testability and improvement of testability are the most-frequently addressed in the papers. The two most often mentioned factors affecting testability are observability and controllability. Common ways to improve testability are testability transformation, improving observability, adding assertions, and improving controllability. Conclusion This paper serves for both researchers and practitioners as an “index” to the vast body of knowledge in the area of testability. The results could help practitioners measure and improve software testability in their projects. To assess potential benefits of this review paper, we shared its draft version with two of our industrial collaborators. They stated that they found the review useful and beneficial in their testing activities. Our results can also benefit researchers in observing the trends in this area and identify the topics that require further investigation.</t>
  </si>
  <si>
    <t>Software testing, Software testability, Survey, Systematic literature mapping, Systematic literature review, Systematic mapping</t>
  </si>
  <si>
    <t>Moya A,Navarro E,Jaén J,López-Jaquero V,Capilla R</t>
  </si>
  <si>
    <t>Exploiting variability in the design of genetic algorithms to generate telerehabilitation activities</t>
  </si>
  <si>
    <t>https://www.sciencedirect.com/science/article/pii/S1568494622000187;http://dx.doi.org/10.1016/j.asoc.2022.108441</t>
  </si>
  <si>
    <t>10.1016/j.asoc.2022.108441</t>
  </si>
  <si>
    <t>The increasing number of people with impairments and the lack of specialists has led to a loss of efficiency to deliver proper treatments from National healthcare systems. In this light, telerehabilitation can play an important role as patients can perform certain therapies at home. Consequently, telerehabilitation systems must support delivering bespoke therapies to patients tailored to their deficits and preferences. However, creating bespoke telerehabilitation activities is a complex and time-consuming task because of the great assortment of deficits. To address this problem, we propose in this research work an automatic generation of such telerehabilitation activities aiming to both assist the specialist in designing and creating telerehabilitation activities that best fit each patient’s needs. Therefore, the main contributions of this paper are: (1) the exploitation of Feature Models (FM) to describe the variability in the telerehabilitation domain and to facilitate the communication among the stakeholders to accurately specify the patients’ deficits and the features of an association telerehabilitation activity. (2) The design and development of a genetic algorithm (GA) relying on the specified FM able to generate customized association telerehabilitation activities. The FM specified describes precisely the search problem so that the GA chromosomes can be easily identified. It also facilitates the discussion with the stakeholders during the design of the algorithm since its specification can be understood by non-experts in Computer Science. (3) The evaluation of the effectiveness and efficiency of the GA developed by using two sets of experiments: one for tuning the parameters of the GA and another to assess the effectiveness and efficiency of the algorithm while stressed under constraining conditions. (4) The integration of the proposal with a tool for telerehabilitation of people with Acquired Brain Injury (ABI). The proposal targets people with ABI because of the wide assortment of deficits they present, as well as the high impact ABI is having on society, being currently more common than breast cancer, spinal cord injury, HIV/AIDS and multiple sclerosis (MS) combined.</t>
  </si>
  <si>
    <t>Genetic algorithm, Evolutionary computing, Experimentation, Feature Model, Adaptation, Telerehabilitation, User model, Acquired Brain Injury</t>
  </si>
  <si>
    <t>Wang H,Hebig R</t>
  </si>
  <si>
    <t>Improving the experience for software-measurement system end-users: A story of two companies</t>
  </si>
  <si>
    <t>216-225</t>
  </si>
  <si>
    <t>https://www.sciencedirect.com/science/article/pii/S0950584917305104;http://dx.doi.org/10.1016/j.infsof.2018.06.006</t>
  </si>
  <si>
    <t>10.1016/j.infsof.2018.06.006</t>
  </si>
  <si>
    <t>Context Software measurement systems are used in large companies to provide developers with up-to-date feedback and metrics. Objective However, the front-ends of these systems are often not ready to provide a real-time experience for the end-users, who sometimes have to wait minutes before visualizations are provided. Method In this paper, we present the case studies of two large international companies and compare alternative technological setups for measurement system front-ends used and explored within these companies. We use a publicly available data-set for a performance evaluation and to analyze the results. Results For both companies we found significant performance differences between the alternative setups. However, in one of the companies these differences are not there for large data-sets. Furthermore, we found that not all setups enable the visualization of the newest available data. Conclusions Our results indicate that the choice of the visualization component has a larger impact on the performance than the choice of the data storage. However, companies are also willing to invest into setups that ensure that visualized measures are always up-to-date.</t>
  </si>
  <si>
    <t>Measurement systems, End-user experience, Performance</t>
  </si>
  <si>
    <t>Abreu DT,Barraza JE,Clavijo MV,Maturana MC,Santos JR,Schleder AM,Martins MR</t>
  </si>
  <si>
    <t>Research in System Reliability and Risk Analysis under development at the Naval Architecture and Ocean Engineering Department from University of São Paulo</t>
  </si>
  <si>
    <t>IFAC-PapersOnLine</t>
  </si>
  <si>
    <t>193-198</t>
  </si>
  <si>
    <t>2405-8963</t>
  </si>
  <si>
    <t>https://www.sciencedirect.com/science/article/pii/S2405896322014239;http://dx.doi.org/10.1016/j.ifacol.2022.09.206</t>
  </si>
  <si>
    <t>10.1016/j.ifacol.2022.09.206</t>
  </si>
  <si>
    <t>This paper explores a subset of the applied research work carried out at the Analysis, Evaluation and Risk Management Laboratory – LABRISCO from the University of São Paulo, which deals with the issue of system reliability and risk analysis from a broad perspective. The researches and results presented refer to asset integrity and management, risk-based inspection, reliability, availability, and maintainability analysis, life extension in oil and gas facilities, and artificial intelligence diagnosis and prognosis.</t>
  </si>
  <si>
    <t>Asset Integrity, Management, Risk Based Inspection, Life Extension, Diagnostics, Prognostics, Artificial Intelligence</t>
  </si>
  <si>
    <t>5th IFAC Workshop on Advanced Maintenance Engineering, Services and Technologies AMEST 2022</t>
  </si>
  <si>
    <t>Salama M,Bahsoon R,Bencomo N</t>
  </si>
  <si>
    <t>Mistrik I,Ali N,Kazman R,Grundy J,Schmerl B</t>
  </si>
  <si>
    <t>Chapter 11 - Managing Trade-offs in Self-Adaptive Software Architectures: A Systematic Mapping Study</t>
  </si>
  <si>
    <t>249-297</t>
  </si>
  <si>
    <t>Managing Trade-Offs in Adaptable Software Architectures</t>
  </si>
  <si>
    <t>https://www.sciencedirect.com/science/article/pii/B9780128028551000113;http://dx.doi.org/10.1016/B978-0-12-802855-1.00011-3</t>
  </si>
  <si>
    <t>10.1016/B978-0-12-802855-1.00011-3</t>
  </si>
  <si>
    <t>Self-adaptation has been driven by the need to achieve and maintain quality attributes in the face of the continuously changing requirements, as well as the uncertain demand during run-time. Designing architectures that exhibit a good trade-off between multiple quality attributes is challenging, especially in the case of self-adaptive software systems, due to the complexity, heterogeneity, and ultra-large scale of modern software systems. This challenge increases with the dynamic, open, and uncertain operating environment, as well as the need for complying to environmental, regulatory, and sustainability requirements; such as energy consumption regulations. This study aims at analyzing the research landscape that have explicitly addressed trade-offs management for self-adaptive software architectures, to obtain a comprehensive overview on the current state of research on this specialized area. A systematic mapping study was conducted to identify and analyze research works related to analyzing and managing trade-offs to support decision-making for self-adaptive software architectures. Twenty primary studies were evidently selected and analyzed to classify software paradigms, quality attributes considered, and the self-* properties that drive trade-offs management. The results show constant interest in finding solutions for trade-offs management at design-time and run-time, as well as the success of research initiatives even when new research challenges are found. The findings call for foundational framework to analyze and manage trade-offs for self-adaptive software architectures that can explicitly consider specific multiple quality attributes, the run-time dynamics, the uncertainty of the environment and the complex challenges of modern, ultra-large scale systems in particular given software paradigms.</t>
  </si>
  <si>
    <t>Self-adaptation, Self-adaptive architecture, Software architecture, Trade-offs management, Systematic mapping study, Self-awareness, Long-living software</t>
  </si>
  <si>
    <t>429-439</t>
  </si>
  <si>
    <t>Connected Computing Environment</t>
  </si>
  <si>
    <t>https://www.sciencedirect.com/science/article/pii/B9780124080911000142;http://dx.doi.org/10.1016/B978-0-12-408091-1.00014-2</t>
  </si>
  <si>
    <t>10.1016/B978-0-12-408091-1.00014-2</t>
  </si>
  <si>
    <t>Assunção WK,Vergilio SR,Lopez-Herrejon RE</t>
  </si>
  <si>
    <t>Automatic extraction of product line architecture and feature models from UML class diagram variants</t>
  </si>
  <si>
    <t>https://www.sciencedirect.com/science/article/pii/S0950584919302058;http://dx.doi.org/10.1016/j.infsof.2019.106198</t>
  </si>
  <si>
    <t>10.1016/j.infsof.2019.106198</t>
  </si>
  <si>
    <t>Context Software Product Lines (SPLs) are families of related products developed for specific domains. SPLs commonly emerge from existing variants when their individual maintenance and/or evolution become complex. Even though there exists a vast research literature on SPL extraction, the majority of the approaches have only focused on source code, are partially automated, or do not reflect domain constraints. Such limitations can make more difficult the extraction, management, documentation and generation of some important SPL artifacts such as the product line architecture, a fact that can impact negatively the evolution and maintenance of SPLs. Objective To tackle these limitations, this work presents ModelVars2SPL (Model Variants to SPL Core Assets), an automated approach to aid the development of SPLs from existing system variants. Method The input for ModelVars2SPL is a set of Unified Modeling Language (UML) class diagrams and the list of features they implement. The approach extracts two main assets: (i) Feature Model (FM), which represents the combinations of features, and (ii) a Product Line Architecture (PLA), which represents a global structure of the variants. ModelVars2SPL is composed of four automated steps. We conducted a thorough evaluation of ModelVars2SPL to analyze the artefacts it generates and its performance. Results The results show that the FMs well-represent the features organization, providing useful information to define and manage commonalities and variabilities. The PLAs show a global structure of current variants, facilitating the understanding of existing implementations of all variants. Conclusions An advantage of ModelVars2SPL is to exploit the use of UML design models, that is, it is independent of the programming language, and supports the re-engineering process in the design level, allowing practitioners to have a broader view of the SPL.</t>
  </si>
  <si>
    <t>Model merging, Feature model, SPL architecture, Search-based techniques</t>
  </si>
  <si>
    <t>Bird C,Menzies T,Zimmermann T</t>
  </si>
  <si>
    <t>Chapter 19 - Analytical Product Release Planning</t>
  </si>
  <si>
    <t>555-589</t>
  </si>
  <si>
    <t>The Art and Science of Analyzing Software Data</t>
  </si>
  <si>
    <t>https://www.sciencedirect.com/science/article/pii/B9780124115194000197;http://dx.doi.org/10.1016/B978-0-12-411519-4.00019-7</t>
  </si>
  <si>
    <t>As part of any incremental and iterative development, release planning is the process of assigning features to upcoming releases (or iterations) such that the overall product evolution is optimized. Analytical product release planning refers to the application of analytical methods in this process, thereby utilizing the diversity of data available from internal and external sources of information. In this chapter, information needs for release planning are outlined and a taxonomy of release planning problems is given. The paradigm of Open Innovation is introduced as a new way to elicit and gain access to relevant data related to product objectives, features and their dependencies, customers and changing priorities, as well as product values and market trends. Analytical Open Innovation (AOI) is the integration of Open Innovation with (a portfolio of) analytical methods which could be used in different problems of a semi-wicked nature such as planning and design. This chapter studies the usage of AOI in the context of release planning (RP). The respective approach called “AOI@RP” is taking advantage of gathering and generating data and relating data into well-defined aspects of the problem and combining analytical methods to address the solution. The usage of AOI is studied in more detail for two of the concrete release planning problems given in the taxonomy: (1) Release planning in the presence of advanced feature dependencies and synergies detected from morphological analysis; (2) continuous what-to-release planning in consideration of ongoing trial feature evaluation. An illustrative case study is used as proof of concept to the proposed solution methodology.</t>
  </si>
  <si>
    <t>Release planning, Open innovation, Data analytics, Decision support, Case study</t>
  </si>
  <si>
    <t>Zaheer H,Breyer Y,Dumay J</t>
  </si>
  <si>
    <t>Digital entrepreneurship: An interdisciplinary structured literature review and research agenda</t>
  </si>
  <si>
    <t>https://www.sciencedirect.com/science/article/pii/S0040162518309594;http://dx.doi.org/10.1016/j.techfore.2019.119735</t>
  </si>
  <si>
    <t>10.1016/j.techfore.2019.119735</t>
  </si>
  <si>
    <t>This paper provides a structured literature review of digital entrepreneurship to generate insights into recent developments in the field, critique the research to date, and identify opportunities for future research. We have applied the three aspects of critical research – insight, critique, and transformative redefinition – to analyse and synthesise the literature. We distil the definitions of the key constructs and identify three research development phases corresponding to practice development. Analysis of 133 scholarly articles by discipline, time, methodology, geography and theoretical focus informs that digital entrepreneurship research has been fragmented, divergent and slow to respond to practice. However, the field is now rapidly acquiring legitimacy and an identity, growing rapidly and is becoming more interdisciplinary. We explore how established views of entrepreneurial processes and clusters are being upended in a digital world. In outlining the future of the field, a preponderance of single case study and conceptual articles need to be supplemented with longitudinal, mixed methods, multiple case study and quantitative research. More integrative research, preferably presented as dynamic models, would advance the field. Design and action research output, and collaborations with practitioners will yield practice-driven insights. This paper will facilitate an interdisciplinary dialogue for evidence-informed policy and practice.</t>
  </si>
  <si>
    <t>Digital entrepreneurship, Digital start-up, Internet venture, Digital venturing, Online start-ups</t>
  </si>
  <si>
    <t>Hejderup J,Gousios G</t>
  </si>
  <si>
    <t>Can we trust tests to automate dependency updates? A case study of Java Projects</t>
  </si>
  <si>
    <t>https://www.sciencedirect.com/science/article/pii/S0164121221001941;http://dx.doi.org/10.1016/j.jss.2021.111097</t>
  </si>
  <si>
    <t>10.1016/j.jss.2021.111097</t>
  </si>
  <si>
    <t>Developers are increasingly using services such as Dependabot to automate dependency updates. However, recent research has shown that developers perceive such services as unreliable, as they heavily rely on test coverage to detect conflicts in updates. To understand the prevalence of tests exercising dependencies, we calculate the test coverage of direct and indirect uses of dependencies in 521 well-tested Java projects. We find that tests only cover 58% of direct and 21% of transitive dependency calls. By creating 1,122,420 artificial updates with simple faults covering all dependency usages in 262 projects, we measure the effectiveness of test suites in detecting semantic faults in dependencies; we find that tests can only detect 47% of direct and 35% of indirect artificial faults on average. To increase reliability, we investigate the use of change impact analysis as a means of reducing false negatives; on average, our tool can uncover 74% of injected faults in direct dependencies and 64% for transitive dependencies, nearly two times more than test suites. We then apply our tool in 22 real-world dependency updates, where it identifies three semantically conflicting cases and three cases of unused dependencies that tests were unable to detect. Our findings indicate that the combination of static and dynamic analysis should be a requirement for future dependency updating systems.</t>
  </si>
  <si>
    <t>Semantic versioning, Library updates, Package management, Dependency management, Software migration</t>
  </si>
  <si>
    <t>https://www.sciencedirect.com/science/article/pii/S0164121218301109;http://dx.doi.org/10.1016/j.jss.2018.05.057</t>
  </si>
  <si>
    <t>Code smells indicate possible flaws in software design, that could negatively affect system’s maintainability. Interactions among smells located in the same classes (i.e., collocated smells) have even more detrimental effect on quality. Extracted frequent patterns of collocated smells could help to understand practical consequences of collocations. In this paper we identify and empirically validate frequent collocations of 14 code smells detected in 92 Java systems, using three approaches: pairwise correlation analysis, PCA and associative rules. To cross-validate the results, we used up to 6 detectors for each smell. Additionally, we examine and compare techniques used to extract the relationships. The contribution is three-fold: (1) we identify and empirically validate relationships among the examined code smells on a large dataset that we made publicly available, (2) we discuss how the choice of code smell detectors affects results, and (3) we analyze the impact of software domain on existence of the smell collocations. Additionally, we found that analytical methods we used to discover collocations, are complementary. Smells collocations display recurring patterns that could help prioritizing the classes affected by code smells to be refactored and developing or enhancing detectors exploiting information about collocations. They can also help the developers focusing on classes deserving more maintenance effort.</t>
  </si>
  <si>
    <t>Code smells, Inter-smell relationships, Smell interaction, Collocated smells, Code smell detectors, Source code quality</t>
  </si>
  <si>
    <t>28-53</t>
  </si>
  <si>
    <t>https://www.sciencedirect.com/science/article/pii/S0164121217301772;http://dx.doi.org/10.1016/j.jss.2017.08.017</t>
  </si>
  <si>
    <t>Constrained clustering or semi-supervised clustering has received a lot of attention due to its flexibility of incorporating minimal supervision of domain experts or side information to help improve clustering results of classic unsupervised clustering techniques. In the domain of software remodularisation, classic unsupervised software clustering techniques have proven to be useful to aid in recovering a high-level abstraction of the software design of poorly documented or designed software systems. However, there is a lack of work that integrates constrained clustering for the same purpose to help improve the modularity of software systems. Nevertheless, due to time and budget constraints, it is laborious and unrealistic for domain experts who have prior knowledge about the software to review each and every software artifact and provide supervision on an on-demand basis. We aim to fill this research gap by proposing an automated approach to derive clustering constraints from the implicit structure of software system based on graph theory analysis of the analysed software. Evaluations conducted on 40 open-source object-oriented software systems show that the proposed approach can serve as an alternative solution to derive clustering constraints in situations where domain experts are non-existent, thus helping to improve the overall accuracy of clustering results.</t>
  </si>
  <si>
    <t>Constrained clustering, Software clustering, Software remodularisation, Graph theory, Complex network</t>
  </si>
  <si>
    <t>177-192</t>
  </si>
  <si>
    <t>https://www.sciencedirect.com/science/article/pii/S0065245817300086;http://dx.doi.org/10.1016/S0065-2458(17)30008-6</t>
  </si>
  <si>
    <t>10.1016/S0065-2458(17)30008-6</t>
  </si>
  <si>
    <t>217-227</t>
  </si>
  <si>
    <t>https://www.sciencedirect.com/science/article/pii/B9780124080898000124;http://dx.doi.org/10.1016/B978-0-12-408089-8.00012-4</t>
  </si>
  <si>
    <t>10.1016/B978-0-12-408089-8.00012-4</t>
  </si>
  <si>
    <t>https://www.sciencedirect.com/science/article/pii/S0950584922001513;http://dx.doi.org/10.1016/j.infsof.2022.107034</t>
  </si>
  <si>
    <t>Context: Free and Open Source Software is widely used in the research community and the software industry. In this context, developers come across various issues they need to handle in order to use and create software responsibly and without causing legal violations. For instance, using open source software that carries a specific license or how contributions to open source software should be handled are among the issues that need to be considered. Objective: As practitioners turn primarily to Q&amp;A sites to seek help, it is important to understand which specific open source software issues they face. In this research, our main objective is to provide a categorization of open source software problems present in the user questions of the Open Source Stack Exchange site and perform a meta-analysis on the encountered questions. Method: We have performed a qualitative study analyzing manually 1,500 most popular posts in the Open Source Stack Exchange site and have mapped them to categories and more generic clusters. The coding task was performed in iterations with the participation of three of the authors. Agreement was calculated and cases of disagreement were resolved. Meta-analysis on questions and answers was also performed for discussion purposes. Results: We have created 26 categories of problems discussed in the Open Source Stack Exchange site, and grouped them into 6 clusters. Our results show that posts on license texts/conditions and license/copyright notices are more common, whereas posts on license differences are the most popular in terms of views by other users. Conclusion: The results can assist any participant of the open source software community to understand on which basic issues she should focus on to gain a good understanding of open source software. They are also useful for improving education on open source software and community support using the implications presented for each category.</t>
  </si>
  <si>
    <t>Free and Open Source Software, Q&amp;A sites, Stack Exchange</t>
  </si>
  <si>
    <t>Nguyen PT,Di Rocco J,Rubei R,Di Sipio C,Di Ruscio D</t>
  </si>
  <si>
    <t>DeepLib: Machine translation techniques to recommend upgrades for third-party libraries</t>
  </si>
  <si>
    <t>https://www.sciencedirect.com/science/article/pii/S0957417422006388;http://dx.doi.org/10.1016/j.eswa.2022.117267</t>
  </si>
  <si>
    <t>10.1016/j.eswa.2022.117267</t>
  </si>
  <si>
    <t>To keep their code up-to-date with the newest functionalities as well as bug fixes offered by third-party libraries, developers often need to replace an old version of third-party libraries (TPLs) with a newer one. However, choosing a suitable version for a library to be upgraded is complex and susceptible to error. So far, Dependabot is the only tool that supports library upgrades; however, it targets only security fixes and singularly analyzes libraries without considering the whole set of related libraries. In this work, we propose DeepLib as a practical approach to learn upgrades for third-party libraries that have been performed by similar clients. Such upgrades are considered safe, i.e., they do not trigger any conflict, since, in the training clients, the libraries already co-exist without causing any compatibility or dependency issues. In this way, the upgrades provided by DeepLib allow developers to maintain a harmonious relationship with other libraries. By mining the development history of projects, we build migration matrices to train deep neural networks. Once being trained, the networks are then used to forecast the subsequent versions of the related libraries, exploiting the well-founded background related to the machine translation domain. As input, DeepLib accepts a set of library versions and returns a set of future versions to which developers should upgrade the libraries. The framework has been evaluated on two real-world datasets curated from the Maven Central Repository. The results show promising outcomes: DeepLib can recommend the next version for a library as well as a set of libraries under investigation. At its best performance, DeepLib gains a perfect match for several libraries, earning an accuracy of 1.0.</t>
  </si>
  <si>
    <t>Mining software repositories, Deep learning, Encoder–decoder neural network, Third-party libraries upgrade</t>
  </si>
  <si>
    <t>Li J,Herdem MS,Nathwani J,Wen JZ</t>
  </si>
  <si>
    <t>Methods and applications for Artificial Intelligence, Big Data, Internet of Things, and Blockchain in smart energy management</t>
  </si>
  <si>
    <t>Energy and AI</t>
  </si>
  <si>
    <t>2666-5468</t>
  </si>
  <si>
    <t>https://www.sciencedirect.com/science/article/pii/S2666546822000544;http://dx.doi.org/10.1016/j.egyai.2022.100208</t>
  </si>
  <si>
    <t>10.1016/j.egyai.2022.100208</t>
  </si>
  <si>
    <t>Information technologies involving artificial Intelligence, big data, Internet of Things devices and blockchain have been developed and implemented in many engineering fields worldwide. Existing review articles focus on developments and characteristics of individual topics and the associated deployment in the energy sector. These technologies, all based on communication, information, and data analysis, are naturally coherent and integrable. This article reviews the literature and patents in four closely related fields and aims to provide a holistic view of how they are related and their integrability in relation to smart energy management strategies. Artificial intelligence models forecast energy use and load profiles as well as schedule resources to ensure reliable performance and effective utilization of energy resources. Training artificial intelligence models requires immense volumes of data. Utilizing big data systems and data mining enables the discovery of new functions and relationships, which determines the performance of artificial intelligence. Data mining also refines the information; thus, artificial intelligence is trained iteratively with more accurate data. Smart energy management can be further enhanced through advanced digital technologies like Internet of Things and blockchain. An Internet of Things platform containing edge, fog and cloud layers helps connect artificial intelligence to other hardware and software devices and systems. Furthermore, an Internet of Things platform efficiently transmits and stores data, improving access and availability to stakeholders for data mining. Emerging technologies such as blockchain and cryptocurrency facilitate energy trading and can be designed in the cloud layer of an Internet of Things platform to supplement data storage. Providing an efficient and seamless integration of artificial intelligence, big data, and advanced digital technologies will be an important factor in the emerging transition of the energy sector to a lower-carbon system.</t>
  </si>
  <si>
    <t>Artificial Intelligence, Big Data, Digital technology, Smart grid, IoT, Blockchain</t>
  </si>
  <si>
    <t>Luisi JV</t>
  </si>
  <si>
    <t>Part III - Information Systems</t>
  </si>
  <si>
    <t>57-188</t>
  </si>
  <si>
    <t>Pragmatic Enterprise Architecture</t>
  </si>
  <si>
    <t>https://www.sciencedirect.com/science/article/pii/B9780128002056000032;http://dx.doi.org/10.1016/B978-0-12-800205-6.00003-2</t>
  </si>
  <si>
    <t>10.1016/B978-0-12-800205-6.00003-2</t>
  </si>
  <si>
    <t>This part enters into the main territory of enterprise architecture for information systems which is as rich in technology specialties as the IT ecosystem is diverse. Most organizations fail to recognize the need for diverse specialization within architecture because they fail to understand the depth of complexity and the costs associated with mediocrity within each area of specialization. They also believe that a general practioner, which we will call a solution architect, is qualified and appropriate to address the complexities across a wide array of technology areas. In reality, this is equivalent to staffing a medical center primarily with general practioners that act as the specialists. A healthy organization maintains top specialists with which the general practioners can participate in getting expertise that is in alignment with a future state vision that reduces complexity and costs.</t>
  </si>
  <si>
    <t>information systems architecture, enterprise architecture, business architecture, operations architecture, systems architecture, control systems architecture, cross-discipline capabilities, solution architect, subject matter expert, stakeholders, Legal, Compliance, Auditing, Chief Customer Officer, outsourcing partners, customers, investors, shareholders, regulators, enterprise architects, hedgehog principle, architectural standards, technology portfolio management, TPM, organizing technologies into portfolios, architecture ROI framework, application impact, infrastructure impact, personnel impact, vendor impact, operational workflow impact, business impact, after tax implications, net present value, NPV, internal rate of return, IRR, personnel severance costs, airfare, lodging, enhanced technology portfolio management, technology categories, technology subcategories, technology metadata, reporting architecture, OLTP, online transaction processing, OLAP, online analytical processing, business intelligence, nonstatistical analysis, data mining, predictive analytics, operational data store, ODS, DW, data warehouse, data mart, DM, GIS, geographic information system, Big Data, mashup technology, data warehouse architecture, BI Architecture, rollups, aggregates, dimensions, MOLAP, ROLAP, HOLAP, WOLAP, DOLAP, RTOLAP, CEP, complex event processing, NLP, natural language processing, data visualization, cluster diagrams, terrain maps, architectural drawings, floor plans, shelf layouts, routes, connectivity diagrams, bubbles, histograms, heat maps, scatter plots, rose charts, cockpit gauges, radar diagrams, stem and leaf plots, predict behavior, longitudinal analysis, survey sampling models, stimulus-response predictive models, statistical methods, nonstatistical models, neural networks, neural nets, polynomial, Big Data architecture, structured data, unstructured data, semistructured data, velocity, volume, frequency of updates, variety, concurrent users, OldSQL, New SQL, SQL, free space, query language, ACID, atomicity, consistency, isolation, durability, node, symmetric multiprocessing, SMP, massively parallel processing, MPP, asymmetric massively parallel processing, AMPP, Hadoop, DFS, distributed file system, MapReduce, Apache Software Foundation, ASF, FOSS, IP, Google, GFS, HDSF, GPFS, BigTable, NoSQL, Hbase, R Language, R Programming Language, Sqoop, Hive, Pig, Impala, FSF, free software foundation, CRAN, Comprehensive R Archive Network, R extensions, Luisi Prime Numbers, competing Hadoop frameworks, Cloudera, Hortonworks, MapR, IBM, Microsoft, Intel, Syncsort, SAS, Big Data is use case driven, document management/content management, knowledge management, graph DB, online transaction processing systems, data warehousing, real-time analytics, algorithmic approaches, batch analysis, advanced search, relational database technology in Hadoop, novelty discoveries, class discoveries, association discoveries, document management, content management, government archival records, business document management, IT document management, customer document management, Basho Riak, MarkLogic, MongoDB, Cassandra, Couchbase, Hadoop HDFS, Hadoop HBase, KYC, AML, SAP Hana, HP Vertica, Greenplum, Teradata, lifetime value, LTV, forecasting, Fair Isaac’s, HNC, Ward Systems, SAS complex event processing, algorithm based, matrix vector multiplication, relational algebraic operations, selections and projections, union, intersection and difference, grouping and aggregation, reducer size and replication rates, similarity joins, graph modeling, Netezza, NewSQL, e-Commerce, Akiban, Clustrix, Google Spanner, NuoDB, SQLFire, VoltDB, batch analytics, HDFS, address geocoding, linear measures event modeling, routing, topological, cartography, Neo4j, PostGIS, Oracle Spatial, Geotime, search and discovery, Lucidworks, Solr, Splunk, relational database technology in Hadoop, Splice Machine, Citus Data, use case driven, life cycle, ad hoc deployment, Big Data deployment, metadata, Big Data ecosystem, use case planning, business metadata, use case requirements, internal data discovery, external data discovery, inbound metadata, ingestion metadata, data persistence layer metadata, outbound metadata, lifecycle metadata, operations metadata, data governance metadata, compliance metadata, configuration management metadata, team metadata, directory services metadata, ecosystem administrator metadata, stakeholder metadata, workflow metadata, decommissioning metadata, metadata summary, There is no magic, Big Data accelerators, parallel and distributed processing, reduced code set that eliminates large amounts of DBMS code, fewer features, compression, proprietary hardware, SOA, OOA, LDA, CPU, LZ77, LZ78, Huffman, columnar, Big Data the future, quantum computing, code breaking, cryptography, prime number generation, traveling salesman problem, labeling images and objects within images, identifying correlations in genetic code, testing a scientific hypothesis, machine learning for problem solving (aka self-programming), adiabatic, AQC, gate model, D-Wave, qubit, quantum error correction, quantum processor, titanium, niobium, Columbian, Kelvin, Tesla, Josephson junction, Boolean SAT, SAPI interface, compiler, client libraries, frameworks, applications, mashup architecture, data virtualization layer, cross data landscape metrics, data security, data visualization styles, self-service, LDAP, compliance architecture, treaty zone, business compliance, IT compliance, ISO 17799, ISO 27000, COSO, Committee of Sponsoring Organizations of the Treadway Commission, OFAC, Office of Foreign Assets Control, Treasury department, United and Strengthening America by Providing Appropriate Tools Required to Intercept and Obstruct Terrorism, Section 314(a), USA PATRIOT Act, Office of Federal Contract Compliance Programs, OFCCP, Equal Employment Opportunity Act, EEOA, Financial Stability Board, FSB, Global Financial Markets Association, GFMA, Bank Secrecy Act, BSA, Regulation E of the Electronic Fund Transfer Act, EFTA, Dodd-Frank, Securities and Exchange Commission, SEC, Federal Trade Commission, FTC, Office of the Comptroller of the Currency, OCC, Commodity Futures Trading Commission, CFTC, International Swaps and Derivatives Association, ISDA, Sarbanes Oxley, SOX, Basel II, Solvency II, Blocked Persons List, Targeted Countries List, Denied Persons List, Denied Entities List, FBI’s Most Wanted, Debarred Parties List, Global Watch List, Politically Exposed Persons, PEP, anti-money laundering, know your client, suspicious activity report, SAR, CIP, DTCC, NSCC, DTC, SWIFT, CICI, LEI, CFTC Interim Compliant Identifier, National Securities Clearing Corporation, Customer Identification Program, Society for the Worldwide Interbank Financial Telecommunication, Legal Entity Identifier, RIM, legal hold, records information management, Governance Risk and Compliance, GRC, XBRL, 10-Q, 10-K, 20-F, 8-K, 6-K, legal compliance, HR compliance, financial compliance, application portfolio architecture, APM, applications architecture, business rules, workflow architecture, business capabilities, BPMN, workflow automation, BPM technology, application architecture, singular application, first-generation language, second-generation language, third-generation language, fourth-generation language, drag-and-drop self-service, array language, vector language, assembly language, command line interfaces, compiled language, interpreted language, data manipulation language, object-oriented language, scripting language, procedural language, rules engine, requirements traceability, error handling, software reuse, application architecture design patterns, integration pattern, distribution pattern, tier pattern, procedural pattern, processing pattern, usage pattern, analytical pattern, interactive pattern, data communication pattern, message dissemination pattern, resource sequence pattern, pipeline pattern, pipe and filter, event-driven pattern, blackboard pattern, MV pattern, integration architecture, hub and spoke, ESB, service-oriented architecture, enterprise service bus, extract transform and load, ETL, FTP, file transfer protocol, B2B, B2C, partner integration, life cycle architecture, software development life cycle, data centric life cycle, DCLC, DGLC, DLC, merger and acquisition life cycle, MALC, data center consolidation life cycle, DCCLC, corporate restructuring life cycle, CRLC, outsourcing life cycle, OSLC, insourcing life cycle, ISLC, operations life cycle, OLC, SDLC, ISO/IEC 12207, inception, high-level analysis, detail analysis, logical design, physical design, build, validation, deployment, post-implementation, logical data architecture, data requirements, data analysis, data profiling, conceptual data modeling, logical data modeling, physical data modeling, data discovery, data acquisition, data cleansing, data standardization, data integration, user acceptance, production, data governance life cycle, identifying data points, populating business data glossary, conceptual data architecture, business designated access rights, legal and compliance oversight, secure canned reporting data points, report and querying, production to nonproduction data movement, AGLC, architecture governance life cycle, analyze business direction, analyze business pain points, analyze types of technological issues, analyze all business initiative types, assess business alignment, initial architecture review, postmortem architecture review, divestiture life cycle, identify scope of business being divested, identify divested business capabilities, identify shared operations, automation supporting divested capabilities, identify dedicated operations, detach general ledger, identify unstructured data of divested areas, identify RIM data, define RIM business data, safeguard RIM data, validate RIM reporting, identify legal holds, safeguard legal hold data, validate legal hold reporting, downsize business operations, downsize automation, decommission, downsize IT operations, mergers and acquisitions, identify business scope being acquired, identify business organization impact, identify acquired automation, analyze overlapping automation, identify legal holds, compare data landscapes, identify automation impact, identify development environment impact, implement automation strategy, identify IT organization impact, general ledger integration, right-size business operations, right-size automation, right-size IT operations, data center consolidation, insourcing life cycle</t>
  </si>
  <si>
    <t>174-216</t>
  </si>
  <si>
    <t>https://www.sciencedirect.com/science/article/pii/S0164121218302681;http://dx.doi.org/10.1016/j.jss.2018.12.006</t>
  </si>
  <si>
    <t>Cyber-physical systems are integrations of computation, networking, and physical processes. Due to the tight cyber-physical coupling and to the potentially disrupting consequences of failures, security here is one of the primary concerns. Our systematic mapping study sheds light on how security is actually addressed when dealing with cyber-physical systems from an automatic control perspective. The provided map of 138 selected studies is defined empirically and is based on, for instance, application fields, various system components, related algorithms and models, attacks characteristics and defense strategies. It presents a powerful comparison framework for existing and future research on this hot topic, important for both industry and academia.</t>
  </si>
  <si>
    <t>Cyber-physical systems, Security, Systematic mapping study</t>
  </si>
  <si>
    <t>https://www.sciencedirect.com/science/article/pii/S1568494621009741;http://dx.doi.org/10.1016/j.asoc.2021.108066</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</si>
  <si>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t>
  </si>
  <si>
    <t>Microservice architectures, Microservices, Monolith migration, Multi-layer fuzzy cognitive maps, Evolutionary computation, Decision support</t>
  </si>
  <si>
    <t>Hurson A,Memon A</t>
  </si>
  <si>
    <t>273-282</t>
  </si>
  <si>
    <t>https://www.sciencedirect.com/science/article/pii/B9780123965288000134;http://dx.doi.org/10.1016/B978-0-12-396528-8.00013-4</t>
  </si>
  <si>
    <t>10.1016/B978-0-12-396528-8.00013-4</t>
  </si>
  <si>
    <t>Müller E,Schmitt S,Mauch C,Billaudelle S,Grübl A,Güttler M,Husmann D,Ilmberger J,Jeltsch S,Kaiser J,Klähn J,Kleider M,Koke C,Montes J,Müller P,Partzsch J,Passenberg F,Schmidt H,Vogginger B,Weidner J,Mayr C,Schemmel J</t>
  </si>
  <si>
    <t>The operating system of the neuromorphic BrainScaleS-1 system</t>
  </si>
  <si>
    <t>790-810</t>
  </si>
  <si>
    <t>https://www.sciencedirect.com/science/article/pii/S0925231222006646;http://dx.doi.org/10.1016/j.neucom.2022.05.081</t>
  </si>
  <si>
    <t>10.1016/j.neucom.2022.05.081</t>
  </si>
  <si>
    <t>BrainScaleS-1 is a wafer-scale mixed-signal accelerated neuromorphic system targeted for research in the fields of computational neuroscience and beyond-von-Neumann computing. Here we present the BrainScaleS Operating System (BrainScaleS OS): the software stack gives users the possibility to emulate networks described in the high-level network description language PyNN with minimal knowledge of the system, as well as expert usage facilitated by allowing access to the system at any depth of the stack. BrainScaleS OS has been used extensively in the commissioning and calibration of BrainScaleS-1 as well as in various neuromorphic experiments, e.g., rate-based deep learning, accelerated physical emulation of Bayesian inference, solving of SAT problems, and others. The tolerance to faults of individual components of the neuromorphic system is reflected in the mapping process based on information stored in an availability database. We evaluate the robustness and compensation mechanisms of the system and software stack. The software stack is designed with performance in mind, with its core implemented in C++ and most user-facing API wrapped automatically to Python. The implemented multi-FPGA orchestration allows for parallel configuration and synchronized experiments facilitating wafer-scale experiments. The initial configuration of a wafer-scale experiment with hundreds of neuromorphic ASICs is performed in a fraction of a minute. Subsequent experiments, that potentially change only a subset of parameters, can be executed with rates of typically 10Hz. The bandwidth from the host machine to the neuromorphic system is fully utilized starting from a quarter of the system’s FPGA count. Operation and development methodologies implemented for the BrainScaleS-1 neuromorphic architecture are presented and the individual components of BrainScaleS OS constituting the software stack for BrainScaleS-1 platform operation are detailed.</t>
  </si>
  <si>
    <t>Neuromorphic computing, Neuroscientific modeling, Hardware abstraction</t>
  </si>
  <si>
    <t>Homeyer A,Lotz J,Schwen LO,Weiss N,Romberg D,Höfener H,Zerbe N,Hufnagl P</t>
  </si>
  <si>
    <t>Artificial Intelligence in Pathology: From Prototype to Product</t>
  </si>
  <si>
    <t>Journal of Pathology Informatics</t>
  </si>
  <si>
    <t>2153-3539</t>
  </si>
  <si>
    <t>https://www.sciencedirect.com/science/article/pii/S2153353922001353;http://dx.doi.org/10.4103/jpi.jpi_84_20</t>
  </si>
  <si>
    <t>10.4103/jpi.jpi_84_20</t>
  </si>
  <si>
    <t>Modern image analysis techniques based on artificial intelligence (AI) have great potential to improve the quality and efficiency of diagnostic procedures in pathology and to detect novel biomarkers. Despite thousands of published research papers on applications of AI in pathology, hardly any research implementations have matured into commercial products for routine use. Bringing an AI solution for pathology to market poses significant technological, business, and regulatory challenges. In this paper, we provide a comprehensive overview and advice on how to meet these challenges. We outline how research prototypes can be turned into a product-ready state and integrated into the IT infrastructure of clinical laboratories. We also discuss business models for profitable AI solutions and reimbursement options for computer assistance in pathology. Moreover, we explain how to obtain regulatory approval so that AI solutions can be launched as in vitro diagnostic medical devices. Thus, this paper offers computer scientists, software companies, and pathologists a road map for transforming prototypes of AI solutions into commercial products.</t>
  </si>
  <si>
    <t>Artificial intelligence, business model, image analysis, integration, pathology, regulatory approval, reimbursement, technology readiness</t>
  </si>
  <si>
    <t>Publication Title</t>
  </si>
  <si>
    <t>Item Title</t>
  </si>
  <si>
    <t>Book Series Title</t>
  </si>
  <si>
    <t>Journal Volume</t>
  </si>
  <si>
    <t>Journal Issue</t>
  </si>
  <si>
    <t>Item DOI</t>
  </si>
  <si>
    <t>Publication Year</t>
  </si>
  <si>
    <t>URL</t>
  </si>
  <si>
    <t>Content Type</t>
  </si>
  <si>
    <t>Lecture Notes in Computer Science</t>
  </si>
  <si>
    <t>Product-Focused Software Process Improvement</t>
  </si>
  <si>
    <t>10.1007/978-3-031-21388-5</t>
  </si>
  <si>
    <t>Davide TaibiMarco KuhrmannTommi MikkonenJil KlÃ¼nderPekka Abrahamsson</t>
  </si>
  <si>
    <t>http://link.springer.com/book/10.1007/978-3-031-21388-5</t>
  </si>
  <si>
    <t>10.1007/978-3-030-35333-9</t>
  </si>
  <si>
    <t>Prof. Dr. Xavier FranchTomi MÃ¤nnistÃ¶Silverio MartÃ­nez-FernÃ¡ndez</t>
  </si>
  <si>
    <t>http://link.springer.com/book/10.1007/978-3-030-35333-9</t>
  </si>
  <si>
    <t>10.1007/978-3-030-75418-1</t>
  </si>
  <si>
    <t>Prof. Dr. Joaquim FilipeMichaÅ‚ ÅšmiaÅ‚ekAlexander BrodskySlimane Hammoudi</t>
  </si>
  <si>
    <t>http://link.springer.com/book/10.1007/978-3-030-75418-1</t>
  </si>
  <si>
    <t>Quality of Information and Communications Technology</t>
  </si>
  <si>
    <t>10.1007/978-3-030-85347-1</t>
  </si>
  <si>
    <t>Prof. Ana C. R. PaivaAna Rosa CavalliPaula Ventura MartinsRicardo PÃ©rez-Castillo</t>
  </si>
  <si>
    <t>http://link.springer.com/book/10.1007/978-3-030-85347-1</t>
  </si>
  <si>
    <t>Systems  Engineering and Artificial Intelligence</t>
  </si>
  <si>
    <t>10.1007/978-3-030-77283-3</t>
  </si>
  <si>
    <t>William F. LawlessRanjeev MittuDonald A. SofgeThomas ShortellThomas A. McDermott</t>
  </si>
  <si>
    <t>http://link.springer.com/book/10.1007/978-3-030-77283-3</t>
  </si>
  <si>
    <t>Artificial Intelligence-Enhanced Software and Systems Engineering</t>
  </si>
  <si>
    <t>Handbook on Artificial Intelligence-Empowered Applied Software Engineering</t>
  </si>
  <si>
    <t>10.1007/978-3-031-08202-3</t>
  </si>
  <si>
    <t>Maria VirvouGeorge A. TsihrintzisNikolaos G. BourbakisLakhmi C. Jain</t>
  </si>
  <si>
    <t>http://link.springer.com/book/10.1007/978-3-031-08202-3</t>
  </si>
  <si>
    <t>10.1007/978-3-030-64148-1</t>
  </si>
  <si>
    <t>Dr. Maurizio MorisioProf. Marco TorchianoAndreas Jedlitschka</t>
  </si>
  <si>
    <t>http://link.springer.com/book/10.1007/978-3-030-64148-1</t>
  </si>
  <si>
    <t>Computational Science and Its Applications â€“ ICCSA 2021</t>
  </si>
  <si>
    <t>10.1007/978-3-030-87007-2</t>
  </si>
  <si>
    <t>Prof. Dr. Osvaldo GervasiBeniamino MurganteDr. Sanjay MisraDr. Chiara GarauIvan BleÄiÄ‡David TaniarBernady O. ApduhanAna Maria A. C. RochaEufemia TarantinoCarmelo Maria Torre</t>
  </si>
  <si>
    <t>http://link.springer.com/book/10.1007/978-3-030-87007-2</t>
  </si>
  <si>
    <t>New Perspectives in Software Engineering</t>
  </si>
  <si>
    <t>10.1007/978-3-031-20322-0</t>
  </si>
  <si>
    <t>Jezreel MejiaMirna MuÃ±ozÃlvaro RochaVÃ­ctor HernÃ¡ndez-Nava</t>
  </si>
  <si>
    <t>http://link.springer.com/book/10.1007/978-3-031-20322-0</t>
  </si>
  <si>
    <t>Transactions on Computational Science and Computational Intelligence</t>
  </si>
  <si>
    <t>Advances in Software Engineering, Education, and e-Learning</t>
  </si>
  <si>
    <t>10.1007/978-3-030-70873-3</t>
  </si>
  <si>
    <t>Prof. Hamid R. ArabniaLeonidas DeligiannidisFernando G. TinettiQuoc-Nam Tran</t>
  </si>
  <si>
    <t>http://link.springer.com/book/10.1007/978-3-030-70873-3</t>
  </si>
  <si>
    <t>Research Challenges in Information Science</t>
  </si>
  <si>
    <t>10.1007/978-3-031-05760-1</t>
  </si>
  <si>
    <t>Renata GuizzardiDr. Jolita RalytÃ©Prof. Dr. Xavier Franch</t>
  </si>
  <si>
    <t>http://link.springer.com/book/10.1007/978-3-031-05760-1</t>
  </si>
  <si>
    <t>10.1007/978-3-319-49094-6</t>
  </si>
  <si>
    <t>Pekka AbrahamssonAndreas JedlitschkaAnh Nguyen DucMichael FeldererSousuke AmasakiTommi Mikkonen</t>
  </si>
  <si>
    <t>http://link.springer.com/book/10.1007/978-3-319-49094-6</t>
  </si>
  <si>
    <t>Software Engineering and Algorithms</t>
  </si>
  <si>
    <t>10.1007/978-3-030-77442-4</t>
  </si>
  <si>
    <t>Dr. Radek Silhavy</t>
  </si>
  <si>
    <t>http://link.springer.com/book/10.1007/978-3-030-77442-4</t>
  </si>
  <si>
    <t>Lecture Notes in Information Systems and Organisation</t>
  </si>
  <si>
    <t>Innovation Through Information Systems</t>
  </si>
  <si>
    <t>10.1007/978-3-030-86797-3</t>
  </si>
  <si>
    <t>Prof. Dr. Frederik AhlemannProf. Dr. Reinhard SchÃ¼tteProf. Dr. Stefan Stieglitz</t>
  </si>
  <si>
    <t>http://link.springer.com/book/10.1007/978-3-030-86797-3</t>
  </si>
  <si>
    <t>Systems, Software and Services Process Improvement</t>
  </si>
  <si>
    <t>10.1007/978-3-031-15559-8</t>
  </si>
  <si>
    <t>Murat YilmazPaul ClarkeRichard MessnarzBruno WÃ¶ran</t>
  </si>
  <si>
    <t>http://link.springer.com/book/10.1007/978-3-031-15559-8</t>
  </si>
  <si>
    <t>Advanced Information Systems Engineering</t>
  </si>
  <si>
    <t>10.1007/978-3-030-21290-2</t>
  </si>
  <si>
    <t>Paolo GiorginiBarbara Weber</t>
  </si>
  <si>
    <t>http://link.springer.com/book/10.1007/978-3-030-21290-2</t>
  </si>
  <si>
    <t>Productionizing AI</t>
  </si>
  <si>
    <t>10.1007/978-1-4842-8817-7</t>
  </si>
  <si>
    <t>Barry Walsh</t>
  </si>
  <si>
    <t>http://link.springer.com/book/10.1007/978-1-4842-8817-7</t>
  </si>
  <si>
    <t>Computational Science and Its Applications â€“ ICCSA 2022 Workshops</t>
  </si>
  <si>
    <t>10.1007/978-3-031-10548-7</t>
  </si>
  <si>
    <t>Prof. Osvaldo GervasiBeniamino MurganteSanjay MisraAna Maria A. C. RochaDr. Chiara Garau</t>
  </si>
  <si>
    <t>http://link.springer.com/book/10.1007/978-3-031-10548-7</t>
  </si>
  <si>
    <t>Software Engineering Perspectives in Systems</t>
  </si>
  <si>
    <t>10.1007/978-3-031-09070-7</t>
  </si>
  <si>
    <t>Prof. Radek Silhavy</t>
  </si>
  <si>
    <t>http://link.springer.com/book/10.1007/978-3-031-09070-7</t>
  </si>
  <si>
    <t>AIxIA 2021 â€“ Advances in Artificial Intelligence</t>
  </si>
  <si>
    <t>10.1007/978-3-031-08421-8</t>
  </si>
  <si>
    <t>Stefania BandiniFrancesca GaspariniViviana MascardiMatteo PalmonariGiuseppe Vizzari</t>
  </si>
  <si>
    <t>http://link.springer.com/book/10.1007/978-3-031-08421-8</t>
  </si>
  <si>
    <t>10.1007/978-3-030-49435-3</t>
  </si>
  <si>
    <t>Prof. Dr. Schahram DustdarDr. Eric YuCamille SalinesiDominique RieuVik Pant</t>
  </si>
  <si>
    <t>http://link.springer.com/book/10.1007/978-3-030-49435-3</t>
  </si>
  <si>
    <t>International Conference on Innovative Computing and Communications</t>
  </si>
  <si>
    <t>10.1007/978-981-16-2594-7</t>
  </si>
  <si>
    <t>Dr. Ashish KhannaDr. Deepak GuptaProf. Dr. Siddhartha BhattacharyyaProf. Aboul Ella HassanienDr. Sameer AnandDr. Ajay Jaiswal</t>
  </si>
  <si>
    <t>http://link.springer.com/book/10.1007/978-981-16-2594-7</t>
  </si>
  <si>
    <t>Tourism on the Verge</t>
  </si>
  <si>
    <t>Applied Data Science in Tourism</t>
  </si>
  <si>
    <t>10.1007/978-3-030-88389-8</t>
  </si>
  <si>
    <t>Prof. Dr. Roman Egger</t>
  </si>
  <si>
    <t>http://link.springer.com/book/10.1007/978-3-030-88389-8</t>
  </si>
  <si>
    <t>Software Engineering Application in Informatics</t>
  </si>
  <si>
    <t>10.1007/978-3-030-90318-3</t>
  </si>
  <si>
    <t>Dr. Radek SilhavyProf. Petr SilhavyProf. Zdenka Prokopova</t>
  </si>
  <si>
    <t>http://link.springer.com/book/10.1007/978-3-030-90318-3</t>
  </si>
  <si>
    <t>Handbook of Re-Engineering Software Intensive Systems into Software Product Lines</t>
  </si>
  <si>
    <t>10.1007/978-3-031-11686-5</t>
  </si>
  <si>
    <t>Roberto E. Lopez-HerrejonJabier MartinezWesley Klewerton Guez AssunÃ§Ã£oTewfik ZiadiMathieu AcherSilvia Vergilio</t>
  </si>
  <si>
    <t>http://link.springer.com/book/10.1007/978-3-031-11686-5</t>
  </si>
  <si>
    <t>Proceedings of Sixth International Congress on Information and Communication Technology</t>
  </si>
  <si>
    <t>10.1007/978-981-16-2380-6</t>
  </si>
  <si>
    <t>Prof. Dr. Xin-She YangProf. Simon SherrattDr. Nilanjan DeyDr. Amit Joshi</t>
  </si>
  <si>
    <t>http://link.springer.com/book/10.1007/978-981-16-2380-6</t>
  </si>
  <si>
    <t>Encyclopedia of Big Data</t>
  </si>
  <si>
    <t>10.1007/978-3-319-32010-6</t>
  </si>
  <si>
    <t>Laurie A. SchintlerConnie L. McNeely</t>
  </si>
  <si>
    <t>http://link.springer.com/referencework/10.1007/978-3-319-32010-6</t>
  </si>
  <si>
    <t>ReferenceWork</t>
  </si>
  <si>
    <t>Accelerating Digital Transformation</t>
  </si>
  <si>
    <t>10.1007/978-3-031-10873-0</t>
  </si>
  <si>
    <t>Jan BoschJan CarlsonHelena HolmstrÃ¶m OlssonKristian SandahlMiroslaw Staron</t>
  </si>
  <si>
    <t>http://link.springer.com/book/10.1007/978-3-031-10873-0</t>
  </si>
  <si>
    <t>Software Sustainability</t>
  </si>
  <si>
    <t>10.1007/978-3-030-69970-3</t>
  </si>
  <si>
    <t>Prof. Coral CaleroDr. MÂª Ãngeles MoragaProf. Mario Piattini</t>
  </si>
  <si>
    <t>http://link.springer.com/book/10.1007/978-3-030-69970-3</t>
  </si>
  <si>
    <t>10.1007/978-3-030-91452-3</t>
  </si>
  <si>
    <t>Luca ArditoAndreas JedlitschkaDr. Maurizio MorisioProf. Marco Torchiano</t>
  </si>
  <si>
    <t>http://link.springer.com/book/10.1007/978-3-030-91452-3</t>
  </si>
  <si>
    <t>Cloud Native Architecture and Design</t>
  </si>
  <si>
    <t>10.1007/978-1-4842-7226-8</t>
  </si>
  <si>
    <t>Shivakumar R Goniwada</t>
  </si>
  <si>
    <t>http://link.springer.com/book/10.1007/978-1-4842-7226-8</t>
  </si>
  <si>
    <t>Intelligent Computing</t>
  </si>
  <si>
    <t>10.1007/978-3-030-80119-9</t>
  </si>
  <si>
    <t>Prof. Dr. Kohei Arai</t>
  </si>
  <si>
    <t>http://link.springer.com/book/10.1007/978-3-030-80119-9</t>
  </si>
  <si>
    <t>Safety and Security of Cyber-Physical Systems</t>
  </si>
  <si>
    <t>10.1007/978-3-658-37182-1</t>
  </si>
  <si>
    <t>Dr. Frank J. Furrer</t>
  </si>
  <si>
    <t>http://link.springer.com/book/10.1007/978-3-658-37182-1</t>
  </si>
  <si>
    <t>Sustainable Communication Networks and Application</t>
  </si>
  <si>
    <t>10.1007/978-981-16-6605-6</t>
  </si>
  <si>
    <t>Dr. P. KarrupusamyDr. Valentina Emilia BalasDr. Yong Shi</t>
  </si>
  <si>
    <t>http://link.springer.com/book/10.1007/978-981-16-6605-6</t>
  </si>
  <si>
    <t>10.1007/978-3-031-10542-5</t>
  </si>
  <si>
    <t>Prof. Dr. Osvaldo GervasiBeniamino MurganteSanjay MisraAna Maria A. C. RochaDr. Chiara Garau</t>
  </si>
  <si>
    <t>http://link.springer.com/book/10.1007/978-3-031-10542-5</t>
  </si>
  <si>
    <t>10.1007/978-3-030-79382-1</t>
  </si>
  <si>
    <t>Marcello La RosaShazia SadiqProf. Ernest Teniente</t>
  </si>
  <si>
    <t>http://link.springer.com/book/10.1007/978-3-030-79382-1</t>
  </si>
  <si>
    <t>10.1007/978-981-16-2102-4</t>
  </si>
  <si>
    <t>Dr. Xin-She YangDr. Simon SherrattDr. Nilanjan DeyDr. Amit Joshi</t>
  </si>
  <si>
    <t>http://link.springer.com/book/10.1007/978-981-16-2102-4</t>
  </si>
  <si>
    <t>10.1007/978-3-031-14179-9</t>
  </si>
  <si>
    <t>Antonio VallecilloJoost VisserRicardo PÃ©rez-Castillo</t>
  </si>
  <si>
    <t>http://link.springer.com/book/10.1007/978-3-031-14179-9</t>
  </si>
  <si>
    <t>10.1007/978-3-031-10461-9</t>
  </si>
  <si>
    <t>http://link.springer.com/book/10.1007/978-3-031-10461-9</t>
  </si>
  <si>
    <t>Information Systems</t>
  </si>
  <si>
    <t>10.1007/978-3-030-95947-0</t>
  </si>
  <si>
    <t>Prof. Marinos ThemistocleousDr. Maria Papadaki</t>
  </si>
  <si>
    <t>http://link.springer.com/book/10.1007/978-3-030-95947-0</t>
  </si>
  <si>
    <t>The Next Wave of Sociotechnical Design</t>
  </si>
  <si>
    <t>10.1007/978-3-030-82405-1</t>
  </si>
  <si>
    <t>Leona Chandra KruseProf. Dr. Stefan SeidelGeir Inge Hausvik</t>
  </si>
  <si>
    <t>http://link.springer.com/book/10.1007/978-3-030-82405-1</t>
  </si>
  <si>
    <t>Information Systems and Technologies</t>
  </si>
  <si>
    <t>10.1007/978-3-031-04829-6</t>
  </si>
  <si>
    <t>Alvaro RochaDr. Hojjat AdeliDr. Gintautas DzemydaProf. Fernando Moreira</t>
  </si>
  <si>
    <t>http://link.springer.com/book/10.1007/978-3-031-04829-6</t>
  </si>
  <si>
    <t>10.1007/978-3-030-57321-8</t>
  </si>
  <si>
    <t>Andreas HolzingerProf. Dr. Peter KiesebergProf. Dr. A Min TjoaEdgar Weippl</t>
  </si>
  <si>
    <t>http://link.springer.com/book/10.1007/978-3-030-57321-8</t>
  </si>
  <si>
    <t>10.1007/978-3-031-04819-7</t>
  </si>
  <si>
    <t>http://link.springer.com/book/10.1007/978-3-031-04819-7</t>
  </si>
  <si>
    <t>Service-Oriented Computing</t>
  </si>
  <si>
    <t>10.1007/978-3-031-20984-0</t>
  </si>
  <si>
    <t>Javier TroyaBrahim MedjahedMario PiattiniLina YaoPablo FernÃ¡ndezAntonio Ruiz-CortÃ©s</t>
  </si>
  <si>
    <t>http://link.springer.com/book/10.1007/978-3-031-20984-0</t>
  </si>
  <si>
    <t>10.1007/978-3-030-85521-5</t>
  </si>
  <si>
    <t>Murat YilmazPaul ClarkeDr. Richard MessnarzProf. Michael Reiner</t>
  </si>
  <si>
    <t>http://link.springer.com/book/10.1007/978-3-030-85521-5</t>
  </si>
  <si>
    <t>Trends and Applications in Information Systems and Technologies</t>
  </si>
  <si>
    <t>10.1007/978-3-030-72654-6</t>
  </si>
  <si>
    <t>Prof. Ãlvaro RochaHojjat AdeliDr. Gintautas DzemydaProf. Fernando MoreiraProf. Ana Maria Ramalho Correia</t>
  </si>
  <si>
    <t>http://link.springer.com/book/10.1007/978-3-030-72654-6</t>
  </si>
  <si>
    <t>Banking 4.0</t>
  </si>
  <si>
    <t>10.1007/978-981-16-6069-6</t>
  </si>
  <si>
    <t>Mohan Bhatia</t>
  </si>
  <si>
    <t>http://link.springer.com/book/10.1007/978-981-16-6069-6</t>
  </si>
  <si>
    <t>10.1007/978-3-030-91431-8</t>
  </si>
  <si>
    <t>Hakim HacidOdej KaoMassimo MecellaDr. Naouel MohaHye-young Paik</t>
  </si>
  <si>
    <t>http://link.springer.com/book/10.1007/978-3-030-91431-8</t>
  </si>
  <si>
    <t>Engineering Artificially Intelligent Systems</t>
  </si>
  <si>
    <t>10.1007/978-3-030-89385-9</t>
  </si>
  <si>
    <t>William F. LawlessProf. James LlinasDonald A. SofgeRanjeev Mittu</t>
  </si>
  <si>
    <t>http://link.springer.com/book/10.1007/978-3-030-89385-9</t>
  </si>
  <si>
    <t>Leveraging Applications of Formal Methods, Verification and Validation</t>
  </si>
  <si>
    <t>10.1007/978-3-030-89159-6</t>
  </si>
  <si>
    <t>Tiziana MargariaProf. Dr. Bernhard Steffen</t>
  </si>
  <si>
    <t>http://link.springer.com/book/10.1007/978-3-030-89159-6</t>
  </si>
  <si>
    <t>ICDSMLA 2020</t>
  </si>
  <si>
    <t>10.1007/978-981-16-3690-5</t>
  </si>
  <si>
    <t>Dr. Amit KumarProf. Dr. Sabrina SenatoreAssoc. Prof. Vinit Kumar Gunjan</t>
  </si>
  <si>
    <t>http://link.springer.com/book/10.1007/978-981-16-3690-5</t>
  </si>
  <si>
    <t>Leveraging Applications of Formal Methods, Verification and Validation. Software Engineering</t>
  </si>
  <si>
    <t>10.1007/978-3-031-19756-7</t>
  </si>
  <si>
    <t>Tiziana MargariaBernhard Steffen</t>
  </si>
  <si>
    <t>http://link.springer.com/book/10.1007/978-3-031-19756-7</t>
  </si>
  <si>
    <t>Rishab SharmaRamin ShahbaziFatemeh H. FardZadia CodabuxMelina Vidoni</t>
  </si>
  <si>
    <t>http://link.springer.com/article/10.1007/s10515-022-00358-6</t>
  </si>
  <si>
    <t>Article</t>
  </si>
  <si>
    <t>Leevi RantalaMika MÃ¤ntylÃ¤</t>
  </si>
  <si>
    <t>http://link.springer.com/article/10.1007/s11219-020-09520-3</t>
  </si>
  <si>
    <t>Software Architecture</t>
  </si>
  <si>
    <t>10.1007/978-3-030-86044-8</t>
  </si>
  <si>
    <t>Univ.-Prof. Dr. Stefan BifflElena NavarroWelf LÃ¶weProf. Marjan SirjaniProf. Raffaela MirandolaProf. Dr. Danny Weyns</t>
  </si>
  <si>
    <t>http://link.springer.com/book/10.1007/978-3-030-86044-8</t>
  </si>
  <si>
    <t>Dongjin YuLin WangXin ChenJie Chen</t>
  </si>
  <si>
    <t>http://link.springer.com/article/10.1007/s11704-020-9281-z</t>
  </si>
  <si>
    <t>System Dependability and Analytics</t>
  </si>
  <si>
    <t>10.1007/978-3-031-02063-6</t>
  </si>
  <si>
    <t>Assoc. Prof. Long WangProf. Karthik PattabiramanDr. Catello Di MartinoAssist. Prof. Arjun AthreyaProf. Saurabh Bagchi</t>
  </si>
  <si>
    <t>http://link.springer.com/book/10.1007/978-3-031-02063-6</t>
  </si>
  <si>
    <t>Data Science</t>
  </si>
  <si>
    <t>10.1007/978-981-15-7984-4</t>
  </si>
  <si>
    <t>Pinle QinHongzhi WangGuanglu SunZeguang Lu</t>
  </si>
  <si>
    <t>http://link.springer.com/book/10.1007/978-981-15-7984-4</t>
  </si>
  <si>
    <t>Data Teams</t>
  </si>
  <si>
    <t>10.1007/978-1-4842-6228-3</t>
  </si>
  <si>
    <t>Jesse Anderson</t>
  </si>
  <si>
    <t>http://link.springer.com/book/10.1007/978-1-4842-6228-3</t>
  </si>
  <si>
    <t>Metadata and Semantic Research</t>
  </si>
  <si>
    <t>10.1007/978-3-030-98876-0</t>
  </si>
  <si>
    <t>Dr. Emmanouel GaroufallouMarÃ­a-Antonia Ovalle-PerandonesAndreas Vlachidis</t>
  </si>
  <si>
    <t>http://link.springer.com/book/10.1007/978-3-030-98876-0</t>
  </si>
  <si>
    <t>Lecture Notes on Multidisciplinary Industrial Engineering</t>
  </si>
  <si>
    <t>Proceedings on 18th International Conference on Industrial Systems â€“ ISâ€™20</t>
  </si>
  <si>
    <t>10.1007/978-3-030-97947-8</t>
  </si>
  <si>
    <t>Assoc. Prof. Bojan LalicAssist. Prof. Danijela GracaninAssist. Prof. Nemanja TasicAssoc. Prof. Nenad SimeunoviÄ‡</t>
  </si>
  <si>
    <t>http://link.springer.com/book/10.1007/978-3-030-97947-8</t>
  </si>
  <si>
    <t>ICT Analysis and Applications</t>
  </si>
  <si>
    <t>10.1007/978-981-16-5655-2</t>
  </si>
  <si>
    <t>Dr. Simon FongDr. Nilanjan DeyDr. Amit Joshi</t>
  </si>
  <si>
    <t>http://link.springer.com/book/10.1007/978-981-16-5655-2</t>
  </si>
  <si>
    <t>Agile Processes in Software Engineering and Extreme Programming â€“ Workshops</t>
  </si>
  <si>
    <t>10.1007/978-3-030-88583-0</t>
  </si>
  <si>
    <t>Peggy GregoryDr. Philippe Kruchten</t>
  </si>
  <si>
    <t>http://link.springer.com/book/10.1007/978-3-030-88583-0</t>
  </si>
  <si>
    <t>10.1007/978-3-030-56441-4</t>
  </si>
  <si>
    <t>Murat YilmazProf. Dr. JÃ¶rg NiemannPaul ClarkeDr. Richard Messnarz</t>
  </si>
  <si>
    <t>http://link.springer.com/book/10.1007/978-3-030-56441-4</t>
  </si>
  <si>
    <t>Agile Processes in Software Engineering and Extreme Programming</t>
  </si>
  <si>
    <t>10.1007/978-3-030-19034-7</t>
  </si>
  <si>
    <t>Philippe KruchtenSteven FraserDr. FranÃ§ois Coallier</t>
  </si>
  <si>
    <t>http://link.springer.com/book/10.1007/978-3-030-19034-7</t>
  </si>
  <si>
    <t>Intelligence of Things: Technologies and Applications</t>
  </si>
  <si>
    <t>10.1007/978-3-031-15063-0</t>
  </si>
  <si>
    <t>Ngoc-Thanh NguyenNhu-Ngoc DaoQuang-Dung PhamHong Anh Le</t>
  </si>
  <si>
    <t>http://link.springer.com/book/10.1007/978-3-031-15063-0</t>
  </si>
  <si>
    <t>Encyclopedia of Education and Information Technologies</t>
  </si>
  <si>
    <t>10.1007/978-3-030-10576-1</t>
  </si>
  <si>
    <t>Arthur Tatnall</t>
  </si>
  <si>
    <t>http://link.springer.com/referencework/10.1007/978-3-030-10576-1</t>
  </si>
  <si>
    <t>Freedom and Social Inclusion in a Connected World</t>
  </si>
  <si>
    <t>10.1007/978-3-031-19429-0</t>
  </si>
  <si>
    <t>Yingqin ZhengPamela AbbottJose Antonio Robles-Flores</t>
  </si>
  <si>
    <t>http://link.springer.com/book/10.1007/978-3-031-19429-0</t>
  </si>
  <si>
    <t>Synergies Between Artificial Intelligence andÂ Software Engineering: Evolution andÂ Trends</t>
  </si>
  <si>
    <t>10.1007/978-3-031-08202-3_2</t>
  </si>
  <si>
    <t>Aurora RamÃ­rezJosÃ© RaÃºl Romero</t>
  </si>
  <si>
    <t>http://link.springer.com/chapter/10.1007/978-3-031-08202-3_2</t>
  </si>
  <si>
    <t>Chapter</t>
  </si>
  <si>
    <t>Artificial Neural Networks and Machine Learning â€“ ICANN 2022</t>
  </si>
  <si>
    <t>10.1007/978-3-031-15919-0</t>
  </si>
  <si>
    <t>Elias PimenidisPlamen AngelovChrisina JayneAntonios PapaleonidasMehmet Aydin</t>
  </si>
  <si>
    <t>http://link.springer.com/book/10.1007/978-3-031-15919-0</t>
  </si>
  <si>
    <t>Software Quality: The Next Big Thing in Software Engineering and Quality</t>
  </si>
  <si>
    <t>10.1007/978-3-031-04115-0</t>
  </si>
  <si>
    <t>Prof. Dr. Daniel MendezProf. Manuel WimmerDietmar WinklerProf. Dr. Stefan BifflJohannes Bergsmann</t>
  </si>
  <si>
    <t>http://link.springer.com/book/10.1007/978-3-031-04115-0</t>
  </si>
  <si>
    <t>Abdulaziz AlhefdhiHoa Khanh DamYusuf Sulistyo NugrohoHideaki HataTakashi IshioAditya Ghose</t>
  </si>
  <si>
    <t>http://link.springer.com/article/10.1007/s10515-022-00364-8</t>
  </si>
  <si>
    <t>Applying Machine Learning in Technical Debt Management: Future Opportunities and Challenges</t>
  </si>
  <si>
    <t>Angeliki-Agathi TsintziraElvira-Maria ArvanitouApostolos AmpatzoglouAlexander Chatzigeorgiou</t>
  </si>
  <si>
    <t>http://link.springer.com/chapter/10.1007/978-3-030-58793-2_5</t>
  </si>
  <si>
    <t>Rethinking Productivity in Software Engineering</t>
  </si>
  <si>
    <t>10.1007/978-1-4842-4221-6</t>
  </si>
  <si>
    <t>Caitlin SadowskiThomas Zimmermann</t>
  </si>
  <si>
    <t>http://link.springer.com/book/10.1007/978-1-4842-4221-6</t>
  </si>
  <si>
    <t>Proceedings of the Future Technologies Conference (FTC) 2022, Volume 1</t>
  </si>
  <si>
    <t>10.1007/978-3-031-18461-1</t>
  </si>
  <si>
    <t>Kohei Arai</t>
  </si>
  <si>
    <t>http://link.springer.com/book/10.1007/978-3-031-18461-1</t>
  </si>
  <si>
    <t>Qiao HuangEmad ShihabXin XiaDavid LoShanping Li</t>
  </si>
  <si>
    <t>http://link.springer.com/article/10.1007/s10664-017-9522-4</t>
  </si>
  <si>
    <t>Lerina AversanoMario Luca BernardiMarta CimitileMartina IammarinoDebora Montano</t>
  </si>
  <si>
    <t>http://link.springer.com/article/10.1007/s11704-022-1541-7</t>
  </si>
  <si>
    <t>10.1007/978-3-031-08965-7</t>
  </si>
  <si>
    <t>http://link.springer.com/book/10.1007/978-3-031-08965-7</t>
  </si>
  <si>
    <t>Software Business</t>
  </si>
  <si>
    <t>10.1007/978-3-030-91983-2</t>
  </si>
  <si>
    <t>Xiaofeng WangAntonio MartiniDr. Anh Nguyen-DucDr. Viktoria Stray</t>
  </si>
  <si>
    <t>http://link.springer.com/book/10.1007/978-3-030-91983-2</t>
  </si>
  <si>
    <t>Privacy and Identity Management. Data for Better Living: AI and Privacy</t>
  </si>
  <si>
    <t>10.1007/978-3-030-42504-3</t>
  </si>
  <si>
    <t>Dr. Michael FriedewaldMelek Ã–nenProf. Dr. Eva LievensStephan KrennSamuel Fricker</t>
  </si>
  <si>
    <t>http://link.springer.com/book/10.1007/978-3-030-42504-3</t>
  </si>
  <si>
    <t>Artificial Intelligence XXXIX</t>
  </si>
  <si>
    <t>10.1007/978-3-031-21441-7</t>
  </si>
  <si>
    <t>Max BramerFrederic Stahl</t>
  </si>
  <si>
    <t>http://link.springer.com/book/10.1007/978-3-031-21441-7</t>
  </si>
  <si>
    <t>Advances in Electrical and Computer Technologies</t>
  </si>
  <si>
    <t>10.1007/978-981-19-1111-8</t>
  </si>
  <si>
    <t>Thangaprakash SengodanM. MurugappanSanjay Misra</t>
  </si>
  <si>
    <t>http://link.springer.com/book/10.1007/978-981-19-1111-8</t>
  </si>
  <si>
    <t>HCI International 2021 - Late Breaking Papers: Multimodality, eXtended Reality, and Artificial Intelligence</t>
  </si>
  <si>
    <t>10.1007/978-3-030-90963-5</t>
  </si>
  <si>
    <t>Prof. Constantine StephanidisMasaaki KurosuJessie Y. C. ChenGino FragomeniDr. Norbert StreitzDr. Shin'ichi KonomiHelmut DegenDr. Stavroula Ntoa</t>
  </si>
  <si>
    <t>http://link.springer.com/book/10.1007/978-3-030-90963-5</t>
  </si>
  <si>
    <t>Advances in Information Security</t>
  </si>
  <si>
    <t>Countering Cyberterrorism</t>
  </si>
  <si>
    <t>10.1007/978-3-031-21920-7</t>
  </si>
  <si>
    <t>Reza Montasari</t>
  </si>
  <si>
    <t>http://link.springer.com/book/10.1007/978-3-031-21920-7</t>
  </si>
  <si>
    <t>The Digital Journey of Banking and Insurance, Volume III</t>
  </si>
  <si>
    <t>10.1007/978-3-030-78821-6</t>
  </si>
  <si>
    <t>Volker LiermannClaus Stegmann</t>
  </si>
  <si>
    <t>http://link.springer.com/book/10.1007/978-3-030-78821-6</t>
  </si>
  <si>
    <t>Collaboration Technologies and Social Computing</t>
  </si>
  <si>
    <t>10.1007/978-3-031-20218-6</t>
  </si>
  <si>
    <t>Lung-Hsiang WongYugo HayashiCesar A. CollazosClaudio AlvarezGustavo ZuritaNelson Baloian</t>
  </si>
  <si>
    <t>http://link.springer.com/book/10.1007/978-3-031-20218-6</t>
  </si>
  <si>
    <t>10.1007/978-3-319-57633-6</t>
  </si>
  <si>
    <t>Hubert BaumeisterHorst LichterMatthias Riebisch</t>
  </si>
  <si>
    <t>http://link.springer.com/book/10.1007/978-3-319-57633-6</t>
  </si>
  <si>
    <t>Biruk Asmare MuseCsaba NagyAnthony CleveFoutse KhomhGiuliano Antoniol</t>
  </si>
  <si>
    <t>http://link.springer.com/article/10.1007/s10664-022-10119-4</t>
  </si>
  <si>
    <t>Emerging Research in Computing, Information, Communication and Applications</t>
  </si>
  <si>
    <t>10.1007/978-981-19-5482-5</t>
  </si>
  <si>
    <t>N. R. ShettyL. M. PatnaikN. H. Prasad</t>
  </si>
  <si>
    <t>http://link.springer.com/book/10.1007/978-981-19-5482-5</t>
  </si>
  <si>
    <t>Code Clone Analysis</t>
  </si>
  <si>
    <t>10.1007/978-981-16-1927-4</t>
  </si>
  <si>
    <t>Dr. Katsuro InoueChanchal K. Roy</t>
  </si>
  <si>
    <t>http://link.springer.com/book/10.1007/978-981-16-1927-4</t>
  </si>
  <si>
    <t>Digital Marketplaces Unleashed</t>
  </si>
  <si>
    <t>10.1007/978-3-662-49275-8</t>
  </si>
  <si>
    <t>Prof. Dr. Claudia Linnhoff-PopienDr. Ralf SchneiderMichael Zaddach</t>
  </si>
  <si>
    <t>http://link.springer.com/book/10.1007/978-3-662-49275-8</t>
  </si>
  <si>
    <t>10.1007/978-3-319-97925-0</t>
  </si>
  <si>
    <t>Xabier LarruceaIzaskun SantamariaProf. Dr. Rory V. O'ConnorRichard Messnarz</t>
  </si>
  <si>
    <t>http://link.springer.com/book/10.1007/978-3-319-97925-0</t>
  </si>
  <si>
    <t>10.1007/978-3-030-03673-7</t>
  </si>
  <si>
    <t>Dr. Marco KuhrmannProf. Dr. Kurt SchneiderDietmar PfahlSousuke AmasakiMarcus CiolkowskiProf. Dr. Regina HebigDr. Paolo TellJil KlÃ¼nderSteffen KÃ¼pper</t>
  </si>
  <si>
    <t>http://link.springer.com/book/10.1007/978-3-030-03673-7</t>
  </si>
  <si>
    <t>Lecture Notes in Operations Research</t>
  </si>
  <si>
    <t>City, Society, and Digital Transformation</t>
  </si>
  <si>
    <t>10.1007/978-3-031-15644-1</t>
  </si>
  <si>
    <t>Robin QiuWai Kin Victor ChanWeiwei ChenYouakim BadrCanrong Zhang</t>
  </si>
  <si>
    <t>http://link.springer.com/book/10.1007/978-3-031-15644-1</t>
  </si>
  <si>
    <t>10.1007/978-3-030-28005-5</t>
  </si>
  <si>
    <t>Alastair WalkerProf. Rory V. O'ConnorDr. Richard Messnarz</t>
  </si>
  <si>
    <t>http://link.springer.com/book/10.1007/978-3-030-28005-5</t>
  </si>
  <si>
    <t>10.1007/978-3-030-59155-7</t>
  </si>
  <si>
    <t>Henry MucciniParis AvgeriouDr. Barbora BuhnovaJavier CamaraMauro CaporuscioMirco FranzagoAnne KoziolekDr. Patrizia ScandurraCatia TrubianiDanny WeynsUwe Zdun</t>
  </si>
  <si>
    <t>http://link.springer.com/book/10.1007/978-3-030-59155-7</t>
  </si>
  <si>
    <t>10.1007/978-3-031-15116-3</t>
  </si>
  <si>
    <t>Prof. Patrizia ScandurraMatthias GalsterProf. Raffaela MirandolaProf. Dr. Danny Weyns</t>
  </si>
  <si>
    <t>http://link.springer.com/book/10.1007/978-3-031-15116-3</t>
  </si>
  <si>
    <t>Deployable Machine Learning for Security Defense</t>
  </si>
  <si>
    <t>10.1007/978-3-030-87839-9</t>
  </si>
  <si>
    <t>Gang WangArridhana CiptadiAli Ahmadzadeh</t>
  </si>
  <si>
    <t>http://link.springer.com/book/10.1007/978-3-030-87839-9</t>
  </si>
  <si>
    <t>Wait for it: identifying â€œOn-Holdâ€ self-admitted technical debt</t>
  </si>
  <si>
    <t>Rungroj MaipraditChristoph TreudeHideaki HataKenichi Matsumoto</t>
  </si>
  <si>
    <t>http://link.springer.com/article/10.1007/s10664-020-09854-3</t>
  </si>
  <si>
    <t>Proceedings of the First International Workshop on Intelligent Software Automation</t>
  </si>
  <si>
    <t>10.1007/978-981-16-1045-5</t>
  </si>
  <si>
    <t>Sajid AnwarDr. Abdul Rauf</t>
  </si>
  <si>
    <t>http://link.springer.com/book/10.1007/978-981-16-1045-5</t>
  </si>
  <si>
    <t>Intelligent Systems Reference Library</t>
  </si>
  <si>
    <t>Explainable AI: Foundations, Methodologies and Applications</t>
  </si>
  <si>
    <t>10.1007/978-3-031-12807-3</t>
  </si>
  <si>
    <t>Mayuri MehtaVasile PaladeIndranath Chatterjee</t>
  </si>
  <si>
    <t>http://link.springer.com/book/10.1007/978-3-031-12807-3</t>
  </si>
  <si>
    <t>Jason TsayAlan BrazMartin HirzelAvraham ShinnarTodd Mummert</t>
  </si>
  <si>
    <t>http://link.springer.com/article/10.1007/s10664-022-10206-6</t>
  </si>
  <si>
    <t>Explainable and Transparent AI and Multi-Agent Systems</t>
  </si>
  <si>
    <t>10.1007/978-3-030-82017-6</t>
  </si>
  <si>
    <t>Dr. Davide CalvaresiAmro NajjarProf. Michael WinikoffKary FrÃ¤mling</t>
  </si>
  <si>
    <t>http://link.springer.com/book/10.1007/978-3-030-82017-6</t>
  </si>
  <si>
    <t>Collaborative Networks and Digital Transformation</t>
  </si>
  <si>
    <t>10.1007/978-3-030-28464-0</t>
  </si>
  <si>
    <t>Luis M. Camarinha-MatosHamideh AfsarmaneshDario Antonelli</t>
  </si>
  <si>
    <t>http://link.springer.com/book/10.1007/978-3-030-28464-0</t>
  </si>
  <si>
    <t>Supercomputing</t>
  </si>
  <si>
    <t>10.1007/978-3-031-22941-1</t>
  </si>
  <si>
    <t>Vladimir VoevodinSergey SobolevMikhail YakobovskiyRashit Shagaliev</t>
  </si>
  <si>
    <t>http://link.springer.com/book/10.1007/978-3-031-22941-1</t>
  </si>
  <si>
    <t>Pattern Recognition and Artificial Intelligence</t>
  </si>
  <si>
    <t>10.1007/978-3-031-09282-4</t>
  </si>
  <si>
    <t>MounÃ®m El YacoubiProf. Eric GrangerPh.D. Pong Chi YuenUmapada PalNicole Vincent</t>
  </si>
  <si>
    <t>http://link.springer.com/book/10.1007/978-3-031-09282-4</t>
  </si>
  <si>
    <t>A Taxonomy of Software Engineering Challenges for Machine Learning Systems: An Empirical Investigation</t>
  </si>
  <si>
    <t>Lucy Ellen LwakatareAiswarya RajJan BoschHelena HolmstrÃ¶m OlssonIvica Crnkovic</t>
  </si>
  <si>
    <t>http://link.springer.com/chapter/10.1007/978-3-030-19034-7_14</t>
  </si>
  <si>
    <t>10.1007/978-3-319-64218-5</t>
  </si>
  <si>
    <t>Jakub StolfaSvatopluk StolfaProf. Dr. Rory V. O'ConnorDr. Richard Messnarz</t>
  </si>
  <si>
    <t>http://link.springer.com/book/10.1007/978-3-319-64218-5</t>
  </si>
  <si>
    <t>International Conference on Mobile Computing and Sustainable Informatics</t>
  </si>
  <si>
    <t>V. RajalakshmiS. SendhilkumarG. S. Mahalakshmi</t>
  </si>
  <si>
    <t>http://link.springer.com/chapter/10.1007/978-3-030-49795-8_31</t>
  </si>
  <si>
    <t>Empirical Analysis of Hidden Technical Debt Patterns in Machine Learning Software</t>
  </si>
  <si>
    <t>10.1007/978-3-030-35333-9_14</t>
  </si>
  <si>
    <t>Mohannad AlahdabGÃ¼l Ã‡alÄ±klÄ±</t>
  </si>
  <si>
    <t>http://link.springer.com/chapter/10.1007/978-3-030-35333-9_14</t>
  </si>
  <si>
    <t>10.1007/978-3-030-30126-2</t>
  </si>
  <si>
    <t>Dr. Rashina Hoda</t>
  </si>
  <si>
    <t>http://link.springer.com/book/10.1007/978-3-030-30126-2</t>
  </si>
  <si>
    <t>Yikun LiMohamed SolimanParis Avgeriou</t>
  </si>
  <si>
    <t>http://link.springer.com/article/10.1007/s10664-022-10128-3</t>
  </si>
  <si>
    <t>Responsible Design, Implementation and Use of Information and Communication Technology</t>
  </si>
  <si>
    <t>10.1007/978-3-030-44999-5</t>
  </si>
  <si>
    <t>MariÃ© HattinghMachdel MattheeHanlie SmutsDr. Ilias PappasPh.D. Yogesh K. DwivediMatti MÃ¤ntymÃ¤ki</t>
  </si>
  <si>
    <t>http://link.springer.com/book/10.1007/978-3-030-44999-5</t>
  </si>
  <si>
    <t>Enterprise Design, Operations, and Computing</t>
  </si>
  <si>
    <t>10.1007/978-3-031-17604-3</t>
  </si>
  <si>
    <t>JoÃ£o Paulo A. AlmeidaDimka KarastoyanovaGiancarlo GuizzardiMarco MontaliFabrizio Maria MaggiClaudenir M. Fonseca</t>
  </si>
  <si>
    <t>http://link.springer.com/book/10.1007/978-3-031-17604-3</t>
  </si>
  <si>
    <t>Huy TuTim Menzies</t>
  </si>
  <si>
    <t>http://link.springer.com/article/10.1007/s10664-022-10121-w</t>
  </si>
  <si>
    <t>Texts in Computer Science</t>
  </si>
  <si>
    <t>The Data Science Design Manual</t>
  </si>
  <si>
    <t>10.1007/978-3-319-55444-0</t>
  </si>
  <si>
    <t>Steven S. Skiena</t>
  </si>
  <si>
    <t>http://link.springer.com/book/10.1007/978-3-319-55444-0</t>
  </si>
  <si>
    <t>Predictive Analytics in System Reliability</t>
  </si>
  <si>
    <t>10.1007/978-3-031-05347-4</t>
  </si>
  <si>
    <t>Vijay KumarHoang Pham</t>
  </si>
  <si>
    <t>http://link.springer.com/book/10.1007/978-3-031-05347-4</t>
  </si>
  <si>
    <t>10.1007/978-3-030-58858-8</t>
  </si>
  <si>
    <t>Dr. Maria PaasivaaraDr. Philippe Kruchten</t>
  </si>
  <si>
    <t>http://link.springer.com/book/10.1007/978-3-030-58858-8</t>
  </si>
  <si>
    <t>Evaluating the agreement among technical debt measurement tools: building an empirical benchmark of technical debt liabilities</t>
  </si>
  <si>
    <t>10.1007/s10664-020-09869-w</t>
  </si>
  <si>
    <t>Theodoros AmanatidisNikolaos MittasAthanasia MoschouAlexander ChatzigeorgiouApostolos AmpatzoglouLefteris Angelis</t>
  </si>
  <si>
    <t>http://link.springer.com/article/10.1007/s10664-020-09869-w</t>
  </si>
  <si>
    <t>Business Modeling and Software Design</t>
  </si>
  <si>
    <t>10.1007/978-3-030-79976-2</t>
  </si>
  <si>
    <t>Dr. Boris Shishkov</t>
  </si>
  <si>
    <t>http://link.springer.com/book/10.1007/978-3-030-79976-2</t>
  </si>
  <si>
    <t>10.1007/978-3-031-02318-7</t>
  </si>
  <si>
    <t>Omar Alonso</t>
  </si>
  <si>
    <t>http://link.springer.com/book/10.1007/978-3-031-02318-7</t>
  </si>
  <si>
    <t>Lean and Agile Software Development</t>
  </si>
  <si>
    <t>10.1007/978-3-030-94238-0</t>
  </si>
  <si>
    <t>Adam PrzybyÅ‚ekAleksander JarzÄ™bowiczIvan LukoviÄ‡Yen Ying Ng</t>
  </si>
  <si>
    <t>http://link.springer.com/book/10.1007/978-3-030-94238-0</t>
  </si>
  <si>
    <t>Cyber-Physical Systems and Control II</t>
  </si>
  <si>
    <t>10.1007/978-3-031-20875-1</t>
  </si>
  <si>
    <t>Dmitry G. ArsenievNabil Aouf</t>
  </si>
  <si>
    <t>http://link.springer.com/book/10.1007/978-3-031-20875-1</t>
  </si>
  <si>
    <t>Embedded Computer Systems: Architectures, Modeling, and Simulation</t>
  </si>
  <si>
    <t>10.1007/978-3-031-04580-6</t>
  </si>
  <si>
    <t>Alex OrailogluMatthias JungMarc Reichenbach</t>
  </si>
  <si>
    <t>http://link.springer.com/book/10.1007/978-3-031-04580-6</t>
  </si>
  <si>
    <t>10.1007/978-3-030-49392-9</t>
  </si>
  <si>
    <t>Dr. Viktoria StrayRashina HodaDr. Maria PaasivaaraDr. Philippe Kruchten</t>
  </si>
  <si>
    <t>http://link.springer.com/book/10.1007/978-3-030-49392-9</t>
  </si>
  <si>
    <t>The Practice of Enterprise Modeling</t>
  </si>
  <si>
    <t>10.1007/978-3-030-91279-6</t>
  </si>
  <si>
    <t>Prof. EstefanÃ­a SerralJanis StirnaDr. Jolita RalytÃ©Prof. JÄnis Grabis</t>
  </si>
  <si>
    <t>http://link.springer.com/book/10.1007/978-3-030-91279-6</t>
  </si>
  <si>
    <t>Design, User Experience, and Usability: Theory and Practice</t>
  </si>
  <si>
    <t>10.1007/978-3-319-91797-9</t>
  </si>
  <si>
    <t>Prof. Aaron MarcusWentao Wang</t>
  </si>
  <si>
    <t>http://link.springer.com/book/10.1007/978-3-319-91797-9</t>
  </si>
  <si>
    <t>Laerte XavierJoÃ£o Eduardo MontandonFabio FerreiraRodrigo BritoMarco Tulio Valente</t>
  </si>
  <si>
    <t>http://link.springer.com/article/10.1007/s10664-022-10203-9</t>
  </si>
  <si>
    <t>The Robotic Process Automation Handbook</t>
  </si>
  <si>
    <t>10.1007/978-1-4842-5729-6</t>
  </si>
  <si>
    <t>Tom Taulli</t>
  </si>
  <si>
    <t>http://link.springer.com/book/10.1007/978-1-4842-5729-6</t>
  </si>
  <si>
    <t>Leveraging Applications of Formal Methods, Verification and Validation. Verification Principles</t>
  </si>
  <si>
    <t>10.1007/978-3-031-19849-6</t>
  </si>
  <si>
    <t>http://link.springer.com/book/10.1007/978-3-031-19849-6</t>
  </si>
  <si>
    <t>10.1007/978-3-319-91602-6</t>
  </si>
  <si>
    <t>Juan GarbajosaXiaofeng WangAdemar Aguiar</t>
  </si>
  <si>
    <t>http://link.springer.com/book/10.1007/978-3-319-91602-6</t>
  </si>
  <si>
    <t>Springer Handbooks</t>
  </si>
  <si>
    <t>Springer Handbook of Geographic Information</t>
  </si>
  <si>
    <t>10.1007/978-3-030-53125-6</t>
  </si>
  <si>
    <t>Wolfgang KresseDavid Danko</t>
  </si>
  <si>
    <t>http://link.springer.com/book/10.1007/978-3-030-53125-6</t>
  </si>
  <si>
    <t>17th International Conference on Information Technologyâ€“New Generations (ITNG 2020)</t>
  </si>
  <si>
    <t>Rafael Meneses SantosMethanias ColaÃ§o Rodrigues JuniorManoel Gomes de MendonÃ§a Neto</t>
  </si>
  <si>
    <t>http://link.springer.com/chapter/10.1007/978-3-030-43020-7_93</t>
  </si>
  <si>
    <t>Fiorella ZampettiGianmarco FucciAlexander SerebrenikMassimiliano Di Penta</t>
  </si>
  <si>
    <t>http://link.springer.com/article/10.1007/s10664-021-10031-3</t>
  </si>
  <si>
    <t>Smart Innovation, Systems and Technologies</t>
  </si>
  <si>
    <t>Education, Research and Business Technologies</t>
  </si>
  <si>
    <t>10.1007/978-981-16-8866-9</t>
  </si>
  <si>
    <t>Assoc. Prof. Cristian CiureaProf. CÄƒtÄƒlin BojaProf. Paul PocatiluAssoc. Prof. Mihai Doinea</t>
  </si>
  <si>
    <t>http://link.springer.com/book/10.1007/978-981-16-8866-9</t>
  </si>
  <si>
    <t>Computational Intelligence Methods for Bioinformatics and Biostatistics</t>
  </si>
  <si>
    <t>10.1007/978-3-031-20837-9</t>
  </si>
  <si>
    <t>Davide ChiccoAngelo FacchianoErica TavazziEnrico LongatoMartina VettorettiAnna BernasconiSimone AvesaniPaolo Cazzaniga</t>
  </si>
  <si>
    <t>http://link.springer.com/book/10.1007/978-3-031-20837-9</t>
  </si>
  <si>
    <t>Jiakun LiuQiao HuangXin XiaEmad ShihabDavid LoShanping Li</t>
  </si>
  <si>
    <t>http://link.springer.com/article/10.1007/s10664-020-09917-5</t>
  </si>
  <si>
    <t>Frontiers of Information Technology &amp; Electronic Engineering</t>
  </si>
  <si>
    <t>How to manage a task-oriented virtual assistant software project: an experience report</t>
  </si>
  <si>
    <t>Shuyue Li æŽå§çŽ¥Jiaqi Guo éƒ­å®¶çªYan Gao é«˜å¦Jianguang Lou æ¥¼å»ºå…‰Dejian Yang æ¨å¾·å»ºYan Xiao è‚–ç‚ŽYadong Zhou å‘¨äºšä¸œTing Liu åˆ˜çƒƒ</t>
  </si>
  <si>
    <t>http://link.springer.com/article/10.1631/FITEE.2100467</t>
  </si>
  <si>
    <t>Archives of Computational Methods in Engineering</t>
  </si>
  <si>
    <t>Software Development Analytics in Practice: A Systematic Literature Review</t>
  </si>
  <si>
    <t>10.1007/s11831-022-09864-y</t>
  </si>
  <si>
    <t>JoÃ£o CaldeiraFernando Brito e AbreuJorge CardosoRachel SimÃµesToacy OliveiraJosÃ© Pereira dos Reis</t>
  </si>
  <si>
    <t>http://link.springer.com/article/10.1007/s11831-022-09864-y</t>
  </si>
  <si>
    <t>Business Information Systems</t>
  </si>
  <si>
    <t>10.1007/978-3-030-53337-3</t>
  </si>
  <si>
    <t>Prof. Witold AbramowiczGary Klein</t>
  </si>
  <si>
    <t>http://link.springer.com/book/10.1007/978-3-030-53337-3</t>
  </si>
  <si>
    <t>Computer Safety, Reliability, and Security</t>
  </si>
  <si>
    <t>10.1007/978-3-030-26250-1</t>
  </si>
  <si>
    <t>Alexander RomanovskyElena TroubitsynaDr. Ilir GashiErwin SchoitschFriedemann Bitsch</t>
  </si>
  <si>
    <t>http://link.springer.com/book/10.1007/978-3-030-26250-1</t>
  </si>
  <si>
    <t>Mobility for Smart Cities and Regional Development - Challenges for Higher Education</t>
  </si>
  <si>
    <t>10.1007/978-3-030-93907-6</t>
  </si>
  <si>
    <t>Prof. Dr. Michael E. AuerProf. Dr. Hanno HortschProf. Dr. Oliver MichlerProf. Dr. Thomas KÃ¶hler</t>
  </si>
  <si>
    <t>http://link.springer.com/book/10.1007/978-3-030-93907-6</t>
  </si>
  <si>
    <t>Rafael Meneses SantosIsrael Meneses SantosMethanias ColaÃ§o JÃºniorManoel MendonÃ§a</t>
  </si>
  <si>
    <t>http://link.springer.com/chapter/10.1007/978-3-030-75418-1_25</t>
  </si>
  <si>
    <t>Database and Expert Systems Applications - DEXA 2021 Workshops</t>
  </si>
  <si>
    <t>10.1007/978-3-030-87101-7</t>
  </si>
  <si>
    <t>Gabriele KotsisA Min TjoaIsmail KhalilDr. Bernhard MoserAtif MashkoorJohannes SametingerDr. Anna FenselProf. Jorge Martinez-GilLukas FischerGerald CzechFlorian SobieczkySohail Khan</t>
  </si>
  <si>
    <t>http://link.springer.com/book/10.1007/978-3-030-87101-7</t>
  </si>
  <si>
    <t>Compendium on Enterprise Resource Planning</t>
  </si>
  <si>
    <t>10.1007/978-3-030-93856-7</t>
  </si>
  <si>
    <t>Dr. Siar Sarferaz</t>
  </si>
  <si>
    <t>http://link.springer.com/book/10.1007/978-3-030-93856-7</t>
  </si>
  <si>
    <t>10.1007/978-3-030-67084-9</t>
  </si>
  <si>
    <t>Dr. Adam PrzybyÅ‚ekJakub MilerAlexander PothDr. Andreas Riel</t>
  </si>
  <si>
    <t>http://link.springer.com/book/10.1007/978-3-030-67084-9</t>
  </si>
  <si>
    <t>Progress in IS</t>
  </si>
  <si>
    <t>Advances and New Trends in Environmental Informatics</t>
  </si>
  <si>
    <t>10.1007/978-3-030-88063-7</t>
  </si>
  <si>
    <t>Prof. Dr. Volker WohlgemuthProf. Dr. Stefan NaumannProf. Dr. Grit BehrensProf. Dr. Hans-Knud Arndt</t>
  </si>
  <si>
    <t>http://link.springer.com/book/10.1007/978-3-030-88063-7</t>
  </si>
  <si>
    <t>Blockchain and Applications, 4th International Congress</t>
  </si>
  <si>
    <t>10.1007/978-3-031-21229-1</t>
  </si>
  <si>
    <t>Javier PrietoFrancisco Luis BenÃ­tez MartÃ­nezStefano FerrettiDavid Arroyo GuardeÃ±oPedro TomÃ¡s Nevado-Batalla</t>
  </si>
  <si>
    <t>http://link.springer.com/book/10.1007/978-3-031-21229-1</t>
  </si>
  <si>
    <t>Business Intelligence</t>
  </si>
  <si>
    <t>10.1007/978-3-030-67032-0</t>
  </si>
  <si>
    <t>Rimvydas Skyrius</t>
  </si>
  <si>
    <t>http://link.springer.com/book/10.1007/978-3-030-67032-0</t>
  </si>
  <si>
    <t>Signals and Communication Technology</t>
  </si>
  <si>
    <t>Proceedings of the 5th International Conference on Signal Processing and Information Communications</t>
  </si>
  <si>
    <t>10.1007/978-3-031-13181-3</t>
  </si>
  <si>
    <t>Chua-Chin WangArumugam Nallanathan</t>
  </si>
  <si>
    <t>http://link.springer.com/book/10.1007/978-3-031-13181-3</t>
  </si>
  <si>
    <t>Studies in Computational Intelligence</t>
  </si>
  <si>
    <t>Big Data, Cloud Computing, and Data Science Engineering</t>
  </si>
  <si>
    <t>10.1007/978-3-030-24405-7</t>
  </si>
  <si>
    <t>Prof. Dr. Roger Lee</t>
  </si>
  <si>
    <t>http://link.springer.com/book/10.1007/978-3-030-24405-7</t>
  </si>
  <si>
    <t>Software Technologies</t>
  </si>
  <si>
    <t>10.1007/978-3-031-11513-4</t>
  </si>
  <si>
    <t>Prof. Dr. Hans-Georg FillDr. Marten van SinderenProf. Leszek A. Maciaszek</t>
  </si>
  <si>
    <t>http://link.springer.com/book/10.1007/978-3-031-11513-4</t>
  </si>
  <si>
    <t>Management for Professionals</t>
  </si>
  <si>
    <t>Digitalization Cases Vol. 2</t>
  </si>
  <si>
    <t>10.1007/978-3-030-80003-1</t>
  </si>
  <si>
    <t>Nils UrbachMaximilian RÃ¶glingerKarlheinz KautzRose Alinda AliasCarol SaundersMartin Wiener</t>
  </si>
  <si>
    <t>http://link.springer.com/book/10.1007/978-3-030-80003-1</t>
  </si>
  <si>
    <t>Innovation, Technology, and Knowledge Management</t>
  </si>
  <si>
    <t>Innovation Mechanisms in Start-ups</t>
  </si>
  <si>
    <t>10.1007/978-3-031-19741-3</t>
  </si>
  <si>
    <t>Varun Gupta</t>
  </si>
  <si>
    <t>http://link.springer.com/book/10.1007/978-3-031-19741-3</t>
  </si>
  <si>
    <t>Hideaki AzumaShinsuke MatsumotoYasutaka KameiShinji Kusumoto</t>
  </si>
  <si>
    <t>http://link.springer.com/article/10.1007/s10664-021-10081-7</t>
  </si>
  <si>
    <t>A Journey from Process Algebra via Timed Automata to Model Learning</t>
  </si>
  <si>
    <t>10.1007/978-3-031-15629-8</t>
  </si>
  <si>
    <t>Nils JansenMariÃ«lle StoelingaPetra van den Bos</t>
  </si>
  <si>
    <t>http://link.springer.com/book/10.1007/978-3-031-15629-8</t>
  </si>
  <si>
    <t>The Valuation of Digital Intangibles</t>
  </si>
  <si>
    <t>10.1007/978-3-031-09237-4</t>
  </si>
  <si>
    <t>Roberto Moro-Visconti</t>
  </si>
  <si>
    <t>http://link.springer.com/book/10.1007/978-3-031-09237-4</t>
  </si>
  <si>
    <t>Practical Data Science with Python 3</t>
  </si>
  <si>
    <t>10.1007/978-1-4842-4859-1</t>
  </si>
  <si>
    <t>Ervin Varga</t>
  </si>
  <si>
    <t>http://link.springer.com/book/10.1007/978-1-4842-4859-1</t>
  </si>
  <si>
    <t>Self-Admitted Technical Debt and commentsâ€™ polarity: an empirical study</t>
  </si>
  <si>
    <t>Nathan CasseeFiorella ZampettiNicole NovielliAlexander SerebrenikMassimiliano Di Penta</t>
  </si>
  <si>
    <t>http://link.springer.com/article/10.1007/s10664-022-10183-w</t>
  </si>
  <si>
    <t>Evaluation of Novel Approaches to Software Engineering</t>
  </si>
  <si>
    <t>Fast Prototyping of Web-Based Information Systems Using a Restricted Natural Language Specification</t>
  </si>
  <si>
    <t>10.1007/978-3-319-94135-6_9</t>
  </si>
  <si>
    <t>Jean Pierre Alfonso HoyosFelipe Restrepo-Calle</t>
  </si>
  <si>
    <t>http://link.springer.com/chapter/10.1007/978-3-319-94135-6_9</t>
  </si>
  <si>
    <t>Marco AutiliIvano MalavoltaAlexander PerucciGian Luca ScocciaRoberto Verdecchia</t>
  </si>
  <si>
    <t>http://link.springer.com/article/10.1186/s13174-021-00134-x</t>
  </si>
  <si>
    <t>Francesco LomioSergio MoreschiniValentina Lenarduzzi</t>
  </si>
  <si>
    <t>http://link.springer.com/article/10.1007/s10664-022-10164-z</t>
  </si>
  <si>
    <t>Artificial Intelligence for 6G</t>
  </si>
  <si>
    <t>10.1007/978-3-030-95041-5</t>
  </si>
  <si>
    <t>Dr. Haesik Kim</t>
  </si>
  <si>
    <t>http://link.springer.com/book/10.1007/978-3-030-95041-5</t>
  </si>
  <si>
    <t>Studies in Peace and Security</t>
  </si>
  <si>
    <t>Armament, Arms Control and Artificial Intelligence</t>
  </si>
  <si>
    <t>10.1007/978-3-031-11043-6</t>
  </si>
  <si>
    <t>Thomas ReinholdNiklas SchÃ¶rnig</t>
  </si>
  <si>
    <t>http://link.springer.com/book/10.1007/978-3-031-11043-6</t>
  </si>
  <si>
    <t>On Technical Debt inÂ Software Testing - Observations fromÂ Industry</t>
  </si>
  <si>
    <t>Sigrid Eldh</t>
  </si>
  <si>
    <t>http://link.springer.com/chapter/10.1007/978-3-031-19756-7_17</t>
  </si>
  <si>
    <t>Hadhemi JebnounMd Saidur RahmanFoutse KhomhBiruk Asmare Muse</t>
  </si>
  <si>
    <t>http://link.springer.com/article/10.1007/s10664-021-10099-x</t>
  </si>
  <si>
    <t>Bioinformatics and Biomedical Engineering</t>
  </si>
  <si>
    <t>10.1007/978-3-031-07802-6</t>
  </si>
  <si>
    <t>Ignacio RojasProf. Olga ValenzuelaProf. Fernando RojasLuis Javier HerreraFrancisco OrtuÃ±o</t>
  </si>
  <si>
    <t>http://link.springer.com/book/10.1007/978-3-031-07802-6</t>
  </si>
  <si>
    <t>Requirements Engineering for Social Sector Software Applications</t>
  </si>
  <si>
    <t>10.1007/978-3-030-83549-1</t>
  </si>
  <si>
    <t>Dr. Varun Gupta</t>
  </si>
  <si>
    <t>http://link.springer.com/book/10.1007/978-3-030-83549-1</t>
  </si>
  <si>
    <t>Software Product Management</t>
  </si>
  <si>
    <t>10.1007/978-3-662-65116-2</t>
  </si>
  <si>
    <t>Dr. Hans-Bernd Kittlaus</t>
  </si>
  <si>
    <t>http://link.springer.com/book/10.1007/978-3-662-65116-2</t>
  </si>
  <si>
    <t>10.1007/978-3-031-07704-3</t>
  </si>
  <si>
    <t>Ignacio RojasProf. Olga ValenzuelaProf. Fernando RojasAssoc. Prof. Luis Javier HerreraFrancisco OrtuÃ±o</t>
  </si>
  <si>
    <t>http://link.springer.com/book/10.1007/978-3-031-07704-3</t>
  </si>
  <si>
    <t>Beginning Apache Spark 3</t>
  </si>
  <si>
    <t>10.1007/978-1-4842-7383-8</t>
  </si>
  <si>
    <t>Hien Luu</t>
  </si>
  <si>
    <t>http://link.springer.com/book/10.1007/978-1-4842-7383-8</t>
  </si>
  <si>
    <t>Dimitrios TsoukalasMaria MathioudakiMiltiadis SiavvasDionysios KehagiasAlexander Chatzigeorgiou</t>
  </si>
  <si>
    <t>http://link.springer.com/article/10.1007/s42979-020-00408-4</t>
  </si>
  <si>
    <t>Ilya KhomyakovZufar MakhmutovRuzilya MirgalimovaAlberto Sillitti</t>
  </si>
  <si>
    <t>http://link.springer.com/chapter/10.1007/978-3-030-40783-4_12</t>
  </si>
  <si>
    <t>Davide FalessiMassimiliano Di PentaGerardo CanforaGiovanni Cantone</t>
  </si>
  <si>
    <t>http://link.springer.com/article/10.1007/s10664-016-9460-6</t>
  </si>
  <si>
    <t>10.1007/978-3-031-16697-6</t>
  </si>
  <si>
    <t>Ilias GerostathopoulosGrace LewisThais BatistaTomÃ¡Å¡ BureÅ¡</t>
  </si>
  <si>
    <t>http://link.springer.com/book/10.1007/978-3-031-16697-6</t>
  </si>
  <si>
    <t>Security in Computer and Information Sciences</t>
  </si>
  <si>
    <t>10.1007/978-3-031-09357-9</t>
  </si>
  <si>
    <t>Erol GelenbeMarija JankovicDionysios KehagiasAnna MartonAndras Vilmos</t>
  </si>
  <si>
    <t>http://link.springer.com/book/10.1007/978-3-031-09357-9</t>
  </si>
  <si>
    <t>Law, Governance and Technology Series</t>
  </si>
  <si>
    <t>Legal and Ethical Challenges of Artificial Intelligence from an International Law Perspective</t>
  </si>
  <si>
    <t>10.1007/978-3-030-78585-7</t>
  </si>
  <si>
    <t>Themistoklis Tzimas</t>
  </si>
  <si>
    <t>http://link.springer.com/book/10.1007/978-3-030-78585-7</t>
  </si>
  <si>
    <t>Integrative Bioinformatics</t>
  </si>
  <si>
    <t>10.1007/978-981-16-6795-4</t>
  </si>
  <si>
    <t>Prof. Dr. Ming ChenProf. Dr. Ralf HofestÃ¤dt</t>
  </si>
  <si>
    <t>http://link.springer.com/book/10.1007/978-981-16-6795-4</t>
  </si>
  <si>
    <t>Zi-Jie HuangZhi-Qing ShaoGui-Sheng FanHui-Qun YuXing-Guang YangKang Yang</t>
  </si>
  <si>
    <t>http://link.springer.com/article/10.1007/s11390-021-1596-1</t>
  </si>
  <si>
    <t>Charalampos MarantosAngeliki-Agathi TsintziraLazaros PapadopoulosApostolos AmpatzoglouAlexander ChatzigeorgiouDimitrios Soudris</t>
  </si>
  <si>
    <t>http://link.springer.com/chapter/10.1007/978-3-030-60939-9_25</t>
  </si>
  <si>
    <t>Comparing Univariate andÂ Multivariate Time Series Models forÂ Technical Debt Forecasting</t>
  </si>
  <si>
    <t>Maria MathioudakiDimitrios TsoukalasMiltiadis SiavvasDionysios Kehagias</t>
  </si>
  <si>
    <t>http://link.springer.com/chapter/10.1007/978-3-031-10542-5_5</t>
  </si>
  <si>
    <t>Software Design Smell Detection: a systematic mapping study</t>
  </si>
  <si>
    <t>10.1007/s11219-018-9424-8</t>
  </si>
  <si>
    <t>Khalid AlkharabshehYania CrespoEsperanza MansoJosÃ© A. Taboada</t>
  </si>
  <si>
    <t>http://link.springer.com/article/10.1007/s11219-018-9424-8</t>
  </si>
  <si>
    <t>http://link.springer.com/chapter/10.1007/978-3-030-87007-2_22</t>
  </si>
  <si>
    <t>National Cyber Summit (NCS) Research Track 2021</t>
  </si>
  <si>
    <t>10.1007/978-3-030-84614-5</t>
  </si>
  <si>
    <t>Kim-Kwang Raymond ChooProf. Tommy MorrisProf. Gilbert PetersonEric Imsand</t>
  </si>
  <si>
    <t>http://link.springer.com/book/10.1007/978-3-030-84614-5</t>
  </si>
  <si>
    <t>Lessons Learned from the ProDebt Research Project on Planning Technical Debt Strategically</t>
  </si>
  <si>
    <t>Marcus CiolkowskiLiliana GuzmÃ¡nAdam TrendowiczFelix Salfner</t>
  </si>
  <si>
    <t>http://link.springer.com/chapter/10.1007/978-3-319-69926-4_42</t>
  </si>
  <si>
    <t>AI Full Stack: Application Development</t>
  </si>
  <si>
    <t>10.1007/978-1-4842-8817-7_7</t>
  </si>
  <si>
    <t>http://link.springer.com/chapter/10.1007/978-1-4842-8817-7_7</t>
  </si>
  <si>
    <t>From a Data Science Driven Process to a Continuous Delivery Process for Machine Learning Systems</t>
  </si>
  <si>
    <t>10.1007/978-3-030-64148-1_12</t>
  </si>
  <si>
    <t>Lucy Ellen LwakatareIvica CrnkovicEllinor RÃ¥ngeJan Bosch</t>
  </si>
  <si>
    <t>http://link.springer.com/chapter/10.1007/978-3-030-64148-1_12</t>
  </si>
  <si>
    <t>Industry Practices, Processes and Techniques Adopted in Education</t>
  </si>
  <si>
    <t>10.1007/978-981-19-3517-6</t>
  </si>
  <si>
    <t>Kathryn MacCallumDavid Parsons</t>
  </si>
  <si>
    <t>http://link.springer.com/book/10.1007/978-981-19-3517-6</t>
  </si>
  <si>
    <t>A Semiautomatic Approach to Identify Architectural Technical Debt from Heterogeneous Artifacts</t>
  </si>
  <si>
    <t>10.1007/978-3-030-59155-7_1</t>
  </si>
  <si>
    <t>Boris PÃ©rez</t>
  </si>
  <si>
    <t>http://link.springer.com/chapter/10.1007/978-3-030-59155-7_1</t>
  </si>
  <si>
    <t>On the Technical Debt Prioritization and Cost Estimation with SonarQube Tool</t>
  </si>
  <si>
    <t>10.1007/978-3-030-97947-8_40</t>
  </si>
  <si>
    <t>Andrej KatinValentina LenarduzziDavide TaibiVladimir MandiÄ‡</t>
  </si>
  <si>
    <t>http://link.springer.com/chapter/10.1007/978-3-030-97947-8_40</t>
  </si>
  <si>
    <t>Handbook of Software Engineering</t>
  </si>
  <si>
    <t>Software Evolution</t>
  </si>
  <si>
    <t>10.1007/978-3-030-00262-6_6</t>
  </si>
  <si>
    <t>Miryung KimNa MengTianyi Zhang</t>
  </si>
  <si>
    <t>http://link.springer.com/chapter/10.1007/978-3-030-00262-6_6</t>
  </si>
  <si>
    <t>Bruno Santos de LimaRogerio Eduardo GarciaDanilo Medeiros Eler</t>
  </si>
  <si>
    <t>http://link.springer.com/article/10.1007/s11219-021-09578-7</t>
  </si>
  <si>
    <t>Contemporary Empirical Methods in Software Engineering</t>
  </si>
  <si>
    <t>Biometric Measurement in Software Engineering</t>
  </si>
  <si>
    <t>10.1007/978-3-030-32489-6_6</t>
  </si>
  <si>
    <t>Fabian FagerholmThomas Fritz</t>
  </si>
  <si>
    <t>http://link.springer.com/chapter/10.1007/978-3-030-32489-6_6</t>
  </si>
  <si>
    <t>Security Compliance in Model-driven Development of Software Systems in Presence of Long-Term Evolution and Variants</t>
  </si>
  <si>
    <t>10.1007/978-3-658-37665-9</t>
  </si>
  <si>
    <t>Sven Matthias Peldszus</t>
  </si>
  <si>
    <t>http://link.springer.com/book/10.1007/978-3-658-37665-9</t>
  </si>
  <si>
    <t>Mathematical Modeling and Simulation of Systems</t>
  </si>
  <si>
    <t>10.1007/978-3-030-89902-8</t>
  </si>
  <si>
    <t>Prof. Dr. Serhiy ShkarletProf. Anatoliy MorozovProf. Alexander PalaginProf. Dmitri VinnikovAssoc. Prof. Nikolai StoianovDr. Mark ZhelezniakProf. Volodymyr Kazymyr</t>
  </si>
  <si>
    <t>http://link.springer.com/book/10.1007/978-3-030-89902-8</t>
  </si>
  <si>
    <t>10.1007/978-3-031-11510-3</t>
  </si>
  <si>
    <t>http://link.springer.com/book/10.1007/978-3-031-11510-3</t>
  </si>
  <si>
    <t>P. PÃ¤Ã¤kkÃ¶nenD. Pakkala</t>
  </si>
  <si>
    <t>http://link.springer.com/article/10.1186/s40537-020-00303-y</t>
  </si>
  <si>
    <t>Software Development Measurement Programs</t>
  </si>
  <si>
    <t>New Techniques</t>
  </si>
  <si>
    <t>10.1007/978-3-319-91836-5_7</t>
  </si>
  <si>
    <t>Miroslaw StaronWilhelm Meding</t>
  </si>
  <si>
    <t>http://link.springer.com/chapter/10.1007/978-3-319-91836-5_7</t>
  </si>
  <si>
    <t>Drug Safety</t>
  </si>
  <si>
    <t>Artificial Intelligence in Pharmacovigilance: An Introduction to Terms, Concepts, Applications, and Limitations</t>
  </si>
  <si>
    <t>10.1007/s40264-022-01156-5</t>
  </si>
  <si>
    <t>Jeffrey K. Aronson</t>
  </si>
  <si>
    <t>http://link.springer.com/article/10.1007/s40264-022-01156-5</t>
  </si>
  <si>
    <t>On the use of textual feature extraction techniques to support the automated detection of refactoring documentation</t>
  </si>
  <si>
    <t>10.1007/s11334-021-00388-5</t>
  </si>
  <si>
    <t>Licelot MarmolejosEman Abdullah AlOmarMohamed Wiem MkaouerChristian NewmanAli Ouni</t>
  </si>
  <si>
    <t>http://link.springer.com/article/10.1007/s11334-021-00388-5</t>
  </si>
  <si>
    <t>General Principles</t>
  </si>
  <si>
    <t>10.1007/978-3-658-37182-1_9</t>
  </si>
  <si>
    <t>Frank J. Furrer</t>
  </si>
  <si>
    <t>http://link.springer.com/chapter/10.1007/978-3-658-37182-1_9</t>
  </si>
  <si>
    <t>The Department of Navyâ€™s Digital Transformation with the Digital System Architecture, Strangler Patterns, Machine Learning, and Autonomous Humanâ€“Machine Teaming</t>
  </si>
  <si>
    <t>10.1007/978-3-030-77283-3_9</t>
  </si>
  <si>
    <t>Matthew SheehanOleg Yakimenko</t>
  </si>
  <si>
    <t>http://link.springer.com/chapter/10.1007/978-3-030-77283-3_9</t>
  </si>
  <si>
    <t>Nikolaos NikolaidisApostolos AmpatzoglouAlexander ChatzigeorgiouSofia TsekeridouAvraam Piperidis</t>
  </si>
  <si>
    <t>http://link.springer.com/chapter/10.1007/978-3-031-21388-5_19</t>
  </si>
  <si>
    <t>Strategic Human Resource Development in Practice</t>
  </si>
  <si>
    <t>10.1007/978-3-030-95775-9</t>
  </si>
  <si>
    <t>Lyle YorksAmy Lui AbelDenise Rotatori</t>
  </si>
  <si>
    <t>http://link.springer.com/book/10.1007/978-3-030-95775-9</t>
  </si>
  <si>
    <t>Evolving Digital Leadership</t>
  </si>
  <si>
    <t>10.1007/978-1-4842-3606-2</t>
  </si>
  <si>
    <t>James Brett</t>
  </si>
  <si>
    <t>http://link.springer.com/book/10.1007/978-1-4842-3606-2</t>
  </si>
  <si>
    <t>Systems Engineering for Artificial Intelligence-based Systems: A Review in Time</t>
  </si>
  <si>
    <t>10.1007/978-3-030-77283-3_6</t>
  </si>
  <si>
    <t>James LlinasHesham FouadRanjeev Mittu</t>
  </si>
  <si>
    <t>http://link.springer.com/chapter/10.1007/978-3-030-77283-3_6</t>
  </si>
  <si>
    <t>Technical Debt Forecasting fromÂ Source Code Using Temporal Convolutional Networks</t>
  </si>
  <si>
    <t>10.1007/978-3-031-21388-5_43</t>
  </si>
  <si>
    <t>Aversano LerinaMario Luca BernardiMarta CimitileMartina Iammarino</t>
  </si>
  <si>
    <t>http://link.springer.com/chapter/10.1007/978-3-031-21388-5_43</t>
  </si>
  <si>
    <t>Software Process Improvement and Capability Determination</t>
  </si>
  <si>
    <t>Techniques Based on Data Science for Software Processes: A Systematic Literature Review</t>
  </si>
  <si>
    <t>Alvaro FernÃ¡ndez Del CarpioLeonardo BermÃ³n Angarita</t>
  </si>
  <si>
    <t>http://link.springer.com/chapter/10.1007/978-3-030-00623-5_2</t>
  </si>
  <si>
    <t>The entrepreneurial logic of startup software development: A study of 40 software startups</t>
  </si>
  <si>
    <t>10.1007/s10664-021-09987-z</t>
  </si>
  <si>
    <t>Anh Nguyen-DucKai-Kristian KemellPekka Abrahamsson</t>
  </si>
  <si>
    <t>http://link.springer.com/article/10.1007/s10664-021-09987-z</t>
  </si>
  <si>
    <t>Functional Safety and Proof of Compliance</t>
  </si>
  <si>
    <t>10.1007/978-3-030-86152-0</t>
  </si>
  <si>
    <t>Thor MyklebustTor StÃ¥lhane</t>
  </si>
  <si>
    <t>http://link.springer.com/book/10.1007/978-3-030-86152-0</t>
  </si>
  <si>
    <t>Eman Abdullah AlOmarJiaqian LiuKenneth AddoMohamed Wiem MkaouerChristian NewmanAli OuniZhe Yu</t>
  </si>
  <si>
    <t>http://link.springer.com/article/10.1007/s10515-021-00314-w</t>
  </si>
  <si>
    <t>Synthesis Lectures on Technology, Management, &amp; Entrepreneurship</t>
  </si>
  <si>
    <t>Strategic Value Proposition Innovation Management in Software Startups for Sustained Competitive Advantage</t>
  </si>
  <si>
    <t>10.1007/978-3-031-18322-5</t>
  </si>
  <si>
    <t>http://link.springer.com/book/10.1007/978-3-031-18322-5</t>
  </si>
  <si>
    <t>Motivations for and Initiatives on AI Engineering</t>
  </si>
  <si>
    <t>10.1007/978-3-030-89385-9_1</t>
  </si>
  <si>
    <t>James Llinas</t>
  </si>
  <si>
    <t>http://link.springer.com/chapter/10.1007/978-3-030-89385-9_1</t>
  </si>
  <si>
    <t>Bahar GeziciAyÃ§a KolukÄ±sa Tarhan</t>
  </si>
  <si>
    <t>http://link.springer.com/article/10.1007/s10664-021-10105-2</t>
  </si>
  <si>
    <t>Digitalization Cases</t>
  </si>
  <si>
    <t>10.1007/978-3-319-95273-4</t>
  </si>
  <si>
    <t>Nils UrbachMaximilian RÃ¶glinger</t>
  </si>
  <si>
    <t>http://link.springer.com/book/10.1007/978-3-319-95273-4</t>
  </si>
  <si>
    <t>Low-Code Is Often High-Code, So We Must Design Low-Code Platforms to Enable Proper Software Engineering</t>
  </si>
  <si>
    <t>10.1007/978-3-030-89159-6_14</t>
  </si>
  <si>
    <t>Timothy C. Lethbridge</t>
  </si>
  <si>
    <t>http://link.springer.com/chapter/10.1007/978-3-030-89159-6_14</t>
  </si>
  <si>
    <t>Benefitting from the Grey Literature in Software Engineering Research</t>
  </si>
  <si>
    <t>10.1007/978-3-030-32489-6_14</t>
  </si>
  <si>
    <t>Vahid GarousiMichael FeldererMika V. MÃ¤ntylÃ¤Austen Rainer</t>
  </si>
  <si>
    <t>http://link.springer.com/chapter/10.1007/978-3-030-32489-6_14</t>
  </si>
  <si>
    <t>Static test flakiness prediction: How Far Can We Go?</t>
  </si>
  <si>
    <t>10.1007/s10664-022-10227-1</t>
  </si>
  <si>
    <t>Valeria PontilloFabio PalombaFilomena Ferrucci</t>
  </si>
  <si>
    <t>http://link.springer.com/article/10.1007/s10664-022-10227-1</t>
  </si>
  <si>
    <t>Automated Code Review Comment Classification toÂ Improve Modern Code Reviews</t>
  </si>
  <si>
    <t>Miroslaw OchodekMiroslaw StaronWilhelm MedingOla SÃ¶der</t>
  </si>
  <si>
    <t>http://link.springer.com/chapter/10.1007/978-3-031-04115-0_3</t>
  </si>
  <si>
    <t>Agile Product and Project Management</t>
  </si>
  <si>
    <t>10.1007/978-1-4842-8200-7</t>
  </si>
  <si>
    <t>Mariya Breyter</t>
  </si>
  <si>
    <t>http://link.springer.com/book/10.1007/978-1-4842-8200-7</t>
  </si>
  <si>
    <t>Lazzarinetti GiorgioMassarenti NicolaSgrÃ² FabioSalafia Andrea</t>
  </si>
  <si>
    <t>http://link.springer.com/chapter/10.1007/978-3-031-08421-8_41</t>
  </si>
  <si>
    <t>International Journal of Information Technology</t>
  </si>
  <si>
    <t>Understanding factors affecting technical debt</t>
  </si>
  <si>
    <t>10.1007/s41870-020-00487-9</t>
  </si>
  <si>
    <t>Jaspreet BediKuljit Kaur</t>
  </si>
  <si>
    <t>http://link.springer.com/article/10.1007/s41870-020-00487-9</t>
  </si>
  <si>
    <t>Composing Model-Based Analysis Tools</t>
  </si>
  <si>
    <t>10.1007/978-3-030-81915-6</t>
  </si>
  <si>
    <t>Dr. Robert HeinrichProf. Francisco DurÃ¡nDr. Carolyn TalcottDr. Steffen Zschaler</t>
  </si>
  <si>
    <t>http://link.springer.com/book/10.1007/978-3-030-81915-6</t>
  </si>
  <si>
    <t>Examples of Measures in Measurement Systems</t>
  </si>
  <si>
    <t>10.1007/978-3-319-91836-5_6</t>
  </si>
  <si>
    <t>http://link.springer.com/chapter/10.1007/978-3-319-91836-5_6</t>
  </si>
  <si>
    <t>Embedded Software Design</t>
  </si>
  <si>
    <t>10.1007/978-1-4842-8279-3</t>
  </si>
  <si>
    <t>Jacob Beningo</t>
  </si>
  <si>
    <t>http://link.springer.com/book/10.1007/978-1-4842-8279-3</t>
  </si>
  <si>
    <t>JosÃ© Pereira dos ReisFernando Brito e AbreuGlauco de Figueiredo Carneiro</t>
  </si>
  <si>
    <t>http://link.springer.com/article/10.1007/s10664-021-10110-5</t>
  </si>
  <si>
    <t>Mohammad Y. MhawishManjari Gupta</t>
  </si>
  <si>
    <t>http://link.springer.com/article/10.1007/s11390-020-0323-7</t>
  </si>
  <si>
    <t>The who, what, how of software engineering research: a socio-technical framework</t>
  </si>
  <si>
    <t>10.1007/s10664-020-09858-z</t>
  </si>
  <si>
    <t>Margaret-Anne StoreyNeil A. ErnstCourtney WilliamsEirini Kalliamvakou</t>
  </si>
  <si>
    <t>http://link.springer.com/article/10.1007/s10664-020-09858-z</t>
  </si>
  <si>
    <t>Quality attribute trade-offs in the embedded systems industry: an exploratory case study</t>
  </si>
  <si>
    <t>10.1007/s11219-019-09478-x</t>
  </si>
  <si>
    <t>Darius SasParis Avgeriou</t>
  </si>
  <si>
    <t>http://link.springer.com/article/10.1007/s11219-019-09478-x</t>
  </si>
  <si>
    <t>Anthony PerumaSteven SimmonsEman Abdullah AlOmarChristian D. NewmanMohamed Wiem MkaouerAli Ouni</t>
  </si>
  <si>
    <t>http://link.springer.com/article/10.1007/s10664-021-10045-x</t>
  </si>
  <si>
    <t>Advances in Automation IV</t>
  </si>
  <si>
    <t>10.1007/978-3-031-22311-2</t>
  </si>
  <si>
    <t>Andrey A. RadionovVadim R. Gasiyarov</t>
  </si>
  <si>
    <t>http://link.springer.com/book/10.1007/978-3-031-22311-2</t>
  </si>
  <si>
    <t>The Palgrave Handbook of the Public Servant</t>
  </si>
  <si>
    <t>10.1007/978-3-030-29980-4</t>
  </si>
  <si>
    <t>Prof. Helen SullivanProf. Helen DickinsonHayley Henderson</t>
  </si>
  <si>
    <t>http://link.springer.com/referencework/10.1007/978-3-030-29980-4</t>
  </si>
  <si>
    <t>AI lifecycle models need to be revised</t>
  </si>
  <si>
    <t>10.1007/s10664-021-09993-1</t>
  </si>
  <si>
    <t>Mark HaakmanLuÃ­s CruzHennie HuijgensArie van Deursen</t>
  </si>
  <si>
    <t>http://link.springer.com/article/10.1007/s10664-021-09993-1</t>
  </si>
  <si>
    <t>Advances in System-Integrated Intelligence</t>
  </si>
  <si>
    <t>10.1007/978-3-031-16281-7</t>
  </si>
  <si>
    <t>Maurizio ValleDirk LehmhusChristian GianoglioEdoardo RagusaLucia SeminaraStefan BosseAli IbrahimKlaus-Dieter Thoben</t>
  </si>
  <si>
    <t>http://link.springer.com/book/10.1007/978-3-031-16281-7</t>
  </si>
  <si>
    <t>Fabiano PecorelliSavanna LujanValentina LenarduzziFabio PalombaAndrea De Lucia</t>
  </si>
  <si>
    <t>http://link.springer.com/article/10.1007/s10664-022-10126-5</t>
  </si>
  <si>
    <t>Infrastructure Leaderâ€™s Guide to Google Cloud</t>
  </si>
  <si>
    <t>10.1007/978-1-4842-8820-7</t>
  </si>
  <si>
    <t>Jeremy Lloyd</t>
  </si>
  <si>
    <t>http://link.springer.com/book/10.1007/978-1-4842-8820-7</t>
  </si>
  <si>
    <t>Khan Mohammad HabibullahGregory GayJennifer Horkoff</t>
  </si>
  <si>
    <t>http://link.springer.com/article/10.1007/s00766-022-00395-3</t>
  </si>
  <si>
    <t>Software Quality: Future Perspectives on Software Engineering Quality</t>
  </si>
  <si>
    <t>Anton Khritankov</t>
  </si>
  <si>
    <t>http://link.springer.com/chapter/10.1007/978-3-030-65854-0_5</t>
  </si>
  <si>
    <t>Future of Business and Finance</t>
  </si>
  <si>
    <t>Scrum for Sales</t>
  </si>
  <si>
    <t>10.1007/978-3-030-82978-0</t>
  </si>
  <si>
    <t>Dr. Michael J. Scherm</t>
  </si>
  <si>
    <t>http://link.springer.com/book/10.1007/978-3-030-82978-0</t>
  </si>
  <si>
    <t>Introducing Robotic Process Automation to Your Organization</t>
  </si>
  <si>
    <t>10.1007/978-1-4842-7416-3</t>
  </si>
  <si>
    <t>Robert FantinaAndriy StorozhukKamal Goyal</t>
  </si>
  <si>
    <t>http://link.springer.com/book/10.1007/978-1-4842-7416-3</t>
  </si>
  <si>
    <t>Women in Engineering and Science</t>
  </si>
  <si>
    <t>Emerging Trends in Systems Engineering Leadership</t>
  </si>
  <si>
    <t>10.1007/978-3-031-08950-3</t>
  </si>
  <si>
    <t>Alice F. SquiresMarilee J. WheatonHeather J. Feli</t>
  </si>
  <si>
    <t>http://link.springer.com/book/10.1007/978-3-031-08950-3</t>
  </si>
  <si>
    <t>Artificial Intelligence Ecosystem, Techniques, and Use Cases</t>
  </si>
  <si>
    <t>10.1007/978-3-030-95041-5_2</t>
  </si>
  <si>
    <t>Haesik Kim</t>
  </si>
  <si>
    <t>http://link.springer.com/chapter/10.1007/978-3-030-95041-5_2</t>
  </si>
  <si>
    <t>What really changes when developers intend to improve their source code: a commit-level study of static metric value and static analysis warning changes</t>
  </si>
  <si>
    <t>10.1007/s10664-022-10257-9</t>
  </si>
  <si>
    <t>Alexander TrautschJohannes ErbelSteffen HerboldJens Grabowski</t>
  </si>
  <si>
    <t>http://link.springer.com/article/10.1007/s10664-022-10257-9</t>
  </si>
  <si>
    <t>Systematic Cloud Migration</t>
  </si>
  <si>
    <t>10.1007/978-1-4842-7252-7</t>
  </si>
  <si>
    <t>Taras Gleb</t>
  </si>
  <si>
    <t>http://link.springer.com/book/10.1007/978-1-4842-7252-7</t>
  </si>
  <si>
    <t>Practical DataOps</t>
  </si>
  <si>
    <t>DevOps for DataOps</t>
  </si>
  <si>
    <t>10.1007/978-1-4842-5104-1_7</t>
  </si>
  <si>
    <t>Harvinder Atwal</t>
  </si>
  <si>
    <t>http://link.springer.com/chapter/10.1007/978-1-4842-5104-1_7</t>
  </si>
  <si>
    <t>Investing in Alignment of Industrialisation and Innovation Engines</t>
  </si>
  <si>
    <t>10.1007/978-981-16-6069-6_3</t>
  </si>
  <si>
    <t>http://link.springer.com/chapter/10.1007/978-981-16-6069-6_3</t>
  </si>
  <si>
    <t>Beyza EkenFrancis PalmaBaÅŸar AyÅŸeTosun AyÅŸe</t>
  </si>
  <si>
    <t>http://link.springer.com/article/10.1007/s11219-020-09538-7</t>
  </si>
  <si>
    <t>Domain-Specific Languages in Practice</t>
  </si>
  <si>
    <t>10.1007/978-3-030-73758-0</t>
  </si>
  <si>
    <t>Dr. Antonio BucchiaronePh.D. Antonio CicchettiDr. Federico CiccozziProf. Alfonso Pierantonio</t>
  </si>
  <si>
    <t>http://link.springer.com/book/10.1007/978-3-030-73758-0</t>
  </si>
  <si>
    <t>Enterprise Architecture Function</t>
  </si>
  <si>
    <t>10.1007/978-3-030-84589-6</t>
  </si>
  <si>
    <t>Ingo Arnold</t>
  </si>
  <si>
    <t>http://link.springer.com/book/10.1007/978-3-030-84589-6</t>
  </si>
  <si>
    <t>Business Process Management: Blockchain and Robotic Process Automation Forum</t>
  </si>
  <si>
    <t>10.1007/978-3-030-85867-4</t>
  </si>
  <si>
    <t>Dr. JosÃ© GonzÃ¡lez EnrÃ­quezProf. SÃ¸ren DeboisProf. Dr. Peter FettkeDr. Pierluigi PlebaniInge van de WeerdProf. Dr. Ingo Weber</t>
  </si>
  <si>
    <t>http://link.springer.com/book/10.1007/978-3-030-85867-4</t>
  </si>
  <si>
    <t>Foster Sustainable Software Engineering (SSE) Awareness in Large Enterprises â€“ a Cheat Sheet for Technical and Organizational Indicators</t>
  </si>
  <si>
    <t>10.1007/978-3-031-15559-8_5</t>
  </si>
  <si>
    <t>Alexander PothAndi H. WidokAndreas HenschelDaniela EiÃŸfeldt</t>
  </si>
  <si>
    <t>http://link.springer.com/chapter/10.1007/978-3-031-15559-8_5</t>
  </si>
  <si>
    <t>Architecting the Digital Transformation</t>
  </si>
  <si>
    <t>10.1007/978-3-030-49640-1</t>
  </si>
  <si>
    <t>Prof. Alfred ZimmermannProf. Dr. Rainer SchmidtProf. Dr. Lakhmi C. Jain</t>
  </si>
  <si>
    <t>http://link.springer.com/book/10.1007/978-3-030-49640-1</t>
  </si>
  <si>
    <t>Starting a Team</t>
  </si>
  <si>
    <t>10.1007/978-1-4842-6228-3_10</t>
  </si>
  <si>
    <t>http://link.springer.com/chapter/10.1007/978-1-4842-6228-3_10</t>
  </si>
  <si>
    <t>JosÃ© Antonio HernÃ¡ndez LÃ³pezJavier Luis CÃ¡novasÂ IzquierdoJesÃºs SÃ¡nchez Cuadrado</t>
  </si>
  <si>
    <t>http://link.springer.com/article/10.1007/s10270-021-00929-3</t>
  </si>
  <si>
    <t>Idan AmitDror G. Feitelson</t>
  </si>
  <si>
    <t>http://link.springer.com/article/10.1007/s11219-021-09564-z</t>
  </si>
  <si>
    <t>Banking AI as a Service</t>
  </si>
  <si>
    <t>10.1007/978-981-16-6069-6_12</t>
  </si>
  <si>
    <t>http://link.springer.com/chapter/10.1007/978-981-16-6069-6_12</t>
  </si>
  <si>
    <t>The Enterprise Engineering Series</t>
  </si>
  <si>
    <t>Fundamentals of Enterprise Architecture Management</t>
  </si>
  <si>
    <t>10.1007/978-3-030-96734-5</t>
  </si>
  <si>
    <t>Dr. JÃ¶rg Ziemann</t>
  </si>
  <si>
    <t>http://link.springer.com/book/10.1007/978-3-030-96734-5</t>
  </si>
  <si>
    <t>Modern Data Engineering with Apache Spark</t>
  </si>
  <si>
    <t>10.1007/978-1-4842-7452-1</t>
  </si>
  <si>
    <t>Scott Haines</t>
  </si>
  <si>
    <t>http://link.springer.com/book/10.1007/978-1-4842-7452-1</t>
  </si>
  <si>
    <t>Requirements Engineering Challenges for Social Sector Software Development: Insights from Multiple Case Studies</t>
  </si>
  <si>
    <t>10.1007/978-3-030-83549-1_3</t>
  </si>
  <si>
    <t>http://link.springer.com/chapter/10.1007/978-3-030-83549-1_3</t>
  </si>
  <si>
    <t>Automotive Systems and Software Engineering</t>
  </si>
  <si>
    <t>Autonomous Vehicles: State of the Art, Future Trends, and Challenges</t>
  </si>
  <si>
    <t>10.1007/978-3-030-12157-0_16</t>
  </si>
  <si>
    <t>Piergiuseppe MallozziPatrizio PelliccioneAlessia KnaussChristian BergerNassar Mohammadiha</t>
  </si>
  <si>
    <t>http://link.springer.com/chapter/10.1007/978-3-030-12157-0_16</t>
  </si>
  <si>
    <t>Learning in the Digital Era</t>
  </si>
  <si>
    <t>10.1007/978-3-030-92934-3</t>
  </si>
  <si>
    <t>Daryl John PowellDr. Erlend AlfnesMarte D. Q. HolmemoEivind Reke</t>
  </si>
  <si>
    <t>http://link.springer.com/book/10.1007/978-3-030-92934-3</t>
  </si>
  <si>
    <t>Lukas FischerLisa EhrlingerVerena GeistRudolf RamlerFlorian SobieczkyWerner ZellingerBernhard Moser</t>
  </si>
  <si>
    <t>http://link.springer.com/chapter/10.1007/978-3-030-57321-8_25</t>
  </si>
  <si>
    <t>Software Engineering Principles Apply to Artificial Intelligence Systems</t>
  </si>
  <si>
    <t>10.1007/978-3-031-20875-1_14</t>
  </si>
  <si>
    <t>Dmitry G. ArsenievDmitry E. BaskakovJussi KasurinenViacheslav P. ShkodyrevAlexey Mergasov</t>
  </si>
  <si>
    <t>http://link.springer.com/chapter/10.1007/978-3-031-20875-1_14</t>
  </si>
  <si>
    <t>Tushar SharmaParamvir SinghDiomidis Spinellis</t>
  </si>
  <si>
    <t>http://link.springer.com/article/10.1007/s10664-020-09847-2</t>
  </si>
  <si>
    <t>PFG â€“ Journal of Photogrammetry, Remote Sensing and Geoinformation Science</t>
  </si>
  <si>
    <t>Geospatial Artificial Intelligence: Potentials of Machine Learning for 3D Point Clouds and Geospatial Digital Twins</t>
  </si>
  <si>
    <t>10.1007/s41064-020-00102-3</t>
  </si>
  <si>
    <t>JÃ¼rgen DÃ¶llner</t>
  </si>
  <si>
    <t>http://link.springer.com/article/10.1007/s41064-020-00102-3</t>
  </si>
  <si>
    <t>Software Engineering Aspects of Continuous Development and New Paradigms of Software Production and Deployment</t>
  </si>
  <si>
    <t>Towards Bridging the Value Gap in DevOps</t>
  </si>
  <si>
    <t>10.1007/978-3-030-39306-9_13</t>
  </si>
  <si>
    <t>Gail C. MurphyMik Kersten</t>
  </si>
  <si>
    <t>http://link.springer.com/chapter/10.1007/978-3-030-39306-9_13</t>
  </si>
  <si>
    <t>The AIQ Meta-Testbed: Pragmatically Bridging Academic AI Testing and Industrial Q Needs</t>
  </si>
  <si>
    <t>10.1007/978-3-030-65854-0_6</t>
  </si>
  <si>
    <t>Markus Borg</t>
  </si>
  <si>
    <t>http://link.springer.com/chapter/10.1007/978-3-030-65854-0_6</t>
  </si>
  <si>
    <t>The effect of Bellwether analysis on software vulnerability severity prediction models</t>
  </si>
  <si>
    <t>10.1007/s11219-019-09490-1</t>
  </si>
  <si>
    <t>Patrick Kwaku KudjoJinfu ChenSolomon MensahRichard AmankwahChristopher Kudjo</t>
  </si>
  <si>
    <t>http://link.springer.com/article/10.1007/s11219-019-09490-1</t>
  </si>
  <si>
    <t>Code Smells Detection and Visualization: A Systematic Literature Review</t>
  </si>
  <si>
    <t>10.1007/s11831-021-09566-x</t>
  </si>
  <si>
    <t>JosÃ© Pereira dos ReisFernando Brito e AbreuGlauco de Figueiredo CarneiroCraig Anslow</t>
  </si>
  <si>
    <t>http://link.springer.com/article/10.1007/s11831-021-09566-x</t>
  </si>
  <si>
    <t>Journal of Software Engineering Research and Development</t>
  </si>
  <si>
    <t>A survey of search-based refactoring for software maintenance</t>
  </si>
  <si>
    <t>10.1186/s40411-018-0046-4</t>
  </si>
  <si>
    <t>Michael MohanDes Greer</t>
  </si>
  <si>
    <t>http://link.springer.com/article/10.1186/s40411-018-0046-4</t>
  </si>
  <si>
    <t>ATZelectronics worldwide</t>
  </si>
  <si>
    <t>New Framework for Measurement-based Evaluation of Quality in Automotive Software Development</t>
  </si>
  <si>
    <t>10.1007/s38314-021-0733-5</t>
  </si>
  <si>
    <t>Jens HeidrichAndreas MorgensternJochen QuanteThomas Grundler</t>
  </si>
  <si>
    <t>http://link.springer.com/article/10.1007/s38314-021-0733-5</t>
  </si>
  <si>
    <t>Miltiadis SiavvasDionysios KehagiasDimitrios TzovarasErol Gelenbe</t>
  </si>
  <si>
    <t>http://link.springer.com/article/10.1007/s11219-021-09555-0</t>
  </si>
  <si>
    <t>Mathematical, Computational Intelligence and Engineering Approaches for Tourism, Agriculture and Healthcare</t>
  </si>
  <si>
    <t>10.1007/978-981-16-3807-7</t>
  </si>
  <si>
    <t>Prof. Pankaj SrivastavaProf. S. S. ThakurDr. Georgia Irina OrosProf. Ali A. AlJarrahProf. Vichian Laohakosol</t>
  </si>
  <si>
    <t>http://link.springer.com/book/10.1007/978-981-16-3807-7</t>
  </si>
  <si>
    <t>Rasmus RosMikael Hammar</t>
  </si>
  <si>
    <t>http://link.springer.com/article/10.1007/s10664-020-09856-1</t>
  </si>
  <si>
    <t>Edumeres Toolbox: Functional, Technical, Architectural Analysis</t>
  </si>
  <si>
    <t>10.1007/978-3-030-98876-0_19</t>
  </si>
  <si>
    <t>Ernesto William De LucaFrancesca FallucchiCristian Nobili</t>
  </si>
  <si>
    <t>http://link.springer.com/chapter/10.1007/978-3-030-98876-0_19</t>
  </si>
  <si>
    <t>Sustainability and Innovation</t>
  </si>
  <si>
    <t>Business Models for the Circular Economy</t>
  </si>
  <si>
    <t>10.1007/978-3-031-08313-6</t>
  </si>
  <si>
    <t>Viktor ProkopJan StejskalJens HorbachWolfgang Gerstlberger</t>
  </si>
  <si>
    <t>http://link.springer.com/book/10.1007/978-3-031-08313-6</t>
  </si>
  <si>
    <t>Microservices Architecture and Design</t>
  </si>
  <si>
    <t>10.1007/978-1-4842-7226-8_5</t>
  </si>
  <si>
    <t>http://link.springer.com/chapter/10.1007/978-1-4842-7226-8_5</t>
  </si>
  <si>
    <t>Managing the Machine Learning Life Cycle</t>
  </si>
  <si>
    <t>10.1007/978-1-4842-7383-8_9</t>
  </si>
  <si>
    <t>http://link.springer.com/chapter/10.1007/978-1-4842-7383-8_9</t>
  </si>
  <si>
    <t>Jiachi ChenXin XiaDavid LoJohn GrundyXiaohu Yang</t>
  </si>
  <si>
    <t>http://link.springer.com/article/10.1007/s10664-021-10018-0</t>
  </si>
  <si>
    <t>Industrial and OSS developersâ€™ profiles: a family of experiments to evaluate a pioneering neuro-linguistic method for preferred representational systems automatic detection</t>
  </si>
  <si>
    <t>10.1186/s13173-021-00107-9</t>
  </si>
  <si>
    <t>Methanias ColaÃ§o JÃºniorBreno Santana SantosManoel MendonÃ§aDaniela CorumbaMario AndrÃ© de F. Farias</t>
  </si>
  <si>
    <t>http://link.springer.com/article/10.1186/s13173-021-00107-9</t>
  </si>
  <si>
    <t>Pro Oracle SQL Development</t>
  </si>
  <si>
    <t>10.1007/978-1-4842-8867-2</t>
  </si>
  <si>
    <t>Jon Heller</t>
  </si>
  <si>
    <t>http://link.springer.com/book/10.1007/978-1-4842-8867-2</t>
  </si>
  <si>
    <t>Modernize Monolithic Applications to Cloud Native</t>
  </si>
  <si>
    <t>10.1007/978-1-4842-7226-8_10</t>
  </si>
  <si>
    <t>http://link.springer.com/chapter/10.1007/978-1-4842-7226-8_10</t>
  </si>
  <si>
    <t>Practical relevance of software engineering research: synthesizing the communityâ€™s voice</t>
  </si>
  <si>
    <t>10.1007/s10664-020-09803-0</t>
  </si>
  <si>
    <t>Vahid GarousiMarkus BorgMarkku Oivo</t>
  </si>
  <si>
    <t>http://link.springer.com/article/10.1007/s10664-020-09803-0</t>
  </si>
  <si>
    <t>High-level software requirements and iteration changes: a predictive model</t>
  </si>
  <si>
    <t>10.1007/s10664-018-9656-z</t>
  </si>
  <si>
    <t>Kelly BlincoeAli DehghanAbdoul-Djawadou SalaouAdam NealJohan LinakerDaniela Damian</t>
  </si>
  <si>
    <t>http://link.springer.com/article/10.1007/s10664-018-9656-z</t>
  </si>
  <si>
    <t>Convergent Cognitive Information Technologies</t>
  </si>
  <si>
    <t>Dmitry NamiotVladimir Romanov</t>
  </si>
  <si>
    <t>http://link.springer.com/chapter/10.1007/978-3-030-37436-5_24</t>
  </si>
  <si>
    <t>Advances in Human Factors and Systems Interaction</t>
  </si>
  <si>
    <t>Epistemic Debt: A Concept and Measure of Technical Ignorance in Smart Manufacturing</t>
  </si>
  <si>
    <t>Tudor B. IonescuSebastian SchlundChristina Schmidbauer</t>
  </si>
  <si>
    <t>http://link.springer.com/chapter/10.1007/978-3-030-20040-4_8</t>
  </si>
  <si>
    <t>Machine Learning and Information Processing</t>
  </si>
  <si>
    <t>A Study of Quality Metrics in Agile Software Development</t>
  </si>
  <si>
    <t>10.1007/978-981-33-4859-2_26</t>
  </si>
  <si>
    <t>Krishna ChakravartyJagannath Singh</t>
  </si>
  <si>
    <t>http://link.springer.com/chapter/10.1007/978-981-33-4859-2_26</t>
  </si>
  <si>
    <t>Explainable AI Driven Applications for Patient Care and Treatment</t>
  </si>
  <si>
    <t>10.1007/978-3-031-12807-3_7</t>
  </si>
  <si>
    <t>Mukta SharmaAmit Kumar GoelPriyank Singhal</t>
  </si>
  <si>
    <t>http://link.springer.com/chapter/10.1007/978-3-031-12807-3_7</t>
  </si>
  <si>
    <t>Hands-On Guide to AgileOps</t>
  </si>
  <si>
    <t>10.1007/978-1-4842-7505-4</t>
  </si>
  <si>
    <t>Navin SabharwalRaminder RathoreUdita Agrawal</t>
  </si>
  <si>
    <t>http://link.springer.com/book/10.1007/978-1-4842-7505-4</t>
  </si>
  <si>
    <t>Guest Editorial: Special Section on Mining Software Repositories</t>
  </si>
  <si>
    <t>10.1007/s10664-019-09724-7</t>
  </si>
  <si>
    <t>Lin TanAbram Hindle</t>
  </si>
  <si>
    <t>http://link.springer.com/article/10.1007/s10664-019-09724-7</t>
  </si>
  <si>
    <t>Influences on regression testing strategies in agile software development environments</t>
  </si>
  <si>
    <t>10.1007/s11219-013-9225-z</t>
  </si>
  <si>
    <t>David ParsonsTeo SusnjakManfred Lange</t>
  </si>
  <si>
    <t>http://link.springer.com/article/10.1007/s11219-013-9225-z</t>
  </si>
  <si>
    <t>On the usage and development of deep learning compilers: an empirical study on TVM</t>
  </si>
  <si>
    <t>10.1007/s10664-022-10221-7</t>
  </si>
  <si>
    <t>Xiongfei WuJinqiu YangLei MaYinxing XueJianjun Zhao</t>
  </si>
  <si>
    <t>http://link.springer.com/article/10.1007/s10664-022-10221-7</t>
  </si>
  <si>
    <t>TestDCat 3.0: catalog of test debt subtypes and management activities</t>
  </si>
  <si>
    <t>10.1007/s11219-020-09533-y</t>
  </si>
  <si>
    <t>Bruno S. AragÃ£oRossana M. C. AndradeIsmayle S. SantosRute N. S. CastroValÃ©ria LelliTicianne G. R. Darin</t>
  </si>
  <si>
    <t>http://link.springer.com/article/10.1007/s11219-020-09533-y</t>
  </si>
  <si>
    <t>Understanding requirement prioritization artifacts: a systematic mapping study</t>
  </si>
  <si>
    <t>10.1007/s00766-016-0253-7</t>
  </si>
  <si>
    <t>Rahul Thakurta</t>
  </si>
  <si>
    <t>http://link.springer.com/article/10.1007/s00766-016-0253-7</t>
  </si>
  <si>
    <t>Synthesis Lectures on Computer Architecture</t>
  </si>
  <si>
    <t>The Datacenter as a Computer</t>
  </si>
  <si>
    <t>10.1007/978-3-031-01761-2</t>
  </si>
  <si>
    <t>Luiz AndrÃ© BarrosoUrs HÃ¶lzleParthasarathy Ranganathan</t>
  </si>
  <si>
    <t>http://link.springer.com/book/10.1007/978-3-031-01761-2</t>
  </si>
  <si>
    <t>Exploring the suitability of source code metrics for indicating architectural inconsistencies</t>
  </si>
  <si>
    <t>10.1007/s11219-018-9404-z</t>
  </si>
  <si>
    <t>JÃ¶rg LenhardMartin BlomSebastian Herold</t>
  </si>
  <si>
    <t>http://link.springer.com/article/10.1007/s11219-018-9404-z</t>
  </si>
  <si>
    <t>Improving studentsâ€™ programming quality with the continuous inspection process: a social coding perspective</t>
  </si>
  <si>
    <t>10.1007/s11704-019-9023-2</t>
  </si>
  <si>
    <t>Yao LuXinjun MaoTao WangGang YinZude Li</t>
  </si>
  <si>
    <t>http://link.springer.com/article/10.1007/s11704-019-9023-2</t>
  </si>
  <si>
    <t>Software Quality for AI: Where We Are Now?</t>
  </si>
  <si>
    <t>10.1007/978-3-030-65854-0_4</t>
  </si>
  <si>
    <t>Valentina LenarduzziFrancesco LomioSergio MoreschiniDavide TaibiDamian Andrew Tamburri</t>
  </si>
  <si>
    <t>http://link.springer.com/chapter/10.1007/978-3-030-65854-0_4</t>
  </si>
  <si>
    <t>Software Technology: Methods and Tools</t>
  </si>
  <si>
    <t>Quality-Aware Rapid Software Development Project: The Q-Rapids Project</t>
  </si>
  <si>
    <t>10.1007/978-3-030-29852-4_32</t>
  </si>
  <si>
    <t>Xavier FranchLidia LopezSilverio MartÃ­nez-FernÃ¡ndezMarc OriolPilar RodrÃ­guezAdam Trendowicz</t>
  </si>
  <si>
    <t>http://link.springer.com/chapter/10.1007/978-3-030-29852-4_32</t>
  </si>
  <si>
    <t>Organizing for DataOps</t>
  </si>
  <si>
    <t>10.1007/978-1-4842-5104-1_8</t>
  </si>
  <si>
    <t>http://link.springer.com/chapter/10.1007/978-1-4842-5104-1_8</t>
  </si>
  <si>
    <t>Multi-agent Simulation of Agile Team Dynamics: Experiments on Team Strategies Comparisons</t>
  </si>
  <si>
    <t>10.1007/978-3-030-90318-3_24</t>
  </si>
  <si>
    <t>Zhe Wang</t>
  </si>
  <si>
    <t>http://link.springer.com/chapter/10.1007/978-3-030-90318-3_24</t>
  </si>
  <si>
    <t>On business adoption and use of reproducible builds for open and closed source software</t>
  </si>
  <si>
    <t>10.1007/s11219-022-09607-z</t>
  </si>
  <si>
    <t>Simon ButlerJonas GamalielssonBjÃ¶rn LundellChristoffer BraxAnders MattssonTomas GustavssonJonas FeistBengt KvarnstrÃ¶mErik LÃ¶nroth</t>
  </si>
  <si>
    <t>http://link.springer.com/article/10.1007/s11219-022-09607-z</t>
  </si>
  <si>
    <t>Aakanshi GuptaNidhi Kumari Chauhan</t>
  </si>
  <si>
    <t>http://link.springer.com/article/10.1007/s13369-021-06077-6</t>
  </si>
  <si>
    <t>Cyber-Physical Systems</t>
  </si>
  <si>
    <t>10.1007/978-3-658-37182-1_2</t>
  </si>
  <si>
    <t>http://link.springer.com/chapter/10.1007/978-3-658-37182-1_2</t>
  </si>
  <si>
    <t>Computational Science and Its Applications â€“ ICCSA 2020</t>
  </si>
  <si>
    <t>Miltiadis SiavvasDimitrios TsoukalasCharalampos MarantosAngeliki-Agathi TsintziraMarija JankovicDimitrios SoudrisAlexander ChatzigeorgiouDionysios Kehagias</t>
  </si>
  <si>
    <t>http://link.springer.com/chapter/10.1007/978-3-030-58811-3_73</t>
  </si>
  <si>
    <t>Principles for Security</t>
  </si>
  <si>
    <t>10.1007/978-3-658-37182-1_11</t>
  </si>
  <si>
    <t>http://link.springer.com/chapter/10.1007/978-3-658-37182-1_11</t>
  </si>
  <si>
    <t>Building the Snowflake Data Cloud</t>
  </si>
  <si>
    <t>10.1007/978-1-4842-8593-0</t>
  </si>
  <si>
    <t>Andrew Carruthers</t>
  </si>
  <si>
    <t>http://link.springer.com/book/10.1007/978-1-4842-8593-0</t>
  </si>
  <si>
    <t>Journal of Visualization</t>
  </si>
  <si>
    <t>A systematic literature review of modern software visualization</t>
  </si>
  <si>
    <t>10.1007/s12650-020-00647-w</t>
  </si>
  <si>
    <t>Noptanit ChotisarnLeonel MerinoXu ZhengSupaporn LonapalawongTianye ZhangMingliang XuWei Chen</t>
  </si>
  <si>
    <t>http://link.springer.com/article/10.1007/s12650-020-00647-w</t>
  </si>
  <si>
    <t>Data-Driven Elicitation, Assessment and Documentation of Quality Requirements in Agile Software Development</t>
  </si>
  <si>
    <t>10.1007/978-3-319-91563-0_36</t>
  </si>
  <si>
    <t>Xavier FranchCristina GÃ³mezAndreas JedlitschkaLidia LÃ³pezSilverio MartÃ­nez-FernÃ¡ndezMarc OriolJari Partanen</t>
  </si>
  <si>
    <t>http://link.springer.com/chapter/10.1007/978-3-319-91563-0_36</t>
  </si>
  <si>
    <t>A preliminary analysis of self-adaptive systems according to different issues</t>
  </si>
  <si>
    <t>10.1007/s11219-020-09502-5</t>
  </si>
  <si>
    <t>Claudia RaibuletFrancesca Arcelli FontanaSimone Carettoni</t>
  </si>
  <si>
    <t>http://link.springer.com/article/10.1007/s11219-020-09502-5</t>
  </si>
  <si>
    <t>Automated Software Measurement Strategies Elaboration Using Unsupervised Learning Data Analysis</t>
  </si>
  <si>
    <t>10.1007/978-3-030-40223-5_17</t>
  </si>
  <si>
    <t>Sarah A. DahabStephane Maag</t>
  </si>
  <si>
    <t>http://link.springer.com/chapter/10.1007/978-3-030-40223-5_17</t>
  </si>
  <si>
    <t>Process Mining Handbook</t>
  </si>
  <si>
    <t>10.1007/978-3-031-08848-3</t>
  </si>
  <si>
    <t>Wil M. P. van der AalstJosep Carmona</t>
  </si>
  <si>
    <t>http://link.springer.com/book/10.1007/978-3-031-08848-3</t>
  </si>
  <si>
    <t>A metric for quantifying the ripple effects among requirements</t>
  </si>
  <si>
    <t>10.1007/s11219-021-09581-y</t>
  </si>
  <si>
    <t>Elvira-Maria ArvanitouApostolos AmpatzoglouAlexander ChatzigeorgiouParis AvgeriouNikolaos Tsiridis</t>
  </si>
  <si>
    <t>http://link.springer.com/article/10.1007/s11219-021-09581-y</t>
  </si>
  <si>
    <t>The Art of Site Reliability Engineering (SRE) with Azure</t>
  </si>
  <si>
    <t>10.1007/978-1-4842-8704-0</t>
  </si>
  <si>
    <t>Unai Huete Beloki</t>
  </si>
  <si>
    <t>http://link.springer.com/book/10.1007/978-1-4842-8704-0</t>
  </si>
  <si>
    <t>Trends and Applications in Software Engineering</t>
  </si>
  <si>
    <t>Towards Detecting MVC Architectural Smells</t>
  </si>
  <si>
    <t>10.1007/978-3-319-69341-5_23</t>
  </si>
  <si>
    <t>Perla Velasco-ElizondoLucero CastaÃ±eda-CalvilloAlejandro GarcÃ­a-FernandezSodel Vazquez-Reyes</t>
  </si>
  <si>
    <t>http://link.springer.com/chapter/10.1007/978-3-319-69341-5_23</t>
  </si>
  <si>
    <t>A Systematic Literature Review on Implementing Non-functional Requirements in Agile Software Development: Issues and Facilitating Practices</t>
  </si>
  <si>
    <t>10.1007/978-3-030-67084-9_6</t>
  </si>
  <si>
    <t>Aleksander JarzÄ™bowiczPaweÅ‚ Weichbroth</t>
  </si>
  <si>
    <t>http://link.springer.com/chapter/10.1007/978-3-030-67084-9_6</t>
  </si>
  <si>
    <t>Data Science and Analytics</t>
  </si>
  <si>
    <t>Aakanshi GuptaBharti SuriVishal Bhat</t>
  </si>
  <si>
    <t>http://link.springer.com/chapter/10.1007/978-981-15-5827-6_6</t>
  </si>
  <si>
    <t>Ahmad AbdellatifKhaled BadranEmad Shihab</t>
  </si>
  <si>
    <t>http://link.springer.com/article/10.1007/s10664-019-09788-5</t>
  </si>
  <si>
    <t>An empirical study of Android Wear user complaints</t>
  </si>
  <si>
    <t>10.1007/s10664-018-9615-8</t>
  </si>
  <si>
    <t>Suhaib MujahidGiancarlo SierraRabe AbdalkareemEmad ShihabWeiyi Shang</t>
  </si>
  <si>
    <t>http://link.springer.com/article/10.1007/s10664-018-9615-8</t>
  </si>
  <si>
    <t>Developer Relations</t>
  </si>
  <si>
    <t>10.1007/978-1-4842-7164-3</t>
  </si>
  <si>
    <t>Caroline LewkoJames Parton</t>
  </si>
  <si>
    <t>http://link.springer.com/book/10.1007/978-1-4842-7164-3</t>
  </si>
  <si>
    <t>On the Current Practices for Specifying Sustainability Requirements</t>
  </si>
  <si>
    <t>10.1007/978-3-031-05760-1_25</t>
  </si>
  <si>
    <t>Salvador MendesJoÃ£o AraujoAna Moreira</t>
  </si>
  <si>
    <t>http://link.springer.com/chapter/10.1007/978-3-031-05760-1_25</t>
  </si>
  <si>
    <t>Machine Learning for Cyber Physical Systems</t>
  </si>
  <si>
    <t>Making Industrial Analytics work for Factory Automation Applications</t>
  </si>
  <si>
    <t>10.1007/978-3-662-58485-9_13</t>
  </si>
  <si>
    <t>Markus Koester</t>
  </si>
  <si>
    <t>http://link.springer.com/chapter/10.1007/978-3-662-58485-9_13</t>
  </si>
  <si>
    <t>Beginning Cloud Native Development with MicroProfile, Jakarta EE, and Kubernetes</t>
  </si>
  <si>
    <t>10.1007/978-1-4842-8832-0</t>
  </si>
  <si>
    <t>Tarun Telang</t>
  </si>
  <si>
    <t>http://link.springer.com/book/10.1007/978-1-4842-8832-0</t>
  </si>
  <si>
    <t>Renaud RwemalikaSarra HabchiMike PapadakisYves Le TraonMarie-Claude Brasseur</t>
  </si>
  <si>
    <t>http://link.springer.com/article/10.1007/s10664-022-10251-1</t>
  </si>
  <si>
    <t>Architecture consistency: State of the practice, challenges and requirements</t>
  </si>
  <si>
    <t>10.1007/s10664-017-9515-3</t>
  </si>
  <si>
    <t>Nour AliSean BakerRoss Oâ€™CrowleySebastian HeroldJim Buckley</t>
  </si>
  <si>
    <t>http://link.springer.com/article/10.1007/s10664-017-9515-3</t>
  </si>
  <si>
    <t>The Impact of Human Factors on Software Sustainability</t>
  </si>
  <si>
    <t>10.1007/978-3-030-69970-3_12</t>
  </si>
  <si>
    <t>Asif ImranTevfik Kosar</t>
  </si>
  <si>
    <t>http://link.springer.com/chapter/10.1007/978-3-030-69970-3_12</t>
  </si>
  <si>
    <t>GitHub Discussions: An exploratory study of early adoption</t>
  </si>
  <si>
    <t>10.1007/s10664-021-10058-6</t>
  </si>
  <si>
    <t>Hideaki HataNicole NovielliSebastian BaltesRaula Gaikovina KulaChristoph Treude</t>
  </si>
  <si>
    <t>http://link.springer.com/article/10.1007/s10664-021-10058-6</t>
  </si>
  <si>
    <t>Applied Computing and Information Technology</t>
  </si>
  <si>
    <t>A Replicated Study on Relationship Between Code Quality and Method Comments</t>
  </si>
  <si>
    <t>10.1007/978-3-319-51472-7_2</t>
  </si>
  <si>
    <t>Yuto MiyakeSousuke AmasakiHirohisa AmanTomoyuki Yokogawa</t>
  </si>
  <si>
    <t>http://link.springer.com/chapter/10.1007/978-3-319-51472-7_2</t>
  </si>
  <si>
    <t>Data-Centric Business and Applications</t>
  </si>
  <si>
    <t>Software Defect Prediction Using Bad Code Smells: A Systematic Literature Review</t>
  </si>
  <si>
    <t>PaweÅ‚ PiotrowskiLech Madeyski</t>
  </si>
  <si>
    <t>http://link.springer.com/chapter/10.1007/978-3-030-34706-2_5</t>
  </si>
  <si>
    <t>Eman Abdullah AlomarTianjia WangVaibhavi RautMohamed Wiem MkaouerChristian NewmanAli Ouni</t>
  </si>
  <si>
    <t>http://link.springer.com/article/10.1007/s11334-021-00422-6</t>
  </si>
  <si>
    <t>Software Testing: A Changing Career</t>
  </si>
  <si>
    <t>10.1007/978-3-030-28005-5_57</t>
  </si>
  <si>
    <t>Sean CunninghamJemil GamboAidan LawlessDeclan MooreMurat YilmazPaul M. ClarkeRory V. Oâ€™Connor</t>
  </si>
  <si>
    <t>http://link.springer.com/chapter/10.1007/978-3-030-28005-5_57</t>
  </si>
  <si>
    <t>Putting All Things Together</t>
  </si>
  <si>
    <t>10.1007/978-3-031-02318-7_6</t>
  </si>
  <si>
    <t>http://link.springer.com/chapter/10.1007/978-3-031-02318-7_6</t>
  </si>
  <si>
    <t>The Ethics of AI</t>
  </si>
  <si>
    <t>10.1007/978-3-030-78585-7_4</t>
  </si>
  <si>
    <t>http://link.springer.com/chapter/10.1007/978-3-030-78585-7_4</t>
  </si>
  <si>
    <t>Cloud Attack Vectors</t>
  </si>
  <si>
    <t>10.1007/978-1-4842-8236-6</t>
  </si>
  <si>
    <t>Morey J. HaberBrian ChappellChristopher Hills</t>
  </si>
  <si>
    <t>http://link.springer.com/book/10.1007/978-1-4842-8236-6</t>
  </si>
  <si>
    <t>Bruno Sotto-MayorMeir Kalech</t>
  </si>
  <si>
    <t>http://link.springer.com/article/10.1007/s00500-021-06254-7</t>
  </si>
  <si>
    <t>Data Analytics: Predicting Software Bugs in Industrial Products</t>
  </si>
  <si>
    <t>10.1007/978-3-031-02063-6_3</t>
  </si>
  <si>
    <t>Robert HanmerVeena Mendiratta</t>
  </si>
  <si>
    <t>http://link.springer.com/chapter/10.1007/978-3-031-02063-6_3</t>
  </si>
  <si>
    <t>Why secret detection tools are not enough: Itâ€™s not just about false positives - An industrial case study</t>
  </si>
  <si>
    <t>Md Rayhanur RahmanNasif ImtiazMargaret-Anne StoreyLaurie Williams</t>
  </si>
  <si>
    <t>http://link.springer.com/article/10.1007/s10664-021-10109-y</t>
  </si>
  <si>
    <t>KI in Marketing &amp; Sales â€“ Erfolgsmodelle aus Forschung und Praxis</t>
  </si>
  <si>
    <t>10.1007/978-3-658-31519-1</t>
  </si>
  <si>
    <t>Prof. Dr. Meike Terstiege</t>
  </si>
  <si>
    <t>http://link.springer.com/book/10.1007/978-3-658-31519-1</t>
  </si>
  <si>
    <t>Interview with Harvinder Atwal</t>
  </si>
  <si>
    <t>10.1007/978-1-4842-6228-3_17</t>
  </si>
  <si>
    <t>http://link.springer.com/chapter/10.1007/978-1-4842-6228-3_17</t>
  </si>
  <si>
    <t>Pattern Catalog</t>
  </si>
  <si>
    <t>10.1007/978-3-030-84589-6_6</t>
  </si>
  <si>
    <t>http://link.springer.com/chapter/10.1007/978-3-030-84589-6_6</t>
  </si>
  <si>
    <t>Software system comparison with semantic source code embeddings</t>
  </si>
  <si>
    <t>10.1007/s10664-022-10122-9</t>
  </si>
  <si>
    <t>SaÅ¡o KarakatiÄAleksej MiloÅ¡eviÄTjaÅ¡a HeriÄko</t>
  </si>
  <si>
    <t>http://link.springer.com/article/10.1007/s10664-022-10122-9</t>
  </si>
  <si>
    <t>Developing Inclusive Mobile Apps</t>
  </si>
  <si>
    <t>Making Your App Inclusive</t>
  </si>
  <si>
    <t>10.1007/978-1-4842-5814-9_12</t>
  </si>
  <si>
    <t>Rob Whitaker</t>
  </si>
  <si>
    <t>http://link.springer.com/chapter/10.1007/978-1-4842-5814-9_12</t>
  </si>
  <si>
    <t>Continuous Argument Engineering: Tackling Uncertainty in Machine Learning Based Systems</t>
  </si>
  <si>
    <t>Fuyuki IshikawaYutaka Matsuno</t>
  </si>
  <si>
    <t>http://link.springer.com/chapter/10.1007/978-3-319-99229-7_2</t>
  </si>
  <si>
    <t>The Post-Digital Enterprise</t>
  </si>
  <si>
    <t>10.1007/978-3-030-94837-5</t>
  </si>
  <si>
    <t>Prof. Gianluigi CastelliProf. Severino MeregalliProf. Dr. Ferdinando Pennarola</t>
  </si>
  <si>
    <t>http://link.springer.com/book/10.1007/978-3-030-94837-5</t>
  </si>
  <si>
    <t>Edition HMD</t>
  </si>
  <si>
    <t>Big Data Analytics</t>
  </si>
  <si>
    <t>10.1007/978-3-658-32236-6</t>
  </si>
  <si>
    <t>Dr. Sara D'OnofrioProf. Dr. Andreas Meier</t>
  </si>
  <si>
    <t>http://link.springer.com/book/10.1007/978-3-658-32236-6</t>
  </si>
  <si>
    <t>Handbook of DNA Profiling</t>
  </si>
  <si>
    <t>10.1007/978-981-16-4318-7</t>
  </si>
  <si>
    <t>Assist. Prof. Hirak Ranjan DashDr. Pankaj ShrivastavaDr. J. A. Lorente</t>
  </si>
  <si>
    <t>http://link.springer.com/referencework/10.1007/978-981-16-4318-7</t>
  </si>
  <si>
    <t>Proceedings</t>
  </si>
  <si>
    <t>20. Internationales Stuttgarter Symposium</t>
  </si>
  <si>
    <t>10.1007/978-3-658-30995-4</t>
  </si>
  <si>
    <t>Prof. Dr. Michael BargendeProf. Dr. Hans-Christian ReussProf. Dr. Andreas Wagner</t>
  </si>
  <si>
    <t>http://link.springer.com/book/10.1007/978-3-658-30995-4</t>
  </si>
  <si>
    <t>ModelVars2SPL: From UML Class Diagram Variants to Software Product Line Core Assets</t>
  </si>
  <si>
    <t>10.1007/978-3-031-11686-5_9</t>
  </si>
  <si>
    <t>Wesley K. G. AssunÃ§Ã£oSilvia R. VergilioRoberto E. Lopez-Herrejon</t>
  </si>
  <si>
    <t>http://link.springer.com/chapter/10.1007/978-3-031-11686-5_9</t>
  </si>
  <si>
    <t>Third-party libraries in mobile apps</t>
  </si>
  <si>
    <t>10.1007/s10664-019-09754-1</t>
  </si>
  <si>
    <t>Pasquale SalzaFabio PalombaDario Di NucciAndrea De LuciaFilomena Ferrucci</t>
  </si>
  <si>
    <t>http://link.springer.com/article/10.1007/s10664-019-09754-1</t>
  </si>
  <si>
    <t>Tracing User Stories andÂ Source Code Using theÂ Language Extended Lexicon</t>
  </si>
  <si>
    <t>10.1007/978-3-031-04819-7_40</t>
  </si>
  <si>
    <t>Matias UrbietaLeandro AntonelliJavier GuerraGustavo Rossi</t>
  </si>
  <si>
    <t>http://link.springer.com/chapter/10.1007/978-3-031-04819-7_40</t>
  </si>
  <si>
    <t>Introduction to â€œSystems Engineering and Artificial Intelligenceâ€ and the Chapters</t>
  </si>
  <si>
    <t>10.1007/978-3-030-77283-3_1</t>
  </si>
  <si>
    <t>http://link.springer.com/chapter/10.1007/978-3-030-77283-3_1</t>
  </si>
  <si>
    <t>The secret life of test smells - an empirical study on test smell evolution and maintenance</t>
  </si>
  <si>
    <t>10.1007/s10664-021-09969-1</t>
  </si>
  <si>
    <t>Dong Jae KimTse-Hsun (Peter) ChenJinqiu Yang</t>
  </si>
  <si>
    <t>http://link.springer.com/article/10.1007/s10664-021-09969-1</t>
  </si>
  <si>
    <t>Xpert.press</t>
  </si>
  <si>
    <t>EinfÃ¼hrung in die Softwaretechnik</t>
  </si>
  <si>
    <t>10.1007/978-3-662-50263-1</t>
  </si>
  <si>
    <t>Prof. Dr. Manfred BroyProf. Dr. Marco Kuhrmann</t>
  </si>
  <si>
    <t>http://link.springer.com/book/10.1007/978-3-662-50263-1</t>
  </si>
  <si>
    <t>Amjad AbuHassanMohammad AlshayebLahouari Ghouti</t>
  </si>
  <si>
    <t>http://link.springer.com/article/10.1007/s40815-022-01248-5</t>
  </si>
  <si>
    <t>Gemma CatolinoFabio PalombaFrancesca Arcelli FontanaAndrea De LuciaAndy ZaidmanFilomena Ferrucci</t>
  </si>
  <si>
    <t>http://link.springer.com/article/10.1007/s10664-019-09739-0</t>
  </si>
  <si>
    <t>Promises and challenges of microservices: an exploratory study</t>
  </si>
  <si>
    <t>10.1007/s10664-020-09910-y</t>
  </si>
  <si>
    <t>Yingying WangHarshavardhan KadiyalaJulia Rubin</t>
  </si>
  <si>
    <t>http://link.springer.com/article/10.1007/s10664-020-09910-y</t>
  </si>
  <si>
    <t>Applied Intelligence</t>
  </si>
  <si>
    <t>Providing upgrade plans for third-party libraries: a recommender system using migration graphs</t>
  </si>
  <si>
    <t>10.1007/s10489-021-02911-4</t>
  </si>
  <si>
    <t>Riccardo RubeiDavide Di RuscioClaudio Di SipioJuri Di RoccoPhuong T. Nguyen</t>
  </si>
  <si>
    <t>http://link.springer.com/article/10.1007/s10489-021-02911-4</t>
  </si>
  <si>
    <t>Alexander TrautschSteffen HerboldJens Grabowski</t>
  </si>
  <si>
    <t>http://link.springer.com/article/10.1007/s10664-020-09880-1</t>
  </si>
  <si>
    <t>Cloud Computing Basics</t>
  </si>
  <si>
    <t>10.1007/978-1-4842-6921-3</t>
  </si>
  <si>
    <t>Anders Lisdorf</t>
  </si>
  <si>
    <t>http://link.springer.com/book/10.1007/978-1-4842-6921-3</t>
  </si>
  <si>
    <t>What do Programmers Discuss about Deep Learning Frameworks</t>
  </si>
  <si>
    <t>10.1007/s10664-020-09819-6</t>
  </si>
  <si>
    <t>Junxiao HanEmad ShihabZhiyuan WanShuiguang DengXin Xia</t>
  </si>
  <si>
    <t>http://link.springer.com/article/10.1007/s10664-020-09819-6</t>
  </si>
  <si>
    <t>Efficiency of oversampling methods for enhancing software defect prediction by using imbalanced data</t>
  </si>
  <si>
    <t>10.1007/s11334-022-00457-3</t>
  </si>
  <si>
    <t>Tirimula Rao BenalaKarunya Tantati</t>
  </si>
  <si>
    <t>http://link.springer.com/article/10.1007/s11334-022-00457-3</t>
  </si>
  <si>
    <t>Public Administration and Information Technology</t>
  </si>
  <si>
    <t>Blockchain and the Public Sector</t>
  </si>
  <si>
    <t>10.1007/978-3-030-55746-1</t>
  </si>
  <si>
    <t>Christopher G. ReddickManuel Pedro RodrÃ­guez-BolÃ­varHans Jochen Scholl</t>
  </si>
  <si>
    <t>http://link.springer.com/book/10.1007/978-3-030-55746-1</t>
  </si>
  <si>
    <t>Understanding the motivations, challenges and needs of Blockchain software developers: a survey</t>
  </si>
  <si>
    <t>10.1007/s10664-019-09708-7</t>
  </si>
  <si>
    <t>Amiangshu BosuAnindya IqbalRifat ShahriyarPartha Chakraborty</t>
  </si>
  <si>
    <t>http://link.springer.com/article/10.1007/s10664-019-09708-7</t>
  </si>
  <si>
    <t>How does code readability change during software evolution?</t>
  </si>
  <si>
    <t>10.1007/s10664-020-09886-9</t>
  </si>
  <si>
    <t>Valentina PiantadosiFabiana FierroSimone ScalabrinoAlexander SerebrenikRocco Oliveto</t>
  </si>
  <si>
    <t>http://link.springer.com/article/10.1007/s10664-020-09886-9</t>
  </si>
  <si>
    <t>Lean Thinking</t>
  </si>
  <si>
    <t>10.1007/978-1-4842-5104-1_3</t>
  </si>
  <si>
    <t>http://link.springer.com/chapter/10.1007/978-1-4842-5104-1_3</t>
  </si>
  <si>
    <t>Beyond Smart and Connected Governments</t>
  </si>
  <si>
    <t>10.1007/978-3-030-37464-8</t>
  </si>
  <si>
    <t>J. Ramon Gil-GarciaTheresa A. PardoMila Gasco-Hernandez</t>
  </si>
  <si>
    <t>http://link.springer.com/book/10.1007/978-3-030-37464-8</t>
  </si>
  <si>
    <t>Prioritizing Python Code Smells for Efficient Refactoring Using Multi-criteria Decision-Making Approach</t>
  </si>
  <si>
    <t>10.1007/978-981-16-2594-7_9</t>
  </si>
  <si>
    <t>Aakanshi GuptaDeepanshu SharmaKritika Phulli</t>
  </si>
  <si>
    <t>http://link.springer.com/chapter/10.1007/978-981-16-2594-7_9</t>
  </si>
  <si>
    <t>DataOps Technology</t>
  </si>
  <si>
    <t>10.1007/978-1-4842-5104-1_9</t>
  </si>
  <si>
    <t>http://link.springer.com/chapter/10.1007/978-1-4842-5104-1_9</t>
  </si>
  <si>
    <t>Investigating the Interaction between Energy Consumption, Quality of Service, Reliability, Security, and Maintainability of Computer Systems and Networks</t>
  </si>
  <si>
    <t>10.1007/s42979-020-00404-8</t>
  </si>
  <si>
    <t>Dionysios KehagiasMarija JankovicMiltiadis SiavvasErol Gelenbe</t>
  </si>
  <si>
    <t>http://link.springer.com/article/10.1007/s42979-020-00404-8</t>
  </si>
  <si>
    <t>Latifa GuerroujZeinab KermansaraviVenera ArnaoudovaBenjamin C. M. FungFoutse KhomhGiuliano AntoniolYann-GaÃ«l GuÃ©hÃ©neuc</t>
  </si>
  <si>
    <t>http://link.springer.com/article/10.1007/s11219-016-9318-6</t>
  </si>
  <si>
    <t>Become ITILÂ® 4 Foundation Certified in 7 Days</t>
  </si>
  <si>
    <t>10.1007/978-1-4842-6361-7</t>
  </si>
  <si>
    <t>Abhinav Krishna Kaiser</t>
  </si>
  <si>
    <t>http://link.springer.com/book/10.1007/978-1-4842-6361-7</t>
  </si>
  <si>
    <t>On the evolution and impact of architectural smellsâ€”an industrial case study</t>
  </si>
  <si>
    <t>10.1007/s10664-022-10132-7</t>
  </si>
  <si>
    <t>Darius SasParis AvgeriouUmut Uyumaz</t>
  </si>
  <si>
    <t>http://link.springer.com/article/10.1007/s10664-022-10132-7</t>
  </si>
  <si>
    <t>22. Internationales Stuttgarter Symposium</t>
  </si>
  <si>
    <t>10.1007/978-3-658-37009-1</t>
  </si>
  <si>
    <t>Michael BargendeHans-Christian ReussAndreas Wagner</t>
  </si>
  <si>
    <t>http://link.springer.com/book/10.1007/978-3-658-37009-1</t>
  </si>
  <si>
    <t>Smart Cities/Smart Regions â€“ Technische, wirtschaftliche und gesellschaftliche Innovationen</t>
  </si>
  <si>
    <t>10.1007/978-3-658-25210-6</t>
  </si>
  <si>
    <t>Prof. Dr. Jorge Marx GÃ³mezAndreas SolsbachDr. Thomas KlenkeProf. Dr. Volker Wohlgemuth</t>
  </si>
  <si>
    <t>http://link.springer.com/book/10.1007/978-3-658-25210-6</t>
  </si>
  <si>
    <t>Software Quality. The Future of Systems- and Software Development</t>
  </si>
  <si>
    <t>Web Service Test Evolution</t>
  </si>
  <si>
    <t>10.1007/978-3-319-27033-3_12</t>
  </si>
  <si>
    <t>Harry M. Sneed</t>
  </si>
  <si>
    <t>http://link.springer.com/chapter/10.1007/978-3-319-27033-3_12</t>
  </si>
  <si>
    <t>Exploring the relationship between performance metrics and cost saving potential of defect prediction models</t>
  </si>
  <si>
    <t>10.1007/s10664-022-10224-4</t>
  </si>
  <si>
    <t>Steffen TunkelSteffen Herbold</t>
  </si>
  <si>
    <t>http://link.springer.com/article/10.1007/s10664-022-10224-4</t>
  </si>
  <si>
    <t>Finding the Path Toward Design ofÂ Synergistic Human-Centric ComplexÂ Systems</t>
  </si>
  <si>
    <t>10.1007/978-3-030-89385-9_5</t>
  </si>
  <si>
    <t>Hesham Y. FouadAli K. RazJames LlinasWilliam F. LawlessRanjeev Mittu</t>
  </si>
  <si>
    <t>http://link.springer.com/chapter/10.1007/978-3-030-89385-9_5</t>
  </si>
  <si>
    <t>Round-trip engineering with the Two-Tier Programming Toolkit</t>
  </si>
  <si>
    <t>10.1007/s11219-017-9363-9</t>
  </si>
  <si>
    <t>A.H. EdenE. GasparisJ. NicholsonR. Kazman</t>
  </si>
  <si>
    <t>http://link.springer.com/article/10.1007/s11219-017-9363-9</t>
  </si>
  <si>
    <t>Silverio MartÃ­nez-FernÃ¡ndezXavier FranchAndreas JedlitschkaMarc OriolAdam Trendowicz</t>
  </si>
  <si>
    <t>http://link.springer.com/chapter/10.1007/978-3-030-75018-3_14</t>
  </si>
  <si>
    <t>Generation of refactoring algorithms by grammatical evolution</t>
  </si>
  <si>
    <t>10.1007/s10664-022-10151-4</t>
  </si>
  <si>
    <t>ThainÃ¡ MarianiMarouane KessentiniSilvia Regina Vergilio</t>
  </si>
  <si>
    <t>http://link.springer.com/article/10.1007/s10664-022-10151-4</t>
  </si>
  <si>
    <t>Heng TongCheng ZhangFutian Wang</t>
  </si>
  <si>
    <t>http://link.springer.com/chapter/10.1007/978-981-15-7984-4_37</t>
  </si>
  <si>
    <t>Advances in Knowledge Discovery and Data Mining</t>
  </si>
  <si>
    <t>Bridging the Gap Between Research and Production with CODE</t>
  </si>
  <si>
    <t>10.1007/978-3-030-16142-2_22</t>
  </si>
  <si>
    <t>Yiping JinDittaya WanvariePhu T. V. Le</t>
  </si>
  <si>
    <t>http://link.springer.com/chapter/10.1007/978-3-030-16142-2_22</t>
  </si>
  <si>
    <t>Docs for Developers</t>
  </si>
  <si>
    <t>10.1007/978-1-4842-7217-6</t>
  </si>
  <si>
    <t>Jared BhattiZachary Sarah CorleissenJen LambourneDavid NunezHeidi Waterhouse</t>
  </si>
  <si>
    <t>http://link.springer.com/book/10.1007/978-1-4842-7217-6</t>
  </si>
  <si>
    <t>HQLgen: deep learning based HQL query generation from program context</t>
  </si>
  <si>
    <t>10.1007/s10515-022-00359-5</t>
  </si>
  <si>
    <t>Ziyi ZhouHuiqun YuGuisheng FanZijie HuangKang YangJiayin Zhang</t>
  </si>
  <si>
    <t>http://link.springer.com/article/10.1007/s10515-022-00359-5</t>
  </si>
  <si>
    <t>Pitfalls and guidelines for using time-based Git data</t>
  </si>
  <si>
    <t>10.1007/s10664-022-10200-y</t>
  </si>
  <si>
    <t>Samuel W. FlintJigyasa ChauhanRobert Dyer</t>
  </si>
  <si>
    <t>http://link.springer.com/article/10.1007/s10664-022-10200-y</t>
  </si>
  <si>
    <t>Making Runtime Data Useful for Incident Diagnosis: An Experience Report</t>
  </si>
  <si>
    <t>10.1007/978-3-030-03673-7_33</t>
  </si>
  <si>
    <t>Florian LautenschlagerMarcus Ciolkowski</t>
  </si>
  <si>
    <t>http://link.springer.com/chapter/10.1007/978-3-030-03673-7_33</t>
  </si>
  <si>
    <t>Madhushi BandaraFethi A. RabhiMuneera Bano</t>
  </si>
  <si>
    <t>http://link.springer.com/article/10.1007/s00766-022-00385-5</t>
  </si>
  <si>
    <t>Building theÂ MSR Tool Kaiaulu: Design Principles andÂ Experiences</t>
  </si>
  <si>
    <t>10.1007/978-3-031-15116-3_6</t>
  </si>
  <si>
    <t>Carlos ParadisRick Kazman</t>
  </si>
  <si>
    <t>http://link.springer.com/chapter/10.1007/978-3-031-15116-3_6</t>
  </si>
  <si>
    <t>A systematic literature review on quality criteria for agile requirements specifications</t>
  </si>
  <si>
    <t>10.1007/s11219-016-9336-4</t>
  </si>
  <si>
    <t>Petra HeckAndy Zaidman</t>
  </si>
  <si>
    <t>http://link.springer.com/article/10.1007/s11219-016-9336-4</t>
  </si>
  <si>
    <t>An Exploratory Study on Architectural Knowledge in Issue Tracking Systems</t>
  </si>
  <si>
    <t>10.1007/978-3-030-86044-8_8</t>
  </si>
  <si>
    <t>Mohamed SolimanMatthias GalsterParis Avgeriou</t>
  </si>
  <si>
    <t>http://link.springer.com/chapter/10.1007/978-3-030-86044-8_8</t>
  </si>
  <si>
    <t>International Journal of System Assurance Engineering and Management</t>
  </si>
  <si>
    <t>Comparative analysis of software fault prediction using various categories of classifiers</t>
  </si>
  <si>
    <t>10.1007/s13198-021-01110-1</t>
  </si>
  <si>
    <t>Inderpreet KaurArvinder Kaur</t>
  </si>
  <si>
    <t>http://link.springer.com/article/10.1007/s13198-021-01110-1</t>
  </si>
  <si>
    <t>In this issue</t>
  </si>
  <si>
    <t>10.1007/s11219-020-09540-z</t>
  </si>
  <si>
    <t>Rachel Harrison</t>
  </si>
  <si>
    <t>http://link.springer.com/article/10.1007/s11219-020-09540-z</t>
  </si>
  <si>
    <t>An Empirical Investigation on Business Analytics in Software and Systems Development Projects</t>
  </si>
  <si>
    <t>10.1007/s10796-022-10253-w</t>
  </si>
  <si>
    <t>Muhammad Ovais AhmadIftikhar AhmadNripendra P. RanaIqra Sadaf Khan</t>
  </si>
  <si>
    <t>http://link.springer.com/article/10.1007/s10796-022-10253-w</t>
  </si>
  <si>
    <t>Trends and Future Directions in Security and Emergency Management</t>
  </si>
  <si>
    <t>10.1007/978-3-030-88907-4</t>
  </si>
  <si>
    <t>Irena TuÅ¡erÅ Ã¡rka HoÅ¡kovÃ¡-MayerovÃ¡</t>
  </si>
  <si>
    <t>http://link.springer.com/book/10.1007/978-3-030-88907-4</t>
  </si>
  <si>
    <t>Cloud Migration Fundamentals</t>
  </si>
  <si>
    <t>10.1007/978-1-4842-7252-7_2</t>
  </si>
  <si>
    <t>http://link.springer.com/chapter/10.1007/978-1-4842-7252-7_2</t>
  </si>
  <si>
    <t>Security by Design</t>
  </si>
  <si>
    <t>10.1007/978-3-662-62917-8</t>
  </si>
  <si>
    <t>Dr. Armin LunkeitDr. Wolf Zimmer</t>
  </si>
  <si>
    <t>http://link.springer.com/book/10.1007/978-3-662-62917-8</t>
  </si>
  <si>
    <t>Computing with Data</t>
  </si>
  <si>
    <t>Thoughts on Software Craftsmanship</t>
  </si>
  <si>
    <t>10.1007/978-3-319-98149-9_15</t>
  </si>
  <si>
    <t>Guy LebanonMohamed El-Geish</t>
  </si>
  <si>
    <t>http://link.springer.com/chapter/10.1007/978-3-319-98149-9_15</t>
  </si>
  <si>
    <t>Charalampos MarantosKonstantinos SalapasLazaros PapadopoulosDimitrios Soudris</t>
  </si>
  <si>
    <t>http://link.springer.com/article/10.1007/s42979-020-00405-7</t>
  </si>
  <si>
    <t>Challenges and Strategies for Undertaking Continuous Experimentation to Embedded Systems: Industry and Research Perspectives</t>
  </si>
  <si>
    <t>David Issa MattosJan BoschHelena HolmstrÃ¶m Olsson</t>
  </si>
  <si>
    <t>http://link.springer.com/chapter/10.1007/978-3-319-91602-6_20</t>
  </si>
  <si>
    <t>http://link.springer.com/chapter/10.1007/978-981-19-1111-8_10</t>
  </si>
  <si>
    <t>Component attributes and their importance in decisions and component selection</t>
  </si>
  <si>
    <t>10.1007/s11219-019-09465-2</t>
  </si>
  <si>
    <t>Panagiota ChatzipetrouEfi PapatheocharousKrzysztof WnukMarkus BorgEmil AlÃ©grothTony Gorschek</t>
  </si>
  <si>
    <t>http://link.springer.com/article/10.1007/s11219-019-09465-2</t>
  </si>
  <si>
    <t>Industrial Engineering and Operations Management I</t>
  </si>
  <si>
    <t>A Bibliographic Review of Software Metrics: Applying the Consolidated Meta-Analytic Approach</t>
  </si>
  <si>
    <t>10.1007/978-3-030-14969-7_21</t>
  </si>
  <si>
    <t>Ari Melo MarianoAna Carla Bittencourt ReisLucas dos Santos AlthoffLaÃ­s Bandeira Barros</t>
  </si>
  <si>
    <t>http://link.springer.com/chapter/10.1007/978-3-030-14969-7_21</t>
  </si>
  <si>
    <t>On the Move to Meaningful Internet Systems: OTM 2019 Workshops</t>
  </si>
  <si>
    <t>Translating a Legacy Stack to Microservices Using a Modernization Facade with Performance Optimization for Container Deployments</t>
  </si>
  <si>
    <t>10.1007/978-3-030-40907-4_14</t>
  </si>
  <si>
    <t>Prabal MahantaSuchin Chouta</t>
  </si>
  <si>
    <t>http://link.springer.com/chapter/10.1007/978-3-030-40907-4_14</t>
  </si>
  <si>
    <t>Deliver Digital Experience</t>
  </si>
  <si>
    <t>10.1007/978-981-16-6069-6_5</t>
  </si>
  <si>
    <t>http://link.springer.com/chapter/10.1007/978-981-16-6069-6_5</t>
  </si>
  <si>
    <t>National Cyber Summit (NCS) Research Track 2020</t>
  </si>
  <si>
    <t>Michael T. ShroveEmil Jovanov</t>
  </si>
  <si>
    <t>http://link.springer.com/chapter/10.1007/978-3-030-58703-1_17</t>
  </si>
  <si>
    <t>Gesundheit digital</t>
  </si>
  <si>
    <t>10.1007/978-3-662-57611-3</t>
  </si>
  <si>
    <t>Prof. Dr. Robin Haring</t>
  </si>
  <si>
    <t>http://link.springer.com/book/10.1007/978-3-662-57611-3</t>
  </si>
  <si>
    <t>Search. Review. Repeat? An empirical study of threats to replicating SLR searches</t>
  </si>
  <si>
    <t>10.1007/s10664-019-09763-0</t>
  </si>
  <si>
    <t>Jacob KrÃ¼gerChristian LausbergerIvonne von Nostitz-WallwitzGunter SaakeThomas Leich</t>
  </si>
  <si>
    <t>http://link.springer.com/article/10.1007/s10664-019-09763-0</t>
  </si>
  <si>
    <t>Studying and detecting log-related issues</t>
  </si>
  <si>
    <t>10.1007/s10664-018-9603-z</t>
  </si>
  <si>
    <t>Mehran HassaniWeiyi ShangEmad ShihabNikolaos Tsantalis</t>
  </si>
  <si>
    <t>http://link.springer.com/article/10.1007/s10664-018-9603-z</t>
  </si>
  <si>
    <t>Pro Data Visualization Using R and JavaScript</t>
  </si>
  <si>
    <t>10.1007/978-1-4842-7202-2</t>
  </si>
  <si>
    <t>Tom BarkerJon Westfall</t>
  </si>
  <si>
    <t>http://link.springer.com/book/10.1007/978-1-4842-7202-2</t>
  </si>
  <si>
    <t>SICS Software-Intensive Cyber-Physical Systems</t>
  </si>
  <si>
    <t>RADON: rational decomposition and orchestration for serverless computing</t>
  </si>
  <si>
    <t>10.1007/s00450-019-00413-w</t>
  </si>
  <si>
    <t>G. CasaleM. ArtaÄW.-J. van den HeuvelA. van HoornP. JakovitsF. LeymannM. LongV. PapanikolaouD. PresenzaA. RussoS. N. SriramaD. A. TamburriM. WursterL. Zhu</t>
  </si>
  <si>
    <t>http://link.springer.com/article/10.1007/s00450-019-00413-w</t>
  </si>
  <si>
    <t>Criminal Law Forum</t>
  </si>
  <si>
    <t>Negligence Failures And Negligence Fixes. A Comparative Analysis Of Criminal Regulation Of AI And Autonomous Vehicles</t>
  </si>
  <si>
    <t>10.1007/s10609-023-09451-1</t>
  </si>
  <si>
    <t>Alice GianniniJonathan Kwik</t>
  </si>
  <si>
    <t>http://link.springer.com/article/10.1007/s10609-023-09451-1</t>
  </si>
  <si>
    <t>Freelancer Supported Innovation in Startups</t>
  </si>
  <si>
    <t>10.1007/978-3-031-19741-3_3</t>
  </si>
  <si>
    <t>http://link.springer.com/chapter/10.1007/978-3-031-19741-3_3</t>
  </si>
  <si>
    <t>What to share, when, and where: balancing the objectives and complexities of open source software contributions</t>
  </si>
  <si>
    <t>10.1007/s10664-020-09855-2</t>
  </si>
  <si>
    <t>Johan LinÃ¥kerBjÃ¶rn Regnell</t>
  </si>
  <si>
    <t>http://link.springer.com/article/10.1007/s10664-020-09855-2</t>
  </si>
  <si>
    <t>Agile Practices</t>
  </si>
  <si>
    <t>10.1007/978-3-030-86152-0_2</t>
  </si>
  <si>
    <t>http://link.springer.com/chapter/10.1007/978-3-030-86152-0_2</t>
  </si>
  <si>
    <t>A fine-grained data set and analysis of tangling in bug fixing commits</t>
  </si>
  <si>
    <t>10.1007/s10664-021-10083-5</t>
  </si>
  <si>
    <t>Steffen HerboldAlexander TrautschBenjamin LedelAlireza AghamohammadiTaher A. GhalebKuljit Kaur ChahalTim BossenmaierBhaveet NagariaPhilip MakedonskiMatin Nili AhmadabadiKristof SzabadosHelge SpiekerMatej MadejaNathaniel HoyValentina LenarduzziShangwen Wang</t>
  </si>
  <si>
    <t>http://link.springer.com/article/10.1007/s10664-021-10083-5</t>
  </si>
  <si>
    <t>BigQuery for Data Warehousing</t>
  </si>
  <si>
    <t>Care and Feeding of Your Warehouse</t>
  </si>
  <si>
    <t>10.1007/978-1-4842-6186-6_8</t>
  </si>
  <si>
    <t>Mark Mucchetti</t>
  </si>
  <si>
    <t>http://link.springer.com/chapter/10.1007/978-1-4842-6186-6_8</t>
  </si>
  <si>
    <t>Pillars for Establishing a Durable and Future-Proof IT Architecture Maturing Along with the NSC: Approaches from Continuous Integration to Service Mesh</t>
  </si>
  <si>
    <t>10.1007/978-3-030-89902-8_4</t>
  </si>
  <si>
    <t>Bernd KratzFlorian WieduwiltMaxim Saveliev</t>
  </si>
  <si>
    <t>http://link.springer.com/chapter/10.1007/978-3-030-89902-8_4</t>
  </si>
  <si>
    <t>Sousuke AmasakiHirohisa AmanTomoyuki Yokogawa</t>
  </si>
  <si>
    <t>http://link.springer.com/article/10.1007/s10664-021-10103-4</t>
  </si>
  <si>
    <t>SAP Enterprise Architecture</t>
  </si>
  <si>
    <t>10.1007/978-1-4842-8575-6</t>
  </si>
  <si>
    <t>Sheunopa Chalmers Musukutwa</t>
  </si>
  <si>
    <t>http://link.springer.com/book/10.1007/978-1-4842-8575-6</t>
  </si>
  <si>
    <t>Implementing Lean Principles in Scrum to Adapt to Remote Work in a Covid-19 Impacted Software Team</t>
  </si>
  <si>
    <t>10.1007/978-3-030-67084-9_11</t>
  </si>
  <si>
    <t>Leigh Griffin</t>
  </si>
  <si>
    <t>http://link.springer.com/chapter/10.1007/978-3-030-67084-9_11</t>
  </si>
  <si>
    <t>Data Scientists at Work</t>
  </si>
  <si>
    <t>Jonathan Lenaghan</t>
  </si>
  <si>
    <t>10.1007/978-1-4302-6599-3_9</t>
  </si>
  <si>
    <t>Sebastian Gutierrez</t>
  </si>
  <si>
    <t>http://link.springer.com/chapter/10.1007/978-1-4302-6599-3_9</t>
  </si>
  <si>
    <t>Pro Microservices in .NET 6</t>
  </si>
  <si>
    <t>10.1007/978-1-4842-7833-8</t>
  </si>
  <si>
    <t>Sean WhitesellRob RichardsonMatthew D. Groves</t>
  </si>
  <si>
    <t>http://link.springer.com/book/10.1007/978-1-4842-7833-8</t>
  </si>
  <si>
    <t>Cloud Computing Primer</t>
  </si>
  <si>
    <t>10.1007/978-1-4842-7252-7_1</t>
  </si>
  <si>
    <t>http://link.springer.com/chapter/10.1007/978-1-4842-7252-7_1</t>
  </si>
  <si>
    <t>Editorial</t>
  </si>
  <si>
    <t>10.1007/s41870-022-00905-0</t>
  </si>
  <si>
    <t>M. N. Hoda</t>
  </si>
  <si>
    <t>http://link.springer.com/article/10.1007/s41870-022-00905-0</t>
  </si>
  <si>
    <t>18. Internationales Stuttgarter Symposium</t>
  </si>
  <si>
    <t>10.1007/978-3-658-21194-3</t>
  </si>
  <si>
    <t>Prof. Dr. Michael BargendeProf. Dr. Hans-Christian ReussProf. Dr. Jochen Wiedemann</t>
  </si>
  <si>
    <t>http://link.springer.com/book/10.1007/978-3-658-21194-3</t>
  </si>
  <si>
    <t>What Influences the Speed of Prototyping? An Empirical Investigation of Twenty Software Startups</t>
  </si>
  <si>
    <t>10.1007/978-3-319-57633-6_2</t>
  </si>
  <si>
    <t>Anh Nguyen-DucXiaofeng WangPekka Abrahamsson</t>
  </si>
  <si>
    <t>http://link.springer.com/chapter/10.1007/978-3-319-57633-6_2</t>
  </si>
  <si>
    <t>Parallel Agile â€“ faster delivery, fewer defects, lower cost</t>
  </si>
  <si>
    <t>CodeBots: From Domain Model to Executable Architecture</t>
  </si>
  <si>
    <t>10.1007/978-3-030-30701-1_3</t>
  </si>
  <si>
    <t>Doug RosenbergBarry BoehmMatt StephensCharles SuscheckShobha Rani DhalipathiBo Wang</t>
  </si>
  <si>
    <t>http://link.springer.com/chapter/10.1007/978-3-030-30701-1_3</t>
  </si>
  <si>
    <t>Organization and Leadership in Disruptive Times</t>
  </si>
  <si>
    <t>10.1007/978-3-030-63034-8</t>
  </si>
  <si>
    <t>Peter WollmannFrank KÃ¼hnMichael KempfReto PÃ¼ringer</t>
  </si>
  <si>
    <t>http://link.springer.com/book/10.1007/978-3-030-63034-8</t>
  </si>
  <si>
    <t>The EFIS Framework for Leveraging Agile Organizations Within Large Enterprises</t>
  </si>
  <si>
    <t>10.1007/978-3-030-88583-0_5</t>
  </si>
  <si>
    <t>Alexander PothMario KottkeChristian HeimannAndreas Riel</t>
  </si>
  <si>
    <t>http://link.springer.com/chapter/10.1007/978-3-030-88583-0_5</t>
  </si>
  <si>
    <t>A Systematic Literature Review on Empirical Analysis of the Relationship Between Code Smells and Software Quality Attributes</t>
  </si>
  <si>
    <t>10.1007/s11831-019-09348-6</t>
  </si>
  <si>
    <t>Amandeep Kaur</t>
  </si>
  <si>
    <t>http://link.springer.com/article/10.1007/s11831-019-09348-6</t>
  </si>
  <si>
    <t>Enterprise IT Assessment for a Cloud Native Journey</t>
  </si>
  <si>
    <t>10.1007/978-1-4842-7226-8_11</t>
  </si>
  <si>
    <t>http://link.springer.com/chapter/10.1007/978-1-4842-7226-8_11</t>
  </si>
  <si>
    <t>Empirical analysis of the tool support for software product lines</t>
  </si>
  <si>
    <t>10.1007/s10270-022-01011-2</t>
  </si>
  <si>
    <t>JosÃ© Miguel HorcasMÃ³nica PintoLidia Fuentes</t>
  </si>
  <si>
    <t>http://link.springer.com/article/10.1007/s10270-022-01011-2</t>
  </si>
  <si>
    <t>Patterns of continuous requirements clarification</t>
  </si>
  <si>
    <t>10.1007/s00766-014-0205-z</t>
  </si>
  <si>
    <t>Eric KnaussDaniela DamianJane Cleland-HuangRemko Helms</t>
  </si>
  <si>
    <t>http://link.springer.com/article/10.1007/s00766-014-0205-z</t>
  </si>
  <si>
    <t>How to Recruit and Hire Great Software Engineers</t>
  </si>
  <si>
    <t>Talent Management</t>
  </si>
  <si>
    <t>10.1007/978-1-4302-4918-4_2</t>
  </si>
  <si>
    <t>Patrick McCuller</t>
  </si>
  <si>
    <t>http://link.springer.com/chapter/10.1007/978-1-4302-4918-4_2</t>
  </si>
  <si>
    <t>Metabolomics</t>
  </si>
  <si>
    <t>Toward collaborative open data science in metabolomics using Jupyter Notebooks and cloud computing</t>
  </si>
  <si>
    <t>10.1007/s11306-019-1588-0</t>
  </si>
  <si>
    <t>Kevin M. MendezLeighton PritchardStacey N. ReinkeDavid I. Broadhurst</t>
  </si>
  <si>
    <t>http://link.springer.com/article/10.1007/s11306-019-1588-0</t>
  </si>
  <si>
    <t>Future-Proof Software-Systems</t>
  </si>
  <si>
    <t>Three Devils of Systems Engineering</t>
  </si>
  <si>
    <t>10.1007/978-3-658-19938-8_3</t>
  </si>
  <si>
    <t>http://link.springer.com/chapter/10.1007/978-3-658-19938-8_3</t>
  </si>
  <si>
    <t>SecoArc: A Framework for Architecting Healthy Software Ecosystems</t>
  </si>
  <si>
    <t>10.1007/978-3-030-59155-7_8</t>
  </si>
  <si>
    <t>Bahar SchwichtenbergGregor Engels</t>
  </si>
  <si>
    <t>http://link.springer.com/chapter/10.1007/978-3-030-59155-7_8</t>
  </si>
  <si>
    <t>Agent Environments for Multi-Agent Systems IV</t>
  </si>
  <si>
    <t>Introduction and Challenges of Environment Architectures for Collective Intelligence Systems</t>
  </si>
  <si>
    <t>10.1007/978-3-319-23850-0_6</t>
  </si>
  <si>
    <t>Juergen MusilAngelika MusilStefan Biffl</t>
  </si>
  <si>
    <t>http://link.springer.com/chapter/10.1007/978-3-319-23850-0_6</t>
  </si>
  <si>
    <t>Praxisleitfaden fÃ¼r KÃ¼nstliche Intelligenz in Marketing und Vertrieb</t>
  </si>
  <si>
    <t>10.1007/978-3-658-35626-2</t>
  </si>
  <si>
    <t>Laurenz Wuttke</t>
  </si>
  <si>
    <t>http://link.springer.com/book/10.1007/978-3-658-35626-2</t>
  </si>
  <si>
    <t>Agile Machine Learning</t>
  </si>
  <si>
    <t>Sustainable Development</t>
  </si>
  <si>
    <t>10.1007/978-1-4842-5107-2_8</t>
  </si>
  <si>
    <t>Eric CarterMatthew Hurst</t>
  </si>
  <si>
    <t>http://link.springer.com/chapter/10.1007/978-1-4842-5107-2_8</t>
  </si>
  <si>
    <t>AgilitÃ¤t in Unternehmen</t>
  </si>
  <si>
    <t>10.1007/978-3-658-31001-1</t>
  </si>
  <si>
    <t>Prof. Dr. Mario A. PfannstielWerner SiedlProf. Dr. Peter F.-J. Steinhoff</t>
  </si>
  <si>
    <t>http://link.springer.com/book/10.1007/978-3-658-31001-1</t>
  </si>
  <si>
    <t>Mapping Source Code toÂ Modular Architectures Using Keywords</t>
  </si>
  <si>
    <t>10.1007/978-3-031-15116-3_4</t>
  </si>
  <si>
    <t>Tobias OlssonMorgan EricssonAnna Wingkvist</t>
  </si>
  <si>
    <t>http://link.springer.com/chapter/10.1007/978-3-031-15116-3_4</t>
  </si>
  <si>
    <t>Software Architecture Measurementâ€”Experiences from a Multinational Company</t>
  </si>
  <si>
    <t>10.1007/978-3-030-00761-4_20</t>
  </si>
  <si>
    <t>Wensheng WuYuanfang CaiRick KazmanRan MoZhipeng LiuRongbiao ChenYingan GeWeicai LiuJunhui Zhang</t>
  </si>
  <si>
    <t>http://link.springer.com/chapter/10.1007/978-3-030-00761-4_20</t>
  </si>
  <si>
    <t>Modeling and Analyzing Architectural Diversity of Open Platforms</t>
  </si>
  <si>
    <t>10.1007/978-3-030-49435-3_3</t>
  </si>
  <si>
    <t>Bahar JazayeriSimon SchwichtenbergJochen KÃ¼sterOlaf ZimmermannGregor Engels</t>
  </si>
  <si>
    <t>http://link.springer.com/chapter/10.1007/978-3-030-49435-3_3</t>
  </si>
  <si>
    <t>Data Governance and Data Management</t>
  </si>
  <si>
    <t>10.1007/978-981-16-3583-0</t>
  </si>
  <si>
    <t>Rupa Mahanti</t>
  </si>
  <si>
    <t>http://link.springer.com/book/10.1007/978-981-16-3583-0</t>
  </si>
  <si>
    <t>Pattern Language for Designing Distributed AI Systems</t>
  </si>
  <si>
    <t>10.1007/978-3-031-15644-1_34</t>
  </si>
  <si>
    <t>Satish Mahadevan SrinivasanShahed MahbubRaghvinder S. SangwanYouakim BadrPartha Mukherjee</t>
  </si>
  <si>
    <t>http://link.springer.com/chapter/10.1007/978-3-031-15644-1_34</t>
  </si>
  <si>
    <t>IT-Operations in der Transformation</t>
  </si>
  <si>
    <t>10.1007/978-3-658-37324-5</t>
  </si>
  <si>
    <t>Hans-Peter FrÃ¶schleRalf OestereichNikolaus Schmidt</t>
  </si>
  <si>
    <t>http://link.springer.com/book/10.1007/978-3-658-37324-5</t>
  </si>
  <si>
    <t>Becoming a data-driven Organisation</t>
  </si>
  <si>
    <t>What is Data?</t>
  </si>
  <si>
    <t>10.1007/978-3-662-60304-8_1</t>
  </si>
  <si>
    <t>Martin Treder</t>
  </si>
  <si>
    <t>http://link.springer.com/chapter/10.1007/978-3-662-60304-8_1</t>
  </si>
  <si>
    <t>Design, User Experience, and Usability. Design Philosophy and Theory</t>
  </si>
  <si>
    <t>User Interface Prototyping Toolkit (UIPT)</t>
  </si>
  <si>
    <t>10.1007/978-3-030-23570-3_15</t>
  </si>
  <si>
    <t>Bryan L. CroftJeffrey D. ClarksonEric VonColln</t>
  </si>
  <si>
    <t>http://link.springer.com/chapter/10.1007/978-3-030-23570-3_15</t>
  </si>
  <si>
    <t>Closing Remarks</t>
  </si>
  <si>
    <t>10.1007/978-3-031-01761-2_8</t>
  </si>
  <si>
    <t>http://link.springer.com/chapter/10.1007/978-3-031-01761-2_8</t>
  </si>
  <si>
    <t>Using Knowledge Graphs to Detect Enterprise Architecture Smells</t>
  </si>
  <si>
    <t>10.1007/978-3-030-91279-6_4</t>
  </si>
  <si>
    <t>Muhamed SmajevicSimon HacksDominik Bork</t>
  </si>
  <si>
    <t>http://link.springer.com/chapter/10.1007/978-3-030-91279-6_4</t>
  </si>
  <si>
    <t>A Survey on Common Threats in npm and PyPi Registries</t>
  </si>
  <si>
    <t>10.1007/978-3-030-87839-9_6</t>
  </si>
  <si>
    <t>Berkay KaplanJingyu Qian</t>
  </si>
  <si>
    <t>http://link.springer.com/chapter/10.1007/978-3-030-87839-9_6</t>
  </si>
  <si>
    <t>Thoughts on System Design for Big Data</t>
  </si>
  <si>
    <t>10.1007/978-3-319-98149-9_14</t>
  </si>
  <si>
    <t>http://link.springer.com/chapter/10.1007/978-3-319-98149-9_14</t>
  </si>
  <si>
    <t>Digitization and MongoDBâ€”The Art of Possible</t>
  </si>
  <si>
    <t>10.1007/978-3-030-78821-6_2</t>
  </si>
  <si>
    <t>Boris Bialek</t>
  </si>
  <si>
    <t>http://link.springer.com/chapter/10.1007/978-3-030-78821-6_2</t>
  </si>
  <si>
    <t>Source Code Analytics With Roslyn and JavaScript Data Visualization</t>
  </si>
  <si>
    <t>Code Mining</t>
  </si>
  <si>
    <t>10.1007/978-1-4842-1925-6_5</t>
  </si>
  <si>
    <t>Sudipta Mukherjee</t>
  </si>
  <si>
    <t>http://link.springer.com/chapter/10.1007/978-1-4842-1925-6_5</t>
  </si>
  <si>
    <t>Orchestrating Agile IT Quality Management for Complex Solution Development Through Topic-Specific Partnerships in Large Enterprises â€“ An Example on the EFIS Framework</t>
  </si>
  <si>
    <t>10.1007/978-3-030-85521-5_7</t>
  </si>
  <si>
    <t>Alexander PothMario KottkeAndreas Riel</t>
  </si>
  <si>
    <t>http://link.springer.com/chapter/10.1007/978-3-030-85521-5_7</t>
  </si>
  <si>
    <t>Pathways for statically mining the Model-View-Controller software architecture on mobile applications</t>
  </si>
  <si>
    <t>10.1007/s00500-022-06908-0</t>
  </si>
  <si>
    <t>DragoÅŸ DobreanLaura DioÅŸan</t>
  </si>
  <si>
    <t>http://link.springer.com/article/10.1007/s00500-022-06908-0</t>
  </si>
  <si>
    <t>Containerization and Virtualization</t>
  </si>
  <si>
    <t>10.1007/978-1-4842-7226-8_16</t>
  </si>
  <si>
    <t>http://link.springer.com/chapter/10.1007/978-1-4842-7226-8_16</t>
  </si>
  <si>
    <t>Graph Data Management</t>
  </si>
  <si>
    <t>A Survey of Benchmarks for Graph-Processing Systems</t>
  </si>
  <si>
    <t>10.1007/978-3-319-96193-4_6</t>
  </si>
  <si>
    <t>Angela BonifatiGeorge FletcherJan HiddersAlexandru Iosup</t>
  </si>
  <si>
    <t>http://link.springer.com/chapter/10.1007/978-3-319-96193-4_6</t>
  </si>
  <si>
    <t>An Executiveâ€™s Guide to Software Quality in an Agile Organization</t>
  </si>
  <si>
    <t>Quality at Scale</t>
  </si>
  <si>
    <t>10.1007/978-1-4842-3751-9_9</t>
  </si>
  <si>
    <t>Navid Nader-Rezvani</t>
  </si>
  <si>
    <t>http://link.springer.com/chapter/10.1007/978-1-4842-3751-9_9</t>
  </si>
  <si>
    <t>Computing</t>
  </si>
  <si>
    <t>Tutorial on systems with antifragility to downtime</t>
  </si>
  <si>
    <t>10.1007/s00607-020-00895-6</t>
  </si>
  <si>
    <t>Kjell JÃ¸rgen Hole</t>
  </si>
  <si>
    <t>http://link.springer.com/article/10.1007/s00607-020-00895-6</t>
  </si>
  <si>
    <t>The Future Of Enterprise Architecture</t>
  </si>
  <si>
    <t>10.1007/978-1-4842-8575-6_9</t>
  </si>
  <si>
    <t>http://link.springer.com/chapter/10.1007/978-1-4842-8575-6_9</t>
  </si>
  <si>
    <t>The Use of Data Integration and Knowledge Graphs in Modern Molecular Plant Breeding</t>
  </si>
  <si>
    <t>10.1007/978-981-16-6795-4_7</t>
  </si>
  <si>
    <t>Bjoern Oest HansenJan TaubertThomas Thiel</t>
  </si>
  <si>
    <t>http://link.springer.com/chapter/10.1007/978-981-16-6795-4_7</t>
  </si>
  <si>
    <t>Analysis of a many-objective optimization approach for identifying microservices from legacy systems</t>
  </si>
  <si>
    <t>10.1007/s10664-021-10049-7</t>
  </si>
  <si>
    <t>Wesley K. G. AssunÃ§Ã£oThelma Elita ColanziLuiz CarvalhoAlessandro GarciaJuliana Alves PereiraMaria Julia de LimaCarlos Lucena</t>
  </si>
  <si>
    <t>http://link.springer.com/article/10.1007/s10664-021-10049-7</t>
  </si>
  <si>
    <t>Silicon Economy</t>
  </si>
  <si>
    <t>10.1007/978-3-662-63956-6</t>
  </si>
  <si>
    <t>Prof. Dr. Dr. h. c. Michael ten HompelProf. Dr. Michael HenkeProf. Dr. Boris Otto</t>
  </si>
  <si>
    <t>http://link.springer.com/book/10.1007/978-3-662-63956-6</t>
  </si>
  <si>
    <t>EAM Implementation</t>
  </si>
  <si>
    <t>10.1007/978-3-030-96734-5_4</t>
  </si>
  <si>
    <t>JÃ¶rg Ziemann</t>
  </si>
  <si>
    <t>http://link.springer.com/chapter/10.1007/978-3-030-96734-5_4</t>
  </si>
  <si>
    <t>Mensch-Maschine-Interaktion</t>
  </si>
  <si>
    <t>10.1007/978-3-476-05604-7</t>
  </si>
  <si>
    <t>Kevin LiggieriDr. Oliver MÃ¼ller</t>
  </si>
  <si>
    <t>http://link.springer.com/book/10.1007/978-3-476-05604-7</t>
  </si>
  <si>
    <t>Sometimes, Cloning Is a Sound Design Decision!</t>
  </si>
  <si>
    <t>10.1007/978-981-16-1927-4_15</t>
  </si>
  <si>
    <t>Michael W. GodfreyCory J. Kapser</t>
  </si>
  <si>
    <t>http://link.springer.com/chapter/10.1007/978-981-16-1927-4_15</t>
  </si>
  <si>
    <t>The Steps for Successful Big Data Projects</t>
  </si>
  <si>
    <t>10.1007/978-1-4842-6228-3_11</t>
  </si>
  <si>
    <t>http://link.springer.com/chapter/10.1007/978-1-4842-6228-3_11</t>
  </si>
  <si>
    <t>An Investigation ofÂ Entropy andÂ Refactoring inÂ Software Evolution</t>
  </si>
  <si>
    <t>10.1007/978-3-031-21388-5_20</t>
  </si>
  <si>
    <t>Daniel KeenanDes GreerDavid Cutting</t>
  </si>
  <si>
    <t>http://link.springer.com/chapter/10.1007/978-3-031-21388-5_20</t>
  </si>
  <si>
    <t>Organisationskompetenz ZukunftsfÃ¤higkeit</t>
  </si>
  <si>
    <t>ZukunftsfÃ¤higkeit durch Innovation, Digitalisierung und Technologien</t>
  </si>
  <si>
    <t>10.1007/978-3-662-62148-6</t>
  </si>
  <si>
    <t>Dr. Markus BodemannDr. Wiebke FellnerDr. Vanessa Just</t>
  </si>
  <si>
    <t>http://link.springer.com/book/10.1007/978-3-662-62148-6</t>
  </si>
  <si>
    <t>Product and Service Quality Risk Design Considerations â€“ Integration into Solution Architecture Methods</t>
  </si>
  <si>
    <t>10.1007/978-3-031-15559-8_7</t>
  </si>
  <si>
    <t>Alexander PothSimon FieldMarc Koesling</t>
  </si>
  <si>
    <t>http://link.springer.com/chapter/10.1007/978-3-031-15559-8_7</t>
  </si>
  <si>
    <t>ATZelektronik</t>
  </si>
  <si>
    <t>Neues Framework fÃ¼r messbasierte QualitÃ¤tsbewertung in der  Automotive-Softwareentwicklung</t>
  </si>
  <si>
    <t>10.1007/s35658-021-0729-1</t>
  </si>
  <si>
    <t>http://link.springer.com/article/10.1007/s35658-021-0729-1</t>
  </si>
  <si>
    <t>Conference location</t>
  </si>
  <si>
    <t>Sub-type</t>
  </si>
  <si>
    <t>242–245</t>
  </si>
  <si>
    <t>New York, NY, USA</t>
  </si>
  <si>
    <t>Proceedings of the ACM/IEEE 42nd International Conference on Software Engineering: Companion Proceedings</t>
  </si>
  <si>
    <t>Seoul, South Korea</t>
  </si>
  <si>
    <t>https://doi.org/10.1145/3377812.3381404;http://dx.doi.org/10.1145/3377812.3381404</t>
  </si>
  <si>
    <t>Technical debt (TD) is an economical term used to depict non-optimal choices made in the software development process. It occurs usually when developers take shortcuts instead of following agreed upon development practices, and unchecked growth of technical debt can start to incur negative effects for software development processes.Technical debt detection and management is mainly done manually, and this is both slow and costly way of detecting technical debt. Automatic detection would solve this issue, but even state-of-the-art tools of today do not accurately detect the appearance of technical debt. Therefore, increasing the accuracy of automatic classification is of high importance, so that we could eliminate significant portion from the costs relating to technical debt detection.This research aims to solve the problem in detection accuracy by bringing in together static code analysis and natural language processing. This combination of techniques will allow more accurate detection of technical debt, when compared to them being used separately from each other. Research also aims to discover themes and topics from written developer messages that can be linked to technical debt. These can help us to understand technical debt from developers' viewpoint. Finally, we will build an open-source tool/plugin that can be used to accurately detect technical debt using both static analysis and natural language processing methods.</t>
  </si>
  <si>
    <t>technical debt, machine learning, natural language processing</t>
  </si>
  <si>
    <t>ICSE '20</t>
  </si>
  <si>
    <t>DebtHunter: A Machine Learning-Based Approach for Detecting Self-Admitted Technical Debt</t>
  </si>
  <si>
    <t>278–283</t>
  </si>
  <si>
    <t>Evaluation and Assessment in Software Engineering</t>
  </si>
  <si>
    <t>Trondheim, Norway</t>
  </si>
  <si>
    <t>https://doi.org/10.1145/3463274.3464455;http://dx.doi.org/10.1145/3463274.3464455</t>
  </si>
  <si>
    <t>Due to limited time, budget or resources, a team is prone to introduce code that does not follow the best software development practices. This code that introduces instability in the software projects is known as Technical Debt (TD). Often, TD intentionally manifests in source code, which is known as Self-Admitted Technical Debt (SATD). This paper presents DebtHunter, a natural language processing (NLP)- and machine learning (ML)- based approach for identifying and classifying SATD in source code comments. The proposed classification approach combines two classification phases for differentiating between the multiple debt types. Evaluations over 10 open source systems, containing more than 259k comments, showed that the approach was able to improve the performance of others in the literature. The presented approach is supported by a tool that can help developers to effectively manage SATD. The tool complements the analysis over Java source code by allowing developers to also examine the associated issue tracker. DebtHunter can be used in a continuous evolution environment to monitor the development process and make developers aware of how and where SATD is introduced, thus helping them to manage and resolve it.</t>
  </si>
  <si>
    <t>self-admitted technical debt, technical debt, machine learning, natural language processing</t>
  </si>
  <si>
    <t>EASE 2021</t>
  </si>
  <si>
    <t>Izurieta C,Ozkaya I,Seaman C,Snipes W</t>
  </si>
  <si>
    <t>Technical Debt: A Research Roadmap Report on the Eighth Workshop on Managing Technical Debt (MTD 2016)</t>
  </si>
  <si>
    <t>SIGSOFT Softw. Eng. Notes</t>
  </si>
  <si>
    <t>28–31</t>
  </si>
  <si>
    <t>0163-5948</t>
  </si>
  <si>
    <t>https://doi.org/10.1145/3041765.3041774;http://dx.doi.org/10.1145/3041765.3041774</t>
  </si>
  <si>
    <t>10.1145/3041765.3041774</t>
  </si>
  <si>
    <t>We report here on the Eighth International Workshop on Managing Technical Debt, collocated with the International Conference on Software Maintenance and Evolution (ICSME 2016). The technical debt research community continues to expand through collaborations of industry, tool vendors, and academia. The major themes of discussion this year indicate convergence on a common definition on technical debt and its elements which drive the maturation of a research roadmap, demonstrating that managing technical debt is a mainstream topic in software engineering research bringing empirical analysis, data science, software design and architecture analysis and automation among other challenges together.</t>
  </si>
  <si>
    <t>software economics, software evolution, software quality, software analytics, Technical debt</t>
  </si>
  <si>
    <t>327–338</t>
  </si>
  <si>
    <t>Proceedings of the 13th International Conference on Mining Software Repositories</t>
  </si>
  <si>
    <t>Austin, Texas</t>
  </si>
  <si>
    <t>https://doi.org/10.1145/2901739.2901754;http://dx.doi.org/10.1145/2901739.2901754</t>
  </si>
  <si>
    <t>10.1145/2901739.2901754</t>
  </si>
  <si>
    <t>software design, technical debt, issue tracking, software anomalies, text categorization</t>
  </si>
  <si>
    <t>MSR '16</t>
  </si>
  <si>
    <t>46–55</t>
  </si>
  <si>
    <t>Proceedings of the International Conference on Technical Debt</t>
  </si>
  <si>
    <t>Pittsburgh, Pennsylvania</t>
  </si>
  <si>
    <t>https://doi.org/10.1145/3524843.3528096;http://dx.doi.org/10.1145/3524843.3528096</t>
  </si>
  <si>
    <t>Background: The prioritization of technical debt is an essential task in managing software projects because, with current analysis tools, it is possible to find thousands of technical debt items in the software that would take months or even years to be fully paid. Aims: In this study, we aim to understand which criteria software developers use to prioritize code technical debt in real software projects. Methods: We performed a survey to collect data from open-source software projects in order to reach a large and diverse set of experiences. We analyzed the data using Straussian Grounded Theory techniques: open coding, axial coding, and selective coding. Results: We grouped the criteria into 15 categories and divided them into 2 super-categories related to paying off the technical debt and 3 related to not paying it. Conclusions: When participants decided to pay off technical debt, they wanted to do it soon. However, when they decided not to pay it, it is often because the debt occurred intentionally due to a project decision. Also, participants using similar criteria for their decisions tended to choose similar priority levels for those decisions. Finally, we observed that each software project needs to tailor the rules used to identify code technical debt to their project context.</t>
  </si>
  <si>
    <t>grounded theory, technical debt, survey, technical debt prioritization, code technical debt</t>
  </si>
  <si>
    <t>TechDebt '22</t>
  </si>
  <si>
    <t>238–250</t>
  </si>
  <si>
    <t>IEEE Press</t>
  </si>
  <si>
    <t>Madrid, Spain</t>
  </si>
  <si>
    <t>Proceedings of the 43rd International Conference on Software Engineering</t>
  </si>
  <si>
    <t>https://doi.org/10.1109/ICSE43902.2021.00033;http://dx.doi.org/10.1109/ICSE43902.2021.00033</t>
  </si>
  <si>
    <t>Machine Learning (ML), including Deep Learning (DL), systems, i.e., those with ML capabilities, are pervasive in today's data-driven society. Such systems are complex; they are comprised of ML models and many subsystems that support learning processes. As with other complex systems, ML systems are prone to classic technical debt issues, especially when such systems are long-lived, but they also exhibit debt specific to these systems. Unfortunately, there is a gap of knowledge in how ML systems actually evolve and are maintained. In this paper, we fill this gap by studying refactorings, i.e., source-to-source semantics-preserving program transformations, performed in real-world, open-source software, and the technical debt issues they alleviate. We analyzed 26 projects, consisting of 4.2 MLOC, along with 327 manually examined code patches. The results indicate that developers refactor these systems for a variety of reasons, both specific and tangential to ML, some refactorings correspond to established technical debt categories, while others do not, and code duplication is a major crosscutting theme that particularly involved ML configuration and model code, which was also the most refactored. We also introduce 14 and 7 new ML-specific refactorings and technical debt categories, respectively, and put forth several recommendations, best practices, and anti-patterns. The results can potentially assist practitioners, tool developers, and educators in facilitating long-term ML system usefulness.</t>
  </si>
  <si>
    <t>technical debt, machine learning systems, empirical studies, software repository mining, refactoring</t>
  </si>
  <si>
    <t>ICSE '21</t>
  </si>
  <si>
    <t>Fontana FA,Chatzigeorgiou A,Trumler W,Izurieta C,Avgeriou P,Nord RL</t>
  </si>
  <si>
    <t>Technical Debt in Agile Development: Report on the Ninth Workshop on Managing Technical Debt (MTD 2017)</t>
  </si>
  <si>
    <t>18–21</t>
  </si>
  <si>
    <t>https://doi.org/10.1145/3127360.3127372;http://dx.doi.org/10.1145/3127360.3127372</t>
  </si>
  <si>
    <t>10.1145/3127360.3127372</t>
  </si>
  <si>
    <t>We report on the Ninth International Workshop on Managing Technical Debt, collocated with the 18th International Conference on Agile Software Development (XP 2017) in Cologne. The technical debt research community continues to expand through collaborations of industry, tool vendors, and academia. The theme of this year's workshop was on technical debt in agile development. Presentations and discussion centered on the topics: technical debt at the code level, architectural technical debt assessment, agile approaches and their impact on technical debt management, and selling the business case of technical debt management.</t>
  </si>
  <si>
    <t>Technical debt, software evolution, software quality, software analytics, agile development, software economics</t>
  </si>
  <si>
    <t>Avgeriou P,Ernst NA,Nord RL,Kruchten P</t>
  </si>
  <si>
    <t>Technical Debt: Broadening Perspectives Report on the Seventh Workshop on Managing Technical Debt (MTD 2015)</t>
  </si>
  <si>
    <t>38–41</t>
  </si>
  <si>
    <t>https://doi.org/10.1145/2894784.2894800;http://dx.doi.org/10.1145/2894784.2894800</t>
  </si>
  <si>
    <t>10.1145/2894784.2894800</t>
  </si>
  <si>
    <t>Increasingly software engineers use the metaphor of technical debt to communicate issues related to the growing cost of change. In this article, we report on the Seventh Workshop on Managing Technical Debt (MTD 2015), held in Bremen, Germany, on October 2, 2015, collocated with the International Conference on Software Maintenance and Evolution (ICSME). The 30 workshop participants from industry and academia engaged in lively discussions, which helped clarify issues, refine questions, and promote common understanding about technical debt in software.</t>
  </si>
  <si>
    <t>21–30</t>
  </si>
  <si>
    <t>Proceedings of the 2018 International Conference on Technical Debt</t>
  </si>
  <si>
    <t>Gothenburg, Sweden</t>
  </si>
  <si>
    <t>https://doi.org/10.1145/3194164.3194168;http://dx.doi.org/10.1145/3194164.3194168</t>
  </si>
  <si>
    <t>Background: Technical debt is currently receiving increasing attention from practitioners and researchers. Several metaphors, concepts, and indications concerning technical debt have been introduced, but no agreement exists about a solid definition of technical debt.Objective: We aim at providing a solid basis to the definition of technical debt and the way it should be quantified.Method: We view technical debt as a software quality attribute and therefore we use Measurement Theory, the general reference framework for the quantification of attributes, to define technical debt and its characteristics in a rigorous way.Results: We show that technical debt should be defined as an external software quality attribute. Therefore, it should be quantified via statistical and machine-learning models whose independent variables are internal software quality attributes. Different models may exist, depending on the specific needs and goals of the software product and development environment. Also, technical debt is a multifaceted concept, so different kinds of technical debt exist, related to different quality attributes, such as performance, usability, and maintainability. These different kinds of technical debt should be evaluated individually, so one can better focus on the specific quality issues that need to be addressed.Conclusions: We show that, to provide it with a rigorous basis, technical debt should be considered and measured as an external software attribute. Researchers and practitioners should build models for technical debt and use them to (1) assess the extent of the technical debt and (2) investigate and assess different ways of modifying software to repay technical debt.</t>
  </si>
  <si>
    <t>technical debt, software quality</t>
  </si>
  <si>
    <t>TechDebt '18</t>
  </si>
  <si>
    <t>OBrien D,Biswas S,Imtiaz S,Abdalkareem R,Shihab E,Rajan H</t>
  </si>
  <si>
    <t>23 Shades of Self-Admitted Technical Debt: An Empirical Study on Machine Learning Software</t>
  </si>
  <si>
    <t>734–746</t>
  </si>
  <si>
    <t>Proceedings of the 30th ACM Joint European Software Engineering Conference and Symposium on the Foundations of Software Engineering</t>
  </si>
  <si>
    <t>Singapore, Singapore</t>
  </si>
  <si>
    <t>https://doi.org/10.1145/3540250.3549088;http://dx.doi.org/10.1145/3540250.3549088</t>
  </si>
  <si>
    <t>In software development, the term “technical debt” (TD) is used to characterize short-term solutions and workarounds implemented in source code which may incur a long-term cost. Technical debt has a variety of forms and can thus affect multiple qualities of software including but not limited to its legibility, performance, and structure. In this paper, we have conducted a comprehensive study on the technical debts in machine learning (ML) based software. TD can appear differently in ML software by infecting the data that ML models are trained on, thus affecting the functional behavior of ML systems. The growing inclusion of ML components in modern software systems have introduced a new set of TDs. Does ML software have similar TDs to traditional software? If not, what are the new types of ML specific TDs? Which ML pipeline stages do these debts appear? Do these debts differ in ML tools and applications and when they get removed? Currently, we do not know the state of the ML TDs in the wild. To address these questions, we mined 68,820 self-admitted technical debts (SATD) from all the revisions of a curated dataset consisting of 2,641 popular ML repositories from GitHub, along with their introduction and removal. By applying an open-coding scheme and following upon prior works, we provide a comprehensive taxonomy of ML SATDs. Our study analyzes ML SATD type organizations, their frequencies within stages of ML software, the differences between ML SATDs in applications and tools, and quantifies the removal of ML SATDs. The findings discovered suggest implications for ML developers and researchers to create maintainable ML systems.</t>
  </si>
  <si>
    <t>open-source, machine learning, data science, technical debt</t>
  </si>
  <si>
    <t>ESEC/FSE 2022</t>
  </si>
  <si>
    <t>Izurieta C,Vetrò A,Zazworka N,Cai Y,Seaman C,Shull F</t>
  </si>
  <si>
    <t>Organizing the Technical Debt Landscape</t>
  </si>
  <si>
    <t>23–26</t>
  </si>
  <si>
    <t>Zurich, Switzerland</t>
  </si>
  <si>
    <t>Proceedings of the Third International Workshop on Managing Technical Debt</t>
  </si>
  <si>
    <t>To date, several methods and tools for detecting source code and design anomalies have been developed. While each method focuses on identifying certain classes of source code anomalies that potentially relate to technical debt (TD), the overlaps and gaps among these classes and TD have not been rigorously demonstrated. We propose to construct a seminal technical debt landscape as a way to visualize and organize research on the subject.</t>
  </si>
  <si>
    <t>code smells, technical debt, design debt, landscape</t>
  </si>
  <si>
    <t>MTD '12</t>
  </si>
  <si>
    <t>The Technical Debt Dataset</t>
  </si>
  <si>
    <t>2–11</t>
  </si>
  <si>
    <t>Proceedings of the Fifteenth International Conference on Predictive Models and Data Analytics in Software Engineering</t>
  </si>
  <si>
    <t>Recife, Brazil</t>
  </si>
  <si>
    <t>https://doi.org/10.1145/3345629.3345630;http://dx.doi.org/10.1145/3345629.3345630</t>
  </si>
  <si>
    <t>Technical Debt analysis is increasing in popularity as nowadays researchers and industry are adopting various tools for static code analysis to evaluate the quality of their code. Despite this, empirical studies on software projects are expensive because of the time needed to analyze the projects. In addition, the results are difficult to compare as studies commonly consider different projects. In this work, we propose the Technical Debt Dataset, a curated set of project measurement data from 33 Java projects from the Apache Software Foundation. In the Technical Debt Dataset, we analyzed all commits from separately defined time frames with SonarQube to collect Technical Debt information and with Ptidej to detect code smells. Moreover, we extracted all available commit information from the git logs, the refactoring applied with Refactoring Miner, and fault information reported in the issue trackers (Jira). Using this information, we executed the SZZ algorithm to identify the fault-inducing and -fixing commits. We analyzed 78K commits from the selected 33 projects, detecting 1.8M SonarQube issues, 62K code smells, 28K faults and 57K refactorings. The project analysis took more than 200 days. In this paper, we describe the data retrieval pipeline together with the tools used for the analysis. The dataset is made available through CSV files and an SQLite database to facilitate queries on the data. The Technical Debt Dataset aims to open up diverse opportunities for Technical Debt research, enabling researchers to compare results on common projects.</t>
  </si>
  <si>
    <t>Dataset, Technical Debt, SZZ, Software Quality, Faults, SonarQube, Mining Software Repository</t>
  </si>
  <si>
    <t>PROMISE'19</t>
  </si>
  <si>
    <t>https://doi.org/10.1145/3524843.3528097;http://dx.doi.org/10.1145/3524843.3528097</t>
  </si>
  <si>
    <t>Technical Debt (TD) refers to the consequences of taking shortcuts when developing software. Technical Debt Management (TDM) becomes complex since it relies on a decision process based on multiple and heterogeneous data, which are not straightforward to be synthesized. In this context, there is a promising opportunity to use Intelligent Techniques to support TDM activities since these techniques explore data for knowledge discovery, reasoning, learning, or supporting decision-making. Although these techniques can be used for improving TDM activities, there is no empirical study exploring this research area. This study aims to identify and analyze solutions based on Intelligent Techniques employed to support TDM activities. A Systematic Mapping Study was performed, covering publications between 2010 and 2020. From 2276 extracted studies, we selected 111 unique studies. We found a positive trend in applying Intelligent Techniques to support TDM activities, being Machine Learning, Reasoning Under Uncertainty, and Natural Language Processing the most recurrent ones. Identification, measurement, and monitoring were the more recurrent TDM activities, whereas Design, Code, and Architectural were the most frequently investigated TD types. Although the research area is up-and-coming, it is still in its infancy, and this study provides a baseline for future research.</t>
  </si>
  <si>
    <t>technical debt, systematic mapping study, technical debt management, intelligent techniques</t>
  </si>
  <si>
    <t>Kozanidis N,Verdecchia R,Guzman E</t>
  </si>
  <si>
    <t>Asking about Technical Debt: Characteristics and Automatic Identification of Technical Debt Questions on Stack Overflow</t>
  </si>
  <si>
    <t>45–56</t>
  </si>
  <si>
    <t>Proceedings of the 16th ACM / IEEE International Symposium on Empirical Software Engineering and Measurement</t>
  </si>
  <si>
    <t>Helsinki, Finland</t>
  </si>
  <si>
    <t>https://doi.org/10.1145/3544902.3546245;http://dx.doi.org/10.1145/3544902.3546245</t>
  </si>
  <si>
    <t>Background: Q&amp;A sites allow to study how users reference and request support on technical debt. To date only few studies, focusing on narrow aspects, investigate technical debt on Stack Overflow. Aims: We aim at gaining an in-depth understanding on the characteristics of technical debt questions on Stack Overflow. In addition, we assess if identification strategies based on machine learning can be used to automatically identify and classify technical debt questions. Method: We use automated and manual processes to identify technical debt questions on Stack Overflow. The final set of 415 questions is analyzed to study (i) technical debt types, (ii) question length, (iii) perceived urgency, (iv) sentiment, and (v) themes. Natural language processing and machine learning techniques are used to assess if questions can be identified and classified automatically. Results: Architecture debt is the most recurring debt type, followed by code and design debt. Most questions display mild urgency, with frequency of higher urgency steadily declining as urgency rises. Question length varies across debt types. Sentiment is mostly neutral. 29 recurrent themes emerge. Machine learning can be used to identify technical debt questions and binary urgency, but not debt types. Conclusions: Different patterns emerge from the analysis of technical debt questions on Stack Overflow. The results provide further insights on the phenomenon, and support the adoption of a more comprehensive strategy to identify technical debt questions.</t>
  </si>
  <si>
    <t>ESEM '22</t>
  </si>
  <si>
    <t>291–300</t>
  </si>
  <si>
    <t>Montreal, Quebec, Canada</t>
  </si>
  <si>
    <t>Proceedings of the 41st International Conference on Software Engineering: Software Engineering in Practice</t>
  </si>
  <si>
    <t>https://doi.org/10.1109/ICSE-SEIP.2019.00042;http://dx.doi.org/10.1109/ICSE-SEIP.2019.00042</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</si>
  <si>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</si>
  <si>
    <t>software engineering, data, process, AI</t>
  </si>
  <si>
    <t>ICSE-SEIP '19</t>
  </si>
  <si>
    <t>Alfayez R,Alwehaibi W,Winn R,Venson E,Boehm B</t>
  </si>
  <si>
    <t>A Systematic Literature Review of Technical Debt Prioritization</t>
  </si>
  <si>
    <t>1–10</t>
  </si>
  <si>
    <t>Proceedings of the 3rd International Conference on Technical Debt</t>
  </si>
  <si>
    <t>Seoul, Republic of Korea</t>
  </si>
  <si>
    <t>https://doi.org/10.1145/3387906.3388630;http://dx.doi.org/10.1145/3387906.3388630</t>
  </si>
  <si>
    <t>10.1145/3387906.3388630</t>
  </si>
  <si>
    <t>Repaying all technical debt (TD) present in a system may be unfeasible, as there is typically a shortage in the resources allocated for TD repayment. Therefore, TD prioritization is essential to best allocate such resources to determine which TD items are to be repaid first and which items are to be delayed until later releases. This study conducts a systematic literature review (SLR) to identify and analyze the currently researched TD prioritization approaches. The employed search strategy strove to achieve high completeness through the identification of a quasi-gold standard set, which was used to establish a search string to automatically retrieve papers from select research databases. The application of selection criteria, along with forward and backward snowballing, identified 24 TD prioritization approaches. The analysis of the identified approaches revealed a scarcity of approaches that account for cost, value, and resources constraint and a lack of industry evaluation. Furthermore, this SLR unveils potential gaps in the current TD prioritization research, which future research may explore.</t>
  </si>
  <si>
    <t>software management, technical debt, software maintenance, software, prioritization</t>
  </si>
  <si>
    <t>TechDebt '20</t>
  </si>
  <si>
    <t>Pérez B,Correal D,Astudillo H</t>
  </si>
  <si>
    <t>A Proposed Model-Driven Approach to Manage Architectural Technical Debt Life Cycle</t>
  </si>
  <si>
    <t>73–77</t>
  </si>
  <si>
    <t>Proceedings of the Second International Conference on Technical Debt</t>
  </si>
  <si>
    <t>https://doi.org/10.1109/TechDebt.2019.00025;http://dx.doi.org/10.1109/TechDebt.2019.00025</t>
  </si>
  <si>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</si>
  <si>
    <t>model-driven architecture, architectural technical debt, software architecture, architectural technical debt management</t>
  </si>
  <si>
    <t>TechDebt '19</t>
  </si>
  <si>
    <t>Seaman C,Guo Y,Izurieta C,Cai Y,Zazworka N,Shull F,Vetrò A</t>
  </si>
  <si>
    <t>Using Technical Debt Data in Decision Making: Potential Decision Approaches</t>
  </si>
  <si>
    <t>45–48</t>
  </si>
  <si>
    <t>The management of technical debt ultimately requires decision making -- about incurring, paying off, or deferring technical debt instances. This position paper discusses several existing approaches to complex decision making, and suggests that exploring their applicability to technical debt decision making would be a worthwhile subject for further research.</t>
  </si>
  <si>
    <t>analytic hierarchy process, technical debt, decision making, cost-benefit analysis, portfolio management, options</t>
  </si>
  <si>
    <t>186–189</t>
  </si>
  <si>
    <t>https://doi.org/10.1145/3377812.3381396;http://dx.doi.org/10.1145/3377812.3381396</t>
  </si>
  <si>
    <t>software security, machine learning, technical debt, feature engineering</t>
  </si>
  <si>
    <t>Investigating on the Impact of Software Clones on Technical Debt</t>
  </si>
  <si>
    <t>108–112</t>
  </si>
  <si>
    <t>https://doi.org/10.1109/TechDebt.2019.00029;http://dx.doi.org/10.1109/TechDebt.2019.00029</t>
  </si>
  <si>
    <t>Code reuse by copying a code fragment with or without modification generates duplicate copies of exact or similar code fragments in a software system, known as code clones. The debate about the harmfulness of clone in ongoing in the literature, nevertheless, it is widely recognized that clones needs special considerations during software evolution. In this paper, it is proposed a quantitative analysis of technical debt values to understand if it is higher with cloned code than those without cloned code. Moreover, changes performed on these files have been analyzed by analyzing commit logs. According to our inspection on four subject systems, the technical debt of files with cloned code is significantly higher than those without cloned code. Moreover, as expected, files with cloned code are more impacted by changes.</t>
  </si>
  <si>
    <t>technical debt, software clones, software maintenance, software evolution</t>
  </si>
  <si>
    <t>Towards Surgically-Precise Technical Debt Estimation: Early Results and Research Roadmap</t>
  </si>
  <si>
    <t>37–42</t>
  </si>
  <si>
    <t>Proceedings of the 3rd ACM SIGSOFT International Workshop on Machine Learning Techniques for Software Quality Evaluation</t>
  </si>
  <si>
    <t>Tallinn, Estonia</t>
  </si>
  <si>
    <t>https://doi.org/10.1145/3340482.3342747;http://dx.doi.org/10.1145/3340482.3342747</t>
  </si>
  <si>
    <t>The concept of technical debt has been explored from many perspectives but its precise estimation is still under heavy empirical and experimental inquiry. We aim to understand whether, by harnessing approximate, data-driven, machine-learning approaches it is possible to improve the current techniques for technical debt estimation, as represented by a top industry quality analysis tool such as SonarQube. For the sake of simplicity, we focus on relatively simple regression modelling techniques and apply them to modelling the additional project cost connected to the sub-optimal conditions existing in the projects under study. Our results shows that current techniques can be improved towards a more precise estimation of technical debt and the case study shows promising results towards the identification of more accurate estimation of technical debt.</t>
  </si>
  <si>
    <t>Empirical Study, Machine Learning, Technical Debt</t>
  </si>
  <si>
    <t>MaLTeSQuE 2019</t>
  </si>
  <si>
    <t>https://doi.org/10.1145/3194164.3194165;http://dx.doi.org/10.1145/3194164.3194165</t>
  </si>
  <si>
    <t>10.1145/3194164.3194165</t>
  </si>
  <si>
    <t>human factors, developer contribution, software maintenance, technical debt, project management, developer experience, software engineering</t>
  </si>
  <si>
    <t>https://doi.org/10.1145/3194164.3194181;http://dx.doi.org/10.1145/3194164.3194181</t>
  </si>
  <si>
    <t>10.1145/3194164.3194181</t>
  </si>
  <si>
    <t>While technical debt has emerged as a formal concept relatively recently [2] we have had technical debt from the earliest days of software development, it has simply evolved in nature. So what can we learn from past types of technical debt to allow us to prepare for its future forms?When we look back over recent software history, we can see five identifiable evolutions of software systems [5], each one roughly aligning with a decade.Before and through the 1980s, software systems were largely monolithic and tended to run on single computers, with software being developed as monolithic programs. As we moved into the 1990s, distributed systems became mainstream and the standard style for an enterprise system became three-tier client server. The Internet became a mainstream technology in the late 1990s, and organisations developed Internet-connected systems, which were always on rather than just online and could support difficult and unpredictable quality properties. In the current era, we are building Internet-native systems, where the Internet is the system. These systems are built from a combination of open source components, remote Internet connected services and custom code, and their services often form part of the Internet via publicly accessible APIs.Following current trends, it seems that the next phase of evolution will be to Intelligent-Connected systems, as artificial intelligence (machine learning in particular) becomes mainstream [1], users expect context specific assistance, and fast, reliable networks allow us to connect things (devices) to our systems as well as traditional computers [3].Software engineering practice evolves in response to new challenges and each era of computing has introduced new techniques and technology but each has also introduced its own types of technical debt too.In the monolithic era, the focus was structuring a single program, with spaghetti code, poor naming and unrestricted use of the goto emerging as examples of the earliest types of technical debt. As we moved into the distributed era, we ended up tangling presentation and business logic code in our client/server user interfaces, while in the Internet-connected era we distorted our systems to meet performance and scalability concerns at all costs and often ended up with poorly-designed automated tests being an inflexible technical debt of their own. More recently Internet-native systems often introduce a mishmash of microservices with poorly understood choreography and diverse internal implementations, references to external APIs that became unsupported or difficult to use and public APIs with many versions, all of which have to be maintained forever due to callers who would not migrate to new versions.So what types of technical debt do we expect in the future?In the intelligent-connected era, amongst other things, applications will have machine learning features and we'll need large datasets to train machine learning models and provide context-specific user experiences and we'll have lots of non-computing devices connected to our systems, providing data. So we'll probably get machine learning debt [4], ML models that we can't explain, models that we can't improve because people rely on their quirks (even if wrong). We'll also have large inflexible data sets which our systems and models rely on, and we'll have unknown and unpredictable collections of things connecting to our services, which we can't change because other people own them.While this sounds like a daunting set of challenges, the intelligent-connected era is only just beginning, so we have not yet incurred significant amounts of technical debt. By looking to the past as our guide to the future we can be forewarned and start find solutions to our future technical debt before we have become overwhelmed by it!</t>
  </si>
  <si>
    <t>Prioritize Technical Debt in Large-Scale Systems Using Codescene</t>
  </si>
  <si>
    <t>59–60</t>
  </si>
  <si>
    <t>https://doi.org/10.1145/3194164.3194187;http://dx.doi.org/10.1145/3194164.3194187</t>
  </si>
  <si>
    <t>10.1145/3194164.3194187</t>
  </si>
  <si>
    <t>Large-scale systems often contain considerable amounts of code that is overly complicated, hard to understand, and hence expensive to change. An organization cannot address and refactor all of that code at once, nor should they. Ideally, actionable refactoring targets should be prioritized based on the technical debt interest rate to balance the trade-offs between improvements, risk, and new features. This paper examines how CodeScene, a tool for predictive analyses and visualizations, can be used to prioritize technical debt in a large-scale codebase like the Linux Kernel based on the most likely return on code improvements.</t>
  </si>
  <si>
    <t>Molnar AJ,Motogna S</t>
  </si>
  <si>
    <t>Long-Term Evaluation of Technical Debt in Open-Source Software</t>
  </si>
  <si>
    <t>Proceedings of the 14th ACM / IEEE International Symposium on Empirical Software Engineering and Measurement (ESEM)</t>
  </si>
  <si>
    <t>Bari, Italy</t>
  </si>
  <si>
    <t>https://doi.org/10.1145/3382494.3410673;http://dx.doi.org/10.1145/3382494.3410673</t>
  </si>
  <si>
    <t>10.1145/3382494.3410673</t>
  </si>
  <si>
    <t>Background: A consistent body of research and practice have identified that technical debt provides valuable and actionable insight into the design and implementation deficiencies of complex software systems. Existing software tools enable characterizing and measuring the amount of technical debt at selective granularity levels; by providing a computational model, they enable stakeholders to measure and ultimately control this phenomenon. Aims: In this paper we aim to study the evolution and characteristics of technical debt in open-source software. For this, we carry out a longitudinal study that covers the entire development history of several complex applications. The goal is to improve our understanding of how the amount and composition of technical debt changes in evolving software. We also study how new technical debt is introduced in software, as well as identify how developers handle its accumulation over the long term. Method: We carried out our evaluation using three complex, open-source Java applications. All 110 released versions, covering more than 10 years of development history for each application were analyzed using SonarQube. We studied how the amount, composition and history of technical debt changed during development, compared our results across the studied applications and present our most important findings. Results: For each application, we identified key versions during which large amounts of technical debt were added, removed or both. This had significantly more impact when compared to the lines of code or class count increases that generally occurred during development. However, within each version, we found high correlation between file lines of code and technical debt. We observed that the Pareto principle was satisfied for the studied applications, as 20% of issue types generated around 80% of total technical debt. Interestingly, there was a large degree of overlap between the issues that generated most of the debt across the studied applications. Conclusions: Early application versions showed greater fluctuation in the amount of existing technical debt. We found application size to be an unreliable predictor for the quantity of technical debt. Most debt was introduced in applications as part of milestone releases that expanded their feature set; likewise, we identified releases where extensive refactoring significantly reduced the level of debt. We also discovered that technical debt issues persist for a long time in source code, and their removal did not appear to be prioritized according to type or severity.</t>
  </si>
  <si>
    <t>open-source, technical debt, static analysis, software maintenance, software evolution</t>
  </si>
  <si>
    <t>ESEM '20</t>
  </si>
  <si>
    <t>Isbell C,Littman ML,Norvig P</t>
  </si>
  <si>
    <t>Software Engineering of Machine Learning Systems</t>
  </si>
  <si>
    <t>Commun. ACM</t>
  </si>
  <si>
    <t>35–37</t>
  </si>
  <si>
    <t>0001-0782</t>
  </si>
  <si>
    <t>https://doi.org/10.1145/3539783;http://dx.doi.org/10.1145/3539783</t>
  </si>
  <si>
    <t>10.1145/3539783</t>
  </si>
  <si>
    <t>Seeking to make machine learning more dependable.</t>
  </si>
  <si>
    <t>Saarimäki N,Lenarduzzi V,Taibi D</t>
  </si>
  <si>
    <t>On the Diffuseness of Code Technical Debt in Java Projects of the Apache Ecosystem</t>
  </si>
  <si>
    <t>98–107</t>
  </si>
  <si>
    <t>https://doi.org/10.1109/TechDebt.2019.00028;http://dx.doi.org/10.1109/TechDebt.2019.00028</t>
  </si>
  <si>
    <t>10.1109/TechDebt.2019.00028</t>
  </si>
  <si>
    <t>Background. Companies commonly invest major effort into removing, respectively not introducing, technical debt issues detected by static analysis tools such as SonarQube, Cast, or Coverity. These tools classify technical debt issues into categories according to severity, and developers commonly pay attention to not introducing issues with a high level of severity that could generate bugs or make software maintenance more difficult.Objective. In this work, we aim to understand the diffuseness of Technical Debt (TD) issues and the speed with which developers remove them from the code if they introduced such an issue. The goal is to understand which type of TD is more diffused and how much attention is paid by the developers, as well as to investigate whether TD issues with a higher level of severity are resolved faster than those with a lower level of severity. We conducted a case study across 78K commits of 33 Java projects from the Apache Software Foundation Ecosystem to investigate the distribution of 1.4M TD items.Results. TD items introduced into the code are mostly related to code smells (issues that can increase the maintenance effort). Moreover, developers commonly remove the most severe issues faster than less severe ones. However, the time needed to resolve issues increases when the level of severity increases (minor issues are removed faster that blocker ones).Conclusion. One possible answer to the unexpected issue of resolution time might be that severity is not correctly defined by the tools. Another possible answer is that the rules at an intermediate severity level could be the ones that technically require more time to be removed. The classification of TD items, including their severity and type, require thorough investigation from a research point of view.</t>
  </si>
  <si>
    <t>violations, sonarqube, technical debt issues</t>
  </si>
  <si>
    <t>Das D,Maruf AA,Islam R,Lambaria N,Kim S,Abdelfattah AS,Cerny T,Frajtak K,Bures M,Tisnovsky P</t>
  </si>
  <si>
    <t>Technical Debt Resulting from Architectural Degradation and Code Smells: A Systematic Mapping Study</t>
  </si>
  <si>
    <t>SIGAPP Appl. Comput. Rev.</t>
  </si>
  <si>
    <t>20–36</t>
  </si>
  <si>
    <t>1559-6915</t>
  </si>
  <si>
    <t>https://doi.org/10.1145/3512753.3512755;http://dx.doi.org/10.1145/3512753.3512755</t>
  </si>
  <si>
    <t>10.1145/3512753.3512755</t>
  </si>
  <si>
    <t>Poor design choices, bad coding practices, or the need to produce software quickly can stand behind technical debt. Unfortunately, manually identifying and managing technical debt gets more difficult as the software matures. Recent research offers various techniques to automate the process of detecting and managing technical debt to address these challenges. This manuscript presents a mapping study of the many aspects of technical debt that have been discovered in this field of study. This includes looking at the various forms of technical debt, as well as detection methods, the financial implications, and mitigation strategies. The findings and outcomes of this study are applicable to a wide range of software development life-cycle decisions.</t>
  </si>
  <si>
    <t>design debt, code debt, technical debt, architectural degradation, code smells, architectural debt</t>
  </si>
  <si>
    <t>295–300</t>
  </si>
  <si>
    <t>https://doi.org/10.1145/3544902.3546637;http://dx.doi.org/10.1145/3544902.3546637</t>
  </si>
  <si>
    <t>Background: GitHub is a collaborative platform for global software development, where Pull Requests (PRs) are essential to bridge code changes with version control. However, developers often trade software quality for faster implementation, incurring Technical Debt (TD). When developers undertake reviewers’ roles and evaluate PRs, they can often detect TD instances, leading to either PR rejection or discussions. Aims: We investigated whether Pull Request Comments (PRCs) indicate TD by assessing three large-scale repositories: Spark, Kafka, and React. Method: We combined manual classification with automated detection using machine learning and deep learning models. Results: We classified two datasets and found that 37.7 and 38.7% of PRCs indicate TD, respectively. Our best model achieved F1 = 0.85 when classifying TD during the validation phase. Conclusions: We faced several challenges during this process, which may hint that TD in PRCs is discussed differently from other software artifacts (e.g., code comments, commits, issues, or discussion forums). Thus, we present challenges and lessons learned to assist researchers in pursuing this area of research.</t>
  </si>
  <si>
    <t>Mining Software Repositories, Pull Request Comments, Technical Debt</t>
  </si>
  <si>
    <t>Serban A,van der Blom K,Hoos H,Visser J</t>
  </si>
  <si>
    <t>Adoption and Effects of Software Engineering Best Practices in Machine Learning</t>
  </si>
  <si>
    <t>https://doi.org/10.1145/3382494.3410681;http://dx.doi.org/10.1145/3382494.3410681</t>
  </si>
  <si>
    <t>Background. The increasing reliance on applications with machine learning (ML) components calls for mature engineering techniques that ensure these are built in a robust and future-proof manner.Aim. We aim to empirically determine the state of the art in how teams develop, deploy and maintain software with ML components.Method.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studied.Conclusion. Overall, our survey and the analysis of responses received provide a quantitative basis for assessment and step-wise improvement of practice adoption by ML teams.</t>
  </si>
  <si>
    <t>machine learning engineering, best practices, survey</t>
  </si>
  <si>
    <t>Neural Network-Based Detection of Self-Admitted Technical Debt: From Performance to Explainability</t>
  </si>
  <si>
    <t>ACM Trans. Softw. Eng. Methodol.</t>
  </si>
  <si>
    <t>https://doi.org/10.1145/3324916;http://dx.doi.org/10.1145/3324916</t>
  </si>
  <si>
    <t>Technical debt is a metaphor to reflect the tradeoff software engineers make between short-term benefits and long-term stability. Self-admitted technical debt (SATD), a variant of technical debt, has been proposed to identify debt that is intentionally introduced during software development, e.g., temporary fixes and workarounds. Previous studies have leveraged human-summarized patterns (which represent n-gram phrases that can be used to identify SATD) or text-mining techniques to detect SATD in source code comments. However, several characteristics of SATD features in code comments, such as vocabulary diversity, project uniqueness, length, and semantic variations, pose a big challenge to the accuracy of pattern or traditional text-mining-based SATD detection, especially for cross-project deployment. Furthermore, although traditional text-mining-based method outperforms pattern-based method in prediction accuracy, the text features it uses are less intuitive than human-summarized patterns, which makes the prediction results hard to explain. To improve the accuracy of SATD prediction, especially for cross-project prediction, we propose a Convolutional Neural Network-- (CNN) based approach for classifying code comments as SATD or non-SATD. To improve the explainability of our model’s prediction results, we exploit the computational structure of CNNs to identify key phrases and patterns in code comments that are most relevant to SATD. We have conducted an extensive set of experiments with 62,566 code comments from 10 open-source projects and a user study with 150 comments of another three projects. Our evaluation confirms the effectiveness of different aspects of our approach and its superior performance, generalizability, adaptability, and explainability over current state-of-the-art traditional text-mining-based methods for SATD classification.</t>
  </si>
  <si>
    <t>model explainability, cross project prediction, model adaptability, convolutional neural network, Self-admitted technical debt, model generalizability</t>
  </si>
  <si>
    <t>64–73</t>
  </si>
  <si>
    <t>Proceedings of the XXXI Brazilian Symposium on Software Engineering</t>
  </si>
  <si>
    <t>Fortaleza, CE, Brazil</t>
  </si>
  <si>
    <t>https://doi.org/10.1145/3131151.3131164;http://dx.doi.org/10.1145/3131151.3131164</t>
  </si>
  <si>
    <t>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t>
  </si>
  <si>
    <t>Technical Debt, Programming Best Practices, Survey</t>
  </si>
  <si>
    <t>SBES '17</t>
  </si>
  <si>
    <t>Gauthier F,Jordan A,Krishnan P,Hassanshahi B,Süß JG,Bae S,Lee H</t>
  </si>
  <si>
    <t>Trade-Offs in Managing Risk and Technical Debt in Industrial Research Labs: An Experience Report</t>
  </si>
  <si>
    <t>98–102</t>
  </si>
  <si>
    <t>https://doi.org/10.1145/3387906.3388623;http://dx.doi.org/10.1145/3387906.3388623</t>
  </si>
  <si>
    <t>10.1145/3387906.3388623</t>
  </si>
  <si>
    <t>Nowadays, industrial research labs operate like startups. In a relatively short amount of time, researchers are expected not only to explore innovative ideas but also show how the new ideas can add value to the organisation. One way to do this, especially when developing tools, is to construct usable prototypes. When the technology underlying the research tool is highly complex or niche, like program analysis, field trials with potential users also help explaining and demonstrating the benefits of the tool. Getting support from potential users helps demonstrate value to the organisation, which in turn justifies conducting more extensive research and investing more resources to enhance the initial prototype.Thus, research that involves the construction of tools need to manage both short and long term risk, and the technical debt that arises throughout the lifecycle of a research prototype. As not all prototypes will result in a technology transfer, one has to carefully manage the project resources dedicated to paying the technical debt. For example, failure to pay the debt early in the project might result in unstable prototypes that can have a negative influence on potential customers and make technology transfer harder. On the other hand, over committing resources to reduce the technical debt might result in slower research progress and failure to show improvement over state-of-the-art. In this paper, we will present experience reports from two dynamic program analysis projects. at Oracle Labs Australia.</t>
  </si>
  <si>
    <t>A First Look at Duplicate and Near-Duplicate Self-Admitted Technical Debt Comments</t>
  </si>
  <si>
    <t>614–618</t>
  </si>
  <si>
    <t>Proceedings of the 30th IEEE/ACM International Conference on Program Comprehension</t>
  </si>
  <si>
    <t>Virtual Event</t>
  </si>
  <si>
    <t>https://doi.org/10.1145/3524610.3528387;http://dx.doi.org/10.1145/3524610.3528387</t>
  </si>
  <si>
    <t>Self-admitted technical debt (SATD) refers to technical debt that is intentionally introduced by developers and explicitly documented in code comments or other software artifacts (e.g., issue reports) to annotate sub-optimal decisions made by developers in the software development process.In this work, we take the first look at the existence and characteristics of duplicate and near-duplicate SATD comments in five popular Apache OSS projects, i.e., JSPWiki, Helix, Jackrabbit, Archiva, and SystemML. We design a method to automatically identify groups of duplicate and near-duplicate SATD comments and track their evolution in the software system by mining the commit history of a software project. Leveraging the proposed method, we identified 3,520 duplicate and near-duplicate SATD comments from the target projects, which belong to 1,141 groups. We manually analyze the content and context of a sample of 1,505 SATD comments (by sampling 100 groups for each project) and identify if they annotate the same root cause. We also investigate whether duplicate SATD comments exist in code clones, whether they co-exist in the same file, and whether they are introduced and removed simultaneously. Our preliminary study reveals several surprising findings that would shed light on future studies aiming to improve the management of duplicate SATD comments. For instance, only 48.5% duplicate SATD comment groups with the same root cause exist in regular code clones, and only 33.9% of the duplicate SATD comment pairs are introduced in the same commit.</t>
  </si>
  <si>
    <t>self-admitted technical debt (SATD), duplicate comments, documentation, apache, OSS</t>
  </si>
  <si>
    <t>ICPC '22</t>
  </si>
  <si>
    <t>76–80</t>
  </si>
  <si>
    <t>https://doi.org/10.1145/3524843.3528094;http://dx.doi.org/10.1145/3524843.3528094</t>
  </si>
  <si>
    <t>To date, the identification and quantification of Technical Debt (TD) rely heavily on a few sophisticated tools that check for violations of certain predefined rules, usually through static analysis. Different tools result in divergent TD estimates calling into question the reliability of findings derived by a single tool. To alleviate this issue, we present a tool that employs machine learning on a dataset built upon the convergence of three widely-adopted TD Assessment tools to automatically assess the class-level TD for any arbitrary Java project. The proposed tool is able to classify software classes as high-TD or not, by synthesizing source code and repository activity information retrieved by employing four popular open source analyzers. The classification results are combined with proper visualization techniques, to enable the identification of classes that are more likely to be problematic. To demonstrate the proposed tool and evaluate its usefulness, a case study is conducted based on a real-world open-source software project. The proposed tool is expected to facilitate TD management activities and enable further experimentation through its use in an academic or industrial setting.Video: https://youtu.be/umgXU8u7lIARunning Instance: http://160.40.52.130:3000/tdclassifierSource Code: https://gitlab.seis.iti.gr/root/td-classifier.git</t>
  </si>
  <si>
    <t>machine learning, tool, technical debt, technical debt identification</t>
  </si>
  <si>
    <t>41–45</t>
  </si>
  <si>
    <t>https://doi.org/10.1145/3524843.3528093;http://dx.doi.org/10.1145/3524843.3528093</t>
  </si>
  <si>
    <t>During the development phase, software programmers usually introduce code that contains issues intentionally left for additional treatment. To allow for future fixing, they mark such code using textual comments, resulting in Self-Admitted Technical Debt (SATD). Detecting SATD contained in source code has become crucial in the development cycle since it helps programmers locate issues that need to be solved, thus improving code quality. We introduce PILOT, a technical debt detector built on top of a combination of different natural language processing (NLP) and machine learning (ML) techniques. First, the semantic among SATD comments is captured using feature extraction steps. Then, neural network algorithms are applied to classify comments, represented as vectors. We built a PILOT prototype with a feed-forward neural network and evaluated it using real-world datasets as proof of concept. The empirical evaluation shows that PILOT obtains an encouraging performance and outperforms a well-established baseline. We anticipate that our tool will come in handy, as once being embedded in the IDE, it can help developers recognize SATD manifested in their code, allowing them to conveniently identify and fix issues.</t>
  </si>
  <si>
    <t>NLP techniques, neural networks, self-admitted technical debt</t>
  </si>
  <si>
    <t>Was Self-Admitted Technical Debt Removal a Real Removal? An in-Depth Perspective</t>
  </si>
  <si>
    <t>526–536</t>
  </si>
  <si>
    <t>Proceedings of the 15th International Conference on Mining Software Repositories</t>
  </si>
  <si>
    <t>https://doi.org/10.1145/3196398.3196423;http://dx.doi.org/10.1145/3196398.3196423</t>
  </si>
  <si>
    <t>MSR '18</t>
  </si>
  <si>
    <t>Snipes W,Robinson B,Guo Y,Seaman C</t>
  </si>
  <si>
    <t>Defining the Decision Factors for Managing Defects: A Technical Debt Perspective</t>
  </si>
  <si>
    <t>54–60</t>
  </si>
  <si>
    <t>Making a decision about whether to fix or defer fixing a defect is important to software projects. Deferring defects accumulates a technical debt that burdens the software team and customer with a less than optimal solution. The decision to defer fixing a defect is made by Software Change Control Boards (CCBs) based on a set of decision factors. In this paper, we evaluated the set of decision factors used by two CCBs at ABB in the context of technical debt management. The aim was to determine how a model of cost and benefits of incurring technical debt could be part of the CCB decision process. We identified the cost categories and decision factors for fixing and deferring defects as a result of interviews with CCB members. We found that the decision factors could incorporate the financial aspects when using the technical debt metaphor. We identify opportunities for further research to integrate technical debt concepts with the decision factors towards better long term outcomes.</t>
  </si>
  <si>
    <t>defects, decision factors, defect costs, technical debt</t>
  </si>
  <si>
    <t>https://doi.org/10.1109/TechDebt.2019.00018;http://dx.doi.org/10.1109/TechDebt.2019.00018</t>
  </si>
  <si>
    <t>The quality of software architecture is an important concern for any software development team. Architecture smells represent quality issues at architecture granularity. Identifying and refactoring them periodically is a necessity to keep architecture quality high. We present Designite, a software design quality assessment tool, that identifies seven well-known architecture smells. Along with the identification, the tool provides supplementary information such as cause and responsible classes for each identified smell instance to help developers understand and refactor the smell. The tool is relevant and useful in both research and practice context. Software developers may use it to identify technical debt instances and to refactor them. On the other hand, software engineering researchers may use the tool to carry out large-scale empirical studies concerning code smells.Demo URL: https://youtu.be/ogrAxQLKwsU</t>
  </si>
  <si>
    <t>technical debt, maintainability, code quality, architecture smells, code smells, refactoring</t>
  </si>
  <si>
    <t>https://doi.org/10.1145/3196398.3196448;http://dx.doi.org/10.1145/3196398.3196448</t>
  </si>
  <si>
    <t>The software development process produces vast amounts of textual data expressed in natural language. Outcomes from the natural language processing community have been adapted in software engineering research for leveraging this rich textual information; these include methods and readily available tools, often furnished with pre-trained models. State of the art pre-trained models however, capture general, common sense knowledge, with limited value when it comes to handling data specific to a specialized domain. There is currently a lack of domain-specific pre-trained models that would further enhance the processing of natural language artefacts related to software engineering. To this end, we release a word2vec model trained over 15GB of textual data from Stack Overflow posts. We illustrate how the model disambiguates polysemous words by interpreting them within their software engineering context. In addition, we present examples of fine-grained semantics captured by the model, that imply transferability of these results to diverse, targeted information retrieval tasks in software engineering and motivate for further reuse of the model.</t>
  </si>
  <si>
    <t>stack overflow, skip-gram, natural language processing, word2vec</t>
  </si>
  <si>
    <t>Towards Accountability for Machine Learning Datasets: Practices from Software Engineering and Infrastructure</t>
  </si>
  <si>
    <t>560–575</t>
  </si>
  <si>
    <t>Proceedings of the 2021 ACM Conference on Fairness, Accountability, and Transparency</t>
  </si>
  <si>
    <t>Virtual Event, Canada</t>
  </si>
  <si>
    <t>https://doi.org/10.1145/3442188.3445918;http://dx.doi.org/10.1145/3442188.3445918</t>
  </si>
  <si>
    <t>Datasets that power machine learning are often used, shared, and reused with little visibility into the processes of deliberation that led to their creation. As artificial intelligence systems are increasingly used in high-stakes tasks, system development and deployment practices must be adapted to address the very real consequences of how model development data is constructed and used in practice. This includes greater transparency about data, and accountability for decisions made when developing it. In this paper, we introduce a rigorous framework for dataset development transparency that supports decision-making and accountability. The framework uses the cyclical, infrastructural and engineering nature of dataset development to draw on best practices from the software development lifecycle. Each stage of the data development lifecycle yields documents that facilitate improved communication and decision-making, as well as drawing attention to the value and necessity of careful data work. The proposed framework makes visible the often overlooked work and decisions that go into dataset creation, a critical step in closing the accountability gap in artificial intelligence and a critical/necessary resource aligned with recent work on auditing processes.</t>
  </si>
  <si>
    <t>requirements engineering, machine learning, datasets</t>
  </si>
  <si>
    <t>FAccT '21</t>
  </si>
  <si>
    <t>https://doi.org/10.1145/3503509;http://dx.doi.org/10.1145/3503509</t>
  </si>
  <si>
    <t>Predictive models are one of the most important techniques that are widely applied in many areas of software engineering. There have been a large number of primary studies that apply predictive models and that present well-performed studies in various research domains, including software requirements, software design and development, testing and debugging, and software maintenance. This article is a first attempt to systematically organize knowledge in this area by surveying a body of 421 papers on predictive models published between 2009 and 2020. We describe the key models and approaches used, classify the different models, summarize the range of key application areas, and analyze research results. Based on our findings, we also propose a set of current challenges that still need to be addressed in future work and provide a proposed research road map for these opportunities.</t>
  </si>
  <si>
    <t>survey, software engineering, Predictive models, deep learning, machine learning</t>
  </si>
  <si>
    <t>Cassee N</t>
  </si>
  <si>
    <t>Sentiment in Software Engineering: Detection and Application</t>
  </si>
  <si>
    <t>1800–1804</t>
  </si>
  <si>
    <t>https://doi.org/10.1145/3540250.3558908;http://dx.doi.org/10.1145/3540250.3558908</t>
  </si>
  <si>
    <t>10.1145/3540250.3558908</t>
  </si>
  <si>
    <t>In software engineering the role of human aspects is an important one, especially as developers indicate that they experience a wide range of emotions while developing software. Within software engineering researchers have sought to understand the role emotions and sentiment play in the development of software by studying issues, pull-requests and commit messages. To detect sentiment, automated tools are used, and in this doctoral thesis we plan to study the use of these sentiment analysis tools, their applications, best practices for their usage and the effect of non-natural language on their performance. In addition to studying the application of sentiment analysis tools, we also aim to study self-admitted technical debt and bots in software engineering, to understand why developers express sentiment and what they signal when they express sentiment. Through studying both the application of sentiment analysis tools and the role of sentiment in software engineering, we hope to provide practical recommendations for both researchers and developers.</t>
  </si>
  <si>
    <t>software engineering, human aspects, sentiment, sentiment analysis</t>
  </si>
  <si>
    <t>Sonarlizer Xplorer: A Tool to Mine Github Projects and Identify Technical Debt Items Using SonarQube</t>
  </si>
  <si>
    <t>71–75</t>
  </si>
  <si>
    <t>https://doi.org/10.1145/3524843.3528098;http://dx.doi.org/10.1145/3524843.3528098</t>
  </si>
  <si>
    <t>The advancement of artificial intelligence and the implementation of machine learning capabilities in programming languages such as Python, along with cloud services, allow researchers to apply methods to cluster and predict behaviors and patterns in software engineering data. On the other hand, these methods need a large amount of data in order to work with high accuracy in different contexts. This paper introduces Sonarlizer Xplorer: a tool that captures a large number of technical debt items and code metrics from public GitHub projects. Sonarlizer Xplorer is composed of two sub-tools. The first is Github Xplorer, responsible for mining public Github repositories from an initial project. The second is Sonarlizer, responsible for taking projects and analyzing them using SonarQube. We used the tool over four months, collecting technical debt items and code metrics on almost 46,000 public Java projects. In addition, we mined over 57 million repositories and 4 million users.</t>
  </si>
  <si>
    <t>public projects mining, SonarQube, technical debt identifier, metric analyzer, github</t>
  </si>
  <si>
    <t>217–228</t>
  </si>
  <si>
    <t>Proceedings of the 1st International Conference on AI Engineering: Software Engineering for AI</t>
  </si>
  <si>
    <t>https://doi.org/10.1145/3522664.3528620;http://dx.doi.org/10.1145/3522664.3528620</t>
  </si>
  <si>
    <t>The popularity of machine learning has wildly expanded in recent years. Machine learning techniques have been heatedly studied in academia and applied in the industry to create business value. However, there is a lack of guidelines for code quality in machine learning applications. In particular, code smells have rarely been studied in this domain. Although machine learning code is usually integrated as a small part of an overarching system, it usually plays an important role in its core functionality. Hence ensuring code quality is quintessential to avoid issues in the long run. This paper proposes and identifies a list of 22 machine learning-specific code smells collected from various sources, including papers, grey literature, GitHub commits, and Stack Overflow posts. We pinpoint each smell with a description of its context, potential issues in the long run, and proposed solutions. In addition, we link them to their respective pipeline stage and the evidence from both academic and grey literature. The code smell catalog helps data scientists and developers produce and maintain high-quality machine learning application code.</t>
  </si>
  <si>
    <t>code smell, anti-pattern, machine learning, technical debt, code quality</t>
  </si>
  <si>
    <t>CAIN '22</t>
  </si>
  <si>
    <t>WeakSATD: Detecting Weak Self-Admitted Technical Debt</t>
  </si>
  <si>
    <t>448–453</t>
  </si>
  <si>
    <t>Proceedings of the 19th International Conference on Mining Software Repositories</t>
  </si>
  <si>
    <t>https://doi.org/10.1145/3524842.3528469;http://dx.doi.org/10.1145/3524842.3528469</t>
  </si>
  <si>
    <t>vulnerability, weak code, self-admitted technical debt, security</t>
  </si>
  <si>
    <t>MSR '22</t>
  </si>
  <si>
    <t>Yang Y,Xia X,Lo D,Grundy J</t>
  </si>
  <si>
    <t>A Survey on Deep Learning for Software Engineering</t>
  </si>
  <si>
    <t>ACM Comput. Surv.</t>
  </si>
  <si>
    <t>10s</t>
  </si>
  <si>
    <t>https://doi.org/10.1145/3505243;http://dx.doi.org/10.1145/3505243</t>
  </si>
  <si>
    <t>10.1145/3505243</t>
  </si>
  <si>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and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</si>
  <si>
    <t>neural network, machine learning, software engineering, survey, Deep learning</t>
  </si>
  <si>
    <t>de O. Passos AF,de Freitas Farias MA,de Mendonça Neto MG,Spínola RO</t>
  </si>
  <si>
    <t>A Study on Identification of Documentation and Requirement Technical Debt through Code Comment Analysis</t>
  </si>
  <si>
    <t>Proceedings of the 17th Brazilian Symposium on Software Quality</t>
  </si>
  <si>
    <t>Curitiba, Brazil</t>
  </si>
  <si>
    <t>https://doi.org/10.1145/3275245.3275248;http://dx.doi.org/10.1145/3275245.3275248</t>
  </si>
  <si>
    <t>Context: The TD concept reflects the challenging decisions that developers and managers need to take to achieve short-term benefits to keep the customers satisfied and to survive in a competitive market. The identification of technical debt (TD) is an important step to effectively manage TD items and make TD manageable and explicit to keep the amount of TD under control. Researchers have developed automated approaches to identify TD items using indicators derived from source code metrics. However, those indicators do not always point to TD that developer teams consider real problems and cannot identify many types of relevant TD. Objective: This work seeks to identify comment patterns and their relationships which can support the identification process of documentation and requirement debts. Method: We performed a qualitative and quantitative analysis to investigate acceptable patterns of comments which indicate the existence of documentation and requirement debts. Results: We classify factors which can impact on the detection automated of documentation and requirement debts. Besides, the performed study provided a set of new patterns to detect documentation and requirement debts. Conclusion: This research contributes to bridge the gap between the TD identification area and code comment analysis, successfully using code comments to detect documentation and requirement debts.</t>
  </si>
  <si>
    <t>Dívida técnica, Análise de comentários, Identificação de dívida técnica, Comentários de código</t>
  </si>
  <si>
    <t>SBQS</t>
  </si>
  <si>
    <t>Detecting Bad Smells with Machine Learning Algorithms: An Empirical Study</t>
  </si>
  <si>
    <t>31–40</t>
  </si>
  <si>
    <t>https://doi.org/10.1145/3387906.3388618;http://dx.doi.org/10.1145/3387906.3388618</t>
  </si>
  <si>
    <t>Bad smells are symptoms of bad design choices implemented on the source code. They are one of the key indicators of technical debts, specifically, design debt. To manage this kind of debt, it is important to be aware of bad smells and refactor them whenever possible. Therefore, several bad smell detection tools and techniques have been proposed over the years. These tools and techniques present different strategies to perform detections. More recently, machine learning algorithms have also been proposed to support bad smell detection. However, we lack empirical evidence on the accuracy and efficiency of these machine learning based techniques. In this paper, we present an evaluation of seven different machine learning algorithms on the task of detecting four types of bad smells. We also provide an analysis of the impact of software metrics for bad smell detection using a unified approach for interpreting the models' decisions. We found that with the right optimization, machine learning algorithms can achieve good performance (F1 score) for two bad smells: God Class (0.86) and Refused Parent Bequest (0.67). We also uncovered which metrics play fundamental roles for detecting each bad smell.</t>
  </si>
  <si>
    <t>machine learning, empirical software engineering, software quality, bad smells detection, software measurement</t>
  </si>
  <si>
    <t>https://doi.org/10.1145/3487043;http://dx.doi.org/10.1145/3487043</t>
  </si>
  <si>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t>
  </si>
  <si>
    <t>AI-based systems, Software engineering, artificial intelligence, systematic mapping study</t>
  </si>
  <si>
    <t>9–12</t>
  </si>
  <si>
    <t>Proceedings of the 40th International Conference on Software Engineering: Companion Proceeedings</t>
  </si>
  <si>
    <t>https://doi.org/10.1145/3183440.3183478;http://dx.doi.org/10.1145/3183440.3183478</t>
  </si>
  <si>
    <t>In software projects, technical debt metaphor is used to describe the situation where developers and managers have to accept compromises in long-term software quality to achieve short-term goals. There are many types of technical debt, and self-admitted technical debt (SATD) was proposed recently to consider debt that is introduced intentionally (e.g., through temporaryfi x) and admitted by developers themselves. Previous work has shown that SATD can be successfully detected using source code comments. However, most current state-of-the-art approaches identify SATD comments through pattern matching, which achieve high precision but very low recall. That means they may miss many SATD comments and are not practical enough. In this paper, we propose SATD Detector, a tool that is able to (i) automatically detect SATD comments using text mining and (ii) highlight, list and manage detected comments in an integrated development environment (IDE). This tool consists of a Java library and an Eclipse plug-in. The Java library is the back-end, which provides command-line interfaces and Java APIs to re-train the text mining model using users' data and automatically detect SATD comments using either the build-in model or a user-specified model. The Eclipse plug-in, which is the front-end, first leverages our pre-trained composite classifier to detect SATD comments, and then highlights and marks these detected comments in the source code editor of Eclipse. In addition, the Eclipse plug-in provides a view in IDE which collects all detected comments for management.Demo URL: https://youtu.be/sn4gU2qhGm0Java library download: https://git.io/vNdnYEclipse plug-in download: https://goo.gl/ZzjBzp</t>
  </si>
  <si>
    <t>eclipse plug-in, self-admitted technical debt, SATD detection</t>
  </si>
  <si>
    <t>ICSE '18</t>
  </si>
  <si>
    <t>Using Machine Learning to Guide the Application of Software Refactorings: A Preliminary Exploration</t>
  </si>
  <si>
    <t>23–28</t>
  </si>
  <si>
    <t>Proceedings of the 6th International Workshop on Machine Learning Techniques for Software Quality Evaluation</t>
  </si>
  <si>
    <t>https://doi.org/10.1145/3549034.3561178;http://dx.doi.org/10.1145/3549034.3561178</t>
  </si>
  <si>
    <t>Refactorings constitute the most direct and comprehensible ap-proach for addressing software quality issues, stemming directly from identified code smells. Nevertheless, despite their popularity in both the research and industrial communities: (a) the effect of a refactoring is not guaranteed to be successful; and (b) the plethora of available refactoring opportunities does not allow their compre-hensive application. Thus, there is a need of guidance, on when to apply a refactoring opportunity, and when the development team shall postpone it. The notion of interest, forms one of the major pil-lars of the Technical Debt metaphor expressing the additional maintenance effort that will be required because of the accumulated debt. To assess the benefits of refactorings and guide when a refac-toring should take place, we first present the results of an empirical study assessing and quantifying the impact of various refactorings on Technical Debt Interest (building a real-world training set) and use machine learning approaches for guiding the application of fu-ture refactorings. To estimate interest, we rely on the FITTED framework, which for each object-oriented class assesses its dis-tance from the best-quality peer; whereas the refactorings that are applied throughout the history of a software project are extracted with the RefactoringMiner tool. The dataset of this study involves 4,166 refactorings applied across 26,058 revisions of 10 Apache projects. The results suggest that the majority of refactorings reduce Technical Debt interest; however, considering all refactoring appli-cations, it cannot be claimed that the mean impact differs from zero, confirming the results of previous studies highlighting mixed ef-fects from the application of refactorings. To alleviate this problem, we have built an adequately accurate ( 70%) model for the predic-tion of whether or not a refactoring should take place, in order to reduce Technical Debt interest.</t>
  </si>
  <si>
    <t>Refactoring, Software Quality, Interest, Technical Debt</t>
  </si>
  <si>
    <t>MaLTeSQuE 2022</t>
  </si>
  <si>
    <t>Diosan L,Motogna S</t>
  </si>
  <si>
    <t>Artificial Intelligence Meets Software Engineering in the Classroom</t>
  </si>
  <si>
    <t>35–38</t>
  </si>
  <si>
    <t>Proceedings of the 1st ACM SIGSOFT International Workshop on Education through Advanced Software Engineering and Artificial Intelligence</t>
  </si>
  <si>
    <t>https://doi.org/10.1145/3340435.3342718;http://dx.doi.org/10.1145/3340435.3342718</t>
  </si>
  <si>
    <t>10.1145/3340435.3342718</t>
  </si>
  <si>
    <t>We aimed to assess the reliability of teaching Artificial Intelligencefor Software Engineering master students. We propose a semi-interactive course where the students have to develop applications for solving real world problems by using various intelligent tools. We try to integrate these two disciplines, since both deal with modeling of the real case studies, sharing some common elements.We report on a study that we conducted on observing student teams as they develop AI-based applications. We validate the proposed semi-interactive course by using various criteria. In addition, we checked if some best practices from industrial teams are followed by our students.</t>
  </si>
  <si>
    <t>Software engineering education, Software creation, theory and algorithms for application domain</t>
  </si>
  <si>
    <t>EASEAI 2019</t>
  </si>
  <si>
    <t>To Adapt or Not to Adapt? Technical Debt and Learning Driven Self-Adaptation for Managing Runtime Performance</t>
  </si>
  <si>
    <t>48–55</t>
  </si>
  <si>
    <t>Proceedings of the 2018 ACM/SPEC International Conference on Performance Engineering</t>
  </si>
  <si>
    <t>Berlin, Germany</t>
  </si>
  <si>
    <t>https://doi.org/10.1145/3184407.3184413;http://dx.doi.org/10.1145/3184407.3184413</t>
  </si>
  <si>
    <t>Self-adaptive system (SAS) can adapt itself to optimize various key performance indicators in response to the dynamics and uncertainty in environment. In this paper, we present Debt Learning Driven Adaptation (DLDA), an framework that dynamically determines when and whether to adapt the SAS at runtime. DLDA leverages the temporal adaptation debt, a notion derived from the technical debt metaphor, to quantify the time-varying money that the SAS carries in relation to its performance and Service Level Agreements. We designed a temporal net debt driven labeling to label whether it is economically healthier to adapt the SAS (or not) in a circumstance, based on which an online machine learning classifier learns the correlation, and then predicts whether to adapt under the future circumstances. We conducted comprehensive experiments to evaluate DLDA with two different planners, using 5 online machine learning classifiers, and in comparison to 4 state-of-the-art debt-oblivious triggering approaches. The results reveal the effectiveness and superiority of DLDA according to different metrics.</t>
  </si>
  <si>
    <t>machine learning, technical debt, performance, self-adaptive systems</t>
  </si>
  <si>
    <t>ICPE '18</t>
  </si>
  <si>
    <t>Proceedings of the ACM/IEEE 42nd International Conference on Software Engineering: Software Engineering in Society</t>
  </si>
  <si>
    <t>https://doi.org/10.1145/3377815.3381377;http://dx.doi.org/10.1145/3377815.3381377</t>
  </si>
  <si>
    <t>empirical study, self-admitted technical debt, categorization, deep learning</t>
  </si>
  <si>
    <t>ICSE-SEIS '20</t>
  </si>
  <si>
    <t>Papernot N</t>
  </si>
  <si>
    <t>The Role of Randomization in Trustworthy Machine Learning</t>
  </si>
  <si>
    <t>23–24</t>
  </si>
  <si>
    <t>Proceedings of the 9th ACM Workshop on Moving Target Defense</t>
  </si>
  <si>
    <t>Los Angeles, CA, USA</t>
  </si>
  <si>
    <t>https://doi.org/10.1145/3560828.3564001;http://dx.doi.org/10.1145/3560828.3564001</t>
  </si>
  <si>
    <t>10.1145/3560828.3564001</t>
  </si>
  <si>
    <t>Machine learning has been perhaps this decade's most significant technological development, with the prospect of becoming a general-purpose technology. Applications range from autonomous driving to assisting with court decisions. In many of these settings, the worst-case performance of machine learning is critical. Yet, the predictions of machine learning often appear fragile, with no hint as to the reasoning behind them-and may be dangerously wrong. This situation is in large part due to the absence of security considerations in the design of machine learning algorithms. This is unacceptable: society must be able to trust and hold machine learning accountable. One direction that has been proposed to develop more trustworthy ML algorithms is the introduction of randomization. In this keynote, we contrast the success of randomized algorithms for privacy-preserving learning with failed applications of randomization to develop more robust machine learning models. From this comparison, we identify best practices for the research community, moving forward, as it continues to research the role of randomization in trustworthy machine learning.</t>
  </si>
  <si>
    <t>safety, data privacy, computer security, trustworthy, machine learning</t>
  </si>
  <si>
    <t>MTD'22</t>
  </si>
  <si>
    <t>Teaching Software Engineering for AI-Enabled Systems</t>
  </si>
  <si>
    <t>Proceedings of the ACM/IEEE 42nd International Conference on Software Engineering: Software Engineering Education and Training</t>
  </si>
  <si>
    <t>https://doi.org/10.1145/3377814.3381714;http://dx.doi.org/10.1145/3377814.3381714</t>
  </si>
  <si>
    <t>ICSE-SEET '20</t>
  </si>
  <si>
    <t>34–40</t>
  </si>
  <si>
    <t>Buenos Aires, Argentina</t>
  </si>
  <si>
    <t>Proceedings of the 4th International Workshop on Software Engineering Research and Industrial Practice</t>
  </si>
  <si>
    <t>https://doi.org/10.1109/SER-IP.2017..5;http://dx.doi.org/10.1109/SER-IP.2017..5</t>
  </si>
  <si>
    <t>The Service Oriented Software Development (SOSD) approach is a common software development paradigm. Previous qualitative and quantitative studies looked at the main reasons for the delay in software development so as to help project's stakeholders to take appropriate actions for improvement in their planning. In SOSD projects, due to the high level of user involvement in new service and product development, service providers need to make dynamic trade-offs to address their clients' demands. In this paper, we look at interruptions and their impact on tasks duration. We used text classification, Natural Language Processing (NLP), and quantitative time series analysis techniques to analyze 7, 770 development tasks of five real SOSD projects at Arcurve Inc. Our results show that fixing an issue, addressing changes, and adding new features are the most frequently perceived causes of interruption in SOSD projects. Furthermore, we have found that requirements engineering and project management tasks experience less delay time over a project's life-cycle. We also visualized the association between the interruption length and the extra tasks' duration resulted from these interruptions within various development task types, which shows there is no strong association between task type with regard to these two parameters.</t>
  </si>
  <si>
    <t>delay, service oriented software development (SOSD), empirical study</t>
  </si>
  <si>
    <t>SER&amp;IP '17</t>
  </si>
  <si>
    <t>269–271</t>
  </si>
  <si>
    <t>Virtual Event, Spain</t>
  </si>
  <si>
    <t>Proceedings of the 43rd International Conference on Software Engineering: Companion Proceedings</t>
  </si>
  <si>
    <t>https://doi.org/10.1109/ICSE-Companion52605.2021.00124;http://dx.doi.org/10.1109/ICSE-Companion52605.2021.00124</t>
  </si>
  <si>
    <t>maturity model, DevOps, software development</t>
  </si>
  <si>
    <t>Al-qadhi M,Keung J</t>
  </si>
  <si>
    <t>Cloud-Based Support for Global Software Engineering: Potentials, Risks, and Gaps</t>
  </si>
  <si>
    <t>57–64</t>
  </si>
  <si>
    <t>Proceedings of the International Workshop on Innovative Software Development Methodologies and Practices</t>
  </si>
  <si>
    <t>Hong Kong, China</t>
  </si>
  <si>
    <t>https://doi.org/10.1145/2666581.2666583;http://dx.doi.org/10.1145/2666581.2666583</t>
  </si>
  <si>
    <t>10.1145/2666581.2666583</t>
  </si>
  <si>
    <t>Global Software Engineering (GSE) aims at utilizing global expertise and reducing time-to-market and costs for software development. However, GSE faces serious challenges related to the communication, coordination and provision of development environments for geographically distributed GSE sites, resulting in increased costs. Nowadays, cloud computing offers a cost-effective and a handy solution to provide computing support for global business. In particularly, it provides potential and viable solutions to address concerns and challenges in GSE. We have reviewed the relevant literature on cloud-based support for GSE and identified a set of pros and cons for supporting GSE with cloud services. We also present some recommendations to increase the trustworthiness and productivity with cloud-based support for GSE. This paper outlines the potential benefits and risks of cloud computing to GSE and identifies some gaps that need to be addressed by cloud-based support towards more trustworthy and productive work environment for GSE. This will open windows of opportunities for tailoring the solution utilizing cloud-based support for GSE.</t>
  </si>
  <si>
    <t>Global Software Engineering (GSE), Cloud Computing</t>
  </si>
  <si>
    <t>InnoSWDev 2014</t>
  </si>
  <si>
    <t>On the Role of Data Balancing for Machine Learning-Based Code Smell Detection</t>
  </si>
  <si>
    <t>19–24</t>
  </si>
  <si>
    <t>https://doi.org/10.1145/3340482.3342744;http://dx.doi.org/10.1145/3340482.3342744</t>
  </si>
  <si>
    <t>Code smells can compromise software quality in the long term by inducing technical debt. For this reason, many approaches aimed at identifying these design flaws have been proposed in the last decade. Most of them are based on heuristics in which a set of metrics (e.g., code metrics, process metrics) is used to detect smelly code components. However, these techniques suffer of subjective interpretation, low agreement between detectors, and threshold dependability. To overcome these limitations, previous work applied Machine Learning techniques that can learn from previous datasets without needing any threshold definition. However, more recent work has shown that Machine Learning is not always suitable for code smell detection due to the highly unbalanced nature of the problem. In this study we investigate several approaches able to mitigate data unbalancing issues to understand their impact on ML-based approaches for code smell detection. Our findings highlight a number of limitations and open issues with respect to the usage of data balancing in ML-based code smell detection.</t>
  </si>
  <si>
    <t>Data Balancing, Machine Learning, Code Smells</t>
  </si>
  <si>
    <t>BenIdris M,Ammar H,Dzielski D,Benamer WH</t>
  </si>
  <si>
    <t>Prioritizing Software Components Risk: Towards a Machine Learning-Based Approach</t>
  </si>
  <si>
    <t>Proceedings of the 6th International Conference on Engineering &amp; MIS 2020</t>
  </si>
  <si>
    <t>Almaty, Kazakhstan</t>
  </si>
  <si>
    <t>https://doi.org/10.1145/3410352.3410730;http://dx.doi.org/10.1145/3410352.3410730</t>
  </si>
  <si>
    <t>Technical Debt (TD) can be detected using different methods. TD is a metaphor that refers to short-term solutions in software development, which may affect the cost of the software development life-cycle. Several tools have been developed to detect, estimate, or manage TD. TD can be indicated through smells, code comments, and software metrics. Machine learning Techniques (MLTs) are used in many software engineering topics such as fault-proneness, bug severity, and code smell. In this paper we use four internal structure metrics to identify and classify Architecture Technical Debt (ATD) risk by using MLTs. We show that MLTs can identify and classify the risk of ATD on software components to help the decision-makers to prioritizing the refactoring decisions based on the level of the risk.</t>
  </si>
  <si>
    <t>Software Risk, Machine Learning, Architecture Smells, Architecture Technical Debt</t>
  </si>
  <si>
    <t>ICEMIS'20</t>
  </si>
  <si>
    <t>Molino P,Ré C</t>
  </si>
  <si>
    <t>Declarative Machine Learning Systems</t>
  </si>
  <si>
    <t>42–49</t>
  </si>
  <si>
    <t>https://doi.org/10.1145/3475167;http://dx.doi.org/10.1145/3475167</t>
  </si>
  <si>
    <t>10.1145/3475167</t>
  </si>
  <si>
    <t>The future of machine learning will depend on it being in the hands of the rest of us.</t>
  </si>
  <si>
    <t>Li S,Guo J,Lou JG,Fan M,Liu T,Zhang D</t>
  </si>
  <si>
    <t>263–272</t>
  </si>
  <si>
    <t>Proceedings of the 44th International Conference on Software Engineering: Software Engineering in Practice</t>
  </si>
  <si>
    <t>https://doi.org/10.1145/3510457.3513036;http://dx.doi.org/10.1145/3510457.3513036</t>
  </si>
  <si>
    <t>Machine learning becomes increasingly prevalent and integrated into a wide range of software systems. These systems, named ML systems, must be adequately tested to gain confidence that they behave correctly. Although many research efforts have been devoted to testing technologies for ML systems, the industrial teams are faced with new challenges on testing the ML systems in real-world settings. To absorb inspirations from the industry on the problems in ML testing, we conducted an empirical study including a survey with 87 responses and interviews with 7 senior ML practitioners from well-known IT companies. Our study uncovers significant industrial concerns on major testing activities, i.e., test data collection, test execution, and test result analysis, and also the good practices and open challenges from the perspective of the industry. (1) Test data collection is conducted in different ways on ML model, data, and code and faced with different challenges. (2) Test execution in ML systems suffers from two major problems: entanglement among the components and the regression on model performance. (3) Test result analysis centers on quantitative methods, e.g., metric-based evaluation, and is combined with some qualitative methods based on practitioners' experience. Based on our findings, we highlight the research opportunities and also provide some implications for practitioners.</t>
  </si>
  <si>
    <t>survey, machine learning, software testing</t>
  </si>
  <si>
    <t>ICSE-SEIP '22</t>
  </si>
  <si>
    <t>Emerging and Changing Tasks in the Development Process for Machine Learning Systems</t>
  </si>
  <si>
    <t>125–134</t>
  </si>
  <si>
    <t>Proceedings of the International Conference on Software and System Processes</t>
  </si>
  <si>
    <t>https://doi.org/10.1145/3379177.3388905;http://dx.doi.org/10.1145/3379177.3388905</t>
  </si>
  <si>
    <t>Integrating machine learning components in software systems is a task more and more companies are confronted with. However, there is not much knowledge today on how the software development process needs to change, when such components are integrated into a software system. We performed an interview study with 16 participants, focusing on emerging and changing task. The results uncover a set of 25 tasks associated to different software development phases, such as requirements engineering or deployment. We are just starting to understand the implications of using machine-learning components on the software development process. This study allows some first insights into how widespread the required process changes are.</t>
  </si>
  <si>
    <t>Challenges, Machine learning, Roles, Software process</t>
  </si>
  <si>
    <t>ICSSP '20</t>
  </si>
  <si>
    <t>ESEC/FSE 2022: Proceedings of the 30th ACM Joint European Software Engineering Conference and Symposium on the Foundations of Software Engineering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</si>
  <si>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</si>
  <si>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93–104</t>
  </si>
  <si>
    <t>Proceedings of the 27th International Conference on Program Comprehension</t>
  </si>
  <si>
    <t>https://doi.org/10.1109/ICPC.2019.00023;http://dx.doi.org/10.1109/ICPC.2019.00023</t>
  </si>
  <si>
    <t>Code smells represent poor implementation choices performed by developers when enhancing source code. Their negative impact on source code maintainability and comprehensibility has been widely shown in the past and several techniques to automatically detect them have been devised. Most of these techniques are based on heuristics, namely they compute a set of code metrics and combine them by creating detection rules; while they have a reasonable accuracy, a recent trend is represented by the use of machine learning where code metrics are used as predictors of the smelliness of code artefacts. Despite the recent advances in the field, there is still a noticeable lack of knowledge of whether machine learning can actually be more accurate than traditional heuristic-based approaches. To fill this gap, in this paper we propose a large-scale study to empirically compare the performance of heuristic-based and machine-learning-based techniques for metric-based code smell detection. We consider five code smell types and compare machine learning models with Decor, a state-of-the-art heuristic-based approach. Key findings emphasize the need of further research aimed at improving the effectiveness of both machine learning and heuristic approaches for code smell detection: while Decor generally achieves better performance than a machine learning baseline, its precision is still too low to make it usable in practice.</t>
  </si>
  <si>
    <t>code smells detection, machine learning, empirical study, heuristics</t>
  </si>
  <si>
    <t>ICPC '19</t>
  </si>
  <si>
    <t>Detecting Architectural Integrity Violation Patterns Using Machine Learning</t>
  </si>
  <si>
    <t>1480–1487</t>
  </si>
  <si>
    <t>Proceedings of the 35th Annual ACM Symposium on Applied Computing</t>
  </si>
  <si>
    <t>Brno, Czech Republic</t>
  </si>
  <si>
    <t>https://doi.org/10.1145/3341105.3374008;http://dx.doi.org/10.1145/3341105.3374008</t>
  </si>
  <si>
    <t>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t>
  </si>
  <si>
    <t>machine learning, hotspot patterns, software architecture, architectural flaws, bug-proneness</t>
  </si>
  <si>
    <t>SAC '20</t>
  </si>
  <si>
    <t>Effective Collaboration across the Globe through Digital Dash Boards and Machine Learning</t>
  </si>
  <si>
    <t>35–39</t>
  </si>
  <si>
    <t>Proceedings of the 13th International Conference on Global Software Engineering</t>
  </si>
  <si>
    <t>https://doi.org/10.1145/3196369.3196391;http://dx.doi.org/10.1145/3196369.3196391</t>
  </si>
  <si>
    <t>In a large sized project with globally distributed environment, it is challenging to have a common information radiator across all global locations and it is difficult to make sense of the long list of tasks displayed on a single dashboard. Different time zones make it difficult to collaborate and cater to a customer who demands frequent releases and transparency. This paper demonstrates a unique solution driven by a novel mix of digitization and machine learning to solve this ubiquitous problem.After value stream mapping the team developed a tool backed with machine learning, helped us to deliver our concepts faster to market. We derived unconventional digital dash boards which helped in building collaborative environment across different time zones.This paper also highlights the critical role of machine learning in project management, proposes improvements various in areas like task estimation, team velocity and turnaround time prediction. This paper is targeted to agile practitioners who are interested in improving workflows and building intelligent process systems using new modern technologies in globally distributed environment.</t>
  </si>
  <si>
    <t>machine learning, value stream mapping, information radiators</t>
  </si>
  <si>
    <t>ICGSE '18</t>
  </si>
  <si>
    <t>Comparing Within- and Cross-Project Machine Learning Algorithms for Code Smell Detection</t>
  </si>
  <si>
    <t>1–6</t>
  </si>
  <si>
    <t>Proceedings of the 5th International Workshop on Machine Learning Techniques for Software Quality Evolution</t>
  </si>
  <si>
    <t>Athens, Greece</t>
  </si>
  <si>
    <t>https://doi.org/10.1145/3472674.3473978;http://dx.doi.org/10.1145/3472674.3473978</t>
  </si>
  <si>
    <t>Code smells represent a well-known problem in software engineering, since they are a notorious cause of loss of comprehensibility and maintainability. The most recent efforts in devising automatic machine learning-based code smell detection techniques have achieved unsatisfying results so far. This could be explained by the fact that all these approaches follow a within-project classification, i.e. training and test data are taken from the same source project, which combined with the imbalanced nature of the problem, produces datasets with a very low number of instances belonging to the minority class (i.e. smelly instances). In this paper, we propose a cross-project machine learning approach and compare its performance with a within-project alternative. The core idea is to use transfer learning to increase the overall number of smelly instances in the training datasets. Our results have shown that cross-project classification provides very similar performance with respect to within-project. Despite this finding does not yet provide a step forward in increasing the performance of ML techniques for code smell detection, it sets the basis for further investigations.</t>
  </si>
  <si>
    <t>Code smells, Empirical Software Engineering, Transfer Learning</t>
  </si>
  <si>
    <t>MaLTESQuE 2021</t>
  </si>
  <si>
    <t>A Machine Learning Based Ensemble Method for Automatic Multiclass Classification of Decisions</t>
  </si>
  <si>
    <t>40–49</t>
  </si>
  <si>
    <t>https://doi.org/10.1145/3463274.3463325;http://dx.doi.org/10.1145/3463274.3463325</t>
  </si>
  <si>
    <t>Stakeholders make various types of decisions with respect to requirements, design, management, and so on during the software development life cycle. Nevertheless, these decisions are typically not well documented and classified due to limited human resources, time, and budget. To this end, automatic approaches provide a promising way. In this paper, we aimed at automatically classifying decisions into five types to help stakeholders better document and understand decisions. First, we collected a dataset from the Hibernate developer mailing list. We then experimented and evaluated 270 configurations regarding feature selection, feature extraction techniques, and machine learning classifiers to seek the best configuration for classifying decisions. Especially, we applied an ensemble learning method and constructed ensemble classifiers to compare the performance between ensemble classifiers and base classifiers. Our experiment results show that (1) feature selection can decently improve the classification results; (2) ensemble classifiers can outperform base classifiers provided that ensemble classifiers are well constructed; (3) BoW + 50% features selected by feature selection with an ensemble classifier that combines Naïve Bayes (NB), Logistic Regression (LR), and Support Vector Machine (SVM) achieves the best classification result (with a weighted precision of 0.750, a weighted recall of 0.739, and a weighted F1-score of 0.727) among all the configurations. Our work can benefit various types of stakeholders in software development through providing an automatic approach for effectively classifying decisions into specific types that are relevant to their interests.</t>
  </si>
  <si>
    <t>Decision, Automatic Classification, Software Development, Hibernate, Ensemble Classifier</t>
  </si>
  <si>
    <t>FixMe: A GitHub Bot for Detecting and Monitoring on-Hold Self-Admitted Technical Debt</t>
  </si>
  <si>
    <t>1257–1261</t>
  </si>
  <si>
    <t>Melbourne, Australia</t>
  </si>
  <si>
    <t>Proceedings of the 36th IEEE/ACM International Conference on Automated Software Engineering</t>
  </si>
  <si>
    <t>https://doi.org/10.1109/ASE51524.2021.9678680;http://dx.doi.org/10.1109/ASE51524.2021.9678680</t>
  </si>
  <si>
    <t>ASE '21</t>
  </si>
  <si>
    <t>Liu C,Gao C,Xia X,Lo D,Grundy J,Yang X</t>
  </si>
  <si>
    <t>On the Reproducibility and Replicability of Deep Learning in Software Engineering</t>
  </si>
  <si>
    <t>https://doi.org/10.1145/3477535;http://dx.doi.org/10.1145/3477535</t>
  </si>
  <si>
    <t>10.1145/3477535</t>
  </si>
  <si>
    <t>Context: Deep learning (DL) techniques have gained significant popularity among software engineering (SE) researchers in recent years. This is because they can often solve many SE challenges without enormous manual feature engineering effort and complex domain knowledge.Objective: Although many DL studies have reported substantial advantages over other state-of-the-art models on effectiveness, they often ignore two factors: (1) reproducibility—whether the reported experimental results can be obtained by other researchers using authors’ artifacts (i.e., source code and datasets) with the same experimental setup; and (2) replicability—whether the reported experimental result can be obtained by other researchers using their re-implemented artifacts with a different experimental setup. We observed that DL studies commonly overlook these two factors and declare them as minor threats or leave them for future work. This is mainly due to high model complexity with many manually set parameters and the time-consuming optimization process, unlike classical supervised machine learning (ML) methods (e.g., random forest). This study aims to investigate the urgency and importance of reproducibility and replicability for DL studies on SE tasks.Method: In this study, we conducted a literature review on 147 DL studies recently published in 20 SE venues and 20 AI (Artificial Intelligence) venues to investigate these issues. We also re-ran four representative DL models in SE to investigate important factors that may strongly affect the reproducibility and replicability of a study.Results: Our statistics show the urgency of investigating these two factors in SE, where only 10.2% of the studies investigate any research question to show that their models can address at least one issue of replicability and/or reproducibility. More than 62.6% of the studies do not even share high-quality source code or complete data to support the reproducibility of their complex models. Meanwhile, our experimental results show the importance of reproducibility and replicability, where the reported performance of a DL model could not be reproduced for an unstable optimization process. Replicability could be substantially compromised if the model training is not convergent, or if performance is sensitive to the size of vocabulary and testing data.Conclusion: It is urgent for the SE community to provide a long-lasting link to a high-quality reproduction package, enhance DL-based solution stability and convergence, and avoid performance sensitivity on different sampled data.</t>
  </si>
  <si>
    <t>software engineering, Deep learning, reproducibility, replicability</t>
  </si>
  <si>
    <t>Elhabbash A,Salama M,Bahsoon R,Tino P</t>
  </si>
  <si>
    <t>Self-Awareness in Software Engineering: A Systematic Literature Review</t>
  </si>
  <si>
    <t>ACM Trans. Auton. Adapt. Syst.</t>
  </si>
  <si>
    <t>https://doi.org/10.1145/3347269;http://dx.doi.org/10.1145/3347269</t>
  </si>
  <si>
    <t>10.1145/3347269</t>
  </si>
  <si>
    <t>Background: Self-awareness has been recently receiving attention in computing systems for enriching autonomous software systems operating in dynamic environments.Objective: We aim to investigate the adoption of computational self-awareness concepts in autonomic software systems and motivate future research directions on self-awareness and related problems.Method: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t>
  </si>
  <si>
    <t>research challenges, Adaptation processes, systematic literature review, survey, software architecture, self-properties, self-adaptive software, self-aware software</t>
  </si>
  <si>
    <t>PROMISE 2022: Proceedings of the 18th International Conference on Predictive Models and Data Analytics in Software Engineering</t>
  </si>
  <si>
    <t>It is our pleasure to welcome you to the 18th ACM International Conference on Predictive Models and Data Analytics in Software Engineering (PROMISE 2022), to be held in hybrid mode (physically and virtually) on November 18th, 2022, co-located with the ACM Joint European Software Engineering Conference and Symposium on the Foundations of Software Engineering (ESEC/FSE 2022). PROMISE is an annual forum for researchers and practitioners to present, discuss and exchange ideas, results, expertise and experiences in the construction and/or application of predictive models and data analytics in software engineering. Such models and analyses could be targeted at planning, design, implementation, testing, maintenance, quality assurance, evaluation, process improvement, management, decision making, and risk assessment in software and systems development. This year PROMISE received a total of 18 paper submissions. The review process was double blind and each paper was reviewed by at least three members of the program committee. An online discussion was also held for 8 days. Based on this procedure, we accepted a total of 10 full papers, which will be presented in 3 technical sessions. The acceptance criteria were entirely based on the quality of the papers, without imposing any constraint on the number of papers to be accepted. We are delighted to announce an outstanding keynote: Release Engineering in the AI World: How can Analytics Help? By Prof. Bram Adams, Queen’s University, Canada We would like to thank all authors for submitting high quality papers, and program committee members for their timely and accurate reviewing activity. Last, but not least, we would like to thank the FSE 2022 organizers for hosting PROMISE 2022 as a co-located event and for their logistic support in the organization of the conference. We hope you will enjoy PROMISE 2022. We certainly will! Many thanks from Shane McIntosh (General Chair), Gema Rodriguez-Perez and Weiyi Shang (Program Chairs).</t>
  </si>
  <si>
    <t>Artificial Intelligence Meets Software Engineering in Computing Education</t>
  </si>
  <si>
    <t>Proceedings of the 9th Hellenic Conference on Artificial Intelligence</t>
  </si>
  <si>
    <t>Thessaloniki, Greece</t>
  </si>
  <si>
    <t>https://doi.org/10.1145/2903220.2903223;http://dx.doi.org/10.1145/2903220.2903223</t>
  </si>
  <si>
    <t>In this paper we report on the experience of using artificial intelligence systems as the basis of educating IT students in software engineering practices. These systems have been evolving over nearly a dozen years and the process has been generating a steady stream of graduates, at the undergraduate and postgraduate level, whose dissertations and projects demonstrate the strong interplay of artificial intelligence and software engineering. The AI domains where we have applied a software engineering approach for instruction are focused on decision tree lifecycle management and board game learning mechanisms. Quite as importantly, both approaches have also delivered working research tools.</t>
  </si>
  <si>
    <t>programming library, games, object-oriented, decision trees, reinforcement learning, Programming education, neural networks</t>
  </si>
  <si>
    <t>SETN '16</t>
  </si>
  <si>
    <t>SBES '22: Proceedings of the XXXVI Brazilian Symposium on Software Engineering</t>
  </si>
  <si>
    <t>Virtual Event, Brazil</t>
  </si>
  <si>
    <t>137–146</t>
  </si>
  <si>
    <t>Proceedings of the 17th International Conference on Mining Software Repositories</t>
  </si>
  <si>
    <t>https://doi.org/10.1145/3379597.3387459;http://dx.doi.org/10.1145/3379597.3387459</t>
  </si>
  <si>
    <t>Self-admitted technical debt (SATD) is a particular case of Technical Debt (TD) where developers explicitly acknowledge their sub-optimal implementation decisions. Previous studies mine SATD by searching for specific TD-related terms in source code comments. By contrast, in this paper we argue that developers can admit technical debt by other means, e.g., by creating issues in tracking systems and labelling them as referring to TD. We refer to this type of SATD as issue-based SATD or just SATD-I. We study a sample of 286 SATD-I instances collected from five open source projects, including Microsoft Visual Studio and GitLab Community Edition. We show that only 29% of the studied SATD-I instances can be tracked to source code comments. We also show that SATD-I issues take more time to be closed, compared to other issues, although they are not more complex in terms of code churn. Besides, in 45% of the studied issues TD was introduced to ship earlier, and in almost 60% it refers to DESIGN flaws. Finally, we report that most developers pay SATD-I to reduce its costs or interests (66%). Our findings suggest that there is space for designing novel tools to support technical debt management, particularly tools that encourage developers to create and label issues containing TD concerns.</t>
  </si>
  <si>
    <t>MSR '20</t>
  </si>
  <si>
    <t>MaLTeSQuE 2022: Proceedings of the 6th International Workshop on Machine Learning Techniques for Software Quality Evaluation</t>
  </si>
  <si>
    <t>Welcome to the 6th edition of the workshop on Machine Learning Techniques for Software Quality Evaluation (MaLTeSQuE 2022), held in Singapore, on November 18th, 2022, co-located with the 30th ACM Joint Meeting on European Software Engineering Conference and Symposium on the Foundations of Software Engineering (ESEC/FSE 2022). MaLTeSQuE received a total of six submissions from all over the world, from which five papers were included in the program. The program also features two keynotes, by Yuriy Brun and Mike Papadakis, on the promises, dangers, and best practices of working at the intersection of machine learning and software engineering.</t>
  </si>
  <si>
    <t>Declarative Machine Learning Systems: The Future of Machine Learning Will Depend on It Being in the Hands of the Rest of Us</t>
  </si>
  <si>
    <t>Queue</t>
  </si>
  <si>
    <t>46–76</t>
  </si>
  <si>
    <t>1542-7730</t>
  </si>
  <si>
    <t>https://doi.org/10.1145/3475965.3479315;http://dx.doi.org/10.1145/3475965.3479315</t>
  </si>
  <si>
    <t>10.1145/3475965.3479315</t>
  </si>
  <si>
    <t>The people training and using ML models now are typically experienced developers with years of study working within large organizations, but the next wave of ML systems should allow a substantially larger number of people, potentially without any coding skills, to perform the same tasks. These new ML systems will not require users to fully understand all the details of how models are trained and used for obtaining predictions, but will provide them a more abstract interface that is less demanding and more familiar. Declarative interfaces are well-suited for this goal, by hiding complexity and favoring separation of interest, and ultimately leading to increased productivity.</t>
  </si>
  <si>
    <t>Applying Machine Learning in Self-Adaptive Systems: A Systematic Literature Review</t>
  </si>
  <si>
    <t>https://doi.org/10.1145/3469440;http://dx.doi.org/10.1145/3469440</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</si>
  <si>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</si>
  <si>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Self-adaptation, feedback loops, MAPE-K</t>
  </si>
  <si>
    <t>Mosqueira-Rey E,Pereira EH,Alonso-Ríos D,Bobes-Bascarán J</t>
  </si>
  <si>
    <t>A Classification and Review of Tools for Developing and Interacting with Machine Learning Systems</t>
  </si>
  <si>
    <t>1092–1101</t>
  </si>
  <si>
    <t>Proceedings of the 37th ACM/SIGAPP Symposium on Applied Computing</t>
  </si>
  <si>
    <t>https://doi.org/10.1145/3477314.3507310;http://dx.doi.org/10.1145/3477314.3507310</t>
  </si>
  <si>
    <t>10.1145/3477314.3507310</t>
  </si>
  <si>
    <t>In this paper we aim to bring some order to the myriad of tools that have emerged in the field of Artificial Intelligence (AI), focusing on the field of Machine Learning (ML). For this purpose, we suggest a classification of the tools in which the categories are organized following the development lifecycle of an ML system and we make a review of the existing tools within each section of the classification. We believe this will help to better understand the ecosystem of tools currently available and will also allow us to identify niches in which to develop new tools to aid in the development of AI and ML systems. After reviewing the state-of-the-art of the tools, we have identified three trends in them: the incorporation of humans into the loop of the machine learning process, the movement from ad-hoc and experimental approaches to a more engineering perspective and the ability to make it easier to develop intelligent systems for people without an educational background in the area, in order to move the focus from the technical environment to the domain-specific problem.</t>
  </si>
  <si>
    <t>artificial intelligence, machine learning, tools</t>
  </si>
  <si>
    <t>SAC '22</t>
  </si>
  <si>
    <t>On the Use of Time Series and Search Based Software Engineering for Refactoring Recommendation</t>
  </si>
  <si>
    <t>35–42</t>
  </si>
  <si>
    <t>Proceedings of the 7th International Conference on Management of Computational and Collective IntElligence in Digital EcoSystems</t>
  </si>
  <si>
    <t>Caraguatatuba, Brazil</t>
  </si>
  <si>
    <t>https://doi.org/10.1145/2857218.2857224;http://dx.doi.org/10.1145/2857218.2857224</t>
  </si>
  <si>
    <t>To improve the quality of software systems, one of the widely used techniques is refactoring, defined as the process of improving the design of an existing system by changing its internal structure without altering the external behavior. The majority of existing refactoring works do not consider the impact of recommended refactorings on the quality of future releases of a system. In this paper, we propose to combine the use of search-based software engineering with time series to recommend good refactoring strategies in order to manage technical debt. We used a multi-objective algorithm to generate refactoring solutions that maximize the correction of important quality issues and minimize the effort. For these two fitness functions, we adapted time series forecasting to estimate the impact of the generated refactorings solution on future next releases of the system by predicting the evolution of the remaining code smells in the system, after refactoring, using different quality metrics. We evaluated our approach on one industrial project and a benchmark of 4 open source systems. The results confirm the efficiency of our technique to provide better refactoring management comparing to several existing refactoring techniques.</t>
  </si>
  <si>
    <t>data-mining, heuristic search, refactoring</t>
  </si>
  <si>
    <t>MEDES '15</t>
  </si>
  <si>
    <t>ASE '22: Proceedings of the 37th IEEE/ACM International Conference on Automated Software Engineering</t>
  </si>
  <si>
    <t>Rochester, MI, USA</t>
  </si>
  <si>
    <t>ESEM '22: Proceedings of the 16th ACM / IEEE International Symposium on Empirical Software Engineering and Measurement</t>
  </si>
  <si>
    <t>MultiDimEr: A Multi-Dimensional Bug AnalyzEr</t>
  </si>
  <si>
    <t>66–70</t>
  </si>
  <si>
    <t>https://doi.org/10.1145/3524843.3528099;http://dx.doi.org/10.1145/3524843.3528099</t>
  </si>
  <si>
    <t>technical debt, software maintenance, tool support, bug analysis, bug management, bug visualization</t>
  </si>
  <si>
    <t>de Groot J,Nugroho A,Bäck T,Visser J</t>
  </si>
  <si>
    <t>What is the Value of Your Software?</t>
  </si>
  <si>
    <t>37–44</t>
  </si>
  <si>
    <t>Assessment of the economic value of software systems is useful in contexts such as capitalization on the balance sheet and due diligence prior to acquisition. Current accounting practice in determining software value is based on the cost spent in software development. This approach fails to account for the efficiency with which software has been produced or the quality of the product. This paper proposes three alternative models for determining the production value of software, based on the notions of technical debt and interest. We applied the models to 367 proprietary systems developed by a range of different organisations using a range of different programming languages. We present the valuation results and discuss the weaknesses and strengths of the models.</t>
  </si>
  <si>
    <t>software value, capitalization, software quality, technical debt, due diligence</t>
  </si>
  <si>
    <t>Maruf AA,Lambaria N,Abdelfattah AS,Cerny T</t>
  </si>
  <si>
    <t>Using Version Control and Issue Tickets to Detect Code Debt and Economical Cost</t>
  </si>
  <si>
    <t>1208–1209</t>
  </si>
  <si>
    <t>https://doi.org/10.1109/ASE51524.2021.9678532;http://dx.doi.org/10.1109/ASE51524.2021.9678532</t>
  </si>
  <si>
    <t>Despite the fact that there are numerous classifications of technical debt based on various criteria, Code Debt or code smells is a category that appears in the majority of current research. One of the primary causes of code debt is the urgency to deliver software quickly, as well as bad coding practices. Among many approaches, static code analysis has received the most attention in studies to detect code-smell/code debt. However, most of them examine the same programming language, although today's software company utilizes many development stacks with various languages and tools. This problem can be resolved by detecting code debt with Issue/Ticket cards. This paper presents a method for detecting code debt leveraging natural language processing on issue tickets. It also proposes a method for calculating the average amount of time that a code debt was present in the software. This method is implemented utilizing git mining.</t>
  </si>
  <si>
    <t>version control, architectural degradation, code debt, code smell, economical-cost, issue ticket, technical debt</t>
  </si>
  <si>
    <t>Detecting and Explaining Self-Admitted Technical Debts with Attention-Based Neural Networks</t>
  </si>
  <si>
    <t>871–882</t>
  </si>
  <si>
    <t>Proceedings of the 35th IEEE/ACM International Conference on Automated Software Engineering</t>
  </si>
  <si>
    <t>Virtual Event, Australia</t>
  </si>
  <si>
    <t>https://doi.org/10.1145/3324884.3416583;http://dx.doi.org/10.1145/3324884.3416583</t>
  </si>
  <si>
    <t>Self-Admitted Technical Debt (SATD) is a sub-type of technical debt. It is introduced to represent such technical debts that are intentionally introduced by developers in the process of software development. While being able to gain short-term benefits, the introduction of SATDs often requires to be paid back later with a higher cost, e.g., introducing bugs to the software or increasing the complexity of the software.To cope with these issues, our community has proposed various machine learning-based approaches to detect SATDs. These approaches, however, are either not generic that usually require manual feature engineering efforts or do not provide promising means to explain the predicted outcomes. To that end, we propose to the community a novel approach, namely HATD (Hybrid Attention-based method for self-admitted Technical Debt detection), to detect and explain SATDs using attention-based neural networks. Through extensive experiments on 445,365 comments in 20 projects, we show that HATD is effective in detecting SATDs on both in-the-lab and in-the-wild datasets under both within-project and cross-project settings. HATD also outperforms the state-of-the-art approaches in detecting and explaining SATDs.</t>
  </si>
  <si>
    <t>SATD, attention-based neural networks, self-admitted technical debt, word embedding</t>
  </si>
  <si>
    <t>ASE '20</t>
  </si>
  <si>
    <t>https://doi.org/10.1145/3453478;http://dx.doi.org/10.1145/3453478</t>
  </si>
  <si>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t>
  </si>
  <si>
    <t>empirical studies, Machine learning libraries, Software-2.0</t>
  </si>
  <si>
    <t>Schmid K</t>
  </si>
  <si>
    <t>If You Want Better Empirical Research, Value Your Theory: On the Importance of Strong Theories for Progress in Empirical Software Engineering Research</t>
  </si>
  <si>
    <t>359–364</t>
  </si>
  <si>
    <t>https://doi.org/10.1145/3463274.3463360;http://dx.doi.org/10.1145/3463274.3463360</t>
  </si>
  <si>
    <t>10.1145/3463274.3463360</t>
  </si>
  <si>
    <t>Scientific progress comes from creating sound theories. However, current software engineering still mostly falls short of this goal, although its importance is widely accepted. Thus, in this paper, we discuss the importance of a successful interaction of empirical research with a strong theoretical basis and the ramifications this has. In particular, we will extensively discuss the implications on theory building and the empirical vs. theory interaction, etc. While not everything we will discuss is novel, we present a number of insights, which we at least did not see in software engineering literature. We strongly believe that a careful consideration of the insights discussed in this paper has the potential to lead to a significant improvement in software engineering research.</t>
  </si>
  <si>
    <t>Software engineering theories, Managing research knowledge, Hidden concepts, Theory-empirism relation, Theory building, Scientific inquiry cycle</t>
  </si>
  <si>
    <t>Patnaik A,Padhy N</t>
  </si>
  <si>
    <t>Does Code Complexity Affect the Quality of Real-Time Projects? Detection of Code Smell on Software Projects Using Machine Learning Algorithms</t>
  </si>
  <si>
    <t>178–185</t>
  </si>
  <si>
    <t>Proceedings of the International Conference on Data Science, Machine Learning and Artificial Intelligence</t>
  </si>
  <si>
    <t>Windhoek, Namibia</t>
  </si>
  <si>
    <t>https://doi.org/10.1145/3484824.3484911;http://dx.doi.org/10.1145/3484824.3484911</t>
  </si>
  <si>
    <t>10.1145/3484824.3484911</t>
  </si>
  <si>
    <t>Code smell targets to identify bugs that occur due to incorrect analysis of code during software development life cycle. It is the task of analyzing a code design problem. The primary causes of code smell are complexity in structural design, violation of programming paradigm, and lack of unit-level testing by the software programmer. Our research focuses on the identification of code smell using different machine learning classifiers. We have considered 15 software code metrics of the Junit open source project and developed a hybrid model for code smell detection. Our dataset consists of 45 features which is further reduced by 15 using various feature selection techniques. Random sampling is used to handle the imbalance in the dataset. The project's performance is evaluated using 10 machine learning techniques which including regression, ensemble methods, and classification. Based on the statistical analysis, it is analyzed that the Random forest ensemble classifiers give best result with an accuracy of 99.12 % is the most appropriate technique for detecting different types of bad smells like god class, duplicate code, long method, large class, and refused bequest.</t>
  </si>
  <si>
    <t>Code smell, Software Quality, Source Code Metrics, Feature Selection, Machine Learning</t>
  </si>
  <si>
    <t>DSMLAI '21'</t>
  </si>
  <si>
    <t>What If i Had No Smells?</t>
  </si>
  <si>
    <t>78–84</t>
  </si>
  <si>
    <t>Markham, Ontario, Canada</t>
  </si>
  <si>
    <t>Proceedings of the 11th ACM/IEEE International Symposium on Empirical Software Engineering and Measurement</t>
  </si>
  <si>
    <t>https://doi.org/10.1109/ESEM.2017.14;http://dx.doi.org/10.1109/ESEM.2017.14</t>
  </si>
  <si>
    <t>machine learning, software estimation, technical debt, code smells</t>
  </si>
  <si>
    <t>ESEM '17</t>
  </si>
  <si>
    <t>Guamán D,Pérez J,Díaz J</t>
  </si>
  <si>
    <t>Towards a (Semi)-Automatic Reference Process to Support the Reverse Engineering and Reconstruction of Software Architectures</t>
  </si>
  <si>
    <t>Proceedings of the 12th European Conference on Software Architecture: Companion Proceedings</t>
  </si>
  <si>
    <t>https://doi.org/10.1145/3241403.3241414;http://dx.doi.org/10.1145/3241403.3241414</t>
  </si>
  <si>
    <t>10.1145/3241403.3241414</t>
  </si>
  <si>
    <t>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t>
  </si>
  <si>
    <t>machine learning, technical debt, software metrics, reverse engineering, software reconstruction, software architecture, green software</t>
  </si>
  <si>
    <t>ECSA '18</t>
  </si>
  <si>
    <t>Casas P,Mulinka P,Vanerio J</t>
  </si>
  <si>
    <t>Should I (Re)Learn or Should I Go(on)? Stream Machine Learning for Adaptive Defense against Network Attacks</t>
  </si>
  <si>
    <t>79–88</t>
  </si>
  <si>
    <t>Proceedings of the 6th ACM Workshop on Moving Target Defense</t>
  </si>
  <si>
    <t>London, United Kingdom</t>
  </si>
  <si>
    <t>https://doi.org/10.1145/3338468.3356829;http://dx.doi.org/10.1145/3338468.3356829</t>
  </si>
  <si>
    <t>10.1145/3338468.3356829</t>
  </si>
  <si>
    <t>Continuous, dynamic and short-term learning is an effective learning strategy when operating in dynamic and adversarial environments, where concept drift constantly occurs and attacks rapidly change over time. In an on-line, stream learning model, data arrives as a stream of sequentially ordered samples, and older data is no longer available to revise earlier suboptimal modeling decisions as the fresh data arrives. Stream approaches work in a limited amount of time, and have the advantage to perform predictions at any point in time during the stream. We focus on a particularly challenging problem, that of continually learning detection models capable to recognize cyber-attacks and system intrusions in a highly dynamic and adversarial environment such as the open Internet. We consider adaptive learning algorithms for the analysis of continuously evolving network data streams, using (dynamic) sliding windows -- representing the system memory, to periodically re-learn, automatically adapting to concept drifts in the underlying data. By continuously learning and detecting concept drifts to adapt memory length, we show that adaptive learning algorithms can realize high detection accuracy of evolving network attacks over dynamic network data streams.</t>
  </si>
  <si>
    <t>concept drift, continual learning, network attacks, stream learning</t>
  </si>
  <si>
    <t>MTD'19</t>
  </si>
  <si>
    <t>256–260</t>
  </si>
  <si>
    <t>Proceedings of the ACM/IEEE 44th International Conference on Software Engineering: Companion Proceedings</t>
  </si>
  <si>
    <t>https://doi.org/10.1145/3510454.3517055;http://dx.doi.org/10.1145/3510454.3517055</t>
  </si>
  <si>
    <t>The massive trend of integrating data-driven AI capabilities into traditional software systems is rising new intriguing challenges. One of such challenges is achieving a smooth transition from the explorative phase of Machine Learning projects - in which data scientists build prototypical models in the lab - to their production phase - in which software engineers translate prototypes into production-ready AI components. To narrow down the gap between these two phases, tools and practices adopted by data scientists might be improved by incorporating consolidated software engineering solutions. In particular, computational notebooks have a prominent role in determining the quality of data science prototypes. In my research project, I address this challenge by studying the best practices for collaboration with computational notebooks and proposing proof-of-concept tools to foster guidelines compliance.</t>
  </si>
  <si>
    <t>linters, data science, software engineering, machine learning, static analysis tools, artificial intelligence, computational notebooks</t>
  </si>
  <si>
    <t>ICSE '22</t>
  </si>
  <si>
    <t>Profiling Developers to Predict Vulnerable Code Changes</t>
  </si>
  <si>
    <t>32–41</t>
  </si>
  <si>
    <t>Proceedings of the 18th International Conference on Predictive Models and Data Analytics in Software Engineering</t>
  </si>
  <si>
    <t>https://doi.org/10.1145/3558489.3559069;http://dx.doi.org/10.1145/3558489.3559069</t>
  </si>
  <si>
    <t>Software vulnerability prediction and management have caught the interest of researchers and practitioners, recently. Various techniques that are usually based on characteristics of the code artefacts are also offered to predict software vulnerabilities. While other studies achieve promising results, the role of developers in inducing vulnerabilities has not been studied yet. We aim to profile the vulnerability inducing and vulnerability fixing behaviors of developers in software projects using Heterogeneous Information Network (HIN) analysis. We also investigate the impact of developer profiles in predicting vulnerability inducing commits, and compare the findings against the approach based on the code metrics. We adopt Random Walk with Restart (RWR) algorithm on HIN and the aggregation of code metrics for extracting all the input features. We utilize traditional machine learning algorithms namely, Naive Bayes (NB), Support Vector Machine (SVM), Random Forest (RF) and eXtreme Gradient Boosting (XGBoost) to build the prediction models.We report our empirical analysis to predict vulnerability inducing commits of four Apache projects. The technique based on code metrics achieves 90% success for the recall measure, whereas the technique based on profiling developer behavior achieves 71% success. When we use the feature sets obtained with the two techniques together, we achieve 89% success.</t>
  </si>
  <si>
    <t>vulnerability, vulnerability prediction, profiling developers, technical debt</t>
  </si>
  <si>
    <t>PROMISE 2022</t>
  </si>
  <si>
    <t>546–547</t>
  </si>
  <si>
    <t>https://doi.org/10.1145/3183440.3183460;http://dx.doi.org/10.1145/3183440.3183460</t>
  </si>
  <si>
    <t>10.1145/3183440.3183460</t>
  </si>
  <si>
    <t>code quality, software maintenance, technical debt, antipatterns, smell detection tools, software quality, code smells</t>
  </si>
  <si>
    <t>Developing ML/DL Models: A Design Framework</t>
  </si>
  <si>
    <t>https://doi.org/10.1145/3379177.3388892;http://dx.doi.org/10.1145/3379177.3388892</t>
  </si>
  <si>
    <t>Artificial Intelligence is becoming increasingly popular with organizations due to the success of Machine Learning and Deep Learning techniques. Using these techniques, data scientists learn from vast amounts of data to enhance behaviour in software-intensive systems. Despite the attractiveness of these techniques, however, there is a lack of systematic and structured design process for developing ML/DL models. The study uses a multiple-case study approach to explore the different activities and challenges data scientists face when developing ML/DL models in software-intensive embedded systems. In addition, we have identified seven different phases in the proposed design process leading to effective model development based on the case study. Iterations identified between phases and events which trigger these iterations optimize the design process for ML/DL models. Lessons learned from this study allow data scientists and engineers to develop high-performance ML/DL models and also bridge the gap between high demand and low supply of data scientists.</t>
  </si>
  <si>
    <t>Software Engineering, Machine Learning, Design, Artificial Intelligence, Deep Learning</t>
  </si>
  <si>
    <t>Izmailov R,Lin P,Venkatesan S,Sugrim S</t>
  </si>
  <si>
    <t>Combinatorial Boosting of Classifiers for Moving Target Defense Against Adversarial Evasion Attacks</t>
  </si>
  <si>
    <t>13–21</t>
  </si>
  <si>
    <t>Proceedings of the 8th ACM Workshop on Moving Target Defense</t>
  </si>
  <si>
    <t>Virtual Event, Republic of Korea</t>
  </si>
  <si>
    <t>https://doi.org/10.1145/3474370.3485661;http://dx.doi.org/10.1145/3474370.3485661</t>
  </si>
  <si>
    <t>10.1145/3474370.3485661</t>
  </si>
  <si>
    <t>Adversarial evasion attacks challenge the integrity of machine learning models by creating out-of-distribution samples that are consistently misclassified by these models. While a variety of detection and mitigation approaches have been proposed, they are typically defeated by designing even more sophisticated attacks. One of the most promising group of such approaches is based on creating multiple diversified machine learning models and leveraging their ensemble properties for detection and mitigation of adversarial attacks in a dynamic moving target'' fashion. However, an efficient implementation of such approaches imposes heavy computation cost for designing and enforcing diversity of multiple classifiers and then training a significant number of them. This paper proposes a scalable modification of dynamic ensemble approach that provides (i) a combinatorial boosting of the number of diversified classifiers which provides an exponentially expanded scope of reliable decisions for dynamic moving target'' defense, and (ii) robust methods for fusion of ensemble decisions of the resulting classifiers and their combinations towards enhanced confidence in classification decisions in both benign and adversarial scenarios. Two versions of the approach were implemented and tested for machine learning models operating in two different modalities (network intrusion detection and color image classification). Both show significant increase of resiliency against adversarial evasion attacks with moderate to low impact on benign performance of defended machine learning model. For network modality, different versions of approach improved the benign accuracy from 98% to 100% while raising the adversarial accuracy from 0% to 90%-95%; for image modality, benign accuracy remained at the same level of 90% while the adversarial accuracy improved from 0% to about 85%.</t>
  </si>
  <si>
    <t>adversarial examples, intrusion detection, machine learning classifier, supervised machine learning, evasion attack, adversarial evasion attack, image classification</t>
  </si>
  <si>
    <t>MTD '21</t>
  </si>
  <si>
    <t>Cai Y,Kazman R</t>
  </si>
  <si>
    <t>DV8: Automated Architecture Analysis Tool Suites</t>
  </si>
  <si>
    <t>53–54</t>
  </si>
  <si>
    <t>https://doi.org/10.1109/TechDebt.2019.00015;http://dx.doi.org/10.1109/TechDebt.2019.00015</t>
  </si>
  <si>
    <t>10.1109/TechDebt.2019.00015</t>
  </si>
  <si>
    <t>I. Purpose of the ToolAlthough software measurement and source code analysis techniques have been researched for decades, making project decisions that have significant economic impact---especially decisions about technical debt and refactoring---is still a challenge for management and development teams. Development teams feel the increasing challenges of maintenance as the architecture degrades, and often have intuitions about where the problems are, but have difficulty pinpointing which files are problematic and why. It is still a challenge for the development teams to quantify their projects' maintenance problems---their debts---as a way of justifying the investment in refactoring.Here we present our tool suite called DV81.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t>
  </si>
  <si>
    <t>software architecture, software quality, software maintenance</t>
  </si>
  <si>
    <t>How Far Have We Progressed in Identifying Self-Admitted Technical Debts? A Comprehensive Empirical Study</t>
  </si>
  <si>
    <t>https://doi.org/10.1145/3447247;http://dx.doi.org/10.1145/3447247</t>
  </si>
  <si>
    <t>Background. Self-admitted technical debt (SATD) is a special kind of technical debt that is intentionally introduced and remarked by code comments. Those technical debts reduce the quality of software and increase the cost of subsequent software maintenance. Therefore, it is necessary to find out and resolve these debts in time. Recently, many automatic approaches have been proposed to identify SATD. Problem. Popular IDEs support a number of predefined task annotation tags for indicating SATD in comments, which have been used in many projects. However, such clear prior knowledge is neglected by existing SATD identification approaches when identifying SATD. Objective. We aim to investigate how far we have really progressed in the field of SATD identification by comparing existing approaches with a simple approach that leverages the predefined task tags to identify SATD. Method. We first propose a simple heuristic approach that fuzzily Matches task Annotation Tags (MAT) in comments to identify SATD. In nature, MAT is an unsupervised approach, which does not need any data to train a prediction model and has a good understandability. Then, we examine the real progress in SATD identification by comparing MAT against existing approaches. Result. The experimental results reveal that: (1) MAT has a similar or even superior performance for SATD identification compared with existing approaches, regardless of whether non-effort-aware or effort-aware evaluation indicators are considered; (2) the SATDs (or non-SATDs) correctly identified by existing approaches are highly overlapped with those identified by MAT; and (3) supervised approaches misclassify many SATDs marked with task tags as non-SATDs, which can be easily corrected by their combinations with MAT. Conclusion. It appears that the problem of SATD identification has been (unintentionally) complicated by our community, i.e., the real progress in SATD comments identification is not being achieved as it might have been envisaged. We hence suggest that, when many task tags are used in the comments of a target project, future SATD identification studies should use MAT as an easy-to-implement baseline to demonstrate the usefulness of any newly proposed approach.</t>
  </si>
  <si>
    <t>code comment, task annotation tag, baseline, match, Self-admitted technical debt</t>
  </si>
  <si>
    <t>van der Goes M</t>
  </si>
  <si>
    <t>Scaling Enterprise Recommender Systems for Decentralization</t>
  </si>
  <si>
    <t>592–594</t>
  </si>
  <si>
    <t>Proceedings of the 15th ACM Conference on Recommender Systems</t>
  </si>
  <si>
    <t>Amsterdam, Netherlands</t>
  </si>
  <si>
    <t>https://doi.org/10.1145/3460231.3474616;http://dx.doi.org/10.1145/3460231.3474616</t>
  </si>
  <si>
    <t>Within decentralized organizations, the local demand for recommender systems to support business processes grows. The diversity in data sources and infrastructure challenges central engineering teams. Achieving a high delivery velocity without technical debt requires a scalable approach in the development and operations of recommender systems. At the HEINEKEN Company, we execute a machine learning operations method with five best practices: pipeline automation, data availability, exchangeable artifacts, observability, and policy-based security. Creating a culture of self-service, automation, and collaboration to scale recommender systems for decentralization. We demonstrate a practical use case of a self-service ML workspace deployment and a recommender system, that scale faster to subsidiaries and with less technical debt. This enables HEINEKEN to globally support applications that generate insights with local business impact.</t>
  </si>
  <si>
    <t>software engineering, automation, collaboration, mlops, self-service</t>
  </si>
  <si>
    <t>RecSys '21</t>
  </si>
  <si>
    <t>A Preliminary Study on the Adequacy of Static Analysis Warnings with Respect to Code Smell Prediction</t>
  </si>
  <si>
    <t>Proceedings of the 4th ACM SIGSOFT International Workshop on Machine-Learning Techniques for Software-Quality Evaluation</t>
  </si>
  <si>
    <t>Virtual, USA</t>
  </si>
  <si>
    <t>https://doi.org/10.1145/3416505.3423559;http://dx.doi.org/10.1145/3416505.3423559</t>
  </si>
  <si>
    <t>Code smells are poor implementation choices applied during software evolution that can affect source code maintainability. While several heuristic-based approaches have been proposed in the past, machine learning solutions have recently gained attention since they may potentially address some limitations of state-of-the-art approaches. Unfortunately, however, machine learning-based code smell detectors still suffer from low accuracy. In this paper, we aim at advancing the knowledge in the field by investigating the role of static analysis warnings as features of machine learning models for the detection of three code smell types. We first verify the potential contribution given by these features. Then, we build code smell prediction models exploiting the most relevant features coming from the first analysis. The main finding of the study reports that the warnings given by the considered tools lead the performance of code smell prediction models to drastically increase with respect to what reported by previous research in the field.</t>
  </si>
  <si>
    <t>Code Smells, Static Analysis Tools, Machine Learning</t>
  </si>
  <si>
    <t>MaLTeSQuE 2020</t>
  </si>
  <si>
    <t>1–7</t>
  </si>
  <si>
    <t>Proceedings of the 5th International Workshop on Realizing Artificial Intelligence Synergies in Software Engineering</t>
  </si>
  <si>
    <t>https://doi.org/10.1145/2896995.2896999;http://dx.doi.org/10.1145/2896995.2896999</t>
  </si>
  <si>
    <t>Identifying and fixing of defects is part of software maintenance activities. However, due to tight budget and schedule, software development teams may not resolve all the existing bugs in the issue tracking systems. The trade-off between the short-term benefit of postponing bug fixing activities and long-term consequence of delaying those activities is interpreted as defect debt. The accumulation of defect debt in the issue tracking system might cause system bankruptcy. Therefore, there is a necessity for software project managers to measure and monitor defect debts. In this study, we categorized the bugs into regular bugs and debt prone bugs and employed the historical data from regular bugs to train a prediction model for estimating the principal for debt prone bugs. The principal for the regular bug is equivalent to a standard amount of time to fix them. There are studies in the literature that predict bug fixing time as a classification. We proposed KNN-regression to predict the standard time for bug fixing time (principal). We performed an empirical study on both commercial and open source projects to investigate the feasibility of our model. The results showed that KNN-regression outperformed the simple linear regression with the predictive power (R2) ranges between 74% to 85 %.</t>
  </si>
  <si>
    <t>bug fixing time, measuring the technical debt, KNN-regression, defect debt</t>
  </si>
  <si>
    <t>RAISE '16</t>
  </si>
  <si>
    <t>MLOps: Five Steps to Guide Its Effective Implementation</t>
  </si>
  <si>
    <t>33–34</t>
  </si>
  <si>
    <t>https://doi.org/10.1145/3522664.3528611;http://dx.doi.org/10.1145/3522664.3528611</t>
  </si>
  <si>
    <t>DevOps practices have increasingly been applied to software development and engineering, as well as the machine learning lifecycle - in a process also known as MLOps. Today, many companies and professionals have been working and writing on this topic. However, in the academic and scientific literature, few results can be found on MLOps and how to implement it efficiently. This paper presents five essential steps to guide the understanding and practice of MLOps, which, based on the authors' research and experience, can assist in its effective implementation. The study aims to serve as a reference guide for all those who wish to learn more about the topic and intend to implement MLOps practices in the development of their systems.</t>
  </si>
  <si>
    <t>DevOps, development, MLOps, model, machine learning</t>
  </si>
  <si>
    <t>Azadi U,Fontana FA,Taibi D</t>
  </si>
  <si>
    <t>Architectural Smells Detected by Tools: A Catalogue Proposal</t>
  </si>
  <si>
    <t>88–97</t>
  </si>
  <si>
    <t>https://doi.org/10.1109/TechDebt.2019.00027;http://dx.doi.org/10.1109/TechDebt.2019.00027</t>
  </si>
  <si>
    <t>10.1109/TechDebt.2019.00027</t>
  </si>
  <si>
    <t>Architectural smells can negatively impact on different software qualities and can represent a relevant source of architectural debt. Several architectural smells have been defined by different researchers. Moreover, both academia and industry proposed several tools for software quality analysis, but it is not always clear to understand which tools provide also support for architectural smells detection and if the tools developed for this specific purpose are effectively available or not. In this paper we propose a catalogue of architectural smells for which, at least one tool able to detect the smell exists. We outline the main differences in the detection techniques exploited by the tools and we propose a classification of these architectural smells according to the violation of three design principles.</t>
  </si>
  <si>
    <t>architectural debt, architectural smells detection, architectural smells catalogue, architectural smells</t>
  </si>
  <si>
    <t>Proceedings of the ACM/IEEE 44th International Conference on Software Engineering: New Ideas and Emerging Results</t>
  </si>
  <si>
    <t>https://doi.org/10.1145/3510455.3512773;http://dx.doi.org/10.1145/3510455.3512773</t>
  </si>
  <si>
    <t>Meeting the rise of industry demand to incorporate machine learning (ML) components into software systems requires interdisciplinary teams contributing to a shared code base. To maintain consistency, reduce defects and ensure maintainability, developers use code analysis tools to aid them in identifying defects and maintaining standards. With the inclusion of machine learning, tools must account for the cultural differences within the teams which manifests as multiple programming languages, and conflicting definitions and objectives. Existing tools fail to identify these cultural differences and are geared towards software engineering which reduces their adoption in ML projects. In our approach we attempt to resolve this problem by exploring the use of context which includes i) purpose of the source code, ii) technical domain, iii) problem domain, iv) team norms, v) operational environment, and vi) development lifecycle stage to provide contextualised error reporting for code analysis. To demonstrate our approach, we adapt Pylint as an example and apply a set of contextual transformations to the linting results based on the domain of individual project files under analysis. This allows for contextualised and meaningful error reporting for the end user.</t>
  </si>
  <si>
    <t>code smells, machine learning, context-aware</t>
  </si>
  <si>
    <t>ICSE-NIER '22</t>
  </si>
  <si>
    <t>Chandra T</t>
  </si>
  <si>
    <t>Regressing Towards Simpler Prediction Systems</t>
  </si>
  <si>
    <t>335–336</t>
  </si>
  <si>
    <t>Proceedings of the Eighth ACM International Conference on Web Search and Data Mining</t>
  </si>
  <si>
    <t>Shanghai, China</t>
  </si>
  <si>
    <t>https://doi.org/10.1145/2684822.2697045;http://dx.doi.org/10.1145/2684822.2697045</t>
  </si>
  <si>
    <t>10.1145/2684822.2697045</t>
  </si>
  <si>
    <t>This talk will focus on our experience in managing the complexity of Sibyl, a large scale machine learning system that is widely used within Google. We believe that a large fraction of the challenges faced by Sibyl are inherent to large scale production machine learning and that other production systems are likely to encounter them as well [1]. Thus, these challenges present interesting opportunities for future research. The Sibyl system is complex for a number of reasons. We have learnt that a complete end-to-end machine learning solution has to have subsystems to address a variety of different needs: data ingestion, data analysis, data verification, experimentation, model analysis, model serving, configuration, data transformations, support for different kinds of loss functions and modeling, machine learning algorithm implementations, etc. Machine learning algorithms themselves constitute a relatively small fraction of the overall system.Each subsystem consists of a number of distinct components to support the variety of product needs. For example, Sibyl supports more than 5 different model serving systems, each with its own idiosyncrasies and challenges. In addition, Sibyl configuration contains more lines of code than the core Sibyl learner itself. Finally existing solutions for some of the challenges don't feel adequate and we believe these challenges present opportunities for future research.Though the overall system is complex, our users need to be able to deploy solutions quickly. This is because a machine learning deployment is typically an iterative process of model improvements. At each iteration, our users experiment with new features, find those that improve the model's prediction capability, and then launch a new model with those improved features. A user may go through 10 or more such productive launches. Not only is speed of iteration crucial to our users, but they are often willing to sacrifice the improved prediction quality of a high quality but cumbersome system for the speed of iteration of a lower quality but nimble system.In this talk I will give an example of how simplification drives systems design and sometimes the design of novel algorithms.</t>
  </si>
  <si>
    <t>machine learning</t>
  </si>
  <si>
    <t>WSDM '15</t>
  </si>
  <si>
    <t>55–64</t>
  </si>
  <si>
    <t>Proceedings of the 40th International Conference on Software Engineering: Software Engineering in Practice</t>
  </si>
  <si>
    <t>https://doi.org/10.1145/3183519.3183529;http://dx.doi.org/10.1145/3183519.3183529</t>
  </si>
  <si>
    <t>10.1145/3183519.3183529</t>
  </si>
  <si>
    <t>Context: Databases are an integral element of enterprise applications. Similarly to code, database schemas are also prone to smells - best practice violations.Objective: We aim to explore database schema quality, associated characteristics and their relationships with other software artifacts.Method: We present a catalog of 13 database schema smells and elicit developers' perspective through a survey. We extract embedded sql statements and identify database schema smells by employing the DbDeo tool which we developed. We analyze 2925 production-quality systems (357 industrial and 2568 well-engineered open-source projects) and empirically study quality characteristics of their database schemas. In total, we analyze 629 million lines of code containing more than 393 thousand sql statements.Results: We find that the index abuse smell occurs most frequently in database code, that the use of an orm framework doesn't immune the application from database smells, and that some database smells, such as adjacency list, are more prone to occur in industrial projects compared to open-source projects. Our co-occurrence analysis shows that whenever the clone table smell in industrial projects and the values in attribute definition smell in open-source projects get spotted, it is very likely to find other database smells in the project.Conclusion: The awareness and knowledge of database smells are crucial for developing high-quality software systems and can be enhanced by the adoption of better tools helping developers to identify database smells early.</t>
  </si>
  <si>
    <t>antipatterns, software quality, software maintenance, technical debt, database schema smells, code smells</t>
  </si>
  <si>
    <t>ICSE-SEIP '18</t>
  </si>
  <si>
    <t>Yang C,Brower-Sinning RA,Lewis G,KÄStner C</t>
  </si>
  <si>
    <t>Data Leakage in Notebooks: Static Detection and Better Processes</t>
  </si>
  <si>
    <t>Proceedings of the 37th IEEE/ACM International Conference on Automated Software Engineering</t>
  </si>
  <si>
    <t>https://doi.org/10.1145/3551349.3556918;http://dx.doi.org/10.1145/3551349.3556918</t>
  </si>
  <si>
    <t>10.1145/3551349.3556918</t>
  </si>
  <si>
    <t>Data science pipelines to train and evaluate models with machine learning may contain bugs just like any other code. Leakage between training and test data can lead to overestimating the model’s accuracy during offline evaluations, possibly leading to deployment of low-quality models in production. Such leakage can happen easily by mistake or by following poor practices, but may be tedious and challenging to detect manually. We develop a static analysis approach to detect common forms of data leakage in data science code. Our evaluation shows that our analysis accurately detects data leakage and that such leakage is pervasive among over 100,000 analyzed public notebooks. We discuss how our static analysis approach can help both practitioners and educators, and how leakage prevention can be designed into the development process.</t>
  </si>
  <si>
    <t>ASE '22</t>
  </si>
  <si>
    <t>Porru S,Murgia A,Demeyer S,Marchesi M,Tonelli R</t>
  </si>
  <si>
    <t>Estimating Story Points from Issue Reports</t>
  </si>
  <si>
    <t>Proceedings of the The 12th International Conference on Predictive Models and Data Analytics in Software Engineering</t>
  </si>
  <si>
    <t>Ciudad Real, Spain</t>
  </si>
  <si>
    <t>https://doi.org/10.1145/2972958.2972959;http://dx.doi.org/10.1145/2972958.2972959</t>
  </si>
  <si>
    <t>10.1145/2972958.2972959</t>
  </si>
  <si>
    <t>Estimating the effort of software engineering tasks is notoriously hard but essential for project planning. The agile community often adopts issue reports to describe tasks, and story points to estimate task effort. In this paper, we propose a machine learning classifier for estimating the story points required to address an issue. Through empirical evaluation on one industrial project and eight open source projects, we demonstrate that such classifier is feasible. We show that ---after an initial training on over 300 issue reports--- the classifier estimates a new issue in less than 15 seconds with a mean magnitude of relative error between 0.16 and 0.61. In addition, issue type, summary, description, and related components prove to be project dependent features pivotal for story point estimation.</t>
  </si>
  <si>
    <t>story points, agile, Machine learning, issue report</t>
  </si>
  <si>
    <t>PROMISE 2016</t>
  </si>
  <si>
    <t>Pinheiro D,Bezerra CI,Uchoa A</t>
  </si>
  <si>
    <t>How Do Trivial Refactorings Affect Classification Prediction Models?</t>
  </si>
  <si>
    <t>81–90</t>
  </si>
  <si>
    <t>Proceedings of the 16th Brazilian Symposium on Software Components, Architectures, and Reuse</t>
  </si>
  <si>
    <t>Uberlandia, Brazil</t>
  </si>
  <si>
    <t>https://doi.org/10.1145/3559712.3559720;http://dx.doi.org/10.1145/3559712.3559720</t>
  </si>
  <si>
    <t>Refactoring is defined as a transformation that changes the internal structure of the source code without changing the external behavior. Keeping the external behavior means that after applying the refactoring activity, the software must produce the same output as before the activity. The refactoring activity can bring several benefits, such as: removing code with low structural quality, avoiding or reducing technical debt, improving code maintainability, reuse or readability. In this way, the benefits extend to internal and external quality attributes. The literature on software refactoring suggests carrying out studies that invest in improving automated solutions for detecting and correcting refactoring. Furthermore, few studies investigate the influence that a less complex type of refactoring can have on predicting more complex refactorings. This paper investigates how less complex (trivial) refactorings affect the prediction of more complex (non-trivial) refactorings. To do this, we classify refactorings based on their triviality, extract metrics from the code, contextualize the data and train machine learning algorithms to investigate the effect caused. Our results suggest that: (i) machine learning with tree-based models (Random Forest and Decision Tree) performed very well when trained with code metrics to detect refactorings; (ii) separating trivial from non-trivial refactorings into different classes resulted in a more efficient model, indicative of improving the accuracy of automated solutions based on machine learning; and, (iii) using balancing techniques that increase or decrease samples randomly is not the best strategy to improve datasets composed of code metrics.</t>
  </si>
  <si>
    <t>refactoring, machine learning, software quality</t>
  </si>
  <si>
    <t>SBCARS '22</t>
  </si>
  <si>
    <t>Aniche M,Yoder JW,Kon F</t>
  </si>
  <si>
    <t>113–116</t>
  </si>
  <si>
    <t>Proceedings of the 41st International Conference on Software Engineering: New Ideas and Emerging Results</t>
  </si>
  <si>
    <t>https://doi.org/10.1109/ICSE-NIER.2019.00037;http://dx.doi.org/10.1109/ICSE-NIER.2019.00037</t>
  </si>
  <si>
    <t>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metrics.Finally, we propose an agenda for future research that should be tackled by both scientists and practitioners soon. This paper is a call for arms for more reality-oriented research on the object-oriented software design field.</t>
  </si>
  <si>
    <t>software engineering, object-oriented programming, software architecture, domain modeling, class design, software design, object-oriented design</t>
  </si>
  <si>
    <t>ICSE-NIER '19</t>
  </si>
  <si>
    <t>Mapping Architectural Decay Instances to Dependency Models</t>
  </si>
  <si>
    <t>39–46</t>
  </si>
  <si>
    <t>San Francisco, California</t>
  </si>
  <si>
    <t>Proceedings of the 4th International Workshop on Managing Technical Debt</t>
  </si>
  <si>
    <t>The architectures of software systems tend to drift or erode as they are maintained and evolved. These systems often develop architectural decay instances, which are instances of design decisions that negatively impact a system's lifecycle properties and are the analog to code-level decay instances that are potential targets for refactoring. While code-level decay instances are based on source-level constructs, architectural decay instances are based on higher levels of abstractions, such as components and connectors, and related concepts, such as concerns. Unlike code-level decay instances, architectural decay usually has more significant consequences. Not being able to detect or address architectural decay in time incurs architecture debt that may result in a higher penalty in terms of quality and maintainability (interest) over time. To facilitate architecture debt detection, in this paper, we demonstrate the possibility of transforming architectural models and concerns into an extended augmented constraint network (EACN), which can uniformly model the constraints among design decisions and environmental conditions. From an ACN, a pairwise-dependency relation (PWDR) can be derived, which, in turn, can be used to automatically and uniformly detect architectural decay instances.</t>
  </si>
  <si>
    <t>MTD '13</t>
  </si>
  <si>
    <t>Storey MA,Zagalsky A</t>
  </si>
  <si>
    <t>Disrupting Developer Productivity One Bot at a Time</t>
  </si>
  <si>
    <t>928–931</t>
  </si>
  <si>
    <t>Proceedings of the 2016 24th ACM SIGSOFT International Symposium on Foundations of Software Engineering</t>
  </si>
  <si>
    <t>Seattle, WA, USA</t>
  </si>
  <si>
    <t>https://doi.org/10.1145/2950290.2983989;http://dx.doi.org/10.1145/2950290.2983989</t>
  </si>
  <si>
    <t>10.1145/2950290.2983989</t>
  </si>
  <si>
    <t>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reflect on the impact of Bots in software development on productivity. Finally, we consider challenges that Bots may bring and propose some directions for future research.</t>
  </si>
  <si>
    <t>Human computer interaction, computer supported collaborative work, productivity, software engineering</t>
  </si>
  <si>
    <t>FSE 2016</t>
  </si>
  <si>
    <t>1386–1397</t>
  </si>
  <si>
    <t>https://doi.org/10.1109/ICSE43902.2021.00125;http://dx.doi.org/10.1109/ICSE43902.2021.00125</t>
  </si>
  <si>
    <t>In finance, leverage is the ratio between assets borrowed from others and one's own assets. A matching situation is present in software: by using free open-source software (FOSS) libraries a developer leverages on other people's code to multiply the offered functionalities with a much smaller own codebase. In finance as in software, leverage magnifies profits when returns from borrowing exceed costs of integration, but it may also magnify losses, in particular in the presence of security vulnerabilities. We aim to understand the level of technical leverage in the FOSS ecosystem and whether it can be a potential source of security vulnerabilities. Also, we introduce two metrics change distance and change direction to capture the amount and the evolution of the dependency on third-party libraries.The application of the proposed metrics on 8494 distinct library versions from the FOSS Maven-based Java libraries shows that small and medium libraries (less than 100KLoC) have disproportionately more leverage on FOSS dependencies in comparison to large libraries. We show that leverage pays off as leveraged libraries only add a 4% delay in the time interval between library releases while providing four times more code than their own. However, libraries with such leverage (i.e., 75% of libraries in our sample) also have 1.6 higher odds of being vulnerable in comparison to the libraries with lower leverage.We provide an online demo for computing the proposed metrics for real-world software libraries available under the following URL: https://techleverage.eu/.</t>
  </si>
  <si>
    <t>free open source software, software security, maven, vulnerabilities, technical debt, empirical analysis, dependencies, leverage</t>
  </si>
  <si>
    <t>220–231</t>
  </si>
  <si>
    <t>https://doi.org/10.1145/3379597.3387457;http://dx.doi.org/10.1145/3379597.3387457</t>
  </si>
  <si>
    <t>Code smells are symptoms of poor implementation choices applied during software evolution. While previous research has devoted effort in the definition of automated solutions to detect them, still little is known on how to support developers when prioritizing them. Some works attempted to deliver solutions that can rank smell instances based on their severity, computed on the basis of software metrics. However, this may not be enough since it has been shown that the recommendations provided by current approaches do not take the developer's perception of design issues into account. In this paper, we perform a first step toward the concept of developer-driven code smell prioritization and propose an approach based on machine learning able to rank code smells according to the perceived criticality that developers assign to them. We evaluate our technique in an empirical study to investigate its accuracy and the features that are more relevant for classifying the developer's perception. Finally, we compare our approach with a state-of-the-art technique. Key findings show that the our solution has an F-Measure up to 85% and outperforms the baseline approach.</t>
  </si>
  <si>
    <t>Empirical Software Engineering, Code smells, Machine Learning for Software Engineering</t>
  </si>
  <si>
    <t>81–92</t>
  </si>
  <si>
    <t>https://doi.org/10.1145/3379597.3387448;http://dx.doi.org/10.1145/3379597.3387448</t>
  </si>
  <si>
    <t>Despite all of the power that machine learning and artificial intelligence (AI) models bring to applications, much of AI development is currently a fairly ad hoc process. Software engineering and AI development share many of the same languages and tools, but AI development as an engineering practice is still in early stages. Mining software repositories of AI models enables insight into the current state of AI development. However, much of the relevant metadata around models are not easily extractable directly from repositories and require deduction or domain knowledge. This paper presents a library called AIMMX that enables simplified AI Model Metadata eXtraction from software repositories. The extractors have five modules for extracting AI model-specific metadata: model name, associated datasets, references, AI frameworks used, and model domain. We evaluated AIMMX against 7,998 open-source models from three sources: model zoos, arXiv AI papers, and state-of-the-art AI papers. Our platform extracted metadata with 87% precision and 83% recall. As preliminary examples of how AI model metadata extraction enables studies and tools to advance engineering support for AI development, this paper presents an exploratory analysis for data and method reproducibility over the models in the evaluation dataset and a catalog tool for discovering and managing models. Our analysis suggests that while data reproducibility may be relatively poor with 42% of models in our sample citing their datasets, method reproducibility is more common at 72% of models in our sample, particularly state-of-the-art models. Our collected models are searchable in a catalog that uses existing metadata to enable advanced discovery features for efficiently finding models.</t>
  </si>
  <si>
    <t>Artificial Intelligence, Model Metadata, Machine Learning, Model Catalog, Model Mining, Metadata Extraction</t>
  </si>
  <si>
    <t>Project Smells: Experiences in Analysing the Software Quality of ML Projects with Mllint</t>
  </si>
  <si>
    <t>211–220</t>
  </si>
  <si>
    <t>https://doi.org/10.1145/3510457.3513041;http://dx.doi.org/10.1145/3510457.3513041</t>
  </si>
  <si>
    <t>context-aware, project smells, dependency management, software quality, Python, code smells, machine learning, mllint, static analysis</t>
  </si>
  <si>
    <t>Abdelnabi S,Fritz M</t>
  </si>
  <si>
    <t>What's in the Box: Deflecting Adversarial Attacks by Randomly Deploying Adversarially-Disjoint Models</t>
  </si>
  <si>
    <t>3–12</t>
  </si>
  <si>
    <t>https://doi.org/10.1145/3474370.3485659;http://dx.doi.org/10.1145/3474370.3485659</t>
  </si>
  <si>
    <t>10.1145/3474370.3485659</t>
  </si>
  <si>
    <t>Machine learning models are now widely deployed in real-world applications. However, the existence of adversarial examples has been long considered a real threat to such models. While numerous defenses aiming to improve the robustness have been proposed, many have been shown ineffective. As these vulnerabilities are still nowhere near being eliminated, we propose an alternative deployment-based defense paradigm that goes beyond the traditional white-box and black-box threat models. Instead of training and deploying a single partially-robust model, one could train a set of same-functionality, yet, adversarially-disjoint models with minimal in-between attack transferability. These models could then be randomly and individually deployed, such that accessing one of them minimally affects the others. Our experiments on CIFAR-10 and a wide range of attacks show that we achieve a significantly lower attack transferability across our disjoint models compared to a baseline of ensemble diversity. In addition, compared to an adversarially trained set, we achieve a higher average robust accuracy while maintaining the accuracy of clean examples.</t>
  </si>
  <si>
    <t>randomized defenses, adversarial attacks, neural networks robustness</t>
  </si>
  <si>
    <t>Almarimi N,Ouni A,Chouchen M,Saidani I,Mkaouer MW</t>
  </si>
  <si>
    <t>On the Detection of Community Smells Using Genetic Programming-Based Ensemble Classifier Chain</t>
  </si>
  <si>
    <t>43–54</t>
  </si>
  <si>
    <t>Proceedings of the 15th International Conference on Global Software Engineering</t>
  </si>
  <si>
    <t>https://doi.org/10.1145/3372787.3390439;http://dx.doi.org/10.1145/3372787.3390439</t>
  </si>
  <si>
    <t>10.1145/3372787.3390439</t>
  </si>
  <si>
    <t>Community smells are symptoms of organizational and social issues within the software development community that often increase the project costs and impact software quality. Recent studies have identified a variety of community smells and defined them as suboptimal patterns connected to organizational-social structures in the software development community such as the lack of communication, coordination and collaboration. Recognizing the advantages of the early detection of potential community smells in a software project, we introduce a novel approach that learns from various community organizational and social practices to provide an automated support for detecting community smells. In particular, our approach learns from a set of interleaving organizational-social symptoms that characterize the existence of community smell instances in a software project. We build a multi-label learning model to detect 8 common types of community smells. We use the ensemble classifier chain (ECC) model that transforms multi-label problems into several single-label problems which are solved using genetic programming (GP) to find the optimal detection rules for each smell type. To evaluate the performance of our approach, we conducted an empirical study on a benchmark of 103 open source projects and 407 community smell instances. The statistical tests of our results show that our approach can detect the eight considered smell types with an average F-measure of 89% achieving a better performance compared to different state-of-the-art techniques. Furthermore, we found that the most influential factors that best characterize community smells include the social network density and closeness centrality as well as the standard deviation of the number of developers per time zone and per community.</t>
  </si>
  <si>
    <t>social debt, genetic programming, search-based software engineering, community smells, socio-technical factors, multi-label learning</t>
  </si>
  <si>
    <t>ICGSE '20</t>
  </si>
  <si>
    <t>Terra-Neves M,Nadkarni J,Ventura M,Resende P,Veiga H,Alegria A</t>
  </si>
  <si>
    <t>Duplicated Code Pattern Mining in Visual Programming Languages</t>
  </si>
  <si>
    <t>1348–1359</t>
  </si>
  <si>
    <t>Proceedings of the 29th ACM Joint Meeting on European Software Engineering Conference and Symposium on the Foundations of Software Engineering</t>
  </si>
  <si>
    <t>https://doi.org/10.1145/3468264.3473928;http://dx.doi.org/10.1145/3468264.3473928</t>
  </si>
  <si>
    <t>10.1145/3468264.3473928</t>
  </si>
  <si>
    <t>Visual Programming Languages (VPLs), coupled with the high-level abstractions that are commonplace in visual programming environments, enable users with less technical knowledge to become proficient programmers. However, the lower skill floor required by VPLs also entails that programmers are more likely to not adhere to best practices of software development, producing systems with high technical debt, and thus poor maintainability. Duplicated code is one important example of such technical debt. In fact, we observed that the amount of duplication in the OutSystems VPL code bases can reach as high as 39%. Duplicated code detection in text-based programming languages is still an active area of research with important implications regarding software maintainability and evolution. However, to the best of our knowledge, the literature on duplicated code detection for VPLs is very limited. We propose a novel and scalable duplicated code pattern mining algorithm that leverages the visual structure of VPLs in order to not only detect duplicated code, but also highlight duplicated code patterns that explain the reported duplication. The performance of the proposed approach is evaluated on a wide range of real-world mobile and web applications developed using OutSystems.</t>
  </si>
  <si>
    <t>visual programming, maximum common sub-graph, maximum satisfiability, duplicated code</t>
  </si>
  <si>
    <t>ESEC/FSE 2021</t>
  </si>
  <si>
    <t>1–4</t>
  </si>
  <si>
    <t>Proceedings of the 1st International Workshop on Software Qualities and Their Dependencies</t>
  </si>
  <si>
    <t>https://doi.org/10.1145/3194095.3194096;http://dx.doi.org/10.1145/3194095.3194096</t>
  </si>
  <si>
    <t>10.1145/3194095.3194096</t>
  </si>
  <si>
    <t>static analysis, software evolution, software quality, software engineering, user satisfaction</t>
  </si>
  <si>
    <t>SQUADE '18</t>
  </si>
  <si>
    <t>Data Smells: Categories, Causes and Consequences, and Detection of Suspicious Data in AI-Based Systems</t>
  </si>
  <si>
    <t>229–239</t>
  </si>
  <si>
    <t>https://doi.org/10.1145/3522664.3528590;http://dx.doi.org/10.1145/3522664.3528590</t>
  </si>
  <si>
    <t>High data quality is fundamental for today's AI-based systems. However, although data quality has been an object of research for decades, there is a clear lack of research on potential data quality issues (e.g., ambiguous, extraneous values). These kinds of issues are latent in nature and thus often not obvious. Nevertheless, they can be associated with an increased risk of future problems in AI-based systems (e.g., technical debt, data-induced faults). As a counterpart to code smells in software engineering, we refer to such issues as Data Smells. This article conceptualizes data smells and elaborates on their causes, consequences, detection, and use in the context of AI-based systems. In addition, a catalogue of 36 data smells divided into three categories (i.e., Believability Smells, Understandability Smells, Consistency Smells) is presented. Moreover, the article outlines tool support for detecting data smells and presents the result of an initial smell detection on more than 240 real-world datasets.</t>
  </si>
  <si>
    <t>Northrop L,Ozkaya I,Fairbanks G,Keeling M</t>
  </si>
  <si>
    <t>Designing the Software Systems of the Future</t>
  </si>
  <si>
    <t>28–30</t>
  </si>
  <si>
    <t>https://doi.org/10.1145/3282517.3302397;http://dx.doi.org/10.1145/3282517.3302397</t>
  </si>
  <si>
    <t>10.1145/3282517.3302397</t>
  </si>
  <si>
    <t>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t>
  </si>
  <si>
    <t>software architecture, software evolution, software economics, software design, software craftsmanship, future systems</t>
  </si>
  <si>
    <t>https://doi.org/10.1109/ICSSP.2019.00018;http://dx.doi.org/10.1109/ICSSP.2019.00018</t>
  </si>
  <si>
    <t>The stakeholders of a system are legitimately interested in whether and how its architecture reflects their respective concerns at each point of its development and maintenance processes. Having such knowledge available at all times would enable them to continually adjust their systems structure at each juncture and reduce the buildup of technical debt that can be hard to reduce once it has persisted over many iterations. Unfortunately, software systems often lack reliable and current documentation about their architecture. In order to remedy this situation, researchers have conceived a number of architectural recovery methods, some of them concern-oriented. However, the design choices forming the bases of most existing recovery methods make it so none of them have a complete set of desirable qualities for the purpose stated above. Tailoring a recovery to a system is either not possible or only through iterative experiments with numeric parameters. Furthermore, limitations in the scalability of the employed recovery algorithms make it prohibitive to apply the existing techniques to large systems. Finally, since several current recovery methods employ non-deterministic sampling, their inconsistent results do not lend themselves well to tracking a systems course over several versions, as needed by its stakeholders.RELAX (RELiable Architecture EXtraction), a new concern-based recovery method that uses text classification, addresses these issues efficiently (1) by assembling the overall recovery result from smaller, independent parts, (2) basing it on an algorithm with linear time complexity and (3) being tailorable to the recovery of a single system or a sequence thereof through the selection of meaningfully named, semantic topics. An intuitive and informative architectural visualization rounds out RELAX's contributions. RELAX is illustrated on a number of existing open-source systems and compared to other recovery methods.</t>
  </si>
  <si>
    <t>architectural change, architecture recovery, software development management, software architecture, open source software, software maintenance, software evolution</t>
  </si>
  <si>
    <t>ICSSP '19</t>
  </si>
  <si>
    <t>205–216</t>
  </si>
  <si>
    <t>https://doi.org/10.1145/3522664.3528621;http://dx.doi.org/10.1145/3522664.3528621</t>
  </si>
  <si>
    <t>CodePanorama: A Language Agnostic Tool for Visual Code Inspection</t>
  </si>
  <si>
    <t>225–228</t>
  </si>
  <si>
    <t>https://doi.org/10.1145/3524610.3527874;http://dx.doi.org/10.1145/3524610.3527874</t>
  </si>
  <si>
    <t>software visualization, software quality, software engineering, evolution and maintenance, code review</t>
  </si>
  <si>
    <t>5–8</t>
  </si>
  <si>
    <t>Proceedings of the 1st International Workshop on Software Engineering for Cognitive Services</t>
  </si>
  <si>
    <t>https://doi.org/10.1145/3195555.3195562;http://dx.doi.org/10.1145/3195555.3195562</t>
  </si>
  <si>
    <t>Building machine (deep) learning1 systems is hard. Computation requirements grow non-linearly with the complexity of the task at hand creating acute challenges relating to data dimensionality, complex model development, slow experiments, and scalability of production deployments. The bulk of the ML/DL effort is consumed in infrastructure and data management. Automating such workflows has become the focus of recent research activity, so as to make ML/DL systems universally accessible. We extend these paradigms by infusing domain knowledge for infrastructure self-management. Key elements include understanding application design intent, fingerprinting the neural network for its computational, data and convergence properties, optimizing the implementation to achieving workload intent, and accelerating the neural network implementation in real-time hardware implementation. Keys to success require offline behavioural modelling coupled with online dynamic adaptation, made possible by the use of cognitive algorithms that accumulate knowledge in a dynamic and continuously evolving knowledgebase. In this way, we use machine learning to automate AI infrastructure management to minimize human engineering, and significantly accelerating application performance.</t>
  </si>
  <si>
    <t>cognitive infrastructure, deep learning, machine learning</t>
  </si>
  <si>
    <t>SE4COG '18</t>
  </si>
  <si>
    <t>Montandon JE,Silva LL,Valente MT</t>
  </si>
  <si>
    <t>Identifying Experts in Software Libraries and Frameworks among GitHub Users</t>
  </si>
  <si>
    <t>276–287</t>
  </si>
  <si>
    <t>Proceedings of the 16th International Conference on Mining Software Repositories</t>
  </si>
  <si>
    <t>https://doi.org/10.1109/MSR.2019.00054;http://dx.doi.org/10.1109/MSR.2019.00054</t>
  </si>
  <si>
    <t>MSR '19</t>
  </si>
  <si>
    <t>215–219</t>
  </si>
  <si>
    <t>https://doi.org/10.1145/3196398.3196440;http://dx.doi.org/10.1145/3196398.3196440</t>
  </si>
  <si>
    <t>Mattis T,Rein P,Hirschfeld R</t>
  </si>
  <si>
    <t>Ambiguous, Informal, and Unsound: Metaprogramming for Naturalness</t>
  </si>
  <si>
    <t>Proceedings of the 4th ACM SIGPLAN International Workshop on Meta-Programming Techniques and Reflection</t>
  </si>
  <si>
    <t>https://doi.org/10.1145/3358502.3361270;http://dx.doi.org/10.1145/3358502.3361270</t>
  </si>
  <si>
    <t>10.1145/3358502.3361270</t>
  </si>
  <si>
    <t>Program code needs to be understood by both machines and programmers. While the goal of executing programs requires the unambiguity of a formal language, programmers use natural language within these formal constraints to explain implemented concepts to each other. This so called naturalness – the property of programs to resemble human communication – motivated many statistical and machine learning (ML) approaches with the goal to improve software engineering activities. The metaprogramming facilities of most programming environments model the formal elements of a program (meta-objects). If ML is used to support engineering or analysis tasks, complex infrastructure needs to bridge the gap between meta-objects and ML models, changes are not reflected in the ML model, and the mapping from an ML output back into the program’s meta-object domain is laborious. In the scope of this work, we propose to extend metaprogramming facilities to give tool developers access to the representations of program elements within an exchangeable ML model. We demonstrate the usefulness of this abstraction in two case studies on test prioritization and refactoring. We conclude that aligning ML representations with the program’s formal structure lowers the entry barrier to exploit statistical properties in tool development.</t>
  </si>
  <si>
    <t>metaprogramming, meta-objects, naturalness, machine learning</t>
  </si>
  <si>
    <t>META 2019</t>
  </si>
  <si>
    <t>Shan S</t>
  </si>
  <si>
    <t>Using Honeypots to Catch Adversarial Attacks on Neural Networks</t>
  </si>
  <si>
    <t>https://doi.org/10.1145/3474370.3485655;http://dx.doi.org/10.1145/3474370.3485655</t>
  </si>
  <si>
    <t>10.1145/3474370.3485655</t>
  </si>
  <si>
    <t>Deep neural networks (DNN) are known to be vulnerable to adversarial attacks. Numerous efforts either try to patch weaknesses in trained models, or try to make it difficult or costly to compute adversarial examples that exploit them. In our work, we explore a new honeypot'' approach to protect DNN models. We intentionally inject trapdoors, honeypot weaknesses in the classification manifold that attract attackers searching for adversarial examples. Attackers' optimization algorithms gravitate towards trapdoors, leading them to produce attacks similar to trapdoors in the feature space. Our defense then identifies attacks by comparing neuron activation signatures of inputs to those of trapdoors.In this paper, we introduce trapdoors and describe an implementation of a trapdoor-enabled defense. First, we analytically prove that trapdoors shape the computation of adversarial attacks so that attack inputs will have feature representations very similar to those of trapdoors. Second, we experimentally show that trapdoor-protected models can detect, with high accuracy, adversarial examples generated by state-of-the-art attacks (PGD, optimization-based CW, Elastic Net, BPDA), with negligible impact on normal classification. These results generalize across classification domains, including image, facial, and traffic-sign recognition. We also present significant results measuring trapdoors' robustness against customized adaptive attacks (countermeasures).</t>
  </si>
  <si>
    <t>neural networks, adversarial examples, honeypots</t>
  </si>
  <si>
    <t>3513–3523</t>
  </si>
  <si>
    <t>Proceedings of the 28th ACM SIGKDD Conference on Knowledge Discovery and Data Mining</t>
  </si>
  <si>
    <t>Washington DC, USA</t>
  </si>
  <si>
    <t>https://doi.org/10.1145/3534678.3539059;http://dx.doi.org/10.1145/3534678.3539059</t>
  </si>
  <si>
    <t>Modern software systems and products increasingly rely on machine learning models to make data-driven decisions based on interactions with users, infrastructure and other systems. For broader adoption, this practice must (i) accommodate product engineers without ML backgrounds, (ii) support finegrain product-metric evaluation and (iii) optimize for product goals. To address shortcomings of prior platforms, we introduce general principles for and the architecture of an ML platform, Looper, with simple APIs for decision-making and feedback collection. Looper covers the end-to-end ML lifecycle from collecting training data and model training to deployment and inference, and extends support to personalization, causal evaluation with heterogenous treatment effects, and Bayesian tuning for product goals. During the 2021 production deployment, Looper simultaneously hosted 440-1,000 ML models that made 4-6 million real-time decisions per second. We sum up experiences of platform adopters and describe their learning curve.</t>
  </si>
  <si>
    <t>platform, MLOps, machine learning</t>
  </si>
  <si>
    <t>KDD '22</t>
  </si>
  <si>
    <t>How to Improve Deep Learning for Software Analytics: (A Case Study with Code Smell Detection)</t>
  </si>
  <si>
    <t>156–166</t>
  </si>
  <si>
    <t>https://doi.org/10.1145/3524842.3528458;http://dx.doi.org/10.1145/3524842.3528458</t>
  </si>
  <si>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technique.The prior study from TSE'21 proposing this novel fuzzy sampling was somewhat limited in that the method was tested on defect prediction, but nothing else. Like defect prediction, code smell detection datasets have a class imbalance (which motivated fuzzy sampling). Hence, in this work we test if fuzzy sampling is useful for code smell detection.The results of this paper show that we can achieve better than state-of-the-art results on code smell detection with fuzzy oversampling. For example, for feature envy, we were able to achieve 99+% AUC across all our datasets, and on 8/10 datasets for misplaced class. While our specific results refer to code smell detection, they do suggest other lessons for other kinds of analytics. For example: (a) try better preprocessing before trying complex learners (b) include simpler learners as a baseline in software analytics (c) try fuzzy sampling as one such baseline.In order to support others trying to reproduce/extend/refute this work, all our code and data is available online at https://github.com/yrahul3910/code-smell-detection.</t>
  </si>
  <si>
    <t>code smell detection, deep learning, autoencoders</t>
  </si>
  <si>
    <t>736–748</t>
  </si>
  <si>
    <t>Proceedings of the 44th International Conference on Software Engineering</t>
  </si>
  <si>
    <t>https://doi.org/10.1145/3510003.3510225;http://dx.doi.org/10.1145/3510003.3510225</t>
  </si>
  <si>
    <t>Over the years, researchers capitalized on the repetitiveness of software changes to automate many software evolution tasks. Despite the extraordinary rise in popularity of Python-based ML systems, they do not benefit from these advances. Without knowing what are the repetitive changes that ML developers make, researchers, tool, and library designers miss opportunities for automation, and ML developers fail to learn and use best coding practices.To fill the knowledge gap and advance the science and tooling in ML software evolution, we conducted the first and most fine-grained study on code change patterns in a diverse corpus of 1000 top-rated ML systems comprising 58 million SLOC. To conduct this study we reuse, adapt, and improve upon the state-of-the-art repetitive change mining techniques. Our novel tool, R-CPatMiner, mines over 4M commits and constructs 350K fine-grained change graphs and detects 28K change patterns. Using thematic analysis, we identified 22 pattern groups and we reveal 4 major trends of how ML developers change their code. We surveyed 650 ML developers to further shed light on these patterns and their applications, and we received a 15% response rate. We present actionable, empirically-justified implications for four audiences: (i) researchers, (ii) tool builders, (iii) ML library vendors, and (iv) developers and educators.</t>
  </si>
  <si>
    <t>repetition, python, code changes, machine learning, refactoring</t>
  </si>
  <si>
    <t>58–67</t>
  </si>
  <si>
    <t>https://doi.org/10.1109/ESEM.2017.12;http://dx.doi.org/10.1109/ESEM.2017.12</t>
  </si>
  <si>
    <t>code smell, empirical analysis, machine learning, merge conflict</t>
  </si>
  <si>
    <t>Pham TM,Yang J</t>
  </si>
  <si>
    <t>The Secret Life of Commented-Out Source Code</t>
  </si>
  <si>
    <t>308–318</t>
  </si>
  <si>
    <t>Proceedings of the 28th International Conference on Program Comprehension</t>
  </si>
  <si>
    <t>https://doi.org/10.1145/3387904.3389259;http://dx.doi.org/10.1145/3387904.3389259</t>
  </si>
  <si>
    <t>10.1145/3387904.3389259</t>
  </si>
  <si>
    <t>Source code commenting is a common practice to improve code comprehension in software development. While comments often consist of descriptive natural language, surprisingly, there exists a non-trivial portion of comments that are actually code statements, i.e., commented-out code (CO code), even in well-maintained software systems. Commented-out code practice is rarely studied and often excluded in prior studies on comments due to its irrelevance to natural language. When being openly discussed, CO practice is generally considered a bad practice. However, there is no prior work to assess the nature (prevalence, evolution, motivation, and necessity of utilization) of CO code practice.In this paper, we perform the first study to understand CO code practice. Inspired by prior works in comment analysis, we develop automated solutions to identify CO code and track its evolution in development history. Through analyzing six open-source projects of different sizes and from diverse domains, we find that CO code practice is non-trivial in software development, especially in the early phase of development history, e.g., up to 20% of the commits involve CO code practice. We observe common evolution patterns of CO code and find that developers may uncomment and comment code more frequently than expected, e.g., 10% of the CO code practices have been uncommented at least once. Through a manual analysis, we identify the common reasons that developers adopt CO code practices and reveal maintenance challenges associated with CO code practices.</t>
  </si>
  <si>
    <t>comment/code evolution, commented-out code, comment analysis</t>
  </si>
  <si>
    <t>ICPC '20</t>
  </si>
  <si>
    <t>Agrahari V,Chimalakonda S</t>
  </si>
  <si>
    <t>A Catalogue of Game-Specific Anti-Patterns</t>
  </si>
  <si>
    <t>15th Innovations in Software Engineering Conference</t>
  </si>
  <si>
    <t>Gandhinagar, India</t>
  </si>
  <si>
    <t>https://doi.org/10.1145/3511430.3511436;http://dx.doi.org/10.1145/3511430.3511436</t>
  </si>
  <si>
    <t>10.1145/3511430.3511436</t>
  </si>
  <si>
    <t>With the ever-increasing use of games, game developers are expected to write efficient code and support several aspects such as security, maintainability, and performance. However, the continuous need to update the features of games in shorter duration might compel the developers to use anti-patterns, code smells and quick-fix solutions that may affect the functional and non-functional requirements of the game. These bad practices may lead to technical debt, poor program comprehension, and can cause several issues during software maintenance. While there exists empirical research on games, we are not aware of any work on understanding and cataloguing these anti-patterns in the domain of games. Thus, in this paper, we propose a catalogue of game-specific anti-patterns by mining and analyzing 892 commits, 189 issues, and 104 pull requests from 100 open-source GitHub game repositories. We use regular expressions and thematic analysis on this dataset and present a catalogue of ten game-specific anti-patterns along with examples. We see this catalogue as a first step for further empirical research in the domain of games and can help game developers to improve quality of games.</t>
  </si>
  <si>
    <t>Anti-patterns, Thematic Analysis, Games, Catalogue</t>
  </si>
  <si>
    <t>ISEC 2022</t>
  </si>
  <si>
    <t>EMTk: The Emotion Mining Toolkit</t>
  </si>
  <si>
    <t>34–37</t>
  </si>
  <si>
    <t>Proceedings of the 4th International Workshop on Emotion Awareness in Software Engineering</t>
  </si>
  <si>
    <t>https://doi.org/10.1109/SEmotion.2019.00014;http://dx.doi.org/10.1109/SEmotion.2019.00014</t>
  </si>
  <si>
    <t>emotion mining, sentiment analysis, social software engineering</t>
  </si>
  <si>
    <t>SEmotion '19</t>
  </si>
  <si>
    <t>Marijan D,Sen S</t>
  </si>
  <si>
    <t>Industry–Academia Research Collaboration and Knowledge Co-Creation: Patterns and Anti-Patterns</t>
  </si>
  <si>
    <t>https://doi.org/10.1145/3494519;http://dx.doi.org/10.1145/3494519</t>
  </si>
  <si>
    <t>10.1145/3494519</t>
  </si>
  <si>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</si>
  <si>
    <t>anti-patterns, collaboration gap, software engineering, research collaboration, collaboration model, patterns, knowledge transfer, Industry-academia collaboration, technology transfer, research co-creation</t>
  </si>
  <si>
    <t>Fontana FA,Perrouin G,Ampatzoglou A,Archer M,Walter B,Cordy M,Palomba F,Devroey X</t>
  </si>
  <si>
    <t>MALTESQUE 2019 Workshop Summary</t>
  </si>
  <si>
    <t>34–35</t>
  </si>
  <si>
    <t>https://doi.org/10.1145/3375572.3375582;http://dx.doi.org/10.1145/3375572.3375582</t>
  </si>
  <si>
    <t>10.1145/3375572.3375582</t>
  </si>
  <si>
    <t>Welcome to the third edition of the workshop on Machine Learn- ing Techniques for Software Quality Evaluation (MaLTeSQuE 2019), held in Tallinn, Estonia, August 27th, 2019, co-located with ESEC / FSE 2019. This year MALTESQUE merged with the MASES (Machine Learning and Software Engineering in Symbiosis) work- shop, co-located with the ASE 2018 conference. Ten papers from all over the world were submitted, seven of them were accepted. The program also featured a keynote by Lionel Briand on the use of machine learning to improve software testing.</t>
  </si>
  <si>
    <t>Fedorova A,Mustard C,Beschastnikh I,Rubin J,Wong A,Miucin S,Ye L</t>
  </si>
  <si>
    <t>Performance Comprehension at WiredTiger</t>
  </si>
  <si>
    <t>83–94</t>
  </si>
  <si>
    <t>Proceedings of the 2018 26th ACM Joint Meeting on European Software Engineering Conference and Symposium on the Foundations of Software Engineering</t>
  </si>
  <si>
    <t>Lake Buena Vista, FL, USA</t>
  </si>
  <si>
    <t>https://doi.org/10.1145/3236024.3236081;http://dx.doi.org/10.1145/3236024.3236081</t>
  </si>
  <si>
    <t>10.1145/3236024.3236081</t>
  </si>
  <si>
    <t>Software debugging is a time-consuming and challenging process. Supporting debugging has been a focus of the software engineering field since its inception with numerous empirical studies, theories, and tools to support developers in this task. Performance bugs and performance debugging is a sub-genre of debugging that has received less attention. In this paper we contribute an empirical case study of performance bug diagnosis in the WiredTiger project, the default database engine behind MongoDB. We perform an in-depth analysis of 44 Jira tickets documenting WiredTiger performance-related issues. We investigate how developers diagnose performance bugs: what information they collect, what tools they use, and what processes they follow. Our findings show that developers spend the majority of their performance debugging time chasing outlier events, such as latency spikes and throughput drops. Yet, they are not properly supported by existing performance debugging tools in this task. We also observe that developers often use tools without knowing in advance whether the obtained information will be relevant to debugging the problem. Therefore, we believe developers can benefit from tools that can be used for unstructured exploration of performance data, rather than for answering specific questions.</t>
  </si>
  <si>
    <t>performance debugging, Software performance comprehension</t>
  </si>
  <si>
    <t>ESEC/FSE 2018</t>
  </si>
  <si>
    <t>Identifying Software Performance Changes across Variants and Versions</t>
  </si>
  <si>
    <t>611–622</t>
  </si>
  <si>
    <t>https://doi.org/10.1145/3324884.3416573;http://dx.doi.org/10.1145/3324884.3416573</t>
  </si>
  <si>
    <t>10.1145/3324884.3416573</t>
  </si>
  <si>
    <t>We address the problem of identifying performance changes in the evolution of configurable software systems. Finding optimal configurations and configuration options that influence performance is already difficult, but in the light of software evolution, configuration-dependent performance changes may lurk in a potentially large number of different versions of the system.In this work, we combine two perspectives---variability and time---into a novel perspective. We propose an approach to identify configuration-dependent performance changes retrospectively across the software variants and versions of a software system. In a nutshell, we iteratively sample pairs of configurations and versions and measure the respective performance, which we use to update a model of likelihoods for performance changes. Pursuing a search strategy with the goal of measuring selectively and incrementally further pairs, we increase the accuracy of identified change points related to configuration options and interactions.We have conducted a number of experiments both on controlled synthetic data sets as well as in real-world scenarios with different software systems. Our evaluation demonstrates that we can pinpoint performance shifts to individual configuration options and interactions as well as commits introducing change points with high accuracy and at scale. Experiments on three real-world systems explore the effectiveness and practicality of our approach.</t>
  </si>
  <si>
    <t>software performance, software evolution, active learning, machine learning, configurable software systems</t>
  </si>
  <si>
    <t>640–652</t>
  </si>
  <si>
    <t>San Diego, California</t>
  </si>
  <si>
    <t>Proceedings of the 34th IEEE/ACM International Conference on Automated Software Engineering</t>
  </si>
  <si>
    <t>https://doi.org/10.1109/ASE.2019.00065;http://dx.doi.org/10.1109/ASE.2019.00065</t>
  </si>
  <si>
    <t>ASE '19</t>
  </si>
  <si>
    <t>Self-Claimed Assumptions in Deep Learning Frameworks: An Exploratory Study</t>
  </si>
  <si>
    <t>139–148</t>
  </si>
  <si>
    <t>https://doi.org/10.1145/3463274.3463333;http://dx.doi.org/10.1145/3463274.3463333</t>
  </si>
  <si>
    <t>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t>
  </si>
  <si>
    <t>Self-Claimed Assumption, GitHub, Deep Learning Framework</t>
  </si>
  <si>
    <t>Palomba F</t>
  </si>
  <si>
    <t>Textual Analysis for Code Smell Detection</t>
  </si>
  <si>
    <t>769–771</t>
  </si>
  <si>
    <t>Florence, Italy</t>
  </si>
  <si>
    <t>Proceedings of the 37th International Conference on Software Engineering - Volume 2</t>
  </si>
  <si>
    <t>The negative impact of smells on the quality of a software systems has been empirical investigated in several studies. This has recalled the need to have approaches for the identification and the removal of smells. While approaches to remove smells have investigated the use of both structural and conceptual information extracted from source code, approaches to identify smells are based on structural information only. In this paper, we bridge the gap analyzing to what extent conceptual information, extracted using textual analysis techniques, can be used to identify smells in source code. The proposed textual-based approach for detecting smells in source code, coined as TACO (Textual Analysis for Code smell detectiOn), has been instantiated for detecting the Long Method smell and has been evaluated on three Java open source projects. The results indicate that TACO is able to detect between 50% and 77% of the smell instances with a precision ranging between 63% and 67%. In addition, the results show that TACO identifies smells that are not identified by approaches based on solely structural information.</t>
  </si>
  <si>
    <t>ICSE '15</t>
  </si>
  <si>
    <t>97–106</t>
  </si>
  <si>
    <t>https://doi.org/10.1145/3510457.3513082;http://dx.doi.org/10.1145/3510457.3513082</t>
  </si>
  <si>
    <t>intelligent collaboration tools, bus factor, knowledge management, case study, truck factor</t>
  </si>
  <si>
    <t>147–155</t>
  </si>
  <si>
    <t>Proceedings of the 13th Asia-Pacific Symposium on Internetware</t>
  </si>
  <si>
    <t>Hohhot, China</t>
  </si>
  <si>
    <t>https://doi.org/10.1145/3545258.3545260;http://dx.doi.org/10.1145/3545258.3545260</t>
  </si>
  <si>
    <t>With the development of deep learning and natural language processing techniques, the performance of many source code-related tasks can be improved by using pre-trained models. Of these pre-trained models, CodeBert is a bi-modal pre-trained model for programming languages and natural languages, which has been successfully used in current source code-related tasks. These previous studies mainly use the output vector of CodeBert’s last layer as the code semantic representation for fine-tuning downstream source code-related tasks. However, this setting may miss the valuable representational information, which may be captured by other layers of CodeBert. To better exploit the representational information in each layer of CodeBert for fine-tuning downstream source code-related tasks, we propose an approach EL-CodeBert. Our approach first extracts the representational information in each layer of CodeBert and views them as a representational information sequence. Then our approach learns the importance of representational information in each layer through the bidirectional recurrent neural network (i.e., Bi-LSTM) and the attention mechanism. To verify the effectiveness of our proposed approach, we select four downstream source code-related classification tasks (i.e., code smell classification, code language classification, technical debt classification, and code comment classification). After compared with state-of-the-art baselines for these tasks, EL-CodeBert can achieve better performance in most performance measures. Finally, we also conduct ablation studies to verify the rationality of the component setting in our proposed approach.</t>
  </si>
  <si>
    <t>Source code-related task, CodeBert, Pre-trained model, Fine-tuning</t>
  </si>
  <si>
    <t>Internetware '22</t>
  </si>
  <si>
    <t>Choma J,Guerra EM,Da Silva TS</t>
  </si>
  <si>
    <t>Patterns for Implementing Software Analytics in Development Teams</t>
  </si>
  <si>
    <t>The Hillside Group</t>
  </si>
  <si>
    <t>USA</t>
  </si>
  <si>
    <t>Proceedings of the 24th Conference on Pattern Languages of Programs</t>
  </si>
  <si>
    <t>Vancouver, British Columbia, Canada</t>
  </si>
  <si>
    <t>The software development activities typically produce a large amount of data. Using a data-driven approach to decision making - such as Software Analytics - the software practitioners can achieve higher development process productivity and improve many aspects of the software quality based on the insightful and actionable information. This paper presents a set of patterns describing steps to encourage the integration of the analytics activities by development teams in order to support them to make better decisions, promoting the continuous improvement of software and its development process. Before any procedure to extract data for software analytics, the team needs to define, first of all, their questions about what will need to be measured, assess and monitored throughout the development process. Once defined the key issues which will be tracked, the team may select the most appropriate means for extracting data from software artifacts that will be useful in decision-making. The tasks to set up the development environment for software analytics should be added to the project planning along with the regular tasks. The software analytics activities should be distributed throughout the project in order to add information about the system in small portions. By defining reachable goals from the software analytics findings, the team turns insights from software analytics into actions to improve incrementally the software characteristics and/or its development process.</t>
  </si>
  <si>
    <t>agile software development, development teams, decision making, patterns, software analytics, software measurement</t>
  </si>
  <si>
    <t>PLoP '17</t>
  </si>
  <si>
    <t>1–9</t>
  </si>
  <si>
    <t>https://doi.org/10.1145/3522664.3528599;http://dx.doi.org/10.1145/3522664.3528599</t>
  </si>
  <si>
    <t>AI, software quality, empirical study, machine learning</t>
  </si>
  <si>
    <t>Basios M,Li L,Wu F,Kanthan L,Barr ET</t>
  </si>
  <si>
    <t>Darwinian Data Structure Selection</t>
  </si>
  <si>
    <t>118–128</t>
  </si>
  <si>
    <t>https://doi.org/10.1145/3236024.3236043;http://dx.doi.org/10.1145/3236024.3236043</t>
  </si>
  <si>
    <t>10.1145/3236024.3236043</t>
  </si>
  <si>
    <t>Data structure selection and tuning is laborious but can vastly improve an application’s performance and memory footprint. Some data structures share a common interface and enjoy multiple implementations. We call them Darwinian Data Structures (DDS), since we can subject their implementations to survival of the fittest. We introduce ARTEMIS a multi-objective, cloud-based search-based optimisation framework that automatically finds optimal, tuned DDS modulo a test suite, then changes an application to use that DDS. ARTEMIS achieves substantial performance improvements for every project in 5 Java projects from DaCapo benchmark, 8 popular projects and 30 uniformly sampled projects from GitHub. For execution time, CPU usage, and memory consumption, ARTEMIS finds at least one solution that improves all measures for 86% (37/43) of the projects. The median improvement across the best solutions is 4.8%, 10.1%, 5.1% for runtime, memory and CPU usage. These aggregate results understate ARTEMIS’s potential impact. Some of the benchmarks it improves are libraries or utility functions. Two examples are gson, a ubiquitous Java serialization framework, and xalan, Apache’s XML transformation tool. ARTEMIS improves gson by 16.5%, 1% and 2.2% for memory, runtime, and CPU; ARTEMIS improves xalan’s memory consumption by 23.5%. Every client of these projects will benefit from these performance improvements.</t>
  </si>
  <si>
    <t>Data Structure Optimisation, Software Analysis and Optimisation, Search-based Software Engineering, Genetic Improvement</t>
  </si>
  <si>
    <t>Piskozub M,Spolaor R,Conti M,Martinovic I</t>
  </si>
  <si>
    <t>On the Resilience of Network-Based Moving Target Defense Techniques Against Host Profiling Attacks</t>
  </si>
  <si>
    <t>1–12</t>
  </si>
  <si>
    <t>https://doi.org/10.1145/3338468.3356825;http://dx.doi.org/10.1145/3338468.3356825</t>
  </si>
  <si>
    <t>10.1145/3338468.3356825</t>
  </si>
  <si>
    <t>Researchers propose Moving Target Defense (MTD) strategies for networking infrastructures as a countermeasure to impede attackers from identifying and exploiting vulnerable network hosts. In this paper, we investigate the weaknesses of Network-based Moving Target Defense (NMTD) against passive host profiling attacks. In particular, we consider periodical and reactive approaches to change hosts' identifiers. To evaluate the capabilities of a host profiling attack, we design Hostbuster, a tool that reidentifies hosts based on network flow data. We experimentally evaluate its effectiveness using real-world network traffic from the University of Oxford. We show the robustness of learned host profiles, which are valid for more than two months. On average, our experiments result in 80% classification performance given by the F1 score. As a result of these analyses, we provide guidelines to strengthen NMTD against these types of attacks.</t>
  </si>
  <si>
    <t>moving target defense, one-vs-rest random forest, host profiling, network flow data processing</t>
  </si>
  <si>
    <t>30–33</t>
  </si>
  <si>
    <t>Proceedings of the International Workshop on Continuous Software Evolution and Delivery</t>
  </si>
  <si>
    <t>https://doi.org/10.1145/2896941.2896954;http://dx.doi.org/10.1145/2896941.2896954</t>
  </si>
  <si>
    <t>customer feedback, continuous testing, shift right testing</t>
  </si>
  <si>
    <t>CSED '16</t>
  </si>
  <si>
    <t>Mattis T,Beckmann T,Rein P,Hirschfeld R</t>
  </si>
  <si>
    <t>First-Class Concepts: Reifying Architectural Knowledge beyond the Dominant Decomposition</t>
  </si>
  <si>
    <t>9–15</t>
  </si>
  <si>
    <t>Proceedings of the 13th ACM International Workshop on Context-Oriented Programming and Advanced Modularity</t>
  </si>
  <si>
    <t>Virtual, Denmark</t>
  </si>
  <si>
    <t>https://doi.org/10.1145/3464970.3468413;http://dx.doi.org/10.1145/3464970.3468413</t>
  </si>
  <si>
    <t>10.1145/3464970.3468413</t>
  </si>
  <si>
    <t>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t>
  </si>
  <si>
    <t>software engineering, exploratory programming, remodularization, modularity, program comprehension</t>
  </si>
  <si>
    <t>COP '21</t>
  </si>
  <si>
    <t>785–788</t>
  </si>
  <si>
    <t>Proceedings of the 38th International Conference on Software Engineering Companion</t>
  </si>
  <si>
    <t>https://doi.org/10.1145/2889160.2889211;http://dx.doi.org/10.1145/2889160.2889211</t>
  </si>
  <si>
    <t>10.1145/2889160.2889211</t>
  </si>
  <si>
    <t>We propose and explore a new paradigm called Code Drones in which every software artifact such as a class is an intelligent and socially active entity. In this paradigm, humanized artifacts take the lead and choreograph (socially, in collaboration with other intelligent software artifacts and humans) automated software engineering solutions to a myriad of development and maintenance challenges, including API migration, reuse, documentation, testing, patching, and refactoring. We discuss the implications of having social and intelligent/cognitive software artifacts that guide their own self-improvement.</t>
  </si>
  <si>
    <t>ICSE '16</t>
  </si>
  <si>
    <t>Pontillo V,Palomba F,Ferrucci F</t>
  </si>
  <si>
    <t>Toward Static Test Flakiness Prediction: A Feasibility Study</t>
  </si>
  <si>
    <t>https://doi.org/10.1145/3472674.3473981;http://dx.doi.org/10.1145/3472674.3473981</t>
  </si>
  <si>
    <t>10.1145/3472674.3473981</t>
  </si>
  <si>
    <t>Flaky tests are tests that exhibit both a passing and failing behavior when run against the same code. While the research community has attempted to define automated approaches for detecting and addressing test flakiness, most of them suffer from scalability issues and uncertainty as they require test cases to be run multiple times. This limitation has been recently targeted by means of machine learning solutions that could predict the flakiness of tests using a set of both static and dynamic metrics that would avoid the re-execution of tests. Recognizing the effort spent so far, this paper poses the first steps toward an orthogonal view of the problem, namely the classification of flaky tests using only statically computable software metrics. We propose a feasibility study on 72 projects of the iDFlakies dataset, and investigate the differences between flaky and non-flaky tests in terms of 25 test and production code metrics and smells. First, we statistically assess those differences. Second, we build a logistic regression model to verify the extent to which the differences observed are still significant when the metrics are considered together. The results show a relation between test flakiness and a number of test and production code factors, indicating the possibility to build classification approaches that exploit those factors to predict test flakiness.</t>
  </si>
  <si>
    <t>Software Quality Evaluation, Flaky Tests, Empirical Studies</t>
  </si>
  <si>
    <t>39–40</t>
  </si>
  <si>
    <t>Proceedings of the 5th International Conference on Mobile Software Engineering and Systems</t>
  </si>
  <si>
    <t>https://doi.org/10.1145/3197231.3198444;http://dx.doi.org/10.1145/3197231.3198444</t>
  </si>
  <si>
    <t>10.1145/3197231.3198444</t>
  </si>
  <si>
    <t>code comments, mining software repositories, Android</t>
  </si>
  <si>
    <t>MOBILESoft '18</t>
  </si>
  <si>
    <t>Cordy M,Xie X,Xu B,Stamatia B</t>
  </si>
  <si>
    <t>MaLTeSQuE 2022 Workshop Summary</t>
  </si>
  <si>
    <t>95–96</t>
  </si>
  <si>
    <t>https://doi.org/10.1145/3573074.3573099;http://dx.doi.org/10.1145/3573074.3573099</t>
  </si>
  <si>
    <t>10.1145/3573074.3573099</t>
  </si>
  <si>
    <t>Welcome to the sixth edition of the workshop on Machine Learning Techniques for Software Quality Evaluation (MaLTeSQuE 2022), held in Singapore, November 18th, 2022, co-located with ESEC / FSE 2022 [1]. Six papers from all over the world were submitted, five of them were accepted. The program also featured two keynotes by Yuriy Brun on the promise and perils of using machine learning when engineering software and Mike Papadakis on the best practices in assessment of deep learning testing methods.</t>
  </si>
  <si>
    <t>Pynblint: A Static Analyzer for Python Jupyter Notebooks</t>
  </si>
  <si>
    <t>48–49</t>
  </si>
  <si>
    <t>https://doi.org/10.1145/3522664.3528612;http://dx.doi.org/10.1145/3522664.3528612</t>
  </si>
  <si>
    <t>Jupyter Notebook is the tool of choice of many data scientists in the early stages of ML workflows. The notebook format, however, has been criticized for inducing bad programming practices; indeed, researchers have already shown that open-source repositories are inundated by poor-quality notebooks. Low-quality output from the prototypical stages of ML workflows constitutes a clear bottleneck towards the productization of ML models. To foster the creation of better notebooks, we developed Pynblint, a static analyzer for Jupyter notebooks written in Python. The tool checks the compliance of notebooks (and surrounding repositories) with a set of empirically validated best practices and provides targeted recommendations when violations are detected.</t>
  </si>
  <si>
    <t>machine learning, software quality, data science, lint, computational notebooks</t>
  </si>
  <si>
    <t>394–406</t>
  </si>
  <si>
    <t>https://doi.org/10.1109/ASE51524.2021.9678617;http://dx.doi.org/10.1109/ASE51524.2021.9678617</t>
  </si>
  <si>
    <t>Standard software analytics often involves having a large amount of data with labels in order to commission models with acceptable performance. However, prior work has shown that such requirements can be expensive, taking several weeks to label thousands of commits, and not always available when traversing new research problems and domains. Unsupervised Learning is a promising direction to learn hidden patterns within unlabelled data, which has only been extensively studied in defect prediction. Nevertheless, unsupervised learning can be ineffective by itself and has not been explored in other domains (e.g., static analysis and issue close time).Motivated by this literature gap and technical limitations, we present FRUGAL, a tuned semi-supervised method that builds on a simple optimization scheme that does not require sophisticated (e.g., deep learners) and expensive (e.g., 100% manually labelled data) methods. FRUGAL optimizes the unsupervised learner's configurations (via a simple grid search) while validating our design decision of labelling just 2.5% of the data before prediction.As shown by the experiments of this paper FRUGAL outperforms the state-of-the-art adoptable static code warning recognizer and issue closed time predictor, while reducing the cost of labelling by a factor of 40 (from 100% to 2.5%). Hence we assert that FRUGAL can save considerable effort in data labelling especially in validating prior work or researching new problems.Based on this work, we suggest that proponents of complex and expensive methods should always baseline such methods against simpler and cheaper alternatives. For instance, a semi-supervised learner like FRUGAL can serve as a baseline to the state-of-the-art software analytics.</t>
  </si>
  <si>
    <t>semi-supervised learning, data labelling efforts, software analytics</t>
  </si>
  <si>
    <t>Automating the Removal of Obsolete TODO Comments</t>
  </si>
  <si>
    <t>218–229</t>
  </si>
  <si>
    <t>https://doi.org/10.1145/3468264.3468553;http://dx.doi.org/10.1145/3468264.3468553</t>
  </si>
  <si>
    <t>TODO comments are very widely used by software developers to describe their pending tasks during software development. However, after performing the task developers sometimes neglect or simply forget to remove the TODO comment, resulting in obsolete TODO comments. These obsolete TODO comments can confuse development teams and may cause the introduction of bugs in the future, decreasing the software's quality and maintainability. Manually identifying obsolete TODO comments is time-consuming and expensive. It is thus necessary to detect obsolete TODO comments and remove them automatically before they cause any unwanted side effects. In this work, we propose a novel model, named TDCleaner, to identify obsolete TODO comments in software projects. TDCleaner can assist developers in just-in-time checking of TODO comments status and avoid leaving obsolete TODO comments. Our approach has two main stages: offline learning and online prediction. During offline learning, we first automatically establish training samples and leverage three neural encoders to capture the semantic features of TODO comment, code change and commit message respectively. TDCleaner then automatically learns the correlations and interactions between different encoders to estimate the final status of the TODO comment. For online prediction, we check a TODO comment's status by leveraging the offline trained model to judge the TODO comment's likelihood of being obsolete. We built our dataset by collecting TODO comments from the top-10,000 Python and Java Github repositories and evaluated TDCleaner on them. Extensive experimental results show the promising performance of our model over a set of benchmarks. We also performed an in-the-wild evaluation with real-world software projects, we reported 18 obsolete TODO comments identified by TDCleaner to Github developers and 9 of them have already been confirmed and removed by the developers, demonstrating the practical usage of our approach.</t>
  </si>
  <si>
    <t>Code-Comment Inconsistency, TODO comment, Bert</t>
  </si>
  <si>
    <t>27–30</t>
  </si>
  <si>
    <t>Proceedings of the 12th International Workshop on Cooperative and Human Aspects of Software Engineering</t>
  </si>
  <si>
    <t>https://doi.org/10.1109/CHASE.2019.00013;http://dx.doi.org/10.1109/CHASE.2019.00013</t>
  </si>
  <si>
    <t>extended reality, project workspaces, software delivery, immersive experiences</t>
  </si>
  <si>
    <t>CHASE '19</t>
  </si>
  <si>
    <t>Chowdhary A,Pisharody S,Huang D</t>
  </si>
  <si>
    <t>SDN Based Scalable MTD Solution in Cloud Network</t>
  </si>
  <si>
    <t>27–36</t>
  </si>
  <si>
    <t>Proceedings of the 2016 ACM Workshop on Moving Target Defense</t>
  </si>
  <si>
    <t>Vienna, Austria</t>
  </si>
  <si>
    <t>https://doi.org/10.1145/2995272.2995274;http://dx.doi.org/10.1145/2995272.2995274</t>
  </si>
  <si>
    <t>10.1145/2995272.2995274</t>
  </si>
  <si>
    <t>Software-Defined Networking (SDN) has emerged as a framework for centralized command and control in cloud data centric environments. SDN separates data and control plane, which provides network administrator better visibility and policy enforcement capability compared to traditional networks. The SDN controller can assess reachability information of all the hosts in a network. There are many critical assets in a network which can be compromised by a malicious attacker through a multistage attack. Thus we make use of centralized controller to assess the security state of the entire network and pro-actively perform attack analysis and countermeasure selection. This approach is also known as Moving Target Defense (MTD). We use the SDN controller to assess the attack scenarios through scalable Attack Graphs (AG) and select necessary countermeasures to perform network reconfiguration to counter network attacks. Moreover, our framework has a comprehensive conflict detection and resolution module that ensures that no two flow rules in a distributed SDN-based cloud environment have conflicts at any layer; thereby assuring consistent conflict-free policy implementation and preventing information leakage.</t>
  </si>
  <si>
    <t>MTD '16</t>
  </si>
  <si>
    <t>Closing the AI Accountability Gap: Defining an End-to-End Framework for Internal Algorithmic Auditing</t>
  </si>
  <si>
    <t>33–44</t>
  </si>
  <si>
    <t>Proceedings of the 2020 Conference on Fairness, Accountability, and Transparency</t>
  </si>
  <si>
    <t>Barcelona, Spain</t>
  </si>
  <si>
    <t>https://doi.org/10.1145/3351095.3372873;http://dx.doi.org/10.1145/3351095.3372873</t>
  </si>
  <si>
    <t>Rising concern for the societal implications of artificial intelligence systems has inspired a wave of academic and journalistic literature in which deployed systems are audited for harm by investigators from outside the organizations deploying the algorithms. However, it remains challenging for practitioners to identify the harmful repercussions of their own systems prior to deployment, and, once deployed, emergent issues can become difficult or impossible to trace back to their source.In this paper, we introduce a framework for algorithmic auditing that supports artificial intelligence system development end-to-end, to be applied throughout the internal organization development life-cycle. Each stage of the audit yields a set of documents that together form an overall audit report, drawing on an organization's values or principles to assess the fit of decisions made throughout the process. The proposed auditing framework is intended to contribute to closing the accountability gap in the development and deployment of large-scale artificial intelligence systems by embedding a robust process to ensure audit integrity.</t>
  </si>
  <si>
    <t>accountability, responsible innovation, algorithmic audits, machine learning</t>
  </si>
  <si>
    <t>FAT* '20</t>
  </si>
  <si>
    <t>CPS Design with Learning-Enabled Components: A Case Study</t>
  </si>
  <si>
    <t>57–63</t>
  </si>
  <si>
    <t>Proceedings of the 30th International Workshop on Rapid System Prototyping (RSP'19)</t>
  </si>
  <si>
    <t>https://doi.org/10.1145/3339985.3358491;http://dx.doi.org/10.1145/3339985.3358491</t>
  </si>
  <si>
    <t>Cyber-Physical Systems (CPS) are used in many applications where they must perform complex tasks with a high degree of autonomy in uncertain environments. Traditional design flows based on domain knowledge and analytical models are often impractical for tasks such as perception, planning in uncertain environments, control with ill-defined objectives, etc. Machine learning based techniques have demonstrated good performance for such difficult tasks, leading to the introduction of Learning-Enabled Components (LEC) in CPS. Model based design techniques have been successful in the development of traditional CPS, and toolchains which apply these techniques to CPS with LECs are being actively developed. As LECs are critically dependent on training and data, one of the key challenges is to build design automation for them. In this paper, we examine the development of an autonomous Unmanned Underwater Vehicle (UUV) using the Assurance-based Learning-enabled Cyber-physical systems (ALC) Toolchain. Each stage of the development cycle is described including architectural modeling, data collection, LEC training, LEC evaluation and verification, and system-level assurance.</t>
  </si>
  <si>
    <t>cyber physical systems, model based design, machine learning</t>
  </si>
  <si>
    <t>RSP '19</t>
  </si>
  <si>
    <t>Hindsight Logging for Model Training</t>
  </si>
  <si>
    <t>Proc. VLDB Endow.</t>
  </si>
  <si>
    <t>682–693</t>
  </si>
  <si>
    <t>https://doi.org/10.14778/3436905.3436925;http://dx.doi.org/10.14778/3436905.3436925</t>
  </si>
  <si>
    <t>In modern Machine Learning, model training is an iterative, experimental process that can consume enormous computation resources and developer time. To aid in that process, experienced model developers log and visualize program variables during training runs. Exhaustive logging of all variables is infeasible, so developers are left to choose between slowing down training via extensive conservative logging, or letting training run fast via minimalist optimistic logging that may omit key information. As a compromise, optimistic logging can be accompanied by program checkpoints; this allows developers to add log statements post-hoc, and replay desired log statements from checkpoint---a process we refer to as hindsight logging. Unfortunately, hindsight logging raises tricky problems in data management and software engineering. Done poorly, hindsight logging can waste resources and generate technical debt embodied in multiple variants of training code. In this paper, we present methodologies for efficient and effective logging practices for model training, with a focus on techniques for hindsight logging. Our goal is for experienced model developers to learn and adopt these practices. To make this easier, we provide an open-source suite of tools for Fast Low-Overhead Recovery (flor) that embodies our design across three tasks: (i) efficient background logging in Python, (ii) adaptive periodic checkpointing, and (iii) an instrumentation library that codifies hindsight logging for efficient and automatic record-replay of model-training. Model developers can use each flor tool separately as they see fit, or they can use flor in hands-free mode, entrusting it to instrument their code end-to-end for efficient record-replay. Our solutions leverage techniques from physiological transaction logs and recovery in database systems. Evaluations on modern ML benchmarks demonstrate that flor can produce fast checkpointing with small user-specifiable overheads (e.g. 7%), and still provide hindsight log replay times orders of magnitude faster than restarting training from scratch.</t>
  </si>
  <si>
    <t>Vassallo C,Proksch S,Jancso A,Gall HC,Di Penta M</t>
  </si>
  <si>
    <t>Configuration Smells in Continuous Delivery Pipelines: A Linter and a Six-Month Study on GitLab</t>
  </si>
  <si>
    <t>327–337</t>
  </si>
  <si>
    <t>Proceedings of the 28th ACM Joint Meeting on European Software Engineering Conference and Symposium on the Foundations of Software Engineering</t>
  </si>
  <si>
    <t>Virtual Event, USA</t>
  </si>
  <si>
    <t>https://doi.org/10.1145/3368089.3409709;http://dx.doi.org/10.1145/3368089.3409709</t>
  </si>
  <si>
    <t>10.1145/3368089.3409709</t>
  </si>
  <si>
    <t>An effective and efficient application of Continuous Integration (CI) and Delivery (CD) requires software projects to follow certain principles and good practices. Configuring such a CI/CD pipeline is challenging and error-prone. Therefore, automated linters have been proposed to detect errors in the pipeline. While existing linters identify syntactic errors, detect security vulnerabilities or misuse of the features provided by build servers, they do not support developers that want to prevent common misconfigurations of a CD pipeline that potentially violate CD principles (“CD smells”). To this end, we propose CD-Linter, a semantic linter that can automatically identify four different smells in pipeline configuration files. We have evaluated our approach through a large-scale and long-term study that consists of (i) monitoring 145 issues (opened in as many open-source projects) over a period of 6 months, (ii) manually validating the detection precision and recall on a representative sample of issues, and (iii) assessing the magnitude of the observed smells on 5,312 open-source projects on GitLab. Our results show that CD smells are accepted and fixed by most of the developers and our linter achieves a precision of 87% and a recall of 94%. Those smells can be frequently observed in the wild, as 31% of projects with long configurations are affected by at least one smell.</t>
  </si>
  <si>
    <t>DevOps, Anti-pattern, Linter, Configuration, Continuous Delivery, Continuous Integration</t>
  </si>
  <si>
    <t>ESEC/FSE 2020</t>
  </si>
  <si>
    <t>Sousa A,Ribeiro G,Avelino G,Rocha L,Britto R</t>
  </si>
  <si>
    <t>SysRepoAnalysis: A Tool to Analyze and Identify Critical Areas of Source Code Repositories</t>
  </si>
  <si>
    <t>376–381</t>
  </si>
  <si>
    <t>Proceedings of the XXXVI Brazilian Symposium on Software Engineering</t>
  </si>
  <si>
    <t>https://doi.org/10.1145/3555228.3555281;http://dx.doi.org/10.1145/3555228.3555281</t>
  </si>
  <si>
    <t>10.1145/3555228.3555281</t>
  </si>
  <si>
    <t>SysRepoAnalysis is an open-source, multi-user web tool that allows online analysis of git repositories by extracting historical information from source code files over time, using mining software repository techniques. Such data can be useful for the development team to find critical areas of the code repository that have a high maintenance effort over time. The main metrics used are cyclomatic complexity, accumulation of LOC modifications (based on code-churn), and frequency of occurrence of files in commits over time. In addition, we use the composition of these metrics to find very complex source code files that are frequently modified and have many LOCs changed over time. Besides, to calculate these metrics, the tool allows the generation and display of a treemap of the repository’s directory and file structure and the rendering of a heatmap based on the metric chosen to be analyzed. Such features can be useful in helping the development team to find critical source code files or areas that contain such files. In this way, it can help the development team to make decisions regarding the choice of candidate files for refactorings that can generate a high maintenance effort. Among the main features of SysRepoAnalysis, we can highlight: control of user authentication and authorization, cloning and asynchronous analysis of user repositories (via message broker using producers and consumers), historical analysis and export of modified commits and files, calculation and export of results of the analyzed metrics and treemap generation of the repository’s directory and file structure, as well as the rendering of heatmap based on the metric chosen to be analyzed. The source code tool is published in GitHub repository1 and there is a presentation about the tool in Video2 3</t>
  </si>
  <si>
    <t>Large-scale Software Systems, Code Metrics, Software Maintenance and Evolution, Code Change Analysis, Mining Software Repositories</t>
  </si>
  <si>
    <t>SBES '22</t>
  </si>
  <si>
    <t>The Art and Practice of Data Science Pipelines: A Comprehensive Study of Data Science Pipelines in Theory, in-the-Small, and in-the-Large</t>
  </si>
  <si>
    <t>2091–2103</t>
  </si>
  <si>
    <t>https://doi.org/10.1145/3510003.3510057;http://dx.doi.org/10.1145/3510003.3510057</t>
  </si>
  <si>
    <t>Increasingly larger number of software systems today are including data science components for descriptive, predictive, and prescriptive analytics. The collection of data science stages from acquisition, to cleaning/curation, to modeling, and so on are referred to as data science pipelines. To facilitate research and practice on data science pipelines, it is essential to understand their nature. What are the typical stages of a data science pipeline? How are they connected? Do the pipelines differ in the theoretical representations and that in the practice? Today we do not fully understand these architectural characteristics of data science pipelines. In this work, we present a three-pronged comprehensive study to answer this for the state-of-the-art, data science in-the-small, and data science in-the-large. Our study analyzes three datasets: a collection of 71 proposals for data science pipelines and related concepts in theory, a collection of over 105 implementations of curated data science pipelines from Kaggle competitions to understand data science in-the-small, and a collection of 21 mature data science projects from GitHub to understand data science in-the-large. Our study has led to three representations of data science pipelines that capture the essence of our subjects in theory, in-the-small, and in-the-large.</t>
  </si>
  <si>
    <t>predictive, descriptive, data science processes, data science pipelines</t>
  </si>
  <si>
    <t>7–18</t>
  </si>
  <si>
    <t>Proceedings of the 26th Conference on Program Comprehension</t>
  </si>
  <si>
    <t>https://doi.org/10.1145/3196321.3196322;http://dx.doi.org/10.1145/3196321.3196322</t>
  </si>
  <si>
    <t>10.1145/3196321.3196322</t>
  </si>
  <si>
    <t>Android, natural language, mobile, program comprehension, code</t>
  </si>
  <si>
    <t>ICPC '18</t>
  </si>
  <si>
    <t>Dolby J,Tsay J,Hirzel M</t>
  </si>
  <si>
    <t>Automatically Debugging AutoML Pipelines Using Maro: ML Automated Remediation Oracle</t>
  </si>
  <si>
    <t>60–69</t>
  </si>
  <si>
    <t>Proceedings of the 6th ACM SIGPLAN International Symposium on Machine Programming</t>
  </si>
  <si>
    <t>San Diego, CA, USA</t>
  </si>
  <si>
    <t>https://doi.org/10.1145/3520312.3534868;http://dx.doi.org/10.1145/3520312.3534868</t>
  </si>
  <si>
    <t>10.1145/3520312.3534868</t>
  </si>
  <si>
    <t>Machine learning in practice often involves complex pipelines for data cleansing, feature engineering, preprocessing, and prediction. These pipelines are composed of operators, which have to be correctly connected and whose hyperparameters must be correctly configured. Unfortunately, it is quite common for certain combinations of datasets, operators, or hyperparameters to cause failures. Diagnosing and fixing those failures is tedious and error-prone and can seriously derail a data scientist's workflow. This paper describes an approach for automatically debugging an ML pipeline, explaining the failures, and producing a remediation. We implemented our approach, which builds on a combination of AutoML and SMT, in a tool called Maro. Maro works seamlessly with the familiar data science ecosystem including Python, Jupyter notebooks, scikit-learn, and AutoML tools such as Hyperopt. We empirically evaluate our tool and find that for most cases, a single remediation automatically fixes errors, produces no additional faults, and does not significantly impact optimal accuracy nor time to convergence.</t>
  </si>
  <si>
    <t>Automated Debugging, Automated Remediation, AI Debugging, AutoML</t>
  </si>
  <si>
    <t>MAPS 2022</t>
  </si>
  <si>
    <t>Gong L,Zhang J,Wei M,Zhang H,Huang Z</t>
  </si>
  <si>
    <t>What is the Intended Usage Context of This Model? - An Exploratory Study of Pre-Trained Models on Various Model Repositories</t>
  </si>
  <si>
    <t>https://doi.org/10.1145/3569934;http://dx.doi.org/10.1145/3569934</t>
  </si>
  <si>
    <t>10.1145/3569934</t>
  </si>
  <si>
    <t>There is a trend of researchers and practitioners to directly apply the pre-trained models to solve their specific tasks. For example, researchers in Software Engineering (SE) have successfully exploited the pre-trained language models to automatically generate the source code and comments. However, there are domain gaps in different benchmark datasets. These data-driven (or ML-based) models trained on one benchmark dataset may not operate smoothly on other benchmarks. Thus, the reuse of pre-trained models introduces large costs and additional problems of checking whether arbitrary pre-trained models are suitable for the task-specific reuse or not. To our knowledge, software engineers can leverage code contracts to maximize the reuse of existing software components or software services. Similar to the software reuse in the SE field, reuse software engineering could be extended to the area of pre-trained model reuse. Therefore, according to the model card’s and FactSheet’s guidance for suppliers of pre-trained models on what information they should be published, we propose model contracts including the pre- and post-conditions of pre-trained models to enable better model reuse. Furthermore, many non-trivial yet challenging issues have not been fully investigated, though many pre-trained models are readily available on the model repositories. Based on our model contract, we conduct an exploratory study of 1908 pre-trained models on six mainstream model repositories (i.e., the Tensorflow Hub, PyTorch Hub, Model Zoo, Wolfram neural net repository, Nvidia, and Hugging Face) to investigate the gap between necessary pre- and post-condition information and actual specifications. Our results clearly show that 1) the model repositories tend to provide confusing information of the pre-trained models, especially the information about the task’s type, model, training set; 2) the model repositories cannot provide all our proposed pre/post-condition information, especially the intended use, limitation, performance, and quantitative analysis. On the basis of our new findings, we suggest that 1) the developers of model repositories shall provide some necessary options (e.g., the training dataset, model algorithm, and performance measures) for each of pre/post-conditions of pre-trained models in each task type; 2) future researchers and practitioners provide more efficient metrics to recommend suitable pre-trained model; and 3) the suppliers of pre-trained models should report their pre-trained models in strict accordance with our proposed pre/post-condition and report their models according to the characteristics of each condition that has been reported in the model repositories.</t>
  </si>
  <si>
    <t>model contract, Software engineering for artificial intelligence, pre-trained models, model reuse</t>
  </si>
  <si>
    <t>Just Accepted</t>
  </si>
  <si>
    <t>Rubio-Medrano CE,Lamp J,Doupé A,Zhao Z,Ahn GJ</t>
  </si>
  <si>
    <t>Mutated Policies: Towards Proactive Attribute-Based Defenses for Access Control</t>
  </si>
  <si>
    <t>39–49</t>
  </si>
  <si>
    <t>Proceedings of the 2017 Workshop on Moving Target Defense</t>
  </si>
  <si>
    <t>Dallas, Texas, USA</t>
  </si>
  <si>
    <t>https://doi.org/10.1145/3140549.3140553;http://dx.doi.org/10.1145/3140549.3140553</t>
  </si>
  <si>
    <t>10.1145/3140549.3140553</t>
  </si>
  <si>
    <t>Recently, both academia and industry have recognized the need for leveraging real-time information for the purposes of specifying, enforcing and maintaining rich and flexible authorization policies. In such a context, security-related properties, a.k.a., attributes, have been recognized as a convenient abstraction for providing a well-defined representation of such information, allowing for them to be created and exchanged by different independently-run organizational domains for authorization purposes. However, attackers may attempt to compromise the way attributes are generated and communicated by recurring to hacking techniques, e.g., forgery, in an effort to bypass authorization policies and their corresponding enforcement mechanisms and gain unintended access to sensitive resources as a result.In this paper, we propose a novel technique that allows for enterprises to pro-actively collect attributes from the different entities involved in the access request process, e.g., users, subjects, protected resources, and running environments. After the collection, we aim to carefully select the attributes that uniquely identify the aforementioned entities, and randomly mutate the original access policies over time by adding additional policy rules constructed from the newly-identified attributes. This way, even when attackers are able to compromise the original attributes, our mutated policies may offer an additional layer of protection to deter ongoing and future attacks. We present the rationale and experimental results supporting our proposal, which provide evidence of its suitability for being deployed in practice.</t>
  </si>
  <si>
    <t>moving target defense, mutated policies, attributes, authorization, access control</t>
  </si>
  <si>
    <t>MTD '17</t>
  </si>
  <si>
    <t>Model-Based Design for CPS with Learning-Enabled Components</t>
  </si>
  <si>
    <t>Proceedings of the Workshop on Design Automation for CPS and IoT</t>
  </si>
  <si>
    <t>https://doi.org/10.1145/3313151.3313166;http://dx.doi.org/10.1145/3313151.3313166</t>
  </si>
  <si>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t>
  </si>
  <si>
    <t>model based design, cyber physical systems, machine learning</t>
  </si>
  <si>
    <t>DESTION '19</t>
  </si>
  <si>
    <t>Are We Building on the Rock? On the Importance of Data Preprocessing for Code Summarization</t>
  </si>
  <si>
    <t>107–119</t>
  </si>
  <si>
    <t>https://doi.org/10.1145/3540250.3549145;http://dx.doi.org/10.1145/3540250.3549145</t>
  </si>
  <si>
    <t>Code summarization, the task of generating useful comments given the code, has long been of interest. Most of the existing code summarization models are trained and validated on widely-used code comment benchmark datasets. However, little is known about the quality of the benchmark datasets built from real-world projects. Are the benchmark datasets as good as expected? To bridge the gap, we conduct a systematic research to assess and improve the quality of four benchmark datasets widely used for code summarization tasks. First, we propose an automated code-comment cleaning tool that can accurately detect noisy data caused by inappropriate data preprocessing operations from existing benchmark datasets. Then, we apply the tool to further assess the data quality of the four benchmark datasets, based on the detected noises. Finally, we conduct comparative experiments to investigate the impact of noisy data on the performance of code summarization models. The results show that these data preprocessing noises widely exist in all four benchmark datasets, and removing these noisy data leads to a significant improvement on the performance of code summarization. We believe that the findings and insights will enable a better understanding of data quality in code summarization tasks, and pave the way for relevant research and practice.</t>
  </si>
  <si>
    <t>Data Quality, Code Summarization, Empirical Study</t>
  </si>
  <si>
    <t>Koblah DS,Ganji F,Forte D,Tajik S</t>
  </si>
  <si>
    <t>Hardware Moving Target Defenses against Physical Attacks: Design Challenges and Opportunities</t>
  </si>
  <si>
    <t>25–36</t>
  </si>
  <si>
    <t>https://doi.org/10.1145/3560828.3564010;http://dx.doi.org/10.1145/3560828.3564010</t>
  </si>
  <si>
    <t>10.1145/3560828.3564010</t>
  </si>
  <si>
    <t>The concept of moving target defense (MTD) has entrenched itself as a viable strategy to reverse the typical asymmetries in cyber warfare. MTDs are technologies that seek to make target systems dynamically change in order to limit the time and information available to complete an attack, increase the likelihood of detection, and/or deter attackers from proceeding. The benefits of MTD have been shown for network-, operating system-, and application-level security. Hardware roots-of-trust, however, are static sitting ducks, especially against physical attacks, and can therefore benefit from the dynamics brought about by MTDs. Although many MTD concepts seem transferable to hardware applications, there has hardly been any work to establish a functioning research pipeline for countermeasures to physical attacks. The aim of this paper is to introduce viable MTD concepts, describe the issues that they can address, and chart a path towards their realization for the community.</t>
  </si>
  <si>
    <t>physical attacks, physically unclonable functions, moving target defense, fault injection, side-channel analysis, true random number generators, randomization, cyber deception</t>
  </si>
  <si>
    <t>Summary of the ICSE 2012 Tutorials and Technical Briefings</t>
  </si>
  <si>
    <t>1654–1657</t>
  </si>
  <si>
    <t>Proceedings of the 34th International Conference on Software Engineering</t>
  </si>
  <si>
    <t>ICSE '12</t>
  </si>
  <si>
    <t>1073–1085</t>
  </si>
  <si>
    <t>Proceedings of the ACM/IEEE 42nd International Conference on Software Engineering</t>
  </si>
  <si>
    <t>https://doi.org/10.1145/3377811.3380342;http://dx.doi.org/10.1145/3377811.3380342</t>
  </si>
  <si>
    <t>Statistical language modeling techniques have successfully been applied to large source code corpora, yielding a variety of new software development tools, such as tools for code suggestion, improving readability, and API migration. A major issue with these techniques is that code introduces new vocabulary at a far higher rate than natural language, as new identifier names proliferate. Both large vocabularies and out-of-vocabulary issues severely affect Neural Language Models (NLMs) of source code, degrading their performance and rendering them unable to scale.In this paper, we address this issue by: 1) studying how various modelling choices impact the resulting vocabulary on a large-scale corpus of 13,362 projects; 2) presenting an open vocabulary source code NLM that can scale to such a corpus, 100 times larger than in previous work; and 3) showing that such models outperform the state of the art on three distinct code corpora (Java, C, Python). To our knowledge, these are the largest NLMs for code that have been reported.All datasets, code, and trained models used in this work are publicly available.</t>
  </si>
  <si>
    <t>neural language models, naturalness of code, byte-pair encoding</t>
  </si>
  <si>
    <t>Liu ES,Lukes DA,Griswold WG</t>
  </si>
  <si>
    <t>Refactoring in Computational Notebooks</t>
  </si>
  <si>
    <t>https://doi.org/10.1145/3576036;http://dx.doi.org/10.1145/3576036</t>
  </si>
  <si>
    <t>10.1145/3576036</t>
  </si>
  <si>
    <t>Due to the exploratory nature of computational notebook development, a notebook can be extensively evolved even though it is small, potentially incurring substantial technical debt. Indeed, in interview studies notebook authors have attested to performing on-going tidying and big cleanups. However, many notebook authors are not trained as software developers, and environments like JupyterLab possess few features to aid notebook maintenance. As software refactoring is traditionally a critical tool for reducing technical debt, we sought to better understand the unique and growing ecology of computational notebooks by investigating the refactoring of public Jupyter notebooks. We randomly selected 15,000 Jupyter notebooks hosted on GitHub and studied 200 with meaningful commit histories. We found that notebook authors do refactor, favoring a few basic classic refactorings as well as those involving the notebook cell construct. Those with a computing background refactored differently than others, but not more so. Exploration-focused notebooks had a unique refactoring profile compared to more exposition-focused notebooks. Authors more often refactored their code as they went along, rather than deferring maintenance to big cleanups. These findings point to refactoring being intrinsic to notebook development.</t>
  </si>
  <si>
    <t>refactoring, end-user programming, computational notebooks</t>
  </si>
  <si>
    <t>Dam HK,Tran T,Grundy J,Ghose A</t>
  </si>
  <si>
    <t>DeepSoft: A Vision for a Deep Model of Software</t>
  </si>
  <si>
    <t>944–947</t>
  </si>
  <si>
    <t>https://doi.org/10.1145/2950290.2983985;http://dx.doi.org/10.1145/2950290.2983985</t>
  </si>
  <si>
    <t>10.1145/2950290.2983985</t>
  </si>
  <si>
    <t>Although software analytics has experienced rapid growth as a research area, it has not yet reached its full potential for wide industrial adoption. Most of the existing work in software analytics still relies heavily on costly manual feature engineering processes, and they mainly address the traditional classification problems, as opposed to predicting future events. We present a vision for DeepSoft, an end-to-end generic framework for modeling software and its development process to predict future risks and recommend interventions. DeepSoft, partly inspired by human memory, is built upon the powerful deep learning-based Long Short Term Memory architecture that is capable of learning long-term temporal dependencies that occur in software evolution. Such deep learned patterns of software can be used to address a range of challenging problems such as code and task recommendation and prediction. DeepSoft provides a new approach for research into modeling of source code, risk prediction and mitigation, developer modeling, and automatically generating code patches from bug reports.</t>
  </si>
  <si>
    <t>Mining Software Repositories, Software Analytics</t>
  </si>
  <si>
    <t>Lessons Learned from Hyper-Parameter Tuning for Microservice Candidate Identification</t>
  </si>
  <si>
    <t>1141–1145</t>
  </si>
  <si>
    <t>https://doi.org/10.1109/ASE51524.2021.9678704;http://dx.doi.org/10.1109/ASE51524.2021.9678704</t>
  </si>
  <si>
    <t>hyper-parameter optimization, microservices</t>
  </si>
  <si>
    <t>Lewis C,Lin Z,Sadowski C,Zhu X,Ou R,Whitehead Jr EJ</t>
  </si>
  <si>
    <t>Does Bug Prediction Support Human Developers? Findings from a Google Case Study</t>
  </si>
  <si>
    <t>372–381</t>
  </si>
  <si>
    <t>San Francisco, CA, USA</t>
  </si>
  <si>
    <t>Proceedings of the 2013 International Conference on Software Engineering</t>
  </si>
  <si>
    <t>ICSE '13</t>
  </si>
  <si>
    <t>Using Code Quality Features to Predict Bugs in Procedural Software Systems</t>
  </si>
  <si>
    <t>122–131</t>
  </si>
  <si>
    <t>Proceedings of the XXXII Brazilian Symposium on Software Engineering</t>
  </si>
  <si>
    <t>Sao Carlos, Brazil</t>
  </si>
  <si>
    <t>https://doi.org/10.1145/3266237.3266271;http://dx.doi.org/10.1145/3266237.3266271</t>
  </si>
  <si>
    <t>A wide range of metrics have been used as features to build bug (or fault) predictors. However, most of the existing predictors focus mostly on object-oriented (OO) systems, either because they rely on OO metrics or were evaluated mainly with OO systems. Procedural software systems (PSS), less addressed in bug prediction research, often suffer from maintainability problems because they typically consist of low-level applications, using for example preprocessors to cope with variability. Previous work evaluated sets of features (composed of static code metrics) proposed in existing approaches in the PSS context. However, explored metrics are limited to those that are part of traditional metric suites, being often associated with structural code properties. A type of information explored to a smaller extent in this context is the output of code quality tools that statically analyse source code, providing hints of code problems. In this paper, we investigate the use of information collected from quality tools to build bug predictors dedicated to PSS. We specify four features derived from code quality tools or associated with poor programming practices and evaluate the effectiveness of these features. Our evaluation shows that our proposed features improve bug predictors in our investigated context.</t>
  </si>
  <si>
    <t>procedural languanges, bug prediction, code metrics</t>
  </si>
  <si>
    <t>SBES '18</t>
  </si>
  <si>
    <t>Aljedaani W,Peruma A,Aljohani A,Alotaibi M,Mkaouer MW,Ouni A,Newman CD,Ghallab A,Ludi S</t>
  </si>
  <si>
    <t>Test Smell Detection Tools: A Systematic Mapping Study</t>
  </si>
  <si>
    <t>170–180</t>
  </si>
  <si>
    <t>https://doi.org/10.1145/3463274.3463335;http://dx.doi.org/10.1145/3463274.3463335</t>
  </si>
  <si>
    <t>10.1145/3463274.3463335</t>
  </si>
  <si>
    <t>Test smells are defined as sub-optimal design choices developers make when implementing test cases. Hence, similar to code smells, the research community has produced numerous test smell detection tools to investigate the impact of test smells on the quality and maintenance of test suites. However, little is known about the characteristics, type of smells, target language, and availability of these published tools. In this paper, we provide a detailed catalog of all known, peer-reviewed, test smell detection tools.We start with performing a comprehensive search of peer-reviewed scientific publications to construct a catalog of 22 tools. Then, we perform a comparative analysis to identify the smell types detected by each tool and other salient features that include programming language, testing framework support, detection strategy, and adoption, among others. From our findings, we discover tools that detect test smells in Java, Scala, Smalltalk, and C++ test suites, with Java support favored by most tools. These tools are available as command-line and IDE plugins, among others. Our analysis also shows that most tools overlap in detecting specific smell types, such as General Fixture. Further, we encounter four types of techniques these tools utilize to detect smells. We envision our study as a one-stop source for researchers and practitioners in determining the tool appropriate for their needs. Our findings also empower the community with information to guide future tool development.</t>
  </si>
  <si>
    <t>Measuring Architecture Quality by Structure plus History Analysis</t>
  </si>
  <si>
    <t>891–900</t>
  </si>
  <si>
    <t>Skowyra R,Bauer K,Dedhia V,Okhravi H</t>
  </si>
  <si>
    <t>Have No PHEAR: Networks Without Identifiers</t>
  </si>
  <si>
    <t>3–14</t>
  </si>
  <si>
    <t>https://doi.org/10.1145/2995272.2995276;http://dx.doi.org/10.1145/2995272.2995276</t>
  </si>
  <si>
    <t>10.1145/2995272.2995276</t>
  </si>
  <si>
    <t>Network protocols such as Ethernet and TCP/IP were not designed to ensure the security and privacy of users. To protect users' privacy, anonymity networks such as Tor have been proposed to hide both identities and communication contents for Internet traffic. However, such solutions cannot protect enterprise network traffic that does not transit the Internet. In this paper, we present the design, implementation, and evaluation of a moving target technique called Packet Header Randomization (PHEAR), a privacy-enhancing system for enterprise networks that leverages emerging Software-Defined Networking hardware and protocols to eliminate identifiers found at the MAC, Network, and higher layers of the network stack. PHEAR also encrypts all packet data beyond the Network layer. We evaluate the security of PHEAR against a variety of known and novel attacks and conduct whole-network experiments that show the prototype deployment provides sufficient performance for common applications such as web browsing and file sharing.</t>
  </si>
  <si>
    <t>anonymity, software-defined networking, enterprise network security, privacy</t>
  </si>
  <si>
    <t>Chen Q,Xia X,Hu H,Lo D,Li S</t>
  </si>
  <si>
    <t>Why My Code Summarization Model Does Not Work: Code Comment Improvement with Category Prediction</t>
  </si>
  <si>
    <t>https://doi.org/10.1145/3434280;http://dx.doi.org/10.1145/3434280</t>
  </si>
  <si>
    <t>10.1145/3434280</t>
  </si>
  <si>
    <t>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 “why,” “how-to-use,” “how-it-is-done,” “property,” and “others.” 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 and “property” 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t>
  </si>
  <si>
    <t>Code summarization, code comment, comment classification</t>
  </si>
  <si>
    <t>Schumacher J,Zazworka N,Shull F,Seaman C,Shaw M</t>
  </si>
  <si>
    <t>Building Empirical Support for Automated Code Smell Detection</t>
  </si>
  <si>
    <t>Proceedings of the 2010 ACM-IEEE International Symposium on Empirical Software Engineering and Measurement</t>
  </si>
  <si>
    <t>Bolzano-Bozen, Italy</t>
  </si>
  <si>
    <t>https://doi.org/10.1145/1852786.1852797;http://dx.doi.org/10.1145/1852786.1852797</t>
  </si>
  <si>
    <t>10.1145/1852786.1852797</t>
  </si>
  <si>
    <t>Identifying refactoring opportunities in software systems is an important activity in today's agile development environments. The concept of code smells has been proposed to characterize different types of design shortcomings in code. Additionally, metric-based detection algorithms claim to identify the smelly components automatically. This paper presents results for an empirical study performed in a commercial environment. The study investigates the way professional software developers detect god class code smells, then compares these results to automatic classification. The results show that, even though the subjects perceive detecting god classes as an easy task, the agreement for the classification is low. Misplaced methods are a strong driver for letting subjects identify god classes as such. Earlier proposed metric-based detection approaches performed well compared to the human classification. These results lead to the conclusion that an automated metric-based pre-selection decreases the effort spent on manual code inspections. Automatic detection accompanied by a manual review increases the overall confidence in the results of metric-based classifiers.</t>
  </si>
  <si>
    <t>code smells, code inspection, maintainability, god class, empirical study</t>
  </si>
  <si>
    <t>ESEM '10</t>
  </si>
  <si>
    <t>Wen F,Nagy C,Bavota G,Lanza M</t>
  </si>
  <si>
    <t>A Large-Scale Empirical Study on Code-Comment Inconsistencies</t>
  </si>
  <si>
    <t>53–64</t>
  </si>
  <si>
    <t>https://doi.org/10.1109/ICPC.2019.00019;http://dx.doi.org/10.1109/ICPC.2019.00019</t>
  </si>
  <si>
    <t>10.1109/ICPC.2019.00019</t>
  </si>
  <si>
    <t>Code comments are a primary means to document source code. Keeping comments up-to-date during code change activities requires substantial time and attention. For this reason, researchers have proposed methods to detect code-comment inconsistencies (i.e., comments that are not kept in sync with the code they document) and studies have been conducted to investigate this phenomenon. However, these studies were performed at a small scale, relying on quantitative analysis, thus limiting the empirical knowledge about code-comment inconsistencies. We present the largest study at date investigating how code and comments co-evolve. The study has been performed by mining 1.3 Billion AST-level changes from the complete history of 1,500 systems. Moreover, we manually analyzed 500 commits to define a taxonomy of code-comment inconsistencies fixed by developers. Our analysis discloses the extent to which different types of code changes (e.g., change of selection statements) trigger updates to the related comments, identifying cases in which code-comment inconsistencies are more likely to be introduced. The defined taxonomy categorizes the types of inconsistencies fixed by developers. Our results can guide the development of tools aimed at detecting and fixing code-comment inconsistencies.</t>
  </si>
  <si>
    <t>code comments, software evolution</t>
  </si>
  <si>
    <t>Schmitt Laser M,Medvidovic N,Le DM,Garcia J</t>
  </si>
  <si>
    <t>ARCADE: An Extensible Workbench for Architecture Recovery, Change, and Decay Evaluation</t>
  </si>
  <si>
    <t>1546–1550</t>
  </si>
  <si>
    <t>https://doi.org/10.1145/3368089.3417941;http://dx.doi.org/10.1145/3368089.3417941</t>
  </si>
  <si>
    <t>10.1145/3368089.3417941</t>
  </si>
  <si>
    <t>This paper presents the design, implementation, and usage details of ARCADE, an extensible workbench for supporting the recovery of software systems' architectures, and for evaluating architectural change and decay. ARCADE has been developed and maintained over the past decade, and has been deployed in a number of research labs as well as within three large companies. ARCADE's implementation is available at https://bitbucket.org/joshuaga/arcade and the video depicting its use at https://tinyurl.com/arcade-tool-demo.</t>
  </si>
  <si>
    <t>maintainability, reverse engineering, tool, software decay, software architecture</t>
  </si>
  <si>
    <t>176–185</t>
  </si>
  <si>
    <t>Proceedings of the 25th International Conference on Program Comprehension</t>
  </si>
  <si>
    <t>https://doi.org/10.1109/ICPC.2017.38;http://dx.doi.org/10.1109/ICPC.2017.38</t>
  </si>
  <si>
    <t>Refactoring aims at improving the internal structure of a software system without changing its external behavior. Previous studies empirically assessed, on the one hand, the benefits of refactoring in terms of code quality and developers' productivity, and on the other hand, the underlying reasons that push programmers to apply refactoring. Results achieved in the latter investigations indicate that besides personal motivation such as the responsibility concerned with code authorship, refactoring is mainly performed as a consequence of changes in the requirements rather than driven by software quality. However, these findings have been derived by surveying developers, and therefore no software repository study has been carried out to corroborate the achieved findings. To bridge this gap, we provide a quantitative investigation on the relationship between different types of code changes (i.e., Fault Repairing Modification, Feature Introduction Modification, and General Maintenance Modification) and 28 different refactoring types coming from 3 open source projects. Results showed that developers tend to apply a higher number of refactoring operations aimed at improving maintainability and comprehensibility of the source code when fixing bugs. Instead, when new features are implemented, more complex refactoring operations are performed to improve code cohesion. Most of the times, the underlying reasons behind the application of such refactoring operations are represented by the presence of duplicate code or previously introduced self-admitted technical debts.</t>
  </si>
  <si>
    <t>empirical studies, code changes, refactoring</t>
  </si>
  <si>
    <t>ICPC '17</t>
  </si>
  <si>
    <t>155–166</t>
  </si>
  <si>
    <t>Proceedings of the 33rd ACM/IEEE International Conference on Automated Software Engineering</t>
  </si>
  <si>
    <t>Montpellier, France</t>
  </si>
  <si>
    <t>https://doi.org/10.1145/3238147.3238201;http://dx.doi.org/10.1145/3238147.3238201</t>
  </si>
  <si>
    <t>Highly configurable systems are complex pieces of software. To tackle this complexity, hundreds of dedicated analysis techniques have been conceived, many of which able to analyze system properties for all possible system configurations, as opposed to traditional, single-system analyses. Unfortunately, it is largely unknown whether these techniques are adopted in practice, whether they address actual needs, or what strategies practitioners actually apply to analyze highly configurable systems. We present a study of analysis practices and needs in industry. It relied on a survey with 27 practitioners engineering highly configurable systems and follow-up interviews with 15 of them, covering 18 different companies from eight countries. We confirm that typical properties considered in the literature (e.g., reliability) are relevant, that consistency between variability models and artifacts is critical, but that the majority of analyses for specifications of configuration options (a.k.a., variability model analysis) is not perceived as needed. We identified rather pragmatic analysis strategies, including practices to avoid the need for analysis. For instance, testing with experience-based sampling is the most commonly applied strategy, while systematic sampling is rarely applicable. We discuss analyses that are missing and synthesize our insights into suggestions for future research.</t>
  </si>
  <si>
    <t>Highly Configurable Systems, Analysis, Product Lines</t>
  </si>
  <si>
    <t>ASE '18</t>
  </si>
  <si>
    <t>45–50</t>
  </si>
  <si>
    <t>2022 The 8th International Conference on Computing and Data Engineering</t>
  </si>
  <si>
    <t>Bangkok, Thailand</t>
  </si>
  <si>
    <t>https://doi.org/10.1145/3512850.3512861;http://dx.doi.org/10.1145/3512850.3512861</t>
  </si>
  <si>
    <t>Machine learning engineering, MLOps, Model provenance, Artificial Intelligence</t>
  </si>
  <si>
    <t>ICCDE 2022</t>
  </si>
  <si>
    <t>Fabijan A,Dmitriev P,Olsson HH,Bosch J,Vermeer L,Lewis D</t>
  </si>
  <si>
    <t>https://doi.org/10.1109/ICSE-SEIP.2019.00009;http://dx.doi.org/10.1109/ICSE-SEIP.2019.00009</t>
  </si>
  <si>
    <t>Online Controlled Experiments (OCEs) are transforming the decision-making process of data-driven companies into an experimental laboratory. Despite their great power in identifying what customers actually value, experimentation is very sensitive to data loss, skipped checks, wrong designs, and many other 'hiccups' in the analysis process. For this purpose, experiment analysis has traditionally been done by experienced data analysts and scientists that closely monitored experiments throughout their lifecycle. Depending solely on scarce experts, however, is neither scalable nor bulletproof. To democratize experimentation, analysis should be streamlined and meticulously performed by engineers, managers, or others responsible for the development of a product. In this paper, based on synthesized experience of companies that run thousands of OCEs per year, we examined how experts inspect online experiments. We reveal that most of the experiment analysis happens before OCEs are even started, and we summarize the key analysis steps in three checklists. The value of the checklists is threefold. First, they can increase the accuracy of experiment se-tup and decision-making process. Second, checklists can enable novice data scientists and software engineers to become more autonomous in setting-up and analyzing experiments. Finally, they can serve as a base to develop trustworthy platforms and tools for OCE set-up and analysis.</t>
  </si>
  <si>
    <t>a/b testing, experiment checklists, online controlled experiments</t>
  </si>
  <si>
    <t>51–58</t>
  </si>
  <si>
    <t>Proceedings of the 3rd International Workshop on Refactoring</t>
  </si>
  <si>
    <t>https://doi.org/10.1109/IWoR.2019.00017;http://dx.doi.org/10.1109/IWoR.2019.00017</t>
  </si>
  <si>
    <t>software quality, self-affirmed refactoring, mining software repositories</t>
  </si>
  <si>
    <t>IWOR '19</t>
  </si>
  <si>
    <t>Dlfinder: Characterizing and Detecting Duplicate Logging Code Smells</t>
  </si>
  <si>
    <t>152–163</t>
  </si>
  <si>
    <t>Proceedings of the 41st International Conference on Software Engineering</t>
  </si>
  <si>
    <t>https://doi.org/10.1109/ICSE.2019.00032;http://dx.doi.org/10.1109/ICSE.2019.00032</t>
  </si>
  <si>
    <t>code smell, duplicate log, log, empirical study, static analysis</t>
  </si>
  <si>
    <t>ICSE '19</t>
  </si>
  <si>
    <t>Towards Understanding Code Readability and Its Impact on Design Quality</t>
  </si>
  <si>
    <t>Proceedings of the 4th ACM SIGSOFT International Workshop on NLP for Software Engineering</t>
  </si>
  <si>
    <t>https://doi.org/10.1145/3283812.3283820;http://dx.doi.org/10.1145/3283812.3283820</t>
  </si>
  <si>
    <t>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τ ) with code smell count (indicator of design quality). Since current readability measure is unable to capture the increased difficulty in reading code due to the degraded design quality, our results hint towards the need of a better measurement and modeling of code readability.</t>
  </si>
  <si>
    <t>Code smell, Design quality, Readability</t>
  </si>
  <si>
    <t>NL4SE 2018</t>
  </si>
  <si>
    <t>Repairing Deep Neural Networks: Fix Patterns and Challenges</t>
  </si>
  <si>
    <t>1135–1146</t>
  </si>
  <si>
    <t>https://doi.org/10.1145/3377811.3380378;http://dx.doi.org/10.1145/3377811.3380378</t>
  </si>
  <si>
    <t>Significant interest in applying Deep Neural Network (DNN) has fueled the need to support engineering of software that uses DNNs. Repairing software that uses DNNs is one such unmistakable SE need where automated tools could be beneficial; however, we do not fully understand challenges to repairing and patterns that are utilized when manually repairing DNNs. What challenges should automated repair tools address? What are the repair patterns whose automation could help developers? Which repair patterns should be assigned a higher priority for building automated bug repair tools? This work presents a comprehensive study of bug fix patterns to address these questions. We have studied 415 repairs from Stack Overflow and 555 repairs from GitHub for five popular deep learning libraries Caffe, Keras, Tensorflow, Theano, and Torch to understand challenges in repairs and bug repair patterns. Our key findings reveal that DNN bug fix patterns are distinctive compared to traditional bug fix patterns; the most common bug fix patterns are fixing data dimension and neural network connectivity; DNN bug fixes have the potential to introduce adversarial vulnerabilities; DNN bug fixes frequently introduce new bugs; and DNN bug localization, reuse of trained model, and coping with frequent releases are major challenges faced by developers when fixing bugs. We also contribute a benchmark of 667 DNN (bug, repair) instances.</t>
  </si>
  <si>
    <t>deep neural networks, bugs, bug fix, bug fix patterns</t>
  </si>
  <si>
    <t>1498–1509</t>
  </si>
  <si>
    <t>https://doi.org/10.1109/ICSE43902.2021.00134;http://dx.doi.org/10.1109/ICSE43902.2021.00134</t>
  </si>
  <si>
    <t>GitHub repositories, documentation, code evolution, commits</t>
  </si>
  <si>
    <t>de F. Farias MA,Novais R,Júnior MC,da Silva Carvalho LP,Mendonça M,Spínola RO</t>
  </si>
  <si>
    <t>A Systematic Mapping Study on Mining Software Repositories</t>
  </si>
  <si>
    <t>1472–1479</t>
  </si>
  <si>
    <t>Proceedings of the 31st Annual ACM Symposium on Applied Computing</t>
  </si>
  <si>
    <t>Pisa, Italy</t>
  </si>
  <si>
    <t>https://doi.org/10.1145/2851613.2851786;http://dx.doi.org/10.1145/2851613.2851786</t>
  </si>
  <si>
    <t>10.1145/2851613.2851786</t>
  </si>
  <si>
    <t>Background: Software repositories provide large amount of data encompassing software changes throughout its evolution. Those repositories can be effectively used to extract and analyze pertinent information and derive conclusions related to the software history or its current snapshot. Objective: This work aims to investigate recent studies on Mining Software Repositories (MSR) approaches collecting evidences about software analysis goals (purpose, focus, and object of analysis), data sources, evaluation methods, tools, and how the area is evolving. Method: A systematic mapping study was performed to identify and analyze research on mining software repositories by analyzing five editions of Working Conference on Mining Software Repositories -- the main conference on this area. Results: MSR approaches have been used for many different goals, mainly for comprehension of defects, analysis of the contribution and behavior of developers, and software evolution comprehension. Besides, some gaps were identified with respect to their goals, focus, and data source type (e.g. lack of usage of comments to identify smells, refactoring, and issues of software quality). Regarding the evaluation method, our analysis pointed out to an extensive usage of some types of empirical evaluation. Conclusion: Studies of the MSR have focused on different goals, however there are still many research opportunities to be explored and issues associated with MSR that should be considered.</t>
  </si>
  <si>
    <t>systematic mapping study, empirical software engineering, mining software repository, secondary study</t>
  </si>
  <si>
    <t>SAC '16</t>
  </si>
  <si>
    <t>Gómez-Boix A,Frey D,Bromberg YD,Baudry B</t>
  </si>
  <si>
    <t>A Collaborative Strategy for Mitigating Tracking through Browser Fingerprinting</t>
  </si>
  <si>
    <t>67–78</t>
  </si>
  <si>
    <t>https://doi.org/10.1145/3338468.3356828;http://dx.doi.org/10.1145/3338468.3356828</t>
  </si>
  <si>
    <t>10.1145/3338468.3356828</t>
  </si>
  <si>
    <t>Browser fingerprinting is a technique that collects information about the browser configuration and the environment in which it is running. This information is so diverse that it can partially or totally identify users online. Over time, several countermeasures have emerged to mitigate tracking through browser fingerprinting. However, these measures do not offer full coverage in terms of privacy protection, as some of them may introduce inconsistencies or unusual behaviors, making these users stand out from the rest.We address these limitations by proposing a novel approach that minimizes both the identifiability of users and the required changes to browser configuration. To this end, we exploit clustering algorithms to identify the devices that are prone to share the same or similar fingerprints and to provide them with a new non-unique fingerprint. We then use this fingerprint to automatically assemble and run web browsers through virtualization within a docker container. Thus all the devices in the same cluster will end up running a web browser with an indistinguishable and consistent fingerprint.</t>
  </si>
  <si>
    <t>privacy protection, software diversity, browser fingerprinting</t>
  </si>
  <si>
    <t>499–510</t>
  </si>
  <si>
    <t>Proceedings of the 38th International Conference on Software Engineering</t>
  </si>
  <si>
    <t>https://doi.org/10.1145/2884781.2884825;http://dx.doi.org/10.1145/2884781.2884825</t>
  </si>
  <si>
    <t>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t>
  </si>
  <si>
    <t>software architecture, software metrics, software quality</t>
  </si>
  <si>
    <t>How Do You Architect Your Robots? State of the Practice and Guidelines for ROS-Based Systems</t>
  </si>
  <si>
    <t>Proceedings of the ACM/IEEE 42nd International Conference on Software Engineering: Software Engineering in Practice</t>
  </si>
  <si>
    <t>https://doi.org/10.1145/3377813.3381358;http://dx.doi.org/10.1145/3377813.3381358</t>
  </si>
  <si>
    <t>10.1145/3377813.3381358</t>
  </si>
  <si>
    <t>The Robot Operating System (ROS) is the de-facto standard for robotic software. If on one hand ROS is helping roboticists, e.g., by providing a standardized communication platform, on the other hand ROS-based systems are getting larger and more complex and could benefit from good software architecture practices. This paper presents an observational study aimed at (i) unveiling the state-of-the-practice for architecting ROS-based systems and (ii) providing guidance to roboticists about how to properly architect ROS-based systems. To achieve these goals, we (i) build a dataset of 335 GitHub repositories containing real open-source ROS-based systems, (ii) mine the repositories for extracting the state of the practice about how roboticists are architecting them, and (iii) synthesize a catalog of 49 evidence-based guidelines for architecting ROS-based systems. The guidelines have been validated by 77 roboticists working on real-world open-source ROS-based systems.</t>
  </si>
  <si>
    <t>ICSE-SEIP '20</t>
  </si>
  <si>
    <t>A Framework for Writing Trigger-Action Todo Comments in Executable Format</t>
  </si>
  <si>
    <t>385–396</t>
  </si>
  <si>
    <t>Proceedings of the 2019 27th ACM Joint Meeting on European Software Engineering Conference and Symposium on the Foundations of Software Engineering</t>
  </si>
  <si>
    <t>https://doi.org/10.1145/3338906.3338965;http://dx.doi.org/10.1145/3338906.3338965</t>
  </si>
  <si>
    <t>Natural language elements, e.g., todo comments, are frequently used to communicate among developers and to describe tasks that need to be performed (actions) when specific conditions hold on artifacts related to the code repository (triggers), e.g., from the Apache Struts project: “remove expectedJDK15 and if() after switching to Java 1.6”. As projects evolve, development processes change, and development teams reorganize, these comments, because of their informal nature, frequently become irrelevant or forgotten. We present the first framework, dubbed TrigIt, to specify trigger-action todo comments in executable format. Thus, actions are executed automatically when triggers evaluate to true. TrigIt specifications are written in the host language (e.g., Java) and are evaluated as part of the build process. The triggers are specified as query statements over abstract syntax trees, abstract representation of build configuration scripts, issue tracking systems, and system clock time. The actions are either notifications to developers or code transformation steps. We implemented TrigIt for the Java programming language and migrated 44 existing trigger-action comments from several popular open-source projects. Evaluation of TrigIt, via a user study, showed that users find TrigIt easy to learn and use. TrigIt has the potential to enforce more discipline in writing and maintaining comments in large code repositories.</t>
  </si>
  <si>
    <t>trigger-action, Todo comments, domain specific languages</t>
  </si>
  <si>
    <t>ESEC/FSE 2019</t>
  </si>
  <si>
    <t>Akbarinasaji S</t>
  </si>
  <si>
    <t>Prioritizing Lingering Bugs</t>
  </si>
  <si>
    <t>https://doi.org/10.1145/3178315.3178326;http://dx.doi.org/10.1145/3178315.3178326</t>
  </si>
  <si>
    <t>10.1145/3178315.3178326</t>
  </si>
  <si>
    <t>As the software projects become more complex, the release deci-sion is made without resolving all the bugs in the issue tracking system. Accumulation of the bugs in the bug repository is similar to nancial obligation as we borrow time and resources to engage in another activity rather than resolving the bugs. Deferring the bug in the next release may have some consequences. Therefore, the decision whether to resolve the bug in the current release or postponing it to the next release is a crucial decision. In this proposal, we study the deferred bugs (lingering bugs) against the non-deferred bugs (regular bugs). Our aim is to develop the pre-dictive model which can predict whether the bug would linger or not. Additionally, we are interested in measuring of the linger-ing bug in terms of principal (standard time it takes to x them) and risk of liability (impact). We propose to use reinforcement learning for prioritization of lingering bugs with respect to their impact.</t>
  </si>
  <si>
    <t>lingering bug, hidden markov model, bug repository, reinforcement learning, principal</t>
  </si>
  <si>
    <t>Saraiva J,Zong Z,Pereira R</t>
  </si>
  <si>
    <t>Bringing Green Software to Computer Science Curriculum: Perspectives from Researchers and Educators</t>
  </si>
  <si>
    <t>498–504</t>
  </si>
  <si>
    <t>Proceedings of the 26th ACM Conference on Innovation and Technology in Computer Science Education V. 1</t>
  </si>
  <si>
    <t>Virtual Event, Germany</t>
  </si>
  <si>
    <t>https://doi.org/10.1145/3430665.3456386;http://dx.doi.org/10.1145/3430665.3456386</t>
  </si>
  <si>
    <t>10.1145/3430665.3456386</t>
  </si>
  <si>
    <t>Only recently has the software engineering community started conducting research on developing energy efficient software, or green software. This is shadowed when compared to the research already produced in the computer hardware community. While research in green software is rapidly increasing, several recent studies with software engineers show that they still miss techniques, knowledge, and tools to develop greener software. Indeed, all such studies suggest that green software should be part of a modern Computer Science Curriculum.In this paper, we present survey results from both researchers' and educators' perspective on green software education. These surveys confirm the lack of courses and educational material for teaching green software in current higher education. Additionally, we highlight three key pedagogical challenges in bringing green software to computer science curriculum and discussed existing solutions to address these key challenges. We firmly believe that 'green thinking and the broad adoption of green software in computer science curriculum can greatly benefit our environment, society, and students in an era where software is everywhere and evolves in an unprecedented speed.</t>
  </si>
  <si>
    <t>green software, green education, green computing</t>
  </si>
  <si>
    <t>ITiCSE '21</t>
  </si>
  <si>
    <t>Guo X,Peng X,Wang H,Li W,Jiang H,Ding D,Xie T,Su L</t>
  </si>
  <si>
    <t>Graph-Based Trace Analysis for Microservice Architecture Understanding and Problem Diagnosis</t>
  </si>
  <si>
    <t>1387–1397</t>
  </si>
  <si>
    <t>https://doi.org/10.1145/3368089.3417066;http://dx.doi.org/10.1145/3368089.3417066</t>
  </si>
  <si>
    <t>10.1145/3368089.3417066</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</si>
  <si>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t>
  </si>
  <si>
    <t>Microservice, graph, visualization, architecture, tracing, fault localization</t>
  </si>
  <si>
    <t>142–143</t>
  </si>
  <si>
    <t>https://doi.org/10.1145/3524842.3528032;http://dx.doi.org/10.1145/3524842.3528032</t>
  </si>
  <si>
    <t>The purpose of scholarly peer review is to evaluate the quality of scientific manuscripts. However, study after study demonstrates that peer review neither effectively nor reliably assesses research quality. Empirical standards attempt to address this problem by modelling a scientific community's expectations for each kind of empirical study conducted in that community. This should enhance not only the quality of research but also the reliability and predictability of peer review, as scientists adopt the standards in both their researcher and reviewer roles. However, these improvements depend on the quality and adoption of the standards. This tutorial will therefore present the empirical standard for mining software repositories, both to communicate its contents and to get feedback from the attendees. The tutorial will be organized into three parts: (1) brief overview of the empirical standards project; (2) detailed presentation of the repository mining standard; (3) discussion and suggestions for improvement.</t>
  </si>
  <si>
    <t>mining software repositories, scholarly peer review, empirical standards</t>
  </si>
  <si>
    <t>Wurzel Gonçalves P,Çalikli G,Bacchelli A</t>
  </si>
  <si>
    <t>Interpersonal Conflicts During Code Review: Developers' Experience and Practices</t>
  </si>
  <si>
    <t>Proc. ACM Hum. -Comput. Interact.</t>
  </si>
  <si>
    <t>https://doi.org/10.1145/3512945;http://dx.doi.org/10.1145/3512945</t>
  </si>
  <si>
    <t>10.1145/3512945</t>
  </si>
  <si>
    <t>Code review consists of manual inspection, discussion, and judgment of source code by developers other than the code's author. Due to discussions around competing ideas and group decision-making processes, interpersonal conflicts during code reviews are expected. This study systematically investigates how developers perceive code review conflicts and addresses interpersonal conflicts during code reviews as a theoretical construct. Through the thematic analysis of interviews conducted with 22 developers, we confirm that conflicts during code reviews are commonplace, anticipated and seen as normal by developers. Even though conflicts do happen and carry a negative impact for the review, conflicts-if resolved constructively-can also create value and bring improvement. Moreover, the analysis provided insights on how strongly conflicts during code review and its context (i.e., code, developer, team, organization) are intertwined. Finally, there are aspects specific to code review conflicts that call for the research and application of customized conflict resolution and management techniques, some of which are discussed in this paper. Preprint: https://arxiv.org/abs/2201.05425 Data and material: https://doi.org/10.5281/zenodo.5848794</t>
  </si>
  <si>
    <t>human factors, interpersonal conflicts, conflict management, code review</t>
  </si>
  <si>
    <t>243–253</t>
  </si>
  <si>
    <t>https://doi.org/10.1145/3196398.3196410;http://dx.doi.org/10.1145/3196398.3196410</t>
  </si>
  <si>
    <t>10.1145/3196398.3196410</t>
  </si>
  <si>
    <t>mobile apps, deletion, taxonomy, survey, functionality, app store mining</t>
  </si>
  <si>
    <t>Rauf I,Petre M,Tun T,Lopez T,Lunn P,Van Der Linden D,Towse J,Sharp H,Levine M,Rashid A,Nuseibeh B</t>
  </si>
  <si>
    <t>The Case for Adaptive Security Interventions</t>
  </si>
  <si>
    <t>https://doi.org/10.1145/3471930;http://dx.doi.org/10.1145/3471930</t>
  </si>
  <si>
    <t>10.1145/3471930</t>
  </si>
  <si>
    <t>Despite the availability of various methods and tools to facilitate secure coding, developers continue to write code that contains common vulnerabilities. It is important to understand why technological advances do not sufficiently facilitate developers in writing secure code. To widen our understanding of developers' behaviour, we considered the complexity of the security decision space of developers using theory from cognitive and social psychology. Our interdisciplinary study reported in this article (1) draws on the psychology literature to provide conceptual underpinnings for three categories of impediments to achieving security goals, (2) reports on an in-depth meta-analysis of existing software security literature that identified a catalogue of factors that influence developers' security decisions, and (3) characterises the landscape of existing security interventions that are available to the developer during coding and identifies gaps. Collectively, these show that different forms of impediments to achieving security goals arise from different contributing factors. Interventions will be more effective where they reflect psychological factors more sensitively and marry technical sophistication, psychological frameworks, and usability. Our analysis suggests “adaptive security interventions” as a solution that responds to the changing security needs of individual developers and a present a proof-of-concept tool to substantiate our suggestion.</t>
  </si>
  <si>
    <t>adaptive software engineering, Security decisions, developers, cognitive psychology, security goals, security interventions, social psychology</t>
  </si>
  <si>
    <t>Proceedings of the 12th International Workshop on Automation of Software Testing</t>
  </si>
  <si>
    <t>https://doi.org/10.1109/AST.2017.3;http://dx.doi.org/10.1109/AST.2017.3</t>
  </si>
  <si>
    <t>gamification, automated testing, agile development, feedback channels</t>
  </si>
  <si>
    <t>AST '17</t>
  </si>
  <si>
    <t>469–481</t>
  </si>
  <si>
    <t>https://doi.org/10.1145/3524842.3528455;http://dx.doi.org/10.1145/3524842.3528455</t>
  </si>
  <si>
    <t>Efficiency is essential to support responsiveness w.r.t. ever-growing datasets, especially for Deep Learning (DL) systems. DL frameworks have traditionally embraced deferred execution-style DL code that supports symbolic, graph-based Deep Neural Network (DNN) computation. While scalable, such development tends to produce DL code that is error-prone, non-intuitive, and difficult to debug. Consequently, more natural, less error-prone imperative DL frameworks encouraging eager execution have emerged at the expense of run-time performance. While hybrid approaches aim for the best of both worlds, the challenges in applying them in the real world are largely unknown. We conduct a data-driven analysis of challenges---and resultant bugs---involved in writing reliable yet performant imperative DL code by studying 250 open-source projects, consisting of 19.7 MLOC, along with 470 and 446 manually examined code patches and bug reports, respectively. The results indicate that hybridization: (i) is prone to API misuse, (ii) can result in performance degradation---the opposite of its intention, and (iii) has limited application due to execution mode incompatibility. We put forth several recommendations, best practices, and anti-patterns for effectively hybridizing imperative DL code, potentially benefiting DL practitioners, API designers, tool developers, and educators.</t>
  </si>
  <si>
    <t>software evolution, graph-based execution, imperative programs, hybrid programming paradigms, deep learning, empirical studies</t>
  </si>
  <si>
    <t>1142–1153</t>
  </si>
  <si>
    <t>https://doi.org/10.1109/ICSE.2019.00117;http://dx.doi.org/10.1109/ICSE.2019.00117</t>
  </si>
  <si>
    <t>Type migration is a refactoring activity in which an existing type is replaced with another one throughout the source code. Manually performing type migration is tedious as programmers need to find all instances of the type to be migrated, along with its dependencies that propagate over assignment operations, method hierarchies, and subtypes. Existing automated approaches for type migration are not adequate for ultra-large-codebases - they perform an intensive whole-program analysis that does not scale. If we could represent the type structure of the program as graphs, then we could employ a MapReduce parallel and distributed process that scales to hundreds of millions of LOC. We implemented this approach as an IDE-independent tool called T2R, which integrates with most build systems. We evaluated T2R's accuracy, usefulness and scalability on seven open source projects and one proprietary codebase of 300M LOC. T2R generated 130 type migration patches, of which the original developers accepted 98%.</t>
  </si>
  <si>
    <t>type migration, refactoring, MapReduce</t>
  </si>
  <si>
    <t>Spadini D,Aniche M,Storey MA,Bruntink M,Bacchelli A</t>
  </si>
  <si>
    <t>When Testing Meets Code Review: Why and How Developers Review Tests</t>
  </si>
  <si>
    <t>677–687</t>
  </si>
  <si>
    <t>Proceedings of the 40th International Conference on Software Engineering</t>
  </si>
  <si>
    <t>https://doi.org/10.1145/3180155.3180192;http://dx.doi.org/10.1145/3180155.3180192</t>
  </si>
  <si>
    <t>10.1145/3180155.3180192</t>
  </si>
  <si>
    <t>Automated testing is considered an essential process for ensuring software quality. However, writing and maintaining high-quality test code is challenging and frequently considered of secondary importance. For production code, many open source and industrial software projects employ code review, a well-established software quality practice, but the question remains whether and how code review is also used for ensuring the quality of test code. The aim of this research is to answer this question and to increase our understanding of what developers think and do when it comes to reviewing test code. We conducted both quantitative and qualitative methods to analyze more than 300,000 code reviews, and interviewed 12 developers about how they review test files. This work resulted in an overview of current code reviewing practices, a set of identified obstacles limiting the review of test code, and a set of issues that developers would like to see improved in code review tools. The study reveals that reviewing test files is very different from reviewing production files, and that the navigation within the review itself is one of the main issues developers currently face. Based on our findings, we propose a series of recommendations and suggestions for the design of tools and future research.</t>
  </si>
  <si>
    <t>automated testing, gerrit, code review, software testing</t>
  </si>
  <si>
    <t>Weiss M,Tonella P</t>
  </si>
  <si>
    <t>Simple Techniques Work Surprisingly Well for Neural Network Test Prioritization and Active Learning (Replicability Study)</t>
  </si>
  <si>
    <t>139–150</t>
  </si>
  <si>
    <t>Proceedings of the 31st ACM SIGSOFT International Symposium on Software Testing and Analysis</t>
  </si>
  <si>
    <t>Virtual, South Korea</t>
  </si>
  <si>
    <t>https://doi.org/10.1145/3533767.3534375;http://dx.doi.org/10.1145/3533767.3534375</t>
  </si>
  <si>
    <t>10.1145/3533767.3534375</t>
  </si>
  <si>
    <t>Test Input Prioritizers (TIP) for Deep Neural Networks (DNN) are an important technique to handle the typically very large test datasets efficiently, saving computation and labelling costs. This is particularly true for large scale, deployed systems, where inputs observed in production are recorded to serve as potential test or training data for next versions of the system. Feng et. al. propose DeepGini, a very fast and simple TIP and show that it outperforms more elaborate techniques such as neuron- and surprise coverage. In a large-scale study (4 case studies, 8 test datasets, 32’200 trained models) we verify their findings. However, we also find that other comparable or even simpler baselines from the field of uncertainty quantification, such as the predicted softmax likelihood or the entropy of the predicted softmax likelihoods perform equally well as DeepGini</t>
  </si>
  <si>
    <t>Test prioritization, uncertainty quantification, neural networks</t>
  </si>
  <si>
    <t>ISSTA 2022</t>
  </si>
  <si>
    <t>Wang Z,Zhu S,Man K,Zhu P,Hao Y,Qian Z,Krishnamurthy SV,La Porta T,De Lucia MJ</t>
  </si>
  <si>
    <t>Themis: Ambiguity-Aware Network Intrusion Detection Based on Symbolic Model Comparison</t>
  </si>
  <si>
    <t>31–32</t>
  </si>
  <si>
    <t>https://doi.org/10.1145/3474370.3485669;http://dx.doi.org/10.1145/3474370.3485669</t>
  </si>
  <si>
    <t>10.1145/3474370.3485669</t>
  </si>
  <si>
    <t>symbolic execution, network intrusion detection system, tcp</t>
  </si>
  <si>
    <t>The Existence and Co-Modifications of Code Clones within or across Microservices</t>
  </si>
  <si>
    <t>Proceedings of the 15th ACM / IEEE International Symposium on Empirical Software Engineering and Measurement (ESEM)</t>
  </si>
  <si>
    <t>https://doi.org/10.1145/3475716.3475784;http://dx.doi.org/10.1145/3475716.3475784</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</si>
  <si>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 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t>
  </si>
  <si>
    <t>Co-modification, Microservice, Code Clone</t>
  </si>
  <si>
    <t>ESEM '21</t>
  </si>
  <si>
    <t>Improving Enterprise Software Maintenance Efficiency through Mining Software Repositories in an Industry Context</t>
  </si>
  <si>
    <t>706–709</t>
  </si>
  <si>
    <t>Companion Proceedings of the 36th International Conference on Software Engineering</t>
  </si>
  <si>
    <t>Hyderabad, India</t>
  </si>
  <si>
    <t>https://doi.org/10.1145/2591062.2591085;http://dx.doi.org/10.1145/2591062.2591085</t>
  </si>
  <si>
    <t>There is an increasing trend to outsource maintenance of large applications and application portfolios of a business to third parties, specializing in application maintenance, who are incented to deliver the best possible maintenance at the lowest cost. In a typical industry setting any maintenance project spans three different phases; Transition, Steady-State and Preventive Maintenance. Each phase has different goals and drivers, but underlying software repositories or artifacts remain the same. To improve the overall efficiency of the process and people involved in these different phases, we require appropriate insights to be derived from the available software repositories. In the past decade considerable research has been done in mining software repositories and deriving insights, particularly focussed on open source softwares. However, focussed studies on enterprise software maintenance in an industrial setting is severely lacking. In this thesis work, we intend to understand the industry needs on desired insights and limitations on available software artifacts across these different phases. Based on this understanding we intend to propose and develop novel methods and approaches for deriving desirable insights from software repositories. We also intend to leverage empirical techniques to validate our approaches both qualitatively and quantitatively.</t>
  </si>
  <si>
    <t>Productivity, Efficiency, Software Maintenance, Mining software repositories</t>
  </si>
  <si>
    <t>ICSE Companion 2014</t>
  </si>
  <si>
    <t>Kessel M,Atkinson C</t>
  </si>
  <si>
    <t>A Platform for Diversity-Driven Test Amplification</t>
  </si>
  <si>
    <t>35–41</t>
  </si>
  <si>
    <t>Proceedings of the 10th ACM SIGSOFT International Workshop on Automating TEST Case Design, Selection, and Evaluation</t>
  </si>
  <si>
    <t>https://doi.org/10.1145/3340433.3342825;http://dx.doi.org/10.1145/3340433.3342825</t>
  </si>
  <si>
    <t>10.1145/3340433.3342825</t>
  </si>
  <si>
    <t>Test amplification approaches take a manually written set of tests (input/output mappings) and enhance their effectiveness for some clearly defined engineering goal such as detecting faults. Conceptually, they can either achieve this in a ``black box'' way using only the initial ``seed'' tests or in a ``white box'' way utilizing additional inputs such as the source code or specification of the software under test. However, no fully black box approach to test amplification is currently available even though they can be used to enhance white box approaches. In this paper we introduce a new approach that uses the seed tests to search for existing redundant implementations of the software under test and leverages them as oracles in the generation and evaluation of new tests. The approach can therefore be used as a stand alone black box test amplification method or in tandem with other methods. In this paper we explain the approach, describe its synergies with other approaches and provide some evidence for its practical feasibility.</t>
  </si>
  <si>
    <t>oracle problem, mining software repositories, test amplification, automated testing, observations, behavior</t>
  </si>
  <si>
    <t>A-TEST 2019</t>
  </si>
  <si>
    <t>689–701</t>
  </si>
  <si>
    <t>https://doi.org/10.1145/3524842.3527932;http://dx.doi.org/10.1145/3524842.3527932</t>
  </si>
  <si>
    <t>refactoring, software quality, code review, developer perception</t>
  </si>
  <si>
    <t>Vogel-Heuser B,Neumann EM,Fischer J</t>
  </si>
  <si>
    <t>MICOSE4aPS: Industrially Applicable Maturity Metric to Improve Systematic Reuse of Control Software</t>
  </si>
  <si>
    <t>https://doi.org/10.1145/3467896;http://dx.doi.org/10.1145/3467896</t>
  </si>
  <si>
    <t>10.1145/3467896</t>
  </si>
  <si>
    <t>automated Production Systems (aPS) are highly complex, mechatronic systems that usually have to operate reliably for many decades. Standardization and reuse of control software modules is a core prerequisite to achieve the required system quality in increasingly shorter development cycles. However, industrial case studies in aPS show that many aPS companies still struggle with strategically reusing software. This paper proposes a metric-based approach to objectively measure the maturity of industrial IEC 61131-based control software in aPS (MICOSE4aPS) to identify potential weaknesses and quality issues hampering systematic reuse. Module developers in the machine and plant manufacturing industry can directly benefit as the metric calculation is integrated into the software engineering workflow. An in-depth industrial evaluation in a top-ranked machine manufacturing company in food packaging and an expert evaluation with different companies confirmed the benefit of efficiently managing the quality of control software.</t>
  </si>
  <si>
    <t>IEC 61131-3, programmable logic controllers, software quality, Automated production systems</t>
  </si>
  <si>
    <t>Zhuang R,DeLoach SA,Ou X</t>
  </si>
  <si>
    <t>Towards a Theory of Moving Target Defense</t>
  </si>
  <si>
    <t>Proceedings of the First ACM Workshop on Moving Target Defense</t>
  </si>
  <si>
    <t>Scottsdale, Arizona, USA</t>
  </si>
  <si>
    <t>https://doi.org/10.1145/2663474.2663479;http://dx.doi.org/10.1145/2663474.2663479</t>
  </si>
  <si>
    <t>10.1145/2663474.2663479</t>
  </si>
  <si>
    <t>The static nature of cyber systems gives attackers the advantage of time. Fortunately, a new approach, called the Moving Target Defense (MTD) has emerged as a potential solution to this problem. While promising, there is currently little research to show that MTD systems can work effectively in real systems. In fact, there is no standard definition of what an MTD is, what is meant by attack surface, or metrics to define the effectiveness of such systems. In this paper, we propose an initial theory that will begin to answer some of those questions. The paper defines the key concepts required to formally talk about MTD systems and their basic properties. It also discusses three essential problems of MTD systems, which include the MTD Problem (or how to select the next system configuration), the Adaptation Selection Problem, and the Timing Problem. We then formalize the MTD Entropy Hypothesis, which states that the greater the entropy of the system's configuration, the more effective the MTD system.</t>
  </si>
  <si>
    <t>science of security, computer security, network security, moving target defense</t>
  </si>
  <si>
    <t>MTD '14</t>
  </si>
  <si>
    <t>Miloudi C,Cheikhi L,Idri A</t>
  </si>
  <si>
    <t>A Review of Open Source Software Maintenance Effort Estimation</t>
  </si>
  <si>
    <t>Proceedings of the 13th International Conference on Intelligent Systems: Theories and Applications</t>
  </si>
  <si>
    <t>Rabat, Morocco</t>
  </si>
  <si>
    <t>https://doi.org/10.1145/3419604.3419809;http://dx.doi.org/10.1145/3419604.3419809</t>
  </si>
  <si>
    <t>10.1145/3419604.3419809</t>
  </si>
  <si>
    <t>Open Source Software (OSS) is gaining interests of software engineering community as well as practitioners from industry with the growth of the internet. Studies in estimating maintenance effort (MEE) of such software product have been published in the literature in order to provide better estimation. The aim of this study is to provide a review of studies related to maintenance effort estimation for open source software (OSSMEE). To this end, a set of 60 primary empirical studies are selected from six electronic databases and a discussion is provided according to eight research questions (RQs) related to: publication year, publication source, datasets (OSS projects), metrics (independent variables), techniques, maintenance effort (dependent variable), validation methods, and accuracy criteria used in the empirical validation. This study has found that popular OSS projects have been used, Linear Regression, Naïve Bayes and k Nearest Neighbors were frequently used, and bug resolution was the most used regarding the estimation of maintenance effort for the future releases. A set of gaps are identified and recommendations for researchers are also provided.</t>
  </si>
  <si>
    <t>techniques, Review, Maintenance effort estimation, metrics, Datasets, Open source software, Empirical</t>
  </si>
  <si>
    <t>SITA'20</t>
  </si>
  <si>
    <t>Xu S</t>
  </si>
  <si>
    <t>The Cybersecurity Dynamics Way of Thinking and Landscape</t>
  </si>
  <si>
    <t>69–80</t>
  </si>
  <si>
    <t>Proceedings of the 7th ACM Workshop on Moving Target Defense</t>
  </si>
  <si>
    <t>https://doi.org/10.1145/3411496.3421225;http://dx.doi.org/10.1145/3411496.3421225</t>
  </si>
  <si>
    <t>10.1145/3411496.3421225</t>
  </si>
  <si>
    <t>The Cybersecurity Dynamics framework offers an approach to systematically understanding, characterizing, quantifying and managing cybersecurity from a holistic perspective. The framework looks into cyberspace through the dynamics lens because environments in cyberspace often evolve with time (e.g., software vulnerabilities, attack capabilities, defense capabilities, and cybersecurity states). The dynamics lens offers a unique viewpoint, which guides the modeling of the various situations which evolve with respect to cybersecurity. This type of evolution is driven by attackers, defenders, and users of related systems and is manifested by their attack/defense/use activities. Since its inception in 2014, there has been significant progress in characterizing and taming various kinds of cybersecurity dynamics. In this paper we discuss the landscape and way-of-thinking that guide the Cybersecurity Dynamics model, including two killer applications and the technical barriers that serve as outstanding open problems for future research.</t>
  </si>
  <si>
    <t>cyber defense decision-making, cybersecurity quantification, science of cybersecurity, cyber defense orchestration, cybersecurity metrics, cybersecurity dynamics, cyber defense ooda loop, cybersecurity risk management, cybersecurity foundation</t>
  </si>
  <si>
    <t>MTD'20</t>
  </si>
  <si>
    <t>Li B,Qi P,Liu B,Di S,Liu J,Pei J,Yi J,Zhou B</t>
  </si>
  <si>
    <t>Trustworthy AI: From Principles to Practices</t>
  </si>
  <si>
    <t>https://doi.org/10.1145/3555803;http://dx.doi.org/10.1145/3555803</t>
  </si>
  <si>
    <t>10.1145/3555803</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</si>
  <si>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</si>
  <si>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transparency, generalization, reproducibility, accountability, Trustworthy AI, fairness, explainability, privacy protection, robustness</t>
  </si>
  <si>
    <t>Fabris A,Messina S,Silvello G,Susto GA</t>
  </si>
  <si>
    <t>Tackling Documentation Debt: A Survey on Algorithmic Fairness Datasets</t>
  </si>
  <si>
    <t>Equity and Access in Algorithms, Mechanisms, and Optimization</t>
  </si>
  <si>
    <t>Arlington, VA, USA</t>
  </si>
  <si>
    <t>https://doi.org/10.1145/3551624.3555286;http://dx.doi.org/10.1145/3551624.3555286</t>
  </si>
  <si>
    <t>10.1145/3551624.3555286</t>
  </si>
  <si>
    <t>A growing community of researchers has been investigating the equity of algorithms, advancing the understanding of risks and opportunities of automated decision-making for historically disadvantaged populations. Progress in fair Machine Learning (ML) hinges on data, which can be appropriately used only if adequately documented. Unfortunately, the research community, as a whole, suffers from a collective data documentation debt caused by a lack of information on specific resources (opacity) and scatteredness of available information (sparsity). In this work, we survey over two hundred datasets employed in algorithmic fairness research, producing standardized and searchable documentation for each of them. Moreover we rigorously identify the three most popular fairness datasets, namely Adult, COMPAS, and German Credit, for which we compile in-depth documentation. This unifying documentation effort targets documentation sparsity and supports multiple contributions. In the first part of this work, we summarize the merits and limitations of Adult, COMPAS, and German Credit, adding to and unifying recent scholarship, calling into question their suitability as general-purpose fairness benchmarks. To overcome this limitation, we document hundreds of available alternatives, annotating their domain and the algorithmic fairness tasks they support, along with additional properties of interest for fairness practitioners and researchers, including their format, cardinality, and the sensitive attributes they encode. In the second part, we summarize this information, zooming in on the domains and tasks supported by these resources. Overall, we assemble and summarize sparse information on hundreds of datasets into a single resource, which we make available to the community, with the aim of tackling the data documentation debt.</t>
  </si>
  <si>
    <t>Data studies, Documentation debt., Algorithmic fairness</t>
  </si>
  <si>
    <t>EAAMO '22</t>
  </si>
  <si>
    <t>Fang F</t>
  </si>
  <si>
    <t>Game Theoretic Models for Cyber Deception</t>
  </si>
  <si>
    <t>https://doi.org/10.1145/3474370.3485656;http://dx.doi.org/10.1145/3474370.3485656</t>
  </si>
  <si>
    <t>10.1145/3474370.3485656</t>
  </si>
  <si>
    <t>Cyber deception has great potential in thwarting cyberattacks [1, 4, 8]. A defender (e.g., network administrator) can use deceptive cyber artifacts such as honeypots and faking services to confuse attackers (e.g., hackers) and thus reduce the success rate and effectiveness of attacks. However, the attackers are often diverse and some attackers may be aware of the deception and adapt to the defender's strategy. Therefore, when the defender designs the deception strategy, he needs to take into account the attacker's strategic response. Game theory is suitable for such strategic interaction between the defender and the attacker. Building upon our previous work on security games,[2, 3] we developed a series of game-theoretic models for cyber deception, as well as algorithms to compute the equilibrium or the optimal defender strategy in the games.The first model we proposed is the Cyber Deception Game, a zero-sum Stackelberg game between the defender and an adversary. In this game, the defender is tasked to protect a set of targets, where each target corresponds to a system or a node in a network. Each target has a true configuration, which consists of a set of attributes, e.g., an operating system, services hosted, etc. The defender can choose an observed configuration for each target when responding to probes and scans that may be launched by the attacker. The observed configuration can be different from the true configuration and thus the deception. The attacker, after collecting information about the observed configuration, chooses which target to attack. We show that finding the defender's optimal strategy is NP-hard and provides mixed-integer linear programming (MILP)-based algorithms to compute the optimal deception scheme, and also several heuristic algorithms.In a follow-up work,[7] we extended this game model to a general-sum one, which captures the fact that the cost for the defender may not always be equal to the gain of the attacker. The general-sum nature of this new game model leads to new computational challenges. We provided a Fully Polynomial Time Approximation Scheme (FPTAS) for solving the game and designed a MILP-based algorithm together with several techniques to speed up the computation.In a recent work,[5] we proposed a new attack graph-based Stackelberg security game model and analyze the optimal deception strategy the defender can use. In contrast to previous models, the attacker in this new game can take sequential actions to reach the targets, which is modeled as taking a path on the attack graph. The defender can strategically manipulate the attack graph through deceptive actions in addition to allocating defensive resources to protect important targets from attackers. We provided a MILP-based solution for a special class of attack graphs and a neural architecture search-based method for general directed acyclic attack graphs.We empirically demonstrated the benefit of deception in all these game models and the scalability of the algorithms. This talk features an introduction to these models and algorithms, together with a discussion on future research directions for game theory-based cyber deception.</t>
  </si>
  <si>
    <t>cyber deception, game theory</t>
  </si>
  <si>
    <t>HatCUP: Hybrid Analysis and Attention Based Just-in-Time Comment Updating</t>
  </si>
  <si>
    <t>619–630</t>
  </si>
  <si>
    <t>https://doi.org/10.1145/3524610.3527901;http://dx.doi.org/10.1145/3524610.3527901</t>
  </si>
  <si>
    <t>When changing code, developers sometimes neglect updating the related comments, bringing inconsistent or outdated comments. These comments increase the cost of program understanding and greatly reduce software maintainability. Researchers have put forward some solutions, such as CUP and HEBCUP, which update comments efficiently for simple code changes (i.e. modifying of a single token), but not good enough for complex ones. In this paper, we propose an approach named HatCUP (Hybrid Analysis and Attention based Comment UPdater), to provide a new mechanism for comment updating task. HatCUP pays attention to hybrid analysis and information. First, HatCUP considers the code structure change information and introduces a structure-guided attention mechanism combined with code change graph analysis and optimistic data flow dependency analysis. With a generally popular RNN-based encoder-decoder architecture, HatCUP takes the action of the code edits, the syntax, semantics and structure code changes, and old comments as inputs and generates a structural representation of the changes in the current code snippet. Furthermore, instead of directly generating new comments, HatCUP proposes a new edit or non-edit mechanism to mimic human editing behavior, by generating a sequence of edit actions and constructing a modified RNN model to integrate newly developed components. Evaluation on a popular dataset demonstrates that HatCUP outperforms the state-of-the-art deep learning-based approaches (CUP) by 53.8% for accuracy, 31.3% for recall and 14.3% for METEOR of the original metrics. Compared with the heuristic-based approach (HEBCUP), HatCUP also shows better overall performance.</t>
  </si>
  <si>
    <t>code-comment co-evolution, hybrid analysis, deep learning, data flow analysis, comment updating</t>
  </si>
  <si>
    <t>Hu Z,Zhu M,Liu P</t>
  </si>
  <si>
    <t>Online Algorithms for Adaptive Cyber Defense on Bayesian Attack Graphs</t>
  </si>
  <si>
    <t>99–109</t>
  </si>
  <si>
    <t>https://doi.org/10.1145/3140549.3140556;http://dx.doi.org/10.1145/3140549.3140556</t>
  </si>
  <si>
    <t>10.1145/3140549.3140556</t>
  </si>
  <si>
    <t>Emerging zero-day vulnerabilities in information and communications technology systems make cyber defenses very challenging. In particular, the defender faces uncertainties of; e.g., system states and the locations and the impacts of vulnerabilities. In this paper, we study the defense problem on a computer network that is modeled as a partially observable Markov decision process on a Bayesian attack graph. We propose online algorithms which allow the defender to identify effective defense policies when utility functions are unknown a priori. The algorithm performance is verified via numerical simulations based on real-world attacks.</t>
  </si>
  <si>
    <t>online learning, network security, bayesian attack graphs, moving target defense, pomdp, adaptive cyber defense</t>
  </si>
  <si>
    <t>Lam P,Dietrich J,Pearce DJ</t>
  </si>
  <si>
    <t>Putting the Semantics into Semantic Versioning</t>
  </si>
  <si>
    <t>157–179</t>
  </si>
  <si>
    <t>Proceedings of the 2020 ACM SIGPLAN International Symposium on New Ideas, New Paradigms, and Reflections on Programming and Software</t>
  </si>
  <si>
    <t>https://doi.org/10.1145/3426428.3426922;http://dx.doi.org/10.1145/3426428.3426922</t>
  </si>
  <si>
    <t>10.1145/3426428.3426922</t>
  </si>
  <si>
    <t>The long-standing aspiration for software reuse has made astonishing strides in the past few years. Many modern software development ecosystems now come with rich sets of publicly-available components contributed by the community. Downstream developers can leverage these upstream components, boosting their productivity. However, components evolve at their own pace. This imposes obligations on and yields benefits for downstream developers, especially since changes can be breaking, requiring additional downstream work to adapt to. Upgrading too late leaves downstream vulnerable to security issues and missing out on useful improvements; upgrading too early results in excess work. Semantic versioning has been proposed as an elegant mechanism to communicate levels of compatibility, enabling downstream developers to automate dependency upgrades. While it is questionable whether a version number can adequately characterize version compatibility in general, we argue that developers would greatly benefit from tools such as semantic version calculators to help them upgrade safely. The time is now for the research community to develop such tools: large component ecosystems exist and are accessible, component interactions have become observable through automated builds, and recent advances in program analysis make the development of relevant tools feasible. In particular, contracts (both traditional and lightweight) are a promising input to semantic versioning calculators, which can suggest whether an upgrade is likely to be safe.</t>
  </si>
  <si>
    <t>program evolution, code contracts, verification, program analysis, semantic versioning</t>
  </si>
  <si>
    <t>Onward! 2020</t>
  </si>
  <si>
    <t>On Combining IR Methods to Improve Bug Localization</t>
  </si>
  <si>
    <t>252–262</t>
  </si>
  <si>
    <t>https://doi.org/10.1145/3387904.3389280;http://dx.doi.org/10.1145/3387904.3389280</t>
  </si>
  <si>
    <t>Information Retrieval (IR) methods have been recently employed to provide automatic support for bug localization tasks. However, for an IR-based bug localization tool to be useful, it has to achieve adequate retrieval accuracy. Lower precision and recall can leave developers with large amounts of incorrect information to wade through. To address this issue, in this paper, we systematically investigate the impact of combining various IR methods on the retrieval accuracy of bug localization engines. The main assumption is that different IR methods, targeting different dimensions of similarity between artifacts, can be used to enhance the confidence in each others' results. Five benchmark systems from different application domains are used to conduct our analysis. The results show that a) near-optimal global configurations can be determined for different combinations of IR methods, b) optimized IR-hybrids can significantly outperform individual methods as well as other unoptimized methods, and c) hybrid methods achieve their best performance when utilizing information-theoretic IR methods. Our findings can be used to enhance the practicality of IR-based bug localization tools and minimize the cognitive overload developers often face when locating bugs.</t>
  </si>
  <si>
    <t>Software Debugging, Information Retrieval, Bug Localization</t>
  </si>
  <si>
    <t>Pellegrini L,Lenarduzzi V</t>
  </si>
  <si>
    <t>Are Code Smells the Root Cause of Faults? A Continuous Experimentation Approach</t>
  </si>
  <si>
    <t>Proceedings of the 19th International Conference on Agile Software Development: Companion</t>
  </si>
  <si>
    <t>Porto, Portugal</t>
  </si>
  <si>
    <t>https://doi.org/10.1145/3234152.3234153;http://dx.doi.org/10.1145/3234152.3234153</t>
  </si>
  <si>
    <t>10.1145/3234152.3234153</t>
  </si>
  <si>
    <t>Code Smells are quite a good instrument to evaluate code's quality, even if they provide a general analysis: no one can assure that determined code smells are really responsible for faults. More and more software companies pay attention to produce qualitative software, in order to reduce the number of bugs. But how can they know, which code-refactoring really can decrease the faults' number? In this work, we aim to find out which code smells are really the cause of bugs and, through a continuous monitoring system, continuously propose companies code refactoring, with the aim of reduce drastically the number of bugs.</t>
  </si>
  <si>
    <t>continuous experimentation, code smells, fault</t>
  </si>
  <si>
    <t>XP '18</t>
  </si>
  <si>
    <t>Sambasivan N,Kapania S,Highfill H,Akrong D,Paritosh P,Aroyo LM</t>
  </si>
  <si>
    <t>“Everyone Wants to Do the Model Work, Not the Data Work”: Data Cascades in High-Stakes AI</t>
  </si>
  <si>
    <t>Proceedings of the 2021 CHI Conference on Human Factors in Computing Systems</t>
  </si>
  <si>
    <t>Yokohama, Japan</t>
  </si>
  <si>
    <t>https://doi.org/10.1145/3411764.3445518;http://dx.doi.org/10.1145/3411764.3445518</t>
  </si>
  <si>
    <t>AI models are increasingly applied in high-stakes domains like health and conservation. Data quality carries an elevated significance in high-stakes AI due to its heightened downstream impact, impacting predictions like cancer detection, wildlife poaching, and loan allocations. Paradoxically, data is the most under-valued and de-glamorised aspect of AI. In this paper, we report on data practices in high-stakes AI, from interviews with 53 AI practitioners in India, East and West African countries, and USA. We define, identify, and present empirical evidence on Data Cascades—compounding events causing negative, downstream effects from data issues—triggered by conventional AI/ML practices that undervalue data quality. Data cascades are pervasive (92% prevalence), invisible, delayed, but often avoidable. We discuss HCI opportunities in designing and incentivizing data excellence as a first-class citizen of AI, resulting in safer and more robust systems for all.</t>
  </si>
  <si>
    <t>India, data politics, developers, Data, data cascades, application-domain experts, ML, Ghana, USA, Uganda, AI, Kenya, data quality, Nigeria, high-stakes AI, raters, data collectors</t>
  </si>
  <si>
    <t>CHI '21</t>
  </si>
  <si>
    <t>132–138</t>
  </si>
  <si>
    <t>Proceedings of the 2020 the 4th International Conference on Information System and Data Mining</t>
  </si>
  <si>
    <t>Hawaii, HI, USA</t>
  </si>
  <si>
    <t>https://doi.org/10.1145/3404663.3404665;http://dx.doi.org/10.1145/3404663.3404665</t>
  </si>
  <si>
    <t>Disciplined practice of software architecture, and the broader encompassing discipline of software design, is fundamental to a project's success in every stage of the software life cycle. Choosing and implementing an appropriate architecture maximizes team velocity by structuring a project to meet business needs and adhere to quality standards. One enemy of good architecture is architecture drift, where software systems implement an architecture that is not specified. Even worse, architecture erosion threatens projects in the form of design decisions that violate prescriptive architecture as well as quality attributes. In this paper, we will discuss the importance of a reliable architecture, the symptoms of architecture drift and erosion, and some of the existing tools and methods used to combat them.</t>
  </si>
  <si>
    <t>Architecture Drift, Architecture Erosion, Software Architecture</t>
  </si>
  <si>
    <t>ICISDM 2020</t>
  </si>
  <si>
    <t>Eliciting Best Practices for Collaboration with Computational Notebooks</t>
  </si>
  <si>
    <t>https://doi.org/10.1145/3512934;http://dx.doi.org/10.1145/3512934</t>
  </si>
  <si>
    <t>10.1145/3512934</t>
  </si>
  <si>
    <t>Despite the widespread adoption of computational notebooks, little is known about best practices for their usage in collaborative contexts. In this paper, we fill this gap by eliciting a catalog of best practices for collaborative data science with computational notebooks. With this aim, we first look for best practices through a multivocal literature review. Then, we conduct interviews with professional data scientists to assess their awareness of these best practices. Finally, we assess the adoption of best practices through the analysis of 1,380 Jupyter notebooks retrieved from the Kaggle platform. Findings reveal that experts are mostly aware of the best practices and tend to adopt them in their daily work. Nonetheless, they do not consistently follow all the recommendations as, depending on specific contexts, some are deemed unfeasible or counterproductive due to the lack of proper tool support. As such, we envision the design of notebook solutions that allow data scientists not to have to prioritize exploration and rapid prototyping over writing code of quality.</t>
  </si>
  <si>
    <t>Kaggle, collaborative systems, data science, Jupyter notebook</t>
  </si>
  <si>
    <t>GPCE 2022: Proceedings of the 21st ACM SIGPLAN International Conference on Generative Programming: Concepts and Experiences</t>
  </si>
  <si>
    <t>Auckland, New Zealand</t>
  </si>
  <si>
    <t>Welcome to the 21st ACM SIGPLAN International Conference on Generative Programming: Concept &amp; Experiences (GPCE 2022) held on December 6th and 7th, 2022 in Auckland, New Zealand. GPCE is the premiere venue for researchers and practitioners interested in techniques that use program generation, domain-specific languages, and component deployment to increase programmer productivity, improve software quality, and shorten the time-to-market of software products. In addition to exploring cutting-edge techniques of generative software, GPCE seeks to foster cross-fertilization between software engineering and programming language.</t>
  </si>
  <si>
    <t>Limoncelli TA</t>
  </si>
  <si>
    <t>The Top 10 Things Executives Should Know about Software</t>
  </si>
  <si>
    <t>https://doi.org/10.1145/3316776;http://dx.doi.org/10.1145/3316776</t>
  </si>
  <si>
    <t>10.1145/3316776</t>
  </si>
  <si>
    <t>Software acumen is the new norm.</t>
  </si>
  <si>
    <t>Tom’s Top Ten Things Executives Should Know About Software: Software Acumen is the New Norm</t>
  </si>
  <si>
    <t>14–36</t>
  </si>
  <si>
    <t>https://doi.org/10.1145/3317287.3325792;http://dx.doi.org/10.1145/3317287.3325792</t>
  </si>
  <si>
    <t>10.1145/3317287.3325792</t>
  </si>
  <si>
    <t>Software is eating the world. To do their jobs well, executives and managers outside of technology will benefit from understanding some fundamentals of software and the software-delivery process.</t>
  </si>
  <si>
    <t>Testing Feedforward Neural Networks Training Programs</t>
  </si>
  <si>
    <t>https://doi.org/10.1145/3529318;http://dx.doi.org/10.1145/3529318</t>
  </si>
  <si>
    <t>10.1145/3529318</t>
  </si>
  <si>
    <t>Nowadays, we are witnessing an increasing effort to improve the performance and trustworthiness of Deep Neural Networks (DNNs), with the aim to enable their adoption in safety critical systems such as self-driving cars or aircraft collision-avoidance systems. Multiple testing techniques are proposed to generate test cases that can expose inconsistencies in the behavior of DNN models. These techniques assume implicitly that the training program is bug-free and appropriately configured. However, satisfying this assumption for a novel problem requires significant engineering work to prepare the data, design the DNN, implement the training program, and tune the hyperparameters in order to produce the model for which current automated test data generators search for corner-case behaviors. All these model training steps can be error-prone. Therefore, it is crucial to detect and correct errors throughout all the engineering steps of DNN-based software systems and not only on the resulting DNN model. In this paper, we gather a catalog of training issues and based on their symptoms and their effects on the behavior of the training program, we propose practical verification routines to detect the aforementioned issues, automatically, by continuously validating that some important properties of the learning dynamics hold during the training. Then, we design, TheDeepChecker, an end-to-end property-based debugging approach for DNN training programs and implement it as a TensorFlow-based library. As an empirical evaluation, we conduct a case study to assess the effectiveness of TheDeepChecker on synthetic and real-world buggy DL programs and compare its performance to that of the Amazon SageMaker Debugger (SMD). Results show that TheDeepChecker’s on-execution validation of DNN-based program’s properties through three sequential phases (pre-, on-, and post-fitting), succeeds in revealing several coding bugs and system misconfigurations errors, early on and at a low cost. Moreover, our property-based approach outperforms the SMD’s offline rules verification on training logs in terms of detection accuracy for unstable learning issues and coverage of additional DL bugs.</t>
  </si>
  <si>
    <t>property-based debugging, neural networks, training programs</t>
  </si>
  <si>
    <t>SDK4ED: One-Click Platform for Energy-Aware, Maintainable and Dependable Applications</t>
  </si>
  <si>
    <t>981–986</t>
  </si>
  <si>
    <t>European Design and Automation Association</t>
  </si>
  <si>
    <t>Leuven, BEL</t>
  </si>
  <si>
    <t>Proceedings of the 2022 Conference &amp; Exhibition on Design, Automation &amp; Test in Europe</t>
  </si>
  <si>
    <t>Antwerp, Belgium</t>
  </si>
  <si>
    <t>Developing modern secure and low-energy applications in a short time imposes new challenges and creates the need of designing new software tools to assist developers in all phases of application development. The design of such tools cannot be considered a trivial task, as they should be able to provide optimization of multiple quality requirements. In this paper, we introduce the SDK4ED platform, which incorporates advanced methods and tools for measuring and optimizing maintainability, dependability and energy. The presented solution offers a complete tool-flow for providing indicators and optimization methods with emphasis on embedded software. Effective forecasting models and decision-making solutions are also implemented to improve the quality of the software, respecting the constraints imposed on maintenance standards, energy consumption limits and security vulnerabilities. The use of the SDK4ED platform is demonstrated in a healthcare embedded application.</t>
  </si>
  <si>
    <t>dependability, software quality, development toolkit, energy consumption</t>
  </si>
  <si>
    <t>DATE '22</t>
  </si>
  <si>
    <t>Internetware '22: Proceedings of the 13th Asia-Pacific Symposium on Internetware</t>
  </si>
  <si>
    <t>Kontogiannis K,Cronin D,Giammaria A,Brealey C,Grigoriou M</t>
  </si>
  <si>
    <t>DevOps Toolchains for Continuous Engineering and Improvement</t>
  </si>
  <si>
    <t>IBM Corp.</t>
  </si>
  <si>
    <t>Proceedings of the 27th Annual International Conference on Computer Science and Software Engineering</t>
  </si>
  <si>
    <t>The workshop participants focused-on, and primarily discussed, three main areas a) models to denote and reconcile software system related data, obtained from different and diverse DevOps sources such as version control systems, bug reporting systems, collaboration tools and testing frameworks; b) analytics on software artifacts stored or created by DevOps tools; these artifacts include not only source code but also deployment scripts, configuration files, build specifications, bug reports, version histories, developer's comments and notes and c) infrastructures to support continuous maintenance and deployment by providing insights on deploy or no-deploy decision making choices, and by considering and analyzing information that is collected from the overall application and its constituent components. The workshop topics are related to the IBM DevOps Analytics, IBM DevOps Insights, and IBM DevOps Continuous Delivery (Open Toolchain) frameworks.</t>
  </si>
  <si>
    <t>CASCON '17</t>
  </si>
  <si>
    <t>Software Design as Story Telling: Reflecting on the Work of Italo Calvino</t>
  </si>
  <si>
    <t>195–208</t>
  </si>
  <si>
    <t>https://doi.org/10.1145/3426428.3426925;http://dx.doi.org/10.1145/3426428.3426925</t>
  </si>
  <si>
    <t>Are we really writing software? What do software writers have in common with other professional writers? What can we software developers learn from professional writers? This paper proposes a reflection on such topics using as a reference the book “Six Memos for the Next Millennium”, a posthumous essay by the Italian novelist, editor, and literary critic Italo Calvino. A comparison is drawn between such work and the current principles ruling how software should be written and developed, and a claim is made that this is an area worth further exploration.</t>
  </si>
  <si>
    <t>Software Professionals, Natural language analysis of source code artifacts, System metaphors, Quality Attributes, Common Practices, Software design</t>
  </si>
  <si>
    <t>SPLASH Companion 2022: Companion Proceedings of the 2022 ACM SIGPLAN International Conference on Systems, Programming, Languages, and Applications: Software for Humanity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</si>
  <si>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</si>
  <si>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Pârundefinedachi PP,White DR,Barr ET</t>
  </si>
  <si>
    <t>Aide-Mémoire: Improving a Project’s Collective Memory via Pull Request–Issue Links</t>
  </si>
  <si>
    <t>https://doi.org/10.1145/3542937;http://dx.doi.org/10.1145/3542937</t>
  </si>
  <si>
    <t>10.1145/3542937</t>
  </si>
  <si>
    <t>Links between pull-requests and the issues they address document and accelerate the development of a software project, but are often omitted. We present a new tool, Aide-mémoire, to suggest such links when a developer submits a pull-request or closes an issue, smoothly integrating into existing workflows. In contrast to previous state of the art approaches that repair related commit histories, Aide-mémoire is designed for continuous, real-time and long-term use, employing Mondrian Forests to adapt over a project’s lifetime and continuously improve traceability. Aide-mémoire is tailored for two specific instances of the general traceability problem — namely, commit to issue and pull-request (PR) to issue links, with a focus on the latter — and exploits data inherent to these two problems to outperform tools for general purpose link recovery. Our approach is online, language-agnostic, and scalable. We evaluate over a corpus of 213 projects and six programming languages, achieving a mean average precision of 0.95. Adopting Aide-mémoire is both efficient and effective: a programmer need only evaluate a single suggested link (94% ) of the time, and (16% ) of all discovered links were originally missed by developers.</t>
  </si>
  <si>
    <t>Link Inference, Missing Link, Traceability</t>
  </si>
  <si>
    <t>Lau S,Eldridge J,Ellis S,Fraenkel A,Langlois M,Rampure S,Tiefenbruck J,Guo PJ</t>
  </si>
  <si>
    <t>The Challenges of Evolving Technical Courses at Scale: Four Case Studies of Updating Large Data Science Courses</t>
  </si>
  <si>
    <t>201–211</t>
  </si>
  <si>
    <t>Proceedings of the Ninth ACM Conference on Learning @ Scale</t>
  </si>
  <si>
    <t>New York City, NY, USA</t>
  </si>
  <si>
    <t>https://doi.org/10.1145/3491140.3528278;http://dx.doi.org/10.1145/3491140.3528278</t>
  </si>
  <si>
    <t>10.1145/3491140.3528278</t>
  </si>
  <si>
    <t>Instructors who teach large-scale technical courses, especially on data science and programming, must do a large amount of logistical work when updating their courses. All of this behind-the-scenes labor takes time away from the pedagogically-meaningful work of teaching students. Over the past five years, the authors of this paper have created and updated eight courses for an undergraduate data science program that serves over 2,000 students per year. We present four case studies from our teaching experiences that highlight major challenges in maintaining and updating technical courses: 1) There were intricate dependencies between course materials, so making updates to one part of the course would require updating many other parts. 2) We needed to maintain several variants of course materials such as assignments. 3) We wrote large amounts of ad-hoc custom software infrastructure to manage logistics. 4) We could not easily reuse software written by others. Our case studies point to design ideas for instructor-oriented tools that can reduce the logistical complexities of teaching at scale, thus letting instructors focus on the substance of teaching rather than on mundane logistics.</t>
  </si>
  <si>
    <t>software infrastructure, course logistics, maintenance work</t>
  </si>
  <si>
    <t>L@S '22</t>
  </si>
  <si>
    <t>959–972</t>
  </si>
  <si>
    <t>2022 ACM Conference on Fairness, Accountability, and Transparency</t>
  </si>
  <si>
    <t>https://doi.org/10.1145/3531146.3533158;http://dx.doi.org/10.1145/3531146.3533158</t>
  </si>
  <si>
    <t>Deployed AI systems often do not work. They can be constructed haphazardly, deployed indiscriminately, and promoted deceptively. However, despite this reality, scholars, the press, and policymakers pay too little attention to functionality. This leads to technical and policy solutions focused on “ethical” or value-aligned deployments, often skipping over the prior question of whether a given system functions, or provides any benefits at all. To describe the harms of various types of functionality failures, we analyze a set of case studies to create a taxonomy of known AI functionality issues. We then point to policy and organizational responses that are often overlooked and become more readily available once functionality is drawn into focus. We argue that functionality is a meaningful AI policy challenge, operating as a necessary first step towards protecting affected communities from algorithmic harm.</t>
  </si>
  <si>
    <t>FAccT '22</t>
  </si>
  <si>
    <t>Rule A,Tabard A,Hollan JD</t>
  </si>
  <si>
    <t>Exploration and Explanation in Computational Notebooks</t>
  </si>
  <si>
    <t>Proceedings of the 2018 CHI Conference on Human Factors in Computing Systems</t>
  </si>
  <si>
    <t>Montreal QC, Canada</t>
  </si>
  <si>
    <t>https://doi.org/10.1145/3173574.3173606;http://dx.doi.org/10.1145/3173574.3173606</t>
  </si>
  <si>
    <t>10.1145/3173574.3173606</t>
  </si>
  <si>
    <t>Computational notebooks combine code, visualizations, and text in a single document. Researchers, data analysts, and even journalists are rapidly adopting this new medium. We present three studies of how they are using notebooks to document and share exploratory data analyses. In the first, we analyzed over 1 million computational notebooks on GitHub, finding that one in four had no explanatory text but consisted entirely of visualizations or code. In a second study, we examined over 200 academic computational notebooks, finding that although the vast majority described methods, only a minority discussed reasoning or results. In a third study, we interviewed 15 academic data analysts, finding that most considered computational notebooks personal, exploratory, and messy. Importantly, they typically used other media to share analyses. These studies demonstrate a tension between exploration and explanation in constructing and sharing computational notebooks. We conclude with opportunities to encourage explanation in computational media without hindering exploration.</t>
  </si>
  <si>
    <t>narrative, data science, computational notebook, jupyter notebook, data analysis</t>
  </si>
  <si>
    <t>CHI '18</t>
  </si>
  <si>
    <t>CHI '21: Proceedings of the 2021 CHI Conference on Human Factors in Computing Systems</t>
  </si>
  <si>
    <t>Hertzmann A</t>
  </si>
  <si>
    <t>Computers Do Not Make Art, People Do</t>
  </si>
  <si>
    <t>https://doi.org/10.1145/3347092;http://dx.doi.org/10.1145/3347092</t>
  </si>
  <si>
    <t>10.1145/3347092</t>
  </si>
  <si>
    <t>The continually evolving relationship between artistic technologies and artists.</t>
  </si>
  <si>
    <t>Metcalf J,Moss E,Watkins EA,Singh R,Elish MC</t>
  </si>
  <si>
    <t>Algorithmic Impact Assessments and Accountability: The Co-Construction of Impacts</t>
  </si>
  <si>
    <t>735–746</t>
  </si>
  <si>
    <t>https://doi.org/10.1145/3442188.3445935;http://dx.doi.org/10.1145/3442188.3445935</t>
  </si>
  <si>
    <t>10.1145/3442188.3445935</t>
  </si>
  <si>
    <t>Algorithmic impact assessments (AIAs) are an emergent form of accountability for organizations that build and deploy automated decision-support systems. They are modeled after impact assessments in other domains. Our study of the history of impact assessments shows that impacts are an evaluative construct that enable actors to identify and ameliorate harms experienced because of a policy decision or system. Every domain has different expectations and norms around what constitutes impacts and harms, how potential harms are rendered as impacts of a particular undertaking, who is responsible for conducting such assessments, and who has the authority to act on them to demand changes to that undertaking. By examining proposals for AIAs in relation to other domains, we find that there is a distinct risk of constructing algorithmic impacts as organizationally understandable metrics that are nonetheless inappropriately distant from the harms experienced by people, and which fall short of building the relationships required for effective accountability. As impact assessments become a commonplace process for evaluating harms, the FAccT community, in its efforts to address this challenge, should A) understand impacts as objects that are co-constructed accountability relationships, B) attempt to construct impacts as close as possible to actual harms, and C) recognize that accountability governance requires the input of various types of expertise and affected communities. We conclude with lessons for assembling cross-expertise consensus for the co-construction of impacts and building robust accountability relationships.</t>
  </si>
  <si>
    <t>harm, governance, impact, algorithmic impact assessment, accountability</t>
  </si>
  <si>
    <t>Wen J,Chen Z,Jin X,Liu X</t>
  </si>
  <si>
    <t>Rise of the Planet of Serverless Computing: A Systematic Review</t>
  </si>
  <si>
    <t>https://doi.org/10.1145/3579643;http://dx.doi.org/10.1145/3579643</t>
  </si>
  <si>
    <t>10.1145/3579643</t>
  </si>
  <si>
    <t>Serverless computing is an emerging cloud computing paradigm, being adopted to develop a wide range of software applications. It allows developers to focus on the application logic in the granularity of function, thereby freeing developers from tedious and error-prone infrastructure management. Meanwhile, its unique characteristic poses new challenges to the development and deployment of serverless-based applications. To tackle these challenges, enormous research efforts have been devoted. This paper provides a comprehensive literature review to characterize the current research state of serverless computing. Specifically, this paper covers 164 papers on 17 research directions of serverless computing, including performance optimization, programming framework, application migration, multi-cloud development, testing and debugging, etc. It also derives research trends, focus, and commonly-used platforms for serverless computing, as well as promising research opportunities.</t>
  </si>
  <si>
    <t>literature view, serverless computing</t>
  </si>
  <si>
    <t>SBCARS '22: Proceedings of the 16th Brazilian Symposium on Software Components, Architectures, and Reuse</t>
  </si>
  <si>
    <t>Campbell M,Keil M,Boodraj M</t>
  </si>
  <si>
    <t>The Impact of Behavioral Similarity on DSS Advice Acceptance: A Field Experiment</t>
  </si>
  <si>
    <t>SIGMIS Database</t>
  </si>
  <si>
    <t>10–25</t>
  </si>
  <si>
    <t>0095-0033</t>
  </si>
  <si>
    <t>https://doi.org/10.1145/3551783.3551786;http://dx.doi.org/10.1145/3551783.3551786</t>
  </si>
  <si>
    <t>10.1145/3551783.3551786</t>
  </si>
  <si>
    <t>Despite the many advantages that decision support systems (DSSs) provide to decision makers, acceptance of advice from these systems has remained relatively low. In this study, we leverage theoretical insights from the literature to build a DSS that is behaviorally similar to its user, with the aim of increasing acceptance of DSS advice. To test whether users would be more accepting of advice from a behaviorally-similar DSS, we conducted a field experiment in a complex semi-structured decision context. The results of our experiment provide empirical evidence that a behaviorally-similar DSS can increase acceptance of advice in semi-structured decision-making contexts.</t>
  </si>
  <si>
    <t>dss advice acceptance, it artifacts as social actors, field experiment, artificial neural network, decision support system, behavioral similarity</t>
  </si>
  <si>
    <t>Lin J,Ryaboy D</t>
  </si>
  <si>
    <t>Scaling Big Data Mining Infrastructure: The Twitter Experience</t>
  </si>
  <si>
    <t>SIGKDD Explor. Newsl.</t>
  </si>
  <si>
    <t>6–19</t>
  </si>
  <si>
    <t>1931-0145</t>
  </si>
  <si>
    <t>https://doi.org/10.1145/2481244.2481247;http://dx.doi.org/10.1145/2481244.2481247</t>
  </si>
  <si>
    <t>10.1145/2481244.2481247</t>
  </si>
  <si>
    <t>The analytics platform at Twitter has experienced tremendous growth over the past few years in terms of size, complexity, number of users, and variety of use cases. In this paper, we discuss the evolution of our infrastructure and the development of capabilities for data mining on big data. One important lesson is that successful big data mining in practice is about much more than what most academics would consider data mining: life in the trenches is occupied by much preparatory work that precedes the application of data mining algorithms and followed by substantial effort to turn preliminary models into robust solutions. In this context, we discuss two topics: First, schemas play an important role in helping data scientists understand petabyte-scale data stores, but they're insufficient to provide an overall big picture of the data available to generate insights. Second, we observe that a major challenge in building data analytics platforms stems from the heterogeneity of the various components that must be integrated together into production workflows---we refer to this as plumbing. This paper has two goals: For practitioners, we hope to share our experiences to flatten bumps in the road for those who come after us. For academic researchers, we hope to provide a broader context for data mining in production environments, pointing out opportunities for future work.</t>
  </si>
  <si>
    <t>3474–3488</t>
  </si>
  <si>
    <t>https://doi.org/10.14778/3415478.3415570;http://dx.doi.org/10.14778/3415478.3415570</t>
  </si>
  <si>
    <t>The need for responsible data management intensifies with the growing impact of data on society. One central locus of the societal impact of data are Automated Decision Systems (ADS), socio-legal-technical systems that are used broadly in industry, non-profits, and government. ADS process data about people, help make decisions that are consequential to people's lives, are designed with the stated goals of improving efficiency and promoting equitable access to opportunity, involve a combination of human and automated decision making, and are subject to auditing for legal compliance and to public disclosure. They may or may not use AI, and may or may not operate with a high degree of autonomy, but they rely heavily on data.In this article, we argue that the data management community is uniquely positioned to lead the responsible design, development, use, and oversight of ADS. We outline a technical research agenda that requires that we step outside our comfort zone of engineering for efficiency and accuracy, to also incorporate reasoning about values and beliefs. This seems high-risk, but one of the upsides is being able to explain to our children what we do and why it matters.</t>
  </si>
  <si>
    <t>Contributions to Openroad from Abroad: Experiences and Learnings</t>
  </si>
  <si>
    <t>Proceedings of the 39th International Conference on Computer-Aided Design</t>
  </si>
  <si>
    <t>https://doi.org/10.1145/3400302.3415737;http://dx.doi.org/10.1145/3400302.3415737</t>
  </si>
  <si>
    <t>10.1145/3400302.3415737</t>
  </si>
  <si>
    <t>The OpenROAD project is an ambitious initiative seeking to develop an automated, open-source RTL-to-GDSII flow. To build its complex toolset, OpenROAD brings together a team of industry experts, veteran scholars, and enthusiastic students from different schools and different countries. This paper first presents our path to becoming OpenROAD contributors, highlighting the nature of the OpenROAD project, the recruitment process, and the necessary logistics. We then summarize the contributions of the Brazilian team to the OpenROAD project; these comprise the development of five tools and more than 10K lines of released code, along with authorship or co-authorship of two publications in the research literature. We also summarize our experiences from working in a large software project: (i) working environment and relationship with people from around the world; (ii) task management and short turnaround times; (iii) continuous integration and testing; etc. Finally, we highlight the challenges of refurbishing academic research codes for use in the design of production ICs.</t>
  </si>
  <si>
    <t>open-source, VLSI CAD, placement, routing, electronic design automation, clock tree synthesis, RTL-to-GDSII, floorplan</t>
  </si>
  <si>
    <t>ICCAD '20</t>
  </si>
  <si>
    <t>Bertolino A,Angelis G,Gallego M,García B,Gortázar F,Lonetti F,Marchetti E</t>
  </si>
  <si>
    <t>A Systematic Review on Cloud Testing</t>
  </si>
  <si>
    <t>https://doi.org/10.1145/3331447;http://dx.doi.org/10.1145/3331447</t>
  </si>
  <si>
    <t>10.1145/3331447</t>
  </si>
  <si>
    <t>A systematic literature review is presented that surveyed the topic of cloud testing over the period 2012--2017. Cloud testing can refer either to testing cloud-based systems (testing of the cloud) or to leveraging the cloud for testing purposes (testing in the cloud): both approaches (and their combination into testing of the cloud in the cloud) have drawn research interest. An extensive paper search was conducted by both automated query of popular digital libraries and snowballing, which resulted in the final selection of 147 primary studies. Along the survey, a framework has been incrementally derived that classifies cloud testing research among six main areas and their topics. The article includes a detailed analysis of the selected primary studies to identify trends and gaps, as well as an extensive report of the state-of-the-art as it emerges by answering the identified Research Questions. We find that cloud testing is an active research field, although not all topics have received enough attention and conclude by presenting the most relevant open research challenges for each area of the classification framework.</t>
  </si>
  <si>
    <t>Cloud computing, testing, systematic literature review</t>
  </si>
  <si>
    <t>Karanikolas CA,Dimitroulakos G,Masselos K</t>
  </si>
  <si>
    <t>Simulating Software Evolution to Evaluate the Reliability of Early Decision-Making among Design Alternatives towards Maintainability</t>
  </si>
  <si>
    <t>https://doi.org/10.1145/3569931;http://dx.doi.org/10.1145/3569931</t>
  </si>
  <si>
    <t>10.1145/3569931</t>
  </si>
  <si>
    <t>Critical decisions among design alternatives with regards to maintainability arise early in the software design cycle. Existing comparison models relayed on the structural evolution of the used design patterns are suitable to support such decisions. However, their effectiveness on predicting maintenance effort is usually verified on a limited number of case studies under heterogeneous metrics. In this paper, a multi-variable simulation model for validating the decision-making reliability of the derived formal comparison models for the significant designing problem of recursive hierarchies of part-whole aggregations, proposed in our prior work, is introduced. In the absence of a strictly validation, the simulation model has been thoroughly calibrated concerning its decision-making precision based on empirical distributions from time series analysis, approximating the highly uncertain nature of actual maintenance process. The decision reliability of the formal models has been statistically validated on a sample of one thousand instances of design attributes representing the entire design-space of the problem. Despite the limited accuracy of measurements, the results show that the models demonstrate an increasing reliability in a long-term perspective even under assumptions of high variability. Thus, the modeling theory discussed in our prior work delivers reliable models that significantly reduce decision-risk and relevant maintenance cost.</t>
  </si>
  <si>
    <t>Maintainability quality attribute requirement, Design pattern, Statistical validation, Software evolution</t>
  </si>
  <si>
    <t>Hassan S,Bahsoon R,Minku L,Ali N</t>
  </si>
  <si>
    <t>Dynamic Evaluation of Microservice Granularity Adaptation</t>
  </si>
  <si>
    <t>https://doi.org/10.1145/3502724;http://dx.doi.org/10.1145/3502724</t>
  </si>
  <si>
    <t>10.1145/3502724</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</si>
  <si>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t>
  </si>
  <si>
    <t>runtime, Microservices, granularity, software economics, decisions</t>
  </si>
  <si>
    <t>ARES '22: Proceedings of the 17th International Conference on Availability, Reliability and Security</t>
  </si>
  <si>
    <t>EAAMO '22: Equity and Access in Algorithms, Mechanisms, and Optimization</t>
  </si>
  <si>
    <t>MPLR '22: Proceedings of the 19th International Conference on Managed Programming Languages and Runtimes</t>
  </si>
  <si>
    <t>Brussels, Belgium</t>
  </si>
  <si>
    <t>CSCW '17: Proceedings of the 2017 ACM Conference on Computer Supported Cooperative Work and Social Computing</t>
  </si>
  <si>
    <t>Portland, Oregon, USA</t>
  </si>
  <si>
    <t>Welcome to CSCW 2017, the ACM 2017 Conference on Computer Supported Cooperative Work and Social Computing! We are excited to welcome the CSCW community back to Portland, Oregon, where the second CSCW conference was held in 1988. Both Portland and CSCW have matured a great deal during the intervening 29 years. We hope that you will find that Portland provides a stimulating environment for our conference.CSCW is the premier venue for presenting research in the design and use of technologies that affect groups, organizations, communities, and networks. Bringing together top researchers and practitioners from academia and industry, CSCW explores the technical, social, material, and theoretical challenges of designing technology to support collaborative work and life activities. CSCW welcomes a diverse range of topics and research methodologies. Studies often involve the development and application of novel technologies and/or ethnographic studies that inform design practice or theory. The mission of the conference is to share research that advances the state of human knowledge and improves both the design of systems and the ways they are used. The diversity of work in our conference program reflects the diversity of technology use in people's work, social, and civic lives as well as the geographic and cultural diversity of contributors.As many of you know, CSCW follows a rigorous revise and resubmit review process that uses peer review to improve submitted papers while maintaining a high-quality threshold for final acceptance. We also help prepare the next generation of reviewers with a mentorship program in which students review papers under the guidance of an experienced reviewer. This year we have the largest CSCW program ever. We had 530 submitted papers and 183 were accepted for presentation at the conference. The program also includes 4 papers published in ACM Transactions on Human- Computer Interaction (TOCHI). In addition, we will feature 14 workshops, 56 posters, 12 demos, and 3 panels.Lili Cheng of Microsoft Research will open the conference, speaking on Conversational AI &amp; Lessons Learned. Our closing plenary will feature Jorge Cham, the creator of PhD Comics, who will talk about, The Science Gap. We also welcome Paul Luff and Christian Heath from King's College as the recipients of this year's CSCW Lasting Impact award for their influential 1998 paper, Mobility in Collaboration.</t>
  </si>
  <si>
    <t>Publisher / Proceeding Title</t>
  </si>
  <si>
    <t>ISBN (alt.) / Series ACM</t>
  </si>
  <si>
    <t>Cited</t>
  </si>
  <si>
    <t>Page Cited</t>
  </si>
  <si>
    <t>Databases</t>
  </si>
  <si>
    <t>IEEE</t>
  </si>
  <si>
    <t>SPRINGER</t>
  </si>
  <si>
    <t>SCOPUS</t>
  </si>
  <si>
    <t>Association for Computing Machinery - Proceedings of the 30th ACM Joint European Software Engineering Conference and Symposium on the Foundations of Software Engineering</t>
  </si>
  <si>
    <t>ACM</t>
  </si>
  <si>
    <t>SCIENCEDIRECT</t>
  </si>
  <si>
    <t>Association for Computing Machinery - 15th Innovations in Software Engineering Conference</t>
  </si>
  <si>
    <t>Association for Computing Machinery - Proceedings of the 37th ACM/SIGAPP Symposium on Applied Computing</t>
  </si>
  <si>
    <t>Association for Computing Machinery - Proceedings of the 6th ACM Workshop on Moving Target Defense</t>
  </si>
  <si>
    <t>Association for Computing Machinery - Proceedings of the ACM/IEEE 42nd International Conference on Software Engineering: Companion Proceedings</t>
  </si>
  <si>
    <t>Association for Computing Machinery - Proceedings of the 30th IEEE/ACM International Conference on Program Comprehension</t>
  </si>
  <si>
    <t>-</t>
  </si>
  <si>
    <t>WoS</t>
  </si>
  <si>
    <t>Association for Computing Machinery - Proceedings of the 2019 27th ACM Joint Meeting on European Software Engineering Conference and Symposium on the Foundations of Software Engineering</t>
  </si>
  <si>
    <t>IEEE Press - Proceedings of the 27th International Conference on Program Comprehension</t>
  </si>
  <si>
    <t>Association for Computing Machinery - Evaluation and Assessment in Software Engineering</t>
  </si>
  <si>
    <t>Association for Computing Machinery - Proceedings of the 10th ACM SIGSOFT International Workshop on Automating TEST Case Design, Selection, and Evaluation</t>
  </si>
  <si>
    <t>Association for Computing Machinery - Proceedings of the 4th ACM SIGSOFT International Workshop on Machine-Learning Techniques for Software-Quality Evaluation</t>
  </si>
  <si>
    <t>IEEE Press - Proceedings of the 43rd International Conference on Software Engineering: Companion Proceedings</t>
  </si>
  <si>
    <t>IEEE Press - Proceedings of the Second International Conference on Technical Debt</t>
  </si>
  <si>
    <t>Association for Computing Machinery - Proceedings of the 13th International Conference on Intelligent Systems: Theories and Applications</t>
  </si>
  <si>
    <t>Association for Computing Machinery - Proceedings of the 17th Brazilian Symposium on Software Quality</t>
  </si>
  <si>
    <t xml:space="preserve">Association for Computing Machinery - </t>
  </si>
  <si>
    <t>Association for Computing Machinery - Proceedings of the 3rd International Conference on Technical Debt</t>
  </si>
  <si>
    <t>Association for Computing Machinery - Proceedings of the 31st Annual ACM Symposium on Applied Computing</t>
  </si>
  <si>
    <t>IEEE Press - Proceedings of the 34th IEEE/ACM International Conference on Automated Software Engineering</t>
  </si>
  <si>
    <t>Wiley - Systems Engineering in the Fourth Industrial Revolution: Big Data, Novel Technologies, and Modern Systems Engineering</t>
  </si>
  <si>
    <t>Association for Computing Machinery - Proceedings of the 14th ACM / IEEE International Symposium on Empirical Software Engineering and Measurement (ESEM)</t>
  </si>
  <si>
    <t>Association for Computing Machinery - Proceedings of the 17th International Conference on Mining Software Repositories</t>
  </si>
  <si>
    <t>Association for Computing Machinery - Proceedings of the 2021 ACM Conference on Fairness, Accountability, and Transparency</t>
  </si>
  <si>
    <t>Association for Computing Machinery - Proceedings of the 4th ACM SIGPLAN International Workshop on Meta-Programming Techniques and Reflection</t>
  </si>
  <si>
    <t>IEEE Press - Proceedings of the 11th ACM/IEEE International Symposium on Empirical Software Engineering and Measurement</t>
  </si>
  <si>
    <t>IEEE Press - Proceedings of the 43rd International Conference on Software Engineering</t>
  </si>
  <si>
    <t>Association for Computing Machinery - Proceedings of the 16th ACM / IEEE International Symposium on Empirical Software Engineering and Measurement</t>
  </si>
  <si>
    <t>Association for Computing Machinery - Proceedings of the 2018 International Conference on Technical Debt</t>
  </si>
  <si>
    <t>IEEE Press - Proceedings of the 25th International Conference on Program Comprehension</t>
  </si>
  <si>
    <t>IEEE Press - Proceedings of the 12th International Workshop on Cooperative and Human Aspects of Software Engineering</t>
  </si>
  <si>
    <t>Association for Computing Machinery - Proceedings of the 15th International Conference on Mining Software Repositories</t>
  </si>
  <si>
    <t>Wiley - Official Google Cloud Certified Professional Cloud Architect Study Guide</t>
  </si>
  <si>
    <t>Association for Computing Machinery - Proceedings of the 28th ACM Joint Meeting on European Software Engineering Conference and Symposium on the Foundations of Software Engineering</t>
  </si>
  <si>
    <t>Association for Computing Machinery - Proceedings of the 19th International Conference on Agile Software Development: Companion</t>
  </si>
  <si>
    <t>Association for Computing Machinery - Proceedings of the 9th Hellenic Conference on Artificial Intelligence</t>
  </si>
  <si>
    <t>Association for Computing Machinery - Proceedings of the 1st ACM SIGSOFT International Workshop on Education through Advanced Software Engineering and Artificial Intelligence</t>
  </si>
  <si>
    <t>Association for Computing Machinery - Proceedings of the ACM/IEEE 44th International Conference on Software Engineering: Companion Proceedings</t>
  </si>
  <si>
    <t>Wiley - Security Engineering: A Guide to Building Dependable Distributed Systems</t>
  </si>
  <si>
    <t>Association for Computing Machinery - Proceedings of the 6th ACM SIGPLAN International Symposium on Machine Programming</t>
  </si>
  <si>
    <t>Association for Computing Machinery - Proceedings of the 29th ACM Joint Meeting on European Software Engineering Conference and Symposium on the Foundations of Software Engineering</t>
  </si>
  <si>
    <t>Association for Computing Machinery - Proceedings of the ACM/IEEE 42nd International Conference on Software Engineering</t>
  </si>
  <si>
    <t>Association for Computing Machinery - Proceedings of the 26th ACM Conference on Innovation and Technology in Computer Science Education V. 1</t>
  </si>
  <si>
    <t>Association for Computing Machinery - Proceedings of the 2010 ACM-IEEE International Symposium on Empirical Software Engineering and Measurement</t>
  </si>
  <si>
    <t>Association for Computing Machinery - Proceedings of the 44th International Conference on Software Engineering: Software Engineering in Practice</t>
  </si>
  <si>
    <t>IEEE Press - Proceedings of the 3rd International Workshop on Refactoring</t>
  </si>
  <si>
    <t>Association for Computing Machinery - Proceedings of the 19th International Conference on Mining Software Repositories</t>
  </si>
  <si>
    <t>Association for Computing Machinery - Proceedings of the 5th International Conference on Mobile Software Engineering and Systems</t>
  </si>
  <si>
    <t>Association for Computing Machinery - Proceedings of the 2020 Conference on Fairness, Accountability, and Transparency</t>
  </si>
  <si>
    <t>Association for Computing Machinery - Proceedings of the International Workshop on Innovative Software Development Methodologies and Practices</t>
  </si>
  <si>
    <t>Association for Computing Machinery - Proceedings of the 38th International Conference on Software Engineering Companion</t>
  </si>
  <si>
    <t>Association for Computing Machinery - Proceedings of the 1st International Conference on AI Engineering: Software Engineering for AI</t>
  </si>
  <si>
    <t>Association for Computing Machinery - Proceedings of the 8th ACM Workshop on Moving Target Defense</t>
  </si>
  <si>
    <t>Association for Computing Machinery - Proceedings of the 5th International Workshop on Machine Learning Techniques for Software Quality Evolution</t>
  </si>
  <si>
    <t>Association for Computing Machinery - Proceedings of the International Conference on Technical Debt</t>
  </si>
  <si>
    <t>Association for Computing Machinery - Proceedings of the 39th International Conference on Computer-Aided Design</t>
  </si>
  <si>
    <t>Association for Computing Machinery - Proceedings of the 30th International Workshop on Rapid System Prototyping (RSP'19)</t>
  </si>
  <si>
    <t>IEEE Press - Proceedings of the 41st International Conference on Software Engineering: New Ideas and Emerging Results</t>
  </si>
  <si>
    <t>Association for Computing Machinery - Proceedings of the 2018 26th ACM Joint Meeting on European Software Engineering Conference and Symposium on the Foundations of Software Engineering</t>
  </si>
  <si>
    <t>Association for Computing Machinery - Proceedings of the 37th IEEE/ACM International Conference on Automated Software Engineering</t>
  </si>
  <si>
    <t>Association for Computing Machinery - Proceedings of the 38th International Conference on Software Engineering</t>
  </si>
  <si>
    <t>Association for Computing Machinery - Proceedings of the 2016 24th ACM SIGSOFT International Symposium on Foundations of Software Engineering</t>
  </si>
  <si>
    <t>IEEE Press - Proceedings of the Third International Workshop on Managing Technical Debt</t>
  </si>
  <si>
    <t>Association for Computing Machinery - Proceedings of the 35th IEEE/ACM International Conference on Automated Software Engineering</t>
  </si>
  <si>
    <t>Association for Computing Machinery - Proceedings of the 40th International Conference on Software Engineering: Companion Proceeedings</t>
  </si>
  <si>
    <t>Association for Computing Machinery - Proceedings of the 35th Annual ACM Symposium on Applied Computing</t>
  </si>
  <si>
    <t>Association for Computing Machinery - Proceedings of the International Conference on Software and System Processes</t>
  </si>
  <si>
    <t>IBM Corp. - Proceedings of the 27th Annual International Conference on Computer Science and Software Engineering</t>
  </si>
  <si>
    <t>Association for Computing Machinery - Proceedings of the 44th International Conference on Software Engineering</t>
  </si>
  <si>
    <t>IEEE Press - Proceedings of the 41st International Conference on Software Engineering</t>
  </si>
  <si>
    <t>IEEE Press - Proceedings of the 2013 International Conference on Software Engineering</t>
  </si>
  <si>
    <t>Association for Computing Machinery - Proceedings of the International Conference on Data Science, Machine Learning and Artificial Intelligence</t>
  </si>
  <si>
    <t>Association for Computing Machinery - Proceedings of the 2020 the 4th International Conference on Information System and Data Mining</t>
  </si>
  <si>
    <t>Association for Computing Machinery - Proceedings of the 13th International Conference on Global Software Engineering</t>
  </si>
  <si>
    <t>Association for Computing Machinery - Proceedings of the 13th Asia-Pacific Symposium on Internetware</t>
  </si>
  <si>
    <t>IEEE Press - Proceedings of the 4th International Workshop on Emotion Awareness in Software Engineering</t>
  </si>
  <si>
    <t>Association for Computing Machinery - Proceedings of the The 12th International Conference on Predictive Models and Data Analytics in Software Engineering</t>
  </si>
  <si>
    <t>Everyone Wants to Do the Model Work, Not the Data Work: Data Cascades in High-Stakes AI</t>
  </si>
  <si>
    <t>Association for Computing Machinery - Proceedings of the 2021 CHI Conference on Human Factors in Computing Systems</t>
  </si>
  <si>
    <t>Association for Computing Machinery - Proceedings of the 2018 CHI Conference on Human Factors in Computing Systems</t>
  </si>
  <si>
    <t>Association for Computing Machinery - Proceedings of the 13th ACM International Workshop on Context-Oriented Programming and Advanced Modularity</t>
  </si>
  <si>
    <t>IEEE Press - Proceedings of the 36th IEEE/ACM International Conference on Automated Software Engineering</t>
  </si>
  <si>
    <t>God Class Detection Approach Based on Graph Model and Isolation Forest</t>
  </si>
  <si>
    <t>Association for Computing Machinery - Proceedings of the 13th International Conference on Mining Software Repositories</t>
  </si>
  <si>
    <t>Association for Computing Machinery - Proceedings of the 9th ACM Workshop on Moving Target Defense</t>
  </si>
  <si>
    <t>Association for Computing Machinery - Proceedings of the 2016 ACM Workshop on Moving Target Defense</t>
  </si>
  <si>
    <t xml:space="preserve">VLDB Endowment - </t>
  </si>
  <si>
    <t>Association for Computing Machinery - Proceedings of the 16th Brazilian Symposium on Software Components, Architectures, and Reuse</t>
  </si>
  <si>
    <t>Association for Computing Machinery - Proceedings of the ACM/IEEE 42nd International Conference on Software Engineering: Software Engineering in Practice</t>
  </si>
  <si>
    <t>IEEE Press - Proceedings of the 16th International Conference on Mining Software Repositories</t>
  </si>
  <si>
    <t>Association for Computing Machinery - Companion Proceedings of the 36th International Conference on Software Engineering</t>
  </si>
  <si>
    <t>Association for Computing Machinery - Proceedings of the ACM/IEEE 42nd International Conference on Software Engineering: Software Engineering in Society</t>
  </si>
  <si>
    <t>Association for Computing Machinery - Proceedings of the 28th ACM SIGKDD Conference on Knowledge Discovery and Data Mining</t>
  </si>
  <si>
    <t>IEEE Press - Proceedings of the 4th International Workshop on Managing Technical Debt</t>
  </si>
  <si>
    <t>Association for Computing Machinery - Proceedings of the 5th International Workshop on Realizing Artificial Intelligence Synergies in Software Engineering</t>
  </si>
  <si>
    <t>Association for Computing Machinery - Proceedings of the ACM/IEEE 44th International Conference on Software Engineering: New Ideas and Emerging Results</t>
  </si>
  <si>
    <t>Association for Computing Machinery - 2022 The 8th International Conference on Computing and Data Engineering</t>
  </si>
  <si>
    <t>Association for Computing Machinery - Proceedings of the Workshop on Design Automation for CPS and IoT</t>
  </si>
  <si>
    <t>Association for Computing Machinery - Proceedings of the 2017 Workshop on Moving Target Defense</t>
  </si>
  <si>
    <t>Association for Computing Machinery - Proceedings of the 28th International Conference on Program Comprehension</t>
  </si>
  <si>
    <t>Association for Computing Machinery - Proceedings of the 15th International Conference on Global Software Engineering</t>
  </si>
  <si>
    <t>Association for Computing Machinery - Proceedings of the 3rd ACM SIGSOFT International Workshop on Machine Learning Techniques for Software Quality Evaluation</t>
  </si>
  <si>
    <t>Association for Computing Machinery - Proceedings of the 7th International Conference on Management of Computational and Collective IntElligence in Digital EcoSystems</t>
  </si>
  <si>
    <t>Association for Computing Machinery - Proceedings of the 26th Conference on Program Comprehension</t>
  </si>
  <si>
    <t>The Hillside Group - Proceedings of the 24th Conference on Pattern Languages of Programs</t>
  </si>
  <si>
    <t>Association for Computing Machinery - Proceedings of the 6th International Conference on Engineering &amp; MIS 2020</t>
  </si>
  <si>
    <t>Association for Computing Machinery - Proceedings of the 18th International Conference on Predictive Models and Data Analytics in Software Engineering</t>
  </si>
  <si>
    <t>Association for Computing Machinery - Proceedings of the 2020 ACM SIGPLAN International Symposium on New Ideas, New Paradigms, and Reflections on Programming and Software</t>
  </si>
  <si>
    <t>IEEE Press - Proceedings of the International Conference on Software and System Processes</t>
  </si>
  <si>
    <t>Association for Computing Machinery - Proceedings of the Eighth ACM International Conference on Web Search and Data Mining</t>
  </si>
  <si>
    <t>Association for Computing Machinery - Proceedings of the 15th ACM Conference on Recommender Systems</t>
  </si>
  <si>
    <t>European Design and Automation Association - Proceedings of the 2022 Conference &amp; Exhibition on Design, Automation &amp; Test in Europe</t>
  </si>
  <si>
    <t>Association for Computing Machinery - Proceedings of the 1st International Workshop on Software Engineering for Cognitive Services</t>
  </si>
  <si>
    <t>Association for Computing Machinery - Proceedings of the International Workshop on Continuous Software Evolution and Delivery</t>
  </si>
  <si>
    <t>Association for Computing Machinery - Proceedings of the 31st ACM SIGSOFT International Symposium on Software Testing and Analysis</t>
  </si>
  <si>
    <t>Association for Computing Machinery - Proceedings of the 40th International Conference on Software Engineering: Software Engineering in Practice</t>
  </si>
  <si>
    <t>IEEE Press - Proceedings of the 41st International Conference on Software Engineering: Software Engineering in Practice</t>
  </si>
  <si>
    <t>Association for Computing Machinery - Proceedings of the 1st International Workshop on Software Qualities and Their Dependencies</t>
  </si>
  <si>
    <t>IEEE Press - Proceedings of the 34th International Conference on Software Engineering</t>
  </si>
  <si>
    <t>IEEE Press - Proceedings of the 12th International Workshop on Automation of Software Testing</t>
  </si>
  <si>
    <t>Survey of Data-Driven Application Self-Adaptive Technology</t>
  </si>
  <si>
    <t>Association for Computing Machinery - Proceedings of the XXXVI Brazilian Symposium on Software Engineering</t>
  </si>
  <si>
    <t>Association for Computing Machinery - Proceedings of the 33rd ACM/IEEE International Conference on Automated Software Engineering</t>
  </si>
  <si>
    <t>Association for Computing Machinery - Equity and Access in Algorithms, Mechanisms, and Optimization</t>
  </si>
  <si>
    <t>Association for Computing Machinery - Proceedings of the ACM/IEEE 42nd International Conference on Software Engineering: Software Engineering Education and Training</t>
  </si>
  <si>
    <t>Technical Debt Forecasting from Source Code Using Temporal Convolutional Networks</t>
  </si>
  <si>
    <t>IEEE Press - Proceedings of the 37th International Conference on Software Engineering - Volume 2</t>
  </si>
  <si>
    <t>Association for Computing Machinery - Proceedings of the Ninth ACM Conference on Learning @ Scale</t>
  </si>
  <si>
    <t>Wiley - Fight Fire with Fire: Proactive Cybersecurity Strategies for Today's Leaders</t>
  </si>
  <si>
    <t>Association for Computing Machinery - Proceedings of the 7th ACM Workshop on Moving Target Defense</t>
  </si>
  <si>
    <t>Association for Computing Machinery - Proceedings of the 15th ACM / IEEE International Symposium on Empirical Software Engineering and Measurement (ESEM)</t>
  </si>
  <si>
    <t>Association for Computing Machinery - 2022 ACM Conference on Fairness, Accountability, and Transparency</t>
  </si>
  <si>
    <t>Association for Computing Machinery - Proceedings of the Fifteenth International Conference on Predictive Models and Data Analytics in Software Engineering</t>
  </si>
  <si>
    <t>This is Just a Prototype: How Ethics Are Ignored in Software Startup-Like Environments</t>
  </si>
  <si>
    <t>Wiley - CompTIA Security+ Review Guide: Exam SY0-601</t>
  </si>
  <si>
    <t>Association for Computing Machinery - Proceedings of the 2018 ACM/SPEC International Conference on Performance Engineering</t>
  </si>
  <si>
    <t>Association for Computing Machinery - Proceedings of the 12th European Conference on Software Architecture: Companion Proceedings</t>
  </si>
  <si>
    <t>Association for Computing Machinery - Proceedings of the First ACM Workshop on Moving Target Defense</t>
  </si>
  <si>
    <t>Association for Computing Machinery - Proceedings of the 4th ACM SIGSOFT International Workshop on NLP for Software Engineering</t>
  </si>
  <si>
    <t>IEEE Press - Proceedings of the 4th International Workshop on Software Engineering Research and Industrial Practice</t>
  </si>
  <si>
    <t>Association for Computing Machinery - Proceedings of the XXXI Brazilian Symposium on Software Engineering</t>
  </si>
  <si>
    <t>Association for Computing Machinery - Proceedings of the XXXII Brazilian Symposium on Software Engineering</t>
  </si>
  <si>
    <t>Association for Computing Machinery - Proceedings of the 6th International Workshop on Machine Learning Techniques for Software Quality Evaluation</t>
  </si>
  <si>
    <t>Wait for it: identifying "On-Hold" self-admitted technical debt</t>
  </si>
  <si>
    <t>Association for Computing Machinery - Proceedings of the 40th International Conference on Software Engineering</t>
  </si>
  <si>
    <t>TOTAL</t>
  </si>
  <si>
    <t>TITLE</t>
  </si>
  <si>
    <t>AUTHORS</t>
  </si>
  <si>
    <t>PUBLICATION YEAR</t>
  </si>
  <si>
    <t>DATE PUBLISHED</t>
  </si>
  <si>
    <t>ITEM TYPE</t>
  </si>
  <si>
    <t>SOURCE</t>
  </si>
  <si>
    <t>NO</t>
  </si>
  <si>
    <t>Paper ID</t>
  </si>
  <si>
    <t>Author</t>
  </si>
  <si>
    <t>Year</t>
  </si>
  <si>
    <t>Finding</t>
  </si>
  <si>
    <t>TD Types</t>
  </si>
  <si>
    <t>Number of Class</t>
  </si>
  <si>
    <t>NLP Approach (Process)</t>
  </si>
  <si>
    <t>ML Algorithm</t>
  </si>
  <si>
    <t>Dataset</t>
  </si>
  <si>
    <t>Matrix Evaluation Used</t>
  </si>
  <si>
    <t>Matrix Evaluation Results</t>
  </si>
  <si>
    <t>P1</t>
  </si>
  <si>
    <t xml:space="preserve">Use source-code comments in four large open source software projects - Eclipse, Chromium OS, Apache HTTP Server, and ArgoUML to identify self-admitted technical debt. Using the identified technical debt, we study 1) the amount of self-admitted technical debt found in these projects, 2) why this self-admitted technical debt was introduced into the software projects and 3) how likely is the self-admitted technical debt to be removed after their introduction. 
We find that the amount of self-admitted technical debt exists in 2.4% - 31% of the files. Furthermore, we find that developers with higher experience tend to introduce most of the self-admitted technical debt and that time pressures and complexity of the code do not correlate with the amount of self-admitted technical debt. Lastly, although self-admitted technical debt is meant to be addressed or removed in the future, only between 26.3% - 63.5% of self-admitted technical debt gets removed from projects after introduction.
</t>
  </si>
  <si>
    <t>-TD
-non-TD</t>
  </si>
  <si>
    <t>2
-TD
-non-TD</t>
  </si>
  <si>
    <t>-Comment patterns
-To extract the source-code comments, we utilized the srcML Toolkit [18], a command line tool that parses source code into XML files. Then, we developed a Java-based tool that parses the XML files produced by srcML, and stores the comment nodes of the code into separate text files for each project. 
-The srcML tool reads a comment block - a comment that spans multiple lines - as a single comment and hence it is important to note that the aforementioned numbers denote the number of comments and not the number of lines of comments in the source files
-we needed to further distill these comments to specific patterns that indicate self-admitted technical debt (e.g., we removed stop words)</t>
  </si>
  <si>
    <t>From: Eclipse, Chromium OS, Apache HTTP Server, and ArgoUML (101.762 comments)</t>
  </si>
  <si>
    <t>NA</t>
  </si>
  <si>
    <t>Our findings shed light on the extent and existence of self- admitted technical debt and we plan (and hope that others) will use this study as motivation to dedicate more work on this important area of software maintenance. The findings also serve as motivation to build tools that support developers so they can avoid self-admitted technical debt or at least help them track and manage such self-admitted technical debt after its introduction.</t>
  </si>
  <si>
    <t>P2</t>
  </si>
  <si>
    <t>The identification of technical debt (TD) is an important step to effectively manage it. In this context, a set of indicators has been used by automated approaches to identify TD items, but some debt may not be directly identified using only metrics collected from the source code. In this work we propose Contextualized Vocabulary Model for identifying TD (CVM-TD), a model to support the identification of technical debt through code comment analysis. We performed an exploratory study on two large open sources projects with the goal of characterizing the feasibility of the proposed model to support the detection of TD through code comments analysis. The results indicate that (1) developers use the dimensions considered by CVM-TD when writing code comments, (2) CVM-TD provides a vocabulary that may be used to detect TD items, and (3) the proposed model needs to be calibrated in order to reduce the difference between comments returned by the vocabulary and those that may indicate a TD item. Code comments analysis can be used to detect TD in software projects and CVM-TD may support the development team to perform this task.</t>
  </si>
  <si>
    <t>Code debt
Design debt
Architecture debt
Test debt
Defect debt
Infrastructure debt
Process debt
Documentation debt
Build debt
Requirement debt
Service debt
People debt</t>
  </si>
  <si>
    <t>12
Code debt
Design debt
Architecture debt
Test debt
Defect debt
Infrastructure debt
Process debt
Documentation debt
Build debt
Requirement debt
Service debt
People debt</t>
  </si>
  <si>
    <t>-To analyze extracted comments from code we shall tokenize the unstructured text into English word classes. For this, there are techniques from natural language processing (NLP), such as Part-of-speech (POS). POS automatically relates a word to a category in which it is assigned in accordance with its syntactic functions [16][17]. 
-Once the comments were extracted and tagged, we analyzed POS tags and filtered the comments by using terms that belong to the vocabulary.</t>
  </si>
  <si>
    <t>In this paper, we proposed a comprehensive SATD extraction and identification framework for ten types of TD using POS techniques.
In an exploratory case study aimed to extract architectural, versioning, build, and infrastructure TD from a TD dataset of 3,000 previously unclassified comments, resulted in successfully classifying 16% of the comments as new TD items, opening a new opportunity to expand the capability of extracting and identifying all types of TD in an SDP thus giving developers and software engineers more accurate data to make better maintenance and refactoring decisions and minimizing the risk uncontrollable levels of TD interest that lead to possible failures in SDPs. As for the future work on this proposed framework, we first intend to conduct future research on building more solid definitions of TD items and gain a broader consensus of the POS lists for each TD item. Secondly, we will expand the case study to a larger dataset in an attempt to successfully extract all ten types of TD items across several open-source SDPs. In addition, we intend to develop a supervised machine learning framework to extract and monitor the status of TD items automatically within an SDP as it evolves over a period</t>
  </si>
  <si>
    <t>P3</t>
  </si>
  <si>
    <t>Creating a TD dataset, with design debt, defect debt, documentation debt, requirement debt and test debt classes</t>
  </si>
  <si>
    <t>5 classes
design debt
defect debt
documentation debt
requirement debt
test debt</t>
  </si>
  <si>
    <t>-After obtaining the source code of all projects, we extract the comments from their source code. We use JDeodorant [18], an open-source Eclipse plug-in, to parse the source code and extract the code comments. 
-With that in mind, we develop and apply 4 filtering heuristics to narrow down the comments eliminating the ones that are less likely to be classified as self-admitted technical debt.
-To classify the comments, we developed a Java based tool that shows one comment at a time and gives a list of possible classifications that can be manually assigned to the comment.</t>
  </si>
  <si>
    <t>P4</t>
  </si>
  <si>
    <t>WOS</t>
  </si>
  <si>
    <t>We classified the source code comments into the following types of self-admitted technical debt: design, defect, documentation, requirement, and test debt. However, our previous work showed that the most frequent self-admitted technical debt comments are design and requirement debt.
Therefore, in this paper we investigate the efficiency of using Natural Language Processing (NLP) techniques to automatically detect the two most common types of self- admitted technical debt, i.e., design and requirement debt. We analyze ten open source projects from different appli- cation domains, namely, Ant, ArgoUML, Columba, EMF, Hibernate, JEdit, JFreeChart, JMeter, JRuby and SQuirrel SQL. We extract and classify the source comments of these projects. Then, using the classified dataset we train a maximum entropy classifier using the Stanford Classifier tool [25] to identify design and requirement self-admitted technical debt. The advantages of the maximum entropy classifier over keyword-based and pattern-based approaches, such as comment patterns, are twofold. First, the maximum entropy classifier automatically extracts the most important features (i.e., words) for each class (i.e., design self-admitted technical debt, requirement self-admitted technical debt, and without technical debt) based on a classified training dataset given as input. Second, the maximum entropy classifier, apart from finding features that contribute positively to the classification of a comment in a given class, also finds features that contribute negatively to the classification of a comment in a given class.</t>
  </si>
  <si>
    <t>-design debt and non-SATD
-requirement debt and non-SATD
-SATD and non-SATD</t>
  </si>
  <si>
    <t>2 class for each experiment
-design debt and non-SATD
-requirement debt and non-SATD
-SATD and non-SATD</t>
  </si>
  <si>
    <t>Stanford Classifier tool [25]</t>
  </si>
  <si>
    <t>maximum entropy classifier (which is equivalent to a multi-class regression model) using stanford classifier</t>
  </si>
  <si>
    <t>F1-measure</t>
  </si>
  <si>
    <t>-F1-measure design debt: 0.620
-F1-measure requirement debt: 0.403</t>
  </si>
  <si>
    <t>We perform a leave-one-out cross-project validation (i.e., we train on nine projects and test on one project). Our results show that we are able to achieve an average F1- measure of 0.620 when identifying design self-admitted technical debt, and an average F1-measure of 0.403 when identifying requirement self-admitted technical debt. We compare the performance of our approach to a simple (random) baseline and the state-of-the-art approach used to detect self-admitted technical debt [14]. Our results show that on average, we outperform the state-of-the-art by 2.3 times, when detecting design debt, and by 6 times when detecting requirement debt.</t>
  </si>
  <si>
    <t>P5</t>
  </si>
  <si>
    <t>Precision and Recall</t>
  </si>
  <si>
    <t>P6</t>
  </si>
  <si>
    <t>Although there exist many kinds of static source code analysis tools to identify code-level technical debt, identifying non-code-level technical debt is very challenging and needs deep exploration. This paper proposed an approach to identifying non-code-level technical debt through issue tracking data sets using natural language processing and machine learning techniques and validated the feasibility and performance of this approach using an issue tracking data set recorded in Chinese from a commercial software project. We found that there are actually some common words that can be used as indicators of technical debt. Based on these key words, we achieved the precision of 0.72 and the recall of 0.81 for identifying technical debt items using machine learning techniques respectively.</t>
  </si>
  <si>
    <t>-After conducting Chinese text segmentation, we extracted key words using Jieba.
-Jieba integrated two key word extraction algorithms: TF-IDF and TextRank.
-We used both of them to extract key words for detecting technical debt.</t>
  </si>
  <si>
    <t>Binary Naïve Bayes classifier</t>
  </si>
  <si>
    <t>An issue tracking data set recorded in Chinese from a commercial software project.</t>
  </si>
  <si>
    <t>-Average Precision 0.72
-Average Recall 0.81 
-Average F1- score 0.76</t>
  </si>
  <si>
    <t>P7</t>
  </si>
  <si>
    <t xml:space="preserve">Therefore, in this paper we propose a text mining-based approach to automatically detect SATD in source code comments. We build our classification model using comments from a number of different source projects as training data to predict the label of a comment in a completely new target project. In our approach, we first pre-process the text description of all comments and apply feature selection, namely Information Gain (Sebastiani 2002), on each source project to select the top 10% of features with the highest information gain scores. Then we use the selected features to train a sub-classifier on each source project. After that, a composite classifier is built from these sub-classifiers and predicts the label of a new comment in the new target project. The output of the composite classifier is the label predicted most often by its sub-classifiers, with ties broken arbitrarily.
The major difference between their work and our work is that they only focus on certain types of SATD, while we care more about whether a comment contains SATD, which also includes other types of SATD (i.e., defect debt, documentation debt and test debt). However, Maldonado et al.’s NLP-based approach could also be adapted to work in our problem. Thus, we apply their approach as a baseline in our experiment and compare its performance with our approach.
</t>
  </si>
  <si>
    <t>-we utilize feature selection to select useful features for classifier training, and we combine sub-classifiers from different source projects to build a composite classifier which is more accurate in prediction. 
-Steps: tokenization, stop-word removal, and stemming(PorterStemmer)
-Information gain (IG)</t>
  </si>
  <si>
    <t xml:space="preserve">composite classifier
-Naive Bayes Multinomial (NBM) 
-Support Vector Machine (SVM)
-k-Nearest Neighbor (kNN) using WEKA
-bestSub (sub-classifiers)
-Among all the classification techniques in baseline 2, NBM achieves the best performance in terms of F1-score, with an average of 0.465. 
</t>
  </si>
  <si>
    <t>Precision
Recall
F1-score</t>
  </si>
  <si>
    <t>Average Precision : 0.756
Average Recal : 0.733
Average F1-score : 0.737</t>
  </si>
  <si>
    <t>-Our experimental results show that, on every target project, our approach outperforms the state-of-the-art and the baselines approaches in terms of F1-score.
-The F1-score achieved by our approach ranges between 0.518 - 0.841, with an average of 0.737, which improves over the state-of-the-art approach proposed by Potdar and Shihab by 499.19%. 
-When compared with the text mining-based baseline approaches, our approach significantly improves the average F1-score by at least 58.49%. 
-When compared with a natural language processing-based baseline, our approach also significantly improves its F1-score by 27.95%.</t>
  </si>
  <si>
    <t>P8</t>
  </si>
  <si>
    <t>In this paper, we focus on Self-Admitted Technical Debt (SATD) that is a debt intentionally produced by developers. We propose an automated model to identify two most common types of self-admitted technical debt, requirement and design debt, from source code comments. We combine N-gram IDF and auto-sklearn machine learning to build the model. With the empirical evaluation on ten projects, our approach outperform the baseline method by improving the performance over 20% when identifying requirement selfadmitted technical debt and achieving an average F1-score of 64% when identifying design self-admitted technical debt.</t>
  </si>
  <si>
    <t>requirement debt
design debt</t>
  </si>
  <si>
    <t>2
requirement debt
design debt</t>
  </si>
  <si>
    <t>N-gram IDF</t>
  </si>
  <si>
    <t>auto-sklearn machine learning</t>
  </si>
  <si>
    <t>Maldonado dataset</t>
  </si>
  <si>
    <t>-Precision
-Recall
-F1-score</t>
  </si>
  <si>
    <t>design debt: an average precision of 81%, a recall of 56%, and an F1-score of 64%
requirement debt: average precision of 80%, a recall of 56%, and an F1-score of 63% that is 23% higher than the baseline
We discover that our approach can reach an average precision of 62% despite using a very small defect training set contains only 472 source code comments.</t>
  </si>
  <si>
    <t>F1-score, precision, and recall to be units of measurement. As we see in Table 2, our approach can outperform the work of Maldonado et al. in many cases with an average precision of 81%, a recall of 56%, and an F1-score of 64% when identifying design self-admitted technical debt. For detecting requirement self-admitted technical debt, our approach is able to improve classification performance, reaching an average precision of 80%, a recall of 56%, and an F1-score of 63%. Accordingly, we can enhance the performance of our model over 20% although we reduce the dictionary size and formats of design and requirement self-admitted technical debt code comments are opposed.
and compared the results with Maldonado, Shihab, and Tsantalis (2017). The results show that they outperformed the previous model, improving the performance over to 20% in the detection of requirement SATD and 64% in design SATD.</t>
  </si>
  <si>
    <t>P9</t>
  </si>
  <si>
    <t>In these studies, comments are short texts represented as bag-of-word (BOW) model [7], where each comment is represented as a feature vector. Features in vector are counts of word occurrences within a comment. Despite good overall performances, the BOW model has its own drawbacks [8]. The main drawbacks are high dimensionality and extreme sparsity, since every unique word is treated as a feature. The amount of unique words can be very high; as many of them are irrelevant for text classifiers they can decrease the performance of text classification. To overcome these problems, feature selection (FS) methods are usually applied in text classification tasks [9]. Huang et al. applied Information Gain (IG) as a FS method to improve performance for SATD classification. They trained a composite classifier, where each sub-classifier was trained with the top 10% of features, ranked by their IG score. Furthermore, the BOW presentation model has a problem with high data sparseness, especially in short text documents, since short texts are usually noisier, informal and do not provide enough contextual information [10], which lead to degradation of performance in short text classification tasks. For overcoming this problem, many recent studies have applied word embedding to improve performance of text classification tasks [11], [12].
In this paper, we present the results of a performed exploratory study for using large corpus of unlabeled code comments, extracted from open source projects on git-hub, to train word embeddings, in order to improve detection of SATD.</t>
  </si>
  <si>
    <t>-Word embeddings (word2vec)
-enhanced the existing traditional feature selection methods to improve classification of SATD comments
-Information gain (IG)
-Library (PorterStemmer, comment_parser)</t>
  </si>
  <si>
    <t>support vector machine (SVM)</t>
  </si>
  <si>
    <t>F1-score</t>
  </si>
  <si>
    <t>F1 score 82%</t>
  </si>
  <si>
    <t>-The best overall F1-score is achieved by IG top5, while using the top ranked 30% of features. After this, classification performance starts to decline. As can be seen on all three sub- figures, the classification performance of the two enhanced methods is improved over the base IG method in almost every measurement.
-With achieved 82% of correct predictions of SATD, the method seems to be a good candidate to be adopted in practice.</t>
  </si>
  <si>
    <t>P10</t>
  </si>
  <si>
    <t>Previous work has shown that SATD can be successfully detected using source code comments. However, most current state-of-the-art approaches identify SATD comments through pattern matching, which achieves high precision but very low recall. That means they may miss many SATD comments and are not practical enough. In this paper, we propose SATD Detector, a tool that is able to (i) automatically detect SATD comments using text mining and (ii) highlight, list, and manage detected comments in an integrated development environment (IDE). This tool consists of a Java library and an Eclipse plug-in. The Java library is the back-end, which provides command-line interfaces and Java APIs to re-train the text mining model using users’ data and automatically detect SATD comments using either the built-in model or a user-specified model. The Eclipse plug-in, which is the front-end, first leverages our pre-trained composite classifier to detect SATD comments, and then highlights and marks these detected comments in the source code editor of Eclipse. In addition, the Eclipse plug-in provides a view in IDE that collects all detected comments for management.
Demo URL: https://youtu.be/sn4gU2qhGm0
Java library download: https://git.io/vNdnY
Eclipse plug-in download: https://goo.gl/ZzjBzp</t>
  </si>
  <si>
    <t>Text Preprocessing: We preprocess the text description of comments to extract features (i.e., words) in 3 steps: tokenization, stop- word removal, and stemming.
Feature Selection: After preprocessing and tokenizing the comments, we use the Vector Space Model (VSM) [10] to represent each comment with a word vector. Information Gain (IG)
In Sub-classifiers Training: In our tool, we train each sub-classifier using Naive Bayes Multinomial (NBM) WEKA</t>
  </si>
  <si>
    <t>-In Sub-classifiers Training: In our tool, we train each sub-classifier using Naive Bayes Multinomial (NBM) WEKA
-Classifiers Voting: In our model, the composite classifier is built from all the sub-classifiers, and it is responsible for predicting the label of a new comment in the target project. The prediction process is just like an election, and the prediction result of each sub-classiifer is regarded as a “vote”. The comment label which gets the largest number of“votes” will be the final prediction result of the composite classifier.</t>
  </si>
  <si>
    <t>Refers to : Identifying self-admitted technical debt in open source projects using text mining</t>
  </si>
  <si>
    <t>- Readers can refer to our previous work [4] for more details of our evaluation and experimental results.
[4] Identifying self-admitted technical debt in open source projects using text mining</t>
  </si>
  <si>
    <t>P11</t>
  </si>
  <si>
    <t>To train their classifier, these methods need labeled samples, which also require a lot of effort to obtain. We developed a new SATD identification method, which takes advantage of a large corpus of unlabeled code comments, extracted from open source projects, to train a word embedding model. After applying feature selection, the pre-trained word embedding is used for discovering semantically similar features in source code comments to enhance the original feature set. By using such enhanced feature set for classification, our goal was to improve the identification of SATD when compared to existing methods. The proposed feature enhancement method was used with the three most common feature selection methods (CHI, IG, and MI), and three well-known text classification algorithms (NB, SVM, and ME) and was tested on ten open source projects. The experimental results show a significant improvement in SATD identification over the compared methods. With an achieved 82% of correct predictions of SATD, the proposed method seems to be a good candidate to be adopted in practice.</t>
  </si>
  <si>
    <t>-Preprocessing: Tokenization, Stop-words removal, Stemming
-Many effective filtering FS methods have been applied for text classification. The typical FS methods include information gain (IG), chi-square (CHI), and mutual information (MI) [42]. 
-Word embedding using Word2Vec
-tfidf term-weighting scheme</t>
  </si>
  <si>
    <t>Naive Bayes
SVM
Maximum Entropy</t>
  </si>
  <si>
    <t>-F1-score</t>
  </si>
  <si>
    <t>F1-score = 82.12%</t>
  </si>
  <si>
    <t>WE5 achieved the best overall result using MI as the FS approach and SVM for classification when 30% of features were used (F1-score = 82.12%).
In general, the SVM classifier achieved slightly better results than ME and much better than NB, regardless of the used FS approach.
The differences between different FS approaches, when using the same classification algorithm, were only marginal.
Furthermore, generally, the best results were achieved with the feature set sizes of approx. 30%.
In this manner, we constructed a classification model for each open source project using 30% of features as selected by each baseline FS approach and trained it with all the comments from the remaining nine projects.</t>
  </si>
  <si>
    <t>P12</t>
  </si>
  <si>
    <t xml:space="preserve">There are several studies that proposed models to classify whether comments in source code are SATD. For example, Maldonado et al. [7] proposed an approach using Natural Language Processing (NLP) and Stanford NLP classifier to identify SATD. Besides, Supatsara et al. [8] leverage source code comments using N-gram Inverse Document Frequency (IDF) to improve the performance of SATD prediction model. However, those existing approaches employ binary classification techniques (i.e. one model per one SATD type) which can cause many issues in order to maintain a number of models (e.g. tuning). A recent study [6] also shows that design and requirement are the most common types of SATD. Hence, in this paper, we focus on developing prediction models to determine whether a source code comment is design SATD, requirement SATD, or non-SATD (i.e. multi-class classification). 
The approach in this paper enhances our previous work to develop a multi-class classification model based on textual feature extraction using n-gram IDF. We also employ instance hardness under-sampling to tackle the class imbalance and random forest as a classifier to classify design and requirement SATD. To the best of our knowledge, this is the first approach for SATD classification (especially for the most common types of SATD, design and requirement SATD). We conduct the empirical evaluation of our approach with baselines on publicly available data. The experimental results show that our approach consistently outperforms two traditional techniques in textual feature extraction: bag-of-words (BOW) and term frequency and inverse document frequency (TF-IDF) and one alternative (i.e., using Support Vector Machine). We then use the model proposed in [7] as a baseline benchmark. Our approach can improve the performance over the baseline in most cases. By analyzing the confusion metrics, our approach improves the prediction of requirement SATD over the baseline method by 33%.
</t>
  </si>
  <si>
    <t>-design SATD
-requirement SATD
-non-SATD</t>
  </si>
  <si>
    <t>3
design SATD
requirement
non-SATD</t>
  </si>
  <si>
    <t>N-gram Inverse Document Frequency (IDF)</t>
  </si>
  <si>
    <t>Random Forest with under-sampling approach</t>
  </si>
  <si>
    <t>-Precision
-Recall
-F1-score
-MMCE</t>
  </si>
  <si>
    <t>-Average Precision 0.7964
-Average Recall 0.5889
-Average F1-score 0.6474
-Avarege MMCE 0.4168</t>
  </si>
  <si>
    <t>We also outperform Maldonado et al. for SATD identification with the highest F1-score values of 0.874. Especially, when classifying requirement SATD, our approach has exceeded the baseline by 33%.</t>
  </si>
  <si>
    <t>P13</t>
  </si>
  <si>
    <t>Previous studies have leveraged human-summarized patterns (which represent n-gram phrases that can be used to identify SATD) or text-mining techniques to detect SATD in source code comments. However, several characteristics of SATD features in code comments, such as vocabulary diversity, project uniqueness, length, and semantic variations, pose a big challenge to the accuracy of pattern or traditional text-mining-based SATD detection, especially for cross-project deployment. Furthermore, although traditional text-mining-based method outperforms pattern-based method in prediction accuracy, the text features it uses are less intuitive than human-summarized patterns, which makes the prediction results hard to explain.
To improve the accuracy of SATD prediction, especially for cross-project prediction, we propose a Convolutional Neural Network– (CNN) based approach for classifying code comments as SATD or non SATD. To improve the explainability of our model’s prediction results, we exploit the computational structure of CNNs to identify key phrases and patterns in code comments that are most relevant to SATD.</t>
  </si>
  <si>
    <t>word2vec
NLTK library</t>
  </si>
  <si>
    <t>Convolutional Neural Network (CNN)</t>
  </si>
  <si>
    <t>-within-project prediction, our approach achieves an F1-score of 0.752 which improves Huang et al.’s text-mining approach [10] by 19.5%</t>
  </si>
  <si>
    <t>Our experiments show that (1) on average for within-project prediction, our approach achieves an F1-score of 0.752, which improves Huang et al.’s text-mining approach [10] by 19.5%; (2) our CNN model is more generalizable than the text- mining approach for cross-project prediction, especially in a limited training datasetting; (3) our CNNmodel requires much less training data to adapt to a new unseen project, and the target model obtained through fine-tuning the source model can even outperform the model specifically trained with the target project comments, especially when the target project has limited training data; (4) the majority ofour CNN-learned key phrases are relevant to SATD classification and align well with the human-annotated key phrases for SATD prediction; and (5) based on the CNN-learned key phrases, we can derive much more comprehensive SATD patterns than the 62 patterns iden- tified in Reference [6]. These</t>
  </si>
  <si>
    <t>P14</t>
  </si>
  <si>
    <t>Evaluate a Long shortterm memory (LSTM) neural network model to identify design and requirement SATDs from comments in source code. Method: We performed a controlled experiment to evaluate the quality of the model compared with two language models from literature in a labeled dataset. Results: Our model results outperformed the other models in precision, improving average precision in approximately 8% compared to auto-sklearn and 19% compared to maximum entropy approach, however, the LSTM model achieved worse results in recall and f-measure. Conclusion: We found that the LSTM model can classify with better precision but needs a larger training, so it can improve on the detection of negative cases.</t>
  </si>
  <si>
    <t>-design and non-SATD
-requirement and non-SATD</t>
  </si>
  <si>
    <t>2
design debt
requirement debt</t>
  </si>
  <si>
    <t>Some stop-words, special characters and numbers were eliminated so as not to confuse the training process and to improve the quality of the features.
Then the data was submitted to the training model.</t>
  </si>
  <si>
    <t>Long shortterm memory (LSTM)</t>
  </si>
  <si>
    <t>Average results for design debt
Precision 0.882
Recall 0.263
F1-score 0.391
Average results for requirement debt
Precision 0.809
Recall 0.115
F1-score 0.180</t>
  </si>
  <si>
    <t>P15</t>
  </si>
  <si>
    <t>We focus on a specific type of SATD, namely “On-hold” SATD, in which developers document in their comments the need to halt an implementation task due to conditions outside of their scope of work (e.g., an open issue must be closed before a function can be implemented).
We present an approach, based on regular expressions and machine learning, which is able to detect issues referenced in code comments, and to automatically classify the detected instances as either “On-hold” (the issue is referenced to indicate the need to wait for its resolution before completing a task), or as “cross-reference”, (the issue is referenced to document the code, for example to explain the rationale behind an implementation choice). Our approach also mines the issue tracker of the projects to check if the On-hold SATD instances are “superfluous” and can be removed (i.e., the referenced issue has been closed, but the SATD is still in the code). Our evaluation confirms that our approach can indeed identify relevant instances of On-hold SATD. We illustrate its usefulness by identifying superfluous On- hold SATD instances in open source projects as confirmed by the original developers.
We aim to build a classifier which automatically detects On- hold SATD and indicates whether it is ready to be removed. To achieve this goal, we took the following four steps (Fig. 2): 1) issue reference detection, 2) dataset creation, 3) data pre- processing, and 4) On-hold SATD classification</t>
  </si>
  <si>
    <t>On-hold SATD
not-On-hold SATD</t>
  </si>
  <si>
    <t>2
On-hold SATD
not-On-hold SATD</t>
  </si>
  <si>
    <t>-Regular Expression
-we performed three preprocessing steps: 1) term abstraction, 2) lemmatization, and 3) special character removal
-N-gram IDF</t>
  </si>
  <si>
    <t>After extracting the n-gram terms, we build a classifier to identify bug referencing comments into On-hold SATD or not.
-auto-sklearn</t>
  </si>
  <si>
    <t xml:space="preserve">Project Selection: We selected ten open source projects that consistently used for their entire change history a specific issue tracking system (ITS). This allowed us to run our study without the risk of missing important information due to the migration between different issue tracker systems (e.g., starting on JIRA and then moving to the GitHub issue tracker). Table I lists the projects used in this study.
To build the On-hold SATD classifier, we created a dataset for training and testing, based on the issue-referring comments collected in our previous step. For each of the 1,530 comments, the first and the second author independently labeled whether it is an actual instance of On-hold SATD or, instead, it is used as cross-reference. We evaluated the inter-rater reliability with the Cohen’s kappa coefficient, and the score of 0.748 demonstrates a substantial agreement between the two labelers. The third author resolved labeling conflicts. As a result, we got 133 On-hold SATD and 1,397 cross-reference comments.
</t>
  </si>
  <si>
    <t>Precision
Recall
F1-score
AUC</t>
  </si>
  <si>
    <t>Using n-gram and auto-sklearn (check the table for detail results)
an average precision of 0.79
an average recall of 0.70
an average F1-score of 0.73
an average AUC of 0.97.</t>
  </si>
  <si>
    <t>A particular type of SATD is the one we named “On-hold” SATD, where a developer has to make a compromise or halt development because of an external condition. Human nature dictates that often On-hold SATD is simply forgotten about. We performed an empirical study to understand whether On-hold SATD can be automatically detected: We analyzed ten open source projects, and found that 8% of the comments referring to issues are On-hold SATD.
To identify On-hold SATD, we developed a classifier using n-gram and auto- sklearn, resulting in an average precision of 0.79, an average recall of 0.70, an average F1-score of 0.73, and an average AUC of 0.97.
In short, On-hold SATD can indeed be detected automatically in a fairly reliable way.</t>
  </si>
  <si>
    <t>P16</t>
  </si>
  <si>
    <t>P17</t>
  </si>
  <si>
    <t>By contrast, in this paper we argue that developers can admit technical debt by other means, e.g., by creating issues in tracking systems and labelling them as referring to TD.
We refer to this type of SATD as issue-based SATD or just SATD-I.
We study a sample of 286 SATD-I instances collected from five open source projects, includ- ing Microsoft Visual Studio and GitLab Community Edition. We show that only 29% of the studied SATD-I instances can be tracked to source code comments. We also show that SATD-I issues take more time to be closed, compared to other issues, although they are not more complex in terms of code churn. Besides, in 45% of the studied issues TD was introduced to ship earlier, and in almost 60% it refers to Design flaws. Finally, we report that most developers pay SATD-I to reduce its costs or interests (66%). Our findings suggest that there is space for designing novel tools to support technical debt management, particularly tools that encourage developers to create and label issues containing TD concerns.</t>
  </si>
  <si>
    <t>design debt
UI debt
test debt
performance debt
domentation debt
code style
built
security
requirements debt</t>
  </si>
  <si>
    <t>We used SATDDetector [17] to automatically identify SATD-related com- ments in the deleted lines. This tool applies NLP techniques to classify textual comments based on a pre-trained model. It is based on a two-phase architecture, responsible for (i) building the model, and (ii) performing the classification. To build the models, the tool’s authors relied on a dataset with manually classified source code comments retrieved from eight open source projects [19]. Finally, to perform the classification the tool applies a Naive Bayes Multi- nomial (NBM) technique.</t>
  </si>
  <si>
    <t>In this paper, we study SATD-I instances from five open-source systems: GitLab and four GitHub-based systems. We selected Git-Lab because it is a well-known platform that supports a git-based version control service and also a CI/CD pipeline. Moreover, we had previous knowledge—from our research in the area—on GitLab’s practice to label TD-related issues.
As we can observe, there is a concentration of issues in GitLab-CE (40.9%) and on microsoft/vscode (46.2%), which is the popular IDE from Microsoft whose development history is now publicly available on GitHub. The remaining SATD-I instances come from influxdata/influxdb (7.3%), mirumee/saleor (3.5%), and nextcloud/server (2.1%).</t>
  </si>
  <si>
    <t>Finally, we show that there is an overlap between SATD-I and SATD-C but it is not dominant. Only 29% of the studied SATD-I instances can be traced to SATD-C instances.
Besides, TD was deliberately introduced in 45% of the studied SATD-I instances, and in almost 60% of them it refers to Design flaws.</t>
  </si>
  <si>
    <t>P18</t>
  </si>
  <si>
    <t>The work presented in this paper improves the contextualized vocabulary model we proposed in [13,14] by: (1) ranking the patterns that belong to the vocabulary, considering how decisive a pattern is to describe a situation of self-admitted technical debt; and (2) establishing relationships between the patterns and types of debt.
Objective: This work applies, evaluates, and improves a set of contextualized patterns we built to detect self- admitted technical debt using code comment analysis. We refer to this set of patterns as the self-admitted technical debt identification vocabulary.
Method: We carry out three empirical studies. Firstly, 23 participants analyze the patterns of a previously defined contextualized vocabulary and register their level of importance in identifying SATD items. Secondly, we perform a qualitative analysis to investigate the relation between each pattern and types of debt. Finally, we perform a feasibility study using a new vocabulary, improved based on the results of the previous empirical studies, to automatically identify self-admitted technical debt items, and types of debt, that exist in three open source projects.
Results: More than half of the new patterns were considered decisive or very decisive to detect technical debt items. The new vocabulary was able to find items associated to code, design, defect, documentation, and requirement debt. Thus, the result of the work is an improved vocabulary that considers the level of importance of each pattern and the relationship between patterns and debt types to support the identification and classification of SATD items.</t>
  </si>
  <si>
    <t>Design
Code
Architecture
Test
Documentation
Defect
Requirement
People
Build</t>
  </si>
  <si>
    <t>9
Design
Code
Architecture
Test
Documentation
Defect
Requirement
People
Build</t>
  </si>
  <si>
    <t>comment-patterns</t>
  </si>
  <si>
    <t>P19</t>
  </si>
  <si>
    <t>Developers often insert comments in which they admit that there is a need to improve that part of the code later. This is known as Self-Admitted Technical Debt (SATD).
Objective: Evaluate a Long short-term memory (LSTM) neural network model combined with Word2vec for word embedding to identify design and requirement SATDs from comments in source code.
Method: We performed a controlled experiment to evaluate the quality of the model compared with two language models from literature and LSTM without word embedding in a labelled dataset.
Results: The results showed that the LSTM model with Word2vec have improved in recall and f-measure. The LSTM model without word embedding achieves greater recall, but perform worse in precision and f-measure.
Conclusion: Overall, we found that the LSTM model and word2vec can outperform other models.</t>
  </si>
  <si>
    <t>-design debt and non-TD
-requirement debt and non-TD</t>
  </si>
  <si>
    <t>2 class for each experiment
-design debt and non-TD
-requirement debt and non-TD</t>
  </si>
  <si>
    <t>Word2vec for word embedding</t>
  </si>
  <si>
    <t>Long short-term memory (LSTM) neural network</t>
  </si>
  <si>
    <t>We evaluated a neural network LSTM model with Word2vec in the classification of design and requirement self-admitted technical debts through a controlled experiment. The results were compared with two other natural language processing approaches: auto-sklearn and maximum entropy classifiers.
At the end of the experiment, it was possible to verify that the LSTM model improved the recall and f-measure in design SATDs classification and recall in requirement SATD. The average f-measure was statistically the same as the model with better precision, in this case the Auto-sklearn classifiers.
Recall may be more important than precision depending on the problem being discussed (Hand and Christen, 2018). Someone may accept a slightly higher rate of false positives to get more true positives, if the trade-off is considered interesting. The LSTM model without Word2vec has a better recall rate but lower precision. Combining Word2vec and LSTM brings a great advantage to the overall performance.</t>
  </si>
  <si>
    <t>P20</t>
  </si>
  <si>
    <t>We reproduce and improve on a prior work by Yan et al. (2018) on detecting commits that introduce self-admitted technical debt.
We use multiple natural language processing methods: Bag-of-Words, topic modeling, and word embedding vectors.
We study 5 open-source projects. Our NLP approach uses logistic Lasso regression from Glmnet to automatically select best predictor words. A manually labeled dataset from prior work that identified self-admitted technical debt from code level commits serves as ground truth. Our approach achieves + 0.15 better area under the ROC curve performance than a prior work, when comparing only commit message features, and + 0.03 better result overall when replacing manually selected features with automatically selected words.</t>
  </si>
  <si>
    <t>We use multiple natural language processing methods:
Bag-of-Words
topic modeling (Latent Dirichlet allocation (LDA))
word embedding vectors.</t>
  </si>
  <si>
    <t>Our NLP approach uses logistic Lasso regression from Glmnet to automatically select best predictor words. 
– Translating texts to lower case
– Removal of hashes and their references
– Removal of numbers, non alpha-numeric tokens, and single-letter words
– Removal of stop words
– Removal of developer names
– Tokenizing</t>
  </si>
  <si>
    <t>In order to answer these research questions, we focus on five repositories, which are Camel, Log4J, Hadoop, Gerrit, and Tomcat. These repositories have pre-labeled SATD datasets, that were introduced in Maldonado et al. (2017).</t>
  </si>
  <si>
    <t>AUC-ROC</t>
  </si>
  <si>
    <t>Median AUC
Bag-of-words 0.7411
Word embeddings 0.6631
LDA 0.6294</t>
  </si>
  <si>
    <t xml:space="preserve">We created and tested different NLP techniques to find the best performing one when detect- ing SATD from commit messages, and compared the results with previous research. Our work has four main contributions:
– Comparing three different NLP techniques to find the best performing one for SATD detection from commit messages
– Improving SATD detection over previous work relying on manually chosen predictor words
– Showing how to generate generalizable prediction models/predictor terms when using commit messages from several repositories
– Producing a list of words that correlate with SATD appearance
</t>
  </si>
  <si>
    <t>P21</t>
  </si>
  <si>
    <t>-with condition (on-hold)
-without condition</t>
  </si>
  <si>
    <t>2
-with condition (on-hold)
-without condition</t>
  </si>
  <si>
    <t>-Three preprocessing steps are applied, namely, term abstraction, lemmatization, and special character removal.
-Regular expressions
-We extract n-gram term features by applying N-gram IDF (we use an N-gram Weighting Scheme tool (Shirakawa, 2017))</t>
  </si>
  <si>
    <t>Auto-sklearn includes 15 base classification algorithms, and produces results from an ensemble of classifiers derived by Bayesian optimization (Feurer et al. 2015)</t>
  </si>
  <si>
    <t xml:space="preserve">To obtain data on the removal of self-admitted technical debt, we used the online appendix of Maldonado et al. (2017a) as a starting point.
In their work, Maldonado et al. conducted an empirical study on five open source projects to examine how self-admitted technical debt is removed, who removes it, for how long it lives in a project, and what activities lead to its removal. They make their data available in an online appendix3, which contains 2,599 instances of a commit removing self-admitted technical debt. After removing duplicates, 2,507 instances remain. The first two columns of Table 1 show the number of commits for each of the five projects available in this data set.
-As shown in Fig. 8, we found fewer than 30 on-hold SATD comments in the sample of 333 comments. Since it is difficult to train classifiers on such a small number of instances, we investigated all 2,507 comments again to prepare data for our classification. After that, the first and third author separately annotated the remaining comments in terms of (i) whether comments represent self-admitted technical debt (similar to Fig. 2) and (ii) whether the self- admitted technical debt comments include a condition (similar to Fig. 8).
-We obtained 267 on-hold comments and 4,981 other comments, which are used for our classification. After excluding duplicate comments, our dataset contains a total of 5,248 comments.
</t>
  </si>
  <si>
    <t>Precision
Recall
F1-score
AUC
TPR
FPR</t>
  </si>
  <si>
    <t>On average, our classifier with cross-project classification achieved 
a mean precision of 0.46
a mean recall of 0.52
a mean F1-score of 0.45,
a mean AUC of 0.93
(within- and cross-project for more detail results)</t>
  </si>
  <si>
    <t>In this work, we hypothesize that it is possible to develop automated techniques to manage a subset of self-admitted technical debt. 
As a first step towards automating a part of the management of certain kinds of self- admitted technical debt, in this paper, we contribute (i) a qualitative study on the removal of self-admitted technical debt in which we annotated a statistically representative sample of 333 technical debt comments using seven questions that emerged as part of the qualitative analysis; (ii) on-hold SATD (debt which contains a condition to indicate that a developer is waiting for a certain event or an updated functionality having been implemented else- where) which emerged from this qualitative analysis as a particular class of self-admitted technical debt that can potentially be managed automatically; and (iii) the design and eval- uation of a classifier for self-admitted technical debt which can detect on-hold debt with an AUC of 0.98 as well as identify the specific conditions that developers are waiting for.
Building on these contributions, in our future work we intend to build the tool sup- port that our classifier enables: a recommender system which can indicate for a subset of self-admitted technical debt in a project when it is ready to be addressed. We found that self-admitted technical debt is sometimes addressed by uncommenting source code that has already been written in anticipation of the debt removal. As another step towards the automation of technical debt removal, in future work, we will explore whether it is possible to address such debt automatically.</t>
  </si>
  <si>
    <t>P22</t>
  </si>
  <si>
    <t xml:space="preserve">To the best of our knowledge, we have performed the first extensive empirical study on evaluating multiple balancing techniques for technical debt detection from source code comments. These include data-level balancing techniques (SMOTE, ADASYN, BorderLine SMOTE and SVMSMOTE), classifier-level balancing techniques (COST and Ensemble) and hybrid balancing techniques that combine either data-level and classifier-level balancing techniques or employ customised combined algorithms, for example COST based ensemble algorithm or sampling based ensemble, for handling data imbalance scenarios.
The filtered comments were manually labelled and grouped into the following categories: Requirement Debt, Design Debt, Implementation Debt, Test Debt, Documentation Debt and Non-Technical Debt. We consolidated all the types of TD into a single TD class to facilitate binary classification. We have two classes: SATD and non-SATD class for simplicity and easier evaluation across several balancing techniques. Table I lists the statistics of the source code comments data.
</t>
  </si>
  <si>
    <t>-We replicated the experiment set up from Ren et al. [6] to evaluate and compare with COST based Convolutional Neural Network.
-Within and Cross-Project set up</t>
  </si>
  <si>
    <t>-Imbalanced data (SMOTE, ADASYN, BorderLine SMOTE and SVMSMOTE)
-Logistic Regression
-Random Forest
-XGBoost
-We replicated the experiment set up from Ren et al. [6] to evaluate and compare with COST based Convolutional Neural Network.</t>
  </si>
  <si>
    <t>Precision
Recall
F1-score
AUC-ROC</t>
  </si>
  <si>
    <t>check the paper</t>
  </si>
  <si>
    <t>Our classical machine learning classifier XGBoost with SMOTE achieved an overall average of 0.828 for ten projects exceeding the overall detection performance by 10.10% against cost-sensitive CNN [6]. XGBoost with SMOTE sampling improved the within-project F1 scores of all the projects except ArgoUML, Hibernate and JMeter. It appears that the deep learning model is more accurate for projects that have higher percentage of SATD instances. For the other projects, the XGBoost with SMOTE sampling has better F1 scores indicating improved performance of machine learning algorithm over deep learning in Within-Project setup. While for cross-project SATD detection the deep learning CNN model outperformed our consistent top performer in Cross-Project setup XGBoost with BLINE model by 9.27% characterizing the improved feature generalization of source code comments across projects by deep learning model. This hints that for Within-Project SATD detection, classical machine learning with data balancing is better approach than deep learning. 
Our results show that no single balancing technique can provide consistent higher performance across multiple metrics.
Even though the sampling technique SMOTE has consistently improved Recall, ROC-AUC, and F1 scores of BASELINE across multiple classifiers, the difference between the scores of COST and SMOTE varies between 2%-14% across all the classifiers.
This suggests performance trade-off as the crucial parameter for choosing between COST and SMOTE in which the SMOTE incurs an additional data synthesis step while the former does not.</t>
  </si>
  <si>
    <t>P23</t>
  </si>
  <si>
    <t xml:space="preserve">To help developers identify self-admitted technical debt, researchers have proposed many state-of-the-art methods. However, there is still room for improvement about the effectiveness of the current methods, as self-admitted technical debt comments have the characteristics of length variability, low proportion and style diversity. Therefore, in this paper, we propose a novel approach based on the bidirectional long short-term memory (BiLSTM) networks with the attention mechanism to automatically detect self-admitted technical debt by leveraging source code comments. In BiLSTM, we utilize a balanced cross entropy loss function to overcome the class unbalance problem. We experimentally investigate the performance of our approach on a public dataset including 62, 566 code comments from ten open source projects. 
Although self-admitted technical debt has attracted great attention from both academic and industry circles, the accuracy rate is still not satisfactory. This is mainly because that, in most cases, the number of comments related to self-admitted technical debt (positive samples) is obvious smaller than that of comments unrelated to self-admitted technical debt (negative samples). 
In this paper, we propose a new approach for automatically detecting self-admitted technical debt by leveraging source code comments. In our approach, we first filter out the identical source code comments and clean up the noise from the retained source code comments. Then, words within each comment are converted into word vectors by leveraging the GloVe model. Finally, we build a classifier based on Bidirectional Long ShortTerm Memory (BiLSTM) networks and adopt the trained classifier to detect self-admitted technical debt for new code comments. In the classifier, we introduce the attention mechanism to capture the important textual features and a balanced cross entropy loss function to overcome the class unbalance problem. Meanwhile, genetic algorithms (GA) are adopted to search for the optimal or the approximate optimal parameter value for the balanced cross entropy loss function. 
To validate the effectiveness of the proposed approach, we conduct extensive experiments on the dataset including 62,566 code comments from 10 open source projects provided by Maldoado and Shihab [7]. We investigate four research questions and employ widely used precision, recall and F1-score to evaluate the performance of our approach in identifying self-admitted technical debt. We select one baseline method (namely the Pattern-based method [9]) and two state-of-the art methods (namely the NLP-based method [7] and the Text mining-based method [8]) as the comparative methods.
</t>
  </si>
  <si>
    <t>-word embeddings using GloVe</t>
  </si>
  <si>
    <t>-Bidirectional Long ShortTerm Memory (BiLSTM)
-genetic algorithms (GA)</t>
  </si>
  <si>
    <t>81.75% in terms of precision
72.24% in terms of recall
75.86% in terms of F1-score on average</t>
  </si>
  <si>
    <t>In the classifier, we introduce the attention mechanism to capture the important textual features and a balanced cross entropy loss function to overcome the class unbalance problem.
Meanwhile, genetic algorithms (GA) are adopted to search for the optimal or the approximate optimal parameter value for the balanced cross entropy loss function.
We experimentally investigate the performance of our approach on a public dataset including 62, 566 code comments from ten open source projects.
Experimental results show that our approach achieves 81.75% in terms of precision, 72.24% in terms of recall and 75.86% in terms of F1-score on average and outperforms the state-of-the-art text mining-based method by 8.14%, 5.49% and 6.64%, respectively.</t>
  </si>
  <si>
    <t>P24</t>
  </si>
  <si>
    <t>In this paper we evaluate a LSTM neural network model and Word2vec to identify SATDs from comments in source code. This work is an extension of previous works [23,24] with a new experiment that assesses the SATD classification while ignoring the type of technical debt. To make this comparison, all types of technical debt were grouped into a single type, dividing the dataset into comments that may or may not have technical debt. Thus, it was also possible to evaluate the efficiency of the model in the classification of SATD regardless of type.</t>
  </si>
  <si>
    <t>Word2vec</t>
  </si>
  <si>
    <t>LSTM</t>
  </si>
  <si>
    <t>Available</t>
  </si>
  <si>
    <t>-Indeed, on average, our approach achieves a Precision, Recall, and F1-score of 83.09%, 85.71%, and 84.22% respectively for within-project SATD detection, and a Precision, Recall, and F1-score of 79.21%, 87.34%, F1-score of 82.99% respectively for cross-projects SATD detection. It is worth mentioning that our approach does not perform significant differences between within-project and cross-projects settings. This evidence suggests that our approach could be effective and practical for pinpointing SATDs in real-world software projects.
-We also noticed that the classification improves when all SATD types were grouped in a single label. With this grouping, the model achieves better effectiveness and the combination of LSTM and Word2vec obtained a f-measure of 70.8% and the LSTM model, alone, a f-measure of 62.5%. In both cases, there were improvements in the prediction when compared to the results of the project and requirement SATDs classification. As in some medical diagnosis contexts, when healthcare professionals prefer to deal with some false positives than to lose some sick patients, recall can be more important than precision. The LSTM model without Word2vec has a better recall rate, but lower precision. The combination of Word2vec and LSTM has a great advantage for overall performance.</t>
  </si>
  <si>
    <t>P25</t>
  </si>
  <si>
    <t xml:space="preserve">Even though alternatives to identify SATD with manual or automated techniques have been proposed in the literature, most approaches are limited to binary classification (SATD or not SATD) rather than discriminating the debt type, and restrict the analysis to source code comments.
da S. Maldonado et al. [6] proposed a ML-based approach for automatically identifying design and requirement SATD. The authors also presented an extended dataset including 259?? comments from 10 Java projects. As in their previous approach, the goal was to identify the most frequent five debt types. Unlike da S. Maldonado et al. [6], who trained their model based on the comments extracted from all the considered systems, Huang and et al. [9] trained a model for each selected Java project and combined their results using a classifier voting method. Comments were classified into one of six classes: defect, documentation, test, design, requirement, and non-SATD. Liu and et al. [13] proposed a binary classification of SATD comments using NLP (i.e., Word Tokenizer, a custom stopWords list, Porter stemmer, and tf-idf), feature selection (the top 10% of features were selected according their Information Gain score), and a Naïve Bayes Multinomial (NBM) classifier. The authors also presented SATD Detector, a tool for binary classifying source code comments. Ren and et al. [18] proposed a deep learning approach based on a Convolutional Neural Network (CNN), where the convolutional layer is used to extract the most informative features for representing the data (in this case, the source code comments). Such features were later used to differentiate between SATD and not-SATD, based on the dataset labeled by [5]. According to the authors, their approach outperformed the results of Huang and et al. [9], both in terms of within-project and cross-project prediction.
Most of the considered ML-based approaches perform a binary analysis of SATD (i.e. they separate SATD from non-SATD comments), and thus the particular types of debt are not identified. Moreover, existing approaches (both pattern-based and ML) are only based on analysing source code comments, disregarding the importance of other information sources, such as issue trackers. 
In this context, DebtHunter approach allows to analyze both, source code comments and issue tracker.
</t>
  </si>
  <si>
    <t>2 and 5</t>
  </si>
  <si>
    <t>-As text cannot be used as input of the classification models, both training sets undergo a classical NLP pre-processing pipeline [10] (Step 4). First, text is tokenized (i.e. it is divided into its words or tokens). Second, stopwords are removed following a Rainbow [15] based list. Third, Lovins stemmer [14] is used to reduce the lexical variation of word. Finally, the remaining words were weighted using tf-idf [11]. Following those pre-processing steps, 13, 056 features were obtained for the first training set and 3, 363 features for the second one. As observed, the first training set comprises more instances, and thus more features than the second one. applied an oversampling technique (called SMOTE [3])
-feature selection techniques (based on Information Gain)</t>
  </si>
  <si>
    <t>(1) a binary classification setting for identifying SATD comments (trained with the first training set)
(2) a multi-class classification setting for classifying SATD comments into the debt type they express (trained with the second training set)
-SMO (Sequential Minimal Optimization) [16] was used for both classification steps.</t>
  </si>
  <si>
    <t>Precision 0.972
Recall 0.967
F1-Score 0.965</t>
  </si>
  <si>
    <t>Table 2 shows the approaches performance. In terms of Precision, Recall and F1-Score, Raw DebtHunter outperformed all selected baselines. Raw DebtHunter and All-labels achieved similar results. Pattern-based achieved medium to high Precision, but very low Recall, which also affects F1-Score. Medium-high precision means that the majority of comments labeled as debt were actually expressing debt, while at the same time, most of the comments expressing debt were missed. Pattern-based identified as SATD comments that either did not express debt or expressed a design debt. Only one defect comment was labeled as SATD. This could be due to patterns having a limited scope, as they heavily rely on the words and expressions used in the analyzed systems. The performed statistical analysis showed that differences were statistically significant, confirming the superiority of DebtHunter over the selected baselines.</t>
  </si>
  <si>
    <t>P26</t>
  </si>
  <si>
    <t xml:space="preserve">Despite the fact that technical debts will introduce negative impacts to the maintenance of software, technical debt is still wide- spread and seems to be unavoidable in software systems [3, 12, 47, 54]. Hence, there is a strong need to invent automated approaches to detect technical debts and fix them as earlier as possible. Nevertheless, it is a challenging endeavor to handle all the types of technical debts at once [25, 38]. As the initial step towards achieving such a purpose, many state-of-the-art works start by focusing on the detection of SATDs [10, 14, 17, 58]. Unlike other technical debts, SATDs are often highlighted as comments in the code of the software [30, 41, 59]. Table 1 enumerates some SATD examples identified in popular open-source projects. For example, the comment "May be replaced later" in the JMeter project indicates that the current code is a temporary solution and needs to be replaced in the future.
This simple empirical investigation shows that SATDs indeed negatively impact the maintenance of software projects, and hence there is a strong need to invent promising approaches to detect and resolve them [13].
</t>
  </si>
  <si>
    <t>-BiLSTM</t>
  </si>
  <si>
    <t>-Maldonado dataset
-To this end, we resort to Github to search for hot projects, and eventually, we select ten software projects, taking different technical fields into consideration. Table 6 summarizes the ten projects, along with their metadatas, such as short descriptions, number of total comments, etc.</t>
  </si>
  <si>
    <t>F1-score of 84.22%, which is 9.14% higher than that of Ren’s method.</t>
  </si>
  <si>
    <t>To that end, we pro- pose to the community a novel approach, namely HATD (Hybrid Attention-based method for self-admitted Technical Debt detec- tion), to detect and explain SATDs using attention-based neural networks. Through extensive experiments on 445,365 comments in 20 projects, we show that HATD is effective in detecting SATDs on both in-the-lab and in-the-wild datasets under both within-project and cross-project settings. HATD also outperforms the state-of-the- art approaches in detecting and explaining SATDs.</t>
  </si>
  <si>
    <t>P27</t>
  </si>
  <si>
    <t>-Currently, many methods are proposed to detect SATD. However, these methods are limited to the identification of SATD or non-SATD. In this paper, we propose a CNN-BiLSTM method to detect and classify SATD. Through our cross-project experiments on 10 projects, it is shown that our method can not only effectively detect SATD, but also classify design debt, requirement debt, and defect debt in SATD.
-Therefore, this paper proposes a CNN-BiLSTM method to detect SATD and classify three kinds of self-admitted technical debt in comments. Firstly, we use the data set provided by Maldonado [5], preprocess the data of 10 projects and then use Word2vec to express the comment text as a matrix, then train a CNN- BiLSTM model, and take turns to evaluate the 10 projects as the test set. According to our experimental results, our method can implement SATD detection and classification.</t>
  </si>
  <si>
    <t>4 class
defect debt, design debt, requirement debt, non-SATD</t>
  </si>
  <si>
    <t>Word Embedding using Word2vec</t>
  </si>
  <si>
    <t>CNN-BiLSTM</t>
  </si>
  <si>
    <t>F1-score: 0.695</t>
  </si>
  <si>
    <t>Table III shows the Marco-F1 results of SATD multi-classification of our method and common deep learning models on ten projects. The average Marco-F1 of our method on 10 projects is 0.451, which is 10.81%, 6.62% and 6.37% higher than CNN, LSTM, and BiLSTM, respectively. In addition, we can also see that the methods have achieved the minimum value on the EMF project. According to our investigation on this project, we found that the data of the EMF project is very unbalanced, which brings great difficulties to classification. Even so, our method is still 10.81% better than CNN.</t>
  </si>
  <si>
    <t>P28</t>
  </si>
  <si>
    <t>However, few studies focused on the removal of different types of technical debt in practice. To fill this gap, we use the introduction and removal of different types of self-admitted technical debt (i.e., SATD) in 7 deep learning frameworks as an example. This is because deep learning frameworks are some of the most important soft- ware systems today due to their prevalent use in life-impacting deep learning applications.
Moreover, the field of the development of different deep learning frameworks is the same, which enables us to find common behaviors on the removal of different types of technical debt across projects. By mining the file history of these frameworks, we find that design debt is introduced the most along the development process.
As for the removal of technical debt, we find that requirement debt is removed the most, and design debt is removed the fastest. Most of test debt, design debt, and requirement debt are removed by the developers who introduced them.
Based on the introduction and removal of different types of technical debt, we discuss the evolution of the frequencies of different types of technical debt to depict the unresolved sub-optimal trade-offs or decisions that are confronted by developers along the development process. We also discuss the removal patterns of different types of technical debt, highlight future research directions, and provide recommendations for practitioners.</t>
  </si>
  <si>
    <t>Defect
Design
Documentation
Requirement
Compability
Test
Algorithm
Requirement</t>
  </si>
  <si>
    <t>8
Defect
Design
Documentation
Requirement
Compability
Test
Algorithm
Requirement</t>
  </si>
  <si>
    <t>Information Gain (IG)</t>
  </si>
  <si>
    <t>SATD-detector - Information Gain (IG)</t>
  </si>
  <si>
    <t>As a result, we include 7 deep learning frameworks with the largest number of stars that are written in 3 programming languages (C++, Python and Java) as subject frameworks for our study. They include: TensorFlow (shortened as TF),5 Keras,6 Deeplearning4j (shortened as DL4J),7 Caffe,8 PyTorch,9 MXNet10 and Microsoft Cognitive Toolkit (known as CNTK).11</t>
  </si>
  <si>
    <t>Precision
Recall</t>
  </si>
  <si>
    <t>Precision 0.71 0.45 0.91 0.79 0.60 0.83 0.81 0.81
This shows that the retrained SATD-detector achieves a recall score of 0.85 as there are around 3,180 comments that are false negative (i.e., the comments indicating technical debt).</t>
  </si>
  <si>
    <t>In this paper, we inspect the removal of different types of technical debt by mining SATD in the history version of 7 open source deep learning framework projects. As a result, we find that developers admit design debt the most, and the removal rate of requirement debt is significantly higher than other types of technical debt. Design debt is removed the fastest among all the types of technical debt, while compatibility debt is removed the slowest. Documentation debt and defect debt is the least self-removed. Test debt, design debt, and requirement debt are the the most self-removed. Compatibility debt and documentation debt are the most removed by the developers with more activities in the project. Based on these findings, we depict the evolution of the frequencies of different types of technical debt along the development process. In the future, we will examine the introduction and removal of technical debt with other evidence, such as by an interview.</t>
  </si>
  <si>
    <t>P29</t>
  </si>
  <si>
    <t>To automatically address this problem, this work uses the machine learning and text analytics model. Random forest and support vector machine (SVM) algorithms extract features from incident tracker documents and effectively classify the technical debts.
The proposed technical debt classification model is made sustainable to handle the growing volumes of project documents by executing a distributed framework. The performance of both the models is examined, and it is found that SVM outperforms the other.
Certain work planned for creating techniques to characterize certain types of technical debt, for example, software architecture debt. Brondum et al. proposed a demonstrating way to deal with architecture technical debt visualization based on the examination of the structural code [5]. Li et al. proposed to utilize two measured quality metrics, Index of Package Changing Impact (ICPI) and Index of Package Goal Focus (IPGF), as pointers of architecture TD [6]. They also mentioned about architectural TD using the architectural decisions and change scenarios [7]. Bellomo et al. used four-issue trackers from open source and government ventures. There were 1264 issues, and 109 instances of technical debt were recognized using the categorization method they created [13]. Ke Dai et al. utilized NLP and AI methods to recognize technical debt through issue trackers [14]. Our examination is to distinguish whether the incident is because of technical debt or not and furthermore the sort of technical debt utilizing the distinctive AI algorithms random forest [15] and support vector machine [16]. The investigation is stretched out to utilize the Hadoop distributed architecture and MapReduce framework to preprocess the documents and thereby speed up the classification and prediction of technical debt on the new software requirements.</t>
  </si>
  <si>
    <t>Random forest
SVM models</t>
  </si>
  <si>
    <t>incident tracker documents</t>
  </si>
  <si>
    <t>Incident tacking data (training data)
Random forest 0.1924
SVM 0.5727
Requirement specification data (test data)
Random forest 0.8255 
SVM 0.9458</t>
  </si>
  <si>
    <t>This paper introduces an exploratory study on applying NLP and machine learning techniques to identify technical debt issues from the incident tracker data set. It has proposed a method to use a distributed Hadoop framework where the project documents can be stored in the Hadoop Distributed File System (HDFS) and text preprocessing functionality can be done by the MapReduce programming model. This method will help to save the time spent in preprocessing the project documents. We have demonstrated that the proposed model can automate the process of detecting technical debt issues from the incident tracker and achieve an acceptable performance using NLP and machine learning techniques. There are some common words in software engineering that are directly or indirectly related to technical debt, and these words can be used as features to decide whether a certain issue is a technical debt or not.</t>
  </si>
  <si>
    <t>P30</t>
  </si>
  <si>
    <t>Objective. We aim to investigate how far we have really progressed in the field of SATD identification by comparing existing approaches with a simple approach that leverages the predefined task tags to identify SATD. Method. We first propose a simple heuristic approach that fuzzily Matches task Annotation Tags (MAT) in comments to identify SATD.
In nature, MAT is an unsupervised approach, which does not need any data to train a prediction model and has a good understandability. Then, we examine the real progress in SATD identification by comparing MAT against existing approaches. Result. The experimental results reveal that: (1) MAT has a similar or even superior performance for SATD identification compared with existing approaches, regardless of whether non-effort-aware or effort-aware evaluation indicators are considered; (2) the SATDs (or non-SATDs) correctly identified by existing approaches are highly overlapped with those identified by MAT; and (3) supervised approaches misclassify many SATDs marked with task tags as non-SATDs, which can be easily corrected by their combinations with MAT.</t>
  </si>
  <si>
    <t>Tokenization
Stemming
-comment patterns</t>
  </si>
  <si>
    <t>fuzzily Matches task Annotation Tags (MAT)</t>
  </si>
  <si>
    <t>-Dataset M: Maldonado dataset
-Dataset-G: collected by ourselves -- The new projects involved in Dataset-G include Dubbo-2.7.4, Gradle-5.6.3, Groovy-2.5.8, Hive-3.1.2, Maven-3.6.2, Poi-4.1.1, SpringFramework-5.2.0, Storm-2.1.0, Tomcat-9.0.27, and Zookeeper-3.5.6.
Second, combining Dataset-M with Dataset-G together allows us to have a large sample to draw statistically meaningful conclusions.</t>
  </si>
  <si>
    <t>Precision
Recall
F1-score
ER (Effort Reduction)
RI (Recall Increase)</t>
  </si>
  <si>
    <t>Results are available</t>
  </si>
  <si>
    <t>It is prior that comments with these tags have a high probability of being SATD even if tag misusing is considered. However, existing SATD identification approaches neglect this fact and learn their relationships with SATD from labeled training data. We use 20 different open-source Java projects to conduct the comparison experiment. Our experimental results surprisingly show that MAT is very competitive or even superior to all the investigated approaches, regardless of whether effort-unaware or effort-aware performance indicators are considered. Furthermore, for the investigated approaches, the resulting true positive instances (i.e., SATD) and true negative instances (i.e., non-SATD) are highly over- lapped with those identified by MAT. This result indicates that the real progress in SATD identification is not being achieved as it might have been envisaged. Due to a low computation cost and a low memory requirement, MAT can be efficiently applied in practice. Therefore, we strongly recommend that future SATD identification studies consider MAT as an easy-to-implement baseline, when many task tags are used in the comments of a target project. Indeed, in light of the fact that task tags are usually signals of SATD, there is no reason to neglect such a natural baseline. In practice, using MAT as a baseline will enable us to determine whether a new identification approach is practically useful.</t>
  </si>
  <si>
    <t>P31</t>
  </si>
  <si>
    <t xml:space="preserve">To the best of our knowledge, this is the first work aiming at identifying three different types of SATD, including defect debt, design debt, and implementation debt, to help developers understand technical debt better.
Nevertheless, the above-mentioned studies for detecting SATDs have two shortcomings (Liu et al.). First, for pattern based methods, they rely on manual modes and cannot identify SATDs automatically. Second, for machine learning based methods, they focus on the locality of the comment instances and lack of the relationship between long-distance and discontinuous comment instances (Ma et al., 2021; Mittal et al., 2021).
To solve these problems, we propose a deep learning based method, namely GGSATD that applies the gated graph neural network with the inductiveness, to detect SATDs from source code comments (Zhang et al., 2020).
Instead of treating the code comment instance sequence as the model input directly, our method converts the comment instance into the graph with co-occurrence relation- ship. More specifically, first, we use the code comment instance to build the graph, then we learn the features through the gated graph neural network (GGNN) that makes the features of nodes in each graph can be learnt more effectively. After the feature learning finished, the node representation the model learnt is sent into two multilevel perceptrons to obtain high-level feature representation followed by a softmax layer for SATD detection.
</t>
  </si>
  <si>
    <t>3 class
defect debt, design debt, implementation debt.</t>
  </si>
  <si>
    <t xml:space="preserve">3 class
defect debt, design debt, implementation debt.
</t>
  </si>
  <si>
    <t>gated graph neural network (GGNN)</t>
  </si>
  <si>
    <t>-Maldonado dataset
-To further verify the generation of our model, we collect seven new software projects with 152,569 comments in real world. In</t>
  </si>
  <si>
    <t xml:space="preserve">-within-project scenario, the mean values of Precision, Recall, and F1-score obtained by our method are 0.916, 0.884, and 0.895
-cross-project scenario, the mean values of Precision, Recall, and F1-score obtained by our method are 0.879, 0.849, and 0.862
</t>
  </si>
  <si>
    <t>We conduct the experiment on a benchmark dataset that includes 10 software projects released by a previous work (Mal- donado et al., 2017) with three performance indicators. Our experiment results show that, in within-project scenario, the mean values of Precision, Recall, and F1-score obtained by our method are 0.916, 0.884, and 0.895, respectively. Compared to the five baseline methods, the F1-score improves from 8.75% to 38.54%.
In cross-project scenario, the mean values of Precision, Recall, and F1-score obtained by our method are 0.879, 0.849, and 0.862, respectively. Compared to the five baseline methods, the F1-score improves from 7.75% to 36.83%. To further verify the generation of our model, we collect seven new software projects with 152,569 comments in real world. In the seven extended projects, our method also achieves better prediction performance than the five baseline methods, i.e., Precision of 0.899, Recall of 0.950, and F1-score of 0.921.</t>
  </si>
  <si>
    <t>P32</t>
  </si>
  <si>
    <t xml:space="preserve">Existing studies mainly focus on detecting technical debt by classifying code comments into either “SATD” or “non-SATD.” However, different types of SATD has different impacts on software maintenance and needs to be handled by different developers. Therefore, the detected SATD should be further classified so that developers can understand and remove technical debt better. In this article, we propose a new method based on eXtreme Gradient Boosting (XGBoost) to classify SATD into multiple classes. In our approach, we first preprocess the original code comments and adopt the easy data augmentation strategy to overcome the class unbalance problem. Then, chi-square is leveraged to select representative features from the textual feature set. Finally, we apply XGBoost to train a classifier and use the trained classifier to partition each comment into the corresponding class. We experimentally investigate the effectiveness of our approach on a public dataset, including 62 566 code comments from 10 open-source projects. Experimental results show that our approach achieves 56.66% in terms of macroaveraged precision, 59.07% in terms of macroaveraged recall, and 55.77% in terms of macroaveraged F-measure on average, and outperforms the natural language processing based method by 4.98%, 5.32%, and 3.17%, respectively. In addition, the experimental results also demonstrate that the data augmentation strategy is effective in improving the effectiveness of our approach. 
In this study, we aim to identify different types of technical debt (defect debt, design debt, and implementation debt), which can be regarded as a multiclass classification problem. MacroP, MacroR, and MacroF are the widely used metrics to evaluate the effectiveness of automated multiclass classification techniques [24], [26]. Therefore, we can adopt MacroP, MacroR, and MacroF to validate the effectiveness of our method. Notably, although non-SATD comments can also be identified in this study, we do not care the results of non-SATD comments. We first calculate the local results of each type of technical debt, then the global results can be obtained by averaging the results of these three types of technical debt
</t>
  </si>
  <si>
    <t>3 class
defect debt, design debt, and implementation debt</t>
  </si>
  <si>
    <t>-eXtreme Gradient Boosting (XGBoost) 
-EDA (easy data augmentation)</t>
  </si>
  <si>
    <t>MacroF
MacroP
MacroR</t>
  </si>
  <si>
    <t>56.66% in terms ofmacro-averaged precision
59.07% in terms ofmacro-averaged recall
55.77% in terms of macro-averaged F-measure on average
outperforms the natural language processing based method by 4.98%, 5.32%, and 3.17%, respectively.</t>
  </si>
  <si>
    <t>P33</t>
  </si>
  <si>
    <t>Abdulaziz Alhefdhi</t>
  </si>
  <si>
    <t>Most of the exist- ing work focuses on detecting technical debt using code comments, known as Self- Admitted Technical Debt (SATD). However, there are many cases where technical debt instances are not explicitly acknowledged but deeply hidden in the code. 
In this paper, we propose a framework that caters for the absence of SATD comments in code. Our Self-Admitted Technical Debt Identification and Description (SATDID) framework determines if technical debt should be self-admitted for an input code fragment. If that is the case, SATDID will automatically generate the appropriate descriptive SATD comment that can be attached with the code. While our approach is applicable in principle to any type of code fragments, we focus in this study on technical debt hidden in conditional statements, one of the most TD-carrying parts of code. We explore and evaluate different implementations of SATDID.</t>
  </si>
  <si>
    <t>TF-IDF</t>
  </si>
  <si>
    <t>Long Short-Term Memory (LSTM)
Support Vector Machines (SVM)
Multinomial Naive Bayes (MNB)
Random Forest (RF)</t>
  </si>
  <si>
    <t>https://github.com/Abdulaziz-Alhefdhi/tech_debt</t>
  </si>
  <si>
    <t>Precision
Recall
F1-Score
Bleu-n score</t>
  </si>
  <si>
    <t>We have evaluated SATDID’s performance on a dataset of code-comment pairs from 4,995 active software development repositories. 
Our approach provides at least 21.35, 59.36, 31.78, and 583.33% improvements over all the replicated/tested benchmarks in terms of Precision, Recall, F-1, and Bleu-4 scores, respectively. 
In addition, our approach scores total means of 3.128, and 3.172 in terms of Acceptability and Understandability of the generated comments, respectively. The results demon- strate the effectiveness of our approach.</t>
  </si>
  <si>
    <t>P34</t>
  </si>
  <si>
    <t>Deep learning can be used for SATD detection, but there is a class imbalance problem and a large number of easily classified SATD instances that may potentially affect the loss value. 
As a result, we proposed a weighted focal loss function based on particle swarm to address the problem. Meanwhile, there is no empirical research based on local explanations for SATD detection. We have investigated local interpretation models such as Saliency Maps, Integrated Gradients, which are currently widely used in deep learning, and conducted empirical research for shared data sets.
The research results show that our proposed weighted focal loss function can achieve the best performance for SATD detection; our model achieves 12.27%, 5.97%, and 5.62% improvement in Precision, Recall, and AUC compared to the baseline model, respectively; Local explanation models, including Saliency Maps and Integrated Gradients can cover nearly half of the manually labeled paradigms; these two interpretation models can also discover potential new paradigms.</t>
  </si>
  <si>
    <t>In this paper, we will describe Gradient-based Explainability Techniques for SATD detection.
The Weighted TextCNN model achieves the best performance for SATD detection [2, 12].
Global explanation [13] and local explanation [14-18] can be used for the CNN model.
-First we will show the word embedding layer of code comments. The pre-training vector used in the framework is based on Global Vectors for Word Representation (Glove).</t>
  </si>
  <si>
    <t>-Hyperparameter Optimization Method Based on Particle Swarm
-Weighted Convolutional Neural Network and gradient-based explainability techniques</t>
  </si>
  <si>
    <t>Precision
Recall
AUC
FPR</t>
  </si>
  <si>
    <t>our model achieves 12.27%, 5.97%, and 5.62% improvement in Precision, Recall, and AUC compared to the baseline model</t>
  </si>
  <si>
    <t>SATD is an intentionally introduced software code comment describing potential defects. Although it is possible to process code comments based on methods such as pattern recognition and natural language text processing, deep learning is better at embedding and categorizing variable- length code comments. However, there is no empirical research on explanatory aspects of CNN-based gradients. We have investigated local interpretation models such as Saliency Maps and Integrated Gradients, which are currently widely used in image processing, and conducted empirical research based on open data sets. The research results show that these models can cover nearly half of the manually labeled paradigms; at the same time, these models can also fully analyze the code comments and discover potential new paradigms. In the future, it is necessary to study new interpretable algorithms for SATD so that more paradigms can be discovered and the quality of software development can be improved. The class overlap problem in the dataset is also an important factor that may affect the SATD detection model. In subsequent research, we should also pay attention to the impact of the class overlap problem on the detection model [26]. The effect of term weighting on the SATD classifier is also an issue to be considered later [27].</t>
  </si>
  <si>
    <t>P35</t>
  </si>
  <si>
    <t>Meanwhile, container virtualization has been attracting attention in recent years as a technology to support infrastructure such as servers. Currently, Docker is the de facto standard for container virtualization. In Docker, a file describing how to build a container (Dockerfile) is a set of procedural instructions; thus, it can be considered as a kind of source code. Moreover, because Docker is a relatively new technology, there are few developers who have accumulated good or bad practices for building Docker container. Hence, it is likely that Dockerfiles contain many SATDs, as is the case with general programming language source code analyzed in previous SATD studies. The goal of this paper is to categorize SATDs in Dockerfiles and to share knowledge with developers and researchers. To achieve this goal, we conducted a manual classification for SATDs in Dockerfile. We found that about 3.0% of the comments in Dockerfile are SATD. In addition, we have classified SATDs into five classes and eleven subclasses. Among them, there are some SATDs specific to Docker, such as SATDs for version fixing and for integrity check. The three most common classes of SATD were related to lowering maintainability, testing, and defects.</t>
  </si>
  <si>
    <t>Pattern-Based SATD Detection</t>
  </si>
  <si>
    <t>Docker dataset available</t>
  </si>
  <si>
    <t>The precision and recall are 86.5% (45/52) and 56.3% (45/(45 + 35)), respectively, yielding an F1 measure of 0.68. Thus, we can use the SATD pattern to identify SATD in Dockerfiles with high accuracy.</t>
  </si>
  <si>
    <t>P36</t>
  </si>
  <si>
    <t>Although prior work has made important observations about admitted technical debt in source code, little is known about SATD in build systems. In this paper, we set out to better understand the characteristics of SATD in build systems. To do so, through a qualitative analysis of 500 SATD comments in the Maven build system of 291 projects, we characterize SATD by location and rationale (reason and purpose). 
Our results show that limitations in tools and libraries, and complexities of dependency management are the most frequent causes, accounting for 50%and 24% of the comments. We also find that developers often document SATD as issues to be fixed later. As a first step towards the automatic detection of SATD rationale, we train classifiers to detect the two most frequently occurring reasons and the four most frequently occurring purposes of SATD in the content of comments in Maven build systems. 
The classifier performance is promising, achieving an F1-score of 0.71–0.79. Finally, within 16 identified ‘ready-to-be-addressed’ SATD instances, the three SATD submitted by pull requests and the five SATD submitted by issue reports were resolved after developers were made aware. Our work presents the first step towards understanding technical debt in build systems and opens up avenues for future work, such as tool support to track and manage SATD backlogs.</t>
  </si>
  <si>
    <t>Auto-sklearn
Comparison. To investigate the impact that the choice of classification technique has, we apply Naive Bayes (NB), Support Vector Machine (SVM), and k-Nearest Neighbors (kNN) classification techniques. These classifiers have been broadly adopted in prior studies [18], [50]. Similar to prior work [27], we apply TF-IDF [42] to extract the features for our baseline classifiers</t>
  </si>
  <si>
    <t>consists of two steps:
(DP1) Extract comments from Maven repositories; 
(DP2) Identify SATD comments.</t>
  </si>
  <si>
    <t>The auto-sklearn classifier achieves the highest value of F1-score for SATD reasons (0.72 precision, 0.71 recall, 0.71 F1-score) and purposes (0.81 precision, 0.80 recall, 0.79 F1-score)</t>
  </si>
  <si>
    <t>P37</t>
  </si>
  <si>
    <t>Keeping track of and managing Self-Admitted Technical Debts (SATDs) is important for maintaining a healthy software project. Current active-learning SATD recognition tool involves manual inspection of 24% of the test comments on average to reach 90% of the recall. Among all the test comments, about 5% are SATDs. The human experts are then required to read almost a quintuple of the SATD comments which indicates the inefficiency of the tool. Plus, human experts are still prone to error: 95% of the false-positive labels from previous work were actually true positives.
To solve the above problems, we propose DebtFree, a two-mode framework based on unsupervised learning for identifying SATDs.
In mode1, when the existing training data is unlabeled, DebtFree starts with an unsupervised learner to automatically pseudo-label the programming comments in the training data. In contrast, in mode2 where labels are available with the corresponding training data, Debt- Free starts with a pre-processor that identifies the highly prone SATDs from the test dataset.
Then, our machine learning model is employed to assist human experts in manually identifying the remaining SATDs. Our experiments on 10 software projects show that both models yield statistically significant improvement in effectiveness over the state-of-the-art automated and semi-automated models. Specifically, DebtFree can reduce the labeling effort by 99% in mode1 (unlabeled training data), and up to 63% in mode2 (labeled training data) while improving the current active learner’s F1 relatively to almost 100%.</t>
  </si>
  <si>
    <t>Pseudo-Labeling
Filtering</t>
  </si>
  <si>
    <t>DebtFree = Pseudo-Labeling (via Unsupervised Learning, i.e., CLA (Nam and Kim 2015)) + Filtering (via CLA (Nam and Kim 2015) or Jitterbug’s Easy Yu et al. 2020) + Active Learning (via Emblem (Tu et al. 2020b), Jitterbug’s Hard (Yu et al. 2020), or this study’s Falcon). Step 1 is required if there is no access to the training data’s labels. Step 2 is optional while Step 3 is required at all times. The gray arrows indicate different configurations of the method that will be investigated for this study.
Logistic Regression
Random Forest</t>
  </si>
  <si>
    <t>Maldonado and Shihab (2015) which has been corrected by Yu et al. (2020)</t>
  </si>
  <si>
    <t>Precision
Recall
F1-score
G1-score --&gt; harmonis mean of recall and false-alarm rate</t>
  </si>
  <si>
    <t>Specifically, DebtFree can reduce the labeling effort by 99% in mode1 (unlabeled training data), and up to 63% in mode2 (labeled training data) while improving the current active learner’s F1 relatively to almost 100%.</t>
  </si>
  <si>
    <t>P38</t>
  </si>
  <si>
    <t>Previous studies used techniques based on patterns, text mining, natural language processing, and neural networks to detect SATD.
Compared with these above, Convolutional Neural Networks (CNN) have the strong feature extraction ability. Deep network ensembles are demonstrated great potential for the task of sentences classification.
In order to boost the performance of CNN-based SATD detecting, we propose a deep neural network ensemble contribute to ensemble learning in a simple yet effective way. Specifically, CNN, CNN-LSTM (convolutional neural network and long short-term memory), and DPCNN (Deep Pyramid Convolutional Neural Networks) are used as individual classifiers to diversify the deep network ensembles. In order to improve the explainability, we introduce attention to measure the contribution of feature words to SATD classification. 62,285 source code comments from 10 projects were used in our experiments. The results show that our approach can effectively reduce misjudgment and detect more SATD, especially for cross-project, so as to greatly improve the detection accuracy.</t>
  </si>
  <si>
    <t>-Tokenization, Remove stopwords, Lowercase, etc
-In this paper, the embedding layer of the neural network is used to conduct the training of word vectors, and the word vector matrix obtained by splicing the generated word vectors in the order of comments is used as the input of the convolutional layer to facilitate better feature extraction.</t>
  </si>
  <si>
    <t>A variety of different deep neural network models are integrated, including CNN, CNN-LSTM, and DPCNN.</t>
  </si>
  <si>
    <t>Precision 0.8
Recall 0.736
F1-score 0.763</t>
  </si>
  <si>
    <t>P39</t>
  </si>
  <si>
    <t>Most work on automatically identifying SATD focuses on source code comments. In addition to source code comments, issue tracking systems have shown to be another rich source of SATD, but there are no approaches specifically for automatically identifying SATD in issues. In this paper, we first create a training dataset by collecting and manually analyzing 4,200 issues (that break down to 23,180 sections of issues) from seven open-source projects (i.e., Camel, Chromium, Ger- rit, Hadoop, HBase, Impala, and Thrift) using two popular issue tracking systems (i.e., Jira and Google Monorail).
We then propose and optimize an approach for automatically identifying SATD in issue tracking systems using machine learning.
Our findings indicate that: 1) our approach outperforms baseline approaches by a wide margin with regard to the F1-score; 2) transferring knowledge from suitable datasets can improve the predictive performance of our approach; 3) extracted SATD keywords are intuitive and potentially indicating types and indicators of SATD; 4) projects using different issue tracking systems have less common SATD keywords compared to projects using the same issue tracking system; 5) a small amount of training data is needed to achieve good accuracy.</t>
  </si>
  <si>
    <t>Word embedding:
Random
Wiki-news
StackOverflow-post
fastText tech- nique (Mikolov et al. 2018)</t>
  </si>
  <si>
    <t>Traditional machine learning approaches (SVM, NBM, kNN, LR, RF)
Text Graph Convolutional Network (Text GCN)
Text Convolutional Neural Network (Text CNN)
Handling Imbalanced Data (Easy Data Augmentation (EDA), Oversampling, Weighted loss)</t>
  </si>
  <si>
    <t>In this work, we investigated SATD identification with respect to accuracy, explainability, and generalizability in issue tracking systems. We contributed a dataset including 23,180 issue sections classified as SATD sections or non-SATD sections from seven open-source projects using two issue tracking systems. 
Moreover, we compared different machine learning algorithms and propose a CNN-based approach to identify SATD in issues with an F1-score of 0.686. 
Furthermore, we explored the effectiveness of transfer learning using other datasets to improve the F1-score of SATD identification from 0.686 to 0.691. 
In addition, we identified a list of n-gram top SATD keywords, which are intuitive and can potentially indicate types and indicators of SATD. Besides, we observed that projects using different issue tracking systems have less common SATD keywords compared to projects using the same issue tracking system. We also evaluated the generalizability of our approach. The results show our approach achieves the average F1-score of 0.652, ranging between 0.561 to 0.709, using leave-one-out cross-project validation; when applying leave- one-out cross-issue-tracker validation, the average F1-score is dropped by 6.4% and 16.3% for models training on Jira and Google issue trackers compared to using leave-one-out cross- project validation. Finally, we investigated the amount of data needed for our approach. We showed that only a small amount of training data is needed to achieve good accuracy.</t>
  </si>
  <si>
    <t>P40</t>
  </si>
  <si>
    <t>The current automated solutions do not have satisfactory precision and recall in identifying SATDs to fully automate the process. To solve the above problems, we propose a two-step framework called Jitterbug for identifying SATDs.
Jitterbug first identifies the "easy to find" SATDs automatically with close to 100% precision using a novel pattern recognition technique.
Subsequently, machine learning techniques are applied to assist human experts in manually identifying the remaining “hard to find” SATDs with reduced human effort. Our simulation studies on ten software projects show that Jitterbug can identify SATDs more efficiently (with less human effort) than the prior state-of-the-art methods.</t>
  </si>
  <si>
    <t>Logistic Regression
Decision Tree
Random Forest
Naive Bayes
Support Vector Machine</t>
  </si>
  <si>
    <t>Maldonado dataset
The results above suggest that our automated pattern recognizer Easy performed better than the human-derived patterns from Guo et al. [6] (MAT). However, it did not reach close to 100% precision on many target projects as we expected. One possible reason for this is human errors— labels in the original dataset may not always be correct. Therefore, we manually analyzed the false positives (comments containing the strong patterns but were labeled as Non-SATDs) of Easy to double-check their labels. Two graduate students were employed to classify the 434 (out of 62,275, 7‰) comments where the original ground truth labels (GT) are no but the Easy predictions are yes. Surprisingly, the two graduate students found the comments very easy to classify and both made the same classification. Table 5 shows some example comments whose labels were flipped. As shown in Figure 2, most of the false positives (98%) were wrongly labeled in the original dataset. That means these strong patterns identified by Jitterbug are even more accurate than human experts in finding the “easy to find”.</t>
  </si>
  <si>
    <t>within- and cross-projects
Precision
Recall
F1-score</t>
  </si>
  <si>
    <t>Available
check the paper</t>
  </si>
  <si>
    <t>Jitterbug outperforms the state-of-the-art SATD identification solutions by reaching higher recall at a lower cost and negligible additional computation time (34 seconds). This is attributed to two factors of Jitterbug: (1) it first identifies the “easy to find” SATDs with close to 100% precision, thus 20 to 90% of the SATDs can be found with zero human effort; (2) for the remaining “hard to find” SATDs, it utilizes the human classification results to update its prediction model incrementally and thus can make better guidance to which comments are more likely to be SATDs.</t>
  </si>
  <si>
    <t>P41</t>
  </si>
  <si>
    <t>We propose PILOT, a generic approach as a combination of natural language Processing and machIne Learning tO detect self-admitted Technical debt. PILOT was inspired by DebtHunter [19] to advance it by employing various natural language processing (NLP) steps. Moreover, we build a clas- sification engine on top of different neural networks to learn from labelled data and predict unlabelled comments. Through an empirical evaluation we demonstrate that PILOT obtains a promising prediction performance, out-performing DebtHunter [19].
Our work makes the following contributions: 
A generic approach named PILOT to detect SATD from comments embedded in source code using various NLP and ML techniques; 
A proof of concept of the proposed framework. In particular, we have (i) a prototype of PILOT built on top of various text processing algorithms and a neural network; and (ii) an empirical evaluation on real datasets and comparison of PILOT with DebtHunter; 
The prototype developed as well as the metadata generated through this paper has been published online to facilitate future research.</t>
  </si>
  <si>
    <t xml:space="preserve">Dataset D1:
-TD
-non-TD
Dataset D2:
DESIGN
DEFECT
DECUMENTATION
REQUIREMENT
TEST
</t>
  </si>
  <si>
    <t xml:space="preserve">Dataset D1: 2
-TD
-non-TD
Dataset D2: 5
DESIGN
DEFECT
DECUMENTATION
REQUIREMENT
TEST
</t>
  </si>
  <si>
    <t>Preprocessing:
punctuation removal, lowercase convertion, stop-word removal, stemming (PorterStemmer), lemmatization (NLTK)
n-grams
TF-IDF
SMOTE</t>
  </si>
  <si>
    <t>feed- forward neural networks (FFNNs)
convolutional neural networks [8, 13] (CNNs)
graph neural networks [25] (GNNs)</t>
  </si>
  <si>
    <t>Confusion Matrix
Precision
Recall
F1-score
ROC curve</t>
  </si>
  <si>
    <t>Available in the sheet</t>
  </si>
  <si>
    <t>This paper presented PILOT – a framework for detecting self-admitted technical debt using NLP and ML techniques. We implemented a PILOT prototype using NLP techniques for parsing data and a neural network as the classification engine as proof of concept. The results show that PILOT obtains an encouraging performance by binary and multi-class classification. We plan to further extend PILOT by equipping it with word embedding techniques, to capture better the semantics among textual comments. We will incorporate additional algorithms as the classification engine, such as convolution neural networks, and graph neural networks.</t>
  </si>
  <si>
    <t>P42</t>
  </si>
  <si>
    <t xml:space="preserve">In this paper, we propose SATDBailiff, a tool that uses an existing state-of-the-art SATD detection tool, to identify SATD in method comments, then properly track their lifespan. SATDBailiff is given as input links to open source projects, and its output is a list of all identified SATDs, and for each detected SATD, SATDBailiff reports all its associated changes, including any updates to its text, all the way to reporting its removal. The goal of SATDBailiff is to aid researchers and practitioners in better tracking SATDs instances, and providing them with a reliable tool that can be easily extended. SATDBailiff was validated using a dataset of previously detected and manually validated SATD instances. SATDBailiff is publicly available as an open source, along with the manual analysis of SATD instances associated with its validation, on the project website.
This tool is intended to be used to mine SATD occurrences from github repositories as a single or batch operation.
</t>
  </si>
  <si>
    <t>There is now an opportunity to take advantage of the improved detection tool by Huang et al. [12] to enhance research efforts with a highly accurate, large scale empirical history of SATD instances in Java projects previously unavailable. This can be accomplished alongside fixing some of the data quality issues noted with Maldonado et al.’s [9] empirical study.
This study will aim to package these improvements and model in a tool will allow further efforts to expand past these seven previously available software projects in terms of size and quality. In addition to the publication of this tool, an empirical history of SATD instances in 30 open source software projects will be made available as produced by SATDBailiff.</t>
  </si>
  <si>
    <t>P43</t>
  </si>
  <si>
    <t>Therefore, the investigations on identifying self-admitted technical debt (SATD) to improve code quality have been con- ducted in recent years. However, missing syntactic structure information and the imbalance distribution bias shorten the SATD identification performance. Addressing to this issue, we present a graph neural network based SATD identification model (GNNSI) to improve the performance. Specifically, we obtain the structure information of the missing SATD in a compositional way to obtain different feature maps for different comments, and use focal loss to handle the imbalance between SATD and non-SATD classes in the comments. Then extensive experiments on 10 open source projects are conducted, and the results show that GNNSI outperforms the baselines and can help developers to better predict SATDs.</t>
  </si>
  <si>
    <t>Word2vec
First, we filter out identical comments in the samples. Second, we remove historical revision records that are usually presented in the form of “-xx: text,” whereby “-xx” represents the date and “text” denotes the historical revision records. Third, we delete some characters, including numbers, punctuation, URL, and trans- form all words into lowercase letters. Finally, stop words is removed to reduce the dimensionality of the feature space.21</t>
  </si>
  <si>
    <t>graph neural network based SATD identification model (GNNSI)
focal loss (FL) to overcome the imbalance problem in SATD identification</t>
  </si>
  <si>
    <t>Table 8 show that GNNSI improves CNN,34 RNN,35 Ren’s method,20 Yu’s method,21 Transformer,36 GCN,37 and GGNN30 by 19.1%, 23.45%, 14.06%, 4.74%, 14.22%, 92.96%, and 2.85%, in term of F1-score, respectively.
Because GNNSI uses a gated graph neural network to capture structure information of SATD, and takes into the imbalance between positive and negative samples when training, GNNSI represents good performance of SATD identification.</t>
  </si>
  <si>
    <t>We build a classification model based on GGNN that captures the attentional mechanisms of some important structure features in SATD for predicting the labeling ofnew comments, that is, whether comments can be represented as SATD or not. To improve the effectiveness of the algorithm, we use FL to overcome the imbalance problem. Experiments demon- strate that it perform well in detecting SATD. The performance of GNNSI is investigated on a public dataset (including 62,566 code comments from 10 open-source projects). The results show that GNNSI achieve good results in detecting SATD.</t>
  </si>
  <si>
    <t>P44</t>
  </si>
  <si>
    <t>Using Dataset D1:
-TD
-non-TD
Using Dataset D2:
Code, Test, Defect, Requirements, Architecture, Design, Build, Usability, Documentation, People, Versioning, Non-SATD</t>
  </si>
  <si>
    <t>Using Dataset D1: 2
-TD
-non-TD
Using Dataset D2: 12
Code, Test, Defect, Requirements, Architecture, Design, Build, Usability, Documentation, People, Versioning, Non-SATD</t>
  </si>
  <si>
    <t>We tested multiple features to train the SVM and LR, including Term-Frequency
Inverse Document Frequency (TF-IDF), Count Vectorizer, and neural word embed- dings. However, the Count Vectorizer performed better than TF-IDF in both cases. We also experimented with unigram, bigram, and trigram independently to choose features, but the unigram-bigram combination gave the best results as reported in this study.
punctuation removal
stop word removal using NLTK
lowercase convertion
lemmatization using Spacy library
NULL removal</t>
  </si>
  <si>
    <t>Max Entropy (ME)
Support Vector Machine (SVM)
Logistic Regression (LR)
deep neural networks
pre-trained neural language models (PTMs) --&gt; ALBERT and RoBERTa
Weighted Cross-Entropy Loss for imbalanced data</t>
  </si>
  <si>
    <t>D1 is binray classification; D2 is multi-class classification
Dataset D1 is the result of a semi-automated classification of 164,261 comments.
These comments are labelled and grouped into: SATD (about 4,962 instances) and non- SATD (159,299).
As a result, since a percentage of our non-SATD sample were ‘commented-out’ code, we removed these comments, keeping 141,621 non-SATD comments used to answer RQ1 alongside the SATD comments. When removing the commented- out code, we also excluded the natural-language comments that appeared inside the block of commented-out code.
D2 is the SATD subset from D1 . It was classified and verified by Vidoni (2021b) using existing taxonomies into different types of TD; this was done by reading the comment for the related line of code. It typified the comments into Algorithm, Architecture, Build, Code, Defect, Design, Documentation, People, Requirements, Test, Usability, and Versioning Debt. Their definitions are summarised in Table 1; note that R had definitions adjusted by Codabux et al. (2021), hence why some types make specific clarifications.
However, the D2 dataset only included comments labelled as SATD, and we needed to determine the best technique for SATD classification among non-SATD (for RQ1). Therefore, we also wanted to detect non-SATD. To perform such an assessment, we randomly selected and added 2008 non-SATD samples from D1 when conducting the experiments for RQ2, in order to have a sample of non- SATD to train the classifiers; this number was representative and calculated with 95% confidence and 5% error (using as population the whole of non-SATD comments, sans the commented-out code).</t>
  </si>
  <si>
    <t>-Check detail for each dataset used (D1 and D2)
Among the three categories of the models we studied, PTMs perform the best.
Overall, in the ML group, Max Entropy had the best results for all scores, com- pared to SVM and LR. However, the results of SVM were slightly better than LR. ME outperforms SVM by 14.28, 3.95, and 9.18 scores in Pavg , Ravg , and F1avg . PTM improved the ME results by about 9.73 F1 score (namely, they performed signifi- cantly better). CNN performs better than Max Entropy, but its average precision, recall and F1 scores were 3.68, 9.98, and 6.31 lower than the best performing PTM (thus, it outperformed Max Entropy, but not PTMs). ALBERT performed slightly better than RoBERTa in two scores, and improved ME results by Pavg = 11% , Ravg = 14.8% , and F1avg = 12.8% scores, respectively.</t>
  </si>
  <si>
    <t>We conducted a pioneering study to automatically identify Self-Admitted Technical Debt (SATD) in scientific software, namely, R packages, using comments extracted from 503 R packages, representing over 160k source code comments.
Our study achieved the best results for SATD detection using the PTMs models, with ALBERT having slightly better performance F1 = 86.21% ) overall compared to RoBERTa, followed by CNN (in the deep neural network category), and finally Max Entropy (in the ML category).
We successfully automatically identified 12 types of SATD, which rep- resents a considerable improvement given prior works worked with 2-5 types only. Moreover, automatic SATD detection in the context of R packages has not been addressed before in previous studies. We also manually classified comments sam- ples and determined eight new possible causes (a total of 16) for SATD introduction; this represents an improvement from prior works that only identified eight causes.</t>
  </si>
  <si>
    <t>P45</t>
  </si>
  <si>
    <t>We argue that self-admitted technical debt contains a number of different weaknesses that may affect the security of a program. Therefore, the longer a debt is not paid back the higher is the risk that the weaknesses can be exploited. To discuss our claim and rise the developers’ awareness of the vulnerability of the self-admitted technical debt that is not paid back, we explore the self-admitted technical debt in the Chromium C-code to detect any known weaknesses. 
In this preliminary study, we first mine the Common Weakness Enumeration repository to define heuristics for the automatic detection and fix ofweak code. Then, we parse the C-code to find self-admitted technical debt and the code block it refers to. Finally, we use the heuristics to find weak code snippets associated to self-admitted technical debt and recommend their potential mitigation to developers. 
Such knowledge can be used to prioritize self-admitted technical debt for repair. A prototype has been developed and applied to the Chromium code. Initial findings report that 55% of self-admitted technical debt code contains weak code of 14 different types.</t>
  </si>
  <si>
    <t>Regelar expression
In our work we adopt a simple pattern-based SATD detection method, while other existing approaches may be in principle adopted to achieve higher accuracy [22, 36]. Supervised approaches may be more precise in detecting SATD instances (60 − 85% precision with ML [36] vs. 75% with unsupervised search [1]). Nevertheless, they require ground truth and training effort that is not needed in pattern-based SATD detection. Considering the detection (or prediction) of security threats, re- cent approaches exploit the information in the history of software projects and connecting it to software vulnerabilities, [7, 9, 13, 16, 17, 29, 33]. For instance, Mazuera-Rozo et al. [13] classify code functions with Deep and Machine Learning techniques to classify them by known vulnerabilities, such as deadlock, race condition, and null pointer dereference. The information on software vulnerabilities is used to label the categories of the classifiers and the focus is on vulnerabilities (e.g., buffer overflow) and not on software weaknesses (e.g., inadequate container capacity).</t>
  </si>
  <si>
    <t>More research is needed to understand the relation between vul- vulnerabilities and technical debt [17]. We believe that WeakSATD represents a novel contribution in this direction. We applied Weak- SATD to the Chromium project that has been previously used as test bed in research on technical debt (e.g., [17, 20]). We found that more than 55% of SATD instances contain weak code of 34 different CWE issues. It is worth noting that the weak SATD report must be taken as a warning only as some of the found weak code snippets may be perfectly fine in some circumstances. 
At the current stage, our work is not meant to predict vulnerabilities or attacks with high precision or recall, but it can be used by developers to prioritize and boost the repair of SATD with the help of the recommended mitigation. In addition, our initial findings with the Chromium project have no ambition of generalization especially because we were able to define a substantial amount if weakness heuristics but still not covering all CWE issues.
This allowed us to better focus on their definition and implementation, but it prevented us from being more extensive with our findings. Our plan for future work, is to explore other publicly available datasets that are connected with the CWE issues (e.g., the Juliet Test Suite [18]) and can be used to define additional heuristics. We also plan to exploit the whole chain of information available in MITRE (or MITRE-linked repositories) and provide an instrument that recommend developers on the whole chain of consequences (e.g., vulnerabilities, exposure, bugs, and attacks) of leaving SATD in code. The CWE indexing can be used for this scope, but not only. Indeed, some projects do not encode the CWE-ID in their bug issues and security issues can be traced in other ways, like regexes in commit messages, such as the approach introduced in [17]. We also plan to study the perceived usefulness of weakSATD by involving professional developers in controlled experiments with humans.</t>
  </si>
  <si>
    <t>P46</t>
  </si>
  <si>
    <t>Identification and remediation of self-admitted technical debt in issue trackers</t>
  </si>
  <si>
    <t>Li, Yikun
Soliman, Mohamed
Avgeriou, Paris</t>
  </si>
  <si>
    <t>We found eight types of technical debt: architecture, build, code, defect, design, documentation, requirement, and test debt</t>
  </si>
  <si>
    <t>8
architecture, build, code, defect, design, documentation, requirement, and test debt</t>
  </si>
  <si>
    <t>manual analysis</t>
  </si>
  <si>
    <t>Hadoop and Camel</t>
  </si>
  <si>
    <t>Technical debt admitted in issues is resolved faster than in source code comments. Considering the results obtained from RQ3 in comparison with the study of Maldonado et al. [7], we find that most of the technical debt is repaid or removed (71.7% for debt within issues and 76.7% for debt in code comments). Furthermore, a great percentage of technical debt is repaid or removed by debt creators (44.0% for issues and 54.4% for source code comments). This indicates that developers consistently take care of SATD in both issues and source code comments, and debt creators often take the responsibility to resolve it. 
Moreover, in Hadoop, it is noteworthy that debt creators repaid technical debt the fastest, followed by identifiers, and other developers. This is consistent with the intuition that certain people are better able to resolve TD depending on their familiarity with the problem at hand; creators being the most familiar, followed by debt identifiers, and others. Therefore, we suggest that, in order to pay off TD faster, the repayment task should be assigned to debt creators. In addition, comparing the TD repayment between issues and source code comments [7], we observe that debt within issues is resolved much quicker than in comments (i.e. for Hadoop, median of 2.0 days versus 159.0 days; for Camel, 0.9 days versus 18.2 days). Therefore, we suggest that developers report TD that needs to be resolved immediately in issue trackers instead of commenting it in the source code.</t>
  </si>
  <si>
    <t>P47</t>
  </si>
  <si>
    <t>A large-scale empirical study on self-admitted technical debt</t>
  </si>
  <si>
    <t>Gabriele Bavota, Barbara Russo</t>
  </si>
  <si>
    <t>Our manual categorisation highlighted that the most diffused type of SATD is the code debt (30% of instance), followed by defect and requirement debt (20% each) and design debt (13%).</t>
  </si>
  <si>
    <t>6
code debt
design debt
documentation debt
defect debt
test debt
requirement debt</t>
  </si>
  <si>
    <t>regular expression
comment pattern</t>
  </si>
  <si>
    <t>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t>
  </si>
  <si>
    <t>P48</t>
  </si>
  <si>
    <t>Junaed Younus Khan; Gias Uddin</t>
  </si>
  <si>
    <t>Recent research by Codabux et al. [21] finds that R packages can have 10 diverse TD types analyzing peer-review documentation. However, the findings are based on the manual analysis of a small sample of R package review comments. In this paper, we develop a suite of Machine Learning (ML) classifiers to detect the 10 TDs automatically. The best performing classifier is based on the deep ML model BERT, which achieves F1-scores of 0.71- 0.91. We then apply the trained BERT models on all available peer-review issue comments from two platforms, rOpenSci and BioConductor (13.5K review comments coming from a total of 1297 R packages). We conduct an empirical study on the prevalence and evolution of 10 TDs in the two R platforms. We discovered documentation debt is the most prevalent among all types of TD, and it is also expanding rapidly. We also find that R packages of generic platform (i.e. rOpenSci) are more prone to TD compared to domain-specific platform (i.e. BioConductor). Our empirical study findings can guide future improvements opportunities in R package documentation. Our ML models can be used to automatically monitor the prevalence and evolution of TDs in R package documentation.</t>
  </si>
  <si>
    <t>2 binnary class: TD and non-TD
Multi class: Documentation
Code
Defect
Test
Design
Build
Architecture
Versioning
Usability
Requirement</t>
  </si>
  <si>
    <t>2 and 10
Documentation
Code
Defect
Test
Design
Build
Architecture
Versioning
Usability
Requirement</t>
  </si>
  <si>
    <t>TF-IDF Bag-of-words
GloVe
BERT</t>
  </si>
  <si>
    <t>SVM
BiLSTM
Simple Transformers --&gt; from source code</t>
  </si>
  <si>
    <t>https://github.com/disa-lab/R-TD-SANER2022 
To design and test the TD type detection algorithms, we used the dataset published by Codabux et al. [21] which contains 600 TD instances in R peer-reviews documentation of rOpenSci manually labelled in 10 TD types.</t>
  </si>
  <si>
    <t>Accuracy
Precision
Recall
F1-score</t>
  </si>
  <si>
    <t>results are available</t>
  </si>
  <si>
    <t>We show the overall TD distribution of rOpen- Sci and BioConductor in combined in Figure 4. We see that documentation (26.1%) and design (21.5%) debts are two most prevalent TD in general. Table V depicts the distribution of different types of TD in rOpenSci and BioConductor individually in terms of frequency and percentage. It also shows some examples of respective TD that are predicted by our automated model. We find a total of 3938 TD instances in ∼4.5K issue comments of rOpenSci and 10159 TD instances in ∼9K issue comments of BioConductor. However, not all types of TDs are equally prevalent in R packages. Among</t>
  </si>
  <si>
    <t>P49</t>
  </si>
  <si>
    <t>Examining the impact of self-admitted technical debt on software quality</t>
  </si>
  <si>
    <t>Sultan Wehaibi, Emad Shihab and Latifa Guerrouj</t>
  </si>
  <si>
    <t>Therefore, in this paper, we examine the relation between self- admitted technical debt and software quality by investigating whether (i) files with self-admitted technical debt have more defects compared to files without self-admitted technical debt, (ii) whether self-admitted technical debt changes introduce future defects, and (iii) whether self-admitted technical debt-related changes tend to be more difficult. We measured the difficulty of a change using well-known measures proposed in prior work such as the amount of churn, the number of files, the number of modified modules in a change, as well as the entropy of a change. To perform our study, we analyze five open-source projects, namely Chromium, Hadoop, Spark, Cassandra, and Tomcat. Our findings show that: i) there is no clear trend when it comes to defects and self-admitted technical debt, although the defectiveness of the technical debt files increases after the introduction of technical debt, ii) self-admitted technical debt changes induce less future defects than none technical debt changes, however, iii) self-admitted technical debt changes are more difficult to perform, i.e., they are more complex. 
Our study builds on these prior works [5], [19] since we use the comment patterns they produced to detect SATD. How- ever, different from their studies, we examine the relationship between SATD and software quality.</t>
  </si>
  <si>
    <t>Chromium, Hadoop, Spark, Cassandra, and Tomcat</t>
  </si>
  <si>
    <t>To perform our study, we analyzed five open-source projects, namely Chromium, Hadoop, Spark, Cassandra, and Tomcat. Our findings show that there is no clear trend when it comes to defects and self-admitted technical debt. In some of the studied projects, self-admitted technical debt files have more bug-fixing changes, while in other projects, files without it had more defects. We also found that self-admitted technical debt changes are less associated with future defects than none technical debt changes, however, we showed that self-admitted technical debt changes are more difficult to perform. Our study indicates that although technical debt may have negative effects, its impact is not related to defects, rather making the system more difficult to change in the future.</t>
  </si>
  <si>
    <t>P50</t>
  </si>
  <si>
    <t>Got technical debt? Surfacing elusive technical debt in issue trackers</t>
  </si>
  <si>
    <t>S Bellomo, RL Nord, I Ozkaya, M Popeck</t>
  </si>
  <si>
    <t>We identified 109 examples of technical debt from a sample of the 1,264 issues in the issue trackers we studied and evaluated them with experts and the developers of the systems when applicable. A summary of our findings include the following:
Finding 1: While technical debt items were not labeled explicitly in the issue trackers we studied, we identified 58 examples where developers explicitly use the term technical debt and related concepts to understand an issue. Concepts related to technical debt, such as take-on debt, accumulate debt, and pay-back debt, have entered the developers’ vocabulary, and they are using issue trackers to communicate technical debt in an ad hoc manner.
Finding 2: We developed and used a classification approach to find additional examples where developers articulated concerns related to technical debt, but did not use the term. Using this approach, we identified 51 more examples of technical debt. Many issues could not be classified because developers do not always clearly identify the consequences of not paying down the debt.</t>
  </si>
  <si>
    <t>pattern macthing and word categories</t>
  </si>
  <si>
    <t>issue trackers
Chomium via Google issue tracker, Connect via Jira, Project A and B via FogBugz, and TD survey via examples text</t>
  </si>
  <si>
    <t>expert evaluation based</t>
  </si>
  <si>
    <t>Data quality and size: 
Technical debt represents only a small subset of all issues in a system, although its impact may be significant. Technical debt may not have been significantly represented in the data we selected, especially given the varying quality of the issue tracker data. We aimed to minimize this by randomizing the issues we selected, including both projects where we knew technical debt existed as well as others where we had no prior knowledge.</t>
  </si>
  <si>
    <t>P51</t>
  </si>
  <si>
    <t>Leevi Rantala;
Mika Mäntylä;
David Lo</t>
  </si>
  <si>
    <t>When developers use different keywords such as TODO and FIXME in source code comments to describe self- admitted technical debt (SATD), we refer it as Keyword-Labeled SATD (KL-SATD). We study KL-SATD from 33 software reposi- tories with 13,588 KL-SATD comments. We find that the median percentage of KL-SATD comments among all comments is only 1,52%. We find that KL-SATD comment contents include words expressing code changes and uncertainty, such as remove, fix, maybe and probably. This makes them different compared to other comments. KL-SATD comment contents are similar to manually labeled SATD comments of prior work. 
Our machine learning classifier using Logistic Lasso Regression has good performance in detecting KL-SATD comments (AUC-ROC 0.88). Finally, we demonstrate that using machine learning we can identify comments that are currently missing but which should have a SATD keyword in them. Automating SATD identification of comments that lack SATD keywords can save time and effort by replacing manual identification of comments. Using KL-SATD offers a potential to bootstrap a complete SATD detector.</t>
  </si>
  <si>
    <t>keyword-labeled
TF-IDF</t>
  </si>
  <si>
    <t>Logistic Lasso Regression</t>
  </si>
  <si>
    <t>We utilize the Technical Debt Dataset created by Lenarduzzi et al. [6]. It includes 33 Java projects, which are all over three years old, have more than 500 commits, and include over 100 classes. The dataset has a total of over 140 thousand commits in it. We extract both multi- and single-line comments by identifying Java-style patterns with Regex. In total we extracted 862,342 comments.
https://github.com/clowee/The-Technical-Debt-Dataset</t>
  </si>
  <si>
    <t>ROC-AUC 0.88</t>
  </si>
  <si>
    <t>ROC-AUC</t>
  </si>
  <si>
    <t>P52</t>
  </si>
  <si>
    <t>Zhu, Kuiyu
Yin, Ming
Zhu, Dan
Zhang, Xiaogang
Gao, Cunzhi
Jiang, Jijiao</t>
  </si>
  <si>
    <t>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 debt.</t>
  </si>
  <si>
    <t xml:space="preserve">defect
test
documentation
design
requirement debt
</t>
  </si>
  <si>
    <t xml:space="preserve">5 class
defect, test, documentation, design, and requirement debt
</t>
  </si>
  <si>
    <t>Word embedding using GloVe
SeqGAN-based oversampling</t>
  </si>
  <si>
    <t>Convolutional Neural Networks-Gated Recurrent Unit (CNNGRU)</t>
  </si>
  <si>
    <t>Precision
Recall
F-Measure</t>
  </si>
  <si>
    <t>Our proposed SCGRU approach provides a new idea for the practice of SATD identification. When conducting because of extreme data imbalance or lack of sufficient data. Moreover, the proposed approach successfully identified of SATD could help with other studies on SATD, such as removal and management of SATD. the multiple classes of SATD and helped achieve accurate positioning of debt. In addition, identifying multiple classes even if we perform text generation sampling on some projects, then the generated samples may be insufficient for a
If the amount of a certain technical debt is extremely lacking on projects, such as fewer than five training samples, supplement for learning and generating diverse and valuable samples of technical debt and provide more possibilities classifier to learn features due to a low amount of technical debt data. In the future, we hope to acquire more data as a to verify the effectiveness of our approach.</t>
  </si>
  <si>
    <t>P53</t>
  </si>
  <si>
    <t>Sabbah, Ahmed F.
Hanani, Abualsoud A.</t>
  </si>
  <si>
    <t>Recent studies show that it is possible to detect technical dept automatically from source code comments intentionally created by developers, a phenomenon known as self-admitted technical debt. This study proposes a system by which a comment or commit is classified as one of five dept types, namely, requirement, design, defect, test, and documentation. In addition to the traditional term frequency-inverse document frequency (TF-IDF), several word embeddings methods produced by different pre-trained language models were used for feature extraction, such as Word2Vec, GolVe, bidirectional encoder representations from transformers (BERT), and FastText. 
The generated features were used to train a set of classifiers including naive Bayes (NB), random forest (RF), support vector machines (SVM), and two configurations of convolutional neural network (CNN). 
Two datasets were used to train and test the proposed systems. Our collected dataset (A-dataset) includes a total of 1,513 comments and commits manually labeled. 
Additionally, a dataset, consisting of 4,071 labeled comments, used in previous studies (M-dataset) was also used in this study. The RF classifier achieved an accuracy of 0.822 with A-dataset and 0.820 with the M-dataset. CNN with A-dataset achieved an accuracy of 0.838 using BERT features. With M-dataset, the CNN achieves an accuracy of 0.809 and 0.812 with BERT and Word2Vec, respectively.</t>
  </si>
  <si>
    <t>TF-IDF
Universal Sentence Encoder (USE)
word2vec
GloVe
BERT
FastText</t>
  </si>
  <si>
    <t>naive Bayes (NB)
random forest (RF)
support vector machines (SVM)
two configurations of (single and multiple layers) convolutional neural network (CNN)</t>
  </si>
  <si>
    <t>Maldonado dataset and own dataset
Two datasets were used to train and test the proposed systems. 
Our collected dataset (A-dataset) includes a total of 1,513 comments and commits manually labeled (Gerrit, Camel, Log4j, Tomcat, Hadoop, K9 App, WordPress App)
Additionally, a dataset, consisting of 4,071 labeled comments, used in previous studies (M-dataset) was also used in this study.</t>
  </si>
  <si>
    <t>Precision
Recall
F1-score
Accuracy</t>
  </si>
  <si>
    <t>The RF classifier achieved an accuracy of 0.822 with A-dataset and 0.820 with the M-dataset. CNN with A-dataset achieved an accuracy of 0.838 using BERT features. With M-dataset, the CNN achieves an accuracy of 0.809 and 0.812 with BERT and Word2Vec, respectively.</t>
  </si>
  <si>
    <t>The RF classifier achieved an accuracy of 0.822 with A-dataset and 0.820 with the M-dataset. CNN with A-dataset achieved an accuracy of 0.838 using BERT features. With M-dataset, the CNN achieves an accuracy of 0.809 and 0.812 with BERT and Word2Vec, respectively.
Two datasets were used in this study; the publicly available dataset used in previous studies (M- dataset), and a manually collected and annotated dataset for this study (A-dataset). A Kappa statistical test was applied to accept the label of each SATD comment to verify its authenticity. We achieved a level of agreement measured between the author and experts of +0.82 based on a sample including 0.17 of all technical debt types, which is considered almost perfect agreement. 
The traditional and well-known TF-IDF NLP techniques and the state-of-the-art word embedding techniques: USE, Word2Vec, Golve, FastText, and BERT were used for representing comments into a numerical feature vector. We evaluated the proposed approach by comparing the accuracy of the classifiers using the two datasets. For classical machine learning, three types of classifiers are used (NB, RF, and SVM) with two types of word representation methods (TF-IDF and USE). The classical machine learning techniques worked better with the TF-IDF. This can be improved by comparing the best classifier accuracy (RF and TF-IDF) with (RF and USE). The results for the A-dataset showed that TF-IDF achieved an accuracy of 0.822, while USE achieved 0.771. For the M-dataset, TF-IDF achieved 0.820, and USE 0.807. For convolutional neural networks, we used the CNN classifier with five NLP word embedding methods and the TF-IDF. The CNN with BERT achieved the best accuracy for the A-dataset: 0.838. The Word2Vec is the best according to the M-dataset with an accuracy of 0.812. In the future, we plan to increase the scale of our approach by adopting more projects that are developed in different programming languages. Additionally, in different domains, for example, mo- bile applications, commercial software, and medical and healthcare domains, more investigation into the other types of neural networks, deep learning architectures, and pre-trained models, and fine-tuning the parameters of models in order to improve the accuracy of classification SATD.</t>
  </si>
  <si>
    <t>Technical debt in the peer-review documentation of r packages: a ropensci case study</t>
  </si>
  <si>
    <t>Zadia Codabux</t>
  </si>
  <si>
    <t>Although TD studies have gained momentum, TD has yet to be studied as thoroughly in non-Object-Oriented (OO) or scientific software such as R.
Objective: The goal of this study is to investigate TD in the documentation of the peer-review of R packages led by rOpenSci. Method: We collected over 5,000 comments from 157 packages that had been reviewed and approved to be published at rOpenSci. We manually analyzed a sample dataset of these comments posted by package authors, editors of rOpenSci, and reviewers during the review process to investigate the types of TD present in these reviews. 
Results: The findings of our study include (i) a taxonomy of TD derived from our analysis of the peer-reviews (ii) documentation debt as being the most prevalent type of debt (iii) different user roles are concerned with different types of TD. For instance, reviewers tend to report some types of TD more than other roles, and the types of TD they report are different from those reported by the authors of a package.</t>
  </si>
  <si>
    <t>They are documentation, code, design, defect, requirement, test, architecture, build, usability, and versioning debts</t>
  </si>
  <si>
    <t>10
They are documentation, code, design, defect, requirement, test, architecture, build, usability, and versioning debts</t>
  </si>
  <si>
    <t>manually</t>
  </si>
  <si>
    <t>http://doi.org/10.5281/zenodo.4589573</t>
  </si>
  <si>
    <t>Conclusion: TD analysis in scientific software or peer-review is almost non-existent. Our study is a pioneer but within the context of R packages. However, our findings can serve as a starting point for replication studies, given our public datasets, to perform similar analyses in other scientific software or to investigate the rationale behind our findings.</t>
  </si>
  <si>
    <t>Towards a comprehensive self-admitted technical debt extraction technique from source code comments</t>
  </si>
  <si>
    <t>Yaqoob Salman Al-Slais</t>
  </si>
  <si>
    <t>build
architectural
versioning
infrastructure debt</t>
  </si>
  <si>
    <t>4
build, architectural, versioning, and infrastructure debt</t>
  </si>
  <si>
    <t>Parts-of Speech (POS)</t>
  </si>
  <si>
    <t>In this paper, we proposed a comprehensive SATD extraction and identification framework for ten types of TD using POS techniques. In an exploratory case study aimed to extract architectural, versioning, build, and infrastructure TD from a TD dataset of 3,000 previously unclassified comments, resulted in successfully classifying 16% of the comments as new TD items, opening a new opportunity to expand the capability of extracting and identifying all types of TD in an SDP thus giving developers and software engineers more accurate data to make better maintenance and refactoring decisions and minimizing the risk uncontrollable levels of TD interest that lead to possible failures in SDPs.
As for the future work on this proposed framework, we first intend to conduct future research on building more solid definitions of TD items and gain a broader consensus of the POS lists for each TD item. Secondly, we will expand the case study to a larger dataset in an attempt to successfully extract all ten types of TD items across several open-source SDPs. In addition, we intend to develop a supervised machine learning framework to extract and monitor the status of TD items automatically within an SDP as it evolves over a period.</t>
  </si>
  <si>
    <t xml:space="preserve">Conclusion </t>
  </si>
  <si>
    <t xml:space="preserve">-To analyze extracted comments from code we shall tokenize the unstructured text into English word classes. For this, there are techniques from natural language processing (NLP), such as Part-of-speech (POS). POS automatically relates a word to a category in which it is assigned in accordance with its syntactic functions [16][17]. 
-Once the comments were extracted and tagged, we analyzed POS tags and filtered the comments by using terms that belong to the vocabulary. </t>
  </si>
  <si>
    <t xml:space="preserve">jEdit 4.3.2 and Apache Lucene 4.3.0. Both projects are written in Java with 531 and 3,037 Java files </t>
  </si>
  <si>
    <r>
      <rPr>
        <sz val="10"/>
        <color theme="1"/>
        <rFont val="Arial"/>
        <family val="2"/>
      </rPr>
      <t xml:space="preserve">More recently, our work shown that one possible source to detect technical debt is using source code comments, also referred to as self-admitted technical debt. However, what types of technical debt can be detected using source code comments remains as an open question.
Therefore, in this paper we examine code comments to determine the different types of technical debt. First, we propose four simple filtering heuristics to eliminate comments that are not likely to contain technical debt. Second, we read through more than 33K comments, and we find that self-admitted technical debt can be classified into five main types - </t>
    </r>
    <r>
      <rPr>
        <b/>
        <sz val="10"/>
        <color theme="1"/>
        <rFont val="Arial"/>
        <family val="2"/>
      </rPr>
      <t xml:space="preserve">design debt, defect debt, documentation debt, requirement debt and test debt. </t>
    </r>
    <r>
      <rPr>
        <sz val="10"/>
        <color theme="1"/>
        <rFont val="Arial"/>
        <family val="2"/>
      </rPr>
      <t>The most common type of self-admitted technical debt is design debt, making up between 42% to 84% of the classified comments. Lastly, we make the classified dataset of more than 33K comments publicly available for the community as a way to encourage future research and the evolution of the technical debt landscape.</t>
    </r>
  </si>
  <si>
    <t>Apache Ant, Apache Jmeter, ArgoUml, Columba and JFreeChart (part of Maldonado dataset)
-TD 2457
-non-TD 33093</t>
  </si>
  <si>
    <t xml:space="preserve">https://github.com/maldonado/tse.satd.data 
Maldonado SATD Dataset (from projects : Ant, ArgoUML, Columba, EMF, Hibernate, JEdit, JFreeChart, JMeter, JRuby and SQuirrel SQL)
In our previous work [15], we manually classified 33,093 comments extracted from the following projects: Ant, ArgoUML, Columba, JFreeChart and JMeter. 
In the current study we manually classified an additional 29,473 comments from EMF, Hibernate, JEdit, JRuby and SQuirrel, which means that we extended our dataset of classified comments by 89.06%.
In total, we manually classified 62,566 comments into the five different types of self-admitted technical debt mentioned above. </t>
  </si>
  <si>
    <t>-Average Precision 0.72
-Average Recall 0.81        
-Average F1- score 0.76</t>
  </si>
  <si>
    <t xml:space="preserve">-In our experiments, the average precision and recall were 72% and 81% respectively for 10 repeated random sub-sampling validations shown in Table IV.  </t>
  </si>
  <si>
    <t>ArgoUML, Columba, Hibernate, JEdit, JFreeChart, JMeter, JRuby, and SQuirrel SQL projects with 212,413 comments (part of Maldonado dataset)</t>
  </si>
  <si>
    <t xml:space="preserve">-Maldonado dataset
-We have also created a new large labeled dataset (comments with or without SATD) which would serve for answering RQ 2.1
Comments 1163258; SATD comments 23368 </t>
  </si>
  <si>
    <t xml:space="preserve">Maldonado dataset
62,566 commencts - 10 open source Java projects, incuding Apache Ant, ArgoUML, Columba, EMF, Hibernate, JEdit, JFreeChart, JMeter, JRuby, and SQuirrel. 
150 comments - We collect the comments from the source code of three other three Java projects (Commons-lang, Guava, and RxJava) as a testing </t>
  </si>
  <si>
    <t xml:space="preserve">At the end of the experiment, it was possible to verify that the LSTM model improved the precision of the design SATDs classification but obtained worse results in recall and f-measure in other situations.
This may have occurred because the database is unbalanced, having more comments without SATDs and little amount of training data in the requirement SATDs.
In the design SATDs case, the LSTM model obtained an average precision of 88.7%, while the auto-sklearn and maximum entropy classifiers obtained 81.4% and 71.6% respectively. Precision may be more important than recall depending on the problem being discussed [15]. </t>
  </si>
  <si>
    <t>Table 2: Comparison of the metrics obtained in the design SATD classifications.
Average  Precision 0.616   Recall 0.772   F1 score 0.67
Table 3: Comparison of the metrics obtained in the requirement SATD classifications.
Average Precision 0.414  Recall 0.636  F1 score 0.606</t>
  </si>
  <si>
    <t xml:space="preserve">Based on a qualitative study of 333 comments indicating self-admitted technical debt, we first identify one particular class of debt amenable to automated management: on-hold self-admitted technical debt (on-hold SATD), i.e., debt which contains a condition to indicate that a developer is waiting for a certain event or an updated functionality having been implemented elsewhere. 
The design and evaluation of a classifier for self-admitted technical debt. Since software developers must keep track of many events and updates in any software ecosystem, it is unrealistic to assume that developers will be able to keep track of all self-admitted technical debt and of events that signal that certain self-admitted technical debt is now ready to be addressed. To support developers in managing self-admitted technical debt, we designed a classifier which can automatically identify those instances of self-admitted technical debt which are on hold, and detect the specific events that developers are waiting for. Our classifier achieves an area under the receiver operating characteristic curve (AUC) of 0.98 for the identification, and 90% of the specific conditions are detected correctly. This is a first step towards automated tool support that can recommend to developers when certain instances of self-admitted technical debt are ready to be addressed. 
 Current research is largely focused on the detection and classification of self-admitted technical debt, but has spent less effort on approaches to address the debt automatically, likely because work on the detection and classification is still very recent.
</t>
  </si>
  <si>
    <t xml:space="preserve">Word embedding using ELMo (Embedding from Language Models)[37] </t>
  </si>
  <si>
    <t>Text Preprocessor (data cleaner, stop word removal,  stemming)</t>
  </si>
  <si>
    <t xml:space="preserve">CHI is applied to select representative features from the feature set, and the CountVectorizer tool [11] is leveraged to represent each comment. </t>
  </si>
  <si>
    <t xml:space="preserve">We experimentally investigate the effectiveness of our approach on a public dataset, including 62 566 code comments from 10 open-source projects. Experimental results show that our approach achieves 56.66% in terms of macroaveraged precision, 59.07% in terms of macroaveraged recall, and 55.77% in terms of macroaveraged F-measure on average, and outperforms the natural language processing based method by 4.98%, 5.32%, and 3.17%, respectively. In addition, the experimental results also demonstrate that the data augmentation strategy is effective in improving the effectiveness of our approach. </t>
  </si>
  <si>
    <t xml:space="preserve">Our approach provides at least 21.35, 59.36, 31.78, and 583.33% improvements over all the replicated/tested benchmarks in terms of Precision, Recall, F-1, and Bleu-4 scores, respectively. </t>
  </si>
  <si>
    <t xml:space="preserve">The ensemble approach was applied to ten projects, and the experiments of Within-project and cross-project prediction were conducted respectively.
For cross-project the average F1-score of10 projects, our approach reaches the highest value of 0.763, which is respectively 15.26%, 9.47%, 36.01% and 10.74% higher than that of CNN, TM, NLP and Guo’s.
And within-project prediction, our approach also has an improvement significantly, from 0.764 to 0.831 compared with CNN, an increase of 8.77% and 19.74% compared with Guo’s approach. The results have shown its effectiveness, especially for Within-project prediction. The low recognition accuracy in previous studies is significantly changed, especially for projects under data imbalance conditions. Furthermore, there is an obvious improvement effect on data sets with obvious data imbalance using our proposed approach. Data imbalance is common in actual projects; thus, our approach is suitable for practical application. </t>
  </si>
  <si>
    <t>Issue tracker systems</t>
  </si>
  <si>
    <t xml:space="preserve">Moreover, we compared different machine learning algorithms and propose a CNN-based approach to identify SATD in issues with an F1-score of 0.686. 
Furthermore, we explored the effectiveness of transfer learning using other datasets to improve the F1-score of SATD identification from 0.686 to 0.691. </t>
  </si>
  <si>
    <t>Maldonado dataset  - D1 contains 62,275 labeled comments coming from 10 open-source projects, such as Apache JMeter, Eclipse EMF, Argo UML, Hibernate. We used all labeled comments (i.e., SATD or NON-SATD) for binary classification.
We only considered the categorized SATD comments (see Table 1) for multi-class classification, resulting in 4,071 comments.
The D2 dataset comes from the DebtHunter work [19]. Starting from the D1 dataset, the authors applied text preprocessing and data sampling techniques. For binary classification, the Spread Subsample4 technique was employed, resulting in 25, 740 comments. For multi-class classification, the SMOTE [1] technique was leveraged to yield 2, 232 comments.</t>
  </si>
  <si>
    <t xml:space="preserve">SATDBailiff was validated using a dataset of previously detected and manually validated SATD instances [7].
SATDBailiff is challenged in identifying and tracking those instances throughout the evolution of five long-lived open-source projects from different application domains, namely Gerrit, Camel, Hadoop, Log4j, and Tomcat. </t>
  </si>
  <si>
    <t xml:space="preserve">All automated SATD studies have been conducted on OO software and languages, many reusing the same dataset (Maldonado and Shihab 2015). Our study is distinctive because we explore SATD in scientific software, specifically R packages. Research regarding the identification or automation of SATD in scientific software, especially in R programming, is scarce. This contributes to one of the main novelties of this paper. As a result, we are contextualizing our work regarding other works in different domains.
Besides, existing studies on SATD in R did not cover automated techniques for its analysis (Codabux et al. 2021; Vidoni 2021b). Current SATD studies focus on ML or neural networks separately, without performing inter-algorithm comparisons. We conducted experiments on the three most-used ML algorithms, CNN, and PTM. Using PTM for the detection of SATD or SATD types has never been explored previously but were reported to be excellent for natural language processing in other areas of software engineering (Robbes and Janes 2019; Zhang et al. 2020). One study used BERT as the encoder template to remove obsolete to-do comments (which are a limited piece of the SATD spectrum of comments) from OO open-source code (Gao et al. 2021). Therefore, our study presents a more extensive usage, as it also compares two different BERTs.
Existing studies automate SATD versus non-SATD comments detection or focus on particular SATD types (e.g., Requirements). Our key difference is that we studied the detection of SATD automatically and investigated the efficiency of algorithms for the automatic detection of 12 types of SATD in R. Additionally, using those results, we assessed the causes of SATD from previous works in the OO domain (Mensah et al. 2018) and built on that to expand the corpus of causes. </t>
  </si>
  <si>
    <r>
      <rPr>
        <sz val="10"/>
        <color theme="1"/>
        <rFont val="Arial"/>
        <family val="2"/>
      </rPr>
      <t xml:space="preserve">In this paper, we explored SATD in issue trackers. </t>
    </r>
    <r>
      <rPr>
        <b/>
        <sz val="10"/>
        <color theme="1"/>
        <rFont val="Arial"/>
        <family val="2"/>
      </rPr>
      <t xml:space="preserve">We found eight types of technical debt: architecture, build, code, defect, design, documentation, requirement, and test debt. Code, documentation, and test debt are the three most common technical debt found in issue trackers. </t>
    </r>
    <r>
      <rPr>
        <sz val="10"/>
        <color theme="1"/>
        <rFont val="Arial"/>
        <family val="2"/>
      </rPr>
      <t>Furthermore, there are three cases of identifying technical debt in issue trackers: discovering existing debt and creating an issue for it, identifying debt in a patch during code review, or after the patch is committed in the system. Most of the technical debt is identified in the first and second cases. Only 13.1% of technical debt is reported by debt creators. 
For technical debt repayment, we found that on average 71.7% of identified debt is repaid, and most of it is paid by debt identifiers and creators (i.e. 47.7% and 44.0%). The median time and average time of debt repayment are 25.0 and 872.3 hours respectively. Our results show that in Hadoop, the repayment time by creators is statistically significantly shorter than that of identifiers and others. However, in Camel, we did not observe statistically significant differences between different types.</t>
    </r>
  </si>
  <si>
    <t xml:space="preserve">In this paper we contribute to enlarge the knowledge about the technical debt phenomenon by presenting a large-scale empirical study on SATD, as a differentiated replication [38] of the study by Potdar and Shihab [30]1. In particular, we mine the complete change history of 159 Java open source systems to detect SATD instances across over 600K commits, for a total of over 2 Billion comments mined. Using these data we analyse the diffusion of SATD (i.e., the number of SATD instances and the percentage of code comments reporting SATD), its evolution and survivability over time, and who are the developers introducing and fixing the SATD. 
Then, we perform a manual analysis of a statistically significant sample of 366 comments reporting SATD to identify what are the types of SATD (e.g., design, code, test, requirement debt) more spread in open source systems.
In our manual analysis, we adopted an open coding process inspired by the Grounded Theory principles formulated by Corbin and Strauss [13]. Finally, we verified if classes exhibiting low quality as assessed by complexity, coupling, and readability quality metrics are more likely of being affected by SATD. </t>
  </si>
  <si>
    <t>In particular, we
mine the complete change history of 159 Java open source
systems to detect SATD instances across over 600K commits,
for a total of over 2 Billion comments mined.</t>
  </si>
  <si>
    <r>
      <rPr>
        <sz val="10"/>
        <color theme="1"/>
        <rFont val="Arial"/>
        <family val="2"/>
      </rPr>
      <t xml:space="preserve">Identifying Technical Debt (TD) within Software Development Projects (SDP) is a growing research interest as it has the potential to save software developers’ effort in maintenance tasks. Although there are ten types of TD, there is a lack of automatic techniques to extract them through static nor dynamic analysis.
This paper proposes a self-admitted TD extraction framework to extract TD from software’s comments and classify them comprehensively through a Parts-of-Speech technique.
A public TD dataset is used to evaluate the proposed framework. Results show that the proposed technique was able to increase the classification of build, architectural, versioning, and infrastructure TD by 16%.
As a proof of concept to the proposed framework, we tested it on a technical debt dataset created by Maldonado , which encompasses over 62 thousand comments extracted from seven open-source projects. The dataset comprises of internal comments while other comments types like IDE generated comments and Javadoc and commented-out code have been removed from the dataset. The comments are classified into five types of TD, implementation (code), documentation, design, defect, and test TD. Only 4,000 of the comments are classified as TD, whereas the remaining 58,000 comments are labelled WITHOUT CLASSIFICATION, making this dataset a suitable testing ground to extract the remaining five types of TD.
</t>
    </r>
    <r>
      <rPr>
        <b/>
        <sz val="10"/>
        <color theme="1"/>
        <rFont val="Arial"/>
        <family val="2"/>
      </rPr>
      <t>In this exploratory case study, we randomly selected 3,000 unclassified comments from the dataset and tested our POS patterns to see how many newly classified TD items were generated from our proposed framework. The focus was predominately on build, architectural, versioning, and infrastructure debt.</t>
    </r>
  </si>
  <si>
    <t>SUM</t>
  </si>
  <si>
    <t>B</t>
  </si>
  <si>
    <t>C</t>
  </si>
  <si>
    <t>D</t>
  </si>
  <si>
    <t>E</t>
  </si>
  <si>
    <t>G</t>
  </si>
  <si>
    <t>H</t>
  </si>
  <si>
    <t>I</t>
  </si>
  <si>
    <t>J</t>
  </si>
  <si>
    <t>K</t>
  </si>
  <si>
    <t>F</t>
  </si>
  <si>
    <t>L</t>
  </si>
  <si>
    <t>M</t>
  </si>
  <si>
    <t>N</t>
  </si>
  <si>
    <t>O</t>
  </si>
  <si>
    <t>P</t>
  </si>
  <si>
    <t>Q</t>
  </si>
  <si>
    <t>R</t>
  </si>
  <si>
    <t>S</t>
  </si>
  <si>
    <t>T</t>
  </si>
  <si>
    <t>U</t>
  </si>
  <si>
    <t>V</t>
  </si>
  <si>
    <t>W</t>
  </si>
  <si>
    <t>No</t>
  </si>
  <si>
    <t>Citation</t>
  </si>
  <si>
    <t>requirement</t>
  </si>
  <si>
    <t>usability</t>
  </si>
  <si>
    <t>compatibility</t>
  </si>
  <si>
    <t>security</t>
  </si>
  <si>
    <t>performance</t>
  </si>
  <si>
    <t>design</t>
  </si>
  <si>
    <t>architecture</t>
  </si>
  <si>
    <t>algorithm</t>
  </si>
  <si>
    <t>process</t>
  </si>
  <si>
    <t>version</t>
  </si>
  <si>
    <t>on-hold</t>
  </si>
  <si>
    <t>user interface</t>
  </si>
  <si>
    <t>code</t>
  </si>
  <si>
    <t>build</t>
  </si>
  <si>
    <t>infrastructure</t>
  </si>
  <si>
    <t>people</t>
  </si>
  <si>
    <t>implementation</t>
  </si>
  <si>
    <t>test</t>
  </si>
  <si>
    <t>defect</t>
  </si>
  <si>
    <t>documentation</t>
  </si>
  <si>
    <t>service</t>
  </si>
  <si>
    <t>TD</t>
  </si>
  <si>
    <t>Non-TD</t>
  </si>
  <si>
    <t>\cite{Potdar2014AnDebt}</t>
  </si>
  <si>
    <t>\cite{Farias2015AComments}</t>
  </si>
  <si>
    <t>\cite{Maldonado2015DetectingDebt}</t>
  </si>
  <si>
    <t>\cite{Bavota2016ADebt}</t>
  </si>
  <si>
    <t>\cite{Wehaibi2016ExaminingQuality}</t>
  </si>
  <si>
    <t>\cite{Bellomo2016GotTrackers}</t>
  </si>
  <si>
    <t>\cite{Maldonado2017UsingDebt}</t>
  </si>
  <si>
    <t>\cite{Dai2017DetectingTrackers}</t>
  </si>
  <si>
    <t>\cite{Wattanakriengkrai2019IdentifyingIDF}</t>
  </si>
  <si>
    <t>\cite{Liu2018SATDTool}</t>
  </si>
  <si>
    <t>\cite{Flisar2018EnhancedIdentification}</t>
  </si>
  <si>
    <t>\cite{Huang2018IdentifyingMining}</t>
  </si>
  <si>
    <t>\cite{Ren2019NeuralExplainability}</t>
  </si>
  <si>
    <t>\cite{Flisar2019IdentificationEmbedding}</t>
  </si>
  <si>
    <t>\cite{Wattanakriengkrai2019AutomaticIDF}</t>
  </si>
  <si>
    <t>\cite{Maipradit2020AutomatedDebt}</t>
  </si>
  <si>
    <t>\cite{Maipradit2020WaitDebt}</t>
  </si>
  <si>
    <t>\cite{Rantala2020PredictingSelection}</t>
  </si>
  <si>
    <t>\cite{Rantala2020PrevalenceKL-SATD}</t>
  </si>
  <si>
    <t>\cite{Santos2020LongDetection}</t>
  </si>
  <si>
    <t>\cite{Santos2020Self-AdmittedNetwork}</t>
  </si>
  <si>
    <t>\cite{Xavier2020BeyondSystems}</t>
  </si>
  <si>
    <t>\cite{Farias2020IdentifyingVocabulary}</t>
  </si>
  <si>
    <t>\cite{Li2020IdentificationTrackers}</t>
  </si>
  <si>
    <t>\cite{Al-Slais2021TowardsComments}</t>
  </si>
  <si>
    <t>\cite{Yu2021UsingDebt}</t>
  </si>
  <si>
    <t>\cite{Wang2020DetectingNetworks}</t>
  </si>
  <si>
    <t>\cite{Zhu2021DetectingCNN-BiLSTM}</t>
  </si>
  <si>
    <t>\cite{Santos2021EvaluatingComments}</t>
  </si>
  <si>
    <t>\cite{Liu2021AnFrameworks}</t>
  </si>
  <si>
    <t>\cite{Sridharan2021DataDetection}</t>
  </si>
  <si>
    <t>\cite{Rajalakshmi2021ClassificationAnalytics}</t>
  </si>
  <si>
    <t>\cite{Sala2021DebtHunter:Debt}</t>
  </si>
  <si>
    <t>\cite{Guo2021HowStudy}</t>
  </si>
  <si>
    <t>\cite{Codabux2021TechnicalStudy}</t>
  </si>
  <si>
    <t>\cite{Sharma2022Self-admittedCauses}</t>
  </si>
  <si>
    <t>\cite{Xiao2022CharacterizingSystems}</t>
  </si>
  <si>
    <t>\cite{Khan2022AutomaticPackages}</t>
  </si>
  <si>
    <t>\cite{Zhuang2022AnDetection}</t>
  </si>
  <si>
    <t>\cite{Yin2022DeepDebt}</t>
  </si>
  <si>
    <t>\cite{Chen2022MulticlassXGBoost}</t>
  </si>
  <si>
    <t>\cite{YU2022111219}</t>
  </si>
  <si>
    <t>\cite{DiSalle2022PILOT:Debt}</t>
  </si>
  <si>
    <t>\cite{Li2022Self-admittedNetworks}</t>
  </si>
  <si>
    <t>\cite{Tu2022DebtFree:Learning}</t>
  </si>
  <si>
    <t>\cite{Alhefdhi2022ADescription}</t>
  </si>
  <si>
    <t>\cite{ALOMAR2022102693}</t>
  </si>
  <si>
    <t>\cite{Yu2020IdentifyingApproach}</t>
  </si>
  <si>
    <t>\cite{Li2022IdentifyingLearning}</t>
  </si>
  <si>
    <t>\cite{Azuma2022AnDockerfile}</t>
  </si>
  <si>
    <t>\cite{Russo2022WeakSATD:Debt}</t>
  </si>
  <si>
    <t>\cite{Sabbah2023Self-admittedEmbeddings}</t>
  </si>
  <si>
    <t>\cite{Zhu2023SCGRU:Oversampling}</t>
  </si>
  <si>
    <t>TABLE 5 F1-measure Performance Considering Different Types of Self-admitted Technical Debt</t>
  </si>
  <si>
    <t>Design Debt</t>
  </si>
  <si>
    <t>Requirement debt</t>
  </si>
  <si>
    <t>Project</t>
  </si>
  <si>
    <t>Our approach</t>
  </si>
  <si>
    <t>Comment patterns</t>
  </si>
  <si>
    <t>Random classifier</t>
  </si>
  <si>
    <t>Ant</t>
  </si>
  <si>
    <t>0.517</t>
  </si>
  <si>
    <t>0.237</t>
  </si>
  <si>
    <t>0.044</t>
  </si>
  <si>
    <t>0.154</t>
  </si>
  <si>
    <t>0.006</t>
  </si>
  <si>
    <t>ArgoUML</t>
  </si>
  <si>
    <t>0.814</t>
  </si>
  <si>
    <t>0.107</t>
  </si>
  <si>
    <t>0.144</t>
  </si>
  <si>
    <t>0.595</t>
  </si>
  <si>
    <t>0.079</t>
  </si>
  <si>
    <t>Columba</t>
  </si>
  <si>
    <t>0.601</t>
  </si>
  <si>
    <t>0.264</t>
  </si>
  <si>
    <t>0.037</t>
  </si>
  <si>
    <t>0.804</t>
  </si>
  <si>
    <t>0.117</t>
  </si>
  <si>
    <t>0.013</t>
  </si>
  <si>
    <t>EMF</t>
  </si>
  <si>
    <t>0.47</t>
  </si>
  <si>
    <t>0.231</t>
  </si>
  <si>
    <t>0.034</t>
  </si>
  <si>
    <t>0.381</t>
  </si>
  <si>
    <t>0.007</t>
  </si>
  <si>
    <t>Hibernate</t>
  </si>
  <si>
    <t>0.744</t>
  </si>
  <si>
    <t>0.227</t>
  </si>
  <si>
    <t>0.193</t>
  </si>
  <si>
    <t>0.476</t>
  </si>
  <si>
    <t>0.041</t>
  </si>
  <si>
    <t>JEdit</t>
  </si>
  <si>
    <t>0.509</t>
  </si>
  <si>
    <t>0.342</t>
  </si>
  <si>
    <t>0.091</t>
  </si>
  <si>
    <t>0.003</t>
  </si>
  <si>
    <t>JFreeChart</t>
  </si>
  <si>
    <t>0.492</t>
  </si>
  <si>
    <t>0.282</t>
  </si>
  <si>
    <t>0.077</t>
  </si>
  <si>
    <t>0.321</t>
  </si>
  <si>
    <t>JMeter</t>
  </si>
  <si>
    <t>0.731</t>
  </si>
  <si>
    <t>0.194</t>
  </si>
  <si>
    <t>0.072</t>
  </si>
  <si>
    <t>0.148</t>
  </si>
  <si>
    <t>0.005</t>
  </si>
  <si>
    <t>JRuby</t>
  </si>
  <si>
    <t>0.783</t>
  </si>
  <si>
    <t>0.62</t>
  </si>
  <si>
    <t>0.123</t>
  </si>
  <si>
    <t>0.435</t>
  </si>
  <si>
    <t>0.409</t>
  </si>
  <si>
    <t>0.043</t>
  </si>
  <si>
    <t>Squirrel</t>
  </si>
  <si>
    <t>0.54</t>
  </si>
  <si>
    <t>0.175</t>
  </si>
  <si>
    <t>0.055</t>
  </si>
  <si>
    <t>0.541</t>
  </si>
  <si>
    <t>0.014</t>
  </si>
  <si>
    <t>Average</t>
  </si>
  <si>
    <t>0.267</t>
  </si>
  <si>
    <t>0.081</t>
  </si>
  <si>
    <t>0.403</t>
  </si>
  <si>
    <t>0.067</t>
  </si>
  <si>
    <t>0.021</t>
  </si>
  <si>
    <t>TABLE 9 Detailed Comparison of F1-measure Between the NLP-based, the Comment Patterns and the Random Baseline Approaches for Design Debt</t>
  </si>
  <si>
    <t>NLP-based</t>
  </si>
  <si>
    <t>Comment Patterns</t>
  </si>
  <si>
    <t>Random Baseline</t>
  </si>
  <si>
    <t>Precision</t>
  </si>
  <si>
    <t>Recall</t>
  </si>
  <si>
    <t>F1 measure</t>
  </si>
  <si>
    <t>0.554</t>
  </si>
  <si>
    <t>0.484</t>
  </si>
  <si>
    <t>0.608</t>
  </si>
  <si>
    <t>0.147</t>
  </si>
  <si>
    <t>0.023</t>
  </si>
  <si>
    <t>0.5</t>
  </si>
  <si>
    <t>0.788</t>
  </si>
  <si>
    <t>0.843</t>
  </si>
  <si>
    <t>0.793</t>
  </si>
  <si>
    <t>0.057</t>
  </si>
  <si>
    <t>0.084</t>
  </si>
  <si>
    <t>0.792</t>
  </si>
  <si>
    <t>0.8</t>
  </si>
  <si>
    <t>0.158</t>
  </si>
  <si>
    <t>0.019</t>
  </si>
  <si>
    <t>0.574</t>
  </si>
  <si>
    <t>0.397</t>
  </si>
  <si>
    <t>0.647</t>
  </si>
  <si>
    <t>0.141</t>
  </si>
  <si>
    <t>0.018</t>
  </si>
  <si>
    <t>0.877</t>
  </si>
  <si>
    <t>0.645</t>
  </si>
  <si>
    <t>0.92</t>
  </si>
  <si>
    <t>0.129</t>
  </si>
  <si>
    <t>0.12</t>
  </si>
  <si>
    <t>0.779</t>
  </si>
  <si>
    <t>0.378</t>
  </si>
  <si>
    <t>0.857</t>
  </si>
  <si>
    <t>0.214</t>
  </si>
  <si>
    <t>0.646</t>
  </si>
  <si>
    <t>0.507</t>
  </si>
  <si>
    <t>0.195</t>
  </si>
  <si>
    <t>0.042</t>
  </si>
  <si>
    <t>0.808</t>
  </si>
  <si>
    <t>0.668</t>
  </si>
  <si>
    <t>0.813</t>
  </si>
  <si>
    <t>0.11</t>
  </si>
  <si>
    <t>0.039</t>
  </si>
  <si>
    <t>0.798</t>
  </si>
  <si>
    <t>0.77</t>
  </si>
  <si>
    <t>0.864</t>
  </si>
  <si>
    <t>0.483</t>
  </si>
  <si>
    <t>0.07</t>
  </si>
  <si>
    <t>SQuirreI</t>
  </si>
  <si>
    <t>0.544</t>
  </si>
  <si>
    <t>0.536</t>
  </si>
  <si>
    <t>0.7</t>
  </si>
  <si>
    <t>0.1</t>
  </si>
  <si>
    <t>0.029</t>
  </si>
  <si>
    <t>TABLE 10 Detailed Comparison of F1-measure Between the NLP-based, the Comment Patterns and the Random Baseline Approaches for Requirement Debt</t>
  </si>
  <si>
    <t>0.663</t>
  </si>
  <si>
    <t>0.755</t>
  </si>
  <si>
    <t>0.86</t>
  </si>
  <si>
    <t>0.375</t>
  </si>
  <si>
    <t>0.069</t>
  </si>
  <si>
    <t>0.25</t>
  </si>
  <si>
    <t>0.004</t>
  </si>
  <si>
    <t>0.61</t>
  </si>
  <si>
    <t>0.391</t>
  </si>
  <si>
    <t>0.022</t>
  </si>
  <si>
    <t>0.125</t>
  </si>
  <si>
    <t>0.071</t>
  </si>
  <si>
    <t>0.001</t>
  </si>
  <si>
    <t>0.2</t>
  </si>
  <si>
    <t>0.6</t>
  </si>
  <si>
    <t>0.102</t>
  </si>
  <si>
    <t>0.266</t>
  </si>
  <si>
    <t>0.153</t>
  </si>
  <si>
    <t>0.524</t>
  </si>
  <si>
    <t>0.686</t>
  </si>
  <si>
    <t>0.318</t>
  </si>
  <si>
    <t>0.573</t>
  </si>
  <si>
    <t>SQuirrel</t>
  </si>
  <si>
    <t>0.657</t>
  </si>
  <si>
    <t>0.46</t>
  </si>
  <si>
    <t>TABLE II: Performance of Stage-1: TD Presence Detection</t>
  </si>
  <si>
    <t>Feature</t>
  </si>
  <si>
    <t>Model</t>
  </si>
  <si>
    <t>BoW</t>
  </si>
  <si>
    <t>SVM</t>
  </si>
  <si>
    <t>0.76</t>
  </si>
  <si>
    <t>GloVe Embed</t>
  </si>
  <si>
    <t>Bi-LSTM</t>
  </si>
  <si>
    <t>0.82</t>
  </si>
  <si>
    <t>BERT Embed</t>
  </si>
  <si>
    <t>BERT (S1M)</t>
  </si>
  <si>
    <t>0.91</t>
  </si>
  <si>
    <t>0.9</t>
  </si>
  <si>
    <t>TABLE III: Performance of Stage-2: TD Type Detection</t>
  </si>
  <si>
    <t>Task</t>
  </si>
  <si>
    <t>Single BERT</t>
  </si>
  <si>
    <t>All 10 types TD detection</t>
  </si>
  <si>
    <t>0.08</t>
  </si>
  <si>
    <t>Hierarchical BERT to Detect the 10 TDs in Different Clusters</t>
  </si>
  <si>
    <t>S2M0</t>
  </si>
  <si>
    <t>Cluster detection</t>
  </si>
  <si>
    <t>S2M1</t>
  </si>
  <si>
    <t>Cluster-1 TD detection</t>
  </si>
  <si>
    <t>0.72</t>
  </si>
  <si>
    <t>0.73</t>
  </si>
  <si>
    <t>0.71</t>
  </si>
  <si>
    <t>S2M2</t>
  </si>
  <si>
    <t>Cluster-2 TD detection</t>
  </si>
  <si>
    <t>S2M3</t>
  </si>
  <si>
    <t>Cluster-3 TD detection</t>
  </si>
  <si>
    <t>0.93</t>
  </si>
  <si>
    <t>0.89</t>
  </si>
  <si>
    <t>TABLE I RESULTS OBTAINED ON THE THREE OBJECT SYSTEMS</t>
  </si>
  <si>
    <t>DECOR
Prec.</t>
  </si>
  <si>
    <t>F-measure</t>
  </si>
  <si>
    <t>TACO
Prec.</t>
  </si>
  <si>
    <t>Apache Cassandra</t>
  </si>
  <si>
    <t>0.84</t>
  </si>
  <si>
    <t>0.63</t>
  </si>
  <si>
    <t>0.56</t>
  </si>
  <si>
    <t>Apache Xerces</t>
  </si>
  <si>
    <t>0.67</t>
  </si>
  <si>
    <t>0.57</t>
  </si>
  <si>
    <t>Eclipse Core</t>
  </si>
  <si>
    <t>0.19</t>
  </si>
  <si>
    <t>Overall</t>
  </si>
  <si>
    <t>0.52</t>
  </si>
  <si>
    <t>0.74</t>
  </si>
  <si>
    <t>0.51</t>
  </si>
  <si>
    <t>0.65</t>
  </si>
  <si>
    <t>TABLE IV. THE RESULT FOR REPEATED RANDOM SUB-SAMPLING VALIDATION</t>
  </si>
  <si>
    <t>Average Precision</t>
  </si>
  <si>
    <t>Average Recall</t>
  </si>
  <si>
    <t>Average F1- score</t>
  </si>
  <si>
    <t>0.81</t>
  </si>
  <si>
    <t>Table 5 Precision of our approach and all baseline approaches</t>
  </si>
  <si>
    <t>Target</t>
  </si>
  <si>
    <t>Ours</t>
  </si>
  <si>
    <t>Pattern</t>
  </si>
  <si>
    <t>NBM</t>
  </si>
  <si>
    <t>kNN</t>
  </si>
  <si>
    <t>bestSub</t>
  </si>
  <si>
    <t>NLP</t>
  </si>
  <si>
    <t>0.75</t>
  </si>
  <si>
    <t>0.564</t>
  </si>
  <si>
    <t>0.69</t>
  </si>
  <si>
    <t>0.766</t>
  </si>
  <si>
    <t>0.706</t>
  </si>
  <si>
    <t>0.726</t>
  </si>
  <si>
    <t>0.818</t>
  </si>
  <si>
    <t>0.286</t>
  </si>
  <si>
    <t>0.531</t>
  </si>
  <si>
    <t>0.556</t>
  </si>
  <si>
    <t>0.677</t>
  </si>
  <si>
    <t>0.832</t>
  </si>
  <si>
    <t>0.451</t>
  </si>
  <si>
    <t>0.736</t>
  </si>
  <si>
    <t>0.565</t>
  </si>
  <si>
    <t>jEdit</t>
  </si>
  <si>
    <t>0.702</t>
  </si>
  <si>
    <t>0.309</t>
  </si>
  <si>
    <t>0.475</t>
  </si>
  <si>
    <t>0.422</t>
  </si>
  <si>
    <t>0.473</t>
  </si>
  <si>
    <t>0.606</t>
  </si>
  <si>
    <t>0.833</t>
  </si>
  <si>
    <t>0.209</t>
  </si>
  <si>
    <t>0.333</t>
  </si>
  <si>
    <t>0.337</t>
  </si>
  <si>
    <t>0.405</t>
  </si>
  <si>
    <t>0.516</t>
  </si>
  <si>
    <t>0.797</t>
  </si>
  <si>
    <t>0.778</t>
  </si>
  <si>
    <t>0.328</t>
  </si>
  <si>
    <t>0.522</t>
  </si>
  <si>
    <t>0.503</t>
  </si>
  <si>
    <t>0.826</t>
  </si>
  <si>
    <t>0.434</t>
  </si>
  <si>
    <t>0.781</t>
  </si>
  <si>
    <t>0.635</t>
  </si>
  <si>
    <t>0.589</t>
  </si>
  <si>
    <t>0.708</t>
  </si>
  <si>
    <t>0.471</t>
  </si>
  <si>
    <t>0.952</t>
  </si>
  <si>
    <t>0.538</t>
  </si>
  <si>
    <t>0.436</t>
  </si>
  <si>
    <t>0.325</t>
  </si>
  <si>
    <t>Average.</t>
  </si>
  <si>
    <t>0.756</t>
  </si>
  <si>
    <t>0.354</t>
  </si>
  <si>
    <t>0.717</t>
  </si>
  <si>
    <t>0.598</t>
  </si>
  <si>
    <t>0.537</t>
  </si>
  <si>
    <t>0.547</t>
  </si>
  <si>
    <t>Table 6 Recall of our approach and all baseline approaches</t>
  </si>
  <si>
    <t>0.854</t>
  </si>
  <si>
    <t>0.028</t>
  </si>
  <si>
    <t>0.712</t>
  </si>
  <si>
    <t>0.03</t>
  </si>
  <si>
    <t>0.33</t>
  </si>
  <si>
    <t>0.834</t>
  </si>
  <si>
    <t>0.897</t>
  </si>
  <si>
    <t>0.836</t>
  </si>
  <si>
    <t>0.047</t>
  </si>
  <si>
    <t>0.203</t>
  </si>
  <si>
    <t>0.688</t>
  </si>
  <si>
    <t>0.748</t>
  </si>
  <si>
    <t>0.801</t>
  </si>
  <si>
    <t>0.056</t>
  </si>
  <si>
    <t>0.769</t>
  </si>
  <si>
    <t>0.41</t>
  </si>
  <si>
    <t>0.185</t>
  </si>
  <si>
    <t>0.631</t>
  </si>
  <si>
    <t>0.446</t>
  </si>
  <si>
    <t>0.05</t>
  </si>
  <si>
    <t>0.703</t>
  </si>
  <si>
    <t>0.02</t>
  </si>
  <si>
    <t>0.307</t>
  </si>
  <si>
    <t>0.762</t>
  </si>
  <si>
    <t>0.485</t>
  </si>
  <si>
    <t>0.699</t>
  </si>
  <si>
    <t>0.348</t>
  </si>
  <si>
    <t>0.624</t>
  </si>
  <si>
    <t>0.856</t>
  </si>
  <si>
    <t>0.232</t>
  </si>
  <si>
    <t>0.841</t>
  </si>
  <si>
    <t>0.58</t>
  </si>
  <si>
    <t>0.602</t>
  </si>
  <si>
    <t>0.04</t>
  </si>
  <si>
    <t>0.607</t>
  </si>
  <si>
    <t>0.284</t>
  </si>
  <si>
    <t>0.672</t>
  </si>
  <si>
    <t>0.733</t>
  </si>
  <si>
    <t>0.277</t>
  </si>
  <si>
    <t>0.718</t>
  </si>
  <si>
    <t>0.623</t>
  </si>
  <si>
    <t>Table 7 F1-score of our approach and all baseline approaches</t>
  </si>
  <si>
    <t>0.828</t>
  </si>
  <si>
    <t>0.054</t>
  </si>
  <si>
    <t>0.629</t>
  </si>
  <si>
    <t>0.461</t>
  </si>
  <si>
    <t>0.802</t>
  </si>
  <si>
    <t>0.424</t>
  </si>
  <si>
    <t>0.09</t>
  </si>
  <si>
    <t>0.294</t>
  </si>
  <si>
    <t>0.649</t>
  </si>
  <si>
    <t>0.682</t>
  </si>
  <si>
    <t>0.133</t>
  </si>
  <si>
    <t>0.577</t>
  </si>
  <si>
    <t>0.106</t>
  </si>
  <si>
    <t>0.444</t>
  </si>
  <si>
    <t>0.693</t>
  </si>
  <si>
    <t>0.587</t>
  </si>
  <si>
    <t>0.518</t>
  </si>
  <si>
    <t>0.304</t>
  </si>
  <si>
    <t>0.415</t>
  </si>
  <si>
    <t>0.276</t>
  </si>
  <si>
    <t>0.459</t>
  </si>
  <si>
    <t>0.687</t>
  </si>
  <si>
    <t>0.093</t>
  </si>
  <si>
    <t>0.323</t>
  </si>
  <si>
    <t>0.447</t>
  </si>
  <si>
    <t>0.082</t>
  </si>
  <si>
    <t>0.445</t>
  </si>
  <si>
    <t>0.617</t>
  </si>
  <si>
    <t>0.557</t>
  </si>
  <si>
    <t>0.552</t>
  </si>
  <si>
    <t>0.046</t>
  </si>
  <si>
    <t>0.358</t>
  </si>
  <si>
    <t>0.724</t>
  </si>
  <si>
    <t>0.584</t>
  </si>
  <si>
    <t>0.651</t>
  </si>
  <si>
    <t>0.073</t>
  </si>
  <si>
    <t>0.18</t>
  </si>
  <si>
    <t>0.371</t>
  </si>
  <si>
    <t>0.515</t>
  </si>
  <si>
    <t>0.737</t>
  </si>
  <si>
    <t>0.465</t>
  </si>
  <si>
    <t>0.075</t>
  </si>
  <si>
    <t>0.591</t>
  </si>
  <si>
    <t>0.576</t>
  </si>
  <si>
    <t>Improve.</t>
  </si>
  <si>
    <t>−</t>
  </si>
  <si>
    <t>0.5849</t>
  </si>
  <si>
    <t>0.9865</t>
  </si>
  <si>
    <t>0.247</t>
  </si>
  <si>
    <t>0.2795</t>
  </si>
  <si>
    <t>p-value</t>
  </si>
  <si>
    <t>0.00047</t>
  </si>
  <si>
    <t>0.00054</t>
  </si>
  <si>
    <t>0.000078</t>
  </si>
  <si>
    <t>0.01</t>
  </si>
  <si>
    <t>Cliff’s delta</t>
  </si>
  <si>
    <t>Table 2: Comparison of the metrics obtained in the design SATD classifications.</t>
  </si>
  <si>
    <t>LSTM + word2vec</t>
  </si>
  <si>
    <t>Auto-sklearn</t>
  </si>
  <si>
    <t>Maximum entropy</t>
  </si>
  <si>
    <t>Pr</t>
  </si>
  <si>
    <t>Rc</t>
  </si>
  <si>
    <t>F1</t>
  </si>
  <si>
    <t>0.621</t>
  </si>
  <si>
    <t>0.614</t>
  </si>
  <si>
    <t>0.228</t>
  </si>
  <si>
    <t>0.821</t>
  </si>
  <si>
    <t>0.357</t>
  </si>
  <si>
    <t>0.676</t>
  </si>
  <si>
    <t>0.301</t>
  </si>
  <si>
    <t>0.36</t>
  </si>
  <si>
    <t>0.94</t>
  </si>
  <si>
    <t>0.863</t>
  </si>
  <si>
    <t>0.443</t>
  </si>
  <si>
    <t>0.963</t>
  </si>
  <si>
    <t>0.784</t>
  </si>
  <si>
    <t>0.741</t>
  </si>
  <si>
    <t>0.658</t>
  </si>
  <si>
    <t>0.728</t>
  </si>
  <si>
    <t>0.256</t>
  </si>
  <si>
    <t>0.765</t>
  </si>
  <si>
    <t>0.842</t>
  </si>
  <si>
    <t>0.346</t>
  </si>
  <si>
    <t>0.613</t>
  </si>
  <si>
    <t>0.442</t>
  </si>
  <si>
    <t>0.501</t>
  </si>
  <si>
    <t>0.604</t>
  </si>
  <si>
    <t>0.735</t>
  </si>
  <si>
    <t>0.912</t>
  </si>
  <si>
    <t>0.467</t>
  </si>
  <si>
    <t>0.873</t>
  </si>
  <si>
    <t>0.609</t>
  </si>
  <si>
    <t>0.45</t>
  </si>
  <si>
    <t>0.583</t>
  </si>
  <si>
    <t>0.316</t>
  </si>
  <si>
    <t>0.837</t>
  </si>
  <si>
    <t>0.943</t>
  </si>
  <si>
    <t>0.701</t>
  </si>
  <si>
    <t>0.418</t>
  </si>
  <si>
    <t>0.532</t>
  </si>
  <si>
    <t>0.885</t>
  </si>
  <si>
    <t>0.872</t>
  </si>
  <si>
    <t>0.39</t>
  </si>
  <si>
    <t>0.734</t>
  </si>
  <si>
    <t>0.859</t>
  </si>
  <si>
    <t>0.791</t>
  </si>
  <si>
    <t>0.233</t>
  </si>
  <si>
    <t>0.367</t>
  </si>
  <si>
    <t>0.42</t>
  </si>
  <si>
    <t>0.53</t>
  </si>
  <si>
    <t>0.845</t>
  </si>
  <si>
    <t>0.838</t>
  </si>
  <si>
    <t>0.362</t>
  </si>
  <si>
    <t>0.932</t>
  </si>
  <si>
    <t>0.545</t>
  </si>
  <si>
    <t>0.616</t>
  </si>
  <si>
    <t>0.192</t>
  </si>
  <si>
    <t>0.894</t>
  </si>
  <si>
    <t>0.317</t>
  </si>
  <si>
    <t>0.903</t>
  </si>
  <si>
    <t>0.772</t>
  </si>
  <si>
    <t>0.263</t>
  </si>
  <si>
    <t>0.882</t>
  </si>
  <si>
    <t>0.64</t>
  </si>
  <si>
    <t>0.716</t>
  </si>
  <si>
    <t>Table 3: Comparison of the metrics obtained in the requirement SATD classifications.</t>
  </si>
  <si>
    <t>0.23</t>
  </si>
  <si>
    <t>0.315</t>
  </si>
  <si>
    <t>0.692</t>
  </si>
  <si>
    <t>0.026</t>
  </si>
  <si>
    <t>0.136</t>
  </si>
  <si>
    <t>0.226</t>
  </si>
  <si>
    <t>0.839</t>
  </si>
  <si>
    <t>0.683</t>
  </si>
  <si>
    <t>0.753</t>
  </si>
  <si>
    <t>0.388</t>
  </si>
  <si>
    <t>0.533</t>
  </si>
  <si>
    <t>0.771</t>
  </si>
  <si>
    <t>0.935</t>
  </si>
  <si>
    <t>0.851</t>
  </si>
  <si>
    <t>0.015</t>
  </si>
  <si>
    <t>0.562</t>
  </si>
  <si>
    <t>0.747</t>
  </si>
  <si>
    <t>0.165</t>
  </si>
  <si>
    <t>0.921</t>
  </si>
  <si>
    <t>0.281</t>
  </si>
  <si>
    <t>0.809</t>
  </si>
  <si>
    <t>0.566</t>
  </si>
  <si>
    <t>0.571</t>
  </si>
  <si>
    <t>0.666</t>
  </si>
  <si>
    <t>0.615</t>
  </si>
  <si>
    <t>0.785</t>
  </si>
  <si>
    <t>0.937</t>
  </si>
  <si>
    <t>0.715</t>
  </si>
  <si>
    <t>0.811</t>
  </si>
  <si>
    <t>0.4</t>
  </si>
  <si>
    <t>0.064</t>
  </si>
  <si>
    <t>0.118</t>
  </si>
  <si>
    <t>0.846</t>
  </si>
  <si>
    <t>0.28</t>
  </si>
  <si>
    <t>0.421</t>
  </si>
  <si>
    <t>0.22</t>
  </si>
  <si>
    <t>0.619</t>
  </si>
  <si>
    <t>0.59</t>
  </si>
  <si>
    <t>0.572</t>
  </si>
  <si>
    <t>0.296</t>
  </si>
  <si>
    <t>0.763</t>
  </si>
  <si>
    <t>0.427</t>
  </si>
  <si>
    <t>0.749</t>
  </si>
  <si>
    <t>0.78</t>
  </si>
  <si>
    <t>0.513</t>
  </si>
  <si>
    <t>0.06</t>
  </si>
  <si>
    <t>0.112</t>
  </si>
  <si>
    <t>0.848</t>
  </si>
  <si>
    <t>0.535</t>
  </si>
  <si>
    <t>0.656</t>
  </si>
  <si>
    <t>0.414</t>
  </si>
  <si>
    <t>0.636</t>
  </si>
  <si>
    <t>0.115</t>
  </si>
  <si>
    <t>0.803</t>
  </si>
  <si>
    <t>0.637</t>
  </si>
  <si>
    <t>0.482</t>
  </si>
  <si>
    <t>0.416</t>
  </si>
  <si>
    <t>TABLE II EVALUATION RESULTS OF N-GRAM IDF, BOW, AND TF-IDF-BASED APPROACHES</t>
  </si>
  <si>
    <t>Bag-of-Words</t>
  </si>
  <si>
    <t>MMCE</t>
  </si>
  <si>
    <t>0.204</t>
  </si>
  <si>
    <t>0.472</t>
  </si>
  <si>
    <t>0.311</t>
  </si>
  <si>
    <t>0.506</t>
  </si>
  <si>
    <t>0.456</t>
  </si>
  <si>
    <t>0.287</t>
  </si>
  <si>
    <t>0.352</t>
  </si>
  <si>
    <t>0.817</t>
  </si>
  <si>
    <t>0.751</t>
  </si>
  <si>
    <t>0.662</t>
  </si>
  <si>
    <t>0.463</t>
  </si>
  <si>
    <t>0.773</t>
  </si>
  <si>
    <t>0.754</t>
  </si>
  <si>
    <t>0.831</t>
  </si>
  <si>
    <t>0.922</t>
  </si>
  <si>
    <t>0.874</t>
  </si>
  <si>
    <t>0.919</t>
  </si>
  <si>
    <t>0.387</t>
  </si>
  <si>
    <t>0.807</t>
  </si>
  <si>
    <t>0.925</t>
  </si>
  <si>
    <t>0.862</t>
  </si>
  <si>
    <t>0.849</t>
  </si>
  <si>
    <t>0.347</t>
  </si>
  <si>
    <t>0.815</t>
  </si>
  <si>
    <t>0.768</t>
  </si>
  <si>
    <t>0.373</t>
  </si>
  <si>
    <t>0.829</t>
  </si>
  <si>
    <t>0.493</t>
  </si>
  <si>
    <t>0.392</t>
  </si>
  <si>
    <t>0.213</t>
  </si>
  <si>
    <t>0.594</t>
  </si>
  <si>
    <t>0.404</t>
  </si>
  <si>
    <t>0.481</t>
  </si>
  <si>
    <t>0.519</t>
  </si>
  <si>
    <t>0.95</t>
  </si>
  <si>
    <t>0.723</t>
  </si>
  <si>
    <t>0.332</t>
  </si>
  <si>
    <t>0.408</t>
  </si>
  <si>
    <t>0.876</t>
  </si>
  <si>
    <t>0.581</t>
  </si>
  <si>
    <t>0.257</t>
  </si>
  <si>
    <t>0.356</t>
  </si>
  <si>
    <t>0.3</t>
  </si>
  <si>
    <t>0.495</t>
  </si>
  <si>
    <t>0.462</t>
  </si>
  <si>
    <t>0.548</t>
  </si>
  <si>
    <t>0.452</t>
  </si>
  <si>
    <t>0.542</t>
  </si>
  <si>
    <t>0.432</t>
  </si>
  <si>
    <t>0.853</t>
  </si>
  <si>
    <t>0.852</t>
  </si>
  <si>
    <t>0.417</t>
  </si>
  <si>
    <t>0.867</t>
  </si>
  <si>
    <t>0.795</t>
  </si>
  <si>
    <t>0.437</t>
  </si>
  <si>
    <t>0.714</t>
  </si>
  <si>
    <t>0.698</t>
  </si>
  <si>
    <t>0.359</t>
  </si>
  <si>
    <t>0.691</t>
  </si>
  <si>
    <t>0.428</t>
  </si>
  <si>
    <t>AVERAGE</t>
  </si>
  <si>
    <t>0.7964</t>
  </si>
  <si>
    <t>0.5889</t>
  </si>
  <si>
    <t>0.6474</t>
  </si>
  <si>
    <t>0.4168</t>
  </si>
  <si>
    <t>0.6797</t>
  </si>
  <si>
    <t>0.5753</t>
  </si>
  <si>
    <t>0.6089</t>
  </si>
  <si>
    <t>0.4457</t>
  </si>
  <si>
    <t>0.721</t>
  </si>
  <si>
    <t>0.6202</t>
  </si>
  <si>
    <t>0.6532</t>
  </si>
  <si>
    <t>0.4509</t>
  </si>
  <si>
    <t>TABLE VIII EVALUATION RESULTS OF OUR APPROACH USING UNDER-SAMPLING AND WITHOUT UNDER-SAMPLING</t>
  </si>
  <si>
    <t xml:space="preserve">TABLE VII COMPARISON OF F1-SCORE BETWEEN OUR APPROACH AND BASELINE FOR SELF-ADMITTED TECHNICAL DEBT.
</t>
  </si>
  <si>
    <t>Our Approach with Under-sampling</t>
  </si>
  <si>
    <t>Our Approach without Under-sampling</t>
  </si>
  <si>
    <t>Our Approach</t>
  </si>
  <si>
    <t>Maldonado et al.</t>
  </si>
  <si>
    <t>0.512</t>
  </si>
  <si>
    <t>0.32</t>
  </si>
  <si>
    <t>0.55</t>
  </si>
  <si>
    <t>0.43</t>
  </si>
  <si>
    <t>0.66</t>
  </si>
  <si>
    <t>0.49</t>
  </si>
  <si>
    <t>0.819</t>
  </si>
  <si>
    <t>0.83</t>
  </si>
  <si>
    <t>0.87</t>
  </si>
  <si>
    <t>0.35</t>
  </si>
  <si>
    <t>0.85</t>
  </si>
  <si>
    <t>0.88</t>
  </si>
  <si>
    <t>0.68</t>
  </si>
  <si>
    <t>0.31</t>
  </si>
  <si>
    <t>0.29</t>
  </si>
  <si>
    <t>0.96</t>
  </si>
  <si>
    <t>0.21</t>
  </si>
  <si>
    <t>0.34</t>
  </si>
  <si>
    <t>0.44</t>
  </si>
  <si>
    <t>0.48</t>
  </si>
  <si>
    <t>0.593</t>
  </si>
  <si>
    <t>0.6361</t>
  </si>
  <si>
    <t>0.796</t>
  </si>
  <si>
    <t>0.588</t>
  </si>
  <si>
    <t>0.648</t>
  </si>
  <si>
    <t>0.529</t>
  </si>
  <si>
    <t>0.618</t>
  </si>
  <si>
    <t>0.474</t>
  </si>
  <si>
    <t>TABLE 2. COMPARISON OF PRECISION, RECALL, AND F1 BETWEEN OUR APPROACH AND BASELINE FOR DESIGN AND REQUIREMENT SATD</t>
  </si>
  <si>
    <t>Requirement Debt</t>
  </si>
  <si>
    <t>TABLE 3. COMPARISON OF AN AVERAGE F1-SCORE, PRECISION, AND RECALL BETWEEN AUTO-SKLEARN AND RANDOM FOREST FOR DEFECT SATD</t>
  </si>
  <si>
    <t>Random forest</t>
  </si>
  <si>
    <t>0.17</t>
  </si>
  <si>
    <t>Table 4 Precision/% of all methods on the 10 projects</t>
  </si>
  <si>
    <t>Table 5 Recall/% of all methods on the 10 projects</t>
  </si>
  <si>
    <t>Table 6 F1-score/% of all methods on the 10 projects</t>
  </si>
  <si>
    <t>Patterns</t>
  </si>
  <si>
    <t>Text Mining</t>
  </si>
  <si>
    <t>73.45</t>
  </si>
  <si>
    <t>55.56</t>
  </si>
  <si>
    <t>55.5</t>
  </si>
  <si>
    <t>54.64</t>
  </si>
  <si>
    <t>52.64</t>
  </si>
  <si>
    <t>8.06</t>
  </si>
  <si>
    <t>49.2</t>
  </si>
  <si>
    <t>42.74</t>
  </si>
  <si>
    <t>61.22</t>
  </si>
  <si>
    <t>14.08</t>
  </si>
  <si>
    <t>52.1</t>
  </si>
  <si>
    <t>47.96</t>
  </si>
  <si>
    <t>88.38</t>
  </si>
  <si>
    <t>80.7</t>
  </si>
  <si>
    <t>84.28</t>
  </si>
  <si>
    <t>81.53</t>
  </si>
  <si>
    <t>2.26</t>
  </si>
  <si>
    <t>77.4</t>
  </si>
  <si>
    <t>79.25</t>
  </si>
  <si>
    <t>84.81</t>
  </si>
  <si>
    <t>8.28</t>
  </si>
  <si>
    <t>81.69</t>
  </si>
  <si>
    <t>82.98</t>
  </si>
  <si>
    <t>76.47</t>
  </si>
  <si>
    <t>83.5</t>
  </si>
  <si>
    <t>81.29</t>
  </si>
  <si>
    <t>92.63</t>
  </si>
  <si>
    <t>5.59</t>
  </si>
  <si>
    <t>90.5</t>
  </si>
  <si>
    <t>86.24</t>
  </si>
  <si>
    <t>87.54</t>
  </si>
  <si>
    <t>4.4</t>
  </si>
  <si>
    <t>86.8</t>
  </si>
  <si>
    <t>83.73</t>
  </si>
  <si>
    <t>90.19</t>
  </si>
  <si>
    <t>84.8</t>
  </si>
  <si>
    <t>82.87</t>
  </si>
  <si>
    <t>92.26</t>
  </si>
  <si>
    <t>4.88</t>
  </si>
  <si>
    <t>85.9</t>
  </si>
  <si>
    <t>91.21</t>
  </si>
  <si>
    <t>10.53</t>
  </si>
  <si>
    <t>84.36</t>
  </si>
  <si>
    <t>80.3</t>
  </si>
  <si>
    <t>48.6</t>
  </si>
  <si>
    <t>53.33</t>
  </si>
  <si>
    <t>49.11</t>
  </si>
  <si>
    <t>41.5</t>
  </si>
  <si>
    <t>48.78</t>
  </si>
  <si>
    <t>60.62</t>
  </si>
  <si>
    <t>8.89</t>
  </si>
  <si>
    <t>44.7</t>
  </si>
  <si>
    <t>50.95</t>
  </si>
  <si>
    <t>89.44</t>
  </si>
  <si>
    <t>93.33</t>
  </si>
  <si>
    <t>85.6</t>
  </si>
  <si>
    <t>89.38</t>
  </si>
  <si>
    <t>77.15</t>
  </si>
  <si>
    <t>6.54</t>
  </si>
  <si>
    <t>70.79</t>
  </si>
  <si>
    <t>82.83</t>
  </si>
  <si>
    <t>12.23</t>
  </si>
  <si>
    <t>79.01</t>
  </si>
  <si>
    <t>74.48</t>
  </si>
  <si>
    <t>86.05</t>
  </si>
  <si>
    <t>75.4</t>
  </si>
  <si>
    <t>67.86</t>
  </si>
  <si>
    <t>44.84</t>
  </si>
  <si>
    <t>15.81</t>
  </si>
  <si>
    <t>39.3</t>
  </si>
  <si>
    <t>32.48</t>
  </si>
  <si>
    <t>55.87</t>
  </si>
  <si>
    <t>26.71</t>
  </si>
  <si>
    <t>51.7</t>
  </si>
  <si>
    <t>43.93</t>
  </si>
  <si>
    <t>69.26</t>
  </si>
  <si>
    <t>83.33</t>
  </si>
  <si>
    <t>66.1</t>
  </si>
  <si>
    <t>63.85</t>
  </si>
  <si>
    <t>77.52</t>
  </si>
  <si>
    <t>4.58</t>
  </si>
  <si>
    <t>67.9</t>
  </si>
  <si>
    <t>76.15</t>
  </si>
  <si>
    <t>73.14</t>
  </si>
  <si>
    <t>8.7</t>
  </si>
  <si>
    <t>69.46</t>
  </si>
  <si>
    <t>87.59</t>
  </si>
  <si>
    <t>85.1</t>
  </si>
  <si>
    <t>83.98</t>
  </si>
  <si>
    <t>86.75</t>
  </si>
  <si>
    <t>4.59</t>
  </si>
  <si>
    <t>82.9</t>
  </si>
  <si>
    <t>87.36</t>
  </si>
  <si>
    <t>8.69</t>
  </si>
  <si>
    <t>81.42</t>
  </si>
  <si>
    <t>56.25</t>
  </si>
  <si>
    <t>74.59</t>
  </si>
  <si>
    <t>67.93</t>
  </si>
  <si>
    <t>3.98</t>
  </si>
  <si>
    <t>59.3</t>
  </si>
  <si>
    <t>61.06</t>
  </si>
  <si>
    <t>73.98</t>
  </si>
  <si>
    <t>7.44</t>
  </si>
  <si>
    <t>62.9</t>
  </si>
  <si>
    <t>67.15</t>
  </si>
  <si>
    <t>81.75</t>
  </si>
  <si>
    <t>73.6</t>
  </si>
  <si>
    <t>73.23</t>
  </si>
  <si>
    <t>73.61</t>
  </si>
  <si>
    <t>72.24</t>
  </si>
  <si>
    <t>6.12</t>
  </si>
  <si>
    <t>66.75</t>
  </si>
  <si>
    <t>75.86</t>
  </si>
  <si>
    <t>10.99</t>
  </si>
  <si>
    <t>69.41</t>
  </si>
  <si>
    <t>69.22</t>
  </si>
  <si>
    <t>Table 2. RawDebtHunter compared to baselines performance.</t>
  </si>
  <si>
    <t>Metrics</t>
  </si>
  <si>
    <t>Raw DebtHunter</t>
  </si>
  <si>
    <t>Internal Baselines</t>
  </si>
  <si>
    <t>External Baselines</t>
  </si>
  <si>
    <t>Binary</t>
  </si>
  <si>
    <t>All-labels</t>
  </si>
  <si>
    <t>Liu2018</t>
  </si>
  <si>
    <t>pattern-based</t>
  </si>
  <si>
    <t>MAT</t>
  </si>
  <si>
    <t>0.972</t>
  </si>
  <si>
    <t>0.945</t>
  </si>
  <si>
    <t>0.746</t>
  </si>
  <si>
    <t>Improv.</t>
  </si>
  <si>
    <t>+8.36%</t>
  </si>
  <si>
    <t>+2.86%</t>
  </si>
  <si>
    <t>+66.72%</t>
  </si>
  <si>
    <t>+30.29%</t>
  </si>
  <si>
    <t>+10.2%</t>
  </si>
  <si>
    <t>0.967</t>
  </si>
  <si>
    <t>0.777</t>
  </si>
  <si>
    <t>0.767</t>
  </si>
  <si>
    <t>0.052</t>
  </si>
  <si>
    <t>+24.45%</t>
  </si>
  <si>
    <t>+26.03%</t>
  </si>
  <si>
    <t>+1759.6%</t>
  </si>
  <si>
    <t>+26.24%</t>
  </si>
  <si>
    <t>F1-Score</t>
  </si>
  <si>
    <t>0.965</t>
  </si>
  <si>
    <t>0.947</t>
  </si>
  <si>
    <t>0.098</t>
  </si>
  <si>
    <t>+15.85%</t>
  </si>
  <si>
    <t>+1.9%</t>
  </si>
  <si>
    <t>+45.77%</t>
  </si>
  <si>
    <t>+884.69%</t>
  </si>
  <si>
    <t>+17.68%</t>
  </si>
  <si>
    <t>Table 3: The performance of our approach over both withinproject and cross-projects SATD detections.</t>
  </si>
  <si>
    <t>Table 4: The performance of our appraoch compared to the state-of-the-art. (F1-score)</t>
  </si>
  <si>
    <t>Within-Project</t>
  </si>
  <si>
    <t>Cross-Projects</t>
  </si>
  <si>
    <t>Projects</t>
  </si>
  <si>
    <t>With-Project</t>
  </si>
  <si>
    <t>Cross-Project</t>
  </si>
  <si>
    <t>Ren’s</t>
  </si>
  <si>
    <t>Gains</t>
  </si>
  <si>
    <t>Apache Ant</t>
  </si>
  <si>
    <t>0.705</t>
  </si>
  <si>
    <t>0.6108</t>
  </si>
  <si>
    <t>0.6545</t>
  </si>
  <si>
    <t>0.6569</t>
  </si>
  <si>
    <t>0.7801</t>
  </si>
  <si>
    <t>0.7132</t>
  </si>
  <si>
    <t>0.5977</t>
  </si>
  <si>
    <t>+9.5%</t>
  </si>
  <si>
    <t>0.626</t>
  </si>
  <si>
    <t>+13.93%</t>
  </si>
  <si>
    <t>0.8731</t>
  </si>
  <si>
    <t>0.9469</t>
  </si>
  <si>
    <t>0.9085</t>
  </si>
  <si>
    <t>0.8615</t>
  </si>
  <si>
    <t>0.9487</t>
  </si>
  <si>
    <t>0.8895</t>
  </si>
  <si>
    <t>+2.14%</t>
  </si>
  <si>
    <t>0.8409</t>
  </si>
  <si>
    <t>+7.38%</t>
  </si>
  <si>
    <t>0.9434</t>
  </si>
  <si>
    <t>0.9616</t>
  </si>
  <si>
    <t>0.9524</t>
  </si>
  <si>
    <t>0.8906</t>
  </si>
  <si>
    <t>0.9598</t>
  </si>
  <si>
    <t>0.9239</t>
  </si>
  <si>
    <t>0.8545</t>
  </si>
  <si>
    <t>+11.46%</t>
  </si>
  <si>
    <t>0.7782</t>
  </si>
  <si>
    <t>+18.72%</t>
  </si>
  <si>
    <t>0.7475</t>
  </si>
  <si>
    <t>0.8586</t>
  </si>
  <si>
    <t>0.7992</t>
  </si>
  <si>
    <t>0.6769</t>
  </si>
  <si>
    <t>0.8787</t>
  </si>
  <si>
    <t>0.7647</t>
  </si>
  <si>
    <t>+14.01%</t>
  </si>
  <si>
    <t>0.5797</t>
  </si>
  <si>
    <t>+31.91%</t>
  </si>
  <si>
    <t>0.8866</t>
  </si>
  <si>
    <t>0.9536</t>
  </si>
  <si>
    <t>0.9189</t>
  </si>
  <si>
    <t>0.8699</t>
  </si>
  <si>
    <t>0.9305</t>
  </si>
  <si>
    <t>0.8992</t>
  </si>
  <si>
    <t>0.8465</t>
  </si>
  <si>
    <t>+8.55%</t>
  </si>
  <si>
    <t>0.8035</t>
  </si>
  <si>
    <t>+11.91%</t>
  </si>
  <si>
    <t>0.5468</t>
  </si>
  <si>
    <t>0.6554</t>
  </si>
  <si>
    <t>0.5962</t>
  </si>
  <si>
    <t>0.7783</t>
  </si>
  <si>
    <t>0.8797</t>
  </si>
  <si>
    <t>0.8259</t>
  </si>
  <si>
    <t>0.5564</t>
  </si>
  <si>
    <t>+7.15%</t>
  </si>
  <si>
    <t>+43.39%</t>
  </si>
  <si>
    <t>0.9268</t>
  </si>
  <si>
    <t>0.8747</t>
  </si>
  <si>
    <t>0.6897</t>
  </si>
  <si>
    <t>0.7135</t>
  </si>
  <si>
    <t>0.7014</t>
  </si>
  <si>
    <t>0.7759</t>
  </si>
  <si>
    <t>+15.99%</t>
  </si>
  <si>
    <t>0.6504</t>
  </si>
  <si>
    <t>+7.84%</t>
  </si>
  <si>
    <t>0.9249</t>
  </si>
  <si>
    <t>0.8938</t>
  </si>
  <si>
    <t>0.9091</t>
  </si>
  <si>
    <t>0.8178</t>
  </si>
  <si>
    <t>0.8715</t>
  </si>
  <si>
    <t>0.8438</t>
  </si>
  <si>
    <t>0.8858</t>
  </si>
  <si>
    <t>+2.63%</t>
  </si>
  <si>
    <t>0.7726</t>
  </si>
  <si>
    <t>+9.22%</t>
  </si>
  <si>
    <t>0.9568</t>
  </si>
  <si>
    <t>0.9388</t>
  </si>
  <si>
    <t>0.9477</t>
  </si>
  <si>
    <t>0.8977</t>
  </si>
  <si>
    <t>0.9397</t>
  </si>
  <si>
    <t>0.9182</t>
  </si>
  <si>
    <t>0.8626</t>
  </si>
  <si>
    <t>+9.87%</t>
  </si>
  <si>
    <t>0.8445</t>
  </si>
  <si>
    <t>+8.73%</t>
  </si>
  <si>
    <t>0.7978</t>
  </si>
  <si>
    <t>0.8769</t>
  </si>
  <si>
    <t>0.8355</t>
  </si>
  <si>
    <t>0.7814</t>
  </si>
  <si>
    <t>0.8318</t>
  </si>
  <si>
    <t>0.8058</t>
  </si>
  <si>
    <t>0.7467</t>
  </si>
  <si>
    <t>+11.89%</t>
  </si>
  <si>
    <t>0.7069</t>
  </si>
  <si>
    <t>+13.99%</t>
  </si>
  <si>
    <t>0.8309</t>
  </si>
  <si>
    <t>0.8571</t>
  </si>
  <si>
    <t>0.8422</t>
  </si>
  <si>
    <t>0.7921</t>
  </si>
  <si>
    <t>0.8734</t>
  </si>
  <si>
    <t>0.8299</t>
  </si>
  <si>
    <t>0.7717</t>
  </si>
  <si>
    <t>+9.14%</t>
  </si>
  <si>
    <t>0.7179</t>
  </si>
  <si>
    <t>+15.61%</t>
  </si>
  <si>
    <t>Table 5: The comparison results of ELMo and other state-of-the-art word embedding techniques. (F1-score)</t>
  </si>
  <si>
    <t>Within-Proje</t>
  </si>
  <si>
    <t>ct</t>
  </si>
  <si>
    <t>ELMo</t>
  </si>
  <si>
    <t>One-Hot</t>
  </si>
  <si>
    <t>Word2Vec</t>
  </si>
  <si>
    <t>GloVe</t>
  </si>
  <si>
    <t>FastText</t>
  </si>
  <si>
    <t>0.6263</t>
  </si>
  <si>
    <t>0.6242</t>
  </si>
  <si>
    <t>0.5576</t>
  </si>
  <si>
    <t>0.5825</t>
  </si>
  <si>
    <t>0.6308</t>
  </si>
  <si>
    <t>0.6783</t>
  </si>
  <si>
    <t>0.6226</t>
  </si>
  <si>
    <t>0.6316</t>
  </si>
  <si>
    <t>0.9132</t>
  </si>
  <si>
    <t>0.9059</t>
  </si>
  <si>
    <t>0.8967</t>
  </si>
  <si>
    <t>0.8918</t>
  </si>
  <si>
    <t>0.8487</t>
  </si>
  <si>
    <t>0.844</t>
  </si>
  <si>
    <t>0.9467</t>
  </si>
  <si>
    <t>0.9024</t>
  </si>
  <si>
    <t>0.9424</t>
  </si>
  <si>
    <t>0.8337</t>
  </si>
  <si>
    <t>0.8685</t>
  </si>
  <si>
    <t>0.8469</t>
  </si>
  <si>
    <t>0.8718</t>
  </si>
  <si>
    <t>0.7826</t>
  </si>
  <si>
    <t>0.7273</t>
  </si>
  <si>
    <t>0.7556</t>
  </si>
  <si>
    <t>0.7506</t>
  </si>
  <si>
    <t>0.6043</t>
  </si>
  <si>
    <t>0.6435</t>
  </si>
  <si>
    <t>0.6376</t>
  </si>
  <si>
    <t>0.6818</t>
  </si>
  <si>
    <t>0.9126</t>
  </si>
  <si>
    <t>0.9293</t>
  </si>
  <si>
    <t>0.8871</t>
  </si>
  <si>
    <t>0.9592</t>
  </si>
  <si>
    <t>0.8257</t>
  </si>
  <si>
    <t>0.8331</t>
  </si>
  <si>
    <t>0.8261</t>
  </si>
  <si>
    <t>0.8242</t>
  </si>
  <si>
    <t>0.5862</t>
  </si>
  <si>
    <t>0.5714</t>
  </si>
  <si>
    <t>0.5818</t>
  </si>
  <si>
    <t>0.5622</t>
  </si>
  <si>
    <t>0.6475</t>
  </si>
  <si>
    <t>0.6013</t>
  </si>
  <si>
    <t>0.6118</t>
  </si>
  <si>
    <t>0.6225</t>
  </si>
  <si>
    <t>0.8837</t>
  </si>
  <si>
    <t>0.8947</t>
  </si>
  <si>
    <t>0.8421</t>
  </si>
  <si>
    <t>0.866</t>
  </si>
  <si>
    <t>0.6533</t>
  </si>
  <si>
    <t>0.6645</t>
  </si>
  <si>
    <t>0.6095</t>
  </si>
  <si>
    <t>0.7214</t>
  </si>
  <si>
    <t>0.8608</t>
  </si>
  <si>
    <t>0.8741</t>
  </si>
  <si>
    <t>0.8721</t>
  </si>
  <si>
    <t>0.7451</t>
  </si>
  <si>
    <t>0.7601</t>
  </si>
  <si>
    <t>0.7537</t>
  </si>
  <si>
    <t>0.7659</t>
  </si>
  <si>
    <t>0.8841</t>
  </si>
  <si>
    <t>0.8726</t>
  </si>
  <si>
    <t>0.8548</t>
  </si>
  <si>
    <t>0.8834</t>
  </si>
  <si>
    <t>0.8214</t>
  </si>
  <si>
    <t>0.7719</t>
  </si>
  <si>
    <t>0.707</t>
  </si>
  <si>
    <t>0.7559</t>
  </si>
  <si>
    <t>0.7299</t>
  </si>
  <si>
    <t>0.6872</t>
  </si>
  <si>
    <t>0.8234</t>
  </si>
  <si>
    <t>0.8108</t>
  </si>
  <si>
    <t>0.8019</t>
  </si>
  <si>
    <t>0.7369</t>
  </si>
  <si>
    <t>0.7504</t>
  </si>
  <si>
    <t>0.7351</t>
  </si>
  <si>
    <t>0.7509</t>
  </si>
  <si>
    <t>Table 2. The comparison of F1-score of five methods</t>
  </si>
  <si>
    <t>Table 3. The comparison of Marco-F1 of four methods.</t>
  </si>
  <si>
    <t>TM</t>
  </si>
  <si>
    <t>CNN</t>
  </si>
  <si>
    <t>BiLSTM</t>
  </si>
  <si>
    <t>0.132</t>
  </si>
  <si>
    <t>0.429</t>
  </si>
  <si>
    <t>0.383</t>
  </si>
  <si>
    <t>0.384</t>
  </si>
  <si>
    <t>0.458</t>
  </si>
  <si>
    <t>0.884</t>
  </si>
  <si>
    <t>0.847</t>
  </si>
  <si>
    <t>0.486</t>
  </si>
  <si>
    <t>0.438</t>
  </si>
  <si>
    <t>0.479</t>
  </si>
  <si>
    <t>0.103</t>
  </si>
  <si>
    <t>0.549</t>
  </si>
  <si>
    <t>0.329</t>
  </si>
  <si>
    <t>0.331</t>
  </si>
  <si>
    <t>0.369</t>
  </si>
  <si>
    <t>0.377</t>
  </si>
  <si>
    <t>0.539</t>
  </si>
  <si>
    <t>0.508</t>
  </si>
  <si>
    <t>0.38</t>
  </si>
  <si>
    <t>0.372</t>
  </si>
  <si>
    <t>0.638</t>
  </si>
  <si>
    <t>0.558</t>
  </si>
  <si>
    <t>0.385</t>
  </si>
  <si>
    <t>0.412</t>
  </si>
  <si>
    <t>0.469</t>
  </si>
  <si>
    <t>0.806</t>
  </si>
  <si>
    <t>0.441</t>
  </si>
  <si>
    <t>0.674</t>
  </si>
  <si>
    <t>0.425</t>
  </si>
  <si>
    <t>0.453</t>
  </si>
  <si>
    <t>0.426</t>
  </si>
  <si>
    <t>0.411</t>
  </si>
  <si>
    <t>Avg.</t>
  </si>
  <si>
    <t>0.561</t>
  </si>
  <si>
    <t>0.679</t>
  </si>
  <si>
    <t>0.664</t>
  </si>
  <si>
    <t>0.695</t>
  </si>
  <si>
    <t>0.407</t>
  </si>
  <si>
    <t>0.423</t>
  </si>
  <si>
    <t>Table 2. Performance of different SATD detection model Model</t>
  </si>
  <si>
    <t>AUC</t>
  </si>
  <si>
    <t>Baseline model using cross entropy loss function</t>
  </si>
  <si>
    <t>0.904</t>
  </si>
  <si>
    <t>0.902</t>
  </si>
  <si>
    <t>Our model using weighted focal loss function</t>
  </si>
  <si>
    <t>0.805</t>
  </si>
  <si>
    <t>0.958</t>
  </si>
  <si>
    <t>0.953</t>
  </si>
  <si>
    <t>Table 5 Comparison between Our approach and Kim’s CNN in the Within-project Prediction</t>
  </si>
  <si>
    <t>Table Comparison between Our approach and Guo’s fuzzy matching strategy in the Within-project Prediction</t>
  </si>
  <si>
    <t>Our</t>
  </si>
  <si>
    <t>Guo</t>
  </si>
  <si>
    <t>0.527</t>
  </si>
  <si>
    <t>0.667</t>
  </si>
  <si>
    <t>0.896</t>
  </si>
  <si>
    <t>0.893</t>
  </si>
  <si>
    <t>0.942</t>
  </si>
  <si>
    <t>0.971</t>
  </si>
  <si>
    <t>0.918</t>
  </si>
  <si>
    <t>0.855</t>
  </si>
  <si>
    <t>0.786</t>
  </si>
  <si>
    <t>0.944</t>
  </si>
  <si>
    <t>0.895</t>
  </si>
  <si>
    <t>0.973</t>
  </si>
  <si>
    <t>0.949</t>
  </si>
  <si>
    <t>0.727</t>
  </si>
  <si>
    <t>0.794</t>
  </si>
  <si>
    <t>0.774</t>
  </si>
  <si>
    <t>0.653</t>
  </si>
  <si>
    <t>0.704</t>
  </si>
  <si>
    <t>0.586</t>
  </si>
  <si>
    <t>0.776</t>
  </si>
  <si>
    <t>0.167</t>
  </si>
  <si>
    <t>0.528</t>
  </si>
  <si>
    <t>Jmeter</t>
  </si>
  <si>
    <t>0.909</t>
  </si>
  <si>
    <t>0.939</t>
  </si>
  <si>
    <t>0.789</t>
  </si>
  <si>
    <t>0.816</t>
  </si>
  <si>
    <t>Jruby</t>
  </si>
  <si>
    <t>0.957</t>
  </si>
  <si>
    <t>0.938</t>
  </si>
  <si>
    <t>0.924</t>
  </si>
  <si>
    <t>0.759</t>
  </si>
  <si>
    <t>0.764</t>
  </si>
  <si>
    <t>0.628</t>
  </si>
  <si>
    <t>0.694</t>
  </si>
  <si>
    <t>Table 7 Comparison between Our approach and Kim’s CNN in the Cross-Project Prediction</t>
  </si>
  <si>
    <t>Table 8 Comparisons between Our approach and Guo’s approach in the Cross-Project Prediction</t>
  </si>
  <si>
    <t>0.669</t>
  </si>
  <si>
    <t>0.634</t>
  </si>
  <si>
    <t>0.886</t>
  </si>
  <si>
    <t>0.825</t>
  </si>
  <si>
    <t>0.962</t>
  </si>
  <si>
    <t>0.881</t>
  </si>
  <si>
    <t>0.929</t>
  </si>
  <si>
    <t>0.887</t>
  </si>
  <si>
    <t>0.913</t>
  </si>
  <si>
    <t>0.858</t>
  </si>
  <si>
    <t>0.883</t>
  </si>
  <si>
    <t>0.433</t>
  </si>
  <si>
    <t>0.625</t>
  </si>
  <si>
    <t>0.288</t>
  </si>
  <si>
    <t>0.865</t>
  </si>
  <si>
    <t>0.775</t>
  </si>
  <si>
    <t>0.187</t>
  </si>
  <si>
    <t>0.305</t>
  </si>
  <si>
    <t>0.678</t>
  </si>
  <si>
    <t>0.719</t>
  </si>
  <si>
    <t>0.464</t>
  </si>
  <si>
    <t>0.675</t>
  </si>
  <si>
    <t>0.725</t>
  </si>
  <si>
    <t>0.923</t>
  </si>
  <si>
    <t>0.936</t>
  </si>
  <si>
    <t>0.898</t>
  </si>
  <si>
    <t>0.644</t>
  </si>
  <si>
    <t>0.917</t>
  </si>
  <si>
    <t>0.612</t>
  </si>
  <si>
    <t>0.689</t>
  </si>
  <si>
    <t>Table 9 The average of Precision, Recall and F1 of the five approaches in 10 projects</t>
  </si>
  <si>
    <t>Approach</t>
  </si>
  <si>
    <t>Guo’s</t>
  </si>
  <si>
    <t>0.697</t>
  </si>
  <si>
    <t>Table 3: Comparison between DebtHunter and PILOT</t>
  </si>
  <si>
    <t>F1 score</t>
  </si>
  <si>
    <t>Category</t>
  </si>
  <si>
    <t>DebtHunter</t>
  </si>
  <si>
    <t>PILOT</t>
  </si>
  <si>
    <t>Binary classification</t>
  </si>
  <si>
    <t>SATD</t>
  </si>
  <si>
    <t>0.892</t>
  </si>
  <si>
    <t>NON-SATD</t>
  </si>
  <si>
    <t>0.978</t>
  </si>
  <si>
    <t>0.992</t>
  </si>
  <si>
    <t>0.985</t>
  </si>
  <si>
    <t>Multi-class classification</t>
  </si>
  <si>
    <t>DEFECT</t>
  </si>
  <si>
    <t>DESIGN</t>
  </si>
  <si>
    <t>DOCUMENTATION</t>
  </si>
  <si>
    <t>REQUIREMENT</t>
  </si>
  <si>
    <t>0.543</t>
  </si>
  <si>
    <t>0.521</t>
  </si>
  <si>
    <t>0.97</t>
  </si>
  <si>
    <t>TEST</t>
  </si>
  <si>
    <t>0.79</t>
  </si>
  <si>
    <t>NOT AVAILABLE</t>
  </si>
  <si>
    <t>We find that the amount of self-admitted technical debt exists in 2.4% - 31% of the files. Furthermore, we find that developers with higher experience tend to introduce most of the self-admitted technical debt and that time pressures and complexity of the code do not correlate with the amount of self-admitted technical debt. Lastly, although self-admitted technical debt is meant to be addressed or removed in the future, only between 26.3% - 63.5% of self-admitted technical debt gets removed from projects after introduction.</t>
  </si>
  <si>
    <t>Therefore, in this paper we examine code comments to determine the different types of technical debt. First, we propose four simple filtering heuristics to eliminate comments that are not likely to contain technical debt. Second, we read through more than 33K comments, and we find that self-admitted technical debt can be classified into five main types - design debt, defect debt, documentation debt, requirement debt and test debt.
The most common type of self-admitted technical debt is design debt, making up between 42% to 84% of the classified comments. Lastly, we make the classified dataset of more than 33K comments publicly available for the community as a way to encourage future research and the evolution of the technical debt landscape.</t>
  </si>
  <si>
    <t>Table 4. Precision, Recall and F1-score of Our Approach with Weighted Loss (WL) Versus Normal Loss (NL)</t>
  </si>
  <si>
    <t>NL</t>
  </si>
  <si>
    <t>WL</t>
  </si>
  <si>
    <t>22.95%</t>
  </si>
  <si>
    <t>0.758</t>
  </si>
  <si>
    <t>9.54%</t>
  </si>
  <si>
    <t>0.563</t>
  </si>
  <si>
    <t>17.16%</t>
  </si>
  <si>
    <t>0.37%</t>
  </si>
  <si>
    <t>4.05%</t>
  </si>
  <si>
    <t>0.878</t>
  </si>
  <si>
    <t>2.08%</t>
  </si>
  <si>
    <t>4.67%</t>
  </si>
  <si>
    <t>0.875</t>
  </si>
  <si>
    <t>10.34%</t>
  </si>
  <si>
    <t>7.44%</t>
  </si>
  <si>
    <t>10.45%</t>
  </si>
  <si>
    <t>0.534</t>
  </si>
  <si>
    <t>11.24%</t>
  </si>
  <si>
    <t>10.86%</t>
  </si>
  <si>
    <t>0.899</t>
  </si>
  <si>
    <t>3.45%</t>
  </si>
  <si>
    <t>0.743</t>
  </si>
  <si>
    <t>2.34%</t>
  </si>
  <si>
    <t>2.83%</t>
  </si>
  <si>
    <t>0.91%</t>
  </si>
  <si>
    <t>0.457</t>
  </si>
  <si>
    <t>0.489</t>
  </si>
  <si>
    <t>7.00%</t>
  </si>
  <si>
    <t>0.599</t>
  </si>
  <si>
    <t>4.64%</t>
  </si>
  <si>
    <t>0.652</t>
  </si>
  <si>
    <t>5.21%</t>
  </si>
  <si>
    <t>9.26%</t>
  </si>
  <si>
    <t>0.739</t>
  </si>
  <si>
    <t>7.01%</t>
  </si>
  <si>
    <t>8.99%</t>
  </si>
  <si>
    <t>0.787</t>
  </si>
  <si>
    <t>0.13%</t>
  </si>
  <si>
    <t>4.36%</t>
  </si>
  <si>
    <t>2.81%</t>
  </si>
  <si>
    <t>5.20%</t>
  </si>
  <si>
    <t>3.92%</t>
  </si>
  <si>
    <t>3.12%</t>
  </si>
  <si>
    <t>0.685</t>
  </si>
  <si>
    <t>1.02%</t>
  </si>
  <si>
    <t>1.93%</t>
  </si>
  <si>
    <t>6.29%</t>
  </si>
  <si>
    <t>6.01%</t>
  </si>
  <si>
    <t>6.22%</t>
  </si>
  <si>
    <t>Table 9. Cross-Project Precision, Recall, and F1-score of Our Approach with Normal Loss Function (Our-NL) and Simple CNN Approach (Sim.)</t>
  </si>
  <si>
    <t>Sim.</t>
  </si>
  <si>
    <t>Our-NL</t>
  </si>
  <si>
    <t>0.097</t>
  </si>
  <si>
    <t>0.3622</t>
  </si>
  <si>
    <t>0.468</t>
  </si>
  <si>
    <t>0.2042</t>
  </si>
  <si>
    <t>0.0099</t>
  </si>
  <si>
    <t>0.905</t>
  </si>
  <si>
    <t>0.0088</t>
  </si>
  <si>
    <t>0.0093</t>
  </si>
  <si>
    <t>0.0051</t>
  </si>
  <si>
    <t>0.0232</t>
  </si>
  <si>
    <t>0.782</t>
  </si>
  <si>
    <t>0.0141</t>
  </si>
  <si>
    <t>0.0346</t>
  </si>
  <si>
    <t>0.2477</t>
  </si>
  <si>
    <t>0.1559</t>
  </si>
  <si>
    <t>Hibernate
JEdit</t>
  </si>
  <si>
    <t>0.907
0.720</t>
  </si>
  <si>
    <t>0.899
0.766</t>
  </si>
  <si>
    <t>−0.88%
6.39%</t>
  </si>
  <si>
    <t>0.747
0.323</t>
  </si>
  <si>
    <t>0.726
0.457</t>
  </si>
  <si>
    <t>−2.81%
41.49%</t>
  </si>
  <si>
    <t>0.819
0.446</t>
  </si>
  <si>
    <t>0.803
0.572</t>
  </si>
  <si>
    <t>−1.98%
28.27%</t>
  </si>
  <si>
    <t>0.0567</t>
  </si>
  <si>
    <t>0.0124</t>
  </si>
  <si>
    <t>0.0365</t>
  </si>
  <si>
    <t>0.0192</t>
  </si>
  <si>
    <t>0.0692</t>
  </si>
  <si>
    <t>0.049</t>
  </si>
  <si>
    <t>Table 18. Precision, Recall, and F1-score of Our Approach and Traditional Text-mining Approach in 9 → 1 Setting</t>
  </si>
  <si>
    <t>3.36%</t>
  </si>
  <si>
    <t>60.93%</t>
  </si>
  <si>
    <t>28.65%</t>
  </si>
  <si>
    <t>1.23%</t>
  </si>
  <si>
    <t>10.98%</t>
  </si>
  <si>
    <t>0.835</t>
  </si>
  <si>
    <t>5.15%</t>
  </si>
  <si>
    <t>1.59%</t>
  </si>
  <si>
    <t>8.70%</t>
  </si>
  <si>
    <t>5.06%</t>
  </si>
  <si>
    <t>24.69%</t>
  </si>
  <si>
    <t>23.47%</t>
  </si>
  <si>
    <t>25.05%</t>
  </si>
  <si>
    <t>6.16%</t>
  </si>
  <si>
    <t>0.729</t>
  </si>
  <si>
    <t>1.92%</t>
  </si>
  <si>
    <t>3.77%</t>
  </si>
  <si>
    <t>0.364</t>
  </si>
  <si>
    <t>34.35%</t>
  </si>
  <si>
    <t>21.01%</t>
  </si>
  <si>
    <t>0.627</t>
  </si>
  <si>
    <t>9.41%</t>
  </si>
  <si>
    <t>9.32%</t>
  </si>
  <si>
    <t>1.75%</t>
  </si>
  <si>
    <t>2.21%</t>
  </si>
  <si>
    <t>2.09%</t>
  </si>
  <si>
    <t>−5.85%
1.26%</t>
  </si>
  <si>
    <t>0.752</t>
  </si>
  <si>
    <t>23.67%
15.91%</t>
  </si>
  <si>
    <t>7.88%
9.00%</t>
  </si>
  <si>
    <t>0.597</t>
  </si>
  <si>
    <t>0.761</t>
  </si>
  <si>
    <t>3.55%</t>
  </si>
  <si>
    <t>0.655</t>
  </si>
  <si>
    <t>16.34%</t>
  </si>
  <si>
    <t>0.696</t>
  </si>
  <si>
    <t>10.06%</t>
  </si>
  <si>
    <t>TABLE IV COMBINED CLASSIFICATION (SARDELE) PERFORMANCES ACROSS THE SIX SATD REMOVAL CATEGORIES.</t>
  </si>
  <si>
    <t>MCC</t>
  </si>
  <si>
    <t>Method Calls</t>
  </si>
  <si>
    <t>73.13</t>
  </si>
  <si>
    <t>63.36</t>
  </si>
  <si>
    <t>Conditionals</t>
  </si>
  <si>
    <t>58.47</t>
  </si>
  <si>
    <t>57.98</t>
  </si>
  <si>
    <t>58.23</t>
  </si>
  <si>
    <t>Try-Catch</t>
  </si>
  <si>
    <t>38.89</t>
  </si>
  <si>
    <t>46.67</t>
  </si>
  <si>
    <t>42.42</t>
  </si>
  <si>
    <t>Method Signature</t>
  </si>
  <si>
    <t>48.98</t>
  </si>
  <si>
    <t>Return</t>
  </si>
  <si>
    <t>42.31</t>
  </si>
  <si>
    <t>47.83</t>
  </si>
  <si>
    <t>44.9</t>
  </si>
  <si>
    <t>Other</t>
  </si>
  <si>
    <t>69.1</t>
  </si>
  <si>
    <t>76.19</t>
  </si>
  <si>
    <t>72.47</t>
  </si>
  <si>
    <t>OVERALL</t>
  </si>
  <si>
    <t>55.32</t>
  </si>
  <si>
    <t>56.67</t>
  </si>
  <si>
    <t>55.82</t>
  </si>
  <si>
    <t>Table 8 Performance comparison – maximum values in each row represented using bold font</t>
  </si>
  <si>
    <t>N-gram TF-IDF</t>
  </si>
  <si>
    <t>Naive baseline</t>
  </si>
  <si>
    <t>without rebalancing</t>
  </si>
  <si>
    <t>0.98</t>
  </si>
  <si>
    <t>Table 10 Cross-project classification on projects which contain on-hold more than 2%</t>
  </si>
  <si>
    <t>#, (% of on-hold)</t>
  </si>
  <si>
    <t>Apache ant</t>
  </si>
  <si>
    <t>7, (5.6%)</t>
  </si>
  <si>
    <t>Apache camel</t>
  </si>
  <si>
    <t>88, (10.9%)</t>
  </si>
  <si>
    <t>Apache hadoop</t>
  </si>
  <si>
    <t>20, (8.2%)</t>
  </si>
  <si>
    <t>Apache tomcat</t>
  </si>
  <si>
    <t>20, (2.8%)</t>
  </si>
  <si>
    <t>0.27</t>
  </si>
  <si>
    <t>77, (6.7%)</t>
  </si>
  <si>
    <t>Gerrit code review</t>
  </si>
  <si>
    <t>6, (6.3%)</t>
  </si>
  <si>
    <t>6, (2.6%)</t>
  </si>
  <si>
    <t>23, (5.0%)</t>
  </si>
  <si>
    <t>9, (3.9%)</t>
  </si>
  <si>
    <t>0.24</t>
  </si>
  <si>
    <t>–</t>
  </si>
  <si>
    <t>Table 11 Within-project classification on projects which contain on-hold more than 2%</t>
  </si>
  <si>
    <t>Apache aAnt</t>
  </si>
  <si>
    <t>0.99</t>
  </si>
  <si>
    <t>0.15</t>
  </si>
  <si>
    <t xml:space="preserve">TABLE II
COMMENT CLASSIFICATION WITH CNN: PERFORMANCES ACROSS THE SIX SATD REMOVAL CATEGORIES.
</t>
  </si>
  <si>
    <t>50.32</t>
  </si>
  <si>
    <t>34.05</t>
  </si>
  <si>
    <t>40.62</t>
  </si>
  <si>
    <t>0.13</t>
  </si>
  <si>
    <t>0.5032</t>
  </si>
  <si>
    <t>0.3405</t>
  </si>
  <si>
    <t>0.4062</t>
  </si>
  <si>
    <t>38.02</t>
  </si>
  <si>
    <t>38.66</t>
  </si>
  <si>
    <t>38.33</t>
  </si>
  <si>
    <t>0.3802</t>
  </si>
  <si>
    <t>0.3866</t>
  </si>
  <si>
    <t>0.3833</t>
  </si>
  <si>
    <t>21.05</t>
  </si>
  <si>
    <t>26.67</t>
  </si>
  <si>
    <t>23.53</t>
  </si>
  <si>
    <t>0.2105</t>
  </si>
  <si>
    <t>0.2667</t>
  </si>
  <si>
    <t>0.2353</t>
  </si>
  <si>
    <t>34.09</t>
  </si>
  <si>
    <t>31.91</t>
  </si>
  <si>
    <t>0.3409</t>
  </si>
  <si>
    <t>0.3191</t>
  </si>
  <si>
    <t>34.62</t>
  </si>
  <si>
    <t>39.13</t>
  </si>
  <si>
    <t>36.73</t>
  </si>
  <si>
    <t>0.3462</t>
  </si>
  <si>
    <t>0.3913</t>
  </si>
  <si>
    <t>0.3673</t>
  </si>
  <si>
    <t>58.26</t>
  </si>
  <si>
    <t>73.63</t>
  </si>
  <si>
    <t>65.05</t>
  </si>
  <si>
    <t>0.26</t>
  </si>
  <si>
    <t>0.5826</t>
  </si>
  <si>
    <t>0.7363</t>
  </si>
  <si>
    <t>0.6505</t>
  </si>
  <si>
    <t>39.39</t>
  </si>
  <si>
    <t>41.03</t>
  </si>
  <si>
    <t>39.04</t>
  </si>
  <si>
    <t>TABLE III SOURCE CODE CLASSIFICATION WITH RNN: PERFORMANCES ACROSS THE SIX SATD REMOVAL CATEGORIES.</t>
  </si>
  <si>
    <t>Method calls</t>
  </si>
  <si>
    <t>58.68</t>
  </si>
  <si>
    <t>30.6</t>
  </si>
  <si>
    <t>40.23</t>
  </si>
  <si>
    <t>0.5868</t>
  </si>
  <si>
    <t>0.306</t>
  </si>
  <si>
    <t>0.4023</t>
  </si>
  <si>
    <t>47.48</t>
  </si>
  <si>
    <t>55.46</t>
  </si>
  <si>
    <t>51.16</t>
  </si>
  <si>
    <t>0.4748</t>
  </si>
  <si>
    <t>0.5546</t>
  </si>
  <si>
    <t>0.5116</t>
  </si>
  <si>
    <t>Try-catch</t>
  </si>
  <si>
    <t>33.33</t>
  </si>
  <si>
    <t>0.3333</t>
  </si>
  <si>
    <t>Method signature</t>
  </si>
  <si>
    <t>34.67</t>
  </si>
  <si>
    <t>0.3467</t>
  </si>
  <si>
    <t>30.43</t>
  </si>
  <si>
    <t>31.82</t>
  </si>
  <si>
    <t>0.3043</t>
  </si>
  <si>
    <t>0.3182</t>
  </si>
  <si>
    <t>59.59</t>
  </si>
  <si>
    <t>85.35</t>
  </si>
  <si>
    <t>70.18</t>
  </si>
  <si>
    <t>0.5959</t>
  </si>
  <si>
    <t>0.8535</t>
  </si>
  <si>
    <t>0.7018</t>
  </si>
  <si>
    <t>47.4</t>
  </si>
  <si>
    <t>43.53</t>
  </si>
  <si>
    <t>43.56</t>
  </si>
  <si>
    <t xml:space="preserve">TABLE IV
COMBINED CLASSIFICATION (SARDELE) PERFORMANCES ACROSS THE SIX SATD REMOVAL CATEGORIES.
</t>
  </si>
  <si>
    <t>0.7313</t>
  </si>
  <si>
    <t>0.6336</t>
  </si>
  <si>
    <t>0.5847</t>
  </si>
  <si>
    <t>0.5798</t>
  </si>
  <si>
    <t>0.5823</t>
  </si>
  <si>
    <t>0.3889</t>
  </si>
  <si>
    <t>0.4667</t>
  </si>
  <si>
    <t>0.4242</t>
  </si>
  <si>
    <t>0.4898</t>
  </si>
  <si>
    <t>0.4231</t>
  </si>
  <si>
    <t>0.4783</t>
  </si>
  <si>
    <t>0.449</t>
  </si>
  <si>
    <t>0.7619</t>
  </si>
  <si>
    <t>0.7247</t>
  </si>
  <si>
    <t xml:space="preserve">TABLE VI
RANDOM FOREST PERFORMANCES ACROSS THE SIX SATD REMOVAL CATEGORIES.
</t>
  </si>
  <si>
    <t>58.7</t>
  </si>
  <si>
    <t>27.9</t>
  </si>
  <si>
    <t>37.9</t>
  </si>
  <si>
    <t>0.279</t>
  </si>
  <si>
    <t>0.379</t>
  </si>
  <si>
    <t>72.2</t>
  </si>
  <si>
    <t>8.8</t>
  </si>
  <si>
    <t>15.7</t>
  </si>
  <si>
    <t>0.722</t>
  </si>
  <si>
    <t>0.088</t>
  </si>
  <si>
    <t>0.157</t>
  </si>
  <si>
    <t>11.8</t>
  </si>
  <si>
    <t>10.5</t>
  </si>
  <si>
    <t>11.1</t>
  </si>
  <si>
    <t>0.105</t>
  </si>
  <si>
    <t>0.111</t>
  </si>
  <si>
    <t>69.2</t>
  </si>
  <si>
    <t>14.5</t>
  </si>
  <si>
    <t>0.145</t>
  </si>
  <si>
    <t>6.9</t>
  </si>
  <si>
    <t>51.4</t>
  </si>
  <si>
    <t>37.5</t>
  </si>
  <si>
    <t>43.3</t>
  </si>
  <si>
    <t>0.514</t>
  </si>
  <si>
    <t>45.03</t>
  </si>
  <si>
    <t>17.68</t>
  </si>
  <si>
    <t>23.15</t>
  </si>
  <si>
    <t>0.16</t>
  </si>
  <si>
    <t xml:space="preserve">TABLE VII
CONFUSION MATRIX COMPARING THE MANUAL CLASSIFICATION AND THE CNN ON THE SATD COMMENTS.
</t>
  </si>
  <si>
    <t>CNN is correct</t>
  </si>
  <si>
    <t>Yes</t>
  </si>
  <si>
    <t>0.7345</t>
  </si>
  <si>
    <t>0.5556</t>
  </si>
  <si>
    <t>0.555</t>
  </si>
  <si>
    <t>0.5464</t>
  </si>
  <si>
    <t>0.8838</t>
  </si>
  <si>
    <t>0.8428</t>
  </si>
  <si>
    <t>0.8298</t>
  </si>
  <si>
    <t>0.8129</t>
  </si>
  <si>
    <t>0.9019</t>
  </si>
  <si>
    <t>0.8287</t>
  </si>
  <si>
    <t>0.5333</t>
  </si>
  <si>
    <t>0.8944</t>
  </si>
  <si>
    <t>0.9333</t>
  </si>
  <si>
    <t>0.7448</t>
  </si>
  <si>
    <t>0.8605</t>
  </si>
  <si>
    <t>0.6786</t>
  </si>
  <si>
    <t>0.6926</t>
  </si>
  <si>
    <t>0.8333</t>
  </si>
  <si>
    <t>0.661</t>
  </si>
  <si>
    <t>0.6385</t>
  </si>
  <si>
    <t>0.8759</t>
  </si>
  <si>
    <t>0.8398</t>
  </si>
  <si>
    <t>0.8142</t>
  </si>
  <si>
    <t>0.5625</t>
  </si>
  <si>
    <t>0.7459</t>
  </si>
  <si>
    <t>0.5264</t>
  </si>
  <si>
    <t>0.0806</t>
  </si>
  <si>
    <t>0.4274</t>
  </si>
  <si>
    <t>0.8153</t>
  </si>
  <si>
    <t>0.0226</t>
  </si>
  <si>
    <t>0.7925</t>
  </si>
  <si>
    <t>0.9263</t>
  </si>
  <si>
    <t>0.0559</t>
  </si>
  <si>
    <t>0.8624</t>
  </si>
  <si>
    <t>0.9226</t>
  </si>
  <si>
    <t>0.0488</t>
  </si>
  <si>
    <t>0.4911</t>
  </si>
  <si>
    <t>0.4878</t>
  </si>
  <si>
    <t>0.7715</t>
  </si>
  <si>
    <t>0.0654</t>
  </si>
  <si>
    <t>0.7079</t>
  </si>
  <si>
    <t>0.4484</t>
  </si>
  <si>
    <t>0.1581</t>
  </si>
  <si>
    <t>0.393</t>
  </si>
  <si>
    <t>0.3248</t>
  </si>
  <si>
    <t>0.7752</t>
  </si>
  <si>
    <t>0.0458</t>
  </si>
  <si>
    <t>0.7615</t>
  </si>
  <si>
    <t>0.8675</t>
  </si>
  <si>
    <t>0.0459</t>
  </si>
  <si>
    <t>0.6793</t>
  </si>
  <si>
    <t>0.0398</t>
  </si>
  <si>
    <t>0.6106</t>
  </si>
  <si>
    <t>0.7224</t>
  </si>
  <si>
    <t>0.6122</t>
  </si>
  <si>
    <t>0.1408</t>
  </si>
  <si>
    <t>0.4796</t>
  </si>
  <si>
    <t>0.8481</t>
  </si>
  <si>
    <t>0.0828</t>
  </si>
  <si>
    <t>0.8169</t>
  </si>
  <si>
    <t>0.8754</t>
  </si>
  <si>
    <t>0.868</t>
  </si>
  <si>
    <t>0.8373</t>
  </si>
  <si>
    <t>0.9121</t>
  </si>
  <si>
    <t>0.1053</t>
  </si>
  <si>
    <t>0.8436</t>
  </si>
  <si>
    <t>0.6062</t>
  </si>
  <si>
    <t>0.0889</t>
  </si>
  <si>
    <t>0.5095</t>
  </si>
  <si>
    <t>0.8283</t>
  </si>
  <si>
    <t>0.1223</t>
  </si>
  <si>
    <t>0.7901</t>
  </si>
  <si>
    <t>0.5587</t>
  </si>
  <si>
    <t>0.2671</t>
  </si>
  <si>
    <t>0.4393</t>
  </si>
  <si>
    <t>0.7314</t>
  </si>
  <si>
    <t>0.087</t>
  </si>
  <si>
    <t>0.6946</t>
  </si>
  <si>
    <t>0.8736</t>
  </si>
  <si>
    <t>0.0869</t>
  </si>
  <si>
    <t>0.7398</t>
  </si>
  <si>
    <t>0.0744</t>
  </si>
  <si>
    <t>0.6715</t>
  </si>
  <si>
    <t>Table 7 Comparison of precision, recll, and F1-score of our approach with BiLSTM</t>
  </si>
  <si>
    <t>PRECISION</t>
  </si>
  <si>
    <t>RECALL</t>
  </si>
  <si>
    <t>F1-SCORE</t>
  </si>
  <si>
    <t>PROJECT</t>
  </si>
  <si>
    <t>OURS</t>
  </si>
  <si>
    <t>BILSTM</t>
  </si>
  <si>
    <t>IMPREVEMENT</t>
  </si>
  <si>
    <t>73.73</t>
  </si>
  <si>
    <t>–0.28</t>
  </si>
  <si>
    <t>48.87</t>
  </si>
  <si>
    <t>3.77</t>
  </si>
  <si>
    <t>58.76</t>
  </si>
  <si>
    <t>2.46</t>
  </si>
  <si>
    <t>88.05</t>
  </si>
  <si>
    <t>81.17</t>
  </si>
  <si>
    <t>84.46</t>
  </si>
  <si>
    <t>82.38</t>
  </si>
  <si>
    <t>90.93</t>
  </si>
  <si>
    <t>1.7</t>
  </si>
  <si>
    <t>86.43</t>
  </si>
  <si>
    <t>1.11</t>
  </si>
  <si>
    <t>89.98</t>
  </si>
  <si>
    <t>90.92</t>
  </si>
  <si>
    <t>1.34</t>
  </si>
  <si>
    <t>90.42</t>
  </si>
  <si>
    <t>72.87</t>
  </si>
  <si>
    <t>7.43</t>
  </si>
  <si>
    <t>46.54</t>
  </si>
  <si>
    <t>2.57</t>
  </si>
  <si>
    <t>56.71</t>
  </si>
  <si>
    <t>3.91</t>
  </si>
  <si>
    <t>88.06</t>
  </si>
  <si>
    <t>1.38</t>
  </si>
  <si>
    <t>77.57</t>
  </si>
  <si>
    <t>–0.42</t>
  </si>
  <si>
    <t>82.48</t>
  </si>
  <si>
    <t>73.83</t>
  </si>
  <si>
    <t>40.38</t>
  </si>
  <si>
    <t>4.46</t>
  </si>
  <si>
    <t>52.2</t>
  </si>
  <si>
    <t>3.67</t>
  </si>
  <si>
    <t>62.57</t>
  </si>
  <si>
    <t>6.69</t>
  </si>
  <si>
    <t>–2.48</t>
  </si>
  <si>
    <t>70.21</t>
  </si>
  <si>
    <t>2.93</t>
  </si>
  <si>
    <t>86.74</t>
  </si>
  <si>
    <t>85.64</t>
  </si>
  <si>
    <t>86.18</t>
  </si>
  <si>
    <t>1.18</t>
  </si>
  <si>
    <t>81.35</t>
  </si>
  <si>
    <t>66.98</t>
  </si>
  <si>
    <t>73.4</t>
  </si>
  <si>
    <t>79.96</t>
  </si>
  <si>
    <t>1.79</t>
  </si>
  <si>
    <t>70.9</t>
  </si>
  <si>
    <t>74.13</t>
  </si>
  <si>
    <t>1.73</t>
  </si>
  <si>
    <t>Table 2. Comparison of the metrics obtained in the design SATD classifications [24].</t>
  </si>
  <si>
    <t>Table 3. Comparison of the metrics obtained in the requirement SATD classifications [24].</t>
  </si>
  <si>
    <t>Table 7. Comparison of the metrics obtained in the SATD classification.</t>
  </si>
  <si>
    <t>0.611</t>
  </si>
  <si>
    <t>0.567</t>
  </si>
  <si>
    <t>0.498</t>
  </si>
  <si>
    <t>0.934</t>
  </si>
  <si>
    <t>0.745</t>
  </si>
  <si>
    <t>0.578</t>
  </si>
  <si>
    <t>0.335</t>
  </si>
  <si>
    <t>0.401</t>
  </si>
  <si>
    <t>0.398</t>
  </si>
  <si>
    <t>0.559</t>
  </si>
  <si>
    <t>0.603</t>
  </si>
  <si>
    <t>0.496</t>
  </si>
  <si>
    <t>0.732</t>
  </si>
  <si>
    <t>0.711</t>
  </si>
  <si>
    <t>0.642</t>
  </si>
  <si>
    <t>Table 3 Distribution of different types of SATD that are introduced one year before the latest stable release version</t>
  </si>
  <si>
    <t>Project name</t>
  </si>
  <si>
    <t>TF</t>
  </si>
  <si>
    <t>Keras</t>
  </si>
  <si>
    <t>CNTK</t>
  </si>
  <si>
    <t>Caffe</t>
  </si>
  <si>
    <t>MXNet</t>
  </si>
  <si>
    <t>PyTorch</t>
  </si>
  <si>
    <t>DL4J</t>
  </si>
  <si>
    <t>Total</t>
  </si>
  <si>
    <t>2,438.70</t>
  </si>
  <si>
    <t>Design</t>
  </si>
  <si>
    <t>65.71 %</t>
  </si>
  <si>
    <t>51.31 %</t>
  </si>
  <si>
    <t>76.33 %</t>
  </si>
  <si>
    <t>48.52 %</t>
  </si>
  <si>
    <t>74.31 %</t>
  </si>
  <si>
    <t>68.80 %</t>
  </si>
  <si>
    <t>72.46 %</t>
  </si>
  <si>
    <t>65.35 %</t>
  </si>
  <si>
    <t>Compatibility</t>
  </si>
  <si>
    <t>2.81 %</t>
  </si>
  <si>
    <t>12.04 %</t>
  </si>
  <si>
    <t>1.70 %</t>
  </si>
  <si>
    <t>10.00 %</t>
  </si>
  <si>
    <t>1.39 %</t>
  </si>
  <si>
    <t>5.64 %</t>
  </si>
  <si>
    <t>0.00 %</t>
  </si>
  <si>
    <t>4.80 %</t>
  </si>
  <si>
    <t>Defect</t>
  </si>
  <si>
    <t>3.33 %</t>
  </si>
  <si>
    <t>5.24 %</t>
  </si>
  <si>
    <t>5.54 %</t>
  </si>
  <si>
    <t>4.07 %</t>
  </si>
  <si>
    <t>3.01 %</t>
  </si>
  <si>
    <t>3.04 %</t>
  </si>
  <si>
    <t>5.34 %</t>
  </si>
  <si>
    <t>4.22 %</t>
  </si>
  <si>
    <t>Documentation</t>
  </si>
  <si>
    <t>1.03 %</t>
  </si>
  <si>
    <t>1.06 %</t>
  </si>
  <si>
    <t>20.00 %</t>
  </si>
  <si>
    <t>0.23 %</t>
  </si>
  <si>
    <t>0.25 %</t>
  </si>
  <si>
    <t>0.17 %</t>
  </si>
  <si>
    <t>3.25 %</t>
  </si>
  <si>
    <t>Test</t>
  </si>
  <si>
    <t>5.12 %</t>
  </si>
  <si>
    <t>0.52 %</t>
  </si>
  <si>
    <t>2.66 %</t>
  </si>
  <si>
    <t>2.59 %</t>
  </si>
  <si>
    <t>1.16 %</t>
  </si>
  <si>
    <t>2.85 %</t>
  </si>
  <si>
    <t>2.58 %</t>
  </si>
  <si>
    <t>2.50 %</t>
  </si>
  <si>
    <t>Algorithm</t>
  </si>
  <si>
    <t>6.05 %</t>
  </si>
  <si>
    <t>14.14 %</t>
  </si>
  <si>
    <t>5.51 %</t>
  </si>
  <si>
    <t>7.41 %</t>
  </si>
  <si>
    <t>5.79 %</t>
  </si>
  <si>
    <t>4.82 %</t>
  </si>
  <si>
    <t>7.05 %</t>
  </si>
  <si>
    <t>Requirement</t>
  </si>
  <si>
    <t>15.96 %</t>
  </si>
  <si>
    <t>16.75 %</t>
  </si>
  <si>
    <t>7.04 %</t>
  </si>
  <si>
    <t>14.12 %</t>
  </si>
  <si>
    <t>13.76 %</t>
  </si>
  <si>
    <t>14.63 %</t>
  </si>
  <si>
    <t>12.81 %</t>
  </si>
  <si>
    <t>Technique</t>
  </si>
  <si>
    <t>BASELINE</t>
  </si>
  <si>
    <t>0.389</t>
  </si>
  <si>
    <t>COST</t>
  </si>
  <si>
    <t>SMOTE</t>
  </si>
  <si>
    <t>0.812</t>
  </si>
  <si>
    <t>ADASYN</t>
  </si>
  <si>
    <t>BLINE</t>
  </si>
  <si>
    <t>SVMSMT</t>
  </si>
  <si>
    <t>0.871</t>
  </si>
  <si>
    <t>Table 2. Raw DebtHunter compared to baselines performance</t>
  </si>
  <si>
    <t>Raw debthunter</t>
  </si>
  <si>
    <t>Internal baselines</t>
  </si>
  <si>
    <t>External baselines</t>
  </si>
  <si>
    <t>Improv</t>
  </si>
  <si>
    <t>DATASET 1</t>
  </si>
  <si>
    <t>P avg</t>
  </si>
  <si>
    <t>R avg</t>
  </si>
  <si>
    <t>F1 avg</t>
  </si>
  <si>
    <t>Training time</t>
  </si>
  <si>
    <t>ME</t>
  </si>
  <si>
    <t>78.88</t>
  </si>
  <si>
    <t>74.02</t>
  </si>
  <si>
    <t>76.36</t>
  </si>
  <si>
    <t>1 min 52s</t>
  </si>
  <si>
    <t>0.7888</t>
  </si>
  <si>
    <t>0.7402</t>
  </si>
  <si>
    <t>0.7636</t>
  </si>
  <si>
    <t>64.62</t>
  </si>
  <si>
    <t>70.05</t>
  </si>
  <si>
    <t>67.22</t>
  </si>
  <si>
    <t>1 min 20s</t>
  </si>
  <si>
    <t>0.6462</t>
  </si>
  <si>
    <t>0.7005</t>
  </si>
  <si>
    <t>0.6722</t>
  </si>
  <si>
    <t>LR</t>
  </si>
  <si>
    <t>61.04</t>
  </si>
  <si>
    <t>72.74</t>
  </si>
  <si>
    <t>66.37</t>
  </si>
  <si>
    <t>0 min 16s</t>
  </si>
  <si>
    <t>0.6104</t>
  </si>
  <si>
    <t>0.7274</t>
  </si>
  <si>
    <t>0.6637</t>
  </si>
  <si>
    <t>83.92</t>
  </si>
  <si>
    <t>76.29</t>
  </si>
  <si>
    <t>79.89</t>
  </si>
  <si>
    <t>3 min 18s</t>
  </si>
  <si>
    <t>0.8392</t>
  </si>
  <si>
    <t>0.7629</t>
  </si>
  <si>
    <t>0.7989</t>
  </si>
  <si>
    <t>ALBERT</t>
  </si>
  <si>
    <t>87.62</t>
  </si>
  <si>
    <t>85.03</t>
  </si>
  <si>
    <t>86.21</t>
  </si>
  <si>
    <t>52 min 6s</t>
  </si>
  <si>
    <t>0.8762</t>
  </si>
  <si>
    <t>0.8503</t>
  </si>
  <si>
    <t>0.8621</t>
  </si>
  <si>
    <t>RoBERTa</t>
  </si>
  <si>
    <t>85.91</t>
  </si>
  <si>
    <t>86.27</t>
  </si>
  <si>
    <t>86.09</t>
  </si>
  <si>
    <t>48 min 58s</t>
  </si>
  <si>
    <t>0.8591</t>
  </si>
  <si>
    <t>0.8627</t>
  </si>
  <si>
    <t>0.8609</t>
  </si>
  <si>
    <t>DATASET 2</t>
  </si>
  <si>
    <t>F1 SCORE</t>
  </si>
  <si>
    <t>SATD Types</t>
  </si>
  <si>
    <t>ALBERT-10</t>
  </si>
  <si>
    <t>ALBERT-30</t>
  </si>
  <si>
    <t>ROBERTA</t>
  </si>
  <si>
    <t>Testing</t>
  </si>
  <si>
    <t>83.24</t>
  </si>
  <si>
    <t>82.42</t>
  </si>
  <si>
    <t>84.07</t>
  </si>
  <si>
    <t>84.68</t>
  </si>
  <si>
    <t>87.42</t>
  </si>
  <si>
    <t>87.81</t>
  </si>
  <si>
    <t>86.88</t>
  </si>
  <si>
    <t>0.8324</t>
  </si>
  <si>
    <t>0.8407</t>
  </si>
  <si>
    <t>0.8468</t>
  </si>
  <si>
    <t>0.8742</t>
  </si>
  <si>
    <t>0.8781</t>
  </si>
  <si>
    <t>0.8688</t>
  </si>
  <si>
    <t>Code</t>
  </si>
  <si>
    <t>65.96</t>
  </si>
  <si>
    <t>54.91</t>
  </si>
  <si>
    <t>53.15</t>
  </si>
  <si>
    <t>63.42</t>
  </si>
  <si>
    <t>67.53</t>
  </si>
  <si>
    <t>67.99</t>
  </si>
  <si>
    <t>68.56</t>
  </si>
  <si>
    <t>0.6596</t>
  </si>
  <si>
    <t>0.5491</t>
  </si>
  <si>
    <t>0.5315</t>
  </si>
  <si>
    <t>0.6342</t>
  </si>
  <si>
    <t>0.6753</t>
  </si>
  <si>
    <t>0.6799</t>
  </si>
  <si>
    <t>0.6856</t>
  </si>
  <si>
    <t>Versioning</t>
  </si>
  <si>
    <t>44.76</t>
  </si>
  <si>
    <t>46.43</t>
  </si>
  <si>
    <t>51.75</t>
  </si>
  <si>
    <t>38.23</t>
  </si>
  <si>
    <t>41.42</t>
  </si>
  <si>
    <t>61.43</t>
  </si>
  <si>
    <t>0.4476</t>
  </si>
  <si>
    <t>0.4643</t>
  </si>
  <si>
    <t>0.5175</t>
  </si>
  <si>
    <t>0.3823</t>
  </si>
  <si>
    <t>0.4142</t>
  </si>
  <si>
    <t>0.6143</t>
  </si>
  <si>
    <t>Architecture</t>
  </si>
  <si>
    <t>47.5</t>
  </si>
  <si>
    <t>39.51</t>
  </si>
  <si>
    <t>41.77</t>
  </si>
  <si>
    <t>50.04</t>
  </si>
  <si>
    <t>53.61</t>
  </si>
  <si>
    <t>57.8</t>
  </si>
  <si>
    <t>58.14</t>
  </si>
  <si>
    <t>0.3951</t>
  </si>
  <si>
    <t>0.4177</t>
  </si>
  <si>
    <t>0.5004</t>
  </si>
  <si>
    <t>0.5361</t>
  </si>
  <si>
    <t>0.5814</t>
  </si>
  <si>
    <t>49.28</t>
  </si>
  <si>
    <t>46.7</t>
  </si>
  <si>
    <t>49.3</t>
  </si>
  <si>
    <t>49.76</t>
  </si>
  <si>
    <t>56.34</t>
  </si>
  <si>
    <t>58.27</t>
  </si>
  <si>
    <t>57.66</t>
  </si>
  <si>
    <t>0.4928</t>
  </si>
  <si>
    <t>0.4976</t>
  </si>
  <si>
    <t>0.5634</t>
  </si>
  <si>
    <t>0.5827</t>
  </si>
  <si>
    <t>0.5766</t>
  </si>
  <si>
    <t>Build</t>
  </si>
  <si>
    <t>48.22</t>
  </si>
  <si>
    <t>46.39</t>
  </si>
  <si>
    <t>41.94</t>
  </si>
  <si>
    <t>46.47</t>
  </si>
  <si>
    <t>38.69</t>
  </si>
  <si>
    <t>43.35</t>
  </si>
  <si>
    <t>52.06</t>
  </si>
  <si>
    <t>0.4822</t>
  </si>
  <si>
    <t>0.4639</t>
  </si>
  <si>
    <t>0.4194</t>
  </si>
  <si>
    <t>0.4647</t>
  </si>
  <si>
    <t>0.3869</t>
  </si>
  <si>
    <t>0.4335</t>
  </si>
  <si>
    <t>0.5206</t>
  </si>
  <si>
    <t>32.32</t>
  </si>
  <si>
    <t>39.15</t>
  </si>
  <si>
    <t>45.97</t>
  </si>
  <si>
    <t>51.26</t>
  </si>
  <si>
    <t>0.3232</t>
  </si>
  <si>
    <t>0.3915</t>
  </si>
  <si>
    <t>0.4597</t>
  </si>
  <si>
    <t>0.5126</t>
  </si>
  <si>
    <t>Requirements</t>
  </si>
  <si>
    <t>37.86</t>
  </si>
  <si>
    <t>38.17</t>
  </si>
  <si>
    <t>39.82</t>
  </si>
  <si>
    <t>35.92</t>
  </si>
  <si>
    <t>42.4</t>
  </si>
  <si>
    <t>40.27</t>
  </si>
  <si>
    <t>46.62</t>
  </si>
  <si>
    <t>0.3786</t>
  </si>
  <si>
    <t>0.3817</t>
  </si>
  <si>
    <t>0.3982</t>
  </si>
  <si>
    <t>0.3592</t>
  </si>
  <si>
    <t>0.4027</t>
  </si>
  <si>
    <t>0.4662</t>
  </si>
  <si>
    <t>44.46</t>
  </si>
  <si>
    <t>34.47</t>
  </si>
  <si>
    <t>37.74</t>
  </si>
  <si>
    <t>33.27</t>
  </si>
  <si>
    <t>30.87</t>
  </si>
  <si>
    <t>31.69</t>
  </si>
  <si>
    <t>45.37</t>
  </si>
  <si>
    <t>0.4446</t>
  </si>
  <si>
    <t>0.3447</t>
  </si>
  <si>
    <t>0.3774</t>
  </si>
  <si>
    <t>0.3327</t>
  </si>
  <si>
    <t>0.3087</t>
  </si>
  <si>
    <t>0.3169</t>
  </si>
  <si>
    <t>0.4537</t>
  </si>
  <si>
    <t>Usability</t>
  </si>
  <si>
    <t>38.56</t>
  </si>
  <si>
    <t>35.3</t>
  </si>
  <si>
    <t>32.56</t>
  </si>
  <si>
    <t>23.77</t>
  </si>
  <si>
    <t>36.58</t>
  </si>
  <si>
    <t>37.63</t>
  </si>
  <si>
    <t>43.06</t>
  </si>
  <si>
    <t>0.3856</t>
  </si>
  <si>
    <t>0.353</t>
  </si>
  <si>
    <t>0.3256</t>
  </si>
  <si>
    <t>0.2377</t>
  </si>
  <si>
    <t>0.3658</t>
  </si>
  <si>
    <t>0.3763</t>
  </si>
  <si>
    <t>0.4306</t>
  </si>
  <si>
    <t>People</t>
  </si>
  <si>
    <t>34.68</t>
  </si>
  <si>
    <t>7.34</t>
  </si>
  <si>
    <t>10.6</t>
  </si>
  <si>
    <t>52.82</t>
  </si>
  <si>
    <t>42.29</t>
  </si>
  <si>
    <t>0.3468</t>
  </si>
  <si>
    <t>0.0734</t>
  </si>
  <si>
    <t>0.5282</t>
  </si>
  <si>
    <t>0.4229</t>
  </si>
  <si>
    <t>28.48</t>
  </si>
  <si>
    <t>23.58</t>
  </si>
  <si>
    <t>25.27</t>
  </si>
  <si>
    <t>23.09</t>
  </si>
  <si>
    <t>24.78</t>
  </si>
  <si>
    <t>24.02</t>
  </si>
  <si>
    <t>31.3</t>
  </si>
  <si>
    <t>0.2848</t>
  </si>
  <si>
    <t>0.2358</t>
  </si>
  <si>
    <t>0.2527</t>
  </si>
  <si>
    <t>0.2309</t>
  </si>
  <si>
    <t>0.2478</t>
  </si>
  <si>
    <t>0.2402</t>
  </si>
  <si>
    <t>0.313</t>
  </si>
  <si>
    <t>Non-SATD</t>
  </si>
  <si>
    <t>79.18</t>
  </si>
  <si>
    <t>75.64</t>
  </si>
  <si>
    <t>76.27</t>
  </si>
  <si>
    <t>82.18</t>
  </si>
  <si>
    <t>88.26</t>
  </si>
  <si>
    <t>88.12</t>
  </si>
  <si>
    <t>87.76</t>
  </si>
  <si>
    <t>0.7918</t>
  </si>
  <si>
    <t>0.7564</t>
  </si>
  <si>
    <t>0.7627</t>
  </si>
  <si>
    <t>0.8218</t>
  </si>
  <si>
    <t>0.8826</t>
  </si>
  <si>
    <t>0.8812</t>
  </si>
  <si>
    <t>0.8776</t>
  </si>
  <si>
    <t>Micro-avg</t>
  </si>
  <si>
    <t>65.64</t>
  </si>
  <si>
    <t>59.19</t>
  </si>
  <si>
    <t>58.93</t>
  </si>
  <si>
    <t>64.21</t>
  </si>
  <si>
    <t>68.58</t>
  </si>
  <si>
    <t>69.4</t>
  </si>
  <si>
    <t>70.94</t>
  </si>
  <si>
    <t>0.6564</t>
  </si>
  <si>
    <t>0.5919</t>
  </si>
  <si>
    <t>0.5893</t>
  </si>
  <si>
    <t>0.6421</t>
  </si>
  <si>
    <t>0.6858</t>
  </si>
  <si>
    <t>0.7094</t>
  </si>
  <si>
    <t>Macro-avg</t>
  </si>
  <si>
    <t>50.15</t>
  </si>
  <si>
    <t>43.32</t>
  </si>
  <si>
    <t>44.77</t>
  </si>
  <si>
    <t>41.58</t>
  </si>
  <si>
    <t>45.04</t>
  </si>
  <si>
    <t>52.09</t>
  </si>
  <si>
    <t>0.5015</t>
  </si>
  <si>
    <t>0.4332</t>
  </si>
  <si>
    <t>0.4477</t>
  </si>
  <si>
    <t>0.4158</t>
  </si>
  <si>
    <t>0.4504</t>
  </si>
  <si>
    <t>0.5209</t>
  </si>
  <si>
    <t xml:space="preserve">TABLE 4 Performance of Classifiers for SATD Reason
</t>
  </si>
  <si>
    <t>auto-sklearn</t>
  </si>
  <si>
    <t>NB</t>
  </si>
  <si>
    <t>Limitation</t>
  </si>
  <si>
    <t>Document for later fix</t>
  </si>
  <si>
    <t>Dependency</t>
  </si>
  <si>
    <t>Document workaround</t>
  </si>
  <si>
    <t>Warning for future developers</t>
  </si>
  <si>
    <t>Document suboptimal implementation choice</t>
  </si>
  <si>
    <t>Fl-score</t>
  </si>
  <si>
    <t>Document suboptimal</t>
  </si>
  <si>
    <t>implementation choice Other</t>
  </si>
  <si>
    <t>Table 2 The classification results of our model with three indicators in two scenarios.</t>
  </si>
  <si>
    <t>Within</t>
  </si>
  <si>
    <t>Cross project</t>
  </si>
  <si>
    <t>0.955</t>
  </si>
  <si>
    <t>0.946</t>
  </si>
  <si>
    <t>0.926</t>
  </si>
  <si>
    <t>0.914</t>
  </si>
  <si>
    <t>0.927</t>
  </si>
  <si>
    <t>0.823</t>
  </si>
  <si>
    <t>0.891</t>
  </si>
  <si>
    <t>0.948</t>
  </si>
  <si>
    <t>0.951</t>
  </si>
  <si>
    <t>0.933</t>
  </si>
  <si>
    <t>0.907</t>
  </si>
  <si>
    <t>0.916</t>
  </si>
  <si>
    <t>0.879</t>
  </si>
  <si>
    <t>Table 3 Precision values of our method and the five baselines in within-project scenario.</t>
  </si>
  <si>
    <t>GGSATD</t>
  </si>
  <si>
    <t>HATD</t>
  </si>
  <si>
    <t>GCN</t>
  </si>
  <si>
    <t>TLGNN</t>
  </si>
  <si>
    <t>0.822</t>
  </si>
  <si>
    <t>0.954</t>
  </si>
  <si>
    <t>0.799</t>
  </si>
  <si>
    <t>0.738</t>
  </si>
  <si>
    <t>0.488</t>
  </si>
  <si>
    <t>0.596</t>
  </si>
  <si>
    <t>0.502</t>
  </si>
  <si>
    <t>0.869</t>
  </si>
  <si>
    <t>0.526</t>
  </si>
  <si>
    <t>0.709</t>
  </si>
  <si>
    <t>0.742</t>
  </si>
  <si>
    <t>Table 4 Recall values of our method and the five baselines in within-project scenario.</t>
  </si>
  <si>
    <t>0.827</t>
  </si>
  <si>
    <t>0.931</t>
  </si>
  <si>
    <t>0.888</t>
  </si>
  <si>
    <t>Table 5 F1-score values of our method and the five baselines in within-project scenario.</t>
  </si>
  <si>
    <t>0.941</t>
  </si>
  <si>
    <t>0.757</t>
  </si>
  <si>
    <t>0.494</t>
  </si>
  <si>
    <t>0.491</t>
  </si>
  <si>
    <t>0.582</t>
  </si>
  <si>
    <t>Table 6 Precision values of our method and the five baselines in cross-project scenario</t>
  </si>
  <si>
    <t>0.643</t>
  </si>
  <si>
    <t>0.665</t>
  </si>
  <si>
    <t>0.671</t>
  </si>
  <si>
    <t>0.681</t>
  </si>
  <si>
    <t>0.641</t>
  </si>
  <si>
    <t>Table 7 Recall values of our method and the five baselines in cross-project scenario</t>
  </si>
  <si>
    <t>0.639</t>
  </si>
  <si>
    <t>0.956</t>
  </si>
  <si>
    <t>0.928</t>
  </si>
  <si>
    <t>0.684</t>
  </si>
  <si>
    <t>0.713</t>
  </si>
  <si>
    <t>0.889</t>
  </si>
  <si>
    <t>Table 8 F1-score values of our method and the five baselines in cross-project scenario</t>
  </si>
  <si>
    <t>0.575</t>
  </si>
  <si>
    <t>TABLE 5 Comparison of the F1-score of FL with all baseline methods across project</t>
  </si>
  <si>
    <t>FL</t>
  </si>
  <si>
    <t>WS</t>
  </si>
  <si>
    <t>DL</t>
  </si>
  <si>
    <t>DSC</t>
  </si>
  <si>
    <t>GHM</t>
  </si>
  <si>
    <t>0.083</t>
  </si>
  <si>
    <t>0.086</t>
  </si>
  <si>
    <t>0.163</t>
  </si>
  <si>
    <t>JFreechart</t>
  </si>
  <si>
    <t>0.291</t>
  </si>
  <si>
    <t>0.901</t>
  </si>
  <si>
    <t>Improved</t>
  </si>
  <si>
    <t>4.74%</t>
  </si>
  <si>
    <t>9.81%</t>
  </si>
  <si>
    <t>7.14%</t>
  </si>
  <si>
    <t>177.97%</t>
  </si>
  <si>
    <t>2.85%</t>
  </si>
  <si>
    <t>TABLE 6 Comparison of the Precision of FL with all baseline methods across project</t>
  </si>
  <si>
    <t>0.161</t>
  </si>
  <si>
    <t>0.961</t>
  </si>
  <si>
    <t>0.908</t>
  </si>
  <si>
    <t>0.114</t>
  </si>
  <si>
    <t>0.14</t>
  </si>
  <si>
    <t>0.201</t>
  </si>
  <si>
    <t>0.058</t>
  </si>
  <si>
    <t>0.229</t>
  </si>
  <si>
    <t>TABLE 7 Comparison of the Recall of FL with all baseline methods across project</t>
  </si>
  <si>
    <t>0.975</t>
  </si>
  <si>
    <t>0.523</t>
  </si>
  <si>
    <t>0.258</t>
  </si>
  <si>
    <t>0.302</t>
  </si>
  <si>
    <t>0.289</t>
  </si>
  <si>
    <t>0.824</t>
  </si>
  <si>
    <t>0.959</t>
  </si>
  <si>
    <t>0.632</t>
  </si>
  <si>
    <t>TABLE 8 Comparison of the F1-score of GNNSI with all baseline methods across project</t>
  </si>
  <si>
    <t>GNNSI</t>
  </si>
  <si>
    <t>RNN</t>
  </si>
  <si>
    <t>Yu’s</t>
  </si>
  <si>
    <t>Transformer</t>
  </si>
  <si>
    <t>GGNN</t>
  </si>
  <si>
    <t>0.546</t>
  </si>
  <si>
    <t>0.382</t>
  </si>
  <si>
    <t>0.413</t>
  </si>
  <si>
    <t>0.368</t>
  </si>
  <si>
    <t>0.341</t>
  </si>
  <si>
    <t>0.605</t>
  </si>
  <si>
    <t>0.327</t>
  </si>
  <si>
    <t>19.10%</t>
  </si>
  <si>
    <t>23.45%</t>
  </si>
  <si>
    <t>14.06%</t>
  </si>
  <si>
    <t>14.22%</t>
  </si>
  <si>
    <t>92.96%</t>
  </si>
  <si>
    <t>TABLE 9 Comparison of the Precision of GNNSI with all baseline methods across project</t>
  </si>
  <si>
    <t>0.171</t>
  </si>
  <si>
    <t>0.525</t>
  </si>
  <si>
    <t>0.297</t>
  </si>
  <si>
    <t>0.673</t>
  </si>
  <si>
    <t>TABLE 10 Comparison of the Recall of GNNSI with all baseline methods across project</t>
  </si>
  <si>
    <t>0.366</t>
  </si>
  <si>
    <t>0.37</t>
  </si>
  <si>
    <t>0.448</t>
  </si>
  <si>
    <t>0.303</t>
  </si>
  <si>
    <t>0.592</t>
  </si>
  <si>
    <t>TABLE 11 Comparison of the F1-score of GNNSI with all baseline methods within project</t>
  </si>
  <si>
    <t>0.159</t>
  </si>
  <si>
    <t>0.085</t>
  </si>
  <si>
    <t>0.101</t>
  </si>
  <si>
    <t>0.224</t>
  </si>
  <si>
    <t>13.21%</t>
  </si>
  <si>
    <t>16.82%</t>
  </si>
  <si>
    <t>13.22%</t>
  </si>
  <si>
    <t>9.99%</t>
  </si>
  <si>
    <t>381.88%</t>
  </si>
  <si>
    <t>0.52%</t>
  </si>
  <si>
    <t>TABLE 12 Comparison of the Precision of GNNSI with all baseline methods within project</t>
  </si>
  <si>
    <t>0.659</t>
  </si>
  <si>
    <t>0.906</t>
  </si>
  <si>
    <t>0.268</t>
  </si>
  <si>
    <t>0.915</t>
  </si>
  <si>
    <t>0.439</t>
  </si>
  <si>
    <t>TABLE 13 Comparison of the Recall of GNNSI with all baseline methods within project</t>
  </si>
  <si>
    <t>0.202</t>
  </si>
  <si>
    <t>0.008</t>
  </si>
  <si>
    <t>0.351</t>
  </si>
  <si>
    <t>0.499</t>
  </si>
  <si>
    <t>0.343</t>
  </si>
  <si>
    <t>0.025</t>
  </si>
  <si>
    <t>0.278</t>
  </si>
  <si>
    <t>0.504</t>
  </si>
  <si>
    <t>0.045</t>
  </si>
  <si>
    <t>0.143</t>
  </si>
  <si>
    <t>0.553</t>
  </si>
  <si>
    <t>0.108</t>
  </si>
  <si>
    <t>TABLE 14 Comparison of the F1-score of FL with all baseline methods within project</t>
  </si>
  <si>
    <t>0.251</t>
  </si>
  <si>
    <t>0.126</t>
  </si>
  <si>
    <t>0.137</t>
  </si>
  <si>
    <t>0.033</t>
  </si>
  <si>
    <t>0.7311</t>
  </si>
  <si>
    <t>0.142</t>
  </si>
  <si>
    <t>5.29%</t>
  </si>
  <si>
    <t>12.53%</t>
  </si>
  <si>
    <t>5.34%</t>
  </si>
  <si>
    <t>423.26%</t>
  </si>
  <si>
    <t>2.90%</t>
  </si>
  <si>
    <t>Table 2 Average results of Stratified 10-fold Cross Validation in comparison with two pre-training methods and two benchmarks</t>
  </si>
  <si>
    <t>1 SATDID</t>
  </si>
  <si>
    <t>DLD</t>
  </si>
  <si>
    <t>34.2</t>
  </si>
  <si>
    <t>29.8</t>
  </si>
  <si>
    <t>31.1</t>
  </si>
  <si>
    <t>Pre-Trained end2end DLD</t>
  </si>
  <si>
    <t>29.3</t>
  </si>
  <si>
    <t>30.8</t>
  </si>
  <si>
    <t>TMLD</t>
  </si>
  <si>
    <t>38.6</t>
  </si>
  <si>
    <t>18.6</t>
  </si>
  <si>
    <t>25.1</t>
  </si>
  <si>
    <t>Pre-Trained Embeddings with TMLD</t>
  </si>
  <si>
    <t>34.1</t>
  </si>
  <si>
    <t>23.9</t>
  </si>
  <si>
    <t>5 TEDIOuS</t>
  </si>
  <si>
    <t>33.5</t>
  </si>
  <si>
    <t>18.7</t>
  </si>
  <si>
    <t>23.6</t>
  </si>
  <si>
    <t>6 SonarQube</t>
  </si>
  <si>
    <t>2.6</t>
  </si>
  <si>
    <t>5.4</t>
  </si>
  <si>
    <t>The highest Precision, Recall, and F1 scores are in bold. DLD: Deep Learning Detector. TMLD: Traditional Machine Learning Detector</t>
  </si>
  <si>
    <t>TABLE 9: Comparison between Easy, Jitterbug, and the best performing state-of-the-art supervised learning approach— CNN [3] on the original datasets in terms of precision, recall, F1 score, and cost.</t>
  </si>
  <si>
    <t>Treatment</t>
  </si>
  <si>
    <t>Apache</t>
  </si>
  <si>
    <t>Median</t>
  </si>
  <si>
    <t>IQR</t>
  </si>
  <si>
    <t>Easy</t>
  </si>
  <si>
    <t>Jitterbug</t>
  </si>
  <si>
    <t>CNN [3]</t>
  </si>
  <si>
    <t>Fl</t>
  </si>
  <si>
    <t>Cost</t>
  </si>
  <si>
    <t>Table 6 Precision of our approach and CNN for five technical debt classifications.</t>
  </si>
  <si>
    <t>SCGRU</t>
  </si>
  <si>
    <t>0.314</t>
  </si>
  <si>
    <t>0.222</t>
  </si>
  <si>
    <t>Table 7 Recall of our approach and CNN for five technical debt classifications.</t>
  </si>
  <si>
    <t>0.308</t>
  </si>
  <si>
    <t>0.505</t>
  </si>
  <si>
    <t>0.208</t>
  </si>
  <si>
    <t>0.454</t>
  </si>
  <si>
    <t>0.139</t>
  </si>
  <si>
    <t>Table 8 F-Measure of our approach and CNN for five technical debt classifications.</t>
  </si>
  <si>
    <t>F-Measure</t>
  </si>
  <si>
    <t>0.002</t>
  </si>
  <si>
    <t>0.255</t>
  </si>
  <si>
    <t>0.654</t>
  </si>
  <si>
    <t>0.396</t>
  </si>
  <si>
    <t>0.178</t>
  </si>
  <si>
    <t>Imp.</t>
  </si>
  <si>
    <t>40.66%</t>
  </si>
  <si>
    <t>250.56%</t>
  </si>
  <si>
    <t>3.44%</t>
  </si>
  <si>
    <t>5.32%</t>
  </si>
  <si>
    <t>Table 10 Average F-Measure of four methods for identifying five technical debt.</t>
  </si>
  <si>
    <t>Classification</t>
  </si>
  <si>
    <t>Methods</t>
  </si>
  <si>
    <t>ROS-CGRU</t>
  </si>
  <si>
    <t>SMOTE-CGRU</t>
  </si>
  <si>
    <t>ADASYN-CGRU</t>
  </si>
  <si>
    <t>0.146</t>
  </si>
  <si>
    <t>0.322</t>
  </si>
  <si>
    <t>0.241</t>
  </si>
  <si>
    <t>0.119</t>
  </si>
  <si>
    <t>TABLE III RESULTS OF ALL THE METHODS ON THESE TEN PROJECTS IN TERMS OF MACROF</t>
  </si>
  <si>
    <t>52.32%</t>
  </si>
  <si>
    <t>42.74%</t>
  </si>
  <si>
    <t>38.97%</t>
  </si>
  <si>
    <t>53.99%</t>
  </si>
  <si>
    <t>57.44%</t>
  </si>
  <si>
    <t>51.70%</t>
  </si>
  <si>
    <t>40.69%</t>
  </si>
  <si>
    <t>45.26%</t>
  </si>
  <si>
    <t>37.65%</t>
  </si>
  <si>
    <t>40.32%</t>
  </si>
  <si>
    <t>50.54%</t>
  </si>
  <si>
    <t>45.92%</t>
  </si>
  <si>
    <t>45.64%</t>
  </si>
  <si>
    <t>42.14%</t>
  </si>
  <si>
    <t>46.58%</t>
  </si>
  <si>
    <t>51.18%</t>
  </si>
  <si>
    <t>60.07%</t>
  </si>
  <si>
    <t>52.08%</t>
  </si>
  <si>
    <t>42.47%</t>
  </si>
  <si>
    <t>48.78%</t>
  </si>
  <si>
    <t>67.01%</t>
  </si>
  <si>
    <t>42.71%</t>
  </si>
  <si>
    <t>40.78%</t>
  </si>
  <si>
    <t>38.04%</t>
  </si>
  <si>
    <t>56.29%</t>
  </si>
  <si>
    <t>58.51%</t>
  </si>
  <si>
    <t>51.44%</t>
  </si>
  <si>
    <t>47.72%</t>
  </si>
  <si>
    <t>48.49%</t>
  </si>
  <si>
    <t>51.39%</t>
  </si>
  <si>
    <t>56.62%</t>
  </si>
  <si>
    <t>48.70%</t>
  </si>
  <si>
    <t>52.25%</t>
  </si>
  <si>
    <t>38.79%</t>
  </si>
  <si>
    <t>56.26%</t>
  </si>
  <si>
    <t>57.80%</t>
  </si>
  <si>
    <t>42.77%</t>
  </si>
  <si>
    <t>49.20%</t>
  </si>
  <si>
    <t>42.06%</t>
  </si>
  <si>
    <t>51.23%</t>
  </si>
  <si>
    <t>53.85%</t>
  </si>
  <si>
    <t>45.07%</t>
  </si>
  <si>
    <t>48.18%</t>
  </si>
  <si>
    <t>67.10%</t>
  </si>
  <si>
    <t>55.39%</t>
  </si>
  <si>
    <t>58.68%</t>
  </si>
  <si>
    <t>54.13%</t>
  </si>
  <si>
    <t>60.37%</t>
  </si>
  <si>
    <t>56.66%</t>
  </si>
  <si>
    <t>47.55%</t>
  </si>
  <si>
    <t>47.56%</t>
  </si>
  <si>
    <t>43.99%</t>
  </si>
  <si>
    <t>51.68%</t>
  </si>
  <si>
    <t>TABLE IV RESULTS OF ALL THE METHODS ON THESE TEN PROJECTS IN TERMS OF MACROP</t>
  </si>
  <si>
    <t>56.11%</t>
  </si>
  <si>
    <t>63.11%</t>
  </si>
  <si>
    <t>39.60%</t>
  </si>
  <si>
    <t>59.67%</t>
  </si>
  <si>
    <t>58.23%</t>
  </si>
  <si>
    <t>48.21%</t>
  </si>
  <si>
    <t>51.94%</t>
  </si>
  <si>
    <t>41.05%</t>
  </si>
  <si>
    <t>37.47%</t>
  </si>
  <si>
    <t>38.13%</t>
  </si>
  <si>
    <t>53.40%</t>
  </si>
  <si>
    <t>55.32%</t>
  </si>
  <si>
    <t>47.85%</t>
  </si>
  <si>
    <t>48.54%</t>
  </si>
  <si>
    <t>50.80%</t>
  </si>
  <si>
    <t>48.07%</t>
  </si>
  <si>
    <t>71.96%</t>
  </si>
  <si>
    <t>52.69%</t>
  </si>
  <si>
    <t>44.25%</t>
  </si>
  <si>
    <t>47.17%</t>
  </si>
  <si>
    <t>92.98%</t>
  </si>
  <si>
    <t>48.12%</t>
  </si>
  <si>
    <t>43.15%</t>
  </si>
  <si>
    <t>34.99%</t>
  </si>
  <si>
    <t>60.40%</t>
  </si>
  <si>
    <t>59.15%</t>
  </si>
  <si>
    <t>64.26%</t>
  </si>
  <si>
    <t>47.80%</t>
  </si>
  <si>
    <t>53.14%</t>
  </si>
  <si>
    <t>52.97%</t>
  </si>
  <si>
    <t>57.24%</t>
  </si>
  <si>
    <t>65.42%</t>
  </si>
  <si>
    <t>51.33%</t>
  </si>
  <si>
    <t>42.10%</t>
  </si>
  <si>
    <t>58.13%</t>
  </si>
  <si>
    <t>51.32%</t>
  </si>
  <si>
    <t>53.37%</t>
  </si>
  <si>
    <t>44.04%</t>
  </si>
  <si>
    <t>40.42%</t>
  </si>
  <si>
    <t>47.33%</t>
  </si>
  <si>
    <t>55.23%</t>
  </si>
  <si>
    <t>57.45%</t>
  </si>
  <si>
    <t>47.02%</t>
  </si>
  <si>
    <t>46.05%</t>
  </si>
  <si>
    <t>40.80%</t>
  </si>
  <si>
    <t>68.97%</t>
  </si>
  <si>
    <t>65.02%</t>
  </si>
  <si>
    <t>60.33%</t>
  </si>
  <si>
    <t>57.25%</t>
  </si>
  <si>
    <t>59.47%</t>
  </si>
  <si>
    <t>59.07%</t>
  </si>
  <si>
    <t>59.60%</t>
  </si>
  <si>
    <t>47.49%</t>
  </si>
  <si>
    <t>46.39%</t>
  </si>
  <si>
    <t>51.34%</t>
  </si>
  <si>
    <t>TABLE V RESULTS OF ALL THE METHODS ON THESE TEN PROJECTS IN TERMS OF MACROR</t>
  </si>
  <si>
    <t>49.00%</t>
  </si>
  <si>
    <t>32.31%</t>
  </si>
  <si>
    <t>38.36%</t>
  </si>
  <si>
    <t>49.29%</t>
  </si>
  <si>
    <t>56.67%</t>
  </si>
  <si>
    <t>55.72%</t>
  </si>
  <si>
    <t>33.45%</t>
  </si>
  <si>
    <t>50.42%</t>
  </si>
  <si>
    <t>37.84%</t>
  </si>
  <si>
    <t>47.97%</t>
  </si>
  <si>
    <t>39.24%</t>
  </si>
  <si>
    <t>43.62%</t>
  </si>
  <si>
    <t>37.23%</t>
  </si>
  <si>
    <t>43.00%</t>
  </si>
  <si>
    <t>54.72%</t>
  </si>
  <si>
    <t>51.56%</t>
  </si>
  <si>
    <t>51.48%</t>
  </si>
  <si>
    <t>40.82%</t>
  </si>
  <si>
    <t>50.50%</t>
  </si>
  <si>
    <t>52.38%</t>
  </si>
  <si>
    <t>38.39%</t>
  </si>
  <si>
    <t>38.65%</t>
  </si>
  <si>
    <t>41.67%</t>
  </si>
  <si>
    <t>52.70%</t>
  </si>
  <si>
    <t>57.89%</t>
  </si>
  <si>
    <t>42.88%</t>
  </si>
  <si>
    <t>47.64%</t>
  </si>
  <si>
    <t>44.59%</t>
  </si>
  <si>
    <t>49.90%</t>
  </si>
  <si>
    <t>56.02%</t>
  </si>
  <si>
    <t>53.20%</t>
  </si>
  <si>
    <t>35.97%</t>
  </si>
  <si>
    <t>54.50%</t>
  </si>
  <si>
    <t>66.14%</t>
  </si>
  <si>
    <t>35.68%</t>
  </si>
  <si>
    <t>55.74%</t>
  </si>
  <si>
    <t>43.85%</t>
  </si>
  <si>
    <t>55.83%</t>
  </si>
  <si>
    <t>52.53%</t>
  </si>
  <si>
    <t>37.08%</t>
  </si>
  <si>
    <t>43.27%</t>
  </si>
  <si>
    <t>38.84%</t>
  </si>
  <si>
    <t>58.83%</t>
  </si>
  <si>
    <t>65.34%</t>
  </si>
  <si>
    <t>48.24%</t>
  </si>
  <si>
    <t>57.12%</t>
  </si>
  <si>
    <t>61.30%</t>
  </si>
  <si>
    <t>55.77%</t>
  </si>
  <si>
    <t>39.77%</t>
  </si>
  <si>
    <t>47.95%</t>
  </si>
  <si>
    <t>52.60%</t>
  </si>
  <si>
    <t>TABLE VI RESULTS OF ALL METHODS ON THESE TEN PROJECTS IN TERMS OF F1-MEASURE FOR EACH TYPE OF TECHNICAL DEBT</t>
  </si>
  <si>
    <t>Implem</t>
  </si>
  <si>
    <t>85.56%</t>
  </si>
  <si>
    <t>36.52%</t>
  </si>
  <si>
    <t>60.00%</t>
  </si>
  <si>
    <t>21.27%</t>
  </si>
  <si>
    <t>15.89%</t>
  </si>
  <si>
    <t>24.93%</t>
  </si>
  <si>
    <t>81.11%</t>
  </si>
  <si>
    <t>14.29%</t>
  </si>
  <si>
    <t>20.00%</t>
  </si>
  <si>
    <t>90.63%</t>
  </si>
  <si>
    <t>33.33%</t>
  </si>
  <si>
    <t>91.20%</t>
  </si>
  <si>
    <t>33.30%</t>
  </si>
  <si>
    <t>83.95%</t>
  </si>
  <si>
    <t>21.62%</t>
  </si>
  <si>
    <t>23.95%</t>
  </si>
  <si>
    <t>35.27%</t>
  </si>
  <si>
    <t>76.48%</t>
  </si>
  <si>
    <t>18.39%</t>
  </si>
  <si>
    <t>27.27%</t>
  </si>
  <si>
    <t>86.71%</t>
  </si>
  <si>
    <t>14.76%</t>
  </si>
  <si>
    <t>21.28%</t>
  </si>
  <si>
    <t>84.20%</t>
  </si>
  <si>
    <t>29.10%</t>
  </si>
  <si>
    <t>22.20%</t>
  </si>
  <si>
    <t>77.47%</t>
  </si>
  <si>
    <t>38.72%</t>
  </si>
  <si>
    <t>32.46%</t>
  </si>
  <si>
    <t>60.18%</t>
  </si>
  <si>
    <t>18.21%</t>
  </si>
  <si>
    <t>37.07%</t>
  </si>
  <si>
    <t>74.93%</t>
  </si>
  <si>
    <t>35.44%</t>
  </si>
  <si>
    <t>23.86%</t>
  </si>
  <si>
    <t>78.32%</t>
  </si>
  <si>
    <t>14.79%</t>
  </si>
  <si>
    <t>12.50%</t>
  </si>
  <si>
    <t>79.00%</t>
  </si>
  <si>
    <t>19.00%</t>
  </si>
  <si>
    <t>33.20%</t>
  </si>
  <si>
    <t>67.82%</t>
  </si>
  <si>
    <t>52.50%</t>
  </si>
  <si>
    <t>26.67%</t>
  </si>
  <si>
    <t>47.35%</t>
  </si>
  <si>
    <t>51.00%</t>
  </si>
  <si>
    <t>71.16%</t>
  </si>
  <si>
    <t>75.76%</t>
  </si>
  <si>
    <t>48.48%</t>
  </si>
  <si>
    <t>30.00%</t>
  </si>
  <si>
    <t>78.92%</t>
  </si>
  <si>
    <t>15.00%</t>
  </si>
  <si>
    <t>28.57%</t>
  </si>
  <si>
    <t>70.90%</t>
  </si>
  <si>
    <t>17.40%</t>
  </si>
  <si>
    <t>50.00%</t>
  </si>
  <si>
    <t>88.24%</t>
  </si>
  <si>
    <t>23.33%</t>
  </si>
  <si>
    <t>66.67%</t>
  </si>
  <si>
    <t>21.16%</t>
  </si>
  <si>
    <t>49.21%</t>
  </si>
  <si>
    <t>16.96%</t>
  </si>
  <si>
    <t>80.31%</t>
  </si>
  <si>
    <t>16.67%</t>
  </si>
  <si>
    <t>22.22%</t>
  </si>
  <si>
    <t>83.33%</t>
  </si>
  <si>
    <t>0.00%</t>
  </si>
  <si>
    <t>30.77%</t>
  </si>
  <si>
    <t>84.10%</t>
  </si>
  <si>
    <t>25.00%</t>
  </si>
  <si>
    <t>81.21%</t>
  </si>
  <si>
    <t>42.86%</t>
  </si>
  <si>
    <t>48.84%</t>
  </si>
  <si>
    <t>51.46%</t>
  </si>
  <si>
    <t>25.96%</t>
  </si>
  <si>
    <t>56.01%</t>
  </si>
  <si>
    <t>79.11%</t>
  </si>
  <si>
    <t>37.50%</t>
  </si>
  <si>
    <t>23.08%</t>
  </si>
  <si>
    <t>83.67%</t>
  </si>
  <si>
    <t>17.39%</t>
  </si>
  <si>
    <t>39.47%</t>
  </si>
  <si>
    <t>82.30%</t>
  </si>
  <si>
    <t>34.10%</t>
  </si>
  <si>
    <t>35.60%</t>
  </si>
  <si>
    <t>87.26%</t>
  </si>
  <si>
    <t>41.51%</t>
  </si>
  <si>
    <t>39.76%</t>
  </si>
  <si>
    <t>22.60%</t>
  </si>
  <si>
    <t>45.05%</t>
  </si>
  <si>
    <t>88.14%</t>
  </si>
  <si>
    <t>45.16%</t>
  </si>
  <si>
    <t>13.33%</t>
  </si>
  <si>
    <t>86.93%</t>
  </si>
  <si>
    <t>87.20%</t>
  </si>
  <si>
    <t>44.40%</t>
  </si>
  <si>
    <t>78.67%</t>
  </si>
  <si>
    <t>39.13%</t>
  </si>
  <si>
    <t>40.00%</t>
  </si>
  <si>
    <t>42.49%</t>
  </si>
  <si>
    <t>53.27%</t>
  </si>
  <si>
    <t>27.52%</t>
  </si>
  <si>
    <t>79.25%</t>
  </si>
  <si>
    <t>19.35%</t>
  </si>
  <si>
    <t>38.46%</t>
  </si>
  <si>
    <t>88.89%</t>
  </si>
  <si>
    <t>37.04%</t>
  </si>
  <si>
    <t>76.60%</t>
  </si>
  <si>
    <t>35.30%</t>
  </si>
  <si>
    <t>31.10%</t>
  </si>
  <si>
    <t>76.59%</t>
  </si>
  <si>
    <t>45.75%</t>
  </si>
  <si>
    <t>36.94%</t>
  </si>
  <si>
    <t>48.29%</t>
  </si>
  <si>
    <t>36.05%</t>
  </si>
  <si>
    <t>24.90%</t>
  </si>
  <si>
    <t>72.61%</t>
  </si>
  <si>
    <t>33.80%</t>
  </si>
  <si>
    <t>25.50%</t>
  </si>
  <si>
    <t>75.48%</t>
  </si>
  <si>
    <t>21.14%</t>
  </si>
  <si>
    <t>19.23%</t>
  </si>
  <si>
    <t>76.00%</t>
  </si>
  <si>
    <t>22.00%</t>
  </si>
  <si>
    <t>36.40%</t>
  </si>
  <si>
    <t>86.57%</t>
  </si>
  <si>
    <t>46.38%</t>
  </si>
  <si>
    <t>65.22%</t>
  </si>
  <si>
    <t>37.20%</t>
  </si>
  <si>
    <t>58.54%</t>
  </si>
  <si>
    <t>41.09%</t>
  </si>
  <si>
    <t>83.38%</t>
  </si>
  <si>
    <t>50.67%</t>
  </si>
  <si>
    <t>40.91 %</t>
  </si>
  <si>
    <t>81.63%</t>
  </si>
  <si>
    <t>34.38%</t>
  </si>
  <si>
    <t>41.86%</t>
  </si>
  <si>
    <t>81.40%</t>
  </si>
  <si>
    <t>49.40%</t>
  </si>
  <si>
    <t>81.33%</t>
  </si>
  <si>
    <t>37.54%</t>
  </si>
  <si>
    <t>46.00%</t>
  </si>
  <si>
    <t>41.23%</t>
  </si>
  <si>
    <t>35.47%</t>
  </si>
  <si>
    <t>38.00%</t>
  </si>
  <si>
    <t>31.98%</t>
  </si>
  <si>
    <t>26.46%</t>
  </si>
  <si>
    <t>83.45%</t>
  </si>
  <si>
    <t>18.78%</t>
  </si>
  <si>
    <t>24.83%</t>
  </si>
  <si>
    <t>81.29%</t>
  </si>
  <si>
    <t>30.68%</t>
  </si>
  <si>
    <t>38.18%</t>
  </si>
  <si>
    <t>Table 7. The Comparison of NLP Approaches Implemented by Different Authors Based on Dataset-M</t>
  </si>
  <si>
    <t>Compared With Huang et al. under 8 projects</t>
  </si>
  <si>
    <t>Compared with Ren et al. under 10 projects</t>
  </si>
  <si>
    <t>Implemented by</t>
  </si>
  <si>
    <t>Huang et al.</t>
  </si>
  <si>
    <t>Ourselves</t>
  </si>
  <si>
    <t>Ren et al.</t>
  </si>
  <si>
    <t>0.431</t>
  </si>
  <si>
    <t>0.478</t>
  </si>
  <si>
    <t>Hiberna</t>
  </si>
  <si>
    <t>Jedit</t>
  </si>
  <si>
    <t>0.633</t>
  </si>
  <si>
    <t>Table 8. The Performance of CNN Approaches Implemented by Different Authors Based on Dataset-M</t>
  </si>
  <si>
    <t>0.243</t>
  </si>
  <si>
    <t>0.239</t>
  </si>
  <si>
    <t>0.199</t>
  </si>
  <si>
    <t>0.622</t>
  </si>
  <si>
    <t>Accuracy</t>
  </si>
  <si>
    <t>USE</t>
  </si>
  <si>
    <t>RF</t>
  </si>
  <si>
    <t>SL-CNN</t>
  </si>
  <si>
    <t>W2V</t>
  </si>
  <si>
    <t>SE-W2V</t>
  </si>
  <si>
    <t>BERT</t>
  </si>
  <si>
    <t>ML-CNN</t>
  </si>
  <si>
    <t>Method</t>
  </si>
  <si>
    <t>Word embedding</t>
  </si>
  <si>
    <t>Precision (average)</t>
  </si>
  <si>
    <t>Recall (average)</t>
  </si>
  <si>
    <t>Fl -score (average)</t>
  </si>
  <si>
    <t>Fl-score Imp.</t>
  </si>
  <si>
    <t>Type</t>
  </si>
  <si>
    <t>Classifier</t>
  </si>
  <si>
    <t>F1-score Imp. Over</t>
  </si>
  <si>
    <t>Default</t>
  </si>
  <si>
    <t>Random</t>
  </si>
  <si>
    <t>Keyword</t>
  </si>
  <si>
    <t>Wiki-news</t>
  </si>
  <si>
    <t>Deep learning</t>
  </si>
  <si>
    <t>Text CNN (rand)</t>
  </si>
  <si>
    <t>4.3</t>
  </si>
  <si>
    <t>13.6x</t>
  </si>
  <si>
    <t>StackOverflow-post</t>
  </si>
  <si>
    <t>Text CNN (wiki)</t>
  </si>
  <si>
    <t>3.9x</t>
  </si>
  <si>
    <t>12.5x</t>
  </si>
  <si>
    <t>0.511</t>
  </si>
  <si>
    <t>Text CNN (SO)</t>
  </si>
  <si>
    <t>4.2 x</t>
  </si>
  <si>
    <t>13.4x</t>
  </si>
  <si>
    <t>EDA</t>
  </si>
  <si>
    <t>-11.30%</t>
  </si>
  <si>
    <t>Text GCN</t>
  </si>
  <si>
    <t>0.6&gt;&lt;</t>
  </si>
  <si>
    <t>1.8&gt;&lt;</t>
  </si>
  <si>
    <t>0.406</t>
  </si>
  <si>
    <t>-14.50%</t>
  </si>
  <si>
    <t>Traditional</t>
  </si>
  <si>
    <t>0.861</t>
  </si>
  <si>
    <t>0.179</t>
  </si>
  <si>
    <t>0.295</t>
  </si>
  <si>
    <t>2.1</t>
  </si>
  <si>
    <t>6.7&gt;&lt;</t>
  </si>
  <si>
    <t>1.50%</t>
  </si>
  <si>
    <t>3.8&gt;&lt;</t>
  </si>
  <si>
    <t>12.0&gt;&lt;</t>
  </si>
  <si>
    <t>-7.90%</t>
  </si>
  <si>
    <t>O.4 X</t>
  </si>
  <si>
    <t>1.2&gt;&lt;</t>
  </si>
  <si>
    <t>Oversampling</t>
  </si>
  <si>
    <t>6.50%</t>
  </si>
  <si>
    <t>3.7&gt;&lt;</t>
  </si>
  <si>
    <t>1 1.7&gt;&lt;</t>
  </si>
  <si>
    <t>7.60%</t>
  </si>
  <si>
    <t>0.182</t>
  </si>
  <si>
    <t>6.6x</t>
  </si>
  <si>
    <t>3.70%</t>
  </si>
  <si>
    <t>Baseline</t>
  </si>
  <si>
    <t>6.00%</t>
  </si>
  <si>
    <t>Weighted loss</t>
  </si>
  <si>
    <t>5.80%</t>
  </si>
  <si>
    <t>9.10%</t>
  </si>
  <si>
    <t>3.80%</t>
  </si>
  <si>
    <t>6.20%</t>
  </si>
  <si>
    <t>Group</t>
  </si>
  <si>
    <t>Paper Title (ID)</t>
  </si>
  <si>
    <t>Textual Patterns</t>
  </si>
  <si>
    <t>Frequency based Embedding</t>
  </si>
  <si>
    <t>Word Embeddings</t>
  </si>
  <si>
    <t>Pre-trained Word Embeddings</t>
  </si>
  <si>
    <t>word vector</t>
  </si>
  <si>
    <t>Maximum Entropy Classifier</t>
  </si>
  <si>
    <t>NLP+ML</t>
  </si>
  <si>
    <t>TextRank</t>
  </si>
  <si>
    <t>Naive Bayes</t>
  </si>
  <si>
    <t>Auto-Sklearn</t>
  </si>
  <si>
    <t>NLP+DL</t>
  </si>
  <si>
    <t>Naive Bayes Multinomial</t>
  </si>
  <si>
    <t>Support Vector Machine</t>
  </si>
  <si>
    <t>Convolutional Neural Network</t>
  </si>
  <si>
    <t>Random Forest</t>
  </si>
  <si>
    <t>word embeddings</t>
  </si>
  <si>
    <t>Term Frequency-Inverse Document Frequency (TF-IDF)</t>
  </si>
  <si>
    <t>Long Short Term Memory</t>
  </si>
  <si>
    <t>Long Short-Term Memory</t>
  </si>
  <si>
    <t>Global Vectors for Word Representation (GloVe)</t>
  </si>
  <si>
    <t>Bidirectional Long Short-Term Memory</t>
  </si>
  <si>
    <t>Embedding from Language Models (ELMo)</t>
  </si>
  <si>
    <t>Convolutional Neural Network-Bidirectional Long Short-Term Memory</t>
  </si>
  <si>
    <t>WordNet</t>
  </si>
  <si>
    <t>Sequential Minimal Optimization</t>
  </si>
  <si>
    <t>unigram-bigram</t>
  </si>
  <si>
    <t>A Lite BERT (ALBERT)</t>
  </si>
  <si>
    <t>Deep Pyramid Convolutional Neural Network</t>
  </si>
  <si>
    <t>CountVectorizer</t>
  </si>
  <si>
    <t>eXtreme Gradient Boosting</t>
  </si>
  <si>
    <t>Text classification method for INductive word representations via Graph Neural Networks (TextING)</t>
  </si>
  <si>
    <t>Gated Graph Neural Networks</t>
  </si>
  <si>
    <t>Graph Neural Network</t>
  </si>
  <si>
    <t>Logistic Regression</t>
  </si>
  <si>
    <t>Text Graph Convolutional Network</t>
  </si>
  <si>
    <t>Bidirectional Encoder Representations from Transformers (BERT)</t>
  </si>
  <si>
    <t>Convolutional Neural Networks-Gated Recurrent Unit</t>
  </si>
  <si>
    <t xml:space="preserve">Term Frequency-Inverse Document Frequency (TF-IDF) </t>
  </si>
  <si>
    <t>IMPLEMENTATION</t>
  </si>
  <si>
    <t>TESTING</t>
  </si>
  <si>
    <t>MAINTENANCE</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</si>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</sst>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yyyy\-m"/>
    <numFmt numFmtId="165" formatCode="yyyy\-mm\-dd"/>
    <numFmt numFmtId="166" formatCode="yyyy\-mm"/>
    <numFmt numFmtId="167" formatCode="yyyy\-mmmm"/>
    <numFmt numFmtId="168" formatCode="m\-d"/>
    <numFmt numFmtId="169" formatCode="mm\-dd"/>
    <numFmt numFmtId="170" formatCode="m/d"/>
  </numFmts>
  <fonts count="42" x14ac:knownFonts="1">
    <font>
      <sz val="10"/>
      <color rgb="FF000000"/>
      <name val="Arial"/>
      <scheme val="minor"/>
    </font>
    <font>
      <sz val="12"/>
      <color rgb="FF000000"/>
      <name val="Calibri"/>
      <family val="2"/>
    </font>
    <font>
      <u/>
      <sz val="12"/>
      <color rgb="FF000000"/>
      <name val="Calibri"/>
      <family val="2"/>
    </font>
    <font>
      <sz val="10"/>
      <color theme="1"/>
      <name val="Arial"/>
      <family val="2"/>
      <scheme val="minor"/>
    </font>
    <font>
      <u/>
      <sz val="10"/>
      <color rgb="FF0000FF"/>
      <name val="Arial"/>
      <family val="2"/>
    </font>
    <font>
      <u/>
      <sz val="12"/>
      <color rgb="FF000000"/>
      <name val="Calibri"/>
      <family val="2"/>
    </font>
    <font>
      <b/>
      <sz val="12"/>
      <color rgb="FF000000"/>
      <name val="Calibri"/>
      <family val="2"/>
    </font>
    <font>
      <b/>
      <sz val="12"/>
      <color theme="1"/>
      <name val="Calibri"/>
      <family val="2"/>
    </font>
    <font>
      <b/>
      <sz val="10"/>
      <color theme="1"/>
      <name val="Arial"/>
      <family val="2"/>
      <scheme val="minor"/>
    </font>
    <font>
      <sz val="12"/>
      <color theme="1"/>
      <name val="Calibri"/>
      <family val="2"/>
    </font>
    <font>
      <u/>
      <sz val="12"/>
      <color rgb="FF000000"/>
      <name val="Calibri"/>
      <family val="2"/>
    </font>
    <font>
      <u/>
      <sz val="12"/>
      <color rgb="FF0000FF"/>
      <name val="Calibri"/>
      <family val="2"/>
    </font>
    <font>
      <u/>
      <sz val="10"/>
      <color rgb="FF0000FF"/>
      <name val="Arial"/>
      <family val="2"/>
    </font>
    <font>
      <u/>
      <sz val="10"/>
      <color rgb="FF0000FF"/>
      <name val="Arial"/>
      <family val="2"/>
    </font>
    <font>
      <sz val="10"/>
      <color theme="1"/>
      <name val="Arial"/>
      <family val="2"/>
    </font>
    <font>
      <u/>
      <sz val="10"/>
      <color theme="10"/>
      <name val="Arial"/>
      <family val="2"/>
      <scheme val="minor"/>
    </font>
    <font>
      <sz val="10"/>
      <color rgb="FF000000"/>
      <name val="Arial"/>
      <family val="2"/>
      <scheme val="minor"/>
    </font>
    <font>
      <b/>
      <sz val="11"/>
      <color theme="1"/>
      <name val="Arial"/>
      <family val="2"/>
      <scheme val="minor"/>
    </font>
    <font>
      <b/>
      <sz val="10"/>
      <color rgb="FF000000"/>
      <name val="Arial"/>
      <family val="2"/>
      <scheme val="minor"/>
    </font>
    <font>
      <b/>
      <sz val="10"/>
      <color theme="1"/>
      <name val="Arial"/>
      <family val="2"/>
    </font>
    <font>
      <b/>
      <sz val="10"/>
      <color rgb="FFFFFFFF"/>
      <name val="Arial"/>
      <family val="2"/>
      <scheme val="minor"/>
    </font>
    <font>
      <sz val="8"/>
      <name val="Arial"/>
      <family val="2"/>
      <scheme val="minor"/>
    </font>
    <font>
      <sz val="11"/>
      <color rgb="FF000000"/>
      <name val="Calibri"/>
      <family val="2"/>
    </font>
    <font>
      <sz val="10"/>
      <color rgb="FF000000"/>
      <name val="Calibri"/>
      <family val="2"/>
    </font>
    <font>
      <sz val="10"/>
      <color rgb="FF131313"/>
      <name val="Arial"/>
      <family val="2"/>
      <scheme val="minor"/>
    </font>
    <font>
      <b/>
      <sz val="10"/>
      <color rgb="FF131313"/>
      <name val="Arial"/>
      <family val="2"/>
      <scheme val="minor"/>
    </font>
    <font>
      <u/>
      <sz val="10"/>
      <color rgb="FF000000"/>
      <name val="Arial"/>
      <family val="2"/>
      <scheme val="minor"/>
    </font>
    <font>
      <sz val="10"/>
      <color rgb="FF000000"/>
      <name val="Times New Roman"/>
      <family val="1"/>
    </font>
    <font>
      <b/>
      <sz val="10"/>
      <color rgb="FF000000"/>
      <name val="Calibri"/>
      <family val="2"/>
    </font>
    <font>
      <sz val="10"/>
      <color rgb="FF181717"/>
      <name val="Calibri"/>
      <family val="2"/>
    </font>
    <font>
      <u/>
      <sz val="10"/>
      <color rgb="FF181717"/>
      <name val="Calibri"/>
      <family val="2"/>
    </font>
    <font>
      <i/>
      <sz val="10"/>
      <color rgb="FF181717"/>
      <name val="Calibri"/>
      <family val="2"/>
    </font>
    <font>
      <b/>
      <sz val="10"/>
      <color rgb="FF181717"/>
      <name val="Calibri"/>
      <family val="2"/>
    </font>
    <font>
      <sz val="10"/>
      <color rgb="FF131313"/>
      <name val="Calibri"/>
      <family val="2"/>
    </font>
    <font>
      <b/>
      <sz val="10"/>
      <color rgb="FF131313"/>
      <name val="Calibri"/>
      <family val="2"/>
    </font>
    <font>
      <b/>
      <sz val="10"/>
      <color rgb="FF0000FF"/>
      <name val="Calibri"/>
      <family val="2"/>
    </font>
    <font>
      <u/>
      <sz val="10"/>
      <color rgb="FF000000"/>
      <name val="Calibri"/>
      <family val="2"/>
    </font>
    <font>
      <i/>
      <sz val="10"/>
      <color rgb="FF000000"/>
      <name val="Calibri"/>
      <family val="2"/>
    </font>
    <font>
      <b/>
      <sz val="11"/>
      <color rgb="FF000000"/>
      <name val="Calibri"/>
      <family val="2"/>
    </font>
    <font>
      <sz val="10"/>
      <color theme="1"/>
      <name val="Arial"/>
      <scheme val="minor"/>
    </font>
    <font>
      <b/>
      <sz val="10"/>
      <color theme="1"/>
      <name val="Arial"/>
      <scheme val="minor"/>
    </font>
    <font>
      <sz val="10"/>
      <color rgb="FF000000"/>
      <name val="Roboto"/>
    </font>
  </fonts>
  <fills count="19">
    <fill>
      <patternFill patternType="none"/>
    </fill>
    <fill>
      <patternFill patternType="gray125"/>
    </fill>
    <fill>
      <patternFill patternType="solid">
        <fgColor rgb="FFC9DAF8"/>
        <bgColor rgb="FFC9DAF8"/>
      </patternFill>
    </fill>
    <fill>
      <patternFill patternType="solid">
        <fgColor rgb="FFFFFF00"/>
        <bgColor rgb="FFFFFF00"/>
      </patternFill>
    </fill>
    <fill>
      <patternFill patternType="solid">
        <fgColor rgb="FFD9EAD3"/>
        <bgColor rgb="FFD9EAD3"/>
      </patternFill>
    </fill>
    <fill>
      <patternFill patternType="solid">
        <fgColor theme="7"/>
        <bgColor theme="7"/>
      </patternFill>
    </fill>
    <fill>
      <patternFill patternType="solid">
        <fgColor rgb="FFA4C2F4"/>
        <bgColor rgb="FFA4C2F4"/>
      </patternFill>
    </fill>
    <fill>
      <patternFill patternType="solid">
        <fgColor rgb="FFA4C2F4"/>
        <bgColor indexed="64"/>
      </patternFill>
    </fill>
    <fill>
      <patternFill patternType="solid">
        <fgColor rgb="FFD9D9D9"/>
        <bgColor rgb="FFD9D9D9"/>
      </patternFill>
    </fill>
    <fill>
      <patternFill patternType="solid">
        <fgColor rgb="FF00FF00"/>
        <bgColor indexed="64"/>
      </patternFill>
    </fill>
    <fill>
      <patternFill patternType="solid">
        <fgColor rgb="FFFFFFFF"/>
        <bgColor indexed="64"/>
      </patternFill>
    </fill>
    <fill>
      <patternFill patternType="solid">
        <fgColor rgb="FF9FC5E8"/>
        <bgColor indexed="64"/>
      </patternFill>
    </fill>
    <fill>
      <patternFill patternType="solid">
        <fgColor rgb="FFDBDBDB"/>
        <bgColor indexed="64"/>
      </patternFill>
    </fill>
    <fill>
      <patternFill patternType="solid">
        <fgColor rgb="FFEFEFEF"/>
        <bgColor indexed="64"/>
      </patternFill>
    </fill>
    <fill>
      <patternFill patternType="solid">
        <fgColor rgb="FF00FFFF"/>
        <bgColor indexed="64"/>
      </patternFill>
    </fill>
    <fill>
      <patternFill patternType="solid">
        <fgColor rgb="FFB6D7A8"/>
        <bgColor indexed="64"/>
      </patternFill>
    </fill>
    <fill>
      <patternFill patternType="solid">
        <fgColor rgb="FFCCCCCC"/>
        <bgColor indexed="64"/>
      </patternFill>
    </fill>
    <fill>
      <patternFill patternType="solid">
        <fgColor rgb="FFE5E5E5"/>
        <bgColor indexed="64"/>
      </patternFill>
    </fill>
    <fill>
      <patternFill patternType="solid">
        <fgColor rgb="FF92D050"/>
        <bgColor indexed="64"/>
      </patternFill>
    </fill>
  </fills>
  <borders count="52">
    <border>
      <left/>
      <right/>
      <top/>
      <bottom/>
      <diagonal/>
    </border>
    <border>
      <left style="medium">
        <color rgb="FFCCCCCC"/>
      </left>
      <right style="medium">
        <color rgb="FFCCCCCC"/>
      </right>
      <top style="medium">
        <color rgb="FFCCCCCC"/>
      </top>
      <bottom style="medium">
        <color rgb="FFCCCCCC"/>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bottom style="medium">
        <color rgb="FF000000"/>
      </bottom>
      <diagonal/>
    </border>
    <border>
      <left style="medium">
        <color rgb="FFCCCCCC"/>
      </left>
      <right style="medium">
        <color rgb="FFCCCCCC"/>
      </right>
      <top style="medium">
        <color rgb="FFCCCCCC"/>
      </top>
      <bottom style="medium">
        <color rgb="FF3F3F41"/>
      </bottom>
      <diagonal/>
    </border>
    <border>
      <left style="medium">
        <color rgb="FFCCCCCC"/>
      </left>
      <right style="medium">
        <color rgb="FF3F3F41"/>
      </right>
      <top style="medium">
        <color rgb="FFCCCCCC"/>
      </top>
      <bottom style="medium">
        <color rgb="FFCCCCCC"/>
      </bottom>
      <diagonal/>
    </border>
    <border>
      <left style="medium">
        <color rgb="FFCCCCCC"/>
      </left>
      <right style="medium">
        <color rgb="FF3F3F41"/>
      </right>
      <top style="medium">
        <color rgb="FFCCCCCC"/>
      </top>
      <bottom style="medium">
        <color rgb="FF3F3F41"/>
      </bottom>
      <diagonal/>
    </border>
    <border>
      <left style="medium">
        <color rgb="FFCCCCCC"/>
      </left>
      <right style="medium">
        <color rgb="FF3F3F41"/>
      </right>
      <top style="medium">
        <color rgb="FFCCCCCC"/>
      </top>
      <bottom style="medium">
        <color rgb="FF000000"/>
      </bottom>
      <diagonal/>
    </border>
    <border>
      <left style="medium">
        <color rgb="FFCCCCCC"/>
      </left>
      <right style="double">
        <color rgb="FF000000"/>
      </right>
      <top style="medium">
        <color rgb="FFCCCCCC"/>
      </top>
      <bottom style="medium">
        <color rgb="FF000000"/>
      </bottom>
      <diagonal/>
    </border>
    <border>
      <left style="medium">
        <color rgb="FFCCCCCC"/>
      </left>
      <right style="double">
        <color rgb="FF000000"/>
      </right>
      <top style="medium">
        <color rgb="FFCCCCCC"/>
      </top>
      <bottom style="medium">
        <color rgb="FFCCCCCC"/>
      </bottom>
      <diagonal/>
    </border>
    <border>
      <left style="medium">
        <color rgb="FFCCCCCC"/>
      </left>
      <right style="medium">
        <color rgb="FFCCCCCC"/>
      </right>
      <top/>
      <bottom style="medium">
        <color rgb="FF000000"/>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7F7F7F"/>
      </bottom>
      <diagonal/>
    </border>
    <border>
      <left style="medium">
        <color rgb="FFCCCCCC"/>
      </left>
      <right style="medium">
        <color rgb="FF7F7F7F"/>
      </right>
      <top style="medium">
        <color rgb="FFCCCCCC"/>
      </top>
      <bottom style="medium">
        <color rgb="FF7F7F7F"/>
      </bottom>
      <diagonal/>
    </border>
    <border>
      <left style="medium">
        <color rgb="FFCCCCCC"/>
      </left>
      <right style="medium">
        <color rgb="FF7F7F7F"/>
      </right>
      <top/>
      <bottom style="medium">
        <color rgb="FF7F7F7F"/>
      </bottom>
      <diagonal/>
    </border>
    <border>
      <left/>
      <right/>
      <top style="medium">
        <color rgb="FFCCCCCC"/>
      </top>
      <bottom style="medium">
        <color rgb="FFCCCCCC"/>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3F3F41"/>
      </left>
      <right style="medium">
        <color rgb="FF3F3F41"/>
      </right>
      <top style="medium">
        <color rgb="FF3F3F41"/>
      </top>
      <bottom/>
      <diagonal/>
    </border>
    <border>
      <left style="medium">
        <color rgb="FF3F3F41"/>
      </left>
      <right style="medium">
        <color rgb="FF3F3F41"/>
      </right>
      <top/>
      <bottom style="medium">
        <color rgb="FF3F3F41"/>
      </bottom>
      <diagonal/>
    </border>
    <border>
      <left style="medium">
        <color rgb="FFCCCCCC"/>
      </left>
      <right/>
      <top style="medium">
        <color rgb="FF3F3F41"/>
      </top>
      <bottom style="medium">
        <color rgb="FF3F3F41"/>
      </bottom>
      <diagonal/>
    </border>
    <border>
      <left/>
      <right style="medium">
        <color rgb="FFCCCCCC"/>
      </right>
      <top style="medium">
        <color rgb="FF3F3F41"/>
      </top>
      <bottom style="medium">
        <color rgb="FF3F3F41"/>
      </bottom>
      <diagonal/>
    </border>
    <border>
      <left style="medium">
        <color rgb="FF3F3F41"/>
      </left>
      <right/>
      <top style="medium">
        <color rgb="FF3F3F41"/>
      </top>
      <bottom style="medium">
        <color rgb="FF3F3F41"/>
      </bottom>
      <diagonal/>
    </border>
    <border>
      <left/>
      <right/>
      <top style="medium">
        <color rgb="FF3F3F41"/>
      </top>
      <bottom style="medium">
        <color rgb="FF3F3F41"/>
      </bottom>
      <diagonal/>
    </border>
    <border>
      <left/>
      <right style="medium">
        <color rgb="FF3F3F41"/>
      </right>
      <top style="medium">
        <color rgb="FF3F3F41"/>
      </top>
      <bottom style="medium">
        <color rgb="FF3F3F41"/>
      </bottom>
      <diagonal/>
    </border>
    <border>
      <left/>
      <right style="medium">
        <color rgb="FFCCCCCC"/>
      </right>
      <top style="medium">
        <color rgb="FF000000"/>
      </top>
      <bottom style="medium">
        <color rgb="FF000000"/>
      </bottom>
      <diagonal/>
    </border>
    <border>
      <left style="medium">
        <color rgb="FFCCCCCC"/>
      </left>
      <right style="medium">
        <color rgb="FF000000"/>
      </right>
      <top style="medium">
        <color rgb="FF000000"/>
      </top>
      <bottom/>
      <diagonal/>
    </border>
    <border>
      <left style="medium">
        <color rgb="FFCCCCCC"/>
      </left>
      <right/>
      <top style="medium">
        <color rgb="FF000000"/>
      </top>
      <bottom style="medium">
        <color rgb="FF000000"/>
      </bottom>
      <diagonal/>
    </border>
    <border>
      <left style="medium">
        <color rgb="FF000000"/>
      </left>
      <right style="medium">
        <color rgb="FFCCCCCC"/>
      </right>
      <top style="medium">
        <color rgb="FF000000"/>
      </top>
      <bottom/>
      <diagonal/>
    </border>
    <border>
      <left style="medium">
        <color rgb="FF000000"/>
      </left>
      <right style="medium">
        <color rgb="FFCCCCCC"/>
      </right>
      <top/>
      <bottom style="medium">
        <color rgb="FF000000"/>
      </bottom>
      <diagonal/>
    </border>
    <border>
      <left style="medium">
        <color rgb="FFCCCCCC"/>
      </left>
      <right style="medium">
        <color rgb="FFCCCCCC"/>
      </right>
      <top style="medium">
        <color rgb="FF000000"/>
      </top>
      <bottom/>
      <diagonal/>
    </border>
    <border>
      <left style="medium">
        <color rgb="FFCCCCCC"/>
      </left>
      <right/>
      <top style="medium">
        <color rgb="FF000000"/>
      </top>
      <bottom style="medium">
        <color rgb="FFCCCCCC"/>
      </bottom>
      <diagonal/>
    </border>
    <border>
      <left/>
      <right style="medium">
        <color rgb="FFCCCCCC"/>
      </right>
      <top style="medium">
        <color rgb="FF000000"/>
      </top>
      <bottom style="medium">
        <color rgb="FFCCCCCC"/>
      </bottom>
      <diagonal/>
    </border>
    <border>
      <left style="medium">
        <color rgb="FF7F7F7F"/>
      </left>
      <right/>
      <top style="medium">
        <color rgb="FF7F7F7F"/>
      </top>
      <bottom style="medium">
        <color rgb="FF7F7F7F"/>
      </bottom>
      <diagonal/>
    </border>
    <border>
      <left/>
      <right/>
      <top style="medium">
        <color rgb="FF7F7F7F"/>
      </top>
      <bottom style="medium">
        <color rgb="FF7F7F7F"/>
      </bottom>
      <diagonal/>
    </border>
    <border>
      <left/>
      <right style="medium">
        <color rgb="FF7F7F7F"/>
      </right>
      <top style="medium">
        <color rgb="FF7F7F7F"/>
      </top>
      <bottom style="medium">
        <color rgb="FF7F7F7F"/>
      </bottom>
      <diagonal/>
    </border>
    <border>
      <left/>
      <right style="medium">
        <color rgb="FFCCCCCC"/>
      </right>
      <top style="medium">
        <color rgb="FF7F7F7F"/>
      </top>
      <bottom style="medium">
        <color rgb="FF7F7F7F"/>
      </bottom>
      <diagonal/>
    </border>
    <border>
      <left style="medium">
        <color rgb="FFCCCCCC"/>
      </left>
      <right style="medium">
        <color rgb="FF7F7F7F"/>
      </right>
      <top style="medium">
        <color rgb="FF7F7F7F"/>
      </top>
      <bottom/>
      <diagonal/>
    </border>
    <border>
      <left style="medium">
        <color rgb="FF000000"/>
      </left>
      <right style="medium">
        <color rgb="FF000000"/>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s>
  <cellStyleXfs count="2">
    <xf numFmtId="0" fontId="0" fillId="0" borderId="0"/>
    <xf numFmtId="0" fontId="15" fillId="0" borderId="0" applyNumberFormat="0" applyFill="0" applyBorder="0" applyAlignment="0" applyProtection="0"/>
  </cellStyleXfs>
  <cellXfs count="349">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1" fillId="0" borderId="0" xfId="0" applyFont="1" applyAlignment="1"/>
    <xf numFmtId="165" fontId="1" fillId="0" borderId="0" xfId="0" applyNumberFormat="1" applyFont="1" applyAlignment="1"/>
    <xf numFmtId="166" fontId="1" fillId="0" borderId="0" xfId="0" applyNumberFormat="1" applyFont="1" applyAlignment="1"/>
    <xf numFmtId="167" fontId="1" fillId="0" borderId="0" xfId="0" applyNumberFormat="1" applyFont="1" applyAlignment="1"/>
    <xf numFmtId="0" fontId="1" fillId="0" borderId="0" xfId="0" quotePrefix="1" applyFont="1" applyAlignment="1"/>
    <xf numFmtId="168" fontId="1" fillId="0" borderId="0" xfId="0" applyNumberFormat="1" applyFont="1" applyAlignment="1"/>
    <xf numFmtId="169" fontId="1" fillId="0" borderId="0" xfId="0" applyNumberFormat="1" applyFont="1" applyAlignment="1"/>
    <xf numFmtId="170" fontId="1" fillId="0" borderId="0" xfId="0" applyNumberFormat="1" applyFont="1" applyAlignment="1"/>
    <xf numFmtId="0" fontId="3" fillId="0" borderId="0" xfId="0" applyFont="1" applyAlignment="1"/>
    <xf numFmtId="0" fontId="4" fillId="0" borderId="0" xfId="0" applyFont="1" applyAlignment="1"/>
    <xf numFmtId="0" fontId="1" fillId="0" borderId="0" xfId="0" applyFont="1" applyAlignment="1"/>
    <xf numFmtId="0" fontId="3" fillId="0" borderId="0" xfId="0" applyFont="1" applyAlignment="1"/>
    <xf numFmtId="164" fontId="1" fillId="0" borderId="0" xfId="0" applyNumberFormat="1" applyFont="1" applyAlignment="1"/>
    <xf numFmtId="0" fontId="5" fillId="0" borderId="0" xfId="0" applyFont="1" applyAlignment="1"/>
    <xf numFmtId="0" fontId="1" fillId="0" borderId="0" xfId="0" applyFont="1" applyAlignment="1"/>
    <xf numFmtId="165" fontId="1" fillId="0" borderId="0" xfId="0" applyNumberFormat="1" applyFont="1" applyAlignment="1"/>
    <xf numFmtId="166" fontId="1" fillId="0" borderId="0" xfId="0" applyNumberFormat="1" applyFont="1" applyAlignment="1"/>
    <xf numFmtId="167" fontId="1" fillId="0" borderId="0" xfId="0" applyNumberFormat="1" applyFont="1" applyAlignment="1"/>
    <xf numFmtId="0" fontId="1" fillId="0" borderId="0" xfId="0" quotePrefix="1" applyFont="1" applyAlignment="1"/>
    <xf numFmtId="168" fontId="1" fillId="0" borderId="0" xfId="0" applyNumberFormat="1" applyFont="1" applyAlignment="1"/>
    <xf numFmtId="169" fontId="1" fillId="0" borderId="0" xfId="0" applyNumberFormat="1" applyFont="1" applyAlignment="1"/>
    <xf numFmtId="170" fontId="1" fillId="0" borderId="0" xfId="0" applyNumberFormat="1" applyFont="1" applyAlignment="1"/>
    <xf numFmtId="0" fontId="1" fillId="0" borderId="0" xfId="0" applyFont="1" applyAlignment="1"/>
    <xf numFmtId="166" fontId="1" fillId="0" borderId="0" xfId="0" applyNumberFormat="1" applyFont="1" applyAlignment="1"/>
    <xf numFmtId="168" fontId="1" fillId="0" borderId="0" xfId="0" applyNumberFormat="1" applyFont="1" applyAlignment="1"/>
    <xf numFmtId="0" fontId="3" fillId="0" borderId="0" xfId="0" applyFont="1" applyAlignment="1"/>
    <xf numFmtId="0" fontId="6" fillId="2" borderId="0" xfId="0" applyFont="1" applyFill="1" applyAlignment="1">
      <alignment horizontal="center" vertical="center" wrapText="1"/>
    </xf>
    <xf numFmtId="0" fontId="7" fillId="2" borderId="0" xfId="0" applyFont="1" applyFill="1" applyAlignment="1">
      <alignment horizontal="center" vertical="center" wrapText="1"/>
    </xf>
    <xf numFmtId="0" fontId="8" fillId="0" borderId="0" xfId="0" applyFont="1" applyAlignment="1">
      <alignment horizontal="center" vertical="center" wrapText="1"/>
    </xf>
    <xf numFmtId="0" fontId="1" fillId="0" borderId="0" xfId="0" applyFont="1" applyAlignment="1"/>
    <xf numFmtId="0" fontId="1" fillId="0" borderId="0" xfId="0" applyFont="1" applyAlignment="1"/>
    <xf numFmtId="164" fontId="1" fillId="0" borderId="0" xfId="0" applyNumberFormat="1" applyFont="1" applyAlignment="1"/>
    <xf numFmtId="0" fontId="9" fillId="0" borderId="0" xfId="0" applyFont="1"/>
    <xf numFmtId="0" fontId="10" fillId="0" borderId="0" xfId="0" applyFont="1" applyAlignment="1"/>
    <xf numFmtId="0" fontId="9" fillId="0" borderId="0" xfId="0" applyFont="1" applyAlignment="1"/>
    <xf numFmtId="0" fontId="9" fillId="0" borderId="0" xfId="0" applyFont="1" applyAlignment="1"/>
    <xf numFmtId="0" fontId="9" fillId="0" borderId="0" xfId="0" applyFont="1" applyAlignment="1"/>
    <xf numFmtId="0" fontId="11" fillId="0" borderId="0" xfId="0" applyFont="1" applyAlignment="1"/>
    <xf numFmtId="168" fontId="1" fillId="0" borderId="0" xfId="0" applyNumberFormat="1" applyFont="1" applyAlignment="1"/>
    <xf numFmtId="166" fontId="1" fillId="0" borderId="0" xfId="0" applyNumberFormat="1" applyFont="1" applyAlignment="1"/>
    <xf numFmtId="0" fontId="1" fillId="0" borderId="0" xfId="0" applyFont="1" applyAlignment="1"/>
    <xf numFmtId="167" fontId="1" fillId="0" borderId="0" xfId="0" applyNumberFormat="1" applyFont="1" applyAlignment="1"/>
    <xf numFmtId="0" fontId="1" fillId="3" borderId="0" xfId="0" applyFont="1" applyFill="1" applyAlignment="1"/>
    <xf numFmtId="169" fontId="1" fillId="0" borderId="0" xfId="0" applyNumberFormat="1" applyFont="1" applyAlignment="1"/>
    <xf numFmtId="165" fontId="1" fillId="0" borderId="0" xfId="0" applyNumberFormat="1" applyFont="1" applyAlignment="1"/>
    <xf numFmtId="170" fontId="1" fillId="0" borderId="0" xfId="0" applyNumberFormat="1" applyFont="1" applyAlignment="1"/>
    <xf numFmtId="0" fontId="3" fillId="0" borderId="0" xfId="0" applyFont="1"/>
    <xf numFmtId="0" fontId="8" fillId="4" borderId="0" xfId="0" applyFont="1" applyFill="1" applyAlignment="1">
      <alignment horizontal="center" vertical="center" wrapText="1"/>
    </xf>
    <xf numFmtId="0" fontId="8" fillId="4" borderId="0" xfId="0" applyFont="1" applyFill="1" applyAlignment="1">
      <alignment horizontal="center" vertical="center" wrapText="1"/>
    </xf>
    <xf numFmtId="164" fontId="3" fillId="0" borderId="0" xfId="0" applyNumberFormat="1" applyFont="1" applyAlignment="1"/>
    <xf numFmtId="0" fontId="12" fillId="0" borderId="0" xfId="0" applyFont="1" applyAlignment="1"/>
    <xf numFmtId="166" fontId="3" fillId="0" borderId="0" xfId="0" applyNumberFormat="1" applyFont="1" applyAlignment="1"/>
    <xf numFmtId="0" fontId="3" fillId="0" borderId="0" xfId="0" applyFont="1"/>
    <xf numFmtId="0" fontId="16" fillId="0" borderId="1" xfId="0" applyFont="1" applyBorder="1" applyAlignment="1">
      <alignment wrapText="1"/>
    </xf>
    <xf numFmtId="0" fontId="17" fillId="6" borderId="0" xfId="0" applyFont="1" applyFill="1" applyAlignment="1">
      <alignment horizontal="center" vertical="center" wrapText="1"/>
    </xf>
    <xf numFmtId="0" fontId="17" fillId="0" borderId="0" xfId="0" applyFont="1" applyAlignment="1">
      <alignment horizontal="center" vertical="center" wrapText="1"/>
    </xf>
    <xf numFmtId="0" fontId="0" fillId="0" borderId="0" xfId="0"/>
    <xf numFmtId="0" fontId="3" fillId="0" borderId="0" xfId="0" applyFont="1" applyAlignment="1">
      <alignment horizontal="left" vertical="center"/>
    </xf>
    <xf numFmtId="0" fontId="3" fillId="0" borderId="0" xfId="0" applyFont="1" applyAlignment="1">
      <alignment horizontal="left" vertical="center" wrapText="1"/>
    </xf>
    <xf numFmtId="0" fontId="15" fillId="0" borderId="0" xfId="1" applyFill="1" applyAlignment="1">
      <alignment horizontal="left" vertical="center" wrapText="1"/>
    </xf>
    <xf numFmtId="0" fontId="3" fillId="0" borderId="0" xfId="0" applyFont="1" applyAlignment="1">
      <alignment vertical="center"/>
    </xf>
    <xf numFmtId="0" fontId="20" fillId="5" borderId="2" xfId="0" applyFont="1" applyFill="1" applyBorder="1"/>
    <xf numFmtId="0" fontId="8" fillId="8" borderId="0" xfId="0" applyFont="1" applyFill="1"/>
    <xf numFmtId="0" fontId="8" fillId="8" borderId="0" xfId="0" applyFont="1" applyFill="1" applyAlignment="1">
      <alignment textRotation="45"/>
    </xf>
    <xf numFmtId="0" fontId="3" fillId="0" borderId="0" xfId="0" applyFont="1" applyFill="1" applyAlignment="1"/>
    <xf numFmtId="0" fontId="13" fillId="0" borderId="0" xfId="0" applyFont="1" applyFill="1" applyAlignment="1"/>
    <xf numFmtId="0" fontId="3" fillId="0" borderId="0" xfId="0" applyFont="1" applyFill="1"/>
    <xf numFmtId="0" fontId="0" fillId="0" borderId="0" xfId="0" applyFont="1" applyFill="1" applyAlignment="1"/>
    <xf numFmtId="166" fontId="3" fillId="0" borderId="0" xfId="0" applyNumberFormat="1" applyFont="1" applyFill="1" applyAlignment="1"/>
    <xf numFmtId="164" fontId="3" fillId="0" borderId="0" xfId="0" applyNumberFormat="1" applyFont="1" applyFill="1" applyAlignment="1"/>
    <xf numFmtId="0" fontId="0" fillId="0" borderId="0" xfId="0" applyFill="1" applyBorder="1"/>
    <xf numFmtId="0" fontId="20" fillId="5" borderId="3" xfId="0" applyFont="1" applyFill="1" applyBorder="1"/>
    <xf numFmtId="0" fontId="20" fillId="0" borderId="0" xfId="0" applyFont="1" applyFill="1" applyBorder="1"/>
    <xf numFmtId="0" fontId="18" fillId="9" borderId="1" xfId="0" applyFont="1" applyFill="1" applyBorder="1" applyAlignment="1">
      <alignment vertical="center"/>
    </xf>
    <xf numFmtId="0" fontId="18" fillId="0" borderId="4" xfId="0" applyFont="1" applyBorder="1" applyAlignment="1">
      <alignment vertical="center"/>
    </xf>
    <xf numFmtId="0" fontId="16" fillId="0" borderId="4" xfId="0" applyFont="1" applyBorder="1" applyAlignment="1">
      <alignment vertical="center" wrapText="1"/>
    </xf>
    <xf numFmtId="0" fontId="16" fillId="0" borderId="5" xfId="0" applyFont="1" applyBorder="1" applyAlignment="1">
      <alignment wrapText="1"/>
    </xf>
    <xf numFmtId="0" fontId="16" fillId="0" borderId="6" xfId="0" applyFont="1" applyBorder="1" applyAlignment="1">
      <alignment vertical="center" wrapText="1"/>
    </xf>
    <xf numFmtId="0" fontId="18" fillId="0" borderId="6" xfId="0" applyFont="1" applyBorder="1" applyAlignment="1">
      <alignment horizontal="center" vertical="center" wrapText="1"/>
    </xf>
    <xf numFmtId="0" fontId="16" fillId="0" borderId="6" xfId="0" applyFont="1" applyBorder="1" applyAlignment="1">
      <alignment wrapText="1"/>
    </xf>
    <xf numFmtId="0" fontId="16" fillId="0" borderId="6" xfId="0" applyFont="1" applyBorder="1" applyAlignment="1">
      <alignment horizontal="right" wrapText="1"/>
    </xf>
    <xf numFmtId="0" fontId="16" fillId="7" borderId="6" xfId="0" applyFont="1" applyFill="1" applyBorder="1" applyAlignment="1">
      <alignment wrapText="1"/>
    </xf>
    <xf numFmtId="0" fontId="16" fillId="7" borderId="6" xfId="0" applyFont="1" applyFill="1" applyBorder="1" applyAlignment="1">
      <alignment horizontal="right" wrapText="1"/>
    </xf>
    <xf numFmtId="0" fontId="16" fillId="0" borderId="4" xfId="0" applyFont="1" applyBorder="1" applyAlignment="1">
      <alignment vertical="center"/>
    </xf>
    <xf numFmtId="0" fontId="16" fillId="0" borderId="4" xfId="0" applyFont="1" applyBorder="1" applyAlignment="1">
      <alignment wrapText="1"/>
    </xf>
    <xf numFmtId="0" fontId="22" fillId="0" borderId="6" xfId="0" applyFont="1" applyBorder="1" applyAlignment="1">
      <alignment wrapText="1"/>
    </xf>
    <xf numFmtId="0" fontId="22" fillId="0" borderId="6" xfId="0" applyFont="1" applyBorder="1" applyAlignment="1">
      <alignment horizontal="right" wrapText="1"/>
    </xf>
    <xf numFmtId="0" fontId="22" fillId="0" borderId="4" xfId="0" applyFont="1" applyBorder="1" applyAlignment="1">
      <alignment vertical="center"/>
    </xf>
    <xf numFmtId="0" fontId="23" fillId="0" borderId="6" xfId="0" applyFont="1" applyBorder="1" applyAlignment="1">
      <alignment horizontal="right" vertical="top" wrapText="1"/>
    </xf>
    <xf numFmtId="0" fontId="18" fillId="0" borderId="6" xfId="0" applyFont="1" applyBorder="1" applyAlignment="1">
      <alignment horizontal="right" vertical="top" wrapText="1"/>
    </xf>
    <xf numFmtId="0" fontId="16" fillId="0" borderId="6" xfId="0" applyFont="1" applyBorder="1" applyAlignment="1">
      <alignment horizontal="right" vertical="top" wrapText="1"/>
    </xf>
    <xf numFmtId="0" fontId="16" fillId="0" borderId="4" xfId="0" applyFont="1" applyBorder="1" applyAlignment="1">
      <alignment vertical="top" wrapText="1"/>
    </xf>
    <xf numFmtId="0" fontId="16" fillId="0" borderId="6" xfId="0" applyFont="1" applyBorder="1" applyAlignment="1">
      <alignment vertical="top" wrapText="1"/>
    </xf>
    <xf numFmtId="0" fontId="23" fillId="0" borderId="4" xfId="0" applyFont="1" applyBorder="1" applyAlignment="1">
      <alignment vertical="center"/>
    </xf>
    <xf numFmtId="0" fontId="16" fillId="0" borderId="6" xfId="0" applyFont="1" applyBorder="1" applyAlignment="1">
      <alignment horizontal="center" wrapText="1"/>
    </xf>
    <xf numFmtId="0" fontId="16" fillId="0" borderId="6" xfId="0" applyFont="1" applyBorder="1" applyAlignment="1">
      <alignment horizontal="center" vertical="top" wrapText="1"/>
    </xf>
    <xf numFmtId="0" fontId="23" fillId="7" borderId="6" xfId="0" applyFont="1" applyFill="1" applyBorder="1" applyAlignment="1">
      <alignment wrapText="1"/>
    </xf>
    <xf numFmtId="0" fontId="23" fillId="7" borderId="6" xfId="0" applyFont="1" applyFill="1" applyBorder="1" applyAlignment="1">
      <alignment horizontal="right" wrapText="1"/>
    </xf>
    <xf numFmtId="0" fontId="16" fillId="0" borderId="1" xfId="0" applyFont="1" applyBorder="1" applyAlignment="1">
      <alignment vertical="top" wrapText="1"/>
    </xf>
    <xf numFmtId="0" fontId="18" fillId="0" borderId="1" xfId="0" applyFont="1" applyBorder="1" applyAlignment="1">
      <alignment horizontal="right" vertical="top" wrapText="1"/>
    </xf>
    <xf numFmtId="0" fontId="16" fillId="0" borderId="1" xfId="0" applyFont="1" applyBorder="1" applyAlignment="1">
      <alignment horizontal="right" vertical="top" wrapText="1"/>
    </xf>
    <xf numFmtId="0" fontId="16" fillId="0" borderId="4" xfId="0" applyFont="1" applyBorder="1" applyAlignment="1">
      <alignment horizontal="right" vertical="top" wrapText="1"/>
    </xf>
    <xf numFmtId="0" fontId="18" fillId="0" borderId="4" xfId="0" applyFont="1" applyBorder="1" applyAlignment="1">
      <alignment horizontal="right" vertical="top" wrapText="1"/>
    </xf>
    <xf numFmtId="3" fontId="16" fillId="7" borderId="6" xfId="0" applyNumberFormat="1" applyFont="1" applyFill="1" applyBorder="1" applyAlignment="1">
      <alignment horizontal="right" wrapText="1"/>
    </xf>
    <xf numFmtId="0" fontId="16" fillId="10" borderId="4" xfId="0" applyFont="1" applyFill="1" applyBorder="1" applyAlignment="1">
      <alignment vertical="center"/>
    </xf>
    <xf numFmtId="0" fontId="18" fillId="0" borderId="6" xfId="0" applyFont="1" applyBorder="1" applyAlignment="1">
      <alignment horizontal="center" vertical="top" wrapText="1"/>
    </xf>
    <xf numFmtId="0" fontId="16" fillId="11" borderId="6" xfId="0" applyFont="1" applyFill="1" applyBorder="1" applyAlignment="1">
      <alignment horizontal="center" vertical="top" wrapText="1"/>
    </xf>
    <xf numFmtId="0" fontId="18" fillId="11" borderId="6" xfId="0" applyFont="1" applyFill="1" applyBorder="1" applyAlignment="1">
      <alignment horizontal="center" vertical="top" wrapText="1"/>
    </xf>
    <xf numFmtId="0" fontId="16" fillId="7" borderId="6" xfId="0" applyFont="1" applyFill="1" applyBorder="1" applyAlignment="1">
      <alignment horizontal="center" vertical="top" wrapText="1"/>
    </xf>
    <xf numFmtId="0" fontId="18" fillId="7" borderId="6" xfId="0" applyFont="1" applyFill="1" applyBorder="1" applyAlignment="1">
      <alignment horizontal="center" vertical="top" wrapText="1"/>
    </xf>
    <xf numFmtId="0" fontId="16" fillId="10" borderId="8" xfId="0" applyFont="1" applyFill="1" applyBorder="1" applyAlignment="1">
      <alignment vertical="center"/>
    </xf>
    <xf numFmtId="0" fontId="16" fillId="0" borderId="8" xfId="0" applyFont="1" applyBorder="1" applyAlignment="1">
      <alignment wrapText="1"/>
    </xf>
    <xf numFmtId="0" fontId="16" fillId="0" borderId="9" xfId="0" applyFont="1" applyBorder="1" applyAlignment="1">
      <alignment wrapText="1"/>
    </xf>
    <xf numFmtId="0" fontId="16" fillId="0" borderId="8" xfId="0" applyFont="1" applyBorder="1" applyAlignment="1">
      <alignment vertical="top" wrapText="1"/>
    </xf>
    <xf numFmtId="0" fontId="16" fillId="0" borderId="10" xfId="0" applyFont="1" applyBorder="1" applyAlignment="1">
      <alignment vertical="top" wrapText="1"/>
    </xf>
    <xf numFmtId="0" fontId="16" fillId="0" borderId="10" xfId="0" applyFont="1" applyBorder="1" applyAlignment="1">
      <alignment horizontal="center" vertical="top" wrapText="1"/>
    </xf>
    <xf numFmtId="0" fontId="16" fillId="0" borderId="11" xfId="0" applyFont="1" applyBorder="1" applyAlignment="1">
      <alignment horizontal="center" vertical="top" wrapText="1"/>
    </xf>
    <xf numFmtId="0" fontId="16" fillId="0" borderId="11" xfId="0" applyFont="1" applyBorder="1" applyAlignment="1">
      <alignment vertical="top" wrapText="1"/>
    </xf>
    <xf numFmtId="0" fontId="18" fillId="7" borderId="6" xfId="0" applyFont="1" applyFill="1" applyBorder="1" applyAlignment="1">
      <alignment horizontal="center" wrapText="1"/>
    </xf>
    <xf numFmtId="0" fontId="18" fillId="7" borderId="6" xfId="0" applyFont="1" applyFill="1" applyBorder="1" applyAlignment="1">
      <alignment horizontal="right" wrapText="1"/>
    </xf>
    <xf numFmtId="0" fontId="16" fillId="0" borderId="5" xfId="0" applyFont="1" applyBorder="1" applyAlignment="1">
      <alignment vertical="top" wrapText="1"/>
    </xf>
    <xf numFmtId="0" fontId="16" fillId="12" borderId="6" xfId="0" applyFont="1" applyFill="1" applyBorder="1" applyAlignment="1">
      <alignment vertical="top" wrapText="1"/>
    </xf>
    <xf numFmtId="0" fontId="16" fillId="12" borderId="4" xfId="0" applyFont="1" applyFill="1" applyBorder="1" applyAlignment="1">
      <alignment vertical="top" wrapText="1"/>
    </xf>
    <xf numFmtId="0" fontId="24" fillId="0" borderId="4" xfId="0" applyFont="1" applyBorder="1" applyAlignment="1">
      <alignment vertical="top" wrapText="1"/>
    </xf>
    <xf numFmtId="0" fontId="24" fillId="0" borderId="1" xfId="0" applyFont="1" applyBorder="1" applyAlignment="1">
      <alignment vertical="top" wrapText="1"/>
    </xf>
    <xf numFmtId="0" fontId="25" fillId="0" borderId="1" xfId="0" applyFont="1" applyBorder="1" applyAlignment="1">
      <alignment vertical="top" wrapText="1"/>
    </xf>
    <xf numFmtId="0" fontId="25" fillId="0" borderId="4" xfId="0" applyFont="1" applyBorder="1" applyAlignment="1">
      <alignment vertical="top" wrapText="1"/>
    </xf>
    <xf numFmtId="0" fontId="18" fillId="0" borderId="6" xfId="0" applyFont="1" applyBorder="1" applyAlignment="1">
      <alignment horizontal="right" vertical="center" wrapText="1"/>
    </xf>
    <xf numFmtId="0" fontId="16" fillId="0" borderId="6" xfId="0" applyFont="1" applyBorder="1" applyAlignment="1">
      <alignment horizontal="right" vertical="center" wrapText="1"/>
    </xf>
    <xf numFmtId="10" fontId="16" fillId="0" borderId="6" xfId="0" applyNumberFormat="1" applyFont="1" applyBorder="1" applyAlignment="1">
      <alignment vertical="center" wrapText="1"/>
    </xf>
    <xf numFmtId="0" fontId="16" fillId="0" borderId="4" xfId="0" applyFont="1" applyBorder="1" applyAlignment="1">
      <alignment horizontal="center" vertical="top" wrapText="1"/>
    </xf>
    <xf numFmtId="0" fontId="26" fillId="0" borderId="1" xfId="0" applyFont="1" applyBorder="1" applyAlignment="1">
      <alignment vertical="top" wrapText="1"/>
    </xf>
    <xf numFmtId="0" fontId="16" fillId="0" borderId="5" xfId="0" applyFont="1" applyBorder="1" applyAlignment="1">
      <alignment horizontal="center" vertical="top" wrapText="1"/>
    </xf>
    <xf numFmtId="0" fontId="16" fillId="0" borderId="1" xfId="0" applyFont="1" applyBorder="1" applyAlignment="1">
      <alignment horizontal="center" vertical="top" wrapText="1"/>
    </xf>
    <xf numFmtId="0" fontId="26" fillId="0" borderId="5" xfId="0" applyFont="1" applyBorder="1" applyAlignment="1">
      <alignment vertical="top" wrapText="1"/>
    </xf>
    <xf numFmtId="0" fontId="16" fillId="0" borderId="12" xfId="0" applyFont="1" applyBorder="1" applyAlignment="1">
      <alignment vertical="top" wrapText="1"/>
    </xf>
    <xf numFmtId="0" fontId="16" fillId="0" borderId="13" xfId="0" applyFont="1" applyBorder="1" applyAlignment="1">
      <alignment horizontal="center" vertical="top" wrapText="1"/>
    </xf>
    <xf numFmtId="0" fontId="16" fillId="0" borderId="12" xfId="0" applyFont="1" applyBorder="1" applyAlignment="1">
      <alignment horizontal="center" vertical="top" wrapText="1"/>
    </xf>
    <xf numFmtId="0" fontId="18" fillId="0" borderId="4" xfId="0" applyFont="1" applyBorder="1" applyAlignment="1">
      <alignment vertical="top" wrapText="1"/>
    </xf>
    <xf numFmtId="0" fontId="18" fillId="0" borderId="1" xfId="0" applyFont="1" applyBorder="1" applyAlignment="1">
      <alignment vertical="top" wrapText="1"/>
    </xf>
    <xf numFmtId="0" fontId="18" fillId="0" borderId="1" xfId="0" applyFont="1" applyBorder="1" applyAlignment="1">
      <alignment horizontal="center" vertical="top" wrapText="1"/>
    </xf>
    <xf numFmtId="0" fontId="18" fillId="11" borderId="4" xfId="0" applyFont="1" applyFill="1" applyBorder="1" applyAlignment="1">
      <alignment vertical="top" wrapText="1"/>
    </xf>
    <xf numFmtId="0" fontId="18" fillId="11" borderId="4" xfId="0" applyFont="1" applyFill="1" applyBorder="1" applyAlignment="1">
      <alignment horizontal="center" vertical="top" wrapText="1"/>
    </xf>
    <xf numFmtId="0" fontId="16" fillId="10" borderId="6" xfId="0" applyFont="1" applyFill="1" applyBorder="1" applyAlignment="1">
      <alignment wrapText="1"/>
    </xf>
    <xf numFmtId="0" fontId="16" fillId="0" borderId="4" xfId="0" applyFont="1" applyBorder="1" applyAlignment="1">
      <alignment horizontal="center" vertical="center"/>
    </xf>
    <xf numFmtId="0" fontId="16" fillId="0" borderId="5" xfId="0" applyFont="1" applyBorder="1" applyAlignment="1">
      <alignment horizontal="right" vertical="top" wrapText="1"/>
    </xf>
    <xf numFmtId="0" fontId="23" fillId="0" borderId="6" xfId="0" applyFont="1" applyBorder="1" applyAlignment="1">
      <alignment vertical="top" wrapText="1"/>
    </xf>
    <xf numFmtId="0" fontId="27" fillId="0" borderId="6" xfId="0" applyFont="1" applyBorder="1" applyAlignment="1">
      <alignment vertical="top" wrapText="1"/>
    </xf>
    <xf numFmtId="0" fontId="16" fillId="13" borderId="1" xfId="0" applyFont="1" applyFill="1" applyBorder="1" applyAlignment="1">
      <alignment wrapText="1"/>
    </xf>
    <xf numFmtId="0" fontId="28" fillId="9" borderId="1" xfId="0" applyFont="1" applyFill="1" applyBorder="1" applyAlignment="1">
      <alignment vertical="center" wrapText="1"/>
    </xf>
    <xf numFmtId="0" fontId="23" fillId="0" borderId="1" xfId="0" applyFont="1" applyBorder="1" applyAlignment="1">
      <alignment wrapText="1"/>
    </xf>
    <xf numFmtId="0" fontId="23" fillId="10" borderId="1" xfId="0" applyFont="1" applyFill="1" applyBorder="1" applyAlignment="1">
      <alignment vertical="center"/>
    </xf>
    <xf numFmtId="0" fontId="23" fillId="0" borderId="1" xfId="0" applyFont="1" applyBorder="1" applyAlignment="1">
      <alignment vertical="center"/>
    </xf>
    <xf numFmtId="0" fontId="23" fillId="0" borderId="1" xfId="0" applyFont="1" applyBorder="1" applyAlignment="1">
      <alignment vertical="center" wrapText="1"/>
    </xf>
    <xf numFmtId="0" fontId="29" fillId="0" borderId="4" xfId="0" applyFont="1" applyBorder="1" applyAlignment="1">
      <alignment vertical="center"/>
    </xf>
    <xf numFmtId="0" fontId="29" fillId="0" borderId="4" xfId="0" applyFont="1" applyBorder="1" applyAlignment="1">
      <alignment vertical="center" wrapText="1"/>
    </xf>
    <xf numFmtId="0" fontId="29" fillId="0" borderId="1" xfId="0" applyFont="1" applyBorder="1" applyAlignment="1">
      <alignment vertical="top" wrapText="1"/>
    </xf>
    <xf numFmtId="0" fontId="30" fillId="0" borderId="1" xfId="0" applyFont="1" applyBorder="1" applyAlignment="1">
      <alignment vertical="top" wrapText="1"/>
    </xf>
    <xf numFmtId="0" fontId="31" fillId="0" borderId="1" xfId="0" applyFont="1" applyBorder="1" applyAlignment="1">
      <alignment horizontal="right" vertical="top" wrapText="1"/>
    </xf>
    <xf numFmtId="0" fontId="29" fillId="0" borderId="1" xfId="0" applyFont="1" applyBorder="1" applyAlignment="1">
      <alignment horizontal="right" vertical="top" wrapText="1"/>
    </xf>
    <xf numFmtId="0" fontId="31" fillId="0" borderId="1" xfId="0" applyFont="1" applyBorder="1" applyAlignment="1">
      <alignment vertical="top" wrapText="1"/>
    </xf>
    <xf numFmtId="0" fontId="29" fillId="0" borderId="4" xfId="0" applyFont="1" applyBorder="1" applyAlignment="1">
      <alignment vertical="top" wrapText="1"/>
    </xf>
    <xf numFmtId="0" fontId="29" fillId="0" borderId="4" xfId="0" applyFont="1" applyBorder="1" applyAlignment="1">
      <alignment horizontal="right" vertical="top" wrapText="1"/>
    </xf>
    <xf numFmtId="0" fontId="29" fillId="0" borderId="6" xfId="0" applyFont="1" applyBorder="1" applyAlignment="1">
      <alignment vertical="center" wrapText="1"/>
    </xf>
    <xf numFmtId="0" fontId="23" fillId="10" borderId="6" xfId="0" applyFont="1" applyFill="1" applyBorder="1" applyAlignment="1">
      <alignment wrapText="1"/>
    </xf>
    <xf numFmtId="0" fontId="28" fillId="0" borderId="4" xfId="0" applyFont="1" applyBorder="1" applyAlignment="1">
      <alignment vertical="center"/>
    </xf>
    <xf numFmtId="0" fontId="32" fillId="0" borderId="6" xfId="0" applyFont="1" applyBorder="1" applyAlignment="1">
      <alignment wrapText="1"/>
    </xf>
    <xf numFmtId="0" fontId="32" fillId="0" borderId="6" xfId="0" applyFont="1" applyBorder="1" applyAlignment="1">
      <alignment vertical="top" wrapText="1"/>
    </xf>
    <xf numFmtId="0" fontId="29" fillId="0" borderId="6" xfId="0" applyFont="1" applyBorder="1" applyAlignment="1">
      <alignment vertical="top" wrapText="1"/>
    </xf>
    <xf numFmtId="0" fontId="30" fillId="0" borderId="6" xfId="0" applyFont="1" applyBorder="1" applyAlignment="1">
      <alignment vertical="top" wrapText="1"/>
    </xf>
    <xf numFmtId="0" fontId="29" fillId="0" borderId="6" xfId="0" applyFont="1" applyBorder="1" applyAlignment="1">
      <alignment horizontal="right" vertical="top" wrapText="1"/>
    </xf>
    <xf numFmtId="0" fontId="23" fillId="10" borderId="6" xfId="0" applyFont="1" applyFill="1" applyBorder="1" applyAlignment="1">
      <alignment horizontal="right" wrapText="1"/>
    </xf>
    <xf numFmtId="0" fontId="28" fillId="9" borderId="1" xfId="0" applyFont="1" applyFill="1" applyBorder="1" applyAlignment="1">
      <alignment vertical="center"/>
    </xf>
    <xf numFmtId="0" fontId="16" fillId="9" borderId="1" xfId="0" applyFont="1" applyFill="1" applyBorder="1" applyAlignment="1">
      <alignment wrapText="1"/>
    </xf>
    <xf numFmtId="0" fontId="23" fillId="0" borderId="4" xfId="0" applyFont="1" applyBorder="1" applyAlignment="1">
      <alignment vertical="top" wrapText="1"/>
    </xf>
    <xf numFmtId="0" fontId="23" fillId="0" borderId="4" xfId="0" applyFont="1" applyBorder="1" applyAlignment="1">
      <alignment horizontal="center" vertical="top" wrapText="1"/>
    </xf>
    <xf numFmtId="0" fontId="23" fillId="0" borderId="1" xfId="0" applyFont="1" applyBorder="1" applyAlignment="1">
      <alignment vertical="top" wrapText="1"/>
    </xf>
    <xf numFmtId="0" fontId="28" fillId="0" borderId="1" xfId="0" applyFont="1" applyBorder="1" applyAlignment="1">
      <alignment vertical="top" wrapText="1"/>
    </xf>
    <xf numFmtId="0" fontId="28" fillId="0" borderId="4" xfId="0" applyFont="1" applyBorder="1" applyAlignment="1">
      <alignment vertical="top" wrapText="1"/>
    </xf>
    <xf numFmtId="0" fontId="23" fillId="0" borderId="4" xfId="0" applyFont="1" applyBorder="1" applyAlignment="1">
      <alignment wrapText="1"/>
    </xf>
    <xf numFmtId="0" fontId="23" fillId="0" borderId="1" xfId="0" applyFont="1" applyBorder="1" applyAlignment="1">
      <alignment horizontal="right" vertical="top" wrapText="1"/>
    </xf>
    <xf numFmtId="0" fontId="23" fillId="0" borderId="4" xfId="0" applyFont="1" applyBorder="1" applyAlignment="1">
      <alignment horizontal="right" vertical="top" wrapText="1"/>
    </xf>
    <xf numFmtId="0" fontId="23" fillId="0" borderId="1" xfId="0" applyFont="1" applyBorder="1" applyAlignment="1">
      <alignment horizontal="right" wrapText="1"/>
    </xf>
    <xf numFmtId="0" fontId="23" fillId="0" borderId="1" xfId="0" applyFont="1" applyBorder="1" applyAlignment="1">
      <alignment horizontal="center" wrapText="1"/>
    </xf>
    <xf numFmtId="0" fontId="23" fillId="0" borderId="6" xfId="0" applyFont="1" applyBorder="1" applyAlignment="1">
      <alignment horizontal="center" vertical="top" wrapText="1"/>
    </xf>
    <xf numFmtId="0" fontId="28" fillId="9" borderId="1" xfId="0" applyFont="1" applyFill="1" applyBorder="1" applyAlignment="1">
      <alignment wrapText="1"/>
    </xf>
    <xf numFmtId="0" fontId="33" fillId="0" borderId="4" xfId="0" applyFont="1" applyBorder="1" applyAlignment="1">
      <alignment vertical="top" wrapText="1"/>
    </xf>
    <xf numFmtId="0" fontId="33" fillId="0" borderId="1" xfId="0" applyFont="1" applyBorder="1" applyAlignment="1">
      <alignment vertical="top" wrapText="1"/>
    </xf>
    <xf numFmtId="0" fontId="34" fillId="0" borderId="1" xfId="0" applyFont="1" applyBorder="1" applyAlignment="1">
      <alignment vertical="top" wrapText="1"/>
    </xf>
    <xf numFmtId="0" fontId="34" fillId="0" borderId="4" xfId="0" applyFont="1" applyBorder="1" applyAlignment="1">
      <alignment vertical="top" wrapText="1"/>
    </xf>
    <xf numFmtId="0" fontId="34" fillId="0" borderId="4" xfId="0" applyFont="1" applyBorder="1" applyAlignment="1">
      <alignment vertical="center"/>
    </xf>
    <xf numFmtId="0" fontId="34" fillId="0" borderId="1" xfId="0" applyFont="1" applyBorder="1" applyAlignment="1">
      <alignment vertical="center"/>
    </xf>
    <xf numFmtId="0" fontId="23" fillId="0" borderId="6" xfId="0" applyFont="1" applyBorder="1" applyAlignment="1">
      <alignment wrapText="1"/>
    </xf>
    <xf numFmtId="0" fontId="35" fillId="0" borderId="17" xfId="0" applyFont="1" applyBorder="1" applyAlignment="1">
      <alignment vertical="center"/>
    </xf>
    <xf numFmtId="0" fontId="16" fillId="0" borderId="17" xfId="0" applyFont="1" applyBorder="1" applyAlignment="1">
      <alignment wrapText="1"/>
    </xf>
    <xf numFmtId="0" fontId="16" fillId="0" borderId="18" xfId="0" applyFont="1" applyBorder="1" applyAlignment="1">
      <alignment vertical="top" wrapText="1"/>
    </xf>
    <xf numFmtId="0" fontId="23" fillId="0" borderId="18" xfId="0" applyFont="1" applyBorder="1" applyAlignment="1">
      <alignment horizontal="center" vertical="top" wrapText="1"/>
    </xf>
    <xf numFmtId="0" fontId="23" fillId="0" borderId="17" xfId="0" applyFont="1" applyBorder="1" applyAlignment="1">
      <alignment horizontal="center" vertical="top" wrapText="1"/>
    </xf>
    <xf numFmtId="0" fontId="23" fillId="0" borderId="18" xfId="0" applyFont="1" applyBorder="1" applyAlignment="1">
      <alignment vertical="top" wrapText="1"/>
    </xf>
    <xf numFmtId="0" fontId="23" fillId="0" borderId="18" xfId="0" applyFont="1" applyBorder="1" applyAlignment="1">
      <alignment horizontal="right" vertical="top" wrapText="1"/>
    </xf>
    <xf numFmtId="0" fontId="28" fillId="0" borderId="18" xfId="0" applyFont="1" applyBorder="1" applyAlignment="1">
      <alignment horizontal="right" vertical="top" wrapText="1"/>
    </xf>
    <xf numFmtId="0" fontId="23" fillId="0" borderId="17" xfId="0" applyFont="1" applyBorder="1" applyAlignment="1">
      <alignment horizontal="right" vertical="top" wrapText="1"/>
    </xf>
    <xf numFmtId="0" fontId="35" fillId="0" borderId="1" xfId="0" applyFont="1" applyBorder="1" applyAlignment="1">
      <alignment vertical="center"/>
    </xf>
    <xf numFmtId="0" fontId="23" fillId="0" borderId="17" xfId="0" applyFont="1" applyBorder="1" applyAlignment="1">
      <alignment vertical="center"/>
    </xf>
    <xf numFmtId="0" fontId="23" fillId="0" borderId="17" xfId="0" applyFont="1" applyBorder="1" applyAlignment="1">
      <alignment vertical="top" wrapText="1"/>
    </xf>
    <xf numFmtId="0" fontId="28" fillId="0" borderId="17" xfId="0" applyFont="1" applyBorder="1" applyAlignment="1">
      <alignment horizontal="right" vertical="top" wrapText="1"/>
    </xf>
    <xf numFmtId="0" fontId="23" fillId="14" borderId="4" xfId="0" applyFont="1" applyFill="1" applyBorder="1" applyAlignment="1">
      <alignment vertical="top" wrapText="1"/>
    </xf>
    <xf numFmtId="0" fontId="23" fillId="0" borderId="5" xfId="0" applyFont="1" applyBorder="1" applyAlignment="1">
      <alignment vertical="top" wrapText="1"/>
    </xf>
    <xf numFmtId="0" fontId="23" fillId="15" borderId="1" xfId="0" applyFont="1" applyFill="1" applyBorder="1" applyAlignment="1">
      <alignment vertical="center" wrapText="1"/>
    </xf>
    <xf numFmtId="0" fontId="23" fillId="0" borderId="6" xfId="0" applyFont="1" applyBorder="1" applyAlignment="1">
      <alignment horizontal="right" wrapText="1"/>
    </xf>
    <xf numFmtId="0" fontId="36" fillId="0" borderId="1" xfId="0" applyFont="1" applyBorder="1" applyAlignment="1">
      <alignment vertical="top" wrapText="1"/>
    </xf>
    <xf numFmtId="0" fontId="37" fillId="0" borderId="1" xfId="0" applyFont="1" applyBorder="1" applyAlignment="1">
      <alignment vertical="top" wrapText="1"/>
    </xf>
    <xf numFmtId="0" fontId="23" fillId="0" borderId="4" xfId="0" applyFont="1" applyBorder="1" applyAlignment="1">
      <alignment horizontal="right" wrapText="1"/>
    </xf>
    <xf numFmtId="0" fontId="36" fillId="0" borderId="4" xfId="0" applyFont="1" applyBorder="1" applyAlignment="1">
      <alignment vertical="top" wrapText="1"/>
    </xf>
    <xf numFmtId="0" fontId="28" fillId="16" borderId="1" xfId="0" applyFont="1" applyFill="1" applyBorder="1" applyAlignment="1">
      <alignment vertical="top" wrapText="1"/>
    </xf>
    <xf numFmtId="0" fontId="23" fillId="17" borderId="1" xfId="0" applyFont="1" applyFill="1" applyBorder="1" applyAlignment="1">
      <alignment vertical="top" wrapText="1"/>
    </xf>
    <xf numFmtId="0" fontId="28" fillId="17" borderId="1" xfId="0" applyFont="1" applyFill="1" applyBorder="1" applyAlignment="1">
      <alignment vertical="top" wrapText="1"/>
    </xf>
    <xf numFmtId="0" fontId="23" fillId="0" borderId="1" xfId="0" applyFont="1" applyBorder="1" applyAlignment="1">
      <alignment horizontal="center" vertical="top" wrapText="1"/>
    </xf>
    <xf numFmtId="0" fontId="23" fillId="17" borderId="1" xfId="0" applyFont="1" applyFill="1" applyBorder="1" applyAlignment="1">
      <alignment horizontal="center" vertical="top" wrapText="1"/>
    </xf>
    <xf numFmtId="0" fontId="28" fillId="14" borderId="1" xfId="0" applyFont="1" applyFill="1" applyBorder="1" applyAlignment="1">
      <alignment vertical="center"/>
    </xf>
    <xf numFmtId="0" fontId="28" fillId="16" borderId="1" xfId="0" applyFont="1" applyFill="1" applyBorder="1" applyAlignment="1">
      <alignment horizontal="center" vertical="top" wrapText="1"/>
    </xf>
    <xf numFmtId="0" fontId="28" fillId="0" borderId="1" xfId="0" applyFont="1" applyBorder="1" applyAlignment="1">
      <alignment horizontal="right" vertical="top" wrapText="1"/>
    </xf>
    <xf numFmtId="9" fontId="23" fillId="0" borderId="1" xfId="0" applyNumberFormat="1" applyFont="1" applyBorder="1" applyAlignment="1">
      <alignment horizontal="right" wrapText="1"/>
    </xf>
    <xf numFmtId="0" fontId="23" fillId="10" borderId="1" xfId="0" applyFont="1" applyFill="1" applyBorder="1" applyAlignment="1">
      <alignment horizontal="right" wrapText="1"/>
    </xf>
    <xf numFmtId="0" fontId="18" fillId="9" borderId="1" xfId="0" applyFont="1" applyFill="1" applyBorder="1" applyAlignment="1">
      <alignment wrapText="1"/>
    </xf>
    <xf numFmtId="0" fontId="38" fillId="14" borderId="6" xfId="0" applyFont="1" applyFill="1" applyBorder="1" applyAlignment="1">
      <alignment wrapText="1"/>
    </xf>
    <xf numFmtId="0" fontId="22" fillId="0" borderId="1" xfId="0" applyFont="1" applyBorder="1" applyAlignment="1">
      <alignment wrapText="1"/>
    </xf>
    <xf numFmtId="0" fontId="22" fillId="0" borderId="1" xfId="0" applyFont="1" applyBorder="1" applyAlignment="1">
      <alignment horizontal="right" wrapText="1"/>
    </xf>
    <xf numFmtId="0" fontId="22" fillId="0" borderId="4" xfId="0" applyFont="1" applyBorder="1" applyAlignment="1">
      <alignment wrapText="1"/>
    </xf>
    <xf numFmtId="0" fontId="22" fillId="0" borderId="4" xfId="0" applyFont="1" applyBorder="1" applyAlignment="1">
      <alignment horizontal="right" wrapText="1"/>
    </xf>
    <xf numFmtId="0" fontId="16" fillId="14" borderId="6" xfId="0" applyFont="1" applyFill="1" applyBorder="1" applyAlignment="1">
      <alignment wrapText="1"/>
    </xf>
    <xf numFmtId="0" fontId="23" fillId="0" borderId="38" xfId="0" applyFont="1" applyBorder="1" applyAlignment="1">
      <alignment vertical="center" wrapText="1"/>
    </xf>
    <xf numFmtId="0" fontId="23" fillId="0" borderId="14" xfId="0" applyFont="1" applyBorder="1" applyAlignment="1">
      <alignment vertical="center" wrapText="1"/>
    </xf>
    <xf numFmtId="0" fontId="23" fillId="0" borderId="15" xfId="0" applyFont="1" applyBorder="1" applyAlignment="1">
      <alignment wrapText="1"/>
    </xf>
    <xf numFmtId="0" fontId="23" fillId="0" borderId="20" xfId="0" applyFont="1" applyBorder="1" applyAlignment="1">
      <alignment wrapText="1"/>
    </xf>
    <xf numFmtId="0" fontId="23" fillId="0" borderId="16" xfId="0" applyFont="1" applyBorder="1" applyAlignment="1">
      <alignment wrapText="1"/>
    </xf>
    <xf numFmtId="0" fontId="23" fillId="10" borderId="24" xfId="0" applyFont="1" applyFill="1" applyBorder="1" applyAlignment="1">
      <alignment vertical="center" wrapText="1"/>
    </xf>
    <xf numFmtId="0" fontId="23" fillId="10" borderId="46" xfId="0" applyFont="1" applyFill="1" applyBorder="1" applyAlignment="1">
      <alignment vertical="center" wrapText="1"/>
    </xf>
    <xf numFmtId="0" fontId="23" fillId="10" borderId="25" xfId="0" applyFont="1" applyFill="1" applyBorder="1" applyAlignment="1">
      <alignment vertical="center" wrapText="1"/>
    </xf>
    <xf numFmtId="0" fontId="23" fillId="10" borderId="21" xfId="0" applyFont="1" applyFill="1" applyBorder="1" applyAlignment="1">
      <alignment horizontal="center" wrapText="1"/>
    </xf>
    <xf numFmtId="0" fontId="23" fillId="10" borderId="22" xfId="0" applyFont="1" applyFill="1" applyBorder="1" applyAlignment="1">
      <alignment horizontal="center" wrapText="1"/>
    </xf>
    <xf numFmtId="0" fontId="23" fillId="10" borderId="23" xfId="0" applyFont="1" applyFill="1" applyBorder="1" applyAlignment="1">
      <alignment horizontal="center" wrapText="1"/>
    </xf>
    <xf numFmtId="0" fontId="23" fillId="10" borderId="21" xfId="0" applyFont="1" applyFill="1" applyBorder="1" applyAlignment="1">
      <alignment wrapText="1"/>
    </xf>
    <xf numFmtId="0" fontId="23" fillId="10" borderId="23" xfId="0" applyFont="1" applyFill="1" applyBorder="1" applyAlignment="1">
      <alignment wrapText="1"/>
    </xf>
    <xf numFmtId="0" fontId="22" fillId="0" borderId="24" xfId="0" applyFont="1" applyBorder="1" applyAlignment="1">
      <alignment vertical="center" wrapText="1"/>
    </xf>
    <xf numFmtId="0" fontId="22" fillId="0" borderId="46" xfId="0" applyFont="1" applyBorder="1" applyAlignment="1">
      <alignment vertical="center" wrapText="1"/>
    </xf>
    <xf numFmtId="0" fontId="22" fillId="0" borderId="25" xfId="0" applyFont="1" applyBorder="1" applyAlignment="1">
      <alignment vertical="center" wrapText="1"/>
    </xf>
    <xf numFmtId="0" fontId="23" fillId="0" borderId="24" xfId="0" applyFont="1" applyBorder="1" applyAlignment="1">
      <alignment vertical="center" wrapText="1"/>
    </xf>
    <xf numFmtId="0" fontId="23" fillId="0" borderId="25" xfId="0" applyFont="1" applyBorder="1" applyAlignment="1">
      <alignment vertical="center" wrapText="1"/>
    </xf>
    <xf numFmtId="0" fontId="23" fillId="0" borderId="21" xfId="0" applyFont="1" applyBorder="1" applyAlignment="1">
      <alignment wrapText="1"/>
    </xf>
    <xf numFmtId="0" fontId="23" fillId="0" borderId="22" xfId="0" applyFont="1" applyBorder="1" applyAlignment="1">
      <alignment wrapText="1"/>
    </xf>
    <xf numFmtId="0" fontId="23" fillId="0" borderId="23" xfId="0" applyFont="1" applyBorder="1" applyAlignment="1">
      <alignment wrapText="1"/>
    </xf>
    <xf numFmtId="0" fontId="23" fillId="0" borderId="41" xfId="0" applyFont="1" applyBorder="1" applyAlignment="1">
      <alignment horizontal="center" vertical="top" wrapText="1"/>
    </xf>
    <xf numFmtId="0" fontId="23" fillId="0" borderId="42" xfId="0" applyFont="1" applyBorder="1" applyAlignment="1">
      <alignment horizontal="center" vertical="top" wrapText="1"/>
    </xf>
    <xf numFmtId="0" fontId="23" fillId="0" borderId="44" xfId="0" applyFont="1" applyBorder="1" applyAlignment="1">
      <alignment horizontal="center" vertical="top" wrapText="1"/>
    </xf>
    <xf numFmtId="0" fontId="16" fillId="0" borderId="45" xfId="0" applyFont="1" applyBorder="1" applyAlignment="1">
      <alignment vertical="top" wrapText="1"/>
    </xf>
    <xf numFmtId="0" fontId="16" fillId="0" borderId="19" xfId="0" applyFont="1" applyBorder="1" applyAlignment="1">
      <alignment vertical="top" wrapText="1"/>
    </xf>
    <xf numFmtId="0" fontId="23" fillId="0" borderId="41" xfId="0" applyFont="1" applyBorder="1" applyAlignment="1">
      <alignment vertical="top" wrapText="1"/>
    </xf>
    <xf numFmtId="0" fontId="23" fillId="0" borderId="42" xfId="0" applyFont="1" applyBorder="1" applyAlignment="1">
      <alignment vertical="top" wrapText="1"/>
    </xf>
    <xf numFmtId="0" fontId="23" fillId="0" borderId="43" xfId="0" applyFont="1" applyBorder="1" applyAlignment="1">
      <alignment vertical="top" wrapText="1"/>
    </xf>
    <xf numFmtId="0" fontId="23" fillId="0" borderId="44" xfId="0" applyFont="1" applyBorder="1" applyAlignment="1">
      <alignment vertical="top" wrapText="1"/>
    </xf>
    <xf numFmtId="0" fontId="23" fillId="0" borderId="21" xfId="0" applyFont="1" applyBorder="1" applyAlignment="1">
      <alignment horizontal="center" wrapText="1"/>
    </xf>
    <xf numFmtId="0" fontId="23" fillId="0" borderId="23" xfId="0" applyFont="1" applyBorder="1" applyAlignment="1">
      <alignment horizontal="center" wrapText="1"/>
    </xf>
    <xf numFmtId="0" fontId="23" fillId="0" borderId="22" xfId="0" applyFont="1" applyBorder="1" applyAlignment="1">
      <alignment horizontal="center" wrapText="1"/>
    </xf>
    <xf numFmtId="0" fontId="16" fillId="0" borderId="39" xfId="0" applyFont="1" applyBorder="1" applyAlignment="1">
      <alignment wrapText="1"/>
    </xf>
    <xf numFmtId="0" fontId="16" fillId="0" borderId="40" xfId="0" applyFont="1" applyBorder="1" applyAlignment="1">
      <alignment wrapText="1"/>
    </xf>
    <xf numFmtId="0" fontId="23" fillId="0" borderId="43" xfId="0" applyFont="1" applyBorder="1" applyAlignment="1">
      <alignment horizontal="center" vertical="top" wrapText="1"/>
    </xf>
    <xf numFmtId="0" fontId="29" fillId="0" borderId="24" xfId="0" applyFont="1" applyBorder="1" applyAlignment="1">
      <alignment vertical="center" wrapText="1"/>
    </xf>
    <xf numFmtId="0" fontId="29" fillId="0" borderId="25" xfId="0" applyFont="1" applyBorder="1" applyAlignment="1">
      <alignment vertical="center" wrapText="1"/>
    </xf>
    <xf numFmtId="0" fontId="29" fillId="0" borderId="21" xfId="0" applyFont="1" applyBorder="1" applyAlignment="1">
      <alignment horizontal="center" vertical="center" wrapText="1"/>
    </xf>
    <xf numFmtId="0" fontId="29" fillId="0" borderId="22" xfId="0" applyFont="1" applyBorder="1" applyAlignment="1">
      <alignment horizontal="center" vertical="center" wrapText="1"/>
    </xf>
    <xf numFmtId="0" fontId="29" fillId="0" borderId="23" xfId="0" applyFont="1" applyBorder="1" applyAlignment="1">
      <alignment horizontal="center" vertical="center" wrapText="1"/>
    </xf>
    <xf numFmtId="0" fontId="32" fillId="0" borderId="21" xfId="0" applyFont="1" applyBorder="1" applyAlignment="1">
      <alignment horizontal="center" vertical="top" wrapText="1"/>
    </xf>
    <xf numFmtId="0" fontId="32" fillId="0" borderId="22" xfId="0" applyFont="1" applyBorder="1" applyAlignment="1">
      <alignment horizontal="center" vertical="top" wrapText="1"/>
    </xf>
    <xf numFmtId="0" fontId="32" fillId="0" borderId="23" xfId="0" applyFont="1" applyBorder="1" applyAlignment="1">
      <alignment horizontal="center" vertical="top" wrapText="1"/>
    </xf>
    <xf numFmtId="0" fontId="27" fillId="0" borderId="35" xfId="0" applyFont="1" applyBorder="1" applyAlignment="1">
      <alignment horizontal="center" vertical="top" wrapText="1"/>
    </xf>
    <xf numFmtId="0" fontId="27" fillId="0" borderId="22" xfId="0" applyFont="1" applyBorder="1" applyAlignment="1">
      <alignment horizontal="center" vertical="top" wrapText="1"/>
    </xf>
    <xf numFmtId="0" fontId="27" fillId="0" borderId="33" xfId="0" applyFont="1" applyBorder="1" applyAlignment="1">
      <alignment horizontal="center" vertical="top" wrapText="1"/>
    </xf>
    <xf numFmtId="0" fontId="16" fillId="0" borderId="35" xfId="0" applyFont="1" applyBorder="1" applyAlignment="1">
      <alignment wrapText="1"/>
    </xf>
    <xf numFmtId="0" fontId="16" fillId="0" borderId="23" xfId="0" applyFont="1" applyBorder="1" applyAlignment="1">
      <alignment wrapText="1"/>
    </xf>
    <xf numFmtId="0" fontId="29" fillId="0" borderId="38" xfId="0" applyFont="1" applyBorder="1" applyAlignment="1">
      <alignment vertical="center" wrapText="1"/>
    </xf>
    <xf numFmtId="0" fontId="29" fillId="0" borderId="14" xfId="0" applyFont="1" applyBorder="1" applyAlignment="1">
      <alignment vertical="center" wrapText="1"/>
    </xf>
    <xf numFmtId="0" fontId="29" fillId="0" borderId="35" xfId="0" applyFont="1" applyBorder="1" applyAlignment="1">
      <alignment vertical="center" wrapText="1"/>
    </xf>
    <xf numFmtId="0" fontId="29" fillId="0" borderId="33" xfId="0" applyFont="1" applyBorder="1" applyAlignment="1">
      <alignment vertical="center" wrapText="1"/>
    </xf>
    <xf numFmtId="0" fontId="16" fillId="0" borderId="36" xfId="0" applyFont="1" applyBorder="1" applyAlignment="1">
      <alignment vertical="center" wrapText="1"/>
    </xf>
    <xf numFmtId="0" fontId="16" fillId="0" borderId="37" xfId="0" applyFont="1" applyBorder="1" applyAlignment="1">
      <alignment vertical="center" wrapText="1"/>
    </xf>
    <xf numFmtId="0" fontId="16" fillId="0" borderId="38" xfId="0" applyFont="1" applyBorder="1" applyAlignment="1">
      <alignment vertical="center" wrapText="1"/>
    </xf>
    <xf numFmtId="0" fontId="16" fillId="0" borderId="14" xfId="0" applyFont="1" applyBorder="1" applyAlignment="1">
      <alignment vertical="center" wrapText="1"/>
    </xf>
    <xf numFmtId="0" fontId="27" fillId="0" borderId="21" xfId="0" applyFont="1" applyBorder="1" applyAlignment="1">
      <alignment horizontal="center" vertical="top" wrapText="1"/>
    </xf>
    <xf numFmtId="0" fontId="27" fillId="0" borderId="23" xfId="0" applyFont="1" applyBorder="1" applyAlignment="1">
      <alignment horizontal="center" vertical="top" wrapText="1"/>
    </xf>
    <xf numFmtId="0" fontId="16" fillId="0" borderId="34"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21" xfId="0" applyFont="1" applyBorder="1" applyAlignment="1">
      <alignment horizontal="center" vertical="top" wrapText="1"/>
    </xf>
    <xf numFmtId="0" fontId="16" fillId="0" borderId="22" xfId="0" applyFont="1" applyBorder="1" applyAlignment="1">
      <alignment horizontal="center" vertical="top" wrapText="1"/>
    </xf>
    <xf numFmtId="0" fontId="16" fillId="0" borderId="23" xfId="0" applyFont="1" applyBorder="1" applyAlignment="1">
      <alignment horizontal="center" vertical="top" wrapText="1"/>
    </xf>
    <xf numFmtId="0" fontId="16" fillId="0" borderId="33" xfId="0" applyFont="1" applyBorder="1" applyAlignment="1">
      <alignment horizontal="center" vertical="top" wrapText="1"/>
    </xf>
    <xf numFmtId="0" fontId="16" fillId="0" borderId="34" xfId="0" applyFont="1" applyBorder="1" applyAlignment="1">
      <alignment vertical="center" wrapText="1"/>
    </xf>
    <xf numFmtId="0" fontId="16" fillId="0" borderId="7" xfId="0" applyFont="1" applyBorder="1" applyAlignment="1">
      <alignment vertical="center" wrapText="1"/>
    </xf>
    <xf numFmtId="0" fontId="16" fillId="0" borderId="35" xfId="0" applyFont="1" applyBorder="1" applyAlignment="1">
      <alignment horizontal="right" vertical="top" wrapText="1"/>
    </xf>
    <xf numFmtId="0" fontId="16" fillId="0" borderId="33" xfId="0" applyFont="1" applyBorder="1" applyAlignment="1">
      <alignment horizontal="right" vertical="top" wrapText="1"/>
    </xf>
    <xf numFmtId="0" fontId="16" fillId="0" borderId="35" xfId="0" applyFont="1" applyBorder="1" applyAlignment="1">
      <alignment horizontal="center" vertical="top" wrapText="1"/>
    </xf>
    <xf numFmtId="0" fontId="16" fillId="0" borderId="24" xfId="0" applyFont="1" applyBorder="1" applyAlignment="1">
      <alignment vertical="center" wrapText="1"/>
    </xf>
    <xf numFmtId="0" fontId="16" fillId="0" borderId="25" xfId="0" applyFont="1" applyBorder="1" applyAlignment="1">
      <alignment vertical="center" wrapText="1"/>
    </xf>
    <xf numFmtId="0" fontId="16" fillId="0" borderId="24"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1" xfId="0" applyFont="1" applyBorder="1" applyAlignment="1">
      <alignment vertical="center" wrapText="1"/>
    </xf>
    <xf numFmtId="0" fontId="16" fillId="0" borderId="23" xfId="0" applyFont="1" applyBorder="1" applyAlignment="1">
      <alignment vertical="center" wrapText="1"/>
    </xf>
    <xf numFmtId="0" fontId="16" fillId="0" borderId="22" xfId="0" applyFont="1" applyBorder="1" applyAlignment="1">
      <alignment vertical="center" wrapText="1"/>
    </xf>
    <xf numFmtId="0" fontId="16" fillId="0" borderId="26"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30" xfId="0" applyFont="1" applyBorder="1" applyAlignment="1">
      <alignment horizontal="center" vertical="top" wrapText="1"/>
    </xf>
    <xf numFmtId="0" fontId="16" fillId="0" borderId="31" xfId="0" applyFont="1" applyBorder="1" applyAlignment="1">
      <alignment horizontal="center" vertical="top" wrapText="1"/>
    </xf>
    <xf numFmtId="0" fontId="16" fillId="0" borderId="32" xfId="0" applyFont="1" applyBorder="1" applyAlignment="1">
      <alignment horizontal="center" vertical="top" wrapText="1"/>
    </xf>
    <xf numFmtId="0" fontId="18" fillId="0" borderId="21" xfId="0" applyFont="1" applyBorder="1" applyAlignment="1">
      <alignment horizontal="center" vertical="top" wrapText="1"/>
    </xf>
    <xf numFmtId="0" fontId="18" fillId="0" borderId="22" xfId="0" applyFont="1" applyBorder="1" applyAlignment="1">
      <alignment horizontal="center" vertical="top" wrapText="1"/>
    </xf>
    <xf numFmtId="0" fontId="18" fillId="0" borderId="23" xfId="0" applyFont="1" applyBorder="1" applyAlignment="1">
      <alignment horizontal="center" vertical="top" wrapText="1"/>
    </xf>
    <xf numFmtId="0" fontId="16" fillId="0" borderId="24" xfId="0" applyFont="1" applyBorder="1" applyAlignment="1">
      <alignment vertical="top" wrapText="1"/>
    </xf>
    <xf numFmtId="0" fontId="16" fillId="0" borderId="25" xfId="0" applyFont="1" applyBorder="1" applyAlignment="1">
      <alignment vertical="top" wrapText="1"/>
    </xf>
    <xf numFmtId="0" fontId="16" fillId="0" borderId="21" xfId="0" applyFont="1" applyBorder="1" applyAlignment="1">
      <alignment horizontal="right" vertical="top" wrapText="1"/>
    </xf>
    <xf numFmtId="0" fontId="16" fillId="0" borderId="28" xfId="0" applyFont="1" applyBorder="1" applyAlignment="1">
      <alignment vertical="top" wrapText="1"/>
    </xf>
    <xf numFmtId="0" fontId="16" fillId="0" borderId="29" xfId="0" applyFont="1" applyBorder="1" applyAlignment="1">
      <alignment vertical="top" wrapText="1"/>
    </xf>
    <xf numFmtId="0" fontId="16" fillId="0" borderId="28" xfId="0" applyFont="1" applyBorder="1" applyAlignment="1">
      <alignment horizontal="center" vertical="top" wrapText="1"/>
    </xf>
    <xf numFmtId="0" fontId="16" fillId="0" borderId="29" xfId="0" applyFont="1" applyBorder="1" applyAlignment="1">
      <alignment horizontal="center" vertical="top" wrapText="1"/>
    </xf>
    <xf numFmtId="0" fontId="22" fillId="0" borderId="21" xfId="0" applyFont="1" applyBorder="1" applyAlignment="1">
      <alignment wrapText="1"/>
    </xf>
    <xf numFmtId="0" fontId="22" fillId="0" borderId="23" xfId="0" applyFont="1" applyBorder="1" applyAlignment="1">
      <alignment wrapText="1"/>
    </xf>
    <xf numFmtId="0" fontId="22" fillId="0" borderId="22" xfId="0" applyFont="1" applyBorder="1" applyAlignment="1">
      <alignment wrapText="1"/>
    </xf>
    <xf numFmtId="0" fontId="18" fillId="0" borderId="21" xfId="0" applyFont="1" applyBorder="1" applyAlignment="1">
      <alignment horizontal="center" vertical="center" wrapText="1"/>
    </xf>
    <xf numFmtId="0" fontId="18" fillId="0" borderId="22" xfId="0" applyFont="1" applyBorder="1" applyAlignment="1">
      <alignment horizontal="center" vertical="center" wrapText="1"/>
    </xf>
    <xf numFmtId="0" fontId="18" fillId="0" borderId="23" xfId="0" applyFont="1" applyBorder="1" applyAlignment="1">
      <alignment horizontal="center" vertical="center" wrapText="1"/>
    </xf>
    <xf numFmtId="0" fontId="39" fillId="0" borderId="0" xfId="0" applyFont="1"/>
    <xf numFmtId="0" fontId="40" fillId="0" borderId="0" xfId="0" applyFont="1"/>
    <xf numFmtId="0" fontId="41" fillId="0" borderId="0" xfId="0" applyFont="1"/>
    <xf numFmtId="0" fontId="18" fillId="0" borderId="4" xfId="0" applyFont="1" applyBorder="1" applyAlignment="1">
      <alignment horizontal="center" vertical="center" wrapText="1"/>
    </xf>
    <xf numFmtId="0" fontId="18" fillId="18" borderId="47" xfId="0" applyFont="1" applyFill="1" applyBorder="1" applyAlignment="1">
      <alignment horizontal="center"/>
    </xf>
    <xf numFmtId="0" fontId="18" fillId="18" borderId="47" xfId="0" applyFont="1" applyFill="1" applyBorder="1" applyAlignment="1"/>
    <xf numFmtId="0" fontId="8" fillId="8" borderId="48" xfId="0" applyFont="1" applyFill="1" applyBorder="1" applyAlignment="1">
      <alignment textRotation="45"/>
    </xf>
    <xf numFmtId="0" fontId="3" fillId="0" borderId="49" xfId="0" applyFont="1" applyBorder="1"/>
    <xf numFmtId="0" fontId="18" fillId="18" borderId="51" xfId="0" applyFont="1" applyFill="1" applyBorder="1" applyAlignment="1">
      <alignment horizontal="center"/>
    </xf>
    <xf numFmtId="0" fontId="0" fillId="0" borderId="0" xfId="0" applyFont="1" applyBorder="1" applyAlignment="1"/>
    <xf numFmtId="0" fontId="8" fillId="8" borderId="0" xfId="0" applyFont="1" applyFill="1" applyBorder="1" applyAlignment="1">
      <alignment textRotation="45"/>
    </xf>
    <xf numFmtId="0" fontId="3" fillId="0" borderId="0" xfId="0" applyFont="1" applyAlignment="1">
      <alignment horizontal="center" vertical="center"/>
    </xf>
    <xf numFmtId="0" fontId="3" fillId="0" borderId="49" xfId="0" applyFont="1" applyBorder="1" applyAlignment="1">
      <alignment horizontal="center" vertical="center"/>
    </xf>
    <xf numFmtId="0" fontId="0" fillId="0" borderId="49" xfId="0" applyBorder="1" applyAlignment="1">
      <alignment horizontal="center" vertical="center"/>
    </xf>
    <xf numFmtId="0" fontId="3" fillId="0" borderId="50" xfId="0" applyFont="1" applyBorder="1" applyAlignment="1">
      <alignment horizontal="center" vertical="center"/>
    </xf>
    <xf numFmtId="0" fontId="0" fillId="0" borderId="0" xfId="0" applyAlignment="1">
      <alignment horizontal="center" vertical="center"/>
    </xf>
  </cellXfs>
  <cellStyles count="2">
    <cellStyle name="Hyperlink" xfId="1" builtinId="8"/>
    <cellStyle name="Normal" xfId="0" builtinId="0"/>
  </cellStyles>
  <dxfs count="4">
    <dxf>
      <font>
        <b val="0"/>
        <i val="0"/>
        <strike val="0"/>
        <condense val="0"/>
        <extend val="0"/>
        <outline val="0"/>
        <shadow val="0"/>
        <u val="none"/>
        <vertAlign val="baseline"/>
        <sz val="10"/>
        <color theme="1"/>
        <name val="Arial"/>
        <scheme val="minor"/>
      </font>
    </dxf>
    <dxf>
      <fill>
        <patternFill patternType="solid">
          <fgColor rgb="FFEBEFF1"/>
          <bgColor rgb="FFEBEFF1"/>
        </patternFill>
      </fill>
    </dxf>
    <dxf>
      <fill>
        <patternFill patternType="solid">
          <fgColor rgb="FFFFFFFF"/>
          <bgColor rgb="FFFFFFFF"/>
        </patternFill>
      </fill>
    </dxf>
    <dxf>
      <fill>
        <patternFill patternType="solid">
          <fgColor rgb="FF78909C"/>
          <bgColor rgb="FF78909C"/>
        </patternFill>
      </fill>
    </dxf>
  </dxfs>
  <tableStyles count="1" defaultTableStyle="TableStyleMedium2" defaultPivotStyle="PivotStyleLight16">
    <tableStyle name="TD to SDLC-style" pivot="0" count="3" xr9:uid="{7EEC751F-244F-4C7C-B4AC-C83E257311A2}">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1"/>
        <c:ser>
          <c:idx val="0"/>
          <c:order val="0"/>
          <c:tx>
            <c:strRef>
              <c:f>Trends!$I$11</c:f>
              <c:strCache>
                <c:ptCount val="1"/>
                <c:pt idx="0">
                  <c:v>NLP</c:v>
                </c:pt>
              </c:strCache>
            </c:strRef>
          </c:tx>
          <c:spPr>
            <a:ln cmpd="sng">
              <a:solidFill>
                <a:srgbClr val="4285F4"/>
              </a:solidFill>
            </a:ln>
          </c:spPr>
          <c:marker>
            <c:symbol val="none"/>
          </c:marker>
          <c:dLbls>
            <c:spPr>
              <a:noFill/>
              <a:ln>
                <a:noFill/>
              </a:ln>
              <a:effectLst/>
            </c:spPr>
            <c:txPr>
              <a:bodyPr/>
              <a:lstStyle/>
              <a:p>
                <a:pPr lvl="0">
                  <a:defRPr/>
                </a:pPr>
                <a:endParaRPr lang="nl-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Trends!$J$10:$R$10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Trends!$J$11:$R$11</c:f>
              <c:numCache>
                <c:formatCode>General</c:formatCode>
                <c:ptCount val="9"/>
                <c:pt idx="0">
                  <c:v>1</c:v>
                </c:pt>
                <c:pt idx="1">
                  <c:v>2</c:v>
                </c:pt>
                <c:pt idx="2">
                  <c:v>3</c:v>
                </c:pt>
                <c:pt idx="3">
                  <c:v>0</c:v>
                </c:pt>
                <c:pt idx="4">
                  <c:v>0</c:v>
                </c:pt>
                <c:pt idx="5">
                  <c:v>0</c:v>
                </c:pt>
                <c:pt idx="6">
                  <c:v>3</c:v>
                </c:pt>
                <c:pt idx="7">
                  <c:v>2</c:v>
                </c:pt>
                <c:pt idx="8">
                  <c:v>3</c:v>
                </c:pt>
              </c:numCache>
            </c:numRef>
          </c:val>
          <c:smooth val="0"/>
          <c:extLst>
            <c:ext xmlns:c16="http://schemas.microsoft.com/office/drawing/2014/chart" uri="{C3380CC4-5D6E-409C-BE32-E72D297353CC}">
              <c16:uniqueId val="{00000000-B4FE-4EAC-9323-FAD2ADE57A0A}"/>
            </c:ext>
          </c:extLst>
        </c:ser>
        <c:ser>
          <c:idx val="1"/>
          <c:order val="1"/>
          <c:tx>
            <c:strRef>
              <c:f>Trends!$I$12</c:f>
              <c:strCache>
                <c:ptCount val="1"/>
                <c:pt idx="0">
                  <c:v>NLP+ML</c:v>
                </c:pt>
              </c:strCache>
            </c:strRef>
          </c:tx>
          <c:spPr>
            <a:ln cmpd="sng">
              <a:solidFill>
                <a:srgbClr val="EA4335"/>
              </a:solidFill>
            </a:ln>
          </c:spPr>
          <c:marker>
            <c:symbol val="none"/>
          </c:marker>
          <c:dLbls>
            <c:spPr>
              <a:noFill/>
              <a:ln>
                <a:noFill/>
              </a:ln>
              <a:effectLst/>
            </c:spPr>
            <c:txPr>
              <a:bodyPr/>
              <a:lstStyle/>
              <a:p>
                <a:pPr lvl="0">
                  <a:defRPr/>
                </a:pPr>
                <a:endParaRPr lang="nl-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Trends!$J$10:$R$10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Trends!$J$12:$R$12</c:f>
              <c:numCache>
                <c:formatCode>General</c:formatCode>
                <c:ptCount val="9"/>
                <c:pt idx="0">
                  <c:v>0</c:v>
                </c:pt>
                <c:pt idx="1">
                  <c:v>0</c:v>
                </c:pt>
                <c:pt idx="2">
                  <c:v>0</c:v>
                </c:pt>
                <c:pt idx="3">
                  <c:v>2</c:v>
                </c:pt>
                <c:pt idx="4">
                  <c:v>4</c:v>
                </c:pt>
                <c:pt idx="5">
                  <c:v>2</c:v>
                </c:pt>
                <c:pt idx="6">
                  <c:v>5</c:v>
                </c:pt>
                <c:pt idx="7">
                  <c:v>4</c:v>
                </c:pt>
                <c:pt idx="8">
                  <c:v>5</c:v>
                </c:pt>
              </c:numCache>
            </c:numRef>
          </c:val>
          <c:smooth val="0"/>
          <c:extLst>
            <c:ext xmlns:c16="http://schemas.microsoft.com/office/drawing/2014/chart" uri="{C3380CC4-5D6E-409C-BE32-E72D297353CC}">
              <c16:uniqueId val="{00000001-B4FE-4EAC-9323-FAD2ADE57A0A}"/>
            </c:ext>
          </c:extLst>
        </c:ser>
        <c:ser>
          <c:idx val="2"/>
          <c:order val="2"/>
          <c:tx>
            <c:strRef>
              <c:f>Trends!$I$13</c:f>
              <c:strCache>
                <c:ptCount val="1"/>
                <c:pt idx="0">
                  <c:v>NLP+DL</c:v>
                </c:pt>
              </c:strCache>
            </c:strRef>
          </c:tx>
          <c:spPr>
            <a:ln cmpd="sng">
              <a:solidFill>
                <a:srgbClr val="FBBC04"/>
              </a:solidFill>
            </a:ln>
          </c:spPr>
          <c:marker>
            <c:symbol val="none"/>
          </c:marker>
          <c:dLbls>
            <c:spPr>
              <a:noFill/>
              <a:ln>
                <a:noFill/>
              </a:ln>
              <a:effectLst/>
            </c:spPr>
            <c:txPr>
              <a:bodyPr/>
              <a:lstStyle/>
              <a:p>
                <a:pPr lvl="0">
                  <a:defRPr/>
                </a:pPr>
                <a:endParaRPr lang="nl-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Trends!$J$10:$R$10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Trends!$J$13:$R$13</c:f>
              <c:numCache>
                <c:formatCode>General</c:formatCode>
                <c:ptCount val="9"/>
                <c:pt idx="0">
                  <c:v>0</c:v>
                </c:pt>
                <c:pt idx="1">
                  <c:v>0</c:v>
                </c:pt>
                <c:pt idx="2">
                  <c:v>0</c:v>
                </c:pt>
                <c:pt idx="3">
                  <c:v>0</c:v>
                </c:pt>
                <c:pt idx="4">
                  <c:v>0</c:v>
                </c:pt>
                <c:pt idx="5">
                  <c:v>1</c:v>
                </c:pt>
                <c:pt idx="6">
                  <c:v>2</c:v>
                </c:pt>
                <c:pt idx="7">
                  <c:v>4</c:v>
                </c:pt>
                <c:pt idx="8">
                  <c:v>8</c:v>
                </c:pt>
              </c:numCache>
            </c:numRef>
          </c:val>
          <c:smooth val="0"/>
          <c:extLst>
            <c:ext xmlns:c16="http://schemas.microsoft.com/office/drawing/2014/chart" uri="{C3380CC4-5D6E-409C-BE32-E72D297353CC}">
              <c16:uniqueId val="{00000002-B4FE-4EAC-9323-FAD2ADE57A0A}"/>
            </c:ext>
          </c:extLst>
        </c:ser>
        <c:dLbls>
          <c:showLegendKey val="0"/>
          <c:showVal val="0"/>
          <c:showCatName val="0"/>
          <c:showSerName val="0"/>
          <c:showPercent val="0"/>
          <c:showBubbleSize val="0"/>
        </c:dLbls>
        <c:smooth val="0"/>
        <c:axId val="1860227752"/>
        <c:axId val="1667886270"/>
      </c:lineChart>
      <c:catAx>
        <c:axId val="1860227752"/>
        <c:scaling>
          <c:orientation val="minMax"/>
        </c:scaling>
        <c:delete val="0"/>
        <c:axPos val="b"/>
        <c:title>
          <c:tx>
            <c:rich>
              <a:bodyPr/>
              <a:lstStyle/>
              <a:p>
                <a:pPr lvl="0">
                  <a:defRPr b="0">
                    <a:solidFill>
                      <a:srgbClr val="000000"/>
                    </a:solidFill>
                    <a:latin typeface="+mn-lt"/>
                  </a:defRPr>
                </a:pPr>
                <a:r>
                  <a:rPr lang="nl-NL" b="0">
                    <a:solidFill>
                      <a:srgbClr val="000000"/>
                    </a:solidFill>
                    <a:latin typeface="+mn-lt"/>
                  </a:rPr>
                  <a:t>Year</a:t>
                </a:r>
              </a:p>
            </c:rich>
          </c:tx>
          <c:overlay val="0"/>
        </c:title>
        <c:numFmt formatCode="General" sourceLinked="1"/>
        <c:majorTickMark val="none"/>
        <c:minorTickMark val="none"/>
        <c:tickLblPos val="nextTo"/>
        <c:txPr>
          <a:bodyPr/>
          <a:lstStyle/>
          <a:p>
            <a:pPr lvl="0">
              <a:defRPr sz="1050" b="0">
                <a:solidFill>
                  <a:srgbClr val="000000"/>
                </a:solidFill>
                <a:latin typeface="+mn-lt"/>
              </a:defRPr>
            </a:pPr>
            <a:endParaRPr lang="nl-NL"/>
          </a:p>
        </c:txPr>
        <c:crossAx val="1667886270"/>
        <c:crosses val="autoZero"/>
        <c:auto val="1"/>
        <c:lblAlgn val="ctr"/>
        <c:lblOffset val="100"/>
        <c:noMultiLvlLbl val="1"/>
      </c:catAx>
      <c:valAx>
        <c:axId val="16678862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nl-NL"/>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nl-NL"/>
          </a:p>
        </c:txPr>
        <c:crossAx val="1860227752"/>
        <c:crosses val="autoZero"/>
        <c:crossBetween val="between"/>
      </c:valAx>
    </c:plotArea>
    <c:legend>
      <c:legendPos val="b"/>
      <c:overlay val="0"/>
      <c:txPr>
        <a:bodyPr/>
        <a:lstStyle/>
        <a:p>
          <a:pPr lvl="0">
            <a:defRPr sz="1050" b="0">
              <a:solidFill>
                <a:srgbClr val="1A1A1A"/>
              </a:solidFill>
              <a:latin typeface="+mn-lt"/>
            </a:defRPr>
          </a:pPr>
          <a:endParaRPr lang="nl-NL"/>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1"/>
        <c:ser>
          <c:idx val="0"/>
          <c:order val="0"/>
          <c:tx>
            <c:strRef>
              <c:f>Trends!$I$4</c:f>
              <c:strCache>
                <c:ptCount val="1"/>
                <c:pt idx="0">
                  <c:v>Textual Patterns</c:v>
                </c:pt>
              </c:strCache>
            </c:strRef>
          </c:tx>
          <c:spPr>
            <a:ln cmpd="sng">
              <a:solidFill>
                <a:srgbClr val="4285F4"/>
              </a:solidFill>
            </a:ln>
          </c:spPr>
          <c:marker>
            <c:symbol val="none"/>
          </c:marker>
          <c:dLbls>
            <c:spPr>
              <a:noFill/>
              <a:ln>
                <a:noFill/>
              </a:ln>
              <a:effectLst/>
            </c:spPr>
            <c:txPr>
              <a:bodyPr/>
              <a:lstStyle/>
              <a:p>
                <a:pPr lvl="0">
                  <a:defRPr/>
                </a:pPr>
                <a:endParaRPr lang="nl-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Trends!$J$3:$R$3</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Trends!$J$4:$R$4</c:f>
              <c:numCache>
                <c:formatCode>General</c:formatCode>
                <c:ptCount val="9"/>
                <c:pt idx="0">
                  <c:v>1</c:v>
                </c:pt>
                <c:pt idx="1">
                  <c:v>2</c:v>
                </c:pt>
                <c:pt idx="2">
                  <c:v>3</c:v>
                </c:pt>
                <c:pt idx="3">
                  <c:v>0</c:v>
                </c:pt>
                <c:pt idx="4">
                  <c:v>0</c:v>
                </c:pt>
                <c:pt idx="5">
                  <c:v>0</c:v>
                </c:pt>
                <c:pt idx="6">
                  <c:v>3</c:v>
                </c:pt>
                <c:pt idx="7">
                  <c:v>2</c:v>
                </c:pt>
                <c:pt idx="8">
                  <c:v>2</c:v>
                </c:pt>
              </c:numCache>
            </c:numRef>
          </c:val>
          <c:smooth val="0"/>
          <c:extLst>
            <c:ext xmlns:c16="http://schemas.microsoft.com/office/drawing/2014/chart" uri="{C3380CC4-5D6E-409C-BE32-E72D297353CC}">
              <c16:uniqueId val="{00000000-52A1-4369-9DC6-757F32F0EDA4}"/>
            </c:ext>
          </c:extLst>
        </c:ser>
        <c:ser>
          <c:idx val="1"/>
          <c:order val="1"/>
          <c:tx>
            <c:strRef>
              <c:f>Trends!$I$5</c:f>
              <c:strCache>
                <c:ptCount val="1"/>
                <c:pt idx="0">
                  <c:v>Frequency based Embedding</c:v>
                </c:pt>
              </c:strCache>
            </c:strRef>
          </c:tx>
          <c:spPr>
            <a:ln cmpd="sng">
              <a:solidFill>
                <a:srgbClr val="EA4335"/>
              </a:solidFill>
            </a:ln>
          </c:spPr>
          <c:marker>
            <c:symbol val="none"/>
          </c:marker>
          <c:dLbls>
            <c:spPr>
              <a:noFill/>
              <a:ln>
                <a:noFill/>
              </a:ln>
              <a:effectLst/>
            </c:spPr>
            <c:txPr>
              <a:bodyPr/>
              <a:lstStyle/>
              <a:p>
                <a:pPr lvl="0">
                  <a:defRPr/>
                </a:pPr>
                <a:endParaRPr lang="nl-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Trends!$J$3:$R$3</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Trends!$J$5:$R$5</c:f>
              <c:numCache>
                <c:formatCode>General</c:formatCode>
                <c:ptCount val="9"/>
                <c:pt idx="0">
                  <c:v>0</c:v>
                </c:pt>
                <c:pt idx="1">
                  <c:v>0</c:v>
                </c:pt>
                <c:pt idx="2">
                  <c:v>0</c:v>
                </c:pt>
                <c:pt idx="3">
                  <c:v>2</c:v>
                </c:pt>
                <c:pt idx="4">
                  <c:v>3</c:v>
                </c:pt>
                <c:pt idx="5">
                  <c:v>1</c:v>
                </c:pt>
                <c:pt idx="6">
                  <c:v>4</c:v>
                </c:pt>
                <c:pt idx="7">
                  <c:v>3</c:v>
                </c:pt>
                <c:pt idx="8">
                  <c:v>7</c:v>
                </c:pt>
              </c:numCache>
            </c:numRef>
          </c:val>
          <c:smooth val="0"/>
          <c:extLst>
            <c:ext xmlns:c16="http://schemas.microsoft.com/office/drawing/2014/chart" uri="{C3380CC4-5D6E-409C-BE32-E72D297353CC}">
              <c16:uniqueId val="{00000001-52A1-4369-9DC6-757F32F0EDA4}"/>
            </c:ext>
          </c:extLst>
        </c:ser>
        <c:ser>
          <c:idx val="2"/>
          <c:order val="2"/>
          <c:tx>
            <c:strRef>
              <c:f>Trends!$I$6</c:f>
              <c:strCache>
                <c:ptCount val="1"/>
                <c:pt idx="0">
                  <c:v>Word Embeddings</c:v>
                </c:pt>
              </c:strCache>
            </c:strRef>
          </c:tx>
          <c:spPr>
            <a:ln cmpd="sng">
              <a:solidFill>
                <a:srgbClr val="FBBC04"/>
              </a:solidFill>
            </a:ln>
          </c:spPr>
          <c:marker>
            <c:symbol val="none"/>
          </c:marker>
          <c:dLbls>
            <c:spPr>
              <a:noFill/>
              <a:ln>
                <a:noFill/>
              </a:ln>
              <a:effectLst/>
            </c:spPr>
            <c:txPr>
              <a:bodyPr/>
              <a:lstStyle/>
              <a:p>
                <a:pPr lvl="0">
                  <a:defRPr/>
                </a:pPr>
                <a:endParaRPr lang="nl-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Trends!$J$3:$R$3</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Trends!$J$6:$R$6</c:f>
              <c:numCache>
                <c:formatCode>General</c:formatCode>
                <c:ptCount val="9"/>
                <c:pt idx="0">
                  <c:v>0</c:v>
                </c:pt>
                <c:pt idx="1">
                  <c:v>0</c:v>
                </c:pt>
                <c:pt idx="2">
                  <c:v>0</c:v>
                </c:pt>
                <c:pt idx="3">
                  <c:v>0</c:v>
                </c:pt>
                <c:pt idx="4">
                  <c:v>1</c:v>
                </c:pt>
                <c:pt idx="5">
                  <c:v>2</c:v>
                </c:pt>
                <c:pt idx="6">
                  <c:v>3</c:v>
                </c:pt>
                <c:pt idx="7">
                  <c:v>3</c:v>
                </c:pt>
                <c:pt idx="8">
                  <c:v>3</c:v>
                </c:pt>
              </c:numCache>
            </c:numRef>
          </c:val>
          <c:smooth val="0"/>
          <c:extLst>
            <c:ext xmlns:c16="http://schemas.microsoft.com/office/drawing/2014/chart" uri="{C3380CC4-5D6E-409C-BE32-E72D297353CC}">
              <c16:uniqueId val="{00000002-52A1-4369-9DC6-757F32F0EDA4}"/>
            </c:ext>
          </c:extLst>
        </c:ser>
        <c:ser>
          <c:idx val="3"/>
          <c:order val="3"/>
          <c:tx>
            <c:strRef>
              <c:f>Trends!$I$7</c:f>
              <c:strCache>
                <c:ptCount val="1"/>
                <c:pt idx="0">
                  <c:v>Pre-trained Word Embeddings</c:v>
                </c:pt>
              </c:strCache>
            </c:strRef>
          </c:tx>
          <c:spPr>
            <a:ln cmpd="sng">
              <a:solidFill>
                <a:srgbClr val="34A853"/>
              </a:solidFill>
            </a:ln>
          </c:spPr>
          <c:marker>
            <c:symbol val="none"/>
          </c:marker>
          <c:dLbls>
            <c:spPr>
              <a:noFill/>
              <a:ln>
                <a:noFill/>
              </a:ln>
              <a:effectLst/>
            </c:spPr>
            <c:txPr>
              <a:bodyPr/>
              <a:lstStyle/>
              <a:p>
                <a:pPr lvl="0">
                  <a:defRPr/>
                </a:pPr>
                <a:endParaRPr lang="nl-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Trends!$J$3:$R$3</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Trends!$J$7:$R$7</c:f>
              <c:numCache>
                <c:formatCode>General</c:formatCode>
                <c:ptCount val="9"/>
                <c:pt idx="0">
                  <c:v>0</c:v>
                </c:pt>
                <c:pt idx="1">
                  <c:v>0</c:v>
                </c:pt>
                <c:pt idx="2">
                  <c:v>0</c:v>
                </c:pt>
                <c:pt idx="3">
                  <c:v>0</c:v>
                </c:pt>
                <c:pt idx="4">
                  <c:v>0</c:v>
                </c:pt>
                <c:pt idx="5">
                  <c:v>0</c:v>
                </c:pt>
                <c:pt idx="6">
                  <c:v>0</c:v>
                </c:pt>
                <c:pt idx="7">
                  <c:v>2</c:v>
                </c:pt>
                <c:pt idx="8">
                  <c:v>4</c:v>
                </c:pt>
              </c:numCache>
            </c:numRef>
          </c:val>
          <c:smooth val="0"/>
          <c:extLst>
            <c:ext xmlns:c16="http://schemas.microsoft.com/office/drawing/2014/chart" uri="{C3380CC4-5D6E-409C-BE32-E72D297353CC}">
              <c16:uniqueId val="{00000003-52A1-4369-9DC6-757F32F0EDA4}"/>
            </c:ext>
          </c:extLst>
        </c:ser>
        <c:dLbls>
          <c:showLegendKey val="0"/>
          <c:showVal val="0"/>
          <c:showCatName val="0"/>
          <c:showSerName val="0"/>
          <c:showPercent val="0"/>
          <c:showBubbleSize val="0"/>
        </c:dLbls>
        <c:smooth val="0"/>
        <c:axId val="1198066219"/>
        <c:axId val="1387475383"/>
      </c:lineChart>
      <c:catAx>
        <c:axId val="1198066219"/>
        <c:scaling>
          <c:orientation val="minMax"/>
        </c:scaling>
        <c:delete val="0"/>
        <c:axPos val="b"/>
        <c:title>
          <c:tx>
            <c:rich>
              <a:bodyPr/>
              <a:lstStyle/>
              <a:p>
                <a:pPr lvl="0">
                  <a:defRPr sz="1400" b="0">
                    <a:solidFill>
                      <a:srgbClr val="000000"/>
                    </a:solidFill>
                    <a:latin typeface="+mn-lt"/>
                  </a:defRPr>
                </a:pPr>
                <a:r>
                  <a:rPr lang="nl-NL" sz="1400" b="0">
                    <a:solidFill>
                      <a:srgbClr val="000000"/>
                    </a:solidFill>
                    <a:latin typeface="+mn-lt"/>
                  </a:rPr>
                  <a:t>Year</a:t>
                </a:r>
              </a:p>
            </c:rich>
          </c:tx>
          <c:overlay val="0"/>
        </c:title>
        <c:numFmt formatCode="General" sourceLinked="1"/>
        <c:majorTickMark val="none"/>
        <c:minorTickMark val="none"/>
        <c:tickLblPos val="nextTo"/>
        <c:txPr>
          <a:bodyPr/>
          <a:lstStyle/>
          <a:p>
            <a:pPr lvl="0">
              <a:defRPr sz="1050" b="0">
                <a:solidFill>
                  <a:srgbClr val="000000"/>
                </a:solidFill>
                <a:latin typeface="+mn-lt"/>
              </a:defRPr>
            </a:pPr>
            <a:endParaRPr lang="nl-NL"/>
          </a:p>
        </c:txPr>
        <c:crossAx val="1387475383"/>
        <c:crosses val="autoZero"/>
        <c:auto val="1"/>
        <c:lblAlgn val="ctr"/>
        <c:lblOffset val="100"/>
        <c:noMultiLvlLbl val="1"/>
      </c:catAx>
      <c:valAx>
        <c:axId val="13874753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nl-NL"/>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nl-NL"/>
          </a:p>
        </c:txPr>
        <c:crossAx val="1198066219"/>
        <c:crosses val="autoZero"/>
        <c:crossBetween val="between"/>
      </c:valAx>
    </c:plotArea>
    <c:legend>
      <c:legendPos val="b"/>
      <c:overlay val="0"/>
      <c:txPr>
        <a:bodyPr/>
        <a:lstStyle/>
        <a:p>
          <a:pPr lvl="0">
            <a:defRPr sz="1050" b="0">
              <a:solidFill>
                <a:srgbClr val="1A1A1A"/>
              </a:solidFill>
              <a:latin typeface="+mn-lt"/>
            </a:defRPr>
          </a:pPr>
          <a:endParaRPr lang="nl-NL"/>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8</xdr:col>
      <xdr:colOff>47625</xdr:colOff>
      <xdr:row>15</xdr:row>
      <xdr:rowOff>28575</xdr:rowOff>
    </xdr:from>
    <xdr:ext cx="7943850" cy="3848100"/>
    <xdr:graphicFrame macro="">
      <xdr:nvGraphicFramePr>
        <xdr:cNvPr id="2" name="Chart 1" title="Chart">
          <a:extLst>
            <a:ext uri="{FF2B5EF4-FFF2-40B4-BE49-F238E27FC236}">
              <a16:creationId xmlns:a16="http://schemas.microsoft.com/office/drawing/2014/main" id="{7794E528-37F5-4C10-90BF-CAC93481F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47625</xdr:colOff>
      <xdr:row>39</xdr:row>
      <xdr:rowOff>85725</xdr:rowOff>
    </xdr:from>
    <xdr:ext cx="7934325" cy="3848100"/>
    <xdr:graphicFrame macro="">
      <xdr:nvGraphicFramePr>
        <xdr:cNvPr id="3" name="Chart 2" title="Chart">
          <a:extLst>
            <a:ext uri="{FF2B5EF4-FFF2-40B4-BE49-F238E27FC236}">
              <a16:creationId xmlns:a16="http://schemas.microsoft.com/office/drawing/2014/main" id="{1C6D1745-6DA5-4367-AFF5-8059D47FB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A795A5-9010-4FB6-A051-373964053F68}" name="Table_1" displayName="Table_1" ref="A2:AA56" headerRowCount="0">
  <tableColumns count="27">
    <tableColumn id="1" xr3:uid="{EABC2C4A-1DFC-4A1A-BCE3-9A1FAD01CFAA}" name="Column1"/>
    <tableColumn id="2" xr3:uid="{DA10F12D-9E1A-404B-9034-C99F8FE861E0}" name="Column2"/>
    <tableColumn id="3" xr3:uid="{6D4B83A0-CE21-483B-B6DC-45D8055F3FA1}" name="Column3"/>
    <tableColumn id="4" xr3:uid="{59DC9FD4-F450-4943-BBA7-B872600E4C8E}" name="Column4"/>
    <tableColumn id="5" xr3:uid="{6C3BF433-1061-4619-A242-956033342F9E}" name="Column5"/>
    <tableColumn id="6" xr3:uid="{6A69FDCA-26CC-432A-9624-3E0C2A9BF7BE}" name="Column6"/>
    <tableColumn id="7" xr3:uid="{8731C9A3-3352-4602-99A0-E1845048C906}" name="Column7"/>
    <tableColumn id="8" xr3:uid="{17AB2F0F-CC6D-437D-85D6-7DE1A8CFEC64}" name="Column8"/>
    <tableColumn id="10" xr3:uid="{51273734-C0F0-41A5-BF7E-32350D00DEBF}" name="Column10"/>
    <tableColumn id="11" xr3:uid="{FB2C4773-F290-4CAA-AF79-D793B59F3101}" name="Column11"/>
    <tableColumn id="12" xr3:uid="{0A1882EB-019B-4B3C-AB63-3A9A58A79A98}" name="Column12"/>
    <tableColumn id="13" xr3:uid="{7007A868-1291-488A-B17F-CC71E3CD2CE3}" name="Column13"/>
    <tableColumn id="14" xr3:uid="{F39E305E-6216-4515-ADEA-31F2F086FAE8}" name="Column14"/>
    <tableColumn id="28" xr3:uid="{62263E76-6B95-45B4-A37F-90AA200B0771}" name="Column28" dataDxfId="0"/>
    <tableColumn id="15" xr3:uid="{EB4424E7-4425-40E7-91D9-C5003E121EEC}" name="Column15"/>
    <tableColumn id="16" xr3:uid="{CBE45B38-F9B7-4DE2-9119-D6496F2B68FB}" name="Column16"/>
    <tableColumn id="17" xr3:uid="{2921C24E-5B6D-4634-A6CD-AA451BA6A460}" name="Column17"/>
    <tableColumn id="18" xr3:uid="{C30A251B-E2EA-4D59-B49F-A6060013D133}" name="Column18"/>
    <tableColumn id="19" xr3:uid="{96D1088A-F3D7-4FDB-8D9D-A571B2213810}" name="Column19"/>
    <tableColumn id="20" xr3:uid="{63C20F27-955A-4C87-B0C8-44C0A15108C1}" name="Column20"/>
    <tableColumn id="21" xr3:uid="{DA6091EE-2A80-4D28-A90F-AF0EDAC34FB5}" name="Column21"/>
    <tableColumn id="22" xr3:uid="{F18888AF-0C30-4AF5-83F7-055BD0FEF833}" name="Column22"/>
    <tableColumn id="23" xr3:uid="{7C2E0FFA-DF2F-4AF7-961B-21277B57E2AF}" name="Column23"/>
    <tableColumn id="24" xr3:uid="{57E21A82-F11E-48C7-BF42-78EFE06721DA}" name="Column24"/>
    <tableColumn id="25" xr3:uid="{10C17748-619D-4671-BA53-8AAA4147BB27}" name="Column25"/>
    <tableColumn id="26" xr3:uid="{0636B8BD-9F6E-4652-BB3C-F8F1874CC4ED}" name="Column26"/>
    <tableColumn id="27" xr3:uid="{EF2139D8-F8CB-4274-B9F3-45A67A2EC610}" name="Column27"/>
  </tableColumns>
  <tableStyleInfo name="TD to SDLC-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x.doi.org/10.1016/j.jss.2020.110777" TargetMode="External"/><Relationship Id="rId13" Type="http://schemas.openxmlformats.org/officeDocument/2006/relationships/hyperlink" Target="http://dx.doi.org/10.1007/s10664-022-10121-w" TargetMode="External"/><Relationship Id="rId18" Type="http://schemas.openxmlformats.org/officeDocument/2006/relationships/hyperlink" Target="http://dx.doi.org/10.1016/j.jss.2017.12.034" TargetMode="External"/><Relationship Id="rId3" Type="http://schemas.openxmlformats.org/officeDocument/2006/relationships/hyperlink" Target="http://dx.doi.org/10.1007/s10664-022-10128-3" TargetMode="External"/><Relationship Id="rId7" Type="http://schemas.openxmlformats.org/officeDocument/2006/relationships/hyperlink" Target="http://dx.doi.org/10.1007/s10515-022-00358-6" TargetMode="External"/><Relationship Id="rId12" Type="http://schemas.openxmlformats.org/officeDocument/2006/relationships/hyperlink" Target="http://dx.doi.org/10.1109/TR.2021.3087864" TargetMode="External"/><Relationship Id="rId17" Type="http://schemas.openxmlformats.org/officeDocument/2006/relationships/hyperlink" Target="http://dx.doi.org/10.1007/s10515-021-00314-w" TargetMode="External"/><Relationship Id="rId2" Type="http://schemas.openxmlformats.org/officeDocument/2006/relationships/hyperlink" Target="http://dx.doi.org/10.1080/17517575.2020.1824017" TargetMode="External"/><Relationship Id="rId16" Type="http://schemas.openxmlformats.org/officeDocument/2006/relationships/hyperlink" Target="http://dx.doi.org/10.1007/s10664-021-10110-5" TargetMode="External"/><Relationship Id="rId1" Type="http://schemas.openxmlformats.org/officeDocument/2006/relationships/hyperlink" Target="http://dx.doi.org/10.1109/TSE.2017.2654244" TargetMode="External"/><Relationship Id="rId6" Type="http://schemas.openxmlformats.org/officeDocument/2006/relationships/hyperlink" Target="http://dx.doi.org/10.1007/s11704-020-9281-z" TargetMode="External"/><Relationship Id="rId11" Type="http://schemas.openxmlformats.org/officeDocument/2006/relationships/hyperlink" Target="http://dx.doi.org/10.1007/s10664-017-9522-4" TargetMode="External"/><Relationship Id="rId5" Type="http://schemas.openxmlformats.org/officeDocument/2006/relationships/hyperlink" Target="http://dx.doi.org/10.1007/s11704-022-1541-7" TargetMode="External"/><Relationship Id="rId15" Type="http://schemas.openxmlformats.org/officeDocument/2006/relationships/hyperlink" Target="http://dx.doi.org/10.1109/TSE.2020.3031401" TargetMode="External"/><Relationship Id="rId10" Type="http://schemas.openxmlformats.org/officeDocument/2006/relationships/hyperlink" Target="http://dx.doi.org/10.1007/s10515-022-00364-8" TargetMode="External"/><Relationship Id="rId4" Type="http://schemas.openxmlformats.org/officeDocument/2006/relationships/hyperlink" Target="http://dx.doi.org/10.1109/TSE.2021.3129355" TargetMode="External"/><Relationship Id="rId9" Type="http://schemas.openxmlformats.org/officeDocument/2006/relationships/hyperlink" Target="http://dx.doi.org/10.1142/S021819402150008X" TargetMode="External"/><Relationship Id="rId14" Type="http://schemas.openxmlformats.org/officeDocument/2006/relationships/hyperlink" Target="http://dx.doi.org/10.4018/IJSI.29799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opus.com/inward/record.uri?eid=2-s2.0-85135699101&amp;doi=10.1016%2fj.jss.2022.111458&amp;partnerID=40&amp;md5=9290b68aebc2338832c078b171b8b2cc;http://dx.doi.org/10.1016/j.jss.2022.111458" TargetMode="External"/><Relationship Id="rId671" Type="http://schemas.openxmlformats.org/officeDocument/2006/relationships/hyperlink" Target="https://www.scopus.com/inward/record.uri?eid=2-s2.0-85072316214&amp;doi=10.1109%2fMSR.2019.00054&amp;partnerID=40&amp;md5=19878e711266006c188cc4411ce4cf11;http://dx.doi.org/10.1109/MSR.2019.00054" TargetMode="External"/><Relationship Id="rId769" Type="http://schemas.openxmlformats.org/officeDocument/2006/relationships/hyperlink" Target="https://www.scopus.com/inward/record.uri?eid=2-s2.0-85067344523&amp;doi=10.1007%2f978-3-030-20040-4_8&amp;partnerID=40&amp;md5=7f2f9c77e0da41f025c69a830f1fd01f;http://dx.doi.org/10.1007/978-3-030-20040-4_8" TargetMode="External"/><Relationship Id="rId21" Type="http://schemas.openxmlformats.org/officeDocument/2006/relationships/hyperlink" Target="https://www.scopus.com/inward/record.uri?eid=2-s2.0-85139724292&amp;doi=10.1016%2fj.jksuci.2022.09.011&amp;partnerID=40&amp;md5=8e0853d562e8df7a8e1c751e9bebddee;http://dx.doi.org/10.1016/j.jksuci.2022.09.011" TargetMode="External"/><Relationship Id="rId324" Type="http://schemas.openxmlformats.org/officeDocument/2006/relationships/hyperlink" Target="https://www.scopus.com/inward/record.uri?eid=2-s2.0-85115663250&amp;doi=10.1145%2f3460231.3474616&amp;partnerID=40&amp;md5=711f74c0b36c14623717196a1238efa3;http://dx.doi.org/10.1145/3460231.3474616" TargetMode="External"/><Relationship Id="rId531" Type="http://schemas.openxmlformats.org/officeDocument/2006/relationships/hyperlink" Target="https://www.scopus.com/inward/record.uri?eid=2-s2.0-85117224711&amp;doi=10.1109%2fACCESS.2021.3117989&amp;partnerID=40&amp;md5=b0289930b94ea07486813c1cd5d909e5;http://dx.doi.org/10.1109/ACCESS.2021.3117989" TargetMode="External"/><Relationship Id="rId629" Type="http://schemas.openxmlformats.org/officeDocument/2006/relationships/hyperlink" Target="https://www.scopus.com/inward/record.uri?eid=2-s2.0-85076402950&amp;doi=10.1145%2f3340482.3342743&amp;partnerID=40&amp;md5=a79ad55d852c3be8833b7ef2d0d30e38;http://dx.doi.org/10.1145/3340482.3342743" TargetMode="External"/><Relationship Id="rId170" Type="http://schemas.openxmlformats.org/officeDocument/2006/relationships/hyperlink" Target="https://www.scopus.com/inward/record.uri?eid=2-s2.0-85145750026&amp;doi=10.1007%2fs40031-022-00836-1&amp;partnerID=40&amp;md5=c3c27b4e2e6e93adc2285c0b4897029b;http://dx.doi.org/10.1007/s40031-022-00836-1" TargetMode="External"/><Relationship Id="rId836" Type="http://schemas.openxmlformats.org/officeDocument/2006/relationships/hyperlink" Target="https://www.scopus.com/inward/record.uri?eid=2-s2.0-85042350972&amp;doi=10.1109%2fESEM.2017.14&amp;partnerID=40&amp;md5=38b9fedcca05dc49202420a20b3f91e0;http://dx.doi.org/10.1109/ESEM.2017.14" TargetMode="External"/><Relationship Id="rId268" Type="http://schemas.openxmlformats.org/officeDocument/2006/relationships/hyperlink" Target="https://www.scopus.com/inward/record.uri?eid=2-s2.0-85114013884&amp;doi=10.1016%2fj.neucom.2021.08.010&amp;partnerID=40&amp;md5=26e9153ed73c29aac86c53e23f208994;http://dx.doi.org/10.1016/j.neucom.2021.08.010" TargetMode="External"/><Relationship Id="rId475" Type="http://schemas.openxmlformats.org/officeDocument/2006/relationships/hyperlink" Target="https://www.scopus.com/inward/record.uri?eid=2-s2.0-85105431598&amp;doi=10.1145%2f3452383.3452401&amp;partnerID=40&amp;md5=1cf9b181978ca527ff100ba7af53d688;http://dx.doi.org/10.1145/3452383.3452401" TargetMode="External"/><Relationship Id="rId682" Type="http://schemas.openxmlformats.org/officeDocument/2006/relationships/hyperlink" Target="https://www.scopus.com/inward/record.uri?eid=2-s2.0-85071777875&amp;doi=10.1002%2fsmr.2203&amp;partnerID=40&amp;md5=d35f88df732c6388924b13ceafe7b8d0;http://dx.doi.org/10.1002/smr.2203" TargetMode="External"/><Relationship Id="rId903" Type="http://schemas.openxmlformats.org/officeDocument/2006/relationships/hyperlink" Target="https://www.scopus.com/inward/record.uri?eid=2-s2.0-85051635603&amp;doi=10.1145%2f3196398.3196423&amp;partnerID=40&amp;md5=55574cd1b42668435b7df6ea09d91098;http://dx.doi.org/10.1145/3196398.3196423" TargetMode="External"/><Relationship Id="rId32" Type="http://schemas.openxmlformats.org/officeDocument/2006/relationships/hyperlink" Target="https://www.scopus.com/inward/record.uri?eid=2-s2.0-85143977206&amp;doi=10.2174%2f2666255816666220609110712&amp;partnerID=40&amp;md5=4d4bca6f178d40ff4531940a93a67f66;http://dx.doi.org/10.2174/2666255816666220609110712" TargetMode="External"/><Relationship Id="rId128" Type="http://schemas.openxmlformats.org/officeDocument/2006/relationships/hyperlink" Target="https://www.scopus.com/inward/record.uri?eid=2-s2.0-85143083037&amp;doi=10.1145%2f3540250.3549145&amp;partnerID=40&amp;md5=755c48f934db8d98a8616912ddebd634;http://dx.doi.org/10.1145/3540250.3549145" TargetMode="External"/><Relationship Id="rId335" Type="http://schemas.openxmlformats.org/officeDocument/2006/relationships/hyperlink" Target="https://www.scopus.com/inward/record.uri?eid=2-s2.0-85135840854&amp;doi=10.1109%2fSANER53432.2022.00090&amp;partnerID=40&amp;md5=63f51861cf572d4cbaa31fb89269b825;http://dx.doi.org/10.1109/SANER53432.2022.00090" TargetMode="External"/><Relationship Id="rId542" Type="http://schemas.openxmlformats.org/officeDocument/2006/relationships/hyperlink" Target="https://www.scopus.com/inward/record.uri?eid=2-s2.0-85123382930&amp;doi=10.1109%2fICSME52107.2021.00029&amp;partnerID=40&amp;md5=90ce760007a85816b5575adb0ed3fb4e;http://dx.doi.org/10.1109/ICSME52107.2021.00029" TargetMode="External"/><Relationship Id="rId181" Type="http://schemas.openxmlformats.org/officeDocument/2006/relationships/hyperlink" Target="https://www.scopus.com/inward/record.uri?eid=2-s2.0-85144704030&amp;doi=10.3390%2fmachines10121233&amp;partnerID=40&amp;md5=e5fa100d835fe550ee8f64a2c9407fa0;http://dx.doi.org/10.3390/machines10121233" TargetMode="External"/><Relationship Id="rId402" Type="http://schemas.openxmlformats.org/officeDocument/2006/relationships/hyperlink" Target="https://www.scopus.com/inward/record.uri?eid=2-s2.0-85112118148&amp;doi=10.1109%2fWAIN52551.2021.00021&amp;partnerID=40&amp;md5=bef0767bd5dd2ab693e846ac4e0988d8;http://dx.doi.org/10.1109/WAIN52551.2021.00021" TargetMode="External"/><Relationship Id="rId847" Type="http://schemas.openxmlformats.org/officeDocument/2006/relationships/hyperlink" Target="https://www.scopus.com/inward/record.uri?eid=2-s2.0-85027940986&amp;doi=10.1016%2fj.infsof.2014.07.015&amp;partnerID=40&amp;md5=d8607dcf354e5e19c2159057eb8c9b80;http://dx.doi.org/10.1016/j.infsof.2014.07.015" TargetMode="External"/><Relationship Id="rId279" Type="http://schemas.openxmlformats.org/officeDocument/2006/relationships/hyperlink" Target="https://www.scopus.com/inward/record.uri?eid=2-s2.0-85130778732&amp;doi=10.1109%2fACCESS.2022.3174115&amp;partnerID=40&amp;md5=e36e8ee7999d57a6b18554a0dc5d434f;http://dx.doi.org/10.1109/ACCESS.2022.3174115" TargetMode="External"/><Relationship Id="rId486" Type="http://schemas.openxmlformats.org/officeDocument/2006/relationships/hyperlink" Target="https://www.scopus.com/inward/record.uri?eid=2-s2.0-85099346050&amp;doi=10.1145%2f3422392.3422507&amp;partnerID=40&amp;md5=22b2f8671798677cb15537abdf48fd57;http://dx.doi.org/10.1145/3422392.3422507" TargetMode="External"/><Relationship Id="rId693" Type="http://schemas.openxmlformats.org/officeDocument/2006/relationships/hyperlink" Target="https://www.scopus.com/inward/record.uri?eid=2-s2.0-85093120799&amp;doi=10.1145%2f3387906.3388627&amp;partnerID=40&amp;md5=65a27734e8572dcef49f552620f72fda;http://dx.doi.org/10.1145/3387906.3388627" TargetMode="External"/><Relationship Id="rId707" Type="http://schemas.openxmlformats.org/officeDocument/2006/relationships/hyperlink" Target="https://www.scopus.com/inward/record.uri?eid=2-s2.0-85093670806&amp;doi=10.1145%2f3379597.3387457&amp;partnerID=40&amp;md5=06ac9f34cf0961cfebc0e045c781d4da;http://dx.doi.org/10.1145/3379597.3387457" TargetMode="External"/><Relationship Id="rId914" Type="http://schemas.openxmlformats.org/officeDocument/2006/relationships/hyperlink" Target="https://www.scopus.com/inward/record.uri?eid=2-s2.0-84966659039&amp;doi=10.1007%2fs11219-016-9318-6&amp;partnerID=40&amp;md5=679f8af0dbafcf53bdea72619405f042;http://dx.doi.org/10.1007/s11219-016-9318-6" TargetMode="External"/><Relationship Id="rId43" Type="http://schemas.openxmlformats.org/officeDocument/2006/relationships/hyperlink" Target="https://www.scopus.com/inward/record.uri?eid=2-s2.0-85137790866&amp;doi=10.3390%2fapp12178700&amp;partnerID=40&amp;md5=fe8697202d4e7ca0e3253705da5e022c;http://dx.doi.org/10.3390/app12178700" TargetMode="External"/><Relationship Id="rId139" Type="http://schemas.openxmlformats.org/officeDocument/2006/relationships/hyperlink" Target="https://www.scopus.com/inward/record.uri?eid=2-s2.0-85130914931&amp;doi=10.1016%2fj.infsof.2022.106939&amp;partnerID=40&amp;md5=aff2dfe1953b66c3deb49d9a8d33cfc2;http://dx.doi.org/10.1016/j.infsof.2022.106939" TargetMode="External"/><Relationship Id="rId346" Type="http://schemas.openxmlformats.org/officeDocument/2006/relationships/hyperlink" Target="https://www.scopus.com/inward/record.uri?eid=2-s2.0-85133479649&amp;doi=10.1145%2f3522664.3528595&amp;partnerID=40&amp;md5=83a1b754243ef30238b6a8f7155dc75a;http://dx.doi.org/10.1145/3522664.3528595" TargetMode="External"/><Relationship Id="rId553" Type="http://schemas.openxmlformats.org/officeDocument/2006/relationships/hyperlink" Target="https://www.scopus.com/inward/record.uri?eid=2-s2.0-85087202176&amp;doi=10.1016%2fj.jss.2020.110706&amp;partnerID=40&amp;md5=1ff619129eeb34044e8c0f7464da0e1a;http://dx.doi.org/10.1016/j.jss.2020.110706" TargetMode="External"/><Relationship Id="rId760" Type="http://schemas.openxmlformats.org/officeDocument/2006/relationships/hyperlink" Target="https://www.scopus.com/inward/record.uri?eid=2-s2.0-85083012837&amp;doi=10.1109%2fMS.2020.2985775&amp;partnerID=40&amp;md5=fcede53d450d76d50f966e169687cb51;http://dx.doi.org/10.1109/MS.2020.2985775" TargetMode="External"/><Relationship Id="rId192" Type="http://schemas.openxmlformats.org/officeDocument/2006/relationships/hyperlink" Target="https://www.scopus.com/inward/record.uri?eid=2-s2.0-85123681647&amp;doi=10.1109%2fTBDATA.2019.2921774&amp;partnerID=40&amp;md5=6e88382f167f730e2264f02d89055666;http://dx.doi.org/10.1109/TBDATA.2019.2921774" TargetMode="External"/><Relationship Id="rId206" Type="http://schemas.openxmlformats.org/officeDocument/2006/relationships/hyperlink" Target="https://www.scopus.com/inward/record.uri?eid=2-s2.0-85126722651&amp;doi=10.1145%2f3510003.3510057&amp;partnerID=40&amp;md5=32bc1353c5a30725f17692a86ae682d6;http://dx.doi.org/10.1145/3510003.3510057" TargetMode="External"/><Relationship Id="rId413" Type="http://schemas.openxmlformats.org/officeDocument/2006/relationships/hyperlink" Target="https://www.scopus.com/inward/record.uri?eid=2-s2.0-85106816941&amp;doi=10.1109%2fACCESS.2021.3049823&amp;partnerID=40&amp;md5=bec13ba44e5f67ee6d5e5bfba285ec34;http://dx.doi.org/10.1109/ACCESS.2021.3049823" TargetMode="External"/><Relationship Id="rId858" Type="http://schemas.openxmlformats.org/officeDocument/2006/relationships/hyperlink" Target="https://www.scopus.com/inward/record.uri?eid=2-s2.0-85021190615&amp;doi=10.1145%2f3035918.3054782&amp;partnerID=40&amp;md5=3eb7a5510fe00e4008182bce3005cbed;http://dx.doi.org/10.1145/3035918.3054782" TargetMode="External"/><Relationship Id="rId497" Type="http://schemas.openxmlformats.org/officeDocument/2006/relationships/hyperlink" Target="https://www.scopus.com/inward/record.uri?eid=2-s2.0-85125305120&amp;doi=10.1109%2fICCC54389.2021.9674263&amp;partnerID=40&amp;md5=2574ac649ab5d0971955cc5c7b7bcecf;http://dx.doi.org/10.1109/ICCC54389.2021.9674263" TargetMode="External"/><Relationship Id="rId620" Type="http://schemas.openxmlformats.org/officeDocument/2006/relationships/hyperlink" Target="https://www.scopus.com/inward/record.uri?eid=2-s2.0-85064835658&amp;doi=10.1016%2fj.infsof.2019.04.009&amp;partnerID=40&amp;md5=708a9904e9560028415d0c6eb446b77d;http://dx.doi.org/10.1016/j.infsof.2019.04.009" TargetMode="External"/><Relationship Id="rId718" Type="http://schemas.openxmlformats.org/officeDocument/2006/relationships/hyperlink" Target="https://www.scopus.com/inward/record.uri?eid=2-s2.0-85054360412&amp;doi=10.1002%2fspe.2639&amp;partnerID=40&amp;md5=f5da700d6e3092b8512328c2b1c4622c;http://dx.doi.org/10.1002/spe.2639" TargetMode="External"/><Relationship Id="rId925" Type="http://schemas.openxmlformats.org/officeDocument/2006/relationships/hyperlink" Target="https://www.scopus.com/inward/record.uri?eid=2-s2.0-85046538470&amp;doi=10.1109%2fCNS.2017.8228656&amp;partnerID=40&amp;md5=410698b1599618c640c36c579761578e;http://dx.doi.org/10.1109/CNS.2017.8228656" TargetMode="External"/><Relationship Id="rId357" Type="http://schemas.openxmlformats.org/officeDocument/2006/relationships/hyperlink" Target="https://www.scopus.com/inward/record.uri?eid=2-s2.0-85106705949&amp;doi=10.1145%2f3411764.3445281&amp;partnerID=40&amp;md5=b0e7d32419277366862b05c59eabf106;http://dx.doi.org/10.1145/3411764.3445281" TargetMode="External"/><Relationship Id="rId54" Type="http://schemas.openxmlformats.org/officeDocument/2006/relationships/hyperlink" Target="https://www.scopus.com/inward/record.uri?eid=2-s2.0-85130079716&amp;doi=10.1148%2fryai.210127&amp;partnerID=40&amp;md5=d5d22d7e66045d130c3277d01e953a8a;http://dx.doi.org/10.1148/ryai.210127" TargetMode="External"/><Relationship Id="rId217" Type="http://schemas.openxmlformats.org/officeDocument/2006/relationships/hyperlink" Target="https://www.scopus.com/inward/record.uri?eid=2-s2.0-85118233931&amp;doi=10.1007%2fs10664-021-10051-z&amp;partnerID=40&amp;md5=60ee8216c8d94a47bf71be4b24839ff1;http://dx.doi.org/10.1007/s10664-021-10051-z" TargetMode="External"/><Relationship Id="rId564" Type="http://schemas.openxmlformats.org/officeDocument/2006/relationships/hyperlink" Target="https://www.scopus.com/inward/record.uri?eid=2-s2.0-85099127778&amp;partnerID=40&amp;md5=dac34d4ff4a9a1fc3ce75d4ecefd5799" TargetMode="External"/><Relationship Id="rId771" Type="http://schemas.openxmlformats.org/officeDocument/2006/relationships/hyperlink" Target="https://www.scopus.com/inward/record.uri?eid=2-s2.0-85093825859&amp;doi=10.1007%2f978-3-030-60939-9_25&amp;partnerID=40&amp;md5=afd17d4c8dd83c794dfe8408efac9243;http://dx.doi.org/10.1007/978-3-030-60939-9_25" TargetMode="External"/><Relationship Id="rId869" Type="http://schemas.openxmlformats.org/officeDocument/2006/relationships/hyperlink" Target="https://www.scopus.com/inward/record.uri?eid=2-s2.0-84951124061&amp;doi=10.1109%2fIJCNN.2015.7280772&amp;partnerID=40&amp;md5=2507d93bdf31d6f7c1ff8967bcebd26d;http://dx.doi.org/10.1109/IJCNN.2015.7280772" TargetMode="External"/><Relationship Id="rId424" Type="http://schemas.openxmlformats.org/officeDocument/2006/relationships/hyperlink" Target="https://www.scopus.com/inward/record.uri?eid=2-s2.0-85114279916&amp;doi=10.18293%2fSEKE2021-014&amp;partnerID=40&amp;md5=4f914c5ed0bbf6d673686baa9098b413;http://dx.doi.org/10.18293/SEKE2021-014" TargetMode="External"/><Relationship Id="rId631" Type="http://schemas.openxmlformats.org/officeDocument/2006/relationships/hyperlink" Target="https://www.scopus.com/inward/record.uri?eid=2-s2.0-85091976602&amp;doi=10.1109%2fPerComWorkshops48775.2020.9156127&amp;partnerID=40&amp;md5=8eba2d5f57ae2645dda1e0282e26196f;http://dx.doi.org/10.1109/PerComWorkshops48775.2020.9156127" TargetMode="External"/><Relationship Id="rId729" Type="http://schemas.openxmlformats.org/officeDocument/2006/relationships/hyperlink" Target="https://www.scopus.com/inward/record.uri?eid=2-s2.0-85089179553&amp;doi=10.1109%2fICWR49608.2020.9122271&amp;partnerID=40&amp;md5=2442c0ca34498882123cecd68803985c;http://dx.doi.org/10.1109/ICWR49608.2020.9122271" TargetMode="External"/><Relationship Id="rId270" Type="http://schemas.openxmlformats.org/officeDocument/2006/relationships/hyperlink" Target="https://www.scopus.com/inward/record.uri?eid=2-s2.0-85132434050&amp;doi=10.1109%2fICSE-Companion55297.2022.9793823&amp;partnerID=40&amp;md5=c6a0344b1e5ab02c263e4e5140c2d432;http://dx.doi.org/10.1109/ICSE-Companion55297.2022.9793823" TargetMode="External"/><Relationship Id="rId936" Type="http://schemas.openxmlformats.org/officeDocument/2006/relationships/hyperlink" Target="https://www.scopus.com/inward/record.uri?eid=2-s2.0-85019111869&amp;doi=10.1007%2fs10664-017-9522-4&amp;partnerID=40&amp;md5=bf81dd210ee56c037ad5dcc46f13b901;http://dx.doi.org/10.1007/s10664-017-9522-4" TargetMode="External"/><Relationship Id="rId65" Type="http://schemas.openxmlformats.org/officeDocument/2006/relationships/hyperlink" Target="https://www.scopus.com/inward/record.uri?eid=2-s2.0-85142345060&amp;doi=10.13328%2fj.cnki.jos.006373&amp;partnerID=40&amp;md5=e4f797bc24d00de3288ab44afed5ce7f;http://dx.doi.org/10.13328/j.cnki.jos.006373" TargetMode="External"/><Relationship Id="rId130" Type="http://schemas.openxmlformats.org/officeDocument/2006/relationships/hyperlink" Target="https://www.scopus.com/inward/record.uri?eid=2-s2.0-85123756783&amp;doi=10.1007%2fs10664-021-10103-4&amp;partnerID=40&amp;md5=5e8365fd313b1a1216d95a2ee5e12f65;http://dx.doi.org/10.1007/s10664-021-10103-4" TargetMode="External"/><Relationship Id="rId368" Type="http://schemas.openxmlformats.org/officeDocument/2006/relationships/hyperlink" Target="https://www.scopus.com/inward/record.uri?eid=2-s2.0-85128683583&amp;doi=10.1155%2f2022%2f8725767&amp;partnerID=40&amp;md5=28a45450b886e37b99a760f7549e9e77;http://dx.doi.org/10.1155/2022/8725767" TargetMode="External"/><Relationship Id="rId575" Type="http://schemas.openxmlformats.org/officeDocument/2006/relationships/hyperlink" Target="https://www.scopus.com/inward/record.uri?eid=2-s2.0-85115401194&amp;doi=10.3390%2fA13070168&amp;partnerID=40&amp;md5=a8f01368e1ef5c76a8c1c712dab274e5;http://dx.doi.org/10.3390/A13070168" TargetMode="External"/><Relationship Id="rId782" Type="http://schemas.openxmlformats.org/officeDocument/2006/relationships/hyperlink" Target="https://www.scopus.com/inward/record.uri?eid=2-s2.0-85087529805&amp;doi=10.1145%2f3387939.3391604&amp;partnerID=40&amp;md5=56aec211cbf7287b6c716c28bfd7d048;http://dx.doi.org/10.1145/3387939.3391604" TargetMode="External"/><Relationship Id="rId228" Type="http://schemas.openxmlformats.org/officeDocument/2006/relationships/hyperlink" Target="https://www.scopus.com/inward/record.uri?eid=2-s2.0-85116294210&amp;doi=10.1145%2f3468264.3468555&amp;partnerID=40&amp;md5=2789ae7f809557fa2e4a5b4cd7a7f1ca;http://dx.doi.org/10.1145/3468264.3468555" TargetMode="External"/><Relationship Id="rId435" Type="http://schemas.openxmlformats.org/officeDocument/2006/relationships/hyperlink" Target="https://www.scopus.com/inward/record.uri?eid=2-s2.0-85107013733&amp;doi=10.1109%2fICSA51549.2021.00017&amp;partnerID=40&amp;md5=aee284cea4e0fb4c88be97c22261b155;http://dx.doi.org/10.1109/ICSA51549.2021.00017" TargetMode="External"/><Relationship Id="rId642" Type="http://schemas.openxmlformats.org/officeDocument/2006/relationships/hyperlink" Target="https://www.scopus.com/inward/record.uri?eid=2-s2.0-85069681117&amp;doi=10.1016%2fj.scico.2019.07.003&amp;partnerID=40&amp;md5=86ac2ef03678b1c57070981a2c3f964d;http://dx.doi.org/10.1016/j.scico.2019.07.003" TargetMode="External"/><Relationship Id="rId281" Type="http://schemas.openxmlformats.org/officeDocument/2006/relationships/hyperlink" Target="https://www.scopus.com/inward/record.uri?eid=2-s2.0-85113229165&amp;doi=10.4018%2f978-1-7998-6985-6.ch002&amp;partnerID=40&amp;md5=0c2583157b8c5dc3f4a9a18b611d9b1d;http://dx.doi.org/10.4018/978-1-7998-6985-6.ch002" TargetMode="External"/><Relationship Id="rId502" Type="http://schemas.openxmlformats.org/officeDocument/2006/relationships/hyperlink" Target="https://www.scopus.com/inward/record.uri?eid=2-s2.0-85131835438&amp;partnerID=40&amp;md5=40c05d858c50c0800240f633ed3bce18" TargetMode="External"/><Relationship Id="rId947" Type="http://schemas.openxmlformats.org/officeDocument/2006/relationships/hyperlink" Target="https://www.scopus.com/inward/record.uri?eid=2-s2.0-85014053590&amp;doi=10.1016%2fj.jss.2017.02.021&amp;partnerID=40&amp;md5=247b29b699e29dbd357cf9dc95e3354c;http://dx.doi.org/10.1016/j.jss.2017.02.021" TargetMode="External"/><Relationship Id="rId76" Type="http://schemas.openxmlformats.org/officeDocument/2006/relationships/hyperlink" Target="https://www.scopus.com/inward/record.uri?eid=2-s2.0-85129606574&amp;doi=10.1145%2f3512850.3512861&amp;partnerID=40&amp;md5=343b94b2a5df815aba6e3461091a3697;http://dx.doi.org/10.1145/3512850.3512861" TargetMode="External"/><Relationship Id="rId141" Type="http://schemas.openxmlformats.org/officeDocument/2006/relationships/hyperlink" Target="https://www.scopus.com/inward/record.uri?eid=2-s2.0-85137115700&amp;doi=10.1007%2fs10515-022-00358-6&amp;partnerID=40&amp;md5=60e9bbb2d585fef5ef2c8b29353bb634;http://dx.doi.org/10.1007/s10515-022-00358-6" TargetMode="External"/><Relationship Id="rId379" Type="http://schemas.openxmlformats.org/officeDocument/2006/relationships/hyperlink" Target="https://www.scopus.com/inward/record.uri?eid=2-s2.0-85134017734&amp;doi=10.1145%2f3524842.3527932&amp;partnerID=40&amp;md5=d76520c15800fb0c50b62825238e040a;http://dx.doi.org/10.1145/3524842.3527932" TargetMode="External"/><Relationship Id="rId586" Type="http://schemas.openxmlformats.org/officeDocument/2006/relationships/hyperlink" Target="https://www.scopus.com/inward/record.uri?eid=2-s2.0-85098698807&amp;doi=10.1016%2fj.jss.2020.110885&amp;partnerID=40&amp;md5=79bcce91325598c5ba71753a900109f3;http://dx.doi.org/10.1016/j.jss.2020.110885" TargetMode="External"/><Relationship Id="rId793" Type="http://schemas.openxmlformats.org/officeDocument/2006/relationships/hyperlink" Target="https://www.scopus.com/inward/record.uri?eid=2-s2.0-85083668952&amp;doi=10.1109%2fCCEM48484.2019.00014&amp;partnerID=40&amp;md5=37e0fe2cda2f2eab98accce36ebc9767;http://dx.doi.org/10.1109/CCEM48484.2019.00014" TargetMode="External"/><Relationship Id="rId807" Type="http://schemas.openxmlformats.org/officeDocument/2006/relationships/hyperlink" Target="https://www.scopus.com/inward/record.uri?eid=2-s2.0-85057164684&amp;doi=10.1109%2fSEAA.2018.00072&amp;partnerID=40&amp;md5=8be0d14b7ad2658573289e24e2e1fd88;http://dx.doi.org/10.1109/SEAA.2018.00072" TargetMode="External"/><Relationship Id="rId7" Type="http://schemas.openxmlformats.org/officeDocument/2006/relationships/hyperlink" Target="https://www.scopus.com/inward/record.uri?eid=2-s2.0-85143589507&amp;doi=10.1142%2fS0218194022500693&amp;partnerID=40&amp;md5=f52a0e9b1784a7b8fc61fc1a9aefadcb;http://dx.doi.org/10.1142/S0218194022500693" TargetMode="External"/><Relationship Id="rId239" Type="http://schemas.openxmlformats.org/officeDocument/2006/relationships/hyperlink" Target="https://www.scopus.com/inward/record.uri?eid=2-s2.0-85133444061&amp;doi=10.1145%2f3522664.3528621&amp;partnerID=40&amp;md5=20b42838920033b3571918d9ccb1ef03;http://dx.doi.org/10.1145/3522664.3528621" TargetMode="External"/><Relationship Id="rId446" Type="http://schemas.openxmlformats.org/officeDocument/2006/relationships/hyperlink" Target="https://www.scopus.com/inward/record.uri?eid=2-s2.0-85124488705&amp;doi=10.1109%2fCONISOFT52520.2021.00028&amp;partnerID=40&amp;md5=ebefa12026a77220dce39f944ef93726;http://dx.doi.org/10.1109/CONISOFT52520.2021.00028" TargetMode="External"/><Relationship Id="rId653" Type="http://schemas.openxmlformats.org/officeDocument/2006/relationships/hyperlink" Target="https://www.scopus.com/inward/record.uri?eid=2-s2.0-85100411135&amp;doi=10.14778%2f3415478.3415570&amp;partnerID=40&amp;md5=c583d9b06b31d87741789cbf16d1d606;http://dx.doi.org/10.14778/3415478.3415570" TargetMode="External"/><Relationship Id="rId292" Type="http://schemas.openxmlformats.org/officeDocument/2006/relationships/hyperlink" Target="https://www.scopus.com/inward/record.uri?eid=2-s2.0-85107476543&amp;doi=10.1007%2fs13369-021-05766-6&amp;partnerID=40&amp;md5=7c6d14a531632b154462eeb447c74a7c;http://dx.doi.org/10.1007/s13369-021-05766-6" TargetMode="External"/><Relationship Id="rId306" Type="http://schemas.openxmlformats.org/officeDocument/2006/relationships/hyperlink" Target="https://www.scopus.com/inward/record.uri?eid=2-s2.0-85113671827&amp;doi=10.1109%2fMSR52588.2021.00032&amp;partnerID=40&amp;md5=19746d77c9346e359d7189aeefbb7e36;http://dx.doi.org/10.1109/MSR52588.2021.00032" TargetMode="External"/><Relationship Id="rId860" Type="http://schemas.openxmlformats.org/officeDocument/2006/relationships/hyperlink" Target="https://www.scopus.com/inward/record.uri?eid=2-s2.0-85055776066&amp;partnerID=40&amp;md5=048d0c1b42d42d95c277869704fdf551" TargetMode="External"/><Relationship Id="rId87" Type="http://schemas.openxmlformats.org/officeDocument/2006/relationships/hyperlink" Target="https://www.scopus.com/inward/record.uri?eid=2-s2.0-85145500796&amp;doi=10.1007%2fs00778-022-00775-9&amp;partnerID=40&amp;md5=740b7669cfff7a156276cfc294feb9a5;http://dx.doi.org/10.1007/s00778-022-00775-9" TargetMode="External"/><Relationship Id="rId513" Type="http://schemas.openxmlformats.org/officeDocument/2006/relationships/hyperlink" Target="https://www.scopus.com/inward/record.uri?eid=2-s2.0-85123431746&amp;doi=10.1109%2fACSOS-C52956.2021.00038&amp;partnerID=40&amp;md5=f7fda58b9f6586ec5d122899e6cedbae;http://dx.doi.org/10.1109/ACSOS-C52956.2021.00038" TargetMode="External"/><Relationship Id="rId597" Type="http://schemas.openxmlformats.org/officeDocument/2006/relationships/hyperlink" Target="https://www.scopus.com/inward/record.uri?eid=2-s2.0-85107594454&amp;doi=10.4018%2fIJOSSP.2021040103&amp;partnerID=40&amp;md5=7bba65bb666a08cde582889021508a38;http://dx.doi.org/10.4018/IJOSSP.2021040103" TargetMode="External"/><Relationship Id="rId720" Type="http://schemas.openxmlformats.org/officeDocument/2006/relationships/hyperlink" Target="https://www.scopus.com/inward/record.uri?eid=2-s2.0-85074631958&amp;doi=10.1007%2fs00502-019-00746-z&amp;partnerID=40&amp;md5=5f2382ad1806e16c0c0b15ecd449df90;http://dx.doi.org/10.1007/s00502-019-00746-z" TargetMode="External"/><Relationship Id="rId818" Type="http://schemas.openxmlformats.org/officeDocument/2006/relationships/hyperlink" Target="https://www.scopus.com/inward/record.uri?eid=2-s2.0-84885962628&amp;doi=10.1109%2fMTD.2013.6608677&amp;partnerID=40&amp;md5=fa46f0fcd5bcf77cd1b7fce630f12b53;http://dx.doi.org/10.1109/MTD.2013.6608677" TargetMode="External"/><Relationship Id="rId152" Type="http://schemas.openxmlformats.org/officeDocument/2006/relationships/hyperlink" Target="https://www.scopus.com/inward/record.uri?eid=2-s2.0-85126392549&amp;doi=10.1145%2f3503222.3507704&amp;partnerID=40&amp;md5=c53d349ec86b82dc3288d33fcf766aac;http://dx.doi.org/10.1145/3503222.3507704" TargetMode="External"/><Relationship Id="rId457" Type="http://schemas.openxmlformats.org/officeDocument/2006/relationships/hyperlink" Target="https://www.scopus.com/inward/record.uri?eid=2-s2.0-85120538358&amp;doi=10.1109%2fRE51729.2021.00008&amp;partnerID=40&amp;md5=ab0058fcd692cf342f894173230c4e17;http://dx.doi.org/10.1109/RE51729.2021.00008" TargetMode="External"/><Relationship Id="rId664" Type="http://schemas.openxmlformats.org/officeDocument/2006/relationships/hyperlink" Target="https://www.scopus.com/inward/record.uri?eid=2-s2.0-85075020632&amp;doi=10.1145%2f3324916&amp;partnerID=40&amp;md5=999bb85d4d49055dd77ca73552f91fe7;http://dx.doi.org/10.1145/3324916" TargetMode="External"/><Relationship Id="rId871" Type="http://schemas.openxmlformats.org/officeDocument/2006/relationships/hyperlink" Target="https://www.scopus.com/inward/record.uri?eid=2-s2.0-85040565901&amp;doi=10.1002%2fsmr.1886&amp;partnerID=40&amp;md5=37cc6894c928a530d03d2ff259537e36;http://dx.doi.org/10.1002/smr.1886" TargetMode="External"/><Relationship Id="rId14" Type="http://schemas.openxmlformats.org/officeDocument/2006/relationships/hyperlink" Target="https://www.scopus.com/inward/record.uri?eid=2-s2.0-85144500788&amp;doi=10.1142%2fS0218194022500723&amp;partnerID=40&amp;md5=713fe1c3accb07320e0e1949420b2092;http://dx.doi.org/10.1142/S0218194022500723" TargetMode="External"/><Relationship Id="rId317" Type="http://schemas.openxmlformats.org/officeDocument/2006/relationships/hyperlink" Target="https://www.scopus.com/inward/record.uri?eid=2-s2.0-85107653377&amp;doi=10.1016%2fj.jss.2021.110986&amp;partnerID=40&amp;md5=1d4f23a24b8e2a94ef969e4d1bc63859;http://dx.doi.org/10.1016/j.jss.2021.110986" TargetMode="External"/><Relationship Id="rId524" Type="http://schemas.openxmlformats.org/officeDocument/2006/relationships/hyperlink" Target="https://www.scopus.com/inward/record.uri?eid=2-s2.0-85095573146&amp;doi=10.1371%2fjournal.pone.0241286&amp;partnerID=40&amp;md5=8f0531d6cee6d31d274dfcd020c0fb37;http://dx.doi.org/10.1371/journal.pone.0241286" TargetMode="External"/><Relationship Id="rId731" Type="http://schemas.openxmlformats.org/officeDocument/2006/relationships/hyperlink" Target="https://www.scopus.com/inward/record.uri?eid=2-s2.0-85090040158&amp;doi=10.1007%2f978-981-15-7984-4_37&amp;partnerID=40&amp;md5=4db31533ec7d63e568a1c1a3afae3eae;http://dx.doi.org/10.1007/978-981-15-7984-4_37" TargetMode="External"/><Relationship Id="rId98" Type="http://schemas.openxmlformats.org/officeDocument/2006/relationships/hyperlink" Target="https://www.scopus.com/inward/record.uri?eid=2-s2.0-85123066032&amp;doi=10.1007%2fs11334-021-00422-6&amp;partnerID=40&amp;md5=3fff891353aeee11ee10e74f82f79508;http://dx.doi.org/10.1007/s11334-021-00422-6" TargetMode="External"/><Relationship Id="rId163" Type="http://schemas.openxmlformats.org/officeDocument/2006/relationships/hyperlink" Target="https://www.scopus.com/inward/record.uri?eid=2-s2.0-85123200409&amp;doi=10.1016%2fj.jss.2022.111219&amp;partnerID=40&amp;md5=cf75dd4e6f74b76ab89df4be724ddc5c;http://dx.doi.org/10.1016/j.jss.2022.111219" TargetMode="External"/><Relationship Id="rId370" Type="http://schemas.openxmlformats.org/officeDocument/2006/relationships/hyperlink" Target="https://www.scopus.com/inward/record.uri?eid=2-s2.0-85134350727&amp;doi=10.1145%2f3524843.3528097&amp;partnerID=40&amp;md5=86e75b074cd4cf95c5ea49d4efd8310a;http://dx.doi.org/10.1145/3524843.3528097" TargetMode="External"/><Relationship Id="rId829" Type="http://schemas.openxmlformats.org/officeDocument/2006/relationships/hyperlink" Target="https://www.scopus.com/inward/record.uri?eid=2-s2.0-84949443224&amp;doi=10.1016%2fj.infsof.2015.10.001&amp;partnerID=40&amp;md5=5386a36ceb20ab1b93fbb827e474b62a;http://dx.doi.org/10.1016/j.infsof.2015.10.001" TargetMode="External"/><Relationship Id="rId230" Type="http://schemas.openxmlformats.org/officeDocument/2006/relationships/hyperlink" Target="https://www.scopus.com/inward/record.uri?eid=2-s2.0-85104619239&amp;doi=10.1145%2f3411764.3445518&amp;partnerID=40&amp;md5=fb2bed912073ee7b2dadc6eb1b068427;http://dx.doi.org/10.1145/3411764.3445518" TargetMode="External"/><Relationship Id="rId468" Type="http://schemas.openxmlformats.org/officeDocument/2006/relationships/hyperlink" Target="https://www.scopus.com/inward/record.uri?eid=2-s2.0-85099170614&amp;doi=10.2478%2ffcds-2020-0015&amp;partnerID=40&amp;md5=e38f34481aed9f762337849dd379eb01;http://dx.doi.org/10.2478/fcds-2020-0015" TargetMode="External"/><Relationship Id="rId675" Type="http://schemas.openxmlformats.org/officeDocument/2006/relationships/hyperlink" Target="https://www.scopus.com/inward/record.uri?eid=2-s2.0-85081550029&amp;doi=10.1007%2f978-3-030-40783-4_12&amp;partnerID=40&amp;md5=cb94fa62fd9b58db70b77925477cb13d;http://dx.doi.org/10.1007/978-3-030-40783-4_12" TargetMode="External"/><Relationship Id="rId882" Type="http://schemas.openxmlformats.org/officeDocument/2006/relationships/hyperlink" Target="https://www.scopus.com/inward/record.uri?eid=2-s2.0-85047970347&amp;doi=10.1016%2fj.jss.2018.05.057&amp;partnerID=40&amp;md5=13247a0e7927890a2a6e02889e25dbc8;http://dx.doi.org/10.1016/j.jss.2018.05.057" TargetMode="External"/><Relationship Id="rId25" Type="http://schemas.openxmlformats.org/officeDocument/2006/relationships/hyperlink" Target="https://www.scopus.com/inward/record.uri?eid=2-s2.0-85140993400&amp;doi=10.1109%2fRE54965.2022.00027&amp;partnerID=40&amp;md5=088e3e57c27f23bdf34af1a739a65a79;http://dx.doi.org/10.1109/RE54965.2022.00027" TargetMode="External"/><Relationship Id="rId328" Type="http://schemas.openxmlformats.org/officeDocument/2006/relationships/hyperlink" Target="https://www.scopus.com/inward/record.uri?eid=2-s2.0-85115089502&amp;doi=10.1109%2fCCICT53244.2021.00077&amp;partnerID=40&amp;md5=666b322f865fa7a27f1a09da66caf7f4;http://dx.doi.org/10.1109/CCICT53244.2021.00077" TargetMode="External"/><Relationship Id="rId535" Type="http://schemas.openxmlformats.org/officeDocument/2006/relationships/hyperlink" Target="https://www.scopus.com/inward/record.uri?eid=2-s2.0-85126188892&amp;doi=10.1109%2fAPSEC53868.2021.00053&amp;partnerID=40&amp;md5=4b0fa57084bd877975395b330124edde;http://dx.doi.org/10.1109/APSEC53868.2021.00053" TargetMode="External"/><Relationship Id="rId742" Type="http://schemas.openxmlformats.org/officeDocument/2006/relationships/hyperlink" Target="https://www.scopus.com/inward/record.uri?eid=2-s2.0-85083006137&amp;doi=10.1109%2fMS.2020.2985621&amp;partnerID=40&amp;md5=aaba6981f5c34875848add2db6ccf5a7;http://dx.doi.org/10.1109/MS.2020.2985621" TargetMode="External"/><Relationship Id="rId174" Type="http://schemas.openxmlformats.org/officeDocument/2006/relationships/hyperlink" Target="https://www.scopus.com/inward/record.uri?eid=2-s2.0-85140248769&amp;doi=10.1038%2fs41467-022-33128-9&amp;partnerID=40&amp;md5=7f39ed3a9fe7ceedb33e533a011c142a;http://dx.doi.org/10.1038/s41467-022-33128-9" TargetMode="External"/><Relationship Id="rId381" Type="http://schemas.openxmlformats.org/officeDocument/2006/relationships/hyperlink" Target="https://www.scopus.com/inward/record.uri?eid=2-s2.0-85135499146&amp;partnerID=40&amp;md5=ce9546da3091cf7f7fac3b2be289837c" TargetMode="External"/><Relationship Id="rId602" Type="http://schemas.openxmlformats.org/officeDocument/2006/relationships/hyperlink" Target="https://www.scopus.com/inward/record.uri?eid=2-s2.0-85064167604&amp;doi=10.1109%2fSANER.2019.8667999&amp;partnerID=40&amp;md5=00e712d60a9c3464eac77d48241f7b48;http://dx.doi.org/10.1109/SANER.2019.8667999" TargetMode="External"/><Relationship Id="rId241" Type="http://schemas.openxmlformats.org/officeDocument/2006/relationships/hyperlink" Target="https://www.scopus.com/inward/record.uri?eid=2-s2.0-85135055907&amp;doi=10.1007%2f978-3-031-10461-9_44&amp;partnerID=40&amp;md5=f779adfd5f5b27e1a5e2ca6ccd4c50a9;http://dx.doi.org/10.1007/978-3-031-10461-9_44" TargetMode="External"/><Relationship Id="rId479" Type="http://schemas.openxmlformats.org/officeDocument/2006/relationships/hyperlink" Target="https://www.scopus.com/inward/record.uri?eid=2-s2.0-85107005908&amp;doi=10.1109%2fICSA51549.2021.00022&amp;partnerID=40&amp;md5=10c7ac8a6b8200093065cc3af2c060e8;http://dx.doi.org/10.1109/ICSA51549.2021.00022" TargetMode="External"/><Relationship Id="rId686" Type="http://schemas.openxmlformats.org/officeDocument/2006/relationships/hyperlink" Target="https://www.scopus.com/inward/record.uri?eid=2-s2.0-85099723672&amp;doi=10.5593%2fsgem2020%2f2.1%2fs07.027&amp;partnerID=40&amp;md5=a2c61d7ad9145169efb9c0e826a061dc;http://dx.doi.org/10.5593/sgem2020/2.1/s07.027" TargetMode="External"/><Relationship Id="rId893" Type="http://schemas.openxmlformats.org/officeDocument/2006/relationships/hyperlink" Target="https://www.scopus.com/inward/record.uri?eid=2-s2.0-85024370661&amp;doi=10.1016%2fB978-0-12-805195-5.00008-9&amp;partnerID=40&amp;md5=a2abf57e3e55b52dfd00d506f7b0d93a;http://dx.doi.org/10.1016/B978-0-12-805195-5.00008-9" TargetMode="External"/><Relationship Id="rId907" Type="http://schemas.openxmlformats.org/officeDocument/2006/relationships/hyperlink" Target="https://www.scopus.com/inward/record.uri?eid=2-s2.0-84985021331&amp;doi=10.1145%2f2939672.2945388&amp;partnerID=40&amp;md5=c72fda8d1d66dc2a09daed6c9e63682b;http://dx.doi.org/10.1145/2939672.2945388" TargetMode="External"/><Relationship Id="rId36" Type="http://schemas.openxmlformats.org/officeDocument/2006/relationships/hyperlink" Target="https://www.scopus.com/inward/record.uri?eid=2-s2.0-85137148155&amp;doi=10.1145%2f3534678.3539059&amp;partnerID=40&amp;md5=720a53193bc867a210bfe5d306148f35;http://dx.doi.org/10.1145/3534678.3539059" TargetMode="External"/><Relationship Id="rId339" Type="http://schemas.openxmlformats.org/officeDocument/2006/relationships/hyperlink" Target="https://www.scopus.com/inward/record.uri?eid=2-s2.0-85135860301&amp;doi=10.1007%2fs11280-022-01087-2&amp;partnerID=40&amp;md5=5746eca924cd50933c0b438f7a8f8bae;http://dx.doi.org/10.1007/s11280-022-01087-2" TargetMode="External"/><Relationship Id="rId546" Type="http://schemas.openxmlformats.org/officeDocument/2006/relationships/hyperlink" Target="https://www.scopus.com/inward/record.uri?eid=2-s2.0-85125454605&amp;doi=10.1109%2fASE51524.2021.9678680&amp;partnerID=40&amp;md5=4f33c0638d19063ae52d47689a64f5b4;http://dx.doi.org/10.1109/ASE51524.2021.9678680" TargetMode="External"/><Relationship Id="rId753" Type="http://schemas.openxmlformats.org/officeDocument/2006/relationships/hyperlink" Target="https://www.scopus.com/inward/record.uri?eid=2-s2.0-85083573289&amp;doi=10.1109%2fSANER48275.2020.9054868&amp;partnerID=40&amp;md5=be52c240156dc6649a1e234304ccee7b;http://dx.doi.org/10.1109/SANER48275.2020.9054868" TargetMode="External"/><Relationship Id="rId101" Type="http://schemas.openxmlformats.org/officeDocument/2006/relationships/hyperlink" Target="https://www.scopus.com/inward/record.uri?eid=2-s2.0-85112159655&amp;doi=10.1109%2fTSE.2021.3102221&amp;partnerID=40&amp;md5=943b8bd3c53f068d0d969a19676ec455;http://dx.doi.org/10.1109/TSE.2021.3102221" TargetMode="External"/><Relationship Id="rId185" Type="http://schemas.openxmlformats.org/officeDocument/2006/relationships/hyperlink" Target="https://www.scopus.com/inward/record.uri?eid=2-s2.0-85136567400&amp;doi=10.1155%2f2022%2f8560873&amp;partnerID=40&amp;md5=c00f8c72198b883b144bc0dd914ea843;http://dx.doi.org/10.1155/2022/8560873" TargetMode="External"/><Relationship Id="rId406" Type="http://schemas.openxmlformats.org/officeDocument/2006/relationships/hyperlink" Target="https://www.scopus.com/inward/record.uri?eid=2-s2.0-85097308081&amp;doi=10.1145%2f3416505.3423559&amp;partnerID=40&amp;md5=3b7f138612836dbeb7ae45f6e765d686;http://dx.doi.org/10.1145/3416505.3423559" TargetMode="External"/><Relationship Id="rId392" Type="http://schemas.openxmlformats.org/officeDocument/2006/relationships/hyperlink" Target="https://www.scopus.com/inward/record.uri?eid=2-s2.0-85126707731&amp;doi=10.1145%2f3510003.3510225&amp;partnerID=40&amp;md5=7973f41823746324aac641424afc9dda;http://dx.doi.org/10.1145/3510003.3510225" TargetMode="External"/><Relationship Id="rId613" Type="http://schemas.openxmlformats.org/officeDocument/2006/relationships/hyperlink" Target="https://www.scopus.com/inward/record.uri?eid=2-s2.0-85093119961&amp;doi=10.1145%2f3387906.3388618&amp;partnerID=40&amp;md5=7504ccfec1b9932ac98031ae9df71572;http://dx.doi.org/10.1145/3387906.3388618" TargetMode="External"/><Relationship Id="rId697" Type="http://schemas.openxmlformats.org/officeDocument/2006/relationships/hyperlink" Target="https://www.scopus.com/inward/record.uri?eid=2-s2.0-85091170915&amp;doi=10.1007%2f978-3-030-58793-2_5&amp;partnerID=40&amp;md5=032c6818c86a80c7184d355953e702e4;http://dx.doi.org/10.1007/978-3-030-58793-2_5" TargetMode="External"/><Relationship Id="rId820" Type="http://schemas.openxmlformats.org/officeDocument/2006/relationships/hyperlink" Target="https://www.scopus.com/inward/record.uri?eid=2-s2.0-84960421324&amp;doi=10.1145%2f2786805.2786848&amp;partnerID=40&amp;md5=fb086ca8c559aa7ca2e20e0bd421c154;http://dx.doi.org/10.1145/2786805.2786848" TargetMode="External"/><Relationship Id="rId918" Type="http://schemas.openxmlformats.org/officeDocument/2006/relationships/hyperlink" Target="https://www.scopus.com/inward/record.uri?eid=2-s2.0-85051073384&amp;partnerID=40&amp;md5=80215b7b99c9566a45d30083140535d7" TargetMode="External"/><Relationship Id="rId252" Type="http://schemas.openxmlformats.org/officeDocument/2006/relationships/hyperlink" Target="https://www.scopus.com/inward/record.uri?eid=2-s2.0-85125390377&amp;doi=10.13328%2fj.cnki.jos.006292&amp;partnerID=40&amp;md5=f48287fa35af4f748f998426e742f354;http://dx.doi.org/10.13328/j.cnki.jos.006292" TargetMode="External"/><Relationship Id="rId47" Type="http://schemas.openxmlformats.org/officeDocument/2006/relationships/hyperlink" Target="https://www.scopus.com/inward/record.uri?eid=2-s2.0-85143818622&amp;doi=10.1145%2f3568562.3568643&amp;partnerID=40&amp;md5=43139ace24d7194f74ebbc8119f0170f;http://dx.doi.org/10.1145/3568562.3568643" TargetMode="External"/><Relationship Id="rId112" Type="http://schemas.openxmlformats.org/officeDocument/2006/relationships/hyperlink" Target="https://www.scopus.com/inward/record.uri?eid=2-s2.0-85141711105&amp;doi=10.1007%2fs10664-022-10232-4&amp;partnerID=40&amp;md5=33688bd6b7dc703c2f4e84423900cb6b;http://dx.doi.org/10.1007/s10664-022-10232-4" TargetMode="External"/><Relationship Id="rId557" Type="http://schemas.openxmlformats.org/officeDocument/2006/relationships/hyperlink" Target="https://www.scopus.com/inward/record.uri?eid=2-s2.0-85119830809&amp;doi=10.1109%2fICSME52107.2021.00071&amp;partnerID=40&amp;md5=206be4f3a7e99e5773a8fa9606804b6f;http://dx.doi.org/10.1109/ICSME52107.2021.00071" TargetMode="External"/><Relationship Id="rId764" Type="http://schemas.openxmlformats.org/officeDocument/2006/relationships/hyperlink" Target="https://www.scopus.com/inward/record.uri?eid=2-s2.0-85076541990&amp;partnerID=40&amp;md5=ce125964603b630e1543356b5f1858ae" TargetMode="External"/><Relationship Id="rId196" Type="http://schemas.openxmlformats.org/officeDocument/2006/relationships/hyperlink" Target="https://www.scopus.com/inward/record.uri?eid=2-s2.0-85145552474&amp;doi=10.1016%2fj.infsof.2022.107116&amp;partnerID=40&amp;md5=63fb58b47d0f5d42d267e2dec0fbadd7;http://dx.doi.org/10.1016/j.infsof.2022.107116" TargetMode="External"/><Relationship Id="rId417" Type="http://schemas.openxmlformats.org/officeDocument/2006/relationships/hyperlink" Target="https://www.scopus.com/inward/record.uri?eid=2-s2.0-85083265040&amp;doi=10.1186%2fs40537-020-00303-y&amp;partnerID=40&amp;md5=5de2ce72902813337438c54aa7189742;http://dx.doi.org/10.1186/s40537-020-00303-y" TargetMode="External"/><Relationship Id="rId624" Type="http://schemas.openxmlformats.org/officeDocument/2006/relationships/hyperlink" Target="https://www.scopus.com/inward/record.uri?eid=2-s2.0-85089026459&amp;doi=10.1155%2f2020%2f8830683&amp;partnerID=40&amp;md5=e03293835a3c5c6a7fa7ff50fa182fad;http://dx.doi.org/10.1155/2020/8830683" TargetMode="External"/><Relationship Id="rId831" Type="http://schemas.openxmlformats.org/officeDocument/2006/relationships/hyperlink" Target="https://www.scopus.com/inward/record.uri?eid=2-s2.0-85055841579&amp;doi=10.1145%2f3266237.3266271&amp;partnerID=40&amp;md5=d0a77956bce2f74082212ed570ec9e70;http://dx.doi.org/10.1145/3266237.3266271" TargetMode="External"/><Relationship Id="rId263" Type="http://schemas.openxmlformats.org/officeDocument/2006/relationships/hyperlink" Target="https://www.scopus.com/inward/record.uri?eid=2-s2.0-85133951759&amp;doi=10.23919%2fMIPRO55190.2022.9803727&amp;partnerID=40&amp;md5=26707e38b212fa540ee51b729c81f95d;http://dx.doi.org/10.23919/MIPRO55190.2022.9803727" TargetMode="External"/><Relationship Id="rId470" Type="http://schemas.openxmlformats.org/officeDocument/2006/relationships/hyperlink" Target="https://www.scopus.com/inward/record.uri?eid=2-s2.0-85098553455&amp;doi=10.1145%2f3377812.3381404&amp;partnerID=40&amp;md5=49bd90bdd795d70e30576d4806605075;http://dx.doi.org/10.1145/3377812.3381404" TargetMode="External"/><Relationship Id="rId929" Type="http://schemas.openxmlformats.org/officeDocument/2006/relationships/hyperlink" Target="https://www.scopus.com/inward/record.uri?eid=2-s2.0-84995404176&amp;doi=10.1016%2fj.future.2016.07.001&amp;partnerID=40&amp;md5=6e519449c0dce7eb03fba5233bd1cb0e;http://dx.doi.org/10.1016/j.future.2016.07.001" TargetMode="External"/><Relationship Id="rId58" Type="http://schemas.openxmlformats.org/officeDocument/2006/relationships/hyperlink" Target="https://www.scopus.com/inward/record.uri?eid=2-s2.0-85129358472&amp;doi=10.3390%2ffi14050124&amp;partnerID=40&amp;md5=b0c1e797271729e90fce836dbd73bd5d;http://dx.doi.org/10.3390/fi14050124" TargetMode="External"/><Relationship Id="rId123" Type="http://schemas.openxmlformats.org/officeDocument/2006/relationships/hyperlink" Target="https://www.scopus.com/inward/record.uri?eid=2-s2.0-85136031948&amp;doi=10.1007%2fs10009-022-00662-2&amp;partnerID=40&amp;md5=62b6771758aa2c39164fa2130570b45d;http://dx.doi.org/10.1007/s10009-022-00662-2" TargetMode="External"/><Relationship Id="rId330" Type="http://schemas.openxmlformats.org/officeDocument/2006/relationships/hyperlink" Target="https://www.scopus.com/inward/record.uri?eid=2-s2.0-85104701235&amp;doi=10.1016%2fj.jss.2021.110976&amp;partnerID=40&amp;md5=465d320d5df377851f8a956da06c8c8f;http://dx.doi.org/10.1016/j.jss.2021.110976" TargetMode="External"/><Relationship Id="rId568" Type="http://schemas.openxmlformats.org/officeDocument/2006/relationships/hyperlink" Target="https://www.scopus.com/inward/record.uri?eid=2-s2.0-85100534946&amp;doi=10.1109%2fDSA51864.2020.00019&amp;partnerID=40&amp;md5=1ac523109d4b9a851a92583ee12dfda7;http://dx.doi.org/10.1109/DSA51864.2020.00019" TargetMode="External"/><Relationship Id="rId775" Type="http://schemas.openxmlformats.org/officeDocument/2006/relationships/hyperlink" Target="https://www.scopus.com/inward/record.uri?eid=2-s2.0-85065622242&amp;doi=10.1016%2fj.infsof.2019.05.004&amp;partnerID=40&amp;md5=fbb54ca801215a4397db0a4735bac5b1;http://dx.doi.org/10.1016/j.infsof.2019.05.004" TargetMode="External"/><Relationship Id="rId428" Type="http://schemas.openxmlformats.org/officeDocument/2006/relationships/hyperlink" Target="https://www.scopus.com/inward/record.uri?eid=2-s2.0-85091937445&amp;doi=10.1145%2f3387904.3389266&amp;partnerID=40&amp;md5=7a8ca882dca784a107b4c148971c9ccd;http://dx.doi.org/10.1145/3387904.3389266" TargetMode="External"/><Relationship Id="rId635" Type="http://schemas.openxmlformats.org/officeDocument/2006/relationships/hyperlink" Target="https://www.scopus.com/inward/record.uri?eid=2-s2.0-85078871135&amp;doi=10.1016%2fj.infsof.2020.106270&amp;partnerID=40&amp;md5=da9d6aa798dac89600c4c15e6d482606;http://dx.doi.org/10.1016/j.infsof.2020.106270" TargetMode="External"/><Relationship Id="rId842" Type="http://schemas.openxmlformats.org/officeDocument/2006/relationships/hyperlink" Target="https://www.scopus.com/inward/record.uri?eid=2-s2.0-85037371130&amp;doi=10.1145%2f3128572.3140445&amp;partnerID=40&amp;md5=c6eda95cfe08816b6178fe6e7bec7716;http://dx.doi.org/10.1145/3128572.3140445" TargetMode="External"/><Relationship Id="rId274" Type="http://schemas.openxmlformats.org/officeDocument/2006/relationships/hyperlink" Target="https://www.scopus.com/inward/record.uri?eid=2-s2.0-85134882117&amp;doi=10.1109%2fICDEW55742.2022.00010&amp;partnerID=40&amp;md5=ce6e09b887565f27864ec5d52fda846b;http://dx.doi.org/10.1109/ICDEW55742.2022.00010" TargetMode="External"/><Relationship Id="rId481" Type="http://schemas.openxmlformats.org/officeDocument/2006/relationships/hyperlink" Target="https://www.scopus.com/inward/record.uri?eid=2-s2.0-85116053383&amp;doi=10.1007%2fs42979-020-00408-4&amp;partnerID=40&amp;md5=37cb9755720cbe70011b0bfa7bfcc0c2;http://dx.doi.org/10.1007/s42979-020-00408-4" TargetMode="External"/><Relationship Id="rId702" Type="http://schemas.openxmlformats.org/officeDocument/2006/relationships/hyperlink" Target="https://www.scopus.com/inward/record.uri?eid=2-s2.0-85088130233&amp;doi=10.3390%2ffi12060102&amp;partnerID=40&amp;md5=7ceb14c14338aef0c67037b4c2731289;http://dx.doi.org/10.3390/fi12060102" TargetMode="External"/><Relationship Id="rId69" Type="http://schemas.openxmlformats.org/officeDocument/2006/relationships/hyperlink" Target="https://www.scopus.com/inward/record.uri?eid=2-s2.0-85128067243&amp;doi=10.4271%2f2022-01-0109&amp;partnerID=40&amp;md5=4db7822e205f435db6a5d96d164cbbef;http://dx.doi.org/10.4271/2022-01-0109" TargetMode="External"/><Relationship Id="rId134" Type="http://schemas.openxmlformats.org/officeDocument/2006/relationships/hyperlink" Target="https://www.scopus.com/inward/record.uri?eid=2-s2.0-85113951811&amp;doi=10.1007%2fs13369-021-06077-6&amp;partnerID=40&amp;md5=aa0e8c52cc8e9051c96d2ad449e5a171;http://dx.doi.org/10.1007/s13369-021-06077-6" TargetMode="External"/><Relationship Id="rId579" Type="http://schemas.openxmlformats.org/officeDocument/2006/relationships/hyperlink" Target="https://www.scopus.com/inward/record.uri?eid=2-s2.0-85121599547&amp;partnerID=40&amp;md5=ee015f1d0da14b1242f0f173d2ecc680" TargetMode="External"/><Relationship Id="rId786" Type="http://schemas.openxmlformats.org/officeDocument/2006/relationships/hyperlink" Target="https://www.scopus.com/inward/record.uri?eid=2-s2.0-85077182774&amp;doi=10.1109%2fICSME.2019.00029&amp;partnerID=40&amp;md5=40029e511624cc6ddc05cc0c3e2d2293;http://dx.doi.org/10.1109/ICSME.2019.00029" TargetMode="External"/><Relationship Id="rId341" Type="http://schemas.openxmlformats.org/officeDocument/2006/relationships/hyperlink" Target="https://www.scopus.com/inward/record.uri?eid=2-s2.0-85132038889&amp;doi=10.1109%2fICSA53651.2022.00017&amp;partnerID=40&amp;md5=f41006061ada3ac78eb59d7d797684be;http://dx.doi.org/10.1109/ICSA53651.2022.00017" TargetMode="External"/><Relationship Id="rId439" Type="http://schemas.openxmlformats.org/officeDocument/2006/relationships/hyperlink" Target="https://www.scopus.com/inward/record.uri?eid=2-s2.0-85127155397&amp;partnerID=40&amp;md5=51baded0bda5f7d705bec12e82951857" TargetMode="External"/><Relationship Id="rId646" Type="http://schemas.openxmlformats.org/officeDocument/2006/relationships/hyperlink" Target="https://www.scopus.com/inward/record.uri?eid=2-s2.0-85077502999&amp;partnerID=40&amp;md5=3765a7c62ef722a011bea06b9d3b39a8" TargetMode="External"/><Relationship Id="rId201" Type="http://schemas.openxmlformats.org/officeDocument/2006/relationships/hyperlink" Target="https://www.scopus.com/inward/record.uri?eid=2-s2.0-85133211210&amp;doi=10.1145%2f3524610.3527901&amp;partnerID=40&amp;md5=66bfdc062ab20d62b4b1d3b78e58fe20;http://dx.doi.org/10.1145/3524610.3527901" TargetMode="External"/><Relationship Id="rId285" Type="http://schemas.openxmlformats.org/officeDocument/2006/relationships/hyperlink" Target="https://www.scopus.com/inward/record.uri?eid=2-s2.0-85113825122&amp;doi=10.1145%2f3472674.3473978&amp;partnerID=40&amp;md5=ef08e821bd0aa076a2350dadfe5034f8;http://dx.doi.org/10.1145/3472674.3473978" TargetMode="External"/><Relationship Id="rId506" Type="http://schemas.openxmlformats.org/officeDocument/2006/relationships/hyperlink" Target="https://www.scopus.com/inward/record.uri?eid=2-s2.0-85124777462&amp;doi=10.1055%2fs-0041-1740923&amp;partnerID=40&amp;md5=cd97edd7ad4de13122a0f02c60dd31a6;http://dx.doi.org/10.1055/s-0041-1740923" TargetMode="External"/><Relationship Id="rId853" Type="http://schemas.openxmlformats.org/officeDocument/2006/relationships/hyperlink" Target="https://www.scopus.com/inward/record.uri?eid=2-s2.0-84954120914&amp;doi=10.1145%2f2783258.2788628&amp;partnerID=40&amp;md5=b43ba396032467f35be3fe986179b1d9;http://dx.doi.org/10.1145/2783258.2788628" TargetMode="External"/><Relationship Id="rId492" Type="http://schemas.openxmlformats.org/officeDocument/2006/relationships/hyperlink" Target="https://www.scopus.com/inward/record.uri?eid=2-s2.0-85096588430&amp;doi=10.1109%2fSEAA51224.2020.00013&amp;partnerID=40&amp;md5=91a0c66839f3e09a22ce76289f2c3d55;http://dx.doi.org/10.1109/SEAA51224.2020.00013" TargetMode="External"/><Relationship Id="rId713" Type="http://schemas.openxmlformats.org/officeDocument/2006/relationships/hyperlink" Target="https://www.scopus.com/inward/record.uri?eid=2-s2.0-85079680598&amp;doi=10.1145%2f3351095.3372873&amp;partnerID=40&amp;md5=138ba67c88aa7cabfc034e3d75664dc5;http://dx.doi.org/10.1145/3351095.3372873" TargetMode="External"/><Relationship Id="rId797" Type="http://schemas.openxmlformats.org/officeDocument/2006/relationships/hyperlink" Target="https://www.scopus.com/inward/record.uri?eid=2-s2.0-85015151902&amp;doi=10.1109%2fTLA.2017.7867598&amp;partnerID=40&amp;md5=e5c76e09eb8933bbb37c337592a840a7;http://dx.doi.org/10.1109/TLA.2017.7867598" TargetMode="External"/><Relationship Id="rId920" Type="http://schemas.openxmlformats.org/officeDocument/2006/relationships/hyperlink" Target="https://www.scopus.com/inward/record.uri?eid=2-s2.0-85053913046&amp;doi=10.1145%2f3183428.3183435&amp;partnerID=40&amp;md5=4b8869fff7f56e549d660a454148a02e;http://dx.doi.org/10.1145/3183428.3183435" TargetMode="External"/><Relationship Id="rId145" Type="http://schemas.openxmlformats.org/officeDocument/2006/relationships/hyperlink" Target="https://www.scopus.com/inward/record.uri?eid=2-s2.0-85138474182&amp;doi=10.1007%2fs10664-022-10206-6&amp;partnerID=40&amp;md5=8d0df4e706b91f4276677017bfa1fc25;http://dx.doi.org/10.1007/s10664-022-10206-6" TargetMode="External"/><Relationship Id="rId352" Type="http://schemas.openxmlformats.org/officeDocument/2006/relationships/hyperlink" Target="https://www.scopus.com/inward/record.uri?eid=2-s2.0-85133411277&amp;doi=10.1145%2f3522664.3528590&amp;partnerID=40&amp;md5=4ccc26a1a57379126b4d3150b1f12927;http://dx.doi.org/10.1145/3522664.3528590" TargetMode="External"/><Relationship Id="rId212" Type="http://schemas.openxmlformats.org/officeDocument/2006/relationships/hyperlink" Target="https://www.scopus.com/inward/record.uri?eid=2-s2.0-85134194795&amp;doi=10.1109%2fTEMSCONEUROPE54743.2022.9802054&amp;partnerID=40&amp;md5=d15c6dd83ba2312925aeebe5b4d8cb1a;http://dx.doi.org/10.1109/TEMSCONEUROPE54743.2022.9802054" TargetMode="External"/><Relationship Id="rId657" Type="http://schemas.openxmlformats.org/officeDocument/2006/relationships/hyperlink" Target="https://www.scopus.com/inward/record.uri?eid=2-s2.0-85076134349&amp;doi=10.1007%2f978-3-030-33742-1_15&amp;partnerID=40&amp;md5=23cb0d39566949b76e1f6ff3bac7141a;http://dx.doi.org/10.1007/978-3-030-33742-1_15" TargetMode="External"/><Relationship Id="rId864" Type="http://schemas.openxmlformats.org/officeDocument/2006/relationships/hyperlink" Target="https://www.scopus.com/inward/record.uri?eid=2-s2.0-84961375653&amp;doi=10.1007%2f978-3-642-45398-4&amp;partnerID=40&amp;md5=749625357b37e006de267556d48c57e6;http://dx.doi.org/10.1007/978-3-642-45398-4" TargetMode="External"/><Relationship Id="rId296" Type="http://schemas.openxmlformats.org/officeDocument/2006/relationships/hyperlink" Target="https://www.scopus.com/inward/record.uri?eid=2-s2.0-85108911065&amp;doi=10.1145%2f3463274.3463333&amp;partnerID=40&amp;md5=4a568f34dc6d1a5a679e650b292eda5c;http://dx.doi.org/10.1145/3463274.3463333" TargetMode="External"/><Relationship Id="rId517" Type="http://schemas.openxmlformats.org/officeDocument/2006/relationships/hyperlink" Target="https://www.scopus.com/inward/record.uri?eid=2-s2.0-85096991614&amp;doi=10.12928%2fTELKOMNIKA.v18i6.16743&amp;partnerID=40&amp;md5=e25a8960dcb879ace126590d1115a319;http://dx.doi.org/10.12928/TELKOMNIKA.v18i6.16743" TargetMode="External"/><Relationship Id="rId724" Type="http://schemas.openxmlformats.org/officeDocument/2006/relationships/hyperlink" Target="https://www.scopus.com/inward/record.uri?eid=2-s2.0-85063955510&amp;doi=10.1109%2fIWESEP.2018.00010&amp;partnerID=40&amp;md5=877dc7facce6dff853f440412e6187dd;http://dx.doi.org/10.1109/IWESEP.2018.00010" TargetMode="External"/><Relationship Id="rId931" Type="http://schemas.openxmlformats.org/officeDocument/2006/relationships/hyperlink" Target="https://www.scopus.com/inward/record.uri?eid=2-s2.0-85049734434&amp;doi=10.1109%2fSANER.2018.8330266&amp;partnerID=40&amp;md5=0f2a02ffd59853212affe7704357ea21;http://dx.doi.org/10.1109/SANER.2018.8330266" TargetMode="External"/><Relationship Id="rId60" Type="http://schemas.openxmlformats.org/officeDocument/2006/relationships/hyperlink" Target="https://www.scopus.com/inward/record.uri?eid=2-s2.0-85143052180&amp;doi=10.1145%2f3540250.3549088&amp;partnerID=40&amp;md5=221e967fa43a46b13ca4902687512b64;http://dx.doi.org/10.1145/3540250.3549088" TargetMode="External"/><Relationship Id="rId156" Type="http://schemas.openxmlformats.org/officeDocument/2006/relationships/hyperlink" Target="https://www.scopus.com/inward/record.uri?eid=2-s2.0-85124089577&amp;doi=10.3390%2fmath10030446&amp;partnerID=40&amp;md5=edba7034083e27c3edb9e300c1ca7fac;http://dx.doi.org/10.3390/math10030446" TargetMode="External"/><Relationship Id="rId363" Type="http://schemas.openxmlformats.org/officeDocument/2006/relationships/hyperlink" Target="https://www.scopus.com/inward/record.uri?eid=2-s2.0-85119142384&amp;doi=10.3390%2fmath9212822&amp;partnerID=40&amp;md5=76e2181e5894eda78f3d58276e25a967;http://dx.doi.org/10.3390/math9212822" TargetMode="External"/><Relationship Id="rId570" Type="http://schemas.openxmlformats.org/officeDocument/2006/relationships/hyperlink" Target="https://www.scopus.com/inward/record.uri?eid=2-s2.0-85141430282&amp;doi=10.1109%2fQRS54544.2021.00103&amp;partnerID=40&amp;md5=b6d0f6795eecbed78733249832cfaa95;http://dx.doi.org/10.1109/QRS54544.2021.00103" TargetMode="External"/><Relationship Id="rId223" Type="http://schemas.openxmlformats.org/officeDocument/2006/relationships/hyperlink" Target="https://www.scopus.com/inward/record.uri?eid=2-s2.0-85107766571&amp;doi=10.1016%2fj.jss.2021.111010&amp;partnerID=40&amp;md5=d448645aacc3ff1b088bd1b3a1cb12db;http://dx.doi.org/10.1016/j.jss.2021.111010" TargetMode="External"/><Relationship Id="rId430" Type="http://schemas.openxmlformats.org/officeDocument/2006/relationships/hyperlink" Target="https://www.scopus.com/inward/record.uri?eid=2-s2.0-85097642624&amp;doi=10.1109%2fSCAM51674.2020.00011&amp;partnerID=40&amp;md5=546e6224a37a8c2f83e5f1025cdcc7d1;http://dx.doi.org/10.1109/SCAM51674.2020.00011" TargetMode="External"/><Relationship Id="rId668" Type="http://schemas.openxmlformats.org/officeDocument/2006/relationships/hyperlink" Target="https://www.scopus.com/inward/record.uri?eid=2-s2.0-85081967635&amp;doi=10.1145%2f3344948.3344951&amp;partnerID=40&amp;md5=5a48b9bc34d6094cf05bed35c263ad19;http://dx.doi.org/10.1145/3344948.3344951" TargetMode="External"/><Relationship Id="rId875" Type="http://schemas.openxmlformats.org/officeDocument/2006/relationships/hyperlink" Target="https://www.scopus.com/inward/record.uri?eid=2-s2.0-85025172556&amp;doi=10.1109%2fICPC.2017.38&amp;partnerID=40&amp;md5=fd0269655eb20a7347798a4b00286fad;http://dx.doi.org/10.1109/ICPC.2017.38" TargetMode="External"/><Relationship Id="rId18" Type="http://schemas.openxmlformats.org/officeDocument/2006/relationships/hyperlink" Target="https://www.scopus.com/inward/record.uri?eid=2-s2.0-85132899254&amp;doi=10.1002%2fspe.3117&amp;partnerID=40&amp;md5=990b74421e742e1a74b2402204c48097;http://dx.doi.org/10.1002/spe.3117" TargetMode="External"/><Relationship Id="rId528" Type="http://schemas.openxmlformats.org/officeDocument/2006/relationships/hyperlink" Target="https://www.scopus.com/inward/record.uri?eid=2-s2.0-85105952800&amp;doi=10.1007%2f978-3-030-73103-8_9&amp;partnerID=40&amp;md5=cf09c02673d92fba921d1d138ff9e0b9;http://dx.doi.org/10.1007/978-3-030-73103-8_9" TargetMode="External"/><Relationship Id="rId735" Type="http://schemas.openxmlformats.org/officeDocument/2006/relationships/hyperlink" Target="https://www.scopus.com/inward/record.uri?eid=2-s2.0-85072343120&amp;doi=10.1109%2fMSR.2019.00071&amp;partnerID=40&amp;md5=47ccc563239187220923d9959cc82e19;http://dx.doi.org/10.1109/MSR.2019.00071" TargetMode="External"/><Relationship Id="rId942" Type="http://schemas.openxmlformats.org/officeDocument/2006/relationships/hyperlink" Target="https://www.scopus.com/inward/record.uri?eid=2-s2.0-85062505759&amp;partnerID=40&amp;md5=636a61064499fcd05da9d69617d70c0d" TargetMode="External"/><Relationship Id="rId167" Type="http://schemas.openxmlformats.org/officeDocument/2006/relationships/hyperlink" Target="https://www.scopus.com/inward/record.uri?eid=2-s2.0-85144822206&amp;doi=10.1016%2fj.jss.2022.111575&amp;partnerID=40&amp;md5=7d40feaac35c2f25b5c56707c0cf4c5a;http://dx.doi.org/10.1016/j.jss.2022.111575" TargetMode="External"/><Relationship Id="rId374" Type="http://schemas.openxmlformats.org/officeDocument/2006/relationships/hyperlink" Target="https://www.scopus.com/inward/record.uri?eid=2-s2.0-85133467455&amp;doi=10.1145%2f3522664.3528592&amp;partnerID=40&amp;md5=c96498e5deeae9915eb8823bccdbb00d;http://dx.doi.org/10.1145/3522664.3528592" TargetMode="External"/><Relationship Id="rId581" Type="http://schemas.openxmlformats.org/officeDocument/2006/relationships/hyperlink" Target="https://www.scopus.com/inward/record.uri?eid=2-s2.0-85117760287&amp;partnerID=40&amp;md5=81955a0a280b9878ff39973f036d6744" TargetMode="External"/><Relationship Id="rId71" Type="http://schemas.openxmlformats.org/officeDocument/2006/relationships/hyperlink" Target="https://www.scopus.com/inward/record.uri?eid=2-s2.0-85143197967&amp;doi=10.1145%2f3558489.3559069&amp;partnerID=40&amp;md5=aa575bcbfb3041317cdc8d2bbdc8cad1;http://dx.doi.org/10.1145/3558489.3559069" TargetMode="External"/><Relationship Id="rId234" Type="http://schemas.openxmlformats.org/officeDocument/2006/relationships/hyperlink" Target="https://www.scopus.com/inward/record.uri?eid=2-s2.0-85135020559&amp;doi=10.1007%2f978-3-031-08421-8_41&amp;partnerID=40&amp;md5=8fba1eb478d33077040752bd1c7f76b7;http://dx.doi.org/10.1007/978-3-031-08421-8_41" TargetMode="External"/><Relationship Id="rId679" Type="http://schemas.openxmlformats.org/officeDocument/2006/relationships/hyperlink" Target="https://www.scopus.com/inward/record.uri?eid=2-s2.0-85102034258&amp;partnerID=40&amp;md5=5cfe70c132f0587b2ec367ef0af48bec" TargetMode="External"/><Relationship Id="rId802" Type="http://schemas.openxmlformats.org/officeDocument/2006/relationships/hyperlink" Target="https://www.scopus.com/inward/record.uri?eid=2-s2.0-85028690345&amp;partnerID=40&amp;md5=25f6e03953d7bf7041456caba1e2d45c" TargetMode="External"/><Relationship Id="rId886" Type="http://schemas.openxmlformats.org/officeDocument/2006/relationships/hyperlink" Target="https://www.scopus.com/inward/record.uri?eid=2-s2.0-85065960484&amp;doi=10.1109%2fIS.2018.8710521&amp;partnerID=40&amp;md5=0a898ef8fbff21aa2cc0f1b7c26b83a7;http://dx.doi.org/10.1109/IS.2018.8710521" TargetMode="External"/><Relationship Id="rId2" Type="http://schemas.openxmlformats.org/officeDocument/2006/relationships/hyperlink" Target="https://www.scopus.com/inward/record.uri?eid=2-s2.0-85132368307&amp;doi=10.1145%2f3530019.3530038&amp;partnerID=40&amp;md5=c3ec9d53f1a5f1f12c0265314c2709a9;http://dx.doi.org/10.1145/3530019.3530038" TargetMode="External"/><Relationship Id="rId29" Type="http://schemas.openxmlformats.org/officeDocument/2006/relationships/hyperlink" Target="https://www.scopus.com/inward/record.uri?eid=2-s2.0-85128603213&amp;doi=10.1109%2fTR.2022.3159851&amp;partnerID=40&amp;md5=34f70bed258ee2f6c67413470fb980d1;http://dx.doi.org/10.1109/TR.2022.3159851" TargetMode="External"/><Relationship Id="rId441" Type="http://schemas.openxmlformats.org/officeDocument/2006/relationships/hyperlink" Target="https://www.scopus.com/inward/record.uri?eid=2-s2.0-85113608396&amp;doi=10.1109%2fMSR52588.2021.00048&amp;partnerID=40&amp;md5=8372a320829643fa3dbaaf4903e3d57e;http://dx.doi.org/10.1109/MSR52588.2021.00048" TargetMode="External"/><Relationship Id="rId539" Type="http://schemas.openxmlformats.org/officeDocument/2006/relationships/hyperlink" Target="https://www.scopus.com/inward/record.uri?eid=2-s2.0-85100871955&amp;doi=10.1007%2fs11219-020-09538-7&amp;partnerID=40&amp;md5=db34d14be1d38564e1377bfa7a6c070f;http://dx.doi.org/10.1007/s11219-020-09538-7" TargetMode="External"/><Relationship Id="rId746" Type="http://schemas.openxmlformats.org/officeDocument/2006/relationships/hyperlink" Target="https://www.scopus.com/inward/record.uri?eid=2-s2.0-85097427859&amp;doi=10.1007%2f978-3-030-62144-5_1&amp;partnerID=40&amp;md5=3cc753e5bbf244b2eeddf32777ea406e;http://dx.doi.org/10.1007/978-3-030-62144-5_1" TargetMode="External"/><Relationship Id="rId178" Type="http://schemas.openxmlformats.org/officeDocument/2006/relationships/hyperlink" Target="https://www.scopus.com/inward/record.uri?eid=2-s2.0-85128418414&amp;doi=10.1145%2f3512905&amp;partnerID=40&amp;md5=5ddea5edbb7cda4f0fc36e84feef1893;http://dx.doi.org/10.1145/3512905" TargetMode="External"/><Relationship Id="rId301" Type="http://schemas.openxmlformats.org/officeDocument/2006/relationships/hyperlink" Target="https://www.scopus.com/inward/record.uri?eid=2-s2.0-85114808598&amp;doi=10.1109%2fTechDebt52882.2021.00009&amp;partnerID=40&amp;md5=760ad1ec91e35a2653864031ab66b940;http://dx.doi.org/10.1109/TechDebt52882.2021.00009" TargetMode="External"/><Relationship Id="rId82" Type="http://schemas.openxmlformats.org/officeDocument/2006/relationships/hyperlink" Target="https://www.scopus.com/inward/record.uri?eid=2-s2.0-85134657563&amp;doi=10.1016%2fj.jsis.2022.101734&amp;partnerID=40&amp;md5=175971429ebb05ca7fbb20449d1f19bd;http://dx.doi.org/10.1016/j.jsis.2022.101734" TargetMode="External"/><Relationship Id="rId385" Type="http://schemas.openxmlformats.org/officeDocument/2006/relationships/hyperlink" Target="https://www.scopus.com/inward/record.uri?eid=2-s2.0-85102442891&amp;doi=10.1016%2fj.infsof.2021.106566&amp;partnerID=40&amp;md5=e0dd5cce934cdfe03723ba84c01460a0;http://dx.doi.org/10.1016/j.infsof.2021.106566" TargetMode="External"/><Relationship Id="rId592" Type="http://schemas.openxmlformats.org/officeDocument/2006/relationships/hyperlink" Target="https://www.scopus.com/inward/record.uri?eid=2-s2.0-85113586145&amp;doi=10.1109%2fMSR52588.2021.00080&amp;partnerID=40&amp;md5=f73f0ff63831c66174dda79436bafade;http://dx.doi.org/10.1109/MSR52588.2021.00080" TargetMode="External"/><Relationship Id="rId606" Type="http://schemas.openxmlformats.org/officeDocument/2006/relationships/hyperlink" Target="https://www.scopus.com/inward/record.uri?eid=2-s2.0-85083555688&amp;doi=10.1109%2fSANER48275.2020.9054792&amp;partnerID=40&amp;md5=9dbc463d70f0901b3072e404686ff20e;http://dx.doi.org/10.1109/SANER48275.2020.9054792" TargetMode="External"/><Relationship Id="rId813" Type="http://schemas.openxmlformats.org/officeDocument/2006/relationships/hyperlink" Target="https://www.scopus.com/inward/record.uri?eid=2-s2.0-85047767117&amp;doi=10.1109%2fBigData.2017.8258038&amp;partnerID=40&amp;md5=0b882281e71e8e42326196b28d0e983f;http://dx.doi.org/10.1109/BigData.2017.8258038" TargetMode="External"/><Relationship Id="rId245" Type="http://schemas.openxmlformats.org/officeDocument/2006/relationships/hyperlink" Target="https://www.scopus.com/inward/record.uri?eid=2-s2.0-85123224381&amp;doi=10.1109%2fTSE.2019.2962027&amp;partnerID=40&amp;md5=6bcb2de3ce3cbcef90ece1cf886dda83;http://dx.doi.org/10.1109/TSE.2019.2962027" TargetMode="External"/><Relationship Id="rId452" Type="http://schemas.openxmlformats.org/officeDocument/2006/relationships/hyperlink" Target="https://www.scopus.com/inward/record.uri?eid=2-s2.0-85056326860&amp;doi=10.1109%2fTSE.2018.2880977&amp;partnerID=40&amp;md5=3145ed3c974b5ddd75547497935ef7e4;http://dx.doi.org/10.1109/TSE.2018.2880977" TargetMode="External"/><Relationship Id="rId897" Type="http://schemas.openxmlformats.org/officeDocument/2006/relationships/hyperlink" Target="https://www.scopus.com/inward/record.uri?eid=2-s2.0-84997124483&amp;doi=10.1145%2f2950290.2950317&amp;partnerID=40&amp;md5=a398b600201d12b8e78ac14606f33ccb;http://dx.doi.org/10.1145/2950290.2950317" TargetMode="External"/><Relationship Id="rId105" Type="http://schemas.openxmlformats.org/officeDocument/2006/relationships/hyperlink" Target="https://www.scopus.com/inward/record.uri?eid=2-s2.0-85143060620&amp;doi=10.1145%2f3540250.3549132&amp;partnerID=40&amp;md5=b770784d1e8725eee04282384db54881;http://dx.doi.org/10.1145/3540250.3549132" TargetMode="External"/><Relationship Id="rId312" Type="http://schemas.openxmlformats.org/officeDocument/2006/relationships/hyperlink" Target="https://www.scopus.com/inward/record.uri?eid=2-s2.0-85114697629&amp;doi=10.25300%2fMISQ%2f2021%2f16543&amp;partnerID=40&amp;md5=b53e4d8014ae591404107447c5e1ced1;http://dx.doi.org/10.25300/MISQ/2021/16543" TargetMode="External"/><Relationship Id="rId757" Type="http://schemas.openxmlformats.org/officeDocument/2006/relationships/hyperlink" Target="https://www.scopus.com/inward/record.uri?eid=2-s2.0-85079266062&amp;doi=10.1109%2fASEW.2019.00041&amp;partnerID=40&amp;md5=000515e6207cd935696e69d1d84fb8fb;http://dx.doi.org/10.1109/ASEW.2019.00041" TargetMode="External"/><Relationship Id="rId93" Type="http://schemas.openxmlformats.org/officeDocument/2006/relationships/hyperlink" Target="https://www.scopus.com/inward/record.uri?eid=2-s2.0-85144233627&amp;doi=10.1007%2fs10664-022-10251-1&amp;partnerID=40&amp;md5=24193ec1fce17ebbd4c76a8a54956f0c;http://dx.doi.org/10.1007/s10664-022-10251-1" TargetMode="External"/><Relationship Id="rId189" Type="http://schemas.openxmlformats.org/officeDocument/2006/relationships/hyperlink" Target="https://www.scopus.com/inward/record.uri?eid=2-s2.0-85128300131&amp;doi=10.1016%2fj.eswa.2022.117094&amp;partnerID=40&amp;md5=8abd4d36f0b2f01984d190f731d23a5a;http://dx.doi.org/10.1016/j.eswa.2022.117094" TargetMode="External"/><Relationship Id="rId396" Type="http://schemas.openxmlformats.org/officeDocument/2006/relationships/hyperlink" Target="https://www.scopus.com/inward/record.uri?eid=2-s2.0-85133459974&amp;doi=10.1145%2f3522664.3528620&amp;partnerID=40&amp;md5=97b0c303caa510a842490a1ceaec5ad5;http://dx.doi.org/10.1145/3522664.3528620" TargetMode="External"/><Relationship Id="rId617" Type="http://schemas.openxmlformats.org/officeDocument/2006/relationships/hyperlink" Target="https://www.scopus.com/inward/record.uri?eid=2-s2.0-85064869442&amp;doi=10.1016%2fj.jss.2019.04.066&amp;partnerID=40&amp;md5=8334052a5794276a00b59c0c89ab5a37;http://dx.doi.org/10.1016/j.jss.2019.04.066" TargetMode="External"/><Relationship Id="rId824" Type="http://schemas.openxmlformats.org/officeDocument/2006/relationships/hyperlink" Target="https://www.scopus.com/inward/record.uri?eid=2-s2.0-85029407321&amp;doi=10.1016%2fj.infsof.2017.09.002&amp;partnerID=40&amp;md5=23f8be5aca5b325a3bf15eff80767dcb;http://dx.doi.org/10.1016/j.infsof.2017.09.002" TargetMode="External"/><Relationship Id="rId256" Type="http://schemas.openxmlformats.org/officeDocument/2006/relationships/hyperlink" Target="https://www.scopus.com/inward/record.uri?eid=2-s2.0-85131034061&amp;doi=10.1109%2fSANER53432.2022.00128&amp;partnerID=40&amp;md5=347a90f993aa9b818a9cd39394d80740;http://dx.doi.org/10.1109/SANER53432.2022.00128" TargetMode="External"/><Relationship Id="rId463" Type="http://schemas.openxmlformats.org/officeDocument/2006/relationships/hyperlink" Target="https://www.scopus.com/inward/record.uri?eid=2-s2.0-85116885240&amp;doi=10.1016%2fj.procs.2021.09.112&amp;partnerID=40&amp;md5=03fe11631186a95bbe907a4b5ac0c018;http://dx.doi.org/10.1016/j.procs.2021.09.112" TargetMode="External"/><Relationship Id="rId670" Type="http://schemas.openxmlformats.org/officeDocument/2006/relationships/hyperlink" Target="https://www.scopus.com/inward/record.uri?eid=2-s2.0-85092439686&amp;doi=10.1145%2f3404663.3404665&amp;partnerID=40&amp;md5=08b95073fd61b0470975774e26bbd3b6;http://dx.doi.org/10.1145/3404663.3404665" TargetMode="External"/><Relationship Id="rId116" Type="http://schemas.openxmlformats.org/officeDocument/2006/relationships/hyperlink" Target="https://www.scopus.com/inward/record.uri?eid=2-s2.0-85138138017&amp;doi=10.1007%2f978-3-031-05347-4_4&amp;partnerID=40&amp;md5=f9e68a6614f02b4b28c0c540c19fa754;http://dx.doi.org/10.1007/978-3-031-05347-4_4" TargetMode="External"/><Relationship Id="rId323" Type="http://schemas.openxmlformats.org/officeDocument/2006/relationships/hyperlink" Target="https://www.scopus.com/inward/record.uri?eid=2-s2.0-85111796535&amp;doi=10.1007%2fs41060-021-00265-1&amp;partnerID=40&amp;md5=e331f62f57ae194d27d91ea3dea0744b;http://dx.doi.org/10.1007/s41060-021-00265-1" TargetMode="External"/><Relationship Id="rId530" Type="http://schemas.openxmlformats.org/officeDocument/2006/relationships/hyperlink" Target="https://www.scopus.com/inward/record.uri?eid=2-s2.0-85099769397&amp;doi=10.1109%2fICACSIS51025.2020.9263167&amp;partnerID=40&amp;md5=41ae4ea995eeed640a5197a7f9a907c3;http://dx.doi.org/10.1109/ICACSIS51025.2020.9263167" TargetMode="External"/><Relationship Id="rId768" Type="http://schemas.openxmlformats.org/officeDocument/2006/relationships/hyperlink" Target="https://www.scopus.com/inward/record.uri?eid=2-s2.0-85087106418&amp;partnerID=40&amp;md5=c049d9f5b1da9bd02f2b43af04474747" TargetMode="External"/><Relationship Id="rId20" Type="http://schemas.openxmlformats.org/officeDocument/2006/relationships/hyperlink" Target="https://www.scopus.com/inward/record.uri?eid=2-s2.0-85126535966&amp;doi=10.1007%2fs10664-021-10110-5&amp;partnerID=40&amp;md5=4532d1f2c2f16aac1c17a49eb93c0e31;http://dx.doi.org/10.1007/s10664-021-10110-5" TargetMode="External"/><Relationship Id="rId628" Type="http://schemas.openxmlformats.org/officeDocument/2006/relationships/hyperlink" Target="https://www.scopus.com/inward/record.uri?eid=2-s2.0-85090854076&amp;doi=10.1145%2f3383219.3383264&amp;partnerID=40&amp;md5=5fbde590102722aa1df44b3e8fb10504;http://dx.doi.org/10.1145/3383219.3383264" TargetMode="External"/><Relationship Id="rId835" Type="http://schemas.openxmlformats.org/officeDocument/2006/relationships/hyperlink" Target="https://www.scopus.com/inward/record.uri?eid=2-s2.0-85025438293&amp;doi=10.1145%2f3084226.3084282&amp;partnerID=40&amp;md5=a13a37742187b19da2199c036aa492eb;http://dx.doi.org/10.1145/3084226.3084282" TargetMode="External"/><Relationship Id="rId267" Type="http://schemas.openxmlformats.org/officeDocument/2006/relationships/hyperlink" Target="https://www.scopus.com/inward/record.uri?eid=2-s2.0-85125909057&amp;doi=10.1002%2fsmr.2432&amp;partnerID=40&amp;md5=81497923d97888427d6200fc1d3459cf;http://dx.doi.org/10.1002/smr.2432" TargetMode="External"/><Relationship Id="rId474" Type="http://schemas.openxmlformats.org/officeDocument/2006/relationships/hyperlink" Target="https://www.scopus.com/inward/record.uri?eid=2-s2.0-85122898212&amp;doi=10.1155%2f2021%2f8522839&amp;partnerID=40&amp;md5=f0bb3c564264a93cba7fbfbf11b611d0;http://dx.doi.org/10.1155/2021/8522839" TargetMode="External"/><Relationship Id="rId127" Type="http://schemas.openxmlformats.org/officeDocument/2006/relationships/hyperlink" Target="https://www.scopus.com/inward/record.uri?eid=2-s2.0-85127825250&amp;doi=10.1007%2fs10664-022-10121-w&amp;partnerID=40&amp;md5=6b976295e4a0ab64440d5bea832c353d;http://dx.doi.org/10.1007/s10664-022-10121-w" TargetMode="External"/><Relationship Id="rId681" Type="http://schemas.openxmlformats.org/officeDocument/2006/relationships/hyperlink" Target="https://www.scopus.com/inward/record.uri?eid=2-s2.0-85088377053&amp;partnerID=40&amp;md5=680d2c47b68278e24eac605a0e70c204" TargetMode="External"/><Relationship Id="rId779" Type="http://schemas.openxmlformats.org/officeDocument/2006/relationships/hyperlink" Target="https://www.scopus.com/inward/record.uri?eid=2-s2.0-85086145221&amp;doi=10.1007%2f978-981-15-5827-6_6&amp;partnerID=40&amp;md5=fa314c2777096ade36f95c5553f4d8c3;http://dx.doi.org/10.1007/978-981-15-5827-6_6" TargetMode="External"/><Relationship Id="rId902" Type="http://schemas.openxmlformats.org/officeDocument/2006/relationships/hyperlink" Target="https://www.scopus.com/inward/record.uri?eid=2-s2.0-84986567908&amp;doi=10.1145%2f2903220.2903223&amp;partnerID=40&amp;md5=abf8f9677f7f6a30d956f24886c14aeb;http://dx.doi.org/10.1145/2903220.2903223" TargetMode="External"/><Relationship Id="rId31" Type="http://schemas.openxmlformats.org/officeDocument/2006/relationships/hyperlink" Target="https://www.scopus.com/inward/record.uri?eid=2-s2.0-85122738619&amp;doi=10.1038%2fs41746-021-00549-7&amp;partnerID=40&amp;md5=0d7d18844b4bdc7089ecaf87c2457fb6;http://dx.doi.org/10.1038/s41746-021-00549-7" TargetMode="External"/><Relationship Id="rId334" Type="http://schemas.openxmlformats.org/officeDocument/2006/relationships/hyperlink" Target="https://www.scopus.com/inward/record.uri?eid=2-s2.0-85131722859&amp;doi=10.3233%2fJIFS-211273&amp;partnerID=40&amp;md5=b652457a51f3b4ed24a912c23cde3af3;http://dx.doi.org/10.3233/JIFS-211273" TargetMode="External"/><Relationship Id="rId541" Type="http://schemas.openxmlformats.org/officeDocument/2006/relationships/hyperlink" Target="https://www.scopus.com/inward/record.uri?eid=2-s2.0-85103217766&amp;doi=10.1109%2fTSE.2019.2897300&amp;partnerID=40&amp;md5=17aa466ad61386ef9b07e43639b8c62b;http://dx.doi.org/10.1109/TSE.2019.2897300" TargetMode="External"/><Relationship Id="rId639" Type="http://schemas.openxmlformats.org/officeDocument/2006/relationships/hyperlink" Target="https://www.scopus.com/inward/record.uri?eid=2-s2.0-85059611960&amp;doi=10.1016%2fj.infsof.2018.12.009&amp;partnerID=40&amp;md5=ddf6879e8500278d15f295f277320b23;http://dx.doi.org/10.1016/j.infsof.2018.12.009" TargetMode="External"/><Relationship Id="rId180" Type="http://schemas.openxmlformats.org/officeDocument/2006/relationships/hyperlink" Target="https://www.scopus.com/inward/record.uri?eid=2-s2.0-85139115973&amp;doi=10.1145%2f3555228.3555243&amp;partnerID=40&amp;md5=6cff46e7f5d2ebd3a471c921ec449c46;http://dx.doi.org/10.1145/3555228.3555243" TargetMode="External"/><Relationship Id="rId278" Type="http://schemas.openxmlformats.org/officeDocument/2006/relationships/hyperlink" Target="https://www.scopus.com/inward/record.uri?eid=2-s2.0-85120851738&amp;doi=10.1145%2f3486609.3487199&amp;partnerID=40&amp;md5=27f2355ad1f01d8ae15538d7647a3068;http://dx.doi.org/10.1145/3486609.3487199" TargetMode="External"/><Relationship Id="rId401" Type="http://schemas.openxmlformats.org/officeDocument/2006/relationships/hyperlink" Target="https://www.scopus.com/inward/record.uri?eid=2-s2.0-85106414853&amp;partnerID=40&amp;md5=dd55c969141da37da7cf192f0fcca10a" TargetMode="External"/><Relationship Id="rId846" Type="http://schemas.openxmlformats.org/officeDocument/2006/relationships/hyperlink" Target="https://www.scopus.com/inward/record.uri?eid=2-s2.0-84971476736&amp;doi=10.1145%2f2884781.2884868&amp;partnerID=40&amp;md5=03e5793c8326bf6cab19f855de7d35af;http://dx.doi.org/10.1145/2884781.2884868" TargetMode="External"/><Relationship Id="rId485" Type="http://schemas.openxmlformats.org/officeDocument/2006/relationships/hyperlink" Target="https://www.scopus.com/inward/record.uri?eid=2-s2.0-85090886014&amp;doi=10.1145%2f3410352.3410730&amp;partnerID=40&amp;md5=0cbecc85be120b365b021150c17e1f4b;http://dx.doi.org/10.1145/3410352.3410730" TargetMode="External"/><Relationship Id="rId692" Type="http://schemas.openxmlformats.org/officeDocument/2006/relationships/hyperlink" Target="https://www.scopus.com/inward/record.uri?eid=2-s2.0-85066501193&amp;doi=10.1109%2fICSA-C.2019.00053&amp;partnerID=40&amp;md5=a34e08bd8e80ebe987ae44f49dc7895a;http://dx.doi.org/10.1109/ICSA-C.2019.00053" TargetMode="External"/><Relationship Id="rId706" Type="http://schemas.openxmlformats.org/officeDocument/2006/relationships/hyperlink" Target="https://www.scopus.com/inward/record.uri?eid=2-s2.0-85061105307&amp;doi=10.1007%2f978-3-030-06019-0_4&amp;partnerID=40&amp;md5=fe967be5b739bd55d54da635437930df;http://dx.doi.org/10.1007/978-3-030-06019-0_4" TargetMode="External"/><Relationship Id="rId913" Type="http://schemas.openxmlformats.org/officeDocument/2006/relationships/hyperlink" Target="https://www.scopus.com/inward/record.uri?eid=2-s2.0-84944128754&amp;doi=10.1016%2fB978-0-12-411519-4.00019-7&amp;partnerID=40&amp;md5=9b8d4010380d27f42aef6ed21682e4b1;http://dx.doi.org/10.1016/B978-0-12-411519-4.00019-7" TargetMode="External"/><Relationship Id="rId42" Type="http://schemas.openxmlformats.org/officeDocument/2006/relationships/hyperlink" Target="https://www.scopus.com/inward/record.uri?eid=2-s2.0-85124006010&amp;doi=10.1007%2fs10664-021-10081-7&amp;partnerID=40&amp;md5=d27f46fbd645e3b250241cfaa84d2245;http://dx.doi.org/10.1007/s10664-021-10081-7" TargetMode="External"/><Relationship Id="rId138" Type="http://schemas.openxmlformats.org/officeDocument/2006/relationships/hyperlink" Target="https://www.scopus.com/inward/record.uri?eid=2-s2.0-85135130833&amp;doi=10.1016%2fj.engappai.2022.105209&amp;partnerID=40&amp;md5=dfeac6767cd0654f1ee0925e2fe7c8ef;http://dx.doi.org/10.1016/j.engappai.2022.105209" TargetMode="External"/><Relationship Id="rId345" Type="http://schemas.openxmlformats.org/officeDocument/2006/relationships/hyperlink" Target="https://www.scopus.com/inward/record.uri?eid=2-s2.0-85132402735&amp;doi=10.1109%2fICSE-Companion55297.2022.9793745&amp;partnerID=40&amp;md5=b6feeaf27e1792837f5a4c5eb2480562;http://dx.doi.org/10.1109/ICSE-Companion55297.2022.9793745" TargetMode="External"/><Relationship Id="rId552" Type="http://schemas.openxmlformats.org/officeDocument/2006/relationships/hyperlink" Target="https://www.scopus.com/inward/record.uri?eid=2-s2.0-85090834563&amp;doi=10.1016%2fj.asoc.2020.106667&amp;partnerID=40&amp;md5=5be5bbaf90cecc5dfebc12710d37aed8;http://dx.doi.org/10.1016/j.asoc.2020.106667" TargetMode="External"/><Relationship Id="rId191" Type="http://schemas.openxmlformats.org/officeDocument/2006/relationships/hyperlink" Target="https://www.scopus.com/inward/record.uri?eid=2-s2.0-85130755580&amp;doi=10.1145%2f3471907&amp;partnerID=40&amp;md5=f15e997dedf7462b07afecd215b95b6a;http://dx.doi.org/10.1145/3471907" TargetMode="External"/><Relationship Id="rId205" Type="http://schemas.openxmlformats.org/officeDocument/2006/relationships/hyperlink" Target="https://www.scopus.com/inward/record.uri?eid=2-s2.0-85135091651&amp;doi=10.1145%2f3528228.3528404&amp;partnerID=40&amp;md5=610513b0ee0578d8cf88054fd74bfd26;http://dx.doi.org/10.1145/3528228.3528404" TargetMode="External"/><Relationship Id="rId412" Type="http://schemas.openxmlformats.org/officeDocument/2006/relationships/hyperlink" Target="https://www.scopus.com/inward/record.uri?eid=2-s2.0-85088872515&amp;doi=10.1007%2fs10664-020-09854-3&amp;partnerID=40&amp;md5=ae5042b46318c93de239aa4213d83d1f;http://dx.doi.org/10.1007/s10664-020-09854-3" TargetMode="External"/><Relationship Id="rId857" Type="http://schemas.openxmlformats.org/officeDocument/2006/relationships/hyperlink" Target="https://www.scopus.com/inward/record.uri?eid=2-s2.0-85018955129&amp;doi=10.1016%2fj.knosys.2017.04.014&amp;partnerID=40&amp;md5=ddd40ba8ea4c21f038d1933c04f4d698;http://dx.doi.org/10.1016/j.knosys.2017.04.014" TargetMode="External"/><Relationship Id="rId289" Type="http://schemas.openxmlformats.org/officeDocument/2006/relationships/hyperlink" Target="https://www.scopus.com/inward/record.uri?eid=2-s2.0-85110191786&amp;doi=10.1145%2f3460946.3464315&amp;partnerID=40&amp;md5=7f23c7c0429f797c9fddeefbea178a8c;http://dx.doi.org/10.1145/3460946.3464315" TargetMode="External"/><Relationship Id="rId496" Type="http://schemas.openxmlformats.org/officeDocument/2006/relationships/hyperlink" Target="https://www.scopus.com/inward/record.uri?eid=2-s2.0-85089572287&amp;doi=10.1016%2fj.bushor.2020.08.001&amp;partnerID=40&amp;md5=d90e7f7b16669350bf9cb4325f9efc26;http://dx.doi.org/10.1016/j.bushor.2020.08.001" TargetMode="External"/><Relationship Id="rId717" Type="http://schemas.openxmlformats.org/officeDocument/2006/relationships/hyperlink" Target="https://www.scopus.com/inward/record.uri?eid=2-s2.0-85078014264&amp;doi=10.1109%2fREW.2019.00051&amp;partnerID=40&amp;md5=c2d8478e36cff3758d045a4abd5180ba;http://dx.doi.org/10.1109/REW.2019.00051" TargetMode="External"/><Relationship Id="rId924" Type="http://schemas.openxmlformats.org/officeDocument/2006/relationships/hyperlink" Target="https://www.scopus.com/inward/record.uri?eid=2-s2.0-85061740114&amp;partnerID=40&amp;md5=3e3623ffe598569020b4ca67f8637c28" TargetMode="External"/><Relationship Id="rId53" Type="http://schemas.openxmlformats.org/officeDocument/2006/relationships/hyperlink" Target="https://www.scopus.com/inward/record.uri?eid=2-s2.0-85140313968&amp;doi=10.1016%2fj.jss.2022.111524&amp;partnerID=40&amp;md5=e4388fc3234b17723764df2587024515;http://dx.doi.org/10.1016/j.jss.2022.111524" TargetMode="External"/><Relationship Id="rId149" Type="http://schemas.openxmlformats.org/officeDocument/2006/relationships/hyperlink" Target="https://www.scopus.com/inward/record.uri?eid=2-s2.0-85140061860&amp;doi=10.1016%2fj.jss.2022.111514&amp;partnerID=40&amp;md5=9329cc3dbfc999f365f92b66463c4b1b;http://dx.doi.org/10.1016/j.jss.2022.111514" TargetMode="External"/><Relationship Id="rId356" Type="http://schemas.openxmlformats.org/officeDocument/2006/relationships/hyperlink" Target="https://www.scopus.com/inward/record.uri?eid=2-s2.0-85127056188&amp;doi=10.1109%2fICSA53651.2022.00011&amp;partnerID=40&amp;md5=406bfae4f78486cdbc0ad4efd1370589;http://dx.doi.org/10.1109/ICSA53651.2022.00011" TargetMode="External"/><Relationship Id="rId563" Type="http://schemas.openxmlformats.org/officeDocument/2006/relationships/hyperlink" Target="https://www.scopus.com/inward/record.uri?eid=2-s2.0-85101548886&amp;doi=10.1007%2f978-3-030-65854-0_5&amp;partnerID=40&amp;md5=ed02229da2891e2e587e82cb76d1a808;http://dx.doi.org/10.1007/978-3-030-65854-0_5" TargetMode="External"/><Relationship Id="rId770" Type="http://schemas.openxmlformats.org/officeDocument/2006/relationships/hyperlink" Target="https://www.scopus.com/inward/record.uri?eid=2-s2.0-85091400625&amp;partnerID=40&amp;md5=f5f3ef9ca14d043c9945715ac9022a3f" TargetMode="External"/><Relationship Id="rId216" Type="http://schemas.openxmlformats.org/officeDocument/2006/relationships/hyperlink" Target="https://www.scopus.com/inward/record.uri?eid=2-s2.0-85106207514&amp;doi=10.1007%2fs11219-021-09555-0&amp;partnerID=40&amp;md5=b0ecf71985d4ef4c10438eabe73da349;http://dx.doi.org/10.1007/s11219-021-09555-0" TargetMode="External"/><Relationship Id="rId423" Type="http://schemas.openxmlformats.org/officeDocument/2006/relationships/hyperlink" Target="https://www.scopus.com/inward/record.uri?eid=2-s2.0-85097138978&amp;doi=10.1145%2f3368089.3417048&amp;partnerID=40&amp;md5=41973787b54adf14d6e036bde1855eeb;http://dx.doi.org/10.1145/3368089.3417048" TargetMode="External"/><Relationship Id="rId868" Type="http://schemas.openxmlformats.org/officeDocument/2006/relationships/hyperlink" Target="https://www.scopus.com/inward/record.uri?eid=2-s2.0-85056902261&amp;doi=10.1145%2f3243734.3243757&amp;partnerID=40&amp;md5=587121a954035999afcb6db28834402e;http://dx.doi.org/10.1145/3243734.3243757" TargetMode="External"/><Relationship Id="rId630" Type="http://schemas.openxmlformats.org/officeDocument/2006/relationships/hyperlink" Target="https://www.scopus.com/inward/record.uri?eid=2-s2.0-85075999048&amp;doi=10.1109%2fSEAA.2019.00057&amp;partnerID=40&amp;md5=3a9d32f3dff27ced9892d892d6cc3c7a;http://dx.doi.org/10.1109/SEAA.2019.00057" TargetMode="External"/><Relationship Id="rId728" Type="http://schemas.openxmlformats.org/officeDocument/2006/relationships/hyperlink" Target="https://www.scopus.com/inward/record.uri?eid=2-s2.0-85076222064&amp;doi=10.1007%2f978-981-15-1377-0_32&amp;partnerID=40&amp;md5=26cc99b4c728022bb9757ce8339fde8d;http://dx.doi.org/10.1007/978-981-15-1377-0_32" TargetMode="External"/><Relationship Id="rId935" Type="http://schemas.openxmlformats.org/officeDocument/2006/relationships/hyperlink" Target="https://www.scopus.com/inward/record.uri?eid=2-s2.0-85042941931&amp;doi=10.1016%2fj.infsof.2018.02.004&amp;partnerID=40&amp;md5=abf547bf7f9e4706c230c761b0260b81;http://dx.doi.org/10.1016/j.infsof.2018.02.004" TargetMode="External"/><Relationship Id="rId64" Type="http://schemas.openxmlformats.org/officeDocument/2006/relationships/hyperlink" Target="https://www.scopus.com/inward/record.uri?eid=2-s2.0-85124675907&amp;doi=10.1515%2fauto-2021-0138&amp;partnerID=40&amp;md5=b3966aaa27a1c952aae158f73486bc5c;http://dx.doi.org/10.1515/auto-2021-0138" TargetMode="External"/><Relationship Id="rId367" Type="http://schemas.openxmlformats.org/officeDocument/2006/relationships/hyperlink" Target="https://www.scopus.com/inward/record.uri?eid=2-s2.0-85132727772&amp;doi=10.1109%2fACCESS.2022.3182703&amp;partnerID=40&amp;md5=4c206ee666c5630048f6865e57257856;http://dx.doi.org/10.1109/ACCESS.2022.3182703" TargetMode="External"/><Relationship Id="rId574" Type="http://schemas.openxmlformats.org/officeDocument/2006/relationships/hyperlink" Target="https://www.scopus.com/inward/record.uri?eid=2-s2.0-85103524094&amp;doi=10.3390%2fmake3010004&amp;partnerID=40&amp;md5=5f59ecb11b411871a7fcc5b9818a1e37;http://dx.doi.org/10.3390/make3010004" TargetMode="External"/><Relationship Id="rId227" Type="http://schemas.openxmlformats.org/officeDocument/2006/relationships/hyperlink" Target="https://www.scopus.com/inward/record.uri?eid=2-s2.0-85133432739&amp;doi=10.1145%2f3522664.3528600&amp;partnerID=40&amp;md5=46e2f7c7db65fa8a996456de137f238d;http://dx.doi.org/10.1145/3522664.3528600" TargetMode="External"/><Relationship Id="rId781" Type="http://schemas.openxmlformats.org/officeDocument/2006/relationships/hyperlink" Target="https://www.scopus.com/inward/record.uri?eid=2-s2.0-85073418102&amp;doi=10.1109%2fEMIP.2019.00013&amp;partnerID=40&amp;md5=01a6a02b94840a40d2f95bc9565be2a2;http://dx.doi.org/10.1109/EMIP.2019.00013" TargetMode="External"/><Relationship Id="rId879" Type="http://schemas.openxmlformats.org/officeDocument/2006/relationships/hyperlink" Target="https://www.scopus.com/inward/record.uri?eid=2-s2.0-85050969959&amp;doi=10.1109%2fICSTW.2018.00039&amp;partnerID=40&amp;md5=14265fd8be7c272ad271e9c8f8990221;http://dx.doi.org/10.1109/ICSTW.2018.00039" TargetMode="External"/><Relationship Id="rId434" Type="http://schemas.openxmlformats.org/officeDocument/2006/relationships/hyperlink" Target="https://www.scopus.com/inward/record.uri?eid=2-s2.0-85090758196&amp;doi=10.1088%2f1742-6596%2f1587%2f1%2f012020&amp;partnerID=40&amp;md5=9bee82f46c9d3f49ef99493a9ef37493;http://dx.doi.org/10.1088/1742-6596/1587/1/012020" TargetMode="External"/><Relationship Id="rId641" Type="http://schemas.openxmlformats.org/officeDocument/2006/relationships/hyperlink" Target="https://www.scopus.com/inward/record.uri?eid=2-s2.0-85082878517&amp;doi=10.1109%2fICSESS47205.2019.9040720&amp;partnerID=40&amp;md5=6f81e672dbf9fdeb0dff187b83944786;http://dx.doi.org/10.1109/ICSESS47205.2019.9040720" TargetMode="External"/><Relationship Id="rId739" Type="http://schemas.openxmlformats.org/officeDocument/2006/relationships/hyperlink" Target="https://www.scopus.com/inward/record.uri?eid=2-s2.0-85084928234&amp;doi=10.1145%2f3385187&amp;partnerID=40&amp;md5=2cdbd4ded79597910530cffb23e1df31;http://dx.doi.org/10.1145/3385187" TargetMode="External"/><Relationship Id="rId280" Type="http://schemas.openxmlformats.org/officeDocument/2006/relationships/hyperlink" Target="https://www.scopus.com/inward/record.uri?eid=2-s2.0-85091426748&amp;doi=10.1080%2f17517575.2020.1824017&amp;partnerID=40&amp;md5=cda4cfb39edc69c3987dbadb2f2f44bf;http://dx.doi.org/10.1080/17517575.2020.1824017" TargetMode="External"/><Relationship Id="rId501" Type="http://schemas.openxmlformats.org/officeDocument/2006/relationships/hyperlink" Target="https://www.scopus.com/inward/record.uri?eid=2-s2.0-85102310792&amp;doi=10.1109%2fTIM.2021.3062414&amp;partnerID=40&amp;md5=e930b65b37ee8b67476c6350c271f4b2;http://dx.doi.org/10.1109/TIM.2021.3062414" TargetMode="External"/><Relationship Id="rId946" Type="http://schemas.openxmlformats.org/officeDocument/2006/relationships/hyperlink" Target="https://www.scopus.com/inward/record.uri?eid=2-s2.0-85032433166&amp;doi=10.1109%2fTSE.2017.2671865&amp;partnerID=40&amp;md5=4db7eb5764a6022a18ba1a99cf9ec1bb;http://dx.doi.org/10.1109/TSE.2017.2671865" TargetMode="External"/><Relationship Id="rId75" Type="http://schemas.openxmlformats.org/officeDocument/2006/relationships/hyperlink" Target="https://www.scopus.com/inward/record.uri?eid=2-s2.0-85131438314&amp;doi=10.1016%2fj.softx.2022.101113&amp;partnerID=40&amp;md5=3743d4c140bc0b123ee54ada82f7f857;http://dx.doi.org/10.1016/j.softx.2022.101113" TargetMode="External"/><Relationship Id="rId140" Type="http://schemas.openxmlformats.org/officeDocument/2006/relationships/hyperlink" Target="https://www.scopus.com/inward/record.uri?eid=2-s2.0-85138929045&amp;doi=10.1109%2fICECET55527.2022.9872968&amp;partnerID=40&amp;md5=52ac5a1450f66dbb285066b96f28b923;http://dx.doi.org/10.1109/ICECET55527.2022.9872968" TargetMode="External"/><Relationship Id="rId378" Type="http://schemas.openxmlformats.org/officeDocument/2006/relationships/hyperlink" Target="https://www.scopus.com/inward/record.uri?eid=2-s2.0-85116420916&amp;doi=10.1109%2fIJCNN52387.2021.9534423&amp;partnerID=40&amp;md5=7ca186b49cb61cfb0ead5d3f5c4bfbb5;http://dx.doi.org/10.1109/IJCNN52387.2021.9534423" TargetMode="External"/><Relationship Id="rId585" Type="http://schemas.openxmlformats.org/officeDocument/2006/relationships/hyperlink" Target="https://www.scopus.com/inward/record.uri?eid=2-s2.0-85095828765&amp;doi=10.1145%2f3382494.3422169&amp;partnerID=40&amp;md5=201eb0948742fc5fe6b15371987b312d;http://dx.doi.org/10.1145/3382494.3422169" TargetMode="External"/><Relationship Id="rId792" Type="http://schemas.openxmlformats.org/officeDocument/2006/relationships/hyperlink" Target="https://www.scopus.com/inward/record.uri?eid=2-s2.0-85083565109&amp;doi=10.1109%2fSANER48275.2020.9054821&amp;partnerID=40&amp;md5=b02e9d84c6eb93fb5ccd9db67d59ae6b;http://dx.doi.org/10.1109/SANER48275.2020.9054821" TargetMode="External"/><Relationship Id="rId806" Type="http://schemas.openxmlformats.org/officeDocument/2006/relationships/hyperlink" Target="https://www.scopus.com/inward/record.uri?eid=2-s2.0-84991829839&amp;doi=10.1007%2fs10664-016-9460-6&amp;partnerID=40&amp;md5=733a7f1f876e25889ed49650415b2104;http://dx.doi.org/10.1007/s10664-016-9460-6" TargetMode="External"/><Relationship Id="rId6" Type="http://schemas.openxmlformats.org/officeDocument/2006/relationships/hyperlink" Target="https://www.scopus.com/inward/record.uri?eid=2-s2.0-85125323743&amp;doi=10.1007%2fs11390-021-1596-1&amp;partnerID=40&amp;md5=8e4c15f6f3181100378d973e884107f4;http://dx.doi.org/10.1007/s11390-021-1596-1" TargetMode="External"/><Relationship Id="rId238" Type="http://schemas.openxmlformats.org/officeDocument/2006/relationships/hyperlink" Target="https://www.scopus.com/inward/record.uri?eid=2-s2.0-85114832074&amp;doi=10.1109%2fTechDebt52882.2021.00016&amp;partnerID=40&amp;md5=d2a18c8a42af690521e2a1a5b47df62c;http://dx.doi.org/10.1109/TechDebt52882.2021.00016" TargetMode="External"/><Relationship Id="rId445" Type="http://schemas.openxmlformats.org/officeDocument/2006/relationships/hyperlink" Target="https://www.scopus.com/inward/record.uri?eid=2-s2.0-85123492277&amp;doi=10.1109%2fDSA52907.2021.00055&amp;partnerID=40&amp;md5=9b1bcf38e138c663e9b343d5a5e75879;http://dx.doi.org/10.1109/DSA52907.2021.00055" TargetMode="External"/><Relationship Id="rId652" Type="http://schemas.openxmlformats.org/officeDocument/2006/relationships/hyperlink" Target="https://www.scopus.com/inward/record.uri?eid=2-s2.0-85058033875&amp;doi=10.1016%2fj.jss.2018.12.006&amp;partnerID=40&amp;md5=30541230bb21209a8e5ec87df56ba5f0;http://dx.doi.org/10.1016/j.jss.2018.12.006" TargetMode="External"/><Relationship Id="rId291" Type="http://schemas.openxmlformats.org/officeDocument/2006/relationships/hyperlink" Target="https://www.scopus.com/inward/record.uri?eid=2-s2.0-85117107487&amp;doi=10.1145%2f3474624.3474716&amp;partnerID=40&amp;md5=ac7d1b466b1109700dbed4017e4dd0d8;http://dx.doi.org/10.1145/3474624.3474716" TargetMode="External"/><Relationship Id="rId305" Type="http://schemas.openxmlformats.org/officeDocument/2006/relationships/hyperlink" Target="https://www.scopus.com/inward/record.uri?eid=2-s2.0-85132607290&amp;doi=10.1145%2f3510003.3510209&amp;partnerID=40&amp;md5=3676e6f20f4bf446710a797ff34465e5;http://dx.doi.org/10.1145/3510003.3510209" TargetMode="External"/><Relationship Id="rId512" Type="http://schemas.openxmlformats.org/officeDocument/2006/relationships/hyperlink" Target="https://www.scopus.com/inward/record.uri?eid=2-s2.0-85125470611&amp;doi=10.1109%2fASE51524.2021.9678617&amp;partnerID=40&amp;md5=33179c29372e750880332088711cc195;http://dx.doi.org/10.1109/ASE51524.2021.9678617" TargetMode="External"/><Relationship Id="rId86" Type="http://schemas.openxmlformats.org/officeDocument/2006/relationships/hyperlink" Target="https://www.scopus.com/inward/record.uri?eid=2-s2.0-85143196742&amp;doi=10.1145%2f3549034.3561176&amp;partnerID=40&amp;md5=01ede058d4a352799db0aba344a26716;http://dx.doi.org/10.1145/3549034.3561176" TargetMode="External"/><Relationship Id="rId151" Type="http://schemas.openxmlformats.org/officeDocument/2006/relationships/hyperlink" Target="https://www.scopus.com/inward/record.uri?eid=2-s2.0-85138185453&amp;doi=10.1016%2fj.jss.2022.111508&amp;partnerID=40&amp;md5=4973a97ef53382eb1abfa96c96ec2362;http://dx.doi.org/10.1016/j.jss.2022.111508" TargetMode="External"/><Relationship Id="rId389" Type="http://schemas.openxmlformats.org/officeDocument/2006/relationships/hyperlink" Target="https://www.scopus.com/inward/record.uri?eid=2-s2.0-85142316239&amp;doi=10.1515%2f9783110703399&amp;partnerID=40&amp;md5=a1580858a1f07b858e4d2a9754471528;http://dx.doi.org/10.1515/9783110703399" TargetMode="External"/><Relationship Id="rId596" Type="http://schemas.openxmlformats.org/officeDocument/2006/relationships/hyperlink" Target="https://www.scopus.com/inward/record.uri?eid=2-s2.0-85133418548&amp;doi=10.1109%2fJoCICI54528.2021.9794341&amp;partnerID=40&amp;md5=7d286e6571bbed24361a35a1cf02f7a8;http://dx.doi.org/10.1109/JoCICI54528.2021.9794341" TargetMode="External"/><Relationship Id="rId817" Type="http://schemas.openxmlformats.org/officeDocument/2006/relationships/hyperlink" Target="https://www.scopus.com/inward/record.uri?eid=2-s2.0-84962708036&amp;doi=10.1145%2f2857218.2857224&amp;partnerID=40&amp;md5=156cfd7aad3578e5f910772fe85ddd91;http://dx.doi.org/10.1145/2857218.2857224" TargetMode="External"/><Relationship Id="rId249" Type="http://schemas.openxmlformats.org/officeDocument/2006/relationships/hyperlink" Target="https://www.scopus.com/inward/record.uri?eid=2-s2.0-85113692154&amp;doi=10.1109%2fMSR52588.2021.00059&amp;partnerID=40&amp;md5=e3b61bb3742bb8a903734d99f7ac9a6f;http://dx.doi.org/10.1109/MSR52588.2021.00059" TargetMode="External"/><Relationship Id="rId456" Type="http://schemas.openxmlformats.org/officeDocument/2006/relationships/hyperlink" Target="https://www.scopus.com/inward/record.uri?eid=2-s2.0-85078457936&amp;doi=10.1080%2f19361610.2020.1716511&amp;partnerID=40&amp;md5=74aa5b09d807a4c4775813f724515caf;http://dx.doi.org/10.1080/19361610.2020.1716511" TargetMode="External"/><Relationship Id="rId663" Type="http://schemas.openxmlformats.org/officeDocument/2006/relationships/hyperlink" Target="https://www.scopus.com/inward/record.uri?eid=2-s2.0-85084133224&amp;doi=10.1109%2fACCESS.2020.2985098&amp;partnerID=40&amp;md5=f9bfb7ad46c35adfc3d60bde09cba2ec;http://dx.doi.org/10.1109/ACCESS.2020.2985098" TargetMode="External"/><Relationship Id="rId870" Type="http://schemas.openxmlformats.org/officeDocument/2006/relationships/hyperlink" Target="https://www.scopus.com/inward/record.uri?eid=2-s2.0-85058275146&amp;doi=10.1109%2fSCAM.2018.00015&amp;partnerID=40&amp;md5=735f0c987e0c433b10f67a72f9f2a97b;http://dx.doi.org/10.1109/SCAM.2018.00015" TargetMode="External"/><Relationship Id="rId13" Type="http://schemas.openxmlformats.org/officeDocument/2006/relationships/hyperlink" Target="https://www.scopus.com/inward/record.uri?eid=2-s2.0-85139207178&amp;doi=10.1007%2fs10664-022-10164-z&amp;partnerID=40&amp;md5=5bd679506e1ae15182248eea4ea994f4;http://dx.doi.org/10.1007/s10664-022-10164-z" TargetMode="External"/><Relationship Id="rId109" Type="http://schemas.openxmlformats.org/officeDocument/2006/relationships/hyperlink" Target="https://www.scopus.com/inward/record.uri?eid=2-s2.0-85119991290&amp;doi=10.1016%2fj.jss.2021.111135&amp;partnerID=40&amp;md5=89a7ed2b6b11a2e95db84791e2ba8bdc;http://dx.doi.org/10.1016/j.jss.2021.111135" TargetMode="External"/><Relationship Id="rId316" Type="http://schemas.openxmlformats.org/officeDocument/2006/relationships/hyperlink" Target="https://www.scopus.com/inward/record.uri?eid=2-s2.0-85091770310&amp;doi=10.1007%2fs00521-020-05379-4&amp;partnerID=40&amp;md5=17baedb91c4a7ae3379bb063b065662b;http://dx.doi.org/10.1007/s00521-020-05379-4" TargetMode="External"/><Relationship Id="rId523" Type="http://schemas.openxmlformats.org/officeDocument/2006/relationships/hyperlink" Target="https://www.scopus.com/inward/record.uri?eid=2-s2.0-85092763520&amp;doi=10.3390%2fe22101122&amp;partnerID=40&amp;md5=d5d13f826d30dab82eb00f8a82bf76e4;http://dx.doi.org/10.3390/e22101122" TargetMode="External"/><Relationship Id="rId97" Type="http://schemas.openxmlformats.org/officeDocument/2006/relationships/hyperlink" Target="https://www.scopus.com/inward/record.uri?eid=2-s2.0-85130682205&amp;doi=10.1145%2f3487571&amp;partnerID=40&amp;md5=24c28b573faab1626d25d89feb28de3b;http://dx.doi.org/10.1145/3487571" TargetMode="External"/><Relationship Id="rId730" Type="http://schemas.openxmlformats.org/officeDocument/2006/relationships/hyperlink" Target="https://www.scopus.com/inward/record.uri?eid=2-s2.0-85089306504&amp;doi=10.1155%2f2020%2f2976564&amp;partnerID=40&amp;md5=3edcf276fefc59def5d9c64479ece8f5;http://dx.doi.org/10.1155/2020/2976564" TargetMode="External"/><Relationship Id="rId828" Type="http://schemas.openxmlformats.org/officeDocument/2006/relationships/hyperlink" Target="https://www.scopus.com/inward/record.uri?eid=2-s2.0-85052334218&amp;doi=10.1109%2fQRS.2018.00022&amp;partnerID=40&amp;md5=23f508f0a35d3d0723c974f99d1a5d48;http://dx.doi.org/10.1109/QRS.2018.00022" TargetMode="External"/><Relationship Id="rId162" Type="http://schemas.openxmlformats.org/officeDocument/2006/relationships/hyperlink" Target="https://www.scopus.com/inward/record.uri?eid=2-s2.0-85137168457&amp;doi=10.18293%2fSEKE2022-009&amp;partnerID=40&amp;md5=91d9a9e3b89efa403d99868e2a43a0d7;http://dx.doi.org/10.18293/SEKE2022-009" TargetMode="External"/><Relationship Id="rId467" Type="http://schemas.openxmlformats.org/officeDocument/2006/relationships/hyperlink" Target="https://www.scopus.com/inward/record.uri?eid=2-s2.0-85057852491&amp;doi=10.1109%2fTSE.2018.2883603&amp;partnerID=40&amp;md5=1dd8327aba9f59450939b8afa8282ab7;http://dx.doi.org/10.1109/TSE.2018.2883603" TargetMode="External"/><Relationship Id="rId674" Type="http://schemas.openxmlformats.org/officeDocument/2006/relationships/hyperlink" Target="https://www.scopus.com/inward/record.uri?eid=2-s2.0-85099729767&amp;doi=10.1109%2fSPW50608.2020.00028&amp;partnerID=40&amp;md5=131f5e4b40359a78039d7de9b9f2a22d;http://dx.doi.org/10.1109/SPW50608.2020.00028" TargetMode="External"/><Relationship Id="rId881" Type="http://schemas.openxmlformats.org/officeDocument/2006/relationships/hyperlink" Target="https://www.scopus.com/inward/record.uri?eid=2-s2.0-84962499658&amp;doi=10.1142%2fS0218194015400367&amp;partnerID=40&amp;md5=e25c5fcba81f00475ea9f5ab534b450e;http://dx.doi.org/10.1142/S0218194015400367" TargetMode="External"/><Relationship Id="rId24" Type="http://schemas.openxmlformats.org/officeDocument/2006/relationships/hyperlink" Target="https://www.scopus.com/inward/record.uri?eid=2-s2.0-85143077577&amp;doi=10.1145%2f3540250.3558967&amp;partnerID=40&amp;md5=b10423b7968eeb52f2424d3966d2e3c6;http://dx.doi.org/10.1145/3540250.3558967" TargetMode="External"/><Relationship Id="rId327" Type="http://schemas.openxmlformats.org/officeDocument/2006/relationships/hyperlink" Target="https://www.scopus.com/inward/record.uri?eid=2-s2.0-85133692894&amp;doi=10.1109%2fSANER53432.2022.00043&amp;partnerID=40&amp;md5=e7fabf15f8c5c0dc44830467eb9dd6fd;http://dx.doi.org/10.1109/SANER53432.2022.00043" TargetMode="External"/><Relationship Id="rId534" Type="http://schemas.openxmlformats.org/officeDocument/2006/relationships/hyperlink" Target="https://www.scopus.com/inward/record.uri?eid=2-s2.0-85111105153&amp;doi=10.1007%2f978-3-030-75018-3_14&amp;partnerID=40&amp;md5=7ca0cbe943c7be74e910dfa0dd15c35d;http://dx.doi.org/10.1007/978-3-030-75018-3_14" TargetMode="External"/><Relationship Id="rId741" Type="http://schemas.openxmlformats.org/officeDocument/2006/relationships/hyperlink" Target="https://www.scopus.com/inward/record.uri?eid=2-s2.0-85089946122&amp;partnerID=40&amp;md5=1e22d1cc0d8dcb9e4fd79a234ff82d45" TargetMode="External"/><Relationship Id="rId839" Type="http://schemas.openxmlformats.org/officeDocument/2006/relationships/hyperlink" Target="https://www.scopus.com/inward/record.uri?eid=2-s2.0-85015243309&amp;doi=10.1109%2fMLHPC.2016.5&amp;partnerID=40&amp;md5=53b01289abb7fa59831d4d91be1eef23;http://dx.doi.org/10.1109/MLHPC.2016.5" TargetMode="External"/><Relationship Id="rId173" Type="http://schemas.openxmlformats.org/officeDocument/2006/relationships/hyperlink" Target="https://www.scopus.com/inward/record.uri?eid=2-s2.0-85130736612&amp;doi=10.1145%2f3490487&amp;partnerID=40&amp;md5=daec68db4ef0fa69ebb519aa3c85d1ae;http://dx.doi.org/10.1145/3490487" TargetMode="External"/><Relationship Id="rId380" Type="http://schemas.openxmlformats.org/officeDocument/2006/relationships/hyperlink" Target="https://www.scopus.com/inward/record.uri?eid=2-s2.0-85115706103&amp;doi=10.1109%2fICSE-SEIP52600.2021.00049&amp;partnerID=40&amp;md5=1da4f8d366b90f2be0662d4fcc36661b;http://dx.doi.org/10.1109/ICSE-SEIP52600.2021.00049" TargetMode="External"/><Relationship Id="rId601" Type="http://schemas.openxmlformats.org/officeDocument/2006/relationships/hyperlink" Target="https://www.scopus.com/inward/record.uri?eid=2-s2.0-85083433363&amp;doi=10.1007%2f978-3-030-34706-2_5&amp;partnerID=40&amp;md5=6b701d5f3a3678ba7e1b1751e7e676fc;http://dx.doi.org/10.1007/978-3-030-34706-2_5" TargetMode="External"/><Relationship Id="rId240" Type="http://schemas.openxmlformats.org/officeDocument/2006/relationships/hyperlink" Target="https://www.scopus.com/inward/record.uri?eid=2-s2.0-85115170584&amp;doi=10.3390%2fsu131810256&amp;partnerID=40&amp;md5=4fb2fc036cbe512bcde25df6c544d84e;http://dx.doi.org/10.3390/su131810256" TargetMode="External"/><Relationship Id="rId478" Type="http://schemas.openxmlformats.org/officeDocument/2006/relationships/hyperlink" Target="https://www.scopus.com/inward/record.uri?eid=2-s2.0-85096208082&amp;partnerID=40&amp;md5=9aadf7cfafe4bc00404f44bf0de4db4c" TargetMode="External"/><Relationship Id="rId685" Type="http://schemas.openxmlformats.org/officeDocument/2006/relationships/hyperlink" Target="https://www.scopus.com/inward/record.uri?eid=2-s2.0-85088861187&amp;doi=10.1109%2fACCESS.2020.3006711&amp;partnerID=40&amp;md5=9ea2c26302aefb28b429868eac48f273;http://dx.doi.org/10.1109/ACCESS.2020.3006711" TargetMode="External"/><Relationship Id="rId892" Type="http://schemas.openxmlformats.org/officeDocument/2006/relationships/hyperlink" Target="https://www.scopus.com/inward/record.uri?eid=2-s2.0-85051672122&amp;doi=10.1145%2f3196398.3196440&amp;partnerID=40&amp;md5=e0eab957a50dd87034aaca6069769b30;http://dx.doi.org/10.1145/3196398.3196440" TargetMode="External"/><Relationship Id="rId906" Type="http://schemas.openxmlformats.org/officeDocument/2006/relationships/hyperlink" Target="https://www.scopus.com/inward/record.uri?eid=2-s2.0-85042390923&amp;doi=10.1109%2fESEM.2017.12&amp;partnerID=40&amp;md5=9ab6c329033b57a845b80a8fde98a836;http://dx.doi.org/10.1109/ESEM.2017.12" TargetMode="External"/><Relationship Id="rId35" Type="http://schemas.openxmlformats.org/officeDocument/2006/relationships/hyperlink" Target="https://www.scopus.com/inward/record.uri?eid=2-s2.0-85119363874&amp;doi=10.1007%2fs10462-021-10088-y&amp;partnerID=40&amp;md5=b0350e42829fc11e87c2b049ced10642;http://dx.doi.org/10.1007/s10462-021-10088-y" TargetMode="External"/><Relationship Id="rId100" Type="http://schemas.openxmlformats.org/officeDocument/2006/relationships/hyperlink" Target="https://www.scopus.com/inward/record.uri?eid=2-s2.0-85096147180&amp;doi=10.1109%2fTSE.2020.3031401&amp;partnerID=40&amp;md5=6ccbd34b4c58d5bca5a9cd37fc2cec63;http://dx.doi.org/10.1109/TSE.2020.3031401" TargetMode="External"/><Relationship Id="rId338" Type="http://schemas.openxmlformats.org/officeDocument/2006/relationships/hyperlink" Target="https://www.scopus.com/inward/record.uri?eid=2-s2.0-85112052871&amp;doi=10.1145%2f3447247&amp;partnerID=40&amp;md5=64e9a5d0a33bf2cdbda8593b4b2d2ac4;http://dx.doi.org/10.1145/3447247" TargetMode="External"/><Relationship Id="rId545" Type="http://schemas.openxmlformats.org/officeDocument/2006/relationships/hyperlink" Target="https://www.scopus.com/inward/record.uri?eid=2-s2.0-85092453671&amp;doi=10.1016%2fj.cmpb.2020.105782&amp;partnerID=40&amp;md5=c872a54fce7931bff642bdf878096143;http://dx.doi.org/10.1016/j.cmpb.2020.105782" TargetMode="External"/><Relationship Id="rId752" Type="http://schemas.openxmlformats.org/officeDocument/2006/relationships/hyperlink" Target="https://www.scopus.com/inward/record.uri?eid=2-s2.0-85077682252&amp;doi=10.1109%2fTENCON.2019.8929628&amp;partnerID=40&amp;md5=43b2527dc20284f9b5b10e24b25d5df3;http://dx.doi.org/10.1109/TENCON.2019.8929628" TargetMode="External"/><Relationship Id="rId184" Type="http://schemas.openxmlformats.org/officeDocument/2006/relationships/hyperlink" Target="https://www.scopus.com/inward/record.uri?eid=2-s2.0-85129456347&amp;doi=10.1016%2fj.jss.2022.111324&amp;partnerID=40&amp;md5=d1ee3c4d7db360934c312053a0be1dee;http://dx.doi.org/10.1016/j.jss.2022.111324" TargetMode="External"/><Relationship Id="rId391" Type="http://schemas.openxmlformats.org/officeDocument/2006/relationships/hyperlink" Target="https://www.scopus.com/inward/record.uri?eid=2-s2.0-85103128877&amp;doi=10.1016%2fj.jss.2021.110939&amp;partnerID=40&amp;md5=6ed68dadf7b14600f001be29c403e444;http://dx.doi.org/10.1016/j.jss.2021.110939" TargetMode="External"/><Relationship Id="rId405" Type="http://schemas.openxmlformats.org/officeDocument/2006/relationships/hyperlink" Target="https://www.scopus.com/inward/record.uri?eid=2-s2.0-85120584694&amp;doi=10.1109%2fRE51729.2021.00009&amp;partnerID=40&amp;md5=42fdedbfc2808f06657b764db70385b7;http://dx.doi.org/10.1109/RE51729.2021.00009" TargetMode="External"/><Relationship Id="rId612" Type="http://schemas.openxmlformats.org/officeDocument/2006/relationships/hyperlink" Target="https://www.scopus.com/inward/record.uri?eid=2-s2.0-85070076631&amp;doi=10.1007%2fs10664-019-09739-0&amp;partnerID=40&amp;md5=7d5a5da57ef7db65063b149302c323d2;http://dx.doi.org/10.1007/s10664-019-09739-0" TargetMode="External"/><Relationship Id="rId251" Type="http://schemas.openxmlformats.org/officeDocument/2006/relationships/hyperlink" Target="https://www.scopus.com/inward/record.uri?eid=2-s2.0-85133482896&amp;doi=10.1145%2f3522664.3528611&amp;partnerID=40&amp;md5=3d7f0333e39bd60db3d1fa94973610a1;http://dx.doi.org/10.1145/3522664.3528611" TargetMode="External"/><Relationship Id="rId489" Type="http://schemas.openxmlformats.org/officeDocument/2006/relationships/hyperlink" Target="https://www.scopus.com/inward/record.uri?eid=2-s2.0-85096542234&amp;doi=10.23919%2fSoftCOM50211.2020.9238323&amp;partnerID=40&amp;md5=6612d13b9513b6b707ab84dc29b3cf68;http://dx.doi.org/10.23919/SoftCOM50211.2020.9238323" TargetMode="External"/><Relationship Id="rId696" Type="http://schemas.openxmlformats.org/officeDocument/2006/relationships/hyperlink" Target="https://www.scopus.com/inward/record.uri?eid=2-s2.0-85084085773&amp;doi=10.1109%2fICCS45141.2019.9065317&amp;partnerID=40&amp;md5=adb39e5d7f87fbbfb1b7e0a34875ace6;http://dx.doi.org/10.1109/ICCS45141.2019.9065317" TargetMode="External"/><Relationship Id="rId917" Type="http://schemas.openxmlformats.org/officeDocument/2006/relationships/hyperlink" Target="https://www.scopus.com/inward/record.uri?eid=2-s2.0-85054881933&amp;doi=10.1007%2f978-3-030-00623-5_2&amp;partnerID=40&amp;md5=2b8c9a4443e0bc62d0139c404268876f;http://dx.doi.org/10.1007/978-3-030-00623-5_2" TargetMode="External"/><Relationship Id="rId46" Type="http://schemas.openxmlformats.org/officeDocument/2006/relationships/hyperlink" Target="https://www.scopus.com/inward/record.uri?eid=2-s2.0-85137987405&amp;doi=10.1007%2f978-3-031-14179-9_11&amp;partnerID=40&amp;md5=3310f3bcde2403572c5a9cfda7ee46d0;http://dx.doi.org/10.1007/978-3-031-14179-9_11" TargetMode="External"/><Relationship Id="rId349" Type="http://schemas.openxmlformats.org/officeDocument/2006/relationships/hyperlink" Target="https://www.scopus.com/inward/record.uri?eid=2-s2.0-85113641285&amp;doi=10.1109%2fCHASE52884.2021.00021&amp;partnerID=40&amp;md5=264d946ee693a1ffb5e33eb2946a9490;http://dx.doi.org/10.1109/CHASE52884.2021.00021" TargetMode="External"/><Relationship Id="rId556" Type="http://schemas.openxmlformats.org/officeDocument/2006/relationships/hyperlink" Target="https://www.scopus.com/inward/record.uri?eid=2-s2.0-85097228042&amp;doi=10.1007%2fs11390-020-0323-7&amp;partnerID=40&amp;md5=610a2545ea68c1e95fc2dd2c2c6d9fab;http://dx.doi.org/10.1007/s11390-020-0323-7" TargetMode="External"/><Relationship Id="rId763" Type="http://schemas.openxmlformats.org/officeDocument/2006/relationships/hyperlink" Target="https://www.scopus.com/inward/record.uri?eid=2-s2.0-85083034194&amp;partnerID=40&amp;md5=86a5daa17769e55130d3c7b5a473dbe9" TargetMode="External"/><Relationship Id="rId111" Type="http://schemas.openxmlformats.org/officeDocument/2006/relationships/hyperlink" Target="https://www.scopus.com/inward/record.uri?eid=2-s2.0-85126361168&amp;doi=10.1002%2fsmr.2449&amp;partnerID=40&amp;md5=3cdc6ecc89f6f54c3fe47a0ab41f7662;http://dx.doi.org/10.1002/smr.2449" TargetMode="External"/><Relationship Id="rId195" Type="http://schemas.openxmlformats.org/officeDocument/2006/relationships/hyperlink" Target="https://www.scopus.com/inward/record.uri?eid=2-s2.0-85136171774&amp;doi=10.5220%2f0010800900003182&amp;partnerID=40&amp;md5=ebcae109f6d28a22e099817431223138;http://dx.doi.org/10.5220/0010800900003182" TargetMode="External"/><Relationship Id="rId209" Type="http://schemas.openxmlformats.org/officeDocument/2006/relationships/hyperlink" Target="https://www.scopus.com/inward/record.uri?eid=2-s2.0-85112462721&amp;doi=10.1145%2f3461702.3462564&amp;partnerID=40&amp;md5=671b14c6ba997a948a5be4d1cac6d0ef;http://dx.doi.org/10.1145/3461702.3462564" TargetMode="External"/><Relationship Id="rId416" Type="http://schemas.openxmlformats.org/officeDocument/2006/relationships/hyperlink" Target="https://www.scopus.com/inward/record.uri?eid=2-s2.0-85113340403&amp;doi=10.1007%2f978-3-030-82017-6_11&amp;partnerID=40&amp;md5=5676cb2fab321b8df681c4ab1babd3f3;http://dx.doi.org/10.1007/978-3-030-82017-6_11" TargetMode="External"/><Relationship Id="rId623" Type="http://schemas.openxmlformats.org/officeDocument/2006/relationships/hyperlink" Target="https://www.scopus.com/inward/record.uri?eid=2-s2.0-85079822741&amp;partnerID=40&amp;md5=11065b562157e9e73ceb897b5b03d5cf" TargetMode="External"/><Relationship Id="rId830" Type="http://schemas.openxmlformats.org/officeDocument/2006/relationships/hyperlink" Target="https://www.scopus.com/inward/record.uri?eid=2-s2.0-84978468668&amp;doi=10.1145%2f2915970.2915984&amp;partnerID=40&amp;md5=66656129f0a56049b884530f9336e2ed;http://dx.doi.org/10.1145/2915970.2915984" TargetMode="External"/><Relationship Id="rId928" Type="http://schemas.openxmlformats.org/officeDocument/2006/relationships/hyperlink" Target="https://www.scopus.com/inward/record.uri?eid=2-s2.0-85065757709&amp;partnerID=40&amp;md5=b1f61ab9d24c141ce25864f50e8c6468" TargetMode="External"/><Relationship Id="rId57" Type="http://schemas.openxmlformats.org/officeDocument/2006/relationships/hyperlink" Target="https://www.scopus.com/inward/record.uri?eid=2-s2.0-85137870233&amp;doi=10.17226%2f26355&amp;partnerID=40&amp;md5=ef286727f97093c5b272d45d400b6d87;http://dx.doi.org/10.17226/26355" TargetMode="External"/><Relationship Id="rId262" Type="http://schemas.openxmlformats.org/officeDocument/2006/relationships/hyperlink" Target="https://www.scopus.com/inward/record.uri?eid=2-s2.0-85114747740&amp;doi=10.1007%2fs10664-021-10015-3&amp;partnerID=40&amp;md5=fe1494adfcb4b48a9a4e62153f695d2f;http://dx.doi.org/10.1007/s10664-021-10015-3" TargetMode="External"/><Relationship Id="rId567" Type="http://schemas.openxmlformats.org/officeDocument/2006/relationships/hyperlink" Target="https://www.scopus.com/inward/record.uri?eid=2-s2.0-85099198559&amp;doi=10.1016%2fj.jss.2020.110902&amp;partnerID=40&amp;md5=53256e07016c7b3e27f1a78be1e20811;http://dx.doi.org/10.1016/j.jss.2020.110902" TargetMode="External"/><Relationship Id="rId122" Type="http://schemas.openxmlformats.org/officeDocument/2006/relationships/hyperlink" Target="https://www.scopus.com/inward/record.uri?eid=2-s2.0-85124087646&amp;doi=10.3390%2fs22031252&amp;partnerID=40&amp;md5=3a859bf853571991698e1468de6a64d8;http://dx.doi.org/10.3390/s22031252" TargetMode="External"/><Relationship Id="rId774" Type="http://schemas.openxmlformats.org/officeDocument/2006/relationships/hyperlink" Target="https://www.scopus.com/inward/record.uri?eid=2-s2.0-85074164358&amp;doi=10.7717%2fpeerj-cs.187&amp;partnerID=40&amp;md5=838f694bff45f6fd7a1052348e000a72;http://dx.doi.org/10.7717/peerj-cs.187" TargetMode="External"/><Relationship Id="rId427" Type="http://schemas.openxmlformats.org/officeDocument/2006/relationships/hyperlink" Target="https://www.scopus.com/inward/record.uri?eid=2-s2.0-85117851973&amp;partnerID=40&amp;md5=432dfcd59472a3cd505d933cd50bb82a" TargetMode="External"/><Relationship Id="rId634" Type="http://schemas.openxmlformats.org/officeDocument/2006/relationships/hyperlink" Target="https://www.scopus.com/inward/record.uri?eid=2-s2.0-85091160754&amp;doi=10.1007%2f978-3-030-58793-2_2&amp;partnerID=40&amp;md5=9e7a917c890f19f7818464d7a3c8ab1e;http://dx.doi.org/10.1007/978-3-030-58793-2_2" TargetMode="External"/><Relationship Id="rId841" Type="http://schemas.openxmlformats.org/officeDocument/2006/relationships/hyperlink" Target="https://www.scopus.com/inward/record.uri?eid=2-s2.0-85045187448&amp;doi=10.1016%2fj.jss.2018.03.060&amp;partnerID=40&amp;md5=453e2dd25ab1b7a993df68baef20c80b;http://dx.doi.org/10.1016/j.jss.2018.03.060" TargetMode="External"/><Relationship Id="rId273" Type="http://schemas.openxmlformats.org/officeDocument/2006/relationships/hyperlink" Target="https://www.scopus.com/inward/record.uri?eid=2-s2.0-85112100545&amp;doi=10.1145%2f3453478&amp;partnerID=40&amp;md5=280818c136419ff6529d7eff1f603bbf;http://dx.doi.org/10.1145/3453478" TargetMode="External"/><Relationship Id="rId480" Type="http://schemas.openxmlformats.org/officeDocument/2006/relationships/hyperlink" Target="https://www.scopus.com/inward/record.uri?eid=2-s2.0-85112094387&amp;doi=10.1109%2fICSE43902.2021.00033&amp;partnerID=40&amp;md5=7e439b62b2c0f13c230c4bfd4a1f6346;http://dx.doi.org/10.1109/ICSE43902.2021.00033" TargetMode="External"/><Relationship Id="rId701" Type="http://schemas.openxmlformats.org/officeDocument/2006/relationships/hyperlink" Target="https://www.scopus.com/inward/record.uri?eid=2-s2.0-85093667883&amp;doi=10.1145%2f3377814.3381714&amp;partnerID=40&amp;md5=d0d68a6cfb33a9d23ddc92c746defdf5;http://dx.doi.org/10.1145/3377814.3381714" TargetMode="External"/><Relationship Id="rId939" Type="http://schemas.openxmlformats.org/officeDocument/2006/relationships/hyperlink" Target="https://www.scopus.com/inward/record.uri?eid=2-s2.0-85051544507&amp;doi=10.1145%2f3196369.3196391&amp;partnerID=40&amp;md5=1db0914241bc8c746677c681d387b301;http://dx.doi.org/10.1145/3196369.3196391" TargetMode="External"/><Relationship Id="rId68" Type="http://schemas.openxmlformats.org/officeDocument/2006/relationships/hyperlink" Target="https://www.scopus.com/inward/record.uri?eid=2-s2.0-85136220815&amp;doi=10.1109%2fJCSSE54890.2022.9836311&amp;partnerID=40&amp;md5=7e08ec074e19ea7c325df9850b4d6f97;http://dx.doi.org/10.1109/JCSSE54890.2022.9836311" TargetMode="External"/><Relationship Id="rId133" Type="http://schemas.openxmlformats.org/officeDocument/2006/relationships/hyperlink" Target="https://www.scopus.com/inward/record.uri?eid=2-s2.0-85143200411&amp;doi=10.1145%2f3549034.3561178&amp;partnerID=40&amp;md5=a66daf76542fd2789255770359375870;http://dx.doi.org/10.1145/3549034.3561178" TargetMode="External"/><Relationship Id="rId340" Type="http://schemas.openxmlformats.org/officeDocument/2006/relationships/hyperlink" Target="https://www.scopus.com/inward/record.uri?eid=2-s2.0-85134339792&amp;doi=10.1145%2f3524843.3528094&amp;partnerID=40&amp;md5=2a8a5e59891f65285d081b654ca70701;http://dx.doi.org/10.1145/3524843.3528094" TargetMode="External"/><Relationship Id="rId578" Type="http://schemas.openxmlformats.org/officeDocument/2006/relationships/hyperlink" Target="https://www.scopus.com/inward/record.uri?eid=2-s2.0-85104222736&amp;doi=10.1109%2fICSE-SEIS52602.2021.00017&amp;partnerID=40&amp;md5=9a3fdb6d1db053f3407fbf943bc8ff05;http://dx.doi.org/10.1109/ICSE-SEIS52602.2021.00017" TargetMode="External"/><Relationship Id="rId785" Type="http://schemas.openxmlformats.org/officeDocument/2006/relationships/hyperlink" Target="https://www.scopus.com/inward/record.uri?eid=2-s2.0-85088402223&amp;partnerID=40&amp;md5=d3d35fc7fbcf1b534574843da34ca293" TargetMode="External"/><Relationship Id="rId200" Type="http://schemas.openxmlformats.org/officeDocument/2006/relationships/hyperlink" Target="https://www.scopus.com/inward/record.uri?eid=2-s2.0-85135854723&amp;doi=10.1109%2fSANER53432.2022.00094&amp;partnerID=40&amp;md5=4c9da8d1316ef9598988ead9e9825b79;http://dx.doi.org/10.1109/SANER53432.2022.00094" TargetMode="External"/><Relationship Id="rId438" Type="http://schemas.openxmlformats.org/officeDocument/2006/relationships/hyperlink" Target="https://www.scopus.com/inward/record.uri?eid=2-s2.0-85093986587&amp;doi=10.1016%2fj.jss.2020.110847&amp;partnerID=40&amp;md5=0a10ae423a46f93ffb1d25251416e0b9;http://dx.doi.org/10.1016/j.jss.2020.110847" TargetMode="External"/><Relationship Id="rId645" Type="http://schemas.openxmlformats.org/officeDocument/2006/relationships/hyperlink" Target="https://www.scopus.com/inward/record.uri?eid=2-s2.0-85098050873&amp;doi=10.1088%2f1742-6596%2f1691%2f1%2f012009&amp;partnerID=40&amp;md5=ee73dc404e9a94a2a5ca8cafa13b1d9d;http://dx.doi.org/10.1088/1742-6596/1691/1/012009" TargetMode="External"/><Relationship Id="rId852" Type="http://schemas.openxmlformats.org/officeDocument/2006/relationships/hyperlink" Target="https://www.scopus.com/inward/record.uri?eid=2-s2.0-85018335521&amp;doi=10.1109%2fMALTESQUE.2017.7882010&amp;partnerID=40&amp;md5=a6a21b4f125c8915806da549565f8ca7;http://dx.doi.org/10.1109/MALTESQUE.2017.7882010" TargetMode="External"/><Relationship Id="rId284" Type="http://schemas.openxmlformats.org/officeDocument/2006/relationships/hyperlink" Target="https://www.scopus.com/inward/record.uri?eid=2-s2.0-85133212644&amp;doi=10.1109%2fICACCS54159.2022.9784981&amp;partnerID=40&amp;md5=9ac32a170b9cfc0d8c93261883ebdf9c;http://dx.doi.org/10.1109/ICACCS54159.2022.9784981" TargetMode="External"/><Relationship Id="rId491" Type="http://schemas.openxmlformats.org/officeDocument/2006/relationships/hyperlink" Target="https://www.scopus.com/inward/record.uri?eid=2-s2.0-85113614854&amp;doi=10.1109%2fMSR52588.2021.00047&amp;partnerID=40&amp;md5=b0f86906236d73ca080cfad3137970b8;http://dx.doi.org/10.1109/MSR52588.2021.00047" TargetMode="External"/><Relationship Id="rId505" Type="http://schemas.openxmlformats.org/officeDocument/2006/relationships/hyperlink" Target="https://www.scopus.com/inward/record.uri?eid=2-s2.0-85095814265&amp;doi=10.1145%2f3382494.3410681&amp;partnerID=40&amp;md5=8c9d5d6c0962fe371bc4bcd6588e28d7;http://dx.doi.org/10.1145/3382494.3410681" TargetMode="External"/><Relationship Id="rId712" Type="http://schemas.openxmlformats.org/officeDocument/2006/relationships/hyperlink" Target="https://www.scopus.com/inward/record.uri?eid=2-s2.0-85075945842&amp;doi=10.1109%2fMODELS-C.2019.00047&amp;partnerID=40&amp;md5=83cafd09cf7d406df4e10484612a43e4;http://dx.doi.org/10.1109/MODELS-C.2019.00047" TargetMode="External"/><Relationship Id="rId79" Type="http://schemas.openxmlformats.org/officeDocument/2006/relationships/hyperlink" Target="https://www.scopus.com/inward/record.uri?eid=2-s2.0-85145195886&amp;doi=10.1016%2fj.procir.2022.10.062&amp;partnerID=40&amp;md5=b113cca22bbc100c5dce5c2f1ab856ea;http://dx.doi.org/10.1016/j.procir.2022.10.062" TargetMode="External"/><Relationship Id="rId144" Type="http://schemas.openxmlformats.org/officeDocument/2006/relationships/hyperlink" Target="https://www.scopus.com/inward/record.uri?eid=2-s2.0-85130727000&amp;doi=10.1145%2f3487043&amp;partnerID=40&amp;md5=fbf7ac61842908f81cd945ae6a1009e4;http://dx.doi.org/10.1145/3487043" TargetMode="External"/><Relationship Id="rId589" Type="http://schemas.openxmlformats.org/officeDocument/2006/relationships/hyperlink" Target="https://www.scopus.com/inward/record.uri?eid=2-s2.0-85117838230&amp;partnerID=40&amp;md5=4caf4199307476abec5f7e1dc08e661e" TargetMode="External"/><Relationship Id="rId796" Type="http://schemas.openxmlformats.org/officeDocument/2006/relationships/hyperlink" Target="https://www.scopus.com/inward/record.uri?eid=2-s2.0-85041003076&amp;doi=10.1109%2fTSE.2018.2797899&amp;partnerID=40&amp;md5=c5f7749b1b18ab26318fd64962a96e67;http://dx.doi.org/10.1109/TSE.2018.2797899" TargetMode="External"/><Relationship Id="rId351" Type="http://schemas.openxmlformats.org/officeDocument/2006/relationships/hyperlink" Target="https://www.scopus.com/inward/record.uri?eid=2-s2.0-85119054640&amp;doi=10.1145%2f3486607.3486748&amp;partnerID=40&amp;md5=e0fd265593d5f7ba6d534bc11202e392;http://dx.doi.org/10.1145/3486607.3486748" TargetMode="External"/><Relationship Id="rId449" Type="http://schemas.openxmlformats.org/officeDocument/2006/relationships/hyperlink" Target="https://www.scopus.com/inward/record.uri?eid=2-s2.0-85106148361&amp;doi=10.1007%2f978-3-030-75251-4_1&amp;partnerID=40&amp;md5=db22e5d3804b44fd6c2ede9e3007f0cc;http://dx.doi.org/10.1007/978-3-030-75251-4_1" TargetMode="External"/><Relationship Id="rId656" Type="http://schemas.openxmlformats.org/officeDocument/2006/relationships/hyperlink" Target="https://www.scopus.com/inward/record.uri?eid=2-s2.0-85071146151&amp;doi=10.1109%2fTechDebt.2019.00025&amp;partnerID=40&amp;md5=a6bf5dc2c6baf5b49904d2b7fb3432d3;http://dx.doi.org/10.1109/TechDebt.2019.00025" TargetMode="External"/><Relationship Id="rId863" Type="http://schemas.openxmlformats.org/officeDocument/2006/relationships/hyperlink" Target="https://www.scopus.com/inward/record.uri?eid=2-s2.0-85049555118&amp;doi=10.13328%2fj.cnki.jos.005520&amp;partnerID=40&amp;md5=02111ae26bb140f11169d60139a11bd7;http://dx.doi.org/10.13328/j.cnki.jos.005520" TargetMode="External"/><Relationship Id="rId211" Type="http://schemas.openxmlformats.org/officeDocument/2006/relationships/hyperlink" Target="https://www.scopus.com/inward/record.uri?eid=2-s2.0-85114787941&amp;doi=10.1109%2fTechDebt52882.2021.00015&amp;partnerID=40&amp;md5=07e01d870b606471858b7d8d55d4f1f8;http://dx.doi.org/10.1109/TechDebt52882.2021.00015" TargetMode="External"/><Relationship Id="rId295" Type="http://schemas.openxmlformats.org/officeDocument/2006/relationships/hyperlink" Target="https://www.scopus.com/inward/record.uri?eid=2-s2.0-85116015581&amp;doi=10.1145%2f3450356&amp;partnerID=40&amp;md5=7fe6a18118c9d7e10ce3d791abf1e244;http://dx.doi.org/10.1145/3450356" TargetMode="External"/><Relationship Id="rId309" Type="http://schemas.openxmlformats.org/officeDocument/2006/relationships/hyperlink" Target="https://www.scopus.com/inward/record.uri?eid=2-s2.0-85115698007&amp;doi=10.1109%2fICSE43902.2021.00049&amp;partnerID=40&amp;md5=1681c7698bd596159fdedcea721b1357;http://dx.doi.org/10.1109/ICSE43902.2021.00049" TargetMode="External"/><Relationship Id="rId516" Type="http://schemas.openxmlformats.org/officeDocument/2006/relationships/hyperlink" Target="https://www.scopus.com/inward/record.uri?eid=2-s2.0-85097715141&amp;doi=10.1145%2f3426428.3426925&amp;partnerID=40&amp;md5=999e87da168ab83f34157c02f50642ab;http://dx.doi.org/10.1145/3426428.3426925" TargetMode="External"/><Relationship Id="rId723" Type="http://schemas.openxmlformats.org/officeDocument/2006/relationships/hyperlink" Target="https://www.scopus.com/inward/record.uri?eid=2-s2.0-85081030171&amp;doi=10.1016%2fj.jss.2020.110542&amp;partnerID=40&amp;md5=0019441a753439c6d2a0513d3a102029;http://dx.doi.org/10.1016/j.jss.2020.110542" TargetMode="External"/><Relationship Id="rId930" Type="http://schemas.openxmlformats.org/officeDocument/2006/relationships/hyperlink" Target="https://www.scopus.com/inward/record.uri?eid=2-s2.0-85050978697&amp;doi=10.1109%2fICSTW.2018.00061&amp;partnerID=40&amp;md5=8aa733b622c72d534b6786eaad52b095;http://dx.doi.org/10.1109/ICSTW.2018.00061" TargetMode="External"/><Relationship Id="rId155" Type="http://schemas.openxmlformats.org/officeDocument/2006/relationships/hyperlink" Target="https://www.scopus.com/inward/record.uri?eid=2-s2.0-85136993161&amp;doi=10.1109%2fCOMPSAC54236.2022.00130&amp;partnerID=40&amp;md5=aa780049b7b7c1157c4879595abc7b7b;http://dx.doi.org/10.1109/COMPSAC54236.2022.00130" TargetMode="External"/><Relationship Id="rId362" Type="http://schemas.openxmlformats.org/officeDocument/2006/relationships/hyperlink" Target="https://www.scopus.com/inward/record.uri?eid=2-s2.0-85120074268&amp;doi=10.1016%2fj.asoc.2021.108066&amp;partnerID=40&amp;md5=f763137e4a225eda091073e6034c1beb;http://dx.doi.org/10.1016/j.asoc.2021.108066" TargetMode="External"/><Relationship Id="rId222" Type="http://schemas.openxmlformats.org/officeDocument/2006/relationships/hyperlink" Target="https://www.scopus.com/inward/record.uri?eid=2-s2.0-85130831259&amp;doi=10.1109%2fACCESS.2022.3176865&amp;partnerID=40&amp;md5=076fec26a06a409dfca74a915e07acae;http://dx.doi.org/10.1109/ACCESS.2022.3176865" TargetMode="External"/><Relationship Id="rId667" Type="http://schemas.openxmlformats.org/officeDocument/2006/relationships/hyperlink" Target="https://www.scopus.com/inward/record.uri?eid=2-s2.0-85078017230&amp;doi=10.1109%2fREW.2019.00050&amp;partnerID=40&amp;md5=c2916cebb3a8b28029bcbed06ca0a357;http://dx.doi.org/10.1109/REW.2019.00050" TargetMode="External"/><Relationship Id="rId874" Type="http://schemas.openxmlformats.org/officeDocument/2006/relationships/hyperlink" Target="https://www.scopus.com/inward/record.uri?eid=2-s2.0-85013078209&amp;doi=10.1109%2fICSME.2016.27&amp;partnerID=40&amp;md5=1fa0e20a3c078fea1c2c6ea63b399009;http://dx.doi.org/10.1109/ICSME.2016.27" TargetMode="External"/><Relationship Id="rId17" Type="http://schemas.openxmlformats.org/officeDocument/2006/relationships/hyperlink" Target="https://www.scopus.com/inward/record.uri?eid=2-s2.0-85135893425&amp;doi=10.1002%2fspe.3138&amp;partnerID=40&amp;md5=81d2a407816f0eee2cee3b48947ce001;http://dx.doi.org/10.1002/spe.3138" TargetMode="External"/><Relationship Id="rId527" Type="http://schemas.openxmlformats.org/officeDocument/2006/relationships/hyperlink" Target="https://www.scopus.com/inward/record.uri?eid=2-s2.0-85095508614&amp;doi=10.1145%2f3368089.3409688&amp;partnerID=40&amp;md5=1a789e8c27a01344f0c422a4b1ff6f53;http://dx.doi.org/10.1145/3368089.3409688" TargetMode="External"/><Relationship Id="rId734" Type="http://schemas.openxmlformats.org/officeDocument/2006/relationships/hyperlink" Target="https://www.scopus.com/inward/record.uri?eid=2-s2.0-85077201449&amp;doi=10.1109%2fICSME.2019.00100&amp;partnerID=40&amp;md5=3ddf747f546566976aa1f2f63a8d9a0b;http://dx.doi.org/10.1109/ICSME.2019.00100" TargetMode="External"/><Relationship Id="rId941" Type="http://schemas.openxmlformats.org/officeDocument/2006/relationships/hyperlink" Target="https://www.scopus.com/inward/record.uri?eid=2-s2.0-85009812066&amp;doi=10.1109%2fISSREW.2016.43&amp;partnerID=40&amp;md5=ff20df4eca8118cbca210f65f564b65b;http://dx.doi.org/10.1109/ISSREW.2016.43" TargetMode="External"/><Relationship Id="rId70" Type="http://schemas.openxmlformats.org/officeDocument/2006/relationships/hyperlink" Target="https://www.scopus.com/inward/record.uri?eid=2-s2.0-85141566820&amp;doi=10.1007%2fs11704-022-1541-7&amp;partnerID=40&amp;md5=4a88983a1a39182776f8ffe63ca8a9df;http://dx.doi.org/10.1007/s11704-022-1541-7" TargetMode="External"/><Relationship Id="rId166" Type="http://schemas.openxmlformats.org/officeDocument/2006/relationships/hyperlink" Target="https://www.scopus.com/inward/record.uri?eid=2-s2.0-85139171392&amp;doi=10.1145%2f3546932.3547008&amp;partnerID=40&amp;md5=c85b5e51885c4d9efaa5efa08bc88997;http://dx.doi.org/10.1145/3546932.3547008" TargetMode="External"/><Relationship Id="rId373" Type="http://schemas.openxmlformats.org/officeDocument/2006/relationships/hyperlink" Target="https://www.scopus.com/inward/record.uri?eid=2-s2.0-85112723049&amp;doi=10.1109%2fTASE.2020.3008055&amp;partnerID=40&amp;md5=11892a6eb42133f41293e0499f4be9bf;http://dx.doi.org/10.1109/TASE.2020.3008055" TargetMode="External"/><Relationship Id="rId580" Type="http://schemas.openxmlformats.org/officeDocument/2006/relationships/hyperlink" Target="https://www.scopus.com/inward/record.uri?eid=2-s2.0-85091922666&amp;doi=10.1145%2f3387904.3389270&amp;partnerID=40&amp;md5=ffc68e239ccf6dfd7170b6e2a40e405c;http://dx.doi.org/10.1145/3387904.3389270" TargetMode="External"/><Relationship Id="rId801" Type="http://schemas.openxmlformats.org/officeDocument/2006/relationships/hyperlink" Target="https://www.scopus.com/inward/record.uri?eid=2-s2.0-85132947805&amp;doi=10.1007%2f978-3-319-45145-9_1&amp;partnerID=40&amp;md5=7bc3f9f86d98c42cb33f6c74bb7fa378;http://dx.doi.org/10.1007/978-3-319-45145-9_1" TargetMode="External"/><Relationship Id="rId1" Type="http://schemas.openxmlformats.org/officeDocument/2006/relationships/hyperlink" Target="https://www.scopus.com/inward/record.uri?eid=2-s2.0-85133665305&amp;doi=10.1007%2fs10664-022-10128-3&amp;partnerID=40&amp;md5=fae815333129347784d1ffe275b716a1;http://dx.doi.org/10.1007/s10664-022-10128-3" TargetMode="External"/><Relationship Id="rId233" Type="http://schemas.openxmlformats.org/officeDocument/2006/relationships/hyperlink" Target="https://www.scopus.com/inward/record.uri?eid=2-s2.0-85111259233&amp;doi=10.1186%2fs13174-021-00134-x&amp;partnerID=40&amp;md5=5c136ceacd6b205d6983203370b97239;http://dx.doi.org/10.1186/s13174-021-00134-x" TargetMode="External"/><Relationship Id="rId440" Type="http://schemas.openxmlformats.org/officeDocument/2006/relationships/hyperlink" Target="https://www.scopus.com/inward/record.uri?eid=2-s2.0-85101223219&amp;doi=10.1609%2faimag.v41i4.5309&amp;partnerID=40&amp;md5=a9ed703a7b5f5832914788a47107f701;http://dx.doi.org/10.1609/aimag.v41i4.5309" TargetMode="External"/><Relationship Id="rId678" Type="http://schemas.openxmlformats.org/officeDocument/2006/relationships/hyperlink" Target="https://www.scopus.com/inward/record.uri?eid=2-s2.0-85090507319&amp;doi=10.18293%2fSEKE2020-084&amp;partnerID=40&amp;md5=23ffd13ecb661a485d23117a4e4a8c80;http://dx.doi.org/10.18293/SEKE2020-084" TargetMode="External"/><Relationship Id="rId885" Type="http://schemas.openxmlformats.org/officeDocument/2006/relationships/hyperlink" Target="https://www.scopus.com/inward/record.uri?eid=2-s2.0-84963624234&amp;doi=10.1109%2fMTD.2015.7332618&amp;partnerID=40&amp;md5=89d81ad9d7d2146b53990a627c01b7ea;http://dx.doi.org/10.1109/MTD.2015.7332618" TargetMode="External"/><Relationship Id="rId28" Type="http://schemas.openxmlformats.org/officeDocument/2006/relationships/hyperlink" Target="https://www.scopus.com/inward/record.uri?eid=2-s2.0-85136974177&amp;doi=10.1109%2fCOMPSAC54236.2022.00166&amp;partnerID=40&amp;md5=286130a29f16628da067387c615dbb24;http://dx.doi.org/10.1109/COMPSAC54236.2022.00166" TargetMode="External"/><Relationship Id="rId300" Type="http://schemas.openxmlformats.org/officeDocument/2006/relationships/hyperlink" Target="https://www.scopus.com/inward/record.uri?eid=2-s2.0-85097032199&amp;doi=10.1002%2fcpe.6129&amp;partnerID=40&amp;md5=35021be6327c7408aa2e08f0431f2531;http://dx.doi.org/10.1002/cpe.6129" TargetMode="External"/><Relationship Id="rId538" Type="http://schemas.openxmlformats.org/officeDocument/2006/relationships/hyperlink" Target="https://www.scopus.com/inward/record.uri?eid=2-s2.0-85108027397&amp;doi=10.1109%2fISPA-BDCloud-SocialCom-SustainCom51426.2020.00082&amp;partnerID=40&amp;md5=d0b56a02fc3e4e08a430cbb9dd28cbd1;http://dx.doi.org/10.1109/ISPA-BDCloud-SocialCom-SustainCom51426.2020.00082" TargetMode="External"/><Relationship Id="rId745" Type="http://schemas.openxmlformats.org/officeDocument/2006/relationships/hyperlink" Target="https://www.scopus.com/inward/record.uri?eid=2-s2.0-85034272704&amp;doi=10.1109%2fTSE.2017.2770122&amp;partnerID=40&amp;md5=6c8be47eecf246e1d0d4970438460843;http://dx.doi.org/10.1109/TSE.2017.2770122" TargetMode="External"/><Relationship Id="rId81" Type="http://schemas.openxmlformats.org/officeDocument/2006/relationships/hyperlink" Target="https://www.scopus.com/inward/record.uri?eid=2-s2.0-85141530424&amp;doi=10.7544%2fissn1000-1239.20210221&amp;partnerID=40&amp;md5=35aaf67fcd4f78ddedf070f57389918e;http://dx.doi.org/10.7544/issn1000-1239.20210221" TargetMode="External"/><Relationship Id="rId135" Type="http://schemas.openxmlformats.org/officeDocument/2006/relationships/hyperlink" Target="https://www.scopus.com/inward/record.uri?eid=2-s2.0-85145953212&amp;doi=10.30630%2fjoiv.6.4.982&amp;partnerID=40&amp;md5=200d0cc812ef636961a286a488f7df5a;http://dx.doi.org/10.30630/joiv.6.4.982" TargetMode="External"/><Relationship Id="rId177" Type="http://schemas.openxmlformats.org/officeDocument/2006/relationships/hyperlink" Target="https://www.scopus.com/inward/record.uri?eid=2-s2.0-85137414123&amp;doi=10.3390%2felectronics11162485&amp;partnerID=40&amp;md5=4d514e3ac1a30021822ef2d6f0b908b2;http://dx.doi.org/10.3390/electronics11162485" TargetMode="External"/><Relationship Id="rId342" Type="http://schemas.openxmlformats.org/officeDocument/2006/relationships/hyperlink" Target="https://www.scopus.com/inward/record.uri?eid=2-s2.0-85111809296&amp;doi=10.1016%2fj.amc.2021.126539&amp;partnerID=40&amp;md5=1f8edde4745d0e3326d461b07ef7e5f0;http://dx.doi.org/10.1016/j.amc.2021.126539" TargetMode="External"/><Relationship Id="rId384" Type="http://schemas.openxmlformats.org/officeDocument/2006/relationships/hyperlink" Target="https://www.scopus.com/inward/record.uri?eid=2-s2.0-85117733907&amp;doi=10.1007%2fs10664-021-10045-x&amp;partnerID=40&amp;md5=08aa5a74f13d392f5792c4911475ef97;http://dx.doi.org/10.1007/s10664-021-10045-x" TargetMode="External"/><Relationship Id="rId591" Type="http://schemas.openxmlformats.org/officeDocument/2006/relationships/hyperlink" Target="https://www.scopus.com/inward/record.uri?eid=2-s2.0-85098933960&amp;doi=10.1016%2fj.compag.2020.105922&amp;partnerID=40&amp;md5=72d041552aa067501c1bde57ead189f8;http://dx.doi.org/10.1016/j.compag.2020.105922" TargetMode="External"/><Relationship Id="rId605" Type="http://schemas.openxmlformats.org/officeDocument/2006/relationships/hyperlink" Target="https://www.scopus.com/inward/record.uri?eid=2-s2.0-85078009996&amp;doi=10.1109%2fREW.2019.00011&amp;partnerID=40&amp;md5=3d9d8ae9758cb2ce8d3fb6bf3347ffc9;http://dx.doi.org/10.1109/REW.2019.00011" TargetMode="External"/><Relationship Id="rId787" Type="http://schemas.openxmlformats.org/officeDocument/2006/relationships/hyperlink" Target="https://www.scopus.com/inward/record.uri?eid=2-s2.0-85090135552&amp;doi=10.1109%2fCVPRW50498.2020.00170&amp;partnerID=40&amp;md5=2402f64426e6e27cd11c23610714661a;http://dx.doi.org/10.1109/CVPRW50498.2020.00170" TargetMode="External"/><Relationship Id="rId812" Type="http://schemas.openxmlformats.org/officeDocument/2006/relationships/hyperlink" Target="https://www.scopus.com/inward/record.uri?eid=2-s2.0-85034592026&amp;doi=10.1007%2f978-3-319-69926-4_42&amp;partnerID=40&amp;md5=facb84db639c6abe9bc241c2381f3668;http://dx.doi.org/10.1007/978-3-319-69926-4_42" TargetMode="External"/><Relationship Id="rId202" Type="http://schemas.openxmlformats.org/officeDocument/2006/relationships/hyperlink" Target="https://www.scopus.com/inward/record.uri?eid=2-s2.0-85130230261&amp;doi=10.1007%2f978-3-031-04829-6_13&amp;partnerID=40&amp;md5=fa7d3f8c0353bd6e3bfe56c6fcee07df;http://dx.doi.org/10.1007/978-3-031-04829-6_13" TargetMode="External"/><Relationship Id="rId244" Type="http://schemas.openxmlformats.org/officeDocument/2006/relationships/hyperlink" Target="https://www.scopus.com/inward/record.uri?eid=2-s2.0-85128924924&amp;doi=10.1145%2f3522664.3528596&amp;partnerID=40&amp;md5=b19b71e3e173b3c989c17c49db592374;http://dx.doi.org/10.1145/3522664.3528596" TargetMode="External"/><Relationship Id="rId647" Type="http://schemas.openxmlformats.org/officeDocument/2006/relationships/hyperlink" Target="https://www.scopus.com/inward/record.uri?eid=2-s2.0-85093646767&amp;doi=10.1145%2f3379597.3387448&amp;partnerID=40&amp;md5=6d778f6e5b3f863f5617638a54f2f921;http://dx.doi.org/10.1145/3379597.3387448" TargetMode="External"/><Relationship Id="rId689" Type="http://schemas.openxmlformats.org/officeDocument/2006/relationships/hyperlink" Target="https://www.scopus.com/inward/record.uri?eid=2-s2.0-85060256649&amp;doi=10.1186%2fs13173-018-0083-1&amp;partnerID=40&amp;md5=c21c544db4400d0adf9f90a1f2fe7b5a;http://dx.doi.org/10.1186/s13173-018-0083-1" TargetMode="External"/><Relationship Id="rId854" Type="http://schemas.openxmlformats.org/officeDocument/2006/relationships/hyperlink" Target="https://www.scopus.com/inward/record.uri?eid=2-s2.0-85051472599&amp;doi=10.1145%2f3194164.3194168&amp;partnerID=40&amp;md5=ec28c7706adeead70d2d5f88117da531;http://dx.doi.org/10.1145/3194164.3194168" TargetMode="External"/><Relationship Id="rId896" Type="http://schemas.openxmlformats.org/officeDocument/2006/relationships/hyperlink" Target="https://www.scopus.com/inward/record.uri?eid=2-s2.0-84991000274&amp;doi=10.1109%2fSANER.2016.84&amp;partnerID=40&amp;md5=ba372f42bf0c3a1b468fbfa8760e6a84;http://dx.doi.org/10.1109/SANER.2016.84" TargetMode="External"/><Relationship Id="rId39" Type="http://schemas.openxmlformats.org/officeDocument/2006/relationships/hyperlink" Target="https://www.scopus.com/inward/record.uri?eid=2-s2.0-85139548360&amp;doi=10.1007%2fs00521-022-07877-z&amp;partnerID=40&amp;md5=47a63c70a0c87e77eb2c6c16544d405d;http://dx.doi.org/10.1007/s00521-022-07877-z" TargetMode="External"/><Relationship Id="rId286" Type="http://schemas.openxmlformats.org/officeDocument/2006/relationships/hyperlink" Target="https://www.scopus.com/inward/record.uri?eid=2-s2.0-85117528533&amp;doi=10.1109%2fICAS49788.2021.9551151&amp;partnerID=40&amp;md5=034597a94dab459da2f9c12133a67165;http://dx.doi.org/10.1109/ICAS49788.2021.9551151" TargetMode="External"/><Relationship Id="rId451" Type="http://schemas.openxmlformats.org/officeDocument/2006/relationships/hyperlink" Target="https://www.scopus.com/inward/record.uri?eid=2-s2.0-85113208599&amp;doi=10.1109%2fWAIN52551.2021.00024&amp;partnerID=40&amp;md5=0d73b7c7f817a297726b2293381e833d;http://dx.doi.org/10.1109/WAIN52551.2021.00024" TargetMode="External"/><Relationship Id="rId493" Type="http://schemas.openxmlformats.org/officeDocument/2006/relationships/hyperlink" Target="https://www.scopus.com/inward/record.uri?eid=2-s2.0-85116556448&amp;doi=10.1587%2ftransinf.2020EDP7255&amp;partnerID=40&amp;md5=4a32a900ee950e280de93550f1b5b228;http://dx.doi.org/10.1587/transinf.2020EDP7255" TargetMode="External"/><Relationship Id="rId507" Type="http://schemas.openxmlformats.org/officeDocument/2006/relationships/hyperlink" Target="https://www.scopus.com/inward/record.uri?eid=2-s2.0-85106966534&amp;partnerID=40&amp;md5=b4f7c335dfe07bf1d0678ef9cf7d8f42" TargetMode="External"/><Relationship Id="rId549" Type="http://schemas.openxmlformats.org/officeDocument/2006/relationships/hyperlink" Target="https://www.scopus.com/inward/record.uri?eid=2-s2.0-85099357131&amp;doi=10.1145%2f3422392.3422408&amp;partnerID=40&amp;md5=1671dddabb530b925d585c39cb56ac24;http://dx.doi.org/10.1145/3422392.3422408" TargetMode="External"/><Relationship Id="rId714" Type="http://schemas.openxmlformats.org/officeDocument/2006/relationships/hyperlink" Target="https://www.scopus.com/inward/record.uri?eid=2-s2.0-85086278009&amp;doi=10.1145%2f3318464.3386146&amp;partnerID=40&amp;md5=6b9d0d875d873387855ce10ad97643b0;http://dx.doi.org/10.1145/3318464.3386146" TargetMode="External"/><Relationship Id="rId756" Type="http://schemas.openxmlformats.org/officeDocument/2006/relationships/hyperlink" Target="https://www.scopus.com/inward/record.uri?eid=2-s2.0-85076086180&amp;doi=10.1145%2f3340482.3342747&amp;partnerID=40&amp;md5=226757cee7c7d2f7fdaf63be77e79886;http://dx.doi.org/10.1145/3340482.3342747" TargetMode="External"/><Relationship Id="rId921" Type="http://schemas.openxmlformats.org/officeDocument/2006/relationships/hyperlink" Target="https://www.scopus.com/inward/record.uri?eid=2-s2.0-85051661163&amp;doi=10.1145%2f3196398.3196448&amp;partnerID=40&amp;md5=2a7324a25c3c9b2722fec72a8a978fc2;http://dx.doi.org/10.1145/3196398.3196448" TargetMode="External"/><Relationship Id="rId50" Type="http://schemas.openxmlformats.org/officeDocument/2006/relationships/hyperlink" Target="https://www.scopus.com/inward/record.uri?eid=2-s2.0-85129090211&amp;doi=10.23940%2fijpe.22.03.p1.149157&amp;partnerID=40&amp;md5=6eb4ec32913da662e18fb3dc353f6089;http://dx.doi.org/10.23940/ijpe.22.03.p1.149157" TargetMode="External"/><Relationship Id="rId104" Type="http://schemas.openxmlformats.org/officeDocument/2006/relationships/hyperlink" Target="https://www.scopus.com/inward/record.uri?eid=2-s2.0-85139550283&amp;doi=10.1145%2f3545258.3545260&amp;partnerID=40&amp;md5=9aba7f032c2458e08bd7b45e065c9fa2;http://dx.doi.org/10.1145/3545258.3545260" TargetMode="External"/><Relationship Id="rId146" Type="http://schemas.openxmlformats.org/officeDocument/2006/relationships/hyperlink" Target="https://www.scopus.com/inward/record.uri?eid=2-s2.0-85143050726&amp;doi=10.1145%2f3540250.3560881&amp;partnerID=40&amp;md5=dc1e8d7ad14a1339e755d34c7a59146e;http://dx.doi.org/10.1145/3540250.3560881" TargetMode="External"/><Relationship Id="rId188" Type="http://schemas.openxmlformats.org/officeDocument/2006/relationships/hyperlink" Target="https://www.scopus.com/inward/record.uri?eid=2-s2.0-85116891092&amp;doi=10.1016%2fj.infsof.2021.106733&amp;partnerID=40&amp;md5=0b35a193194226616e7512f98d3e32f5;http://dx.doi.org/10.1016/j.infsof.2021.106733" TargetMode="External"/><Relationship Id="rId311" Type="http://schemas.openxmlformats.org/officeDocument/2006/relationships/hyperlink" Target="https://www.scopus.com/inward/record.uri?eid=2-s2.0-85134015186&amp;doi=10.1145%2f3524842.3528455&amp;partnerID=40&amp;md5=f99b22ed26c0adaeced649d417ab6848;http://dx.doi.org/10.1145/3524842.3528455" TargetMode="External"/><Relationship Id="rId353" Type="http://schemas.openxmlformats.org/officeDocument/2006/relationships/hyperlink" Target="https://www.scopus.com/inward/record.uri?eid=2-s2.0-85111230657&amp;doi=10.1016%2fj.jss.2021.111046&amp;partnerID=40&amp;md5=208ffc6b7b432ceee6d6017e974e86e9;http://dx.doi.org/10.1016/j.jss.2021.111046" TargetMode="External"/><Relationship Id="rId395" Type="http://schemas.openxmlformats.org/officeDocument/2006/relationships/hyperlink" Target="https://www.scopus.com/inward/record.uri?eid=2-s2.0-85114853759&amp;doi=10.1109%2fDSN48987.2021.00026&amp;partnerID=40&amp;md5=46781be6fc7a80d455ef9a358f835112;http://dx.doi.org/10.1109/DSN48987.2021.00026" TargetMode="External"/><Relationship Id="rId409" Type="http://schemas.openxmlformats.org/officeDocument/2006/relationships/hyperlink" Target="https://www.scopus.com/inward/record.uri?eid=2-s2.0-85097975943&amp;doi=10.1109%2fITMS51158.2020.9259303&amp;partnerID=40&amp;md5=fb2031fe726dd2ad1a466cb0dddff442;http://dx.doi.org/10.1109/ITMS51158.2020.9259303" TargetMode="External"/><Relationship Id="rId560" Type="http://schemas.openxmlformats.org/officeDocument/2006/relationships/hyperlink" Target="https://www.scopus.com/inward/record.uri?eid=2-s2.0-85091245352&amp;doi=10.1007%2fs10664-020-09880-1&amp;partnerID=40&amp;md5=077dac4a9230c050eb6b28ff2c596d4c;http://dx.doi.org/10.1007/s10664-020-09880-1" TargetMode="External"/><Relationship Id="rId798" Type="http://schemas.openxmlformats.org/officeDocument/2006/relationships/hyperlink" Target="https://www.scopus.com/inward/record.uri?eid=2-s2.0-85054607574&amp;doi=10.1145%2f3183428.3183435&amp;partnerID=40&amp;md5=f010615699455f50b4bd9db5cb2db540;http://dx.doi.org/10.1145/3183428.3183435" TargetMode="External"/><Relationship Id="rId92" Type="http://schemas.openxmlformats.org/officeDocument/2006/relationships/hyperlink" Target="https://www.scopus.com/inward/record.uri?eid=2-s2.0-85129838215&amp;doi=10.1002%2fspe.3093&amp;partnerID=40&amp;md5=e22cde9c69e6b91c1c529527fdfe7b10;http://dx.doi.org/10.1002/spe.3093" TargetMode="External"/><Relationship Id="rId213" Type="http://schemas.openxmlformats.org/officeDocument/2006/relationships/hyperlink" Target="https://www.scopus.com/inward/record.uri?eid=2-s2.0-85110459361&amp;doi=10.1145%2f3463934&amp;partnerID=40&amp;md5=385ea0093a63086a0dbc8814e2f74ed6;http://dx.doi.org/10.1145/3463934" TargetMode="External"/><Relationship Id="rId420" Type="http://schemas.openxmlformats.org/officeDocument/2006/relationships/hyperlink" Target="https://www.scopus.com/inward/record.uri?eid=2-s2.0-85106644733&amp;doi=10.1109%2fSANER50967.2021.00046&amp;partnerID=40&amp;md5=24398e798fb42d6a1cc6b0c74b476dfd;http://dx.doi.org/10.1109/SANER50967.2021.00046" TargetMode="External"/><Relationship Id="rId616" Type="http://schemas.openxmlformats.org/officeDocument/2006/relationships/hyperlink" Target="https://www.scopus.com/inward/record.uri?eid=2-s2.0-85062242630&amp;doi=10.1016%2fj.jss.2019.02.056&amp;partnerID=40&amp;md5=1ca0e6aa1b30f6f08732682d2002d46e;http://dx.doi.org/10.1016/j.jss.2019.02.056" TargetMode="External"/><Relationship Id="rId658" Type="http://schemas.openxmlformats.org/officeDocument/2006/relationships/hyperlink" Target="https://www.scopus.com/inward/record.uri?eid=2-s2.0-85076867877&amp;doi=10.2200%2fS00904ED1V01Y201903ICR066&amp;partnerID=40&amp;md5=222e93a3948848d3fb83104c997b761e;http://dx.doi.org/10.2200/S00904ED1V01Y201903ICR066" TargetMode="External"/><Relationship Id="rId823" Type="http://schemas.openxmlformats.org/officeDocument/2006/relationships/hyperlink" Target="https://www.scopus.com/inward/record.uri?eid=2-s2.0-84904626790&amp;doi=10.1002%2fsmr.1639&amp;partnerID=40&amp;md5=669ee13b2e7dc7b4bb3b934501674ad7;http://dx.doi.org/10.1002/smr.1639" TargetMode="External"/><Relationship Id="rId865" Type="http://schemas.openxmlformats.org/officeDocument/2006/relationships/hyperlink" Target="https://www.scopus.com/inward/record.uri?eid=2-s2.0-85040575660&amp;partnerID=40&amp;md5=9976450244a5a118017258d58fd9c23e" TargetMode="External"/><Relationship Id="rId255" Type="http://schemas.openxmlformats.org/officeDocument/2006/relationships/hyperlink" Target="https://www.scopus.com/inward/record.uri?eid=2-s2.0-85134470450&amp;doi=10.1080%2f0960085X.2022.2088413&amp;partnerID=40&amp;md5=3a94c12ed8b85afa521143bbf56b05fc;http://dx.doi.org/10.1080/0960085X.2022.2088413" TargetMode="External"/><Relationship Id="rId297" Type="http://schemas.openxmlformats.org/officeDocument/2006/relationships/hyperlink" Target="https://www.scopus.com/inward/record.uri?eid=2-s2.0-85132017814&amp;doi=10.24138%2fjcomss-2021-0124&amp;partnerID=40&amp;md5=433ca07519e588d0f73779fdd74a311c;http://dx.doi.org/10.24138/jcomss-2021-0124" TargetMode="External"/><Relationship Id="rId462" Type="http://schemas.openxmlformats.org/officeDocument/2006/relationships/hyperlink" Target="https://www.scopus.com/inward/record.uri?eid=2-s2.0-85125742096&amp;doi=10.1109%2fSNPD51163.2021.9705010&amp;partnerID=40&amp;md5=7bf149931457e25b959f4e77cf6c2d7e;http://dx.doi.org/10.1109/SNPD51163.2021.9705010" TargetMode="External"/><Relationship Id="rId518" Type="http://schemas.openxmlformats.org/officeDocument/2006/relationships/hyperlink" Target="https://www.scopus.com/inward/record.uri?eid=2-s2.0-85137510970&amp;doi=10.4018%2f978-1-7998-5101-1.ch001&amp;partnerID=40&amp;md5=6240593ae2c7bc36df644c3f008913fc;http://dx.doi.org/10.4018/978-1-7998-5101-1.ch001" TargetMode="External"/><Relationship Id="rId725" Type="http://schemas.openxmlformats.org/officeDocument/2006/relationships/hyperlink" Target="https://www.scopus.com/inward/record.uri?eid=2-s2.0-85077228353&amp;doi=10.1109%2fMS.2019.2954841&amp;partnerID=40&amp;md5=19daea99cbbb1ac47c6c597b960fbdc5;http://dx.doi.org/10.1109/MS.2019.2954841" TargetMode="External"/><Relationship Id="rId932" Type="http://schemas.openxmlformats.org/officeDocument/2006/relationships/hyperlink" Target="https://www.scopus.com/inward/record.uri?eid=2-s2.0-84971577036&amp;doi=10.1007%2f978-3-319-39225-7_3&amp;partnerID=40&amp;md5=a1bfb946220695530cc6d826730ad804;http://dx.doi.org/10.1007/978-3-319-39225-7_3" TargetMode="External"/><Relationship Id="rId115" Type="http://schemas.openxmlformats.org/officeDocument/2006/relationships/hyperlink" Target="https://www.scopus.com/inward/record.uri?eid=2-s2.0-85128076663&amp;doi=10.1007%2fs10664-021-10099-x&amp;partnerID=40&amp;md5=7d41c487cf4ea704150f95df0048e545;http://dx.doi.org/10.1007/s10664-021-10099-x" TargetMode="External"/><Relationship Id="rId157" Type="http://schemas.openxmlformats.org/officeDocument/2006/relationships/hyperlink" Target="https://www.scopus.com/inward/record.uri?eid=2-s2.0-85129765694&amp;doi=10.1145%2f3491101.3519724&amp;partnerID=40&amp;md5=78845bac017e1f1e34591118a2c1221c;http://dx.doi.org/10.1145/3491101.3519724" TargetMode="External"/><Relationship Id="rId322" Type="http://schemas.openxmlformats.org/officeDocument/2006/relationships/hyperlink" Target="https://www.scopus.com/inward/record.uri?eid=2-s2.0-85125253380&amp;doi=10.1007%2f978-3-030-95947-0_40&amp;partnerID=40&amp;md5=cea67de019236d3eb4b5bc679e072624;http://dx.doi.org/10.1007/978-3-030-95947-0_40" TargetMode="External"/><Relationship Id="rId364" Type="http://schemas.openxmlformats.org/officeDocument/2006/relationships/hyperlink" Target="https://www.scopus.com/inward/record.uri?eid=2-s2.0-85117941875&amp;doi=10.1145%2f3475716.3475784&amp;partnerID=40&amp;md5=c3b61f80b0379b628da92c73b6136b0e;http://dx.doi.org/10.1145/3475716.3475784" TargetMode="External"/><Relationship Id="rId767" Type="http://schemas.openxmlformats.org/officeDocument/2006/relationships/hyperlink" Target="https://www.scopus.com/inward/record.uri?eid=2-s2.0-85093114739&amp;doi=10.1007%2f978-3-030-58802-1_25&amp;partnerID=40&amp;md5=a4a82ab6c1acec6090121239c85255c0;http://dx.doi.org/10.1007/978-3-030-58802-1_25" TargetMode="External"/><Relationship Id="rId61" Type="http://schemas.openxmlformats.org/officeDocument/2006/relationships/hyperlink" Target="https://www.scopus.com/inward/record.uri?eid=2-s2.0-85133655153&amp;doi=10.1007%2fs10664-022-10119-4&amp;partnerID=40&amp;md5=a82bedea7c29214a99502b2e7668e6e3;http://dx.doi.org/10.1007/s10664-022-10119-4" TargetMode="External"/><Relationship Id="rId199" Type="http://schemas.openxmlformats.org/officeDocument/2006/relationships/hyperlink" Target="https://www.scopus.com/inward/record.uri?eid=2-s2.0-85135175342&amp;doi=10.1016%2fj.engappai.2022.105240&amp;partnerID=40&amp;md5=5919f74f3f5bfdcd53d6a92b4525d83d;http://dx.doi.org/10.1016/j.engappai.2022.105240" TargetMode="External"/><Relationship Id="rId571" Type="http://schemas.openxmlformats.org/officeDocument/2006/relationships/hyperlink" Target="https://www.scopus.com/inward/record.uri?eid=2-s2.0-85101368139&amp;doi=10.1007%2f978-3-030-67292-8_2&amp;partnerID=40&amp;md5=1755610e8f350838212c69c596954cf2;http://dx.doi.org/10.1007/978-3-030-67292-8_2" TargetMode="External"/><Relationship Id="rId627" Type="http://schemas.openxmlformats.org/officeDocument/2006/relationships/hyperlink" Target="https://www.scopus.com/inward/record.uri?eid=2-s2.0-85087877670&amp;doi=10.3390%2fapp10134624&amp;partnerID=40&amp;md5=d62cc02ee8ba36134b4fb32172584ec1;http://dx.doi.org/10.3390/app10134624" TargetMode="External"/><Relationship Id="rId669" Type="http://schemas.openxmlformats.org/officeDocument/2006/relationships/hyperlink" Target="https://www.scopus.com/inward/record.uri?eid=2-s2.0-85072898064&amp;doi=10.1007%2f978-3-030-26250-1_30&amp;partnerID=40&amp;md5=ff9e046c42e97d445275b34d7f963329;http://dx.doi.org/10.1007/978-3-030-26250-1_30" TargetMode="External"/><Relationship Id="rId834" Type="http://schemas.openxmlformats.org/officeDocument/2006/relationships/hyperlink" Target="https://www.scopus.com/inward/record.uri?eid=2-s2.0-85040782895&amp;doi=10.1109%2fISSRE.2017.43&amp;partnerID=40&amp;md5=56b04acac5fa471e025030e5aa70d5fb;http://dx.doi.org/10.1109/ISSRE.2017.43" TargetMode="External"/><Relationship Id="rId876" Type="http://schemas.openxmlformats.org/officeDocument/2006/relationships/hyperlink" Target="https://www.scopus.com/inward/record.uri?eid=2-s2.0-85044588917&amp;doi=10.1142%2fS0218194018500110&amp;partnerID=40&amp;md5=335e5d58beca7a7c80f3679e24738fad;http://dx.doi.org/10.1142/S0218194018500110" TargetMode="External"/><Relationship Id="rId19" Type="http://schemas.openxmlformats.org/officeDocument/2006/relationships/hyperlink" Target="https://www.scopus.com/inward/record.uri?eid=2-s2.0-85141781984&amp;doi=10.1016%2fj.softx.2022.101237&amp;partnerID=40&amp;md5=09d5a5f60a2912d9eab325b704f61f8a;http://dx.doi.org/10.1016/j.softx.2022.101237" TargetMode="External"/><Relationship Id="rId224" Type="http://schemas.openxmlformats.org/officeDocument/2006/relationships/hyperlink" Target="https://www.scopus.com/inward/record.uri?eid=2-s2.0-85118802542&amp;doi=10.1002%2fcite.202100134&amp;partnerID=40&amp;md5=aa4fe2396d451ce1717a73069e7d063b;http://dx.doi.org/10.1002/cite.202100134" TargetMode="External"/><Relationship Id="rId266" Type="http://schemas.openxmlformats.org/officeDocument/2006/relationships/hyperlink" Target="https://www.scopus.com/inward/record.uri?eid=2-s2.0-85124255974&amp;doi=10.3390%2fmachines10010023&amp;partnerID=40&amp;md5=28d3d472ad035d91998efc6df04c705e;http://dx.doi.org/10.3390/machines10010023" TargetMode="External"/><Relationship Id="rId431" Type="http://schemas.openxmlformats.org/officeDocument/2006/relationships/hyperlink" Target="https://www.scopus.com/inward/record.uri?eid=2-s2.0-85084229748&amp;partnerID=40&amp;md5=083c4b246ba4671ff93e574d57b0692d" TargetMode="External"/><Relationship Id="rId473" Type="http://schemas.openxmlformats.org/officeDocument/2006/relationships/hyperlink" Target="https://www.scopus.com/inward/record.uri?eid=2-s2.0-85077973878&amp;doi=10.1016%2fj.ins.2019.12.075&amp;partnerID=40&amp;md5=8fdb7b1e8502ecf7847b9a4f4c70cc02;http://dx.doi.org/10.1016/j.ins.2019.12.075" TargetMode="External"/><Relationship Id="rId529" Type="http://schemas.openxmlformats.org/officeDocument/2006/relationships/hyperlink" Target="https://www.scopus.com/inward/record.uri?eid=2-s2.0-85113265376&amp;doi=10.1109%2fICPC52881.2021.00029&amp;partnerID=40&amp;md5=4841a5fce6ad58c21a93e016bb2a095b;http://dx.doi.org/10.1109/ICPC52881.2021.00029" TargetMode="External"/><Relationship Id="rId680" Type="http://schemas.openxmlformats.org/officeDocument/2006/relationships/hyperlink" Target="https://www.scopus.com/inward/record.uri?eid=2-s2.0-85074980613&amp;doi=10.1016%2fj.jss.2019.110456&amp;partnerID=40&amp;md5=23e143e2efb99dffae256ae090910f7c;http://dx.doi.org/10.1016/j.jss.2019.110456" TargetMode="External"/><Relationship Id="rId736" Type="http://schemas.openxmlformats.org/officeDocument/2006/relationships/hyperlink" Target="https://www.scopus.com/inward/record.uri?eid=2-s2.0-85094115702&amp;doi=10.1145%2f3377812.3381396&amp;partnerID=40&amp;md5=aeda611a5bc4028469ffe12e6ddb4aa4;http://dx.doi.org/10.1145/3377812.3381396" TargetMode="External"/><Relationship Id="rId901" Type="http://schemas.openxmlformats.org/officeDocument/2006/relationships/hyperlink" Target="https://www.scopus.com/inward/record.uri?eid=2-s2.0-85040559968&amp;doi=10.1109%2fICSME.2017.8&amp;partnerID=40&amp;md5=87314b2704eb01c637755bc6b19462bc;http://dx.doi.org/10.1109/ICSME.2017.8" TargetMode="External"/><Relationship Id="rId30" Type="http://schemas.openxmlformats.org/officeDocument/2006/relationships/hyperlink" Target="https://www.scopus.com/inward/record.uri?eid=2-s2.0-85136614376&amp;doi=10.1016%2fj.jss.2022.111481&amp;partnerID=40&amp;md5=6c676d95e43f78692316b4691625146c;http://dx.doi.org/10.1016/j.jss.2022.111481" TargetMode="External"/><Relationship Id="rId126" Type="http://schemas.openxmlformats.org/officeDocument/2006/relationships/hyperlink" Target="https://www.scopus.com/inward/record.uri?eid=2-s2.0-85142894372&amp;partnerID=40&amp;md5=34601942019f57b92637bce02323ce72" TargetMode="External"/><Relationship Id="rId168" Type="http://schemas.openxmlformats.org/officeDocument/2006/relationships/hyperlink" Target="https://www.scopus.com/inward/record.uri?eid=2-s2.0-85143501730&amp;doi=10.1016%2fj.infsof.2022.107112&amp;partnerID=40&amp;md5=9e857fb22bc1228dbbe79b75d3b7a639;http://dx.doi.org/10.1016/j.infsof.2022.107112" TargetMode="External"/><Relationship Id="rId333" Type="http://schemas.openxmlformats.org/officeDocument/2006/relationships/hyperlink" Target="https://www.scopus.com/inward/record.uri?eid=2-s2.0-85133288451&amp;doi=10.1080%2f09540091.2022.2067125&amp;partnerID=40&amp;md5=73770d01b2a5a6366da4aa4f93d906c2;http://dx.doi.org/10.1080/09540091.2022.2067125" TargetMode="External"/><Relationship Id="rId540" Type="http://schemas.openxmlformats.org/officeDocument/2006/relationships/hyperlink" Target="https://www.scopus.com/inward/record.uri?eid=2-s2.0-85108363730&amp;partnerID=40&amp;md5=b59261f87494715ad245ea9a7431b02c" TargetMode="External"/><Relationship Id="rId778" Type="http://schemas.openxmlformats.org/officeDocument/2006/relationships/hyperlink" Target="https://www.scopus.com/inward/record.uri?eid=2-s2.0-85077510435&amp;partnerID=40&amp;md5=70bfd4c4b4d7d9d7a5a883c200ea9df0" TargetMode="External"/><Relationship Id="rId943" Type="http://schemas.openxmlformats.org/officeDocument/2006/relationships/hyperlink" Target="https://www.scopus.com/inward/record.uri?eid=2-s2.0-85040591802&amp;doi=10.1109%2fICSME.2017.44&amp;partnerID=40&amp;md5=c6b4d39f711b62ac322cc93b626dc5a0;http://dx.doi.org/10.1109/ICSME.2017.44" TargetMode="External"/><Relationship Id="rId72" Type="http://schemas.openxmlformats.org/officeDocument/2006/relationships/hyperlink" Target="https://www.scopus.com/inward/record.uri?eid=2-s2.0-85144557305&amp;doi=10.1016%2fj.jss.2022.111588&amp;partnerID=40&amp;md5=dabb3f2bf70e7b634ad2697de0abcf44;http://dx.doi.org/10.1016/j.jss.2022.111588" TargetMode="External"/><Relationship Id="rId375" Type="http://schemas.openxmlformats.org/officeDocument/2006/relationships/hyperlink" Target="https://www.scopus.com/inward/record.uri?eid=2-s2.0-85117368062&amp;doi=10.1016%2fj.parco.2021.102858&amp;partnerID=40&amp;md5=cd2fc1322467a84cd684103e180284ac;http://dx.doi.org/10.1016/j.parco.2021.102858" TargetMode="External"/><Relationship Id="rId582" Type="http://schemas.openxmlformats.org/officeDocument/2006/relationships/hyperlink" Target="https://www.scopus.com/inward/record.uri?eid=2-s2.0-85116010167&amp;doi=10.1007%2f978-3-030-87007-2_22&amp;partnerID=40&amp;md5=006267f393429147a4517f2b43d3299c;http://dx.doi.org/10.1007/978-3-030-87007-2_22" TargetMode="External"/><Relationship Id="rId638" Type="http://schemas.openxmlformats.org/officeDocument/2006/relationships/hyperlink" Target="https://www.scopus.com/inward/record.uri?eid=2-s2.0-85071955221&amp;doi=10.1145%2f3338906.3338965&amp;partnerID=40&amp;md5=48df39eece77c1e08a88f2d966221d91;http://dx.doi.org/10.1145/3338906.3338965" TargetMode="External"/><Relationship Id="rId803" Type="http://schemas.openxmlformats.org/officeDocument/2006/relationships/hyperlink" Target="https://www.scopus.com/inward/record.uri?eid=2-s2.0-84961328315&amp;doi=10.4018%2f978-1-4666-8225-2&amp;partnerID=40&amp;md5=3da5c6538e7d8e5e1fc1a35adb92992a;http://dx.doi.org/10.4018/978-1-4666-8225-2" TargetMode="External"/><Relationship Id="rId845" Type="http://schemas.openxmlformats.org/officeDocument/2006/relationships/hyperlink" Target="https://www.scopus.com/inward/record.uri?eid=2-s2.0-85041192388&amp;doi=10.1145%2f3152434.3152435&amp;partnerID=40&amp;md5=daf459839c3d00af85fa9318af5ebab2;http://dx.doi.org/10.1145/3152434.3152435" TargetMode="External"/><Relationship Id="rId3" Type="http://schemas.openxmlformats.org/officeDocument/2006/relationships/hyperlink" Target="https://www.scopus.com/inward/record.uri?eid=2-s2.0-85143199642&amp;doi=10.1145%2f3549034.3561175&amp;partnerID=40&amp;md5=d7c2c1efa13afe809fb522d39886fcb0;http://dx.doi.org/10.1145/3549034.3561175" TargetMode="External"/><Relationship Id="rId235" Type="http://schemas.openxmlformats.org/officeDocument/2006/relationships/hyperlink" Target="https://www.scopus.com/inward/record.uri?eid=2-s2.0-85117583710&amp;doi=10.3390%2fmake3020020&amp;partnerID=40&amp;md5=2db6c87fe56c2b4551d91e69aa651e69;http://dx.doi.org/10.3390/make3020020" TargetMode="External"/><Relationship Id="rId277" Type="http://schemas.openxmlformats.org/officeDocument/2006/relationships/hyperlink" Target="https://www.scopus.com/inward/record.uri?eid=2-s2.0-85135082967&amp;doi=10.1145%2f3526073.3527584&amp;partnerID=40&amp;md5=9ba43681c42e6c48a85436e54df633b1;http://dx.doi.org/10.1145/3526073.3527584" TargetMode="External"/><Relationship Id="rId400" Type="http://schemas.openxmlformats.org/officeDocument/2006/relationships/hyperlink" Target="https://www.scopus.com/inward/record.uri?eid=2-s2.0-85126395572&amp;doi=10.1109%2fISSRE52982.2021.00060&amp;partnerID=40&amp;md5=5661c4850ef1cd8e40447551b32def6a;http://dx.doi.org/10.1109/ISSRE52982.2021.00060" TargetMode="External"/><Relationship Id="rId442" Type="http://schemas.openxmlformats.org/officeDocument/2006/relationships/hyperlink" Target="https://www.scopus.com/inward/record.uri?eid=2-s2.0-85118117926&amp;doi=10.1007%2f978-3-030-86797-3_6&amp;partnerID=40&amp;md5=7d50167056c58c12b24f121cd1a5a9fb;http://dx.doi.org/10.1007/978-3-030-86797-3_6" TargetMode="External"/><Relationship Id="rId484" Type="http://schemas.openxmlformats.org/officeDocument/2006/relationships/hyperlink" Target="https://www.scopus.com/inward/record.uri?eid=2-s2.0-85087390369&amp;doi=10.1016%2fj.jss.2020.110750&amp;partnerID=40&amp;md5=7d907accd59bcbf3f76304179772122c;http://dx.doi.org/10.1016/j.jss.2020.110750" TargetMode="External"/><Relationship Id="rId705" Type="http://schemas.openxmlformats.org/officeDocument/2006/relationships/hyperlink" Target="https://www.scopus.com/inward/record.uri?eid=2-s2.0-85094148542&amp;doi=10.1145%2f3377811.3380342&amp;partnerID=40&amp;md5=9796c59edc482fb9d1ad57190b43c652;http://dx.doi.org/10.1145/3377811.3380342" TargetMode="External"/><Relationship Id="rId887" Type="http://schemas.openxmlformats.org/officeDocument/2006/relationships/hyperlink" Target="https://www.scopus.com/inward/record.uri?eid=2-s2.0-84891688656&amp;doi=10.1109%2fICSM.2013.56&amp;partnerID=40&amp;md5=1580015a515cb7c8d67933935648c03a;http://dx.doi.org/10.1109/ICSM.2013.56" TargetMode="External"/><Relationship Id="rId137" Type="http://schemas.openxmlformats.org/officeDocument/2006/relationships/hyperlink" Target="https://www.scopus.com/inward/record.uri?eid=2-s2.0-85142754958&amp;partnerID=40&amp;md5=cd4bf0518dae3491537836c50064e080" TargetMode="External"/><Relationship Id="rId302" Type="http://schemas.openxmlformats.org/officeDocument/2006/relationships/hyperlink" Target="https://www.scopus.com/inward/record.uri?eid=2-s2.0-85135844683&amp;doi=10.1109%2fSANER53432.2022.00093&amp;partnerID=40&amp;md5=62bde2afe6ae815cd0a60e016081683d;http://dx.doi.org/10.1109/SANER53432.2022.00093" TargetMode="External"/><Relationship Id="rId344" Type="http://schemas.openxmlformats.org/officeDocument/2006/relationships/hyperlink" Target="https://www.scopus.com/inward/record.uri?eid=2-s2.0-85117021916&amp;doi=10.1109%2fCASE49439.2021.9551419&amp;partnerID=40&amp;md5=34a2402b07b2e40af452b20905260b9f;http://dx.doi.org/10.1109/CASE49439.2021.9551419" TargetMode="External"/><Relationship Id="rId691" Type="http://schemas.openxmlformats.org/officeDocument/2006/relationships/hyperlink" Target="https://www.scopus.com/inward/record.uri?eid=2-s2.0-85081054508&amp;doi=10.1007%2f978-3-030-37436-5_24&amp;partnerID=40&amp;md5=89d006a2c8a3d2f0f7912efbf6ef7419;http://dx.doi.org/10.1007/978-3-030-37436-5_24" TargetMode="External"/><Relationship Id="rId747" Type="http://schemas.openxmlformats.org/officeDocument/2006/relationships/hyperlink" Target="https://www.scopus.com/inward/record.uri?eid=2-s2.0-85096587413&amp;doi=10.1007%2f978-3-030-61218-4_5&amp;partnerID=40&amp;md5=c0d7726a063307802b86d128a0f4e489;http://dx.doi.org/10.1007/978-3-030-61218-4_5" TargetMode="External"/><Relationship Id="rId789" Type="http://schemas.openxmlformats.org/officeDocument/2006/relationships/hyperlink" Target="https://www.scopus.com/inward/record.uri?eid=2-s2.0-85078087442&amp;doi=10.1109%2fAPSEC48747.2019.00050&amp;partnerID=40&amp;md5=c9b36f217cbe918e926ea52fb8e3529f;http://dx.doi.org/10.1109/APSEC48747.2019.00050" TargetMode="External"/><Relationship Id="rId912" Type="http://schemas.openxmlformats.org/officeDocument/2006/relationships/hyperlink" Target="https://www.scopus.com/inward/record.uri?eid=2-s2.0-85040565964&amp;doi=10.18653%2fv1%2fP17-2015&amp;partnerID=40&amp;md5=9e60a9624e4d86031cf60ec90c63360e;http://dx.doi.org/10.18653/v1/P17-2015" TargetMode="External"/><Relationship Id="rId41" Type="http://schemas.openxmlformats.org/officeDocument/2006/relationships/hyperlink" Target="https://www.scopus.com/inward/record.uri?eid=2-s2.0-85126326567&amp;doi=10.1016%2fj.infsof.2022.106899&amp;partnerID=40&amp;md5=e579bc75422f866aa090b43a06220ad5;http://dx.doi.org/10.1016/j.infsof.2022.106899" TargetMode="External"/><Relationship Id="rId83" Type="http://schemas.openxmlformats.org/officeDocument/2006/relationships/hyperlink" Target="https://www.scopus.com/inward/record.uri?eid=2-s2.0-85135494534&amp;doi=10.1007%2fs12532-022-00225-1&amp;partnerID=40&amp;md5=1e4c72f3a4ebd7dbef859d32d04d3331;http://dx.doi.org/10.1007/s12532-022-00225-1" TargetMode="External"/><Relationship Id="rId179" Type="http://schemas.openxmlformats.org/officeDocument/2006/relationships/hyperlink" Target="https://www.scopus.com/inward/record.uri?eid=2-s2.0-85142676326&amp;doi=10.1109%2fWiMob55322.2022.9941679&amp;partnerID=40&amp;md5=ffeebd57cd963a1cd94ec48e1e7c56b7;http://dx.doi.org/10.1109/WiMob55322.2022.9941679" TargetMode="External"/><Relationship Id="rId386" Type="http://schemas.openxmlformats.org/officeDocument/2006/relationships/hyperlink" Target="https://www.scopus.com/inward/record.uri?eid=2-s2.0-85127790091&amp;doi=10.3233%2fJNR-220002&amp;partnerID=40&amp;md5=b72e14aef3c2df2ce92e245ea0e589c4;http://dx.doi.org/10.3233/JNR-220002" TargetMode="External"/><Relationship Id="rId551" Type="http://schemas.openxmlformats.org/officeDocument/2006/relationships/hyperlink" Target="https://www.scopus.com/inward/record.uri?eid=2-s2.0-85096670635&amp;doi=10.1109%2fICSME46990.2020.00065&amp;partnerID=40&amp;md5=71881a84c2c237775c1306f8ee535e96;http://dx.doi.org/10.1109/ICSME46990.2020.00065" TargetMode="External"/><Relationship Id="rId593" Type="http://schemas.openxmlformats.org/officeDocument/2006/relationships/hyperlink" Target="https://www.scopus.com/inward/record.uri?eid=2-s2.0-85091330297&amp;doi=10.1007%2f978-3-030-58703-1_17&amp;partnerID=40&amp;md5=8a2ee228a80752d0dc465ea71eb0bb88;http://dx.doi.org/10.1007/978-3-030-58703-1_17" TargetMode="External"/><Relationship Id="rId607" Type="http://schemas.openxmlformats.org/officeDocument/2006/relationships/hyperlink" Target="https://www.scopus.com/inward/record.uri?eid=2-s2.0-85102945976&amp;partnerID=40&amp;md5=b644e0188e4b966d56705452c75dc58a" TargetMode="External"/><Relationship Id="rId649" Type="http://schemas.openxmlformats.org/officeDocument/2006/relationships/hyperlink" Target="https://www.scopus.com/inward/record.uri?eid=2-s2.0-85087660549&amp;doi=10.1007%2f978-3-030-36918-7&amp;partnerID=40&amp;md5=ecc55b8840417906879aad2b721c5cd7;http://dx.doi.org/10.1007/978-3-030-36918-7" TargetMode="External"/><Relationship Id="rId814" Type="http://schemas.openxmlformats.org/officeDocument/2006/relationships/hyperlink" Target="https://www.scopus.com/inward/record.uri?eid=2-s2.0-85015808258&amp;doi=10.1016%2fj.asej.2017.03.002&amp;partnerID=40&amp;md5=5c660ecb8b2ded05a6eade8de60650ca;http://dx.doi.org/10.1016/j.asej.2017.03.002" TargetMode="External"/><Relationship Id="rId856" Type="http://schemas.openxmlformats.org/officeDocument/2006/relationships/hyperlink" Target="https://www.scopus.com/inward/record.uri?eid=2-s2.0-84868595858&amp;doi=10.4156%2fijact.vol4.issue19.54&amp;partnerID=40&amp;md5=589e4bf791bb7d217ea6027ffbf741b4;http://dx.doi.org/10.4156/ijact.vol4.issue19.54" TargetMode="External"/><Relationship Id="rId190" Type="http://schemas.openxmlformats.org/officeDocument/2006/relationships/hyperlink" Target="https://www.scopus.com/inward/record.uri?eid=2-s2.0-85139832258&amp;doi=10.1145%2f3544902.3546245&amp;partnerID=40&amp;md5=edbb24b01f3bad71665e5dd0778fd6e1;http://dx.doi.org/10.1145/3544902.3546245" TargetMode="External"/><Relationship Id="rId204" Type="http://schemas.openxmlformats.org/officeDocument/2006/relationships/hyperlink" Target="https://www.scopus.com/inward/record.uri?eid=2-s2.0-85135144392&amp;doi=10.23919%2fJSC.2021.0023&amp;partnerID=40&amp;md5=a6efa18907e9c52d0029ad7f44d06b45;http://dx.doi.org/10.23919/JSC.2021.0023" TargetMode="External"/><Relationship Id="rId246" Type="http://schemas.openxmlformats.org/officeDocument/2006/relationships/hyperlink" Target="https://www.scopus.com/inward/record.uri?eid=2-s2.0-85121394933&amp;doi=10.1080%2f08839514.2021.2009222&amp;partnerID=40&amp;md5=bae762ff03709aaf0fe7fc2212394421;http://dx.doi.org/10.1080/08839514.2021.2009222" TargetMode="External"/><Relationship Id="rId288" Type="http://schemas.openxmlformats.org/officeDocument/2006/relationships/hyperlink" Target="https://www.scopus.com/inward/record.uri?eid=2-s2.0-85129589031&amp;doi=10.1080%2f17517575.2021.1973570&amp;partnerID=40&amp;md5=7623b2d60f5b16aa1d32b4fc8e3dbe7b;http://dx.doi.org/10.1080/17517575.2021.1973570" TargetMode="External"/><Relationship Id="rId411" Type="http://schemas.openxmlformats.org/officeDocument/2006/relationships/hyperlink" Target="https://www.scopus.com/inward/record.uri?eid=2-s2.0-85092460016&amp;doi=10.1002%2fsmr.2320&amp;partnerID=40&amp;md5=186368c65dae9987e861d3e50da2566f;http://dx.doi.org/10.1002/smr.2320" TargetMode="External"/><Relationship Id="rId453" Type="http://schemas.openxmlformats.org/officeDocument/2006/relationships/hyperlink" Target="https://www.scopus.com/inward/record.uri?eid=2-s2.0-85090829243&amp;doi=10.1016%2fj.infsof.2020.106407&amp;partnerID=40&amp;md5=e9b5fb3b887707760b670b7e2f86f52b;http://dx.doi.org/10.1016/j.infsof.2020.106407" TargetMode="External"/><Relationship Id="rId509" Type="http://schemas.openxmlformats.org/officeDocument/2006/relationships/hyperlink" Target="https://www.scopus.com/inward/record.uri?eid=2-s2.0-85100924329&amp;doi=10.1007%2fs10664-020-09917-5&amp;partnerID=40&amp;md5=3e7ce79f3c6bc5ed55165ba876d31c97;http://dx.doi.org/10.1007/s10664-020-09917-5" TargetMode="External"/><Relationship Id="rId660" Type="http://schemas.openxmlformats.org/officeDocument/2006/relationships/hyperlink" Target="https://www.scopus.com/inward/record.uri?eid=2-s2.0-85066469510&amp;doi=10.1109%2fICSA-C.2019.00055&amp;partnerID=40&amp;md5=c7a340258c4698a2627f1d507069d861;http://dx.doi.org/10.1109/ICSA-C.2019.00055" TargetMode="External"/><Relationship Id="rId898" Type="http://schemas.openxmlformats.org/officeDocument/2006/relationships/hyperlink" Target="https://www.scopus.com/inward/record.uri?eid=2-s2.0-85016444613&amp;doi=10.1016%2fj.infsof.2017.03.012&amp;partnerID=40&amp;md5=8b759acaa01c5136355d900e55157249;http://dx.doi.org/10.1016/j.infsof.2017.03.012" TargetMode="External"/><Relationship Id="rId106" Type="http://schemas.openxmlformats.org/officeDocument/2006/relationships/hyperlink" Target="https://www.scopus.com/inward/record.uri?eid=2-s2.0-85139956051&amp;doi=10.1145%2f3559712.3559720&amp;partnerID=40&amp;md5=817a2c79ae9bb6d217a57efcd944f25f;http://dx.doi.org/10.1145/3559712.3559720" TargetMode="External"/><Relationship Id="rId313" Type="http://schemas.openxmlformats.org/officeDocument/2006/relationships/hyperlink" Target="https://www.scopus.com/inward/record.uri?eid=2-s2.0-85133287701&amp;doi=10.1109%2fICST53961.2022.00024&amp;partnerID=40&amp;md5=e33a6bc1b5ab5fd6a473bf68ee6e214b;http://dx.doi.org/10.1109/ICST53961.2022.00024" TargetMode="External"/><Relationship Id="rId495" Type="http://schemas.openxmlformats.org/officeDocument/2006/relationships/hyperlink" Target="https://www.scopus.com/inward/record.uri?eid=2-s2.0-85097173443&amp;doi=10.1145%2f3368089.3417063&amp;partnerID=40&amp;md5=aa1b6215912a8d109ab7e22f981e387a;http://dx.doi.org/10.1145/3368089.3417063" TargetMode="External"/><Relationship Id="rId716" Type="http://schemas.openxmlformats.org/officeDocument/2006/relationships/hyperlink" Target="https://www.scopus.com/inward/record.uri?eid=2-s2.0-85067076704&amp;doi=10.1109%2fMS.2019.2919573&amp;partnerID=40&amp;md5=80e90f29b5525b146bd5b31d929e8773;http://dx.doi.org/10.1109/MS.2019.2919573" TargetMode="External"/><Relationship Id="rId758" Type="http://schemas.openxmlformats.org/officeDocument/2006/relationships/hyperlink" Target="https://www.scopus.com/inward/record.uri?eid=2-s2.0-85107656276&amp;doi=10.3389%2ffdgth.2020.00006&amp;partnerID=40&amp;md5=f5f9b176b6b4749f42ec0333ec53be7e;http://dx.doi.org/10.3389/fdgth.2020.00006" TargetMode="External"/><Relationship Id="rId923" Type="http://schemas.openxmlformats.org/officeDocument/2006/relationships/hyperlink" Target="https://www.scopus.com/inward/record.uri?eid=2-s2.0-85057152167&amp;doi=10.1109%2fSEAA.2018.00045&amp;partnerID=40&amp;md5=2515f9dad60877d3a0677a95c896d60f;http://dx.doi.org/10.1109/SEAA.2018.00045" TargetMode="External"/><Relationship Id="rId10" Type="http://schemas.openxmlformats.org/officeDocument/2006/relationships/hyperlink" Target="https://www.scopus.com/inward/record.uri?eid=2-s2.0-85138213545&amp;doi=10.1007%2f978-3-031-15629-8_28&amp;partnerID=40&amp;md5=b4f4521ec4954fb96f487eb1571ac4be;http://dx.doi.org/10.1007/978-3-031-15629-8_28" TargetMode="External"/><Relationship Id="rId52" Type="http://schemas.openxmlformats.org/officeDocument/2006/relationships/hyperlink" Target="https://www.scopus.com/inward/record.uri?eid=2-s2.0-85139632016&amp;doi=10.1142%2fS0218194022500528&amp;partnerID=40&amp;md5=78a61bc2bc8a02f231d385a13f5a5a0e;http://dx.doi.org/10.1142/S0218194022500528" TargetMode="External"/><Relationship Id="rId94" Type="http://schemas.openxmlformats.org/officeDocument/2006/relationships/hyperlink" Target="https://www.scopus.com/inward/record.uri?eid=2-s2.0-85145825727&amp;doi=10.1007%2fs00766-022-00395-3&amp;partnerID=40&amp;md5=4a5638f6e5bce046053ffbabdadcdb06;http://dx.doi.org/10.1007/s00766-022-00395-3" TargetMode="External"/><Relationship Id="rId148" Type="http://schemas.openxmlformats.org/officeDocument/2006/relationships/hyperlink" Target="https://www.scopus.com/inward/record.uri?eid=2-s2.0-85123247050&amp;doi=10.1007%2fs11219-021-09578-7&amp;partnerID=40&amp;md5=f8da8fe1b0e0b26ae3df1d4da5e4e904;http://dx.doi.org/10.1007/s11219-021-09578-7" TargetMode="External"/><Relationship Id="rId355" Type="http://schemas.openxmlformats.org/officeDocument/2006/relationships/hyperlink" Target="https://www.scopus.com/inward/record.uri?eid=2-s2.0-85103939999&amp;doi=10.1007%2fs11219-021-09550-5&amp;partnerID=40&amp;md5=0be53989d7e7b85b8a4e9cea53262e26;http://dx.doi.org/10.1007/s11219-021-09550-5" TargetMode="External"/><Relationship Id="rId397" Type="http://schemas.openxmlformats.org/officeDocument/2006/relationships/hyperlink" Target="https://www.scopus.com/inward/record.uri?eid=2-s2.0-85113233819&amp;doi=10.1109%2fSEthics52569.2021.00009&amp;partnerID=40&amp;md5=381ee8f9de4f0758d6a3d1c57c6e76ff;http://dx.doi.org/10.1109/SEthics52569.2021.00009" TargetMode="External"/><Relationship Id="rId520" Type="http://schemas.openxmlformats.org/officeDocument/2006/relationships/hyperlink" Target="https://www.scopus.com/inward/record.uri?eid=2-s2.0-85099402946&amp;doi=10.1145%2f3422392.3422415&amp;partnerID=40&amp;md5=b7cd8b2a91002fcb780a0cd33e6d7718;http://dx.doi.org/10.1145/3422392.3422415" TargetMode="External"/><Relationship Id="rId562" Type="http://schemas.openxmlformats.org/officeDocument/2006/relationships/hyperlink" Target="https://www.scopus.com/inward/record.uri?eid=2-s2.0-85089908139&amp;doi=10.1007%2fs10664-020-09847-2&amp;partnerID=40&amp;md5=0f29b8351d518306bf042abd9f0efba1;http://dx.doi.org/10.1007/s10664-020-09847-2" TargetMode="External"/><Relationship Id="rId618" Type="http://schemas.openxmlformats.org/officeDocument/2006/relationships/hyperlink" Target="https://www.scopus.com/inward/record.uri?eid=2-s2.0-85075447665&amp;doi=10.5277%2fe-Inf190107&amp;partnerID=40&amp;md5=6f92522a5c9f35833238ed1909fae61f;http://dx.doi.org/10.5277/e-Inf190107" TargetMode="External"/><Relationship Id="rId825" Type="http://schemas.openxmlformats.org/officeDocument/2006/relationships/hyperlink" Target="https://www.scopus.com/inward/record.uri?eid=2-s2.0-85026730806&amp;doi=10.1109%2fICSE-NIER.2017.13&amp;partnerID=40&amp;md5=8b7d2a471beccbb90ba2ad78df2425a8;http://dx.doi.org/10.1109/ICSE-NIER.2017.13" TargetMode="External"/><Relationship Id="rId215" Type="http://schemas.openxmlformats.org/officeDocument/2006/relationships/hyperlink" Target="https://www.scopus.com/inward/record.uri?eid=2-s2.0-85116384967&amp;doi=10.3390%2finfo12100396&amp;partnerID=40&amp;md5=f20bbec9a18cd9688ae764449c03d8fd;http://dx.doi.org/10.3390/info12100396" TargetMode="External"/><Relationship Id="rId257" Type="http://schemas.openxmlformats.org/officeDocument/2006/relationships/hyperlink" Target="https://www.scopus.com/inward/record.uri?eid=2-s2.0-85119201202&amp;doi=10.1109%2fSEAA53835.2021.00050&amp;partnerID=40&amp;md5=14b048530f744c613608b5f7ac8f82cf;http://dx.doi.org/10.1109/SEAA53835.2021.00050" TargetMode="External"/><Relationship Id="rId422" Type="http://schemas.openxmlformats.org/officeDocument/2006/relationships/hyperlink" Target="https://www.scopus.com/inward/record.uri?eid=2-s2.0-85095827518&amp;doi=10.1016%2fj.eswa.2020.114176&amp;partnerID=40&amp;md5=6688d24e2ef4500ad1adffdce45c40f8;http://dx.doi.org/10.1016/j.eswa.2020.114176" TargetMode="External"/><Relationship Id="rId464" Type="http://schemas.openxmlformats.org/officeDocument/2006/relationships/hyperlink" Target="https://www.scopus.com/inward/record.uri?eid=2-s2.0-85091343972&amp;doi=10.1016%2fj.jss.2020.110821&amp;partnerID=40&amp;md5=6eefc9d5e9eeaf22a131d74e44fe6740;http://dx.doi.org/10.1016/j.jss.2020.110821" TargetMode="External"/><Relationship Id="rId867" Type="http://schemas.openxmlformats.org/officeDocument/2006/relationships/hyperlink" Target="https://www.scopus.com/inward/record.uri?eid=2-s2.0-85057169222&amp;doi=10.1109%2fSEAA.2018.00018&amp;partnerID=40&amp;md5=4f67fe396baebb02964c19140b99a05d;http://dx.doi.org/10.1109/SEAA.2018.00018" TargetMode="External"/><Relationship Id="rId299" Type="http://schemas.openxmlformats.org/officeDocument/2006/relationships/hyperlink" Target="https://www.scopus.com/inward/record.uri?eid=2-s2.0-85117904176&amp;doi=10.1145%2f3476058&amp;partnerID=40&amp;md5=6a7e3da439d4d71574bbbd8bbb0f7ee1;http://dx.doi.org/10.1145/3476058" TargetMode="External"/><Relationship Id="rId727" Type="http://schemas.openxmlformats.org/officeDocument/2006/relationships/hyperlink" Target="https://www.scopus.com/inward/record.uri?eid=2-s2.0-85077221156&amp;doi=10.1109%2fICSME.2019.00104&amp;partnerID=40&amp;md5=3eb16b13510268612b5061a5c90aedcf;http://dx.doi.org/10.1109/ICSME.2019.00104" TargetMode="External"/><Relationship Id="rId934" Type="http://schemas.openxmlformats.org/officeDocument/2006/relationships/hyperlink" Target="https://www.scopus.com/inward/record.uri?eid=2-s2.0-85054769455&amp;doi=10.3390%2fapp8101902&amp;partnerID=40&amp;md5=d159a5c90da2427a86371925b4d16b0b;http://dx.doi.org/10.3390/app8101902" TargetMode="External"/><Relationship Id="rId63" Type="http://schemas.openxmlformats.org/officeDocument/2006/relationships/hyperlink" Target="https://www.scopus.com/inward/record.uri?eid=2-s2.0-85139266625&amp;doi=10.1007%2fs10515-022-00364-8&amp;partnerID=40&amp;md5=5594a1cab0fa5dcfebf980c07c055d4e;http://dx.doi.org/10.1007/s10515-022-00364-8" TargetMode="External"/><Relationship Id="rId159" Type="http://schemas.openxmlformats.org/officeDocument/2006/relationships/hyperlink" Target="https://www.scopus.com/inward/record.uri?eid=2-s2.0-85138322340&amp;doi=10.1016%2fj.jss.2022.111505&amp;partnerID=40&amp;md5=dee1d5a976361fa08e28cbf9d03dbdc6;http://dx.doi.org/10.1016/j.jss.2022.111505" TargetMode="External"/><Relationship Id="rId366" Type="http://schemas.openxmlformats.org/officeDocument/2006/relationships/hyperlink" Target="https://www.scopus.com/inward/record.uri?eid=2-s2.0-85133199215&amp;doi=10.1145%2f3524610.3527920&amp;partnerID=40&amp;md5=84721a129c81e53aaef1e0fec395a65e;http://dx.doi.org/10.1145/3524610.3527920" TargetMode="External"/><Relationship Id="rId573" Type="http://schemas.openxmlformats.org/officeDocument/2006/relationships/hyperlink" Target="https://www.scopus.com/inward/record.uri?eid=2-s2.0-85117548541&amp;doi=10.7202%2f1081515ar&amp;partnerID=40&amp;md5=b77c80bd2db3795d75821b89f797cda0;http://dx.doi.org/10.7202/1081515ar" TargetMode="External"/><Relationship Id="rId780" Type="http://schemas.openxmlformats.org/officeDocument/2006/relationships/hyperlink" Target="https://www.scopus.com/inward/record.uri?eid=2-s2.0-85084275412&amp;doi=10.1007%2f978-3-658-19938-8&amp;partnerID=40&amp;md5=71c21093dadb63d6cee4c5bd55f82028;http://dx.doi.org/10.1007/978-3-658-19938-8" TargetMode="External"/><Relationship Id="rId226" Type="http://schemas.openxmlformats.org/officeDocument/2006/relationships/hyperlink" Target="https://www.scopus.com/inward/record.uri?eid=2-s2.0-85126811133&amp;doi=10.14569%2fIJACSA.2022.0130289&amp;partnerID=40&amp;md5=a89502cbb254764652288a5a824a481e;http://dx.doi.org/10.14569/IJACSA.2022.0130289" TargetMode="External"/><Relationship Id="rId433" Type="http://schemas.openxmlformats.org/officeDocument/2006/relationships/hyperlink" Target="https://www.scopus.com/inward/record.uri?eid=2-s2.0-85102876306&amp;doi=10.1145%2f3439961.3439991&amp;partnerID=40&amp;md5=ddef4fc9d5751caf581e9bf85ad76ca1;http://dx.doi.org/10.1145/3439961.3439991" TargetMode="External"/><Relationship Id="rId878" Type="http://schemas.openxmlformats.org/officeDocument/2006/relationships/hyperlink" Target="https://www.scopus.com/inward/record.uri?eid=2-s2.0-85060304273&amp;doi=10.1109%2fICCSS.2018.8572304&amp;partnerID=40&amp;md5=321d9814261515dcc8c381a05cb91445;http://dx.doi.org/10.1109/ICCSS.2018.8572304" TargetMode="External"/><Relationship Id="rId640" Type="http://schemas.openxmlformats.org/officeDocument/2006/relationships/hyperlink" Target="https://www.scopus.com/inward/record.uri?eid=2-s2.0-85065870747&amp;doi=10.1007%2f978-3-030-19034-7_14&amp;partnerID=40&amp;md5=48c12ad7eda47dc0614198471e67b363;http://dx.doi.org/10.1007/978-3-030-19034-7_14" TargetMode="External"/><Relationship Id="rId738" Type="http://schemas.openxmlformats.org/officeDocument/2006/relationships/hyperlink" Target="https://www.scopus.com/inward/record.uri?eid=2-s2.0-85090901906&amp;partnerID=40&amp;md5=053ba6b4c8911ffab65c6cb88fe8c0ac" TargetMode="External"/><Relationship Id="rId945" Type="http://schemas.openxmlformats.org/officeDocument/2006/relationships/hyperlink" Target="https://www.scopus.com/inward/record.uri?eid=2-s2.0-85061759520&amp;doi=10.14778%2f3282495.3282499&amp;partnerID=40&amp;md5=a22d5fef39e21569f72e25db07226865;http://dx.doi.org/10.14778/3282495.3282499" TargetMode="External"/><Relationship Id="rId74" Type="http://schemas.openxmlformats.org/officeDocument/2006/relationships/hyperlink" Target="https://www.scopus.com/inward/record.uri?eid=2-s2.0-85139866098&amp;doi=10.1145%2f3544902.3546249&amp;partnerID=40&amp;md5=309fc549aa1c9db1d05b461fff95f0c4;http://dx.doi.org/10.1145/3544902.3546249" TargetMode="External"/><Relationship Id="rId377" Type="http://schemas.openxmlformats.org/officeDocument/2006/relationships/hyperlink" Target="https://www.scopus.com/inward/record.uri?eid=2-s2.0-85113474504&amp;doi=10.1007%2fs10664-021-10018-0&amp;partnerID=40&amp;md5=6de027a2a0fa35df19a60344cfcc598e;http://dx.doi.org/10.1007/s10664-021-10018-0" TargetMode="External"/><Relationship Id="rId500" Type="http://schemas.openxmlformats.org/officeDocument/2006/relationships/hyperlink" Target="https://www.scopus.com/inward/record.uri?eid=2-s2.0-85090415543&amp;doi=10.1145%2f3394486.3403379&amp;partnerID=40&amp;md5=c03835156d04ea2af102deec309a9c91;http://dx.doi.org/10.1145/3394486.3403379" TargetMode="External"/><Relationship Id="rId584" Type="http://schemas.openxmlformats.org/officeDocument/2006/relationships/hyperlink" Target="https://www.scopus.com/inward/record.uri?eid=2-s2.0-85124486693&amp;doi=10.1109%2fCONISOFT52520.2021.00019&amp;partnerID=40&amp;md5=02d7704db1cf13e7541b254e7543afb6;http://dx.doi.org/10.1109/CONISOFT52520.2021.00019" TargetMode="External"/><Relationship Id="rId805" Type="http://schemas.openxmlformats.org/officeDocument/2006/relationships/hyperlink" Target="https://www.scopus.com/inward/record.uri?eid=2-s2.0-85053938962&amp;doi=10.1007%2f978-3-319-99229-7_2&amp;partnerID=40&amp;md5=40296950fa8540b1aeef2aec10412d25;http://dx.doi.org/10.1007/978-3-319-99229-7_2" TargetMode="External"/><Relationship Id="rId5" Type="http://schemas.openxmlformats.org/officeDocument/2006/relationships/hyperlink" Target="https://www.scopus.com/inward/record.uri?eid=2-s2.0-85137070907&amp;doi=10.1016%2fj.neuron.2022.06.018&amp;partnerID=40&amp;md5=d95ad5c90342b00988ae7c7d5d9a9ea8;http://dx.doi.org/10.1016/j.neuron.2022.06.018" TargetMode="External"/><Relationship Id="rId237" Type="http://schemas.openxmlformats.org/officeDocument/2006/relationships/hyperlink" Target="https://www.scopus.com/inward/record.uri?eid=2-s2.0-85108903083&amp;doi=10.1145%2f3463274.3463337&amp;partnerID=40&amp;md5=43cbb812acb1d1ca47f4aba0f2e52851;http://dx.doi.org/10.1145/3463274.3463337" TargetMode="External"/><Relationship Id="rId791" Type="http://schemas.openxmlformats.org/officeDocument/2006/relationships/hyperlink" Target="https://www.scopus.com/inward/record.uri?eid=2-s2.0-85092522299&amp;doi=10.1145%2f3379177.3388892&amp;partnerID=40&amp;md5=5ce22f7d386295c4b7f02eb069e7d6be;http://dx.doi.org/10.1145/3379177.3388892" TargetMode="External"/><Relationship Id="rId889" Type="http://schemas.openxmlformats.org/officeDocument/2006/relationships/hyperlink" Target="https://www.scopus.com/inward/record.uri?eid=2-s2.0-85062324873&amp;partnerID=40&amp;md5=362500e663e18919bb737be67017b1ef" TargetMode="External"/><Relationship Id="rId444" Type="http://schemas.openxmlformats.org/officeDocument/2006/relationships/hyperlink" Target="https://www.scopus.com/inward/record.uri?eid=2-s2.0-85118239166&amp;doi=10.1002%2fsmr.2395&amp;partnerID=40&amp;md5=9de955604d3db3070dcb8e03e1eeaa85;http://dx.doi.org/10.1002/smr.2395" TargetMode="External"/><Relationship Id="rId651" Type="http://schemas.openxmlformats.org/officeDocument/2006/relationships/hyperlink" Target="https://www.scopus.com/inward/record.uri?eid=2-s2.0-85073519954&amp;doi=10.1002%2fsmr.2163&amp;partnerID=40&amp;md5=bac60aa852dc276f5e68e8afbf7cd867;http://dx.doi.org/10.1002/smr.2163" TargetMode="External"/><Relationship Id="rId749" Type="http://schemas.openxmlformats.org/officeDocument/2006/relationships/hyperlink" Target="https://www.scopus.com/inward/record.uri?eid=2-s2.0-85077198759&amp;doi=10.1145%2f3339985.3358491&amp;partnerID=40&amp;md5=6876a62a41ea06cd1ac41acde7702cdd;http://dx.doi.org/10.1145/3339985.3358491" TargetMode="External"/><Relationship Id="rId290" Type="http://schemas.openxmlformats.org/officeDocument/2006/relationships/hyperlink" Target="https://www.scopus.com/inward/record.uri?eid=2-s2.0-85134010393&amp;doi=10.1145%2f3524842.3528458&amp;partnerID=40&amp;md5=d8401c36c5326b84dda8e37b616b2012;http://dx.doi.org/10.1145/3524842.3528458" TargetMode="External"/><Relationship Id="rId304" Type="http://schemas.openxmlformats.org/officeDocument/2006/relationships/hyperlink" Target="https://www.scopus.com/inward/record.uri?eid=2-s2.0-85134315914&amp;doi=10.1145%2f3524843.3528098&amp;partnerID=40&amp;md5=1a201b18e5d31dd3e44aa186650d9338;http://dx.doi.org/10.1145/3524843.3528098" TargetMode="External"/><Relationship Id="rId388" Type="http://schemas.openxmlformats.org/officeDocument/2006/relationships/hyperlink" Target="https://www.scopus.com/inward/record.uri?eid=2-s2.0-85118546577&amp;doi=10.1109%2fTR.2021.3118026&amp;partnerID=40&amp;md5=2043476395f77f48777326e7f72bdf05;http://dx.doi.org/10.1109/TR.2021.3118026" TargetMode="External"/><Relationship Id="rId511" Type="http://schemas.openxmlformats.org/officeDocument/2006/relationships/hyperlink" Target="https://www.scopus.com/inward/record.uri?eid=2-s2.0-85125435603&amp;doi=10.1109%2fASE51524.2021.9678532&amp;partnerID=40&amp;md5=ae02d33b10018cb18d054d33466e0a23;http://dx.doi.org/10.1109/ASE51524.2021.9678532" TargetMode="External"/><Relationship Id="rId609" Type="http://schemas.openxmlformats.org/officeDocument/2006/relationships/hyperlink" Target="https://www.scopus.com/inward/record.uri?eid=2-s2.0-85071087966&amp;doi=10.1109%2fSEAMS.2019.00029&amp;partnerID=40&amp;md5=8e6b24a1794c18335509f5180553c690;http://dx.doi.org/10.1109/SEAMS.2019.00029" TargetMode="External"/><Relationship Id="rId85" Type="http://schemas.openxmlformats.org/officeDocument/2006/relationships/hyperlink" Target="https://www.scopus.com/inward/record.uri?eid=2-s2.0-85126520334&amp;doi=10.1007%2fs10664-022-10126-5&amp;partnerID=40&amp;md5=e40c0e839e1f2ff67ac13072e9c4ed3c;http://dx.doi.org/10.1007/s10664-022-10126-5" TargetMode="External"/><Relationship Id="rId150" Type="http://schemas.openxmlformats.org/officeDocument/2006/relationships/hyperlink" Target="https://www.scopus.com/inward/record.uri?eid=2-s2.0-85140768355&amp;doi=10.1109%2fTSE.2022.3214764&amp;partnerID=40&amp;md5=9fce7275e531f9a22b02c8a6c8590670;http://dx.doi.org/10.1109/TSE.2022.3214764" TargetMode="External"/><Relationship Id="rId595" Type="http://schemas.openxmlformats.org/officeDocument/2006/relationships/hyperlink" Target="https://www.scopus.com/inward/record.uri?eid=2-s2.0-85096006542&amp;doi=10.1142%2fS0218194020400227&amp;partnerID=40&amp;md5=772ec7e1f2201c5251764b201c4a66c6;http://dx.doi.org/10.1142/S0218194020400227" TargetMode="External"/><Relationship Id="rId816" Type="http://schemas.openxmlformats.org/officeDocument/2006/relationships/hyperlink" Target="https://www.scopus.com/inward/record.uri?eid=2-s2.0-84871276203&amp;doi=10.1145%2f2393596.2393670&amp;partnerID=40&amp;md5=3d7818dbab2d05f44d6ad581bbfddebf;http://dx.doi.org/10.1145/2393596.2393670" TargetMode="External"/><Relationship Id="rId248" Type="http://schemas.openxmlformats.org/officeDocument/2006/relationships/hyperlink" Target="https://www.scopus.com/inward/record.uri?eid=2-s2.0-85067069426&amp;doi=10.1109%2fTSE.2019.2918536&amp;partnerID=40&amp;md5=a2151994a7598589135bd21ee5ac5251;http://dx.doi.org/10.1109/TSE.2019.2918536" TargetMode="External"/><Relationship Id="rId455" Type="http://schemas.openxmlformats.org/officeDocument/2006/relationships/hyperlink" Target="https://www.scopus.com/inward/record.uri?eid=2-s2.0-85116898427&amp;partnerID=40&amp;md5=040f1845b6770ddecad9feac2bc6ea4b" TargetMode="External"/><Relationship Id="rId662" Type="http://schemas.openxmlformats.org/officeDocument/2006/relationships/hyperlink" Target="https://www.scopus.com/inward/record.uri?eid=2-s2.0-85098319392&amp;doi=10.1109%2fACCESS.2020.3031966&amp;partnerID=40&amp;md5=4717a4f2a05e5ca9ebe049903e489060;http://dx.doi.org/10.1109/ACCESS.2020.3031966" TargetMode="External"/><Relationship Id="rId12" Type="http://schemas.openxmlformats.org/officeDocument/2006/relationships/hyperlink" Target="https://www.scopus.com/inward/record.uri?eid=2-s2.0-85139914234&amp;doi=10.3390%2fapp12199851&amp;partnerID=40&amp;md5=bb511d78b795e3322d6f03596b346bed;http://dx.doi.org/10.3390/app12199851" TargetMode="External"/><Relationship Id="rId108" Type="http://schemas.openxmlformats.org/officeDocument/2006/relationships/hyperlink" Target="https://www.scopus.com/inward/record.uri?eid=2-s2.0-85126524793&amp;doi=10.1007%2fs10664-021-10105-2&amp;partnerID=40&amp;md5=94d980b399bb6b673a9d2fb6da4c952f;http://dx.doi.org/10.1007/s10664-021-10105-2" TargetMode="External"/><Relationship Id="rId315" Type="http://schemas.openxmlformats.org/officeDocument/2006/relationships/hyperlink" Target="https://www.scopus.com/inward/record.uri?eid=2-s2.0-85116222356&amp;doi=10.1145%2f3468264.3473099&amp;partnerID=40&amp;md5=244f6b3170ba17eda024d2ade7a25a58;http://dx.doi.org/10.1145/3468264.3473099" TargetMode="External"/><Relationship Id="rId522" Type="http://schemas.openxmlformats.org/officeDocument/2006/relationships/hyperlink" Target="https://www.scopus.com/inward/record.uri?eid=2-s2.0-85100490591&amp;doi=10.3390%2fs21041133&amp;partnerID=40&amp;md5=63a8b7be9a761303be22a297e15bd4a3;http://dx.doi.org/10.3390/s21041133" TargetMode="External"/><Relationship Id="rId96" Type="http://schemas.openxmlformats.org/officeDocument/2006/relationships/hyperlink" Target="https://www.scopus.com/inward/record.uri?eid=2-s2.0-85138727978&amp;doi=10.3390%2felectronics11182820&amp;partnerID=40&amp;md5=01dcc373fcf1c5021560dfa50bc4a8e7;http://dx.doi.org/10.3390/electronics11182820" TargetMode="External"/><Relationship Id="rId161" Type="http://schemas.openxmlformats.org/officeDocument/2006/relationships/hyperlink" Target="https://www.scopus.com/inward/record.uri?eid=2-s2.0-85130511823&amp;doi=10.1145%2f3491102.3501968&amp;partnerID=40&amp;md5=7d3739af1735aa4431f7d199c3cfbc40;http://dx.doi.org/10.1145/3491102.3501968" TargetMode="External"/><Relationship Id="rId399" Type="http://schemas.openxmlformats.org/officeDocument/2006/relationships/hyperlink" Target="https://www.scopus.com/inward/record.uri?eid=2-s2.0-85100077295&amp;doi=10.1007%2fs42979-020-00405-7&amp;partnerID=40&amp;md5=24405d61b18e233b5b027418cfe81865;http://dx.doi.org/10.1007/s42979-020-00405-7" TargetMode="External"/><Relationship Id="rId827" Type="http://schemas.openxmlformats.org/officeDocument/2006/relationships/hyperlink" Target="https://www.scopus.com/inward/record.uri?eid=2-s2.0-85029294314&amp;doi=10.1145%2f3025453.3025808&amp;partnerID=40&amp;md5=6b6f18103bfea70467cb27429216107e;http://dx.doi.org/10.1145/3025453.3025808" TargetMode="External"/><Relationship Id="rId259" Type="http://schemas.openxmlformats.org/officeDocument/2006/relationships/hyperlink" Target="https://www.scopus.com/inward/record.uri?eid=2-s2.0-85114092290&amp;doi=10.3390%2fapp11177856&amp;partnerID=40&amp;md5=79ee91293fdde1ec01f229442d4c5e8d;http://dx.doi.org/10.3390/app11177856" TargetMode="External"/><Relationship Id="rId466" Type="http://schemas.openxmlformats.org/officeDocument/2006/relationships/hyperlink" Target="https://www.scopus.com/inward/record.uri?eid=2-s2.0-85085516355&amp;doi=10.1016%2fj.infsof.2020.106332&amp;partnerID=40&amp;md5=624a9619bc719fefda7c0cd7d78dd001;http://dx.doi.org/10.1016/j.infsof.2020.106332" TargetMode="External"/><Relationship Id="rId673" Type="http://schemas.openxmlformats.org/officeDocument/2006/relationships/hyperlink" Target="https://www.scopus.com/inward/record.uri?eid=2-s2.0-85123043342&amp;partnerID=40&amp;md5=68470ed13b4aa7d6c28ef0e465cfb0f4" TargetMode="External"/><Relationship Id="rId880" Type="http://schemas.openxmlformats.org/officeDocument/2006/relationships/hyperlink" Target="https://www.scopus.com/inward/record.uri?eid=2-s2.0-85057744680&amp;doi=10.1109%2fBigDataCongress.2018.00030&amp;partnerID=40&amp;md5=0adeb53ccd3c1b524c98d7172ce13d1f;http://dx.doi.org/10.1109/BigDataCongress.2018.00030" TargetMode="External"/><Relationship Id="rId23" Type="http://schemas.openxmlformats.org/officeDocument/2006/relationships/hyperlink" Target="https://www.scopus.com/inward/record.uri?eid=2-s2.0-85145966825&amp;doi=10.1016%2fj.infsof.2022.107134&amp;partnerID=40&amp;md5=581350936b5b9365cc7476ca1738340b;http://dx.doi.org/10.1016/j.infsof.2022.107134" TargetMode="External"/><Relationship Id="rId119" Type="http://schemas.openxmlformats.org/officeDocument/2006/relationships/hyperlink" Target="https://www.scopus.com/inward/record.uri?eid=2-s2.0-85137169224&amp;doi=10.18293%2fSEKE2022-077&amp;partnerID=40&amp;md5=e695951cfd6d99c0f122334445dc3e2f;http://dx.doi.org/10.18293/SEKE2022-077" TargetMode="External"/><Relationship Id="rId326" Type="http://schemas.openxmlformats.org/officeDocument/2006/relationships/hyperlink" Target="https://www.scopus.com/inward/record.uri?eid=2-s2.0-85113593339&amp;doi=10.1007%2fs11219-021-09567-w&amp;partnerID=40&amp;md5=4b23a0a229f5fbf8f3608c82dcc0182b;http://dx.doi.org/10.1007/s11219-021-09567-w" TargetMode="External"/><Relationship Id="rId533" Type="http://schemas.openxmlformats.org/officeDocument/2006/relationships/hyperlink" Target="https://www.scopus.com/inward/record.uri?eid=2-s2.0-85104962334&amp;doi=10.1145%2f3412841.3442003&amp;partnerID=40&amp;md5=4192ef558506abaff3ff57accf6c54f2;http://dx.doi.org/10.1145/3412841.3442003" TargetMode="External"/><Relationship Id="rId740" Type="http://schemas.openxmlformats.org/officeDocument/2006/relationships/hyperlink" Target="https://www.scopus.com/inward/record.uri?eid=2-s2.0-85076755704&amp;doi=10.1145%2f3359591.3359739&amp;partnerID=40&amp;md5=a65381c51f81f6139909c2f22fb6b6b6;http://dx.doi.org/10.1145/3359591.3359739" TargetMode="External"/><Relationship Id="rId838" Type="http://schemas.openxmlformats.org/officeDocument/2006/relationships/hyperlink" Target="https://www.scopus.com/inward/record.uri?eid=2-s2.0-85060056515&amp;doi=10.1007%2f978-3-319-91836-5&amp;partnerID=40&amp;md5=2989aeba549e92a0f3eda6862bc9d072;http://dx.doi.org/10.1007/978-3-319-91836-5" TargetMode="External"/><Relationship Id="rId172" Type="http://schemas.openxmlformats.org/officeDocument/2006/relationships/hyperlink" Target="https://www.scopus.com/inward/record.uri?eid=2-s2.0-85139314025&amp;doi=10.1016%2fj.infsof.2022.107078&amp;partnerID=40&amp;md5=9dd3c67e43d6488ea5af6fd53225439c;http://dx.doi.org/10.1016/j.infsof.2022.107078" TargetMode="External"/><Relationship Id="rId477" Type="http://schemas.openxmlformats.org/officeDocument/2006/relationships/hyperlink" Target="https://www.scopus.com/inward/record.uri?eid=2-s2.0-85111378880&amp;doi=10.1109%2fAERO50100.2021.9438359&amp;partnerID=40&amp;md5=74af6a9138336b3c7ff7cab6918360d2;http://dx.doi.org/10.1109/AERO50100.2021.9438359" TargetMode="External"/><Relationship Id="rId600" Type="http://schemas.openxmlformats.org/officeDocument/2006/relationships/hyperlink" Target="https://www.scopus.com/inward/record.uri?eid=2-s2.0-85093683910&amp;doi=10.1145%2f3379597.3387479&amp;partnerID=40&amp;md5=ecc5dad25efffa1c2608f7fc4d7b1a71;http://dx.doi.org/10.1145/3379597.3387479" TargetMode="External"/><Relationship Id="rId684" Type="http://schemas.openxmlformats.org/officeDocument/2006/relationships/hyperlink" Target="https://www.scopus.com/inward/record.uri?eid=2-s2.0-85067357790&amp;doi=10.1007%2f978-3-030-21290-2_39&amp;partnerID=40&amp;md5=84b52947fbd4ff3d7df1a1600fdbd3ba;http://dx.doi.org/10.1007/978-3-030-21290-2_39" TargetMode="External"/><Relationship Id="rId337" Type="http://schemas.openxmlformats.org/officeDocument/2006/relationships/hyperlink" Target="https://www.scopus.com/inward/record.uri?eid=2-s2.0-85101476335&amp;doi=10.1080%2f01605682.2020.1865848&amp;partnerID=40&amp;md5=3cc10e6956c3732df5ec17d90661da5c;http://dx.doi.org/10.1080/01605682.2020.1865848" TargetMode="External"/><Relationship Id="rId891" Type="http://schemas.openxmlformats.org/officeDocument/2006/relationships/hyperlink" Target="https://www.scopus.com/inward/record.uri?eid=2-s2.0-85051654015&amp;doi=10.1145%2f3196398.3196459&amp;partnerID=40&amp;md5=68ae9396be10178693fabb42ae333235;http://dx.doi.org/10.1145/3196398.3196459" TargetMode="External"/><Relationship Id="rId905" Type="http://schemas.openxmlformats.org/officeDocument/2006/relationships/hyperlink" Target="https://www.scopus.com/inward/record.uri?eid=2-s2.0-85047663116&amp;doi=10.1002%2fsys.21446&amp;partnerID=40&amp;md5=9f64869ad5c8051e78e7b90916fd443b;http://dx.doi.org/10.1002/sys.21446" TargetMode="External"/><Relationship Id="rId34" Type="http://schemas.openxmlformats.org/officeDocument/2006/relationships/hyperlink" Target="https://www.scopus.com/inward/record.uri?eid=2-s2.0-85126790322&amp;doi=10.1007%2fs10664-021-10109-y&amp;partnerID=40&amp;md5=ec6b16f333f2b757f75f6ee5ccf333b5;http://dx.doi.org/10.1007/s10664-021-10109-y" TargetMode="External"/><Relationship Id="rId544" Type="http://schemas.openxmlformats.org/officeDocument/2006/relationships/hyperlink" Target="https://www.scopus.com/inward/record.uri?eid=2-s2.0-85102615736&amp;doi=10.1136%2fmedethics-2020-106820&amp;partnerID=40&amp;md5=1c247440ebd3e00e8e186d01492a6541;http://dx.doi.org/10.1136/medethics-2020-106820" TargetMode="External"/><Relationship Id="rId751" Type="http://schemas.openxmlformats.org/officeDocument/2006/relationships/hyperlink" Target="https://www.scopus.com/inward/record.uri?eid=2-s2.0-85083030688&amp;doi=10.1145%2f3341105.3374008&amp;partnerID=40&amp;md5=58046cfff4cab67a56772b0e99cf0b23;http://dx.doi.org/10.1145/3341105.3374008" TargetMode="External"/><Relationship Id="rId849" Type="http://schemas.openxmlformats.org/officeDocument/2006/relationships/hyperlink" Target="https://www.scopus.com/inward/record.uri?eid=2-s2.0-85051486330&amp;doi=10.1145%2f3194164.3194173&amp;partnerID=40&amp;md5=4dc45a9f967364a60204d0d376da94bd;http://dx.doi.org/10.1145/3194164.3194173" TargetMode="External"/><Relationship Id="rId183" Type="http://schemas.openxmlformats.org/officeDocument/2006/relationships/hyperlink" Target="https://www.scopus.com/inward/record.uri?eid=2-s2.0-85138821813&amp;doi=10.1016%2fj.dsm.2022.07.004&amp;partnerID=40&amp;md5=348c88078d7989ba95bacfb5871756d6;http://dx.doi.org/10.1016/j.dsm.2022.07.004" TargetMode="External"/><Relationship Id="rId390" Type="http://schemas.openxmlformats.org/officeDocument/2006/relationships/hyperlink" Target="https://www.scopus.com/inward/record.uri?eid=2-s2.0-85114194059&amp;doi=10.1007%2fs10462-021-09973-3&amp;partnerID=40&amp;md5=49449a0bcf1838604f6936491dbf7dcf;http://dx.doi.org/10.1007/s10462-021-09973-3" TargetMode="External"/><Relationship Id="rId404" Type="http://schemas.openxmlformats.org/officeDocument/2006/relationships/hyperlink" Target="https://www.scopus.com/inward/record.uri?eid=2-s2.0-85097339934&amp;doi=10.1049%2fiet-sen.2019.0246&amp;partnerID=40&amp;md5=f4cccfa58cc27fe4ed906910d0fbf644;http://dx.doi.org/10.1049/iet-sen.2019.0246" TargetMode="External"/><Relationship Id="rId611" Type="http://schemas.openxmlformats.org/officeDocument/2006/relationships/hyperlink" Target="https://www.scopus.com/inward/record.uri?eid=2-s2.0-85079738831&amp;doi=10.1007%2fs11023-020-09519-6&amp;partnerID=40&amp;md5=63f43e272d732d100e4a5d83ec52f810;http://dx.doi.org/10.1007/s11023-020-09519-6" TargetMode="External"/><Relationship Id="rId250" Type="http://schemas.openxmlformats.org/officeDocument/2006/relationships/hyperlink" Target="https://www.scopus.com/inward/record.uri?eid=2-s2.0-85133240340&amp;doi=10.1109%2fICSTW55395.2022.00035&amp;partnerID=40&amp;md5=01f6e545a8cb5bb23e9c141023fb1a91;http://dx.doi.org/10.1109/ICSTW55395.2022.00035" TargetMode="External"/><Relationship Id="rId488" Type="http://schemas.openxmlformats.org/officeDocument/2006/relationships/hyperlink" Target="https://www.scopus.com/inward/record.uri?eid=2-s2.0-85087525711&amp;doi=10.1016%2fj.infsof.2020.106373&amp;partnerID=40&amp;md5=c87929cfbb4a609e979a565c45f26afd;http://dx.doi.org/10.1016/j.infsof.2020.106373" TargetMode="External"/><Relationship Id="rId695" Type="http://schemas.openxmlformats.org/officeDocument/2006/relationships/hyperlink" Target="https://www.scopus.com/inward/record.uri?eid=2-s2.0-85090848681&amp;doi=10.1145%2f3383219.3383242&amp;partnerID=40&amp;md5=255b95a5553fedbbf3dfe916186b1aa3;http://dx.doi.org/10.1145/3383219.3383242" TargetMode="External"/><Relationship Id="rId709" Type="http://schemas.openxmlformats.org/officeDocument/2006/relationships/hyperlink" Target="https://www.scopus.com/inward/record.uri?eid=2-s2.0-85076433758&amp;doi=10.1145%2f3340482.3342744&amp;partnerID=40&amp;md5=79d9362df2ed37b4e2ea352f860ef181;http://dx.doi.org/10.1145/3340482.3342744" TargetMode="External"/><Relationship Id="rId916" Type="http://schemas.openxmlformats.org/officeDocument/2006/relationships/hyperlink" Target="https://www.scopus.com/inward/record.uri?eid=2-s2.0-84963626757&amp;doi=10.1109%2fMTD.2015.7332620&amp;partnerID=40&amp;md5=38e26e5f7b29899c8ee03a18d5930277;http://dx.doi.org/10.1109/MTD.2015.7332620" TargetMode="External"/><Relationship Id="rId45" Type="http://schemas.openxmlformats.org/officeDocument/2006/relationships/hyperlink" Target="https://www.scopus.com/inward/record.uri?eid=2-s2.0-85145215606&amp;doi=10.1016%2fj.procir.2022.10.063&amp;partnerID=40&amp;md5=a1a0ae626adb720c71e03c5c1b65d4ed;http://dx.doi.org/10.1016/j.procir.2022.10.063" TargetMode="External"/><Relationship Id="rId110" Type="http://schemas.openxmlformats.org/officeDocument/2006/relationships/hyperlink" Target="https://www.scopus.com/inward/record.uri?eid=2-s2.0-85139116318&amp;doi=10.1145%2f3555228.3555249&amp;partnerID=40&amp;md5=6c3e2a2a7ec5b9c84c464e2b7e82c009;http://dx.doi.org/10.1145/3555228.3555249" TargetMode="External"/><Relationship Id="rId348" Type="http://schemas.openxmlformats.org/officeDocument/2006/relationships/hyperlink" Target="https://www.scopus.com/inward/record.uri?eid=2-s2.0-85116304893&amp;doi=10.1145%2f3468264.3473493&amp;partnerID=40&amp;md5=c6582bf8e064e1baf52f02043f2e8b99;http://dx.doi.org/10.1145/3468264.3473493" TargetMode="External"/><Relationship Id="rId555" Type="http://schemas.openxmlformats.org/officeDocument/2006/relationships/hyperlink" Target="https://www.scopus.com/inward/record.uri?eid=2-s2.0-85102859382&amp;doi=10.1145%2f3439961.3439979&amp;partnerID=40&amp;md5=2f0fed42c9599c582f1ea1cf29dfafa1;http://dx.doi.org/10.1145/3439961.3439979" TargetMode="External"/><Relationship Id="rId762" Type="http://schemas.openxmlformats.org/officeDocument/2006/relationships/hyperlink" Target="https://www.scopus.com/inward/record.uri?eid=2-s2.0-85072111655&amp;doi=10.1109%2fICSE-SEIP.2019.00042&amp;partnerID=40&amp;md5=8c03592773800ea1ac1b5a71f9fae249;http://dx.doi.org/10.1109/ICSE-SEIP.2019.00042" TargetMode="External"/><Relationship Id="rId194" Type="http://schemas.openxmlformats.org/officeDocument/2006/relationships/hyperlink" Target="https://www.scopus.com/inward/record.uri?eid=2-s2.0-85132973032&amp;doi=10.1145%2f3531146.3533233&amp;partnerID=40&amp;md5=9e21497ca3771ba71cf57ac1ea6e5296;http://dx.doi.org/10.1145/3531146.3533233" TargetMode="External"/><Relationship Id="rId208" Type="http://schemas.openxmlformats.org/officeDocument/2006/relationships/hyperlink" Target="https://www.scopus.com/inward/record.uri?eid=2-s2.0-85117726027&amp;doi=10.1007%2fs10664-021-10009-1&amp;partnerID=40&amp;md5=6fb1cafc8822987601a714d4a6249c9e;http://dx.doi.org/10.1007/s10664-021-10009-1" TargetMode="External"/><Relationship Id="rId415" Type="http://schemas.openxmlformats.org/officeDocument/2006/relationships/hyperlink" Target="https://www.scopus.com/inward/record.uri?eid=2-s2.0-85087690796&amp;doi=10.1016%2fj.infsof.2020.106368&amp;partnerID=40&amp;md5=39ff261482f573a45f895642acbd9059;http://dx.doi.org/10.1016/j.infsof.2020.106368" TargetMode="External"/><Relationship Id="rId622" Type="http://schemas.openxmlformats.org/officeDocument/2006/relationships/hyperlink" Target="https://www.scopus.com/inward/record.uri?eid=2-s2.0-85098132133&amp;doi=10.1007%2f978-3-030-64849-7_6&amp;partnerID=40&amp;md5=27e0ce68de85f1fe0e5b77c572cc69df;http://dx.doi.org/10.1007/978-3-030-64849-7_6" TargetMode="External"/><Relationship Id="rId261" Type="http://schemas.openxmlformats.org/officeDocument/2006/relationships/hyperlink" Target="https://www.scopus.com/inward/record.uri?eid=2-s2.0-85113676757&amp;doi=10.1109%2fMSR52588.2021.00030&amp;partnerID=40&amp;md5=89bd6587de88862245793e28edbd5fcb;http://dx.doi.org/10.1109/MSR52588.2021.00030" TargetMode="External"/><Relationship Id="rId499" Type="http://schemas.openxmlformats.org/officeDocument/2006/relationships/hyperlink" Target="https://www.scopus.com/inward/record.uri?eid=2-s2.0-85125461915&amp;doi=10.1109%2fASE51524.2021.9678863&amp;partnerID=40&amp;md5=482ee4f2a1b9b6b73fd2fafd5b384160;http://dx.doi.org/10.1109/ASE51524.2021.9678863" TargetMode="External"/><Relationship Id="rId927" Type="http://schemas.openxmlformats.org/officeDocument/2006/relationships/hyperlink" Target="https://www.scopus.com/inward/record.uri?eid=2-s2.0-85032825139&amp;doi=10.1109%2fRE.2017.36&amp;partnerID=40&amp;md5=1a0038b42890663de6a1aec409206a91;http://dx.doi.org/10.1109/RE.2017.36" TargetMode="External"/><Relationship Id="rId56" Type="http://schemas.openxmlformats.org/officeDocument/2006/relationships/hyperlink" Target="https://www.scopus.com/inward/record.uri?eid=2-s2.0-85127556940&amp;doi=10.1109%2fMC.2021.3137227&amp;partnerID=40&amp;md5=3eb34e179a76702bdadd740d865d7ff6;http://dx.doi.org/10.1109/MC.2021.3137227" TargetMode="External"/><Relationship Id="rId359" Type="http://schemas.openxmlformats.org/officeDocument/2006/relationships/hyperlink" Target="https://www.scopus.com/inward/record.uri?eid=2-s2.0-85133424746&amp;doi=10.1145%2f3522664.3528603&amp;partnerID=40&amp;md5=58190cd0bd430f7525b822fd40c4f058;http://dx.doi.org/10.1145/3522664.3528603" TargetMode="External"/><Relationship Id="rId566" Type="http://schemas.openxmlformats.org/officeDocument/2006/relationships/hyperlink" Target="https://www.scopus.com/inward/record.uri?eid=2-s2.0-85101556271&amp;doi=10.1007%2f978-3-030-65854-0_3&amp;partnerID=40&amp;md5=cbc8930e2218bd056ff8c0f95dfea4c4;http://dx.doi.org/10.1007/978-3-030-65854-0_3" TargetMode="External"/><Relationship Id="rId773" Type="http://schemas.openxmlformats.org/officeDocument/2006/relationships/hyperlink" Target="https://www.scopus.com/inward/record.uri?eid=2-s2.0-85071185990&amp;doi=10.1109%2fTechDebt.2019.00029&amp;partnerID=40&amp;md5=787f07eee0f7c1998d5431e12625d2ea;http://dx.doi.org/10.1109/TechDebt.2019.00029" TargetMode="External"/><Relationship Id="rId121" Type="http://schemas.openxmlformats.org/officeDocument/2006/relationships/hyperlink" Target="https://www.scopus.com/inward/record.uri?eid=2-s2.0-85143850045&amp;doi=10.11591%2fijece.v13i2.pp2142-2155&amp;partnerID=40&amp;md5=9c388e0b9412ec029b31c305d83d2be7;http://dx.doi.org/10.11591/ijece.v13i2.pp2142-2155" TargetMode="External"/><Relationship Id="rId219" Type="http://schemas.openxmlformats.org/officeDocument/2006/relationships/hyperlink" Target="https://www.scopus.com/inward/record.uri?eid=2-s2.0-85132730765&amp;doi=10.1109%2fACCESS.2022.3181730&amp;partnerID=40&amp;md5=a3eef8516db1852a0c7a8230031a8fa1;http://dx.doi.org/10.1109/ACCESS.2022.3181730" TargetMode="External"/><Relationship Id="rId426" Type="http://schemas.openxmlformats.org/officeDocument/2006/relationships/hyperlink" Target="https://www.scopus.com/inward/record.uri?eid=2-s2.0-85104600619&amp;doi=10.1109%2fICCQ51190.2021.9392959&amp;partnerID=40&amp;md5=488439458514e49604b255ec09237b41;http://dx.doi.org/10.1109/ICCQ51190.2021.9392959" TargetMode="External"/><Relationship Id="rId633" Type="http://schemas.openxmlformats.org/officeDocument/2006/relationships/hyperlink" Target="https://www.scopus.com/inward/record.uri?eid=2-s2.0-85073781599&amp;doi=10.1109%2fQRS.2019.00026&amp;partnerID=40&amp;md5=697f3e53a7776f335a18730f364fa238;http://dx.doi.org/10.1109/QRS.2019.00026" TargetMode="External"/><Relationship Id="rId840" Type="http://schemas.openxmlformats.org/officeDocument/2006/relationships/hyperlink" Target="https://www.scopus.com/inward/record.uri?eid=2-s2.0-85066781873&amp;doi=10.1109%2fAPSEC.2018.00049&amp;partnerID=40&amp;md5=84a850623f59387322cab3f4d7430dac;http://dx.doi.org/10.1109/APSEC.2018.00049" TargetMode="External"/><Relationship Id="rId938" Type="http://schemas.openxmlformats.org/officeDocument/2006/relationships/hyperlink" Target="https://www.scopus.com/inward/record.uri?eid=2-s2.0-85030217493&amp;doi=10.1109%2fTSE.2017.2752171&amp;partnerID=40&amp;md5=08076642c9fa25afdcc104371b29f29e;http://dx.doi.org/10.1109/TSE.2017.2752171" TargetMode="External"/><Relationship Id="rId67" Type="http://schemas.openxmlformats.org/officeDocument/2006/relationships/hyperlink" Target="https://www.scopus.com/inward/record.uri?eid=2-s2.0-85142863387&amp;partnerID=40&amp;md5=219aaa958011f40bb75bd6fc1c8444ce" TargetMode="External"/><Relationship Id="rId272" Type="http://schemas.openxmlformats.org/officeDocument/2006/relationships/hyperlink" Target="https://www.scopus.com/inward/record.uri?eid=2-s2.0-85115753395&amp;doi=10.1007%2fs10664-021-10031-3&amp;partnerID=40&amp;md5=8f5452f0b97e1e6b6713650ecbe1a2d5;http://dx.doi.org/10.1007/s10664-021-10031-3" TargetMode="External"/><Relationship Id="rId577" Type="http://schemas.openxmlformats.org/officeDocument/2006/relationships/hyperlink" Target="https://www.scopus.com/inward/record.uri?eid=2-s2.0-85089668454&amp;doi=10.1016%2fj.jss.2020.110777&amp;partnerID=40&amp;md5=c5865fd97e7d4d15984d4e88ce60aad3;http://dx.doi.org/10.1016/j.jss.2020.110777" TargetMode="External"/><Relationship Id="rId700" Type="http://schemas.openxmlformats.org/officeDocument/2006/relationships/hyperlink" Target="https://www.scopus.com/inward/record.uri?eid=2-s2.0-85077219386&amp;doi=10.1109%2fICSME.2019.00060&amp;partnerID=40&amp;md5=b1adedf1f74f6e14b3982f32cc7ffcde;http://dx.doi.org/10.1109/ICSME.2019.00060" TargetMode="External"/><Relationship Id="rId132" Type="http://schemas.openxmlformats.org/officeDocument/2006/relationships/hyperlink" Target="https://www.scopus.com/inward/record.uri?eid=2-s2.0-85128221731&amp;doi=10.1038%2fs41746-022-00592-y&amp;partnerID=40&amp;md5=505a4e8bb93249a2eebe325bbce17005;http://dx.doi.org/10.1038/s41746-022-00592-y" TargetMode="External"/><Relationship Id="rId784" Type="http://schemas.openxmlformats.org/officeDocument/2006/relationships/hyperlink" Target="https://www.scopus.com/inward/record.uri?eid=2-s2.0-85093696448&amp;doi=10.1145%2f3379597.3387459&amp;partnerID=40&amp;md5=d83a2d14a56f14fc61a614034a5d039b;http://dx.doi.org/10.1145/3379597.3387459" TargetMode="External"/><Relationship Id="rId437" Type="http://schemas.openxmlformats.org/officeDocument/2006/relationships/hyperlink" Target="https://www.scopus.com/inward/record.uri?eid=2-s2.0-85111389737&amp;doi=10.1109%2fAERO50100.2021.9438332&amp;partnerID=40&amp;md5=795ec34083622a90acb3a26c720febaa;http://dx.doi.org/10.1109/AERO50100.2021.9438332" TargetMode="External"/><Relationship Id="rId644" Type="http://schemas.openxmlformats.org/officeDocument/2006/relationships/hyperlink" Target="https://www.scopus.com/inward/record.uri?eid=2-s2.0-85077506321&amp;partnerID=40&amp;md5=43f19863d3fa8f4f7b006576f8398000" TargetMode="External"/><Relationship Id="rId851" Type="http://schemas.openxmlformats.org/officeDocument/2006/relationships/hyperlink" Target="https://www.scopus.com/inward/record.uri?eid=2-s2.0-85002599816&amp;doi=10.1016%2fj.jss.2016.11.030&amp;partnerID=40&amp;md5=2155c81217c8e4c44668cec1062d12a4;http://dx.doi.org/10.1016/j.jss.2016.11.030" TargetMode="External"/><Relationship Id="rId283" Type="http://schemas.openxmlformats.org/officeDocument/2006/relationships/hyperlink" Target="https://www.scopus.com/inward/record.uri?eid=2-s2.0-85116431854&amp;doi=10.3390%2fmachines9100221&amp;partnerID=40&amp;md5=a71bf41a66e5e3a04601d285a26887b1;http://dx.doi.org/10.3390/machines9100221" TargetMode="External"/><Relationship Id="rId490" Type="http://schemas.openxmlformats.org/officeDocument/2006/relationships/hyperlink" Target="https://www.scopus.com/inward/record.uri?eid=2-s2.0-85090024069&amp;doi=10.1016%2fj.jss.2020.110806&amp;partnerID=40&amp;md5=3fc8497ac55b764c00a741b82889bf76;http://dx.doi.org/10.1016/j.jss.2020.110806" TargetMode="External"/><Relationship Id="rId504" Type="http://schemas.openxmlformats.org/officeDocument/2006/relationships/hyperlink" Target="https://www.scopus.com/inward/record.uri?eid=2-s2.0-85103148325&amp;doi=10.1109%2fACCESS.2021.3066348&amp;partnerID=40&amp;md5=5c33c615d26804f810a0df3870ace47e;http://dx.doi.org/10.1109/ACCESS.2021.3066348" TargetMode="External"/><Relationship Id="rId711" Type="http://schemas.openxmlformats.org/officeDocument/2006/relationships/hyperlink" Target="https://www.scopus.com/inward/record.uri?eid=2-s2.0-85077525154&amp;doi=10.1007%2fs13369-019-04311-w&amp;partnerID=40&amp;md5=06c8c3007723dae56b5cf5c617175ccc;http://dx.doi.org/10.1007/s13369-019-04311-w" TargetMode="External"/><Relationship Id="rId949" Type="http://schemas.openxmlformats.org/officeDocument/2006/relationships/hyperlink" Target="https://www.scopus.com/inward/record.uri?eid=2-s2.0-85048052155&amp;doi=10.1007%2f978-3-319-91602-6_20&amp;partnerID=40&amp;md5=4cd490b5b3146b473727c373bbd28e51;http://dx.doi.org/10.1007/978-3-319-91602-6_20" TargetMode="External"/><Relationship Id="rId78" Type="http://schemas.openxmlformats.org/officeDocument/2006/relationships/hyperlink" Target="https://www.scopus.com/inward/record.uri?eid=2-s2.0-85137988427&amp;doi=10.1007%2f978-3-031-16281-7_8&amp;partnerID=40&amp;md5=dad7cafe9c434552e9314e6bd36641f5;http://dx.doi.org/10.1007/978-3-031-16281-7_8" TargetMode="External"/><Relationship Id="rId143" Type="http://schemas.openxmlformats.org/officeDocument/2006/relationships/hyperlink" Target="https://www.scopus.com/inward/record.uri?eid=2-s2.0-85123722465&amp;doi=10.1016%2fj.jss.2022.111221&amp;partnerID=40&amp;md5=4217939de66ecf1ec4cf865419c65124;http://dx.doi.org/10.1016/j.jss.2022.111221" TargetMode="External"/><Relationship Id="rId350" Type="http://schemas.openxmlformats.org/officeDocument/2006/relationships/hyperlink" Target="https://www.scopus.com/inward/record.uri?eid=2-s2.0-85134067292&amp;doi=10.1145%2f3524842.3528527&amp;partnerID=40&amp;md5=2f1e84d0830061e07690e5dc2defc3c2;http://dx.doi.org/10.1145/3524842.3528527" TargetMode="External"/><Relationship Id="rId588" Type="http://schemas.openxmlformats.org/officeDocument/2006/relationships/hyperlink" Target="https://www.scopus.com/inward/record.uri?eid=2-s2.0-85112267816&amp;doi=10.15388%2f21-INFOR454&amp;partnerID=40&amp;md5=8bd149a1f3f0de62a234c35f84b10d05;http://dx.doi.org/10.15388/21-INFOR454" TargetMode="External"/><Relationship Id="rId795" Type="http://schemas.openxmlformats.org/officeDocument/2006/relationships/hyperlink" Target="https://www.scopus.com/inward/record.uri?eid=2-s2.0-85091323640&amp;doi=10.1145%2f3313831.3376177&amp;partnerID=40&amp;md5=f480d2d33d50e924a8d3971b4b377538;http://dx.doi.org/10.1145/3313831.3376177" TargetMode="External"/><Relationship Id="rId809" Type="http://schemas.openxmlformats.org/officeDocument/2006/relationships/hyperlink" Target="https://www.scopus.com/inward/record.uri?eid=2-s2.0-85049422618&amp;doi=10.14778%2f3157794.3157804&amp;partnerID=40&amp;md5=57f4ef15de69da4d16c276b1eb7715b4;http://dx.doi.org/10.14778/3157794.3157804" TargetMode="External"/><Relationship Id="rId9" Type="http://schemas.openxmlformats.org/officeDocument/2006/relationships/hyperlink" Target="https://www.scopus.com/inward/record.uri?eid=2-s2.0-85134807777&amp;doi=10.1007%2fs10664-022-10183-w&amp;partnerID=40&amp;md5=22c2a50f714a7297aea9be72975aa4a7;http://dx.doi.org/10.1007/s10664-022-10183-w" TargetMode="External"/><Relationship Id="rId210" Type="http://schemas.openxmlformats.org/officeDocument/2006/relationships/hyperlink" Target="https://www.scopus.com/inward/record.uri?eid=2-s2.0-85106961235&amp;doi=10.1007%2fs11704-020-9281-z&amp;partnerID=40&amp;md5=002b16d30c3111a8288dbd251d14acba;http://dx.doi.org/10.1007/s11704-020-9281-z" TargetMode="External"/><Relationship Id="rId448" Type="http://schemas.openxmlformats.org/officeDocument/2006/relationships/hyperlink" Target="https://www.scopus.com/inward/record.uri?eid=2-s2.0-85092742482&amp;doi=10.1109%2fACSOS-C51401.2020.00048&amp;partnerID=40&amp;md5=795fa76009b0b5c46ad117f886187237;http://dx.doi.org/10.1109/ACSOS-C51401.2020.00048" TargetMode="External"/><Relationship Id="rId655" Type="http://schemas.openxmlformats.org/officeDocument/2006/relationships/hyperlink" Target="https://www.scopus.com/inward/record.uri?eid=2-s2.0-85085726790&amp;doi=10.1007%2f978-3-030-43020-7_93&amp;partnerID=40&amp;md5=0275fc6a4cad37548d71c148f023c80e;http://dx.doi.org/10.1007/978-3-030-43020-7_93" TargetMode="External"/><Relationship Id="rId862" Type="http://schemas.openxmlformats.org/officeDocument/2006/relationships/hyperlink" Target="https://www.scopus.com/inward/record.uri?eid=2-s2.0-85017153682&amp;partnerID=40&amp;md5=d9d0a2a0f0bf6a407ddf95fc0b47c9ac" TargetMode="External"/><Relationship Id="rId294" Type="http://schemas.openxmlformats.org/officeDocument/2006/relationships/hyperlink" Target="https://www.scopus.com/inward/record.uri?eid=2-s2.0-85117899094&amp;doi=10.1145%2f3479575&amp;partnerID=40&amp;md5=2588531cb9eb7a52ed8be8a66ae0167a;http://dx.doi.org/10.1145/3479575" TargetMode="External"/><Relationship Id="rId308" Type="http://schemas.openxmlformats.org/officeDocument/2006/relationships/hyperlink" Target="https://www.scopus.com/inward/record.uri?eid=2-s2.0-85113649225&amp;doi=10.1145%2f3475960.3475985&amp;partnerID=40&amp;md5=587cce7d3192fade582f1bfb832c322f;http://dx.doi.org/10.1145/3475960.3475985" TargetMode="External"/><Relationship Id="rId515" Type="http://schemas.openxmlformats.org/officeDocument/2006/relationships/hyperlink" Target="https://www.scopus.com/inward/record.uri?eid=2-s2.0-85096567372&amp;doi=10.1109%2fSEAA51224.2020.00069&amp;partnerID=40&amp;md5=fa864c8485e6cb62bd4f1b41b258269e;http://dx.doi.org/10.1109/SEAA51224.2020.00069" TargetMode="External"/><Relationship Id="rId722" Type="http://schemas.openxmlformats.org/officeDocument/2006/relationships/hyperlink" Target="https://www.scopus.com/inward/record.uri?eid=2-s2.0-85101002659&amp;doi=10.1109%2fACCESS.2020.3036037&amp;partnerID=40&amp;md5=f441f8f89999a4f9baeab92fa891d63d;http://dx.doi.org/10.1109/ACCESS.2020.3036037" TargetMode="External"/><Relationship Id="rId89" Type="http://schemas.openxmlformats.org/officeDocument/2006/relationships/hyperlink" Target="https://www.scopus.com/inward/record.uri?eid=2-s2.0-85139960075&amp;partnerID=40&amp;md5=47d94a3671b3bf9cb72e0214142b20a1" TargetMode="External"/><Relationship Id="rId154" Type="http://schemas.openxmlformats.org/officeDocument/2006/relationships/hyperlink" Target="https://www.scopus.com/inward/record.uri?eid=2-s2.0-85139714305&amp;doi=10.1007%2fs00146-022-01572-2&amp;partnerID=40&amp;md5=79f4bcde3e95971b7b4e890873c722cc;http://dx.doi.org/10.1007/s00146-022-01572-2" TargetMode="External"/><Relationship Id="rId361" Type="http://schemas.openxmlformats.org/officeDocument/2006/relationships/hyperlink" Target="https://www.scopus.com/inward/record.uri?eid=2-s2.0-85127845832&amp;doi=10.1109%2fICSE-NIER55298.2022.9793510&amp;partnerID=40&amp;md5=871da14d743a8a41f434e3db7386dada;http://dx.doi.org/10.1109/ICSE-NIER55298.2022.9793510" TargetMode="External"/><Relationship Id="rId599" Type="http://schemas.openxmlformats.org/officeDocument/2006/relationships/hyperlink" Target="https://www.scopus.com/inward/record.uri?eid=2-s2.0-85046362904&amp;doi=10.1109%2fTSE.2018.2831232&amp;partnerID=40&amp;md5=333fc3e9214c2d64801569958528ab9c;http://dx.doi.org/10.1109/TSE.2018.2831232" TargetMode="External"/><Relationship Id="rId459" Type="http://schemas.openxmlformats.org/officeDocument/2006/relationships/hyperlink" Target="https://www.scopus.com/inward/record.uri?eid=2-s2.0-85095856937&amp;doi=10.1145%2f3425269.3425281&amp;partnerID=40&amp;md5=3fb2b8566d44c6b71f4aeac85cf65876;http://dx.doi.org/10.1145/3425269.3425281" TargetMode="External"/><Relationship Id="rId666" Type="http://schemas.openxmlformats.org/officeDocument/2006/relationships/hyperlink" Target="https://www.scopus.com/inward/record.uri?eid=2-s2.0-85081065732&amp;doi=10.1109%2fCHILECON47746.2019.8987553&amp;partnerID=40&amp;md5=5f4b8fb330a79f95632051f14db39697;http://dx.doi.org/10.1109/CHILECON47746.2019.8987553" TargetMode="External"/><Relationship Id="rId873" Type="http://schemas.openxmlformats.org/officeDocument/2006/relationships/hyperlink" Target="https://www.scopus.com/inward/record.uri?eid=2-s2.0-85051087850&amp;doi=10.1145%2f3184407.3184413&amp;partnerID=40&amp;md5=c4b0153bcd017d224774532305d422fa;http://dx.doi.org/10.1145/3184407.3184413" TargetMode="External"/><Relationship Id="rId16" Type="http://schemas.openxmlformats.org/officeDocument/2006/relationships/hyperlink" Target="https://www.scopus.com/inward/record.uri?eid=2-s2.0-85102303730&amp;doi=10.1109%2fTSE.2021.3063727&amp;partnerID=40&amp;md5=a8493f3a2190202e1859e9c7701469b0;http://dx.doi.org/10.1109/TSE.2021.3063727" TargetMode="External"/><Relationship Id="rId221" Type="http://schemas.openxmlformats.org/officeDocument/2006/relationships/hyperlink" Target="https://www.scopus.com/inward/record.uri?eid=2-s2.0-85134289823&amp;doi=10.1007%2f978-981-19-1111-8_10&amp;partnerID=40&amp;md5=f6ae2b197b0baa3e83bc80307c825f2d;http://dx.doi.org/10.1007/978-981-19-1111-8_10" TargetMode="External"/><Relationship Id="rId319" Type="http://schemas.openxmlformats.org/officeDocument/2006/relationships/hyperlink" Target="https://www.scopus.com/inward/record.uri?eid=2-s2.0-85121619577&amp;doi=10.1007%2fs42979-021-00726-1&amp;partnerID=40&amp;md5=47ff107c34d146132fcdcef8d8912562;http://dx.doi.org/10.1007/s42979-021-00726-1" TargetMode="External"/><Relationship Id="rId526" Type="http://schemas.openxmlformats.org/officeDocument/2006/relationships/hyperlink" Target="https://www.scopus.com/inward/record.uri?eid=2-s2.0-85100622799&amp;doi=10.1109%2fCogMI50398.2020.00030&amp;partnerID=40&amp;md5=c2b9239b0c65551bbc9d33aebe3d0d86;http://dx.doi.org/10.1109/CogMI50398.2020.00030" TargetMode="External"/><Relationship Id="rId733" Type="http://schemas.openxmlformats.org/officeDocument/2006/relationships/hyperlink" Target="https://www.scopus.com/inward/record.uri?eid=2-s2.0-85065542163&amp;doi=10.1016%2fj.scico.2019.05.002&amp;partnerID=40&amp;md5=0aa675929b8fce697b1de4ff272bb33b;http://dx.doi.org/10.1016/j.scico.2019.05.002" TargetMode="External"/><Relationship Id="rId940" Type="http://schemas.openxmlformats.org/officeDocument/2006/relationships/hyperlink" Target="https://www.scopus.com/inward/record.uri?eid=2-s2.0-85061993669&amp;doi=10.3389%2ffict.2016.00002&amp;partnerID=40&amp;md5=2c17672af2cd3970e22753ec24c43c7b;http://dx.doi.org/10.3389/fict.2016.00002" TargetMode="External"/><Relationship Id="rId165" Type="http://schemas.openxmlformats.org/officeDocument/2006/relationships/hyperlink" Target="https://www.scopus.com/inward/record.uri?eid=2-s2.0-85120086359&amp;doi=10.1109%2fTSE.2021.3129355&amp;partnerID=40&amp;md5=30dc3dec9e0bfb49943f97c2e25285d5;http://dx.doi.org/10.1109/TSE.2021.3129355" TargetMode="External"/><Relationship Id="rId372" Type="http://schemas.openxmlformats.org/officeDocument/2006/relationships/hyperlink" Target="https://www.scopus.com/inward/record.uri?eid=2-s2.0-85127505809&amp;doi=10.1109%2fACCESS.2022.3162863&amp;partnerID=40&amp;md5=0728d4f1754264db03e8492a6dee1ef2;http://dx.doi.org/10.1109/ACCESS.2022.3162863" TargetMode="External"/><Relationship Id="rId677" Type="http://schemas.openxmlformats.org/officeDocument/2006/relationships/hyperlink" Target="https://www.scopus.com/inward/record.uri?eid=2-s2.0-85087734994&amp;doi=10.1049%2fiet-sen.2019.0278&amp;partnerID=40&amp;md5=509ae309532d980eadff266de8bb29d3;http://dx.doi.org/10.1049/iet-sen.2019.0278" TargetMode="External"/><Relationship Id="rId800" Type="http://schemas.openxmlformats.org/officeDocument/2006/relationships/hyperlink" Target="https://www.scopus.com/inward/record.uri?eid=2-s2.0-85055440637&amp;doi=10.1109%2fCOMPSAC.2018.00017&amp;partnerID=40&amp;md5=f2c8270b95c3b4f3c7bf885ce6cb48fe;http://dx.doi.org/10.1109/COMPSAC.2018.00017" TargetMode="External"/><Relationship Id="rId232" Type="http://schemas.openxmlformats.org/officeDocument/2006/relationships/hyperlink" Target="https://www.scopus.com/inward/record.uri?eid=2-s2.0-85116297167&amp;doi=10.1145%2f3468264.3473922&amp;partnerID=40&amp;md5=7621c921868ff843237b2ef5213e0e7c;http://dx.doi.org/10.1145/3468264.3473922" TargetMode="External"/><Relationship Id="rId884" Type="http://schemas.openxmlformats.org/officeDocument/2006/relationships/hyperlink" Target="https://www.scopus.com/inward/record.uri?eid=2-s2.0-84983238335&amp;doi=10.1109%2fWICSA.2016.41&amp;partnerID=40&amp;md5=8758a2e935627411a84d692025434931;http://dx.doi.org/10.1109/WICSA.2016.41" TargetMode="External"/><Relationship Id="rId27" Type="http://schemas.openxmlformats.org/officeDocument/2006/relationships/hyperlink" Target="https://www.scopus.com/inward/record.uri?eid=2-s2.0-85133877682&amp;doi=10.1142%2fS021819402250036X&amp;partnerID=40&amp;md5=e4bb8c9eedf8a89d47d6d2c367c02f4f;http://dx.doi.org/10.1142/S021819402250036X" TargetMode="External"/><Relationship Id="rId537" Type="http://schemas.openxmlformats.org/officeDocument/2006/relationships/hyperlink" Target="https://www.scopus.com/inward/record.uri?eid=2-s2.0-85123287454&amp;doi=10.1109%2fSCAM52516.2021.00016&amp;partnerID=40&amp;md5=d5aad7dfa0e6c1715bf45f4c5f3c99b5;http://dx.doi.org/10.1109/SCAM52516.2021.00016" TargetMode="External"/><Relationship Id="rId744" Type="http://schemas.openxmlformats.org/officeDocument/2006/relationships/hyperlink" Target="https://www.scopus.com/inward/record.uri?eid=2-s2.0-85097430483&amp;doi=10.1007%2f978-3-030-62144-5_8&amp;partnerID=40&amp;md5=057effcab39470d07e01b230e2511b35;http://dx.doi.org/10.1007/978-3-030-62144-5_8" TargetMode="External"/><Relationship Id="rId951" Type="http://schemas.openxmlformats.org/officeDocument/2006/relationships/hyperlink" Target="https://www.scopus.com/inward/record.uri?eid=2-s2.0-85048168263&amp;doi=10.1016%2fj.infsof.2018.05.010&amp;partnerID=40&amp;md5=710823121ee7e1f1408ff5f77ecc912b;http://dx.doi.org/10.1016/j.infsof.2018.05.010" TargetMode="External"/><Relationship Id="rId80" Type="http://schemas.openxmlformats.org/officeDocument/2006/relationships/hyperlink" Target="https://www.scopus.com/inward/record.uri?eid=2-s2.0-85136515962&amp;doi=10.1007%2fs00766-022-00385-5&amp;partnerID=40&amp;md5=0f37b786a6059be379f420cf0d54e1f2;http://dx.doi.org/10.1007/s00766-022-00385-5" TargetMode="External"/><Relationship Id="rId176" Type="http://schemas.openxmlformats.org/officeDocument/2006/relationships/hyperlink" Target="https://www.scopus.com/inward/record.uri?eid=2-s2.0-85130746978&amp;doi=10.1109%2fTSE.2020.3024814&amp;partnerID=40&amp;md5=034fb9df203b827551ffe9dfd4e2a737;http://dx.doi.org/10.1109/TSE.2020.3024814" TargetMode="External"/><Relationship Id="rId383" Type="http://schemas.openxmlformats.org/officeDocument/2006/relationships/hyperlink" Target="https://www.scopus.com/inward/record.uri?eid=2-s2.0-85100941930&amp;doi=10.1007%2fs10462-020-09942-2&amp;partnerID=40&amp;md5=7830d08c29f6505be6357f6ef3a80856;http://dx.doi.org/10.1007/s10462-020-09942-2" TargetMode="External"/><Relationship Id="rId590" Type="http://schemas.openxmlformats.org/officeDocument/2006/relationships/hyperlink" Target="https://www.scopus.com/inward/record.uri?eid=2-s2.0-85112863573&amp;doi=10.1109%2fSEmotion52567.2021.00011&amp;partnerID=40&amp;md5=1ca98f10116a190c60bb7418d3f9f333;http://dx.doi.org/10.1109/SEmotion52567.2021.00011" TargetMode="External"/><Relationship Id="rId604" Type="http://schemas.openxmlformats.org/officeDocument/2006/relationships/hyperlink" Target="https://www.scopus.com/inward/record.uri?eid=2-s2.0-85050982730&amp;doi=10.1109%2fTSE.2018.2861735&amp;partnerID=40&amp;md5=2b87da1a7ab6367353d6b97d8b67b4ba;http://dx.doi.org/10.1109/TSE.2018.2861735" TargetMode="External"/><Relationship Id="rId811" Type="http://schemas.openxmlformats.org/officeDocument/2006/relationships/hyperlink" Target="https://www.scopus.com/inward/record.uri?eid=2-s2.0-85015651775&amp;doi=10.1017%2fS1351324917000109&amp;partnerID=40&amp;md5=249ae62e1dad021e42fd1bacfa0876f0;http://dx.doi.org/10.1017/S1351324917000109" TargetMode="External"/><Relationship Id="rId243" Type="http://schemas.openxmlformats.org/officeDocument/2006/relationships/hyperlink" Target="https://www.scopus.com/inward/record.uri?eid=2-s2.0-85135922174&amp;doi=10.1007%2f978-3-031-10542-5_5&amp;partnerID=40&amp;md5=10c18f25a4197f7c8479fc1e4acf8cd7;http://dx.doi.org/10.1007/978-3-031-10542-5_5" TargetMode="External"/><Relationship Id="rId450" Type="http://schemas.openxmlformats.org/officeDocument/2006/relationships/hyperlink" Target="https://www.scopus.com/inward/record.uri?eid=2-s2.0-85097841067&amp;doi=10.1109%2fCCCI49893.2020.9256507&amp;partnerID=40&amp;md5=3df520df1ae1119f3d35f5962b8a3923;http://dx.doi.org/10.1109/CCCI49893.2020.9256507" TargetMode="External"/><Relationship Id="rId688" Type="http://schemas.openxmlformats.org/officeDocument/2006/relationships/hyperlink" Target="https://www.scopus.com/inward/record.uri?eid=2-s2.0-85071142564&amp;doi=10.1109%2fACCESS.2019.2933318&amp;partnerID=40&amp;md5=07d8d7c4cdc5cdb07cce1aa595c35180;http://dx.doi.org/10.1109/ACCESS.2019.2933318" TargetMode="External"/><Relationship Id="rId895" Type="http://schemas.openxmlformats.org/officeDocument/2006/relationships/hyperlink" Target="https://www.scopus.com/inward/record.uri?eid=2-s2.0-85025432762&amp;doi=10.1145%2f3084226.3084239&amp;partnerID=40&amp;md5=874158b90143a4a1ada5da7df674be31;http://dx.doi.org/10.1145/3084226.3084239" TargetMode="External"/><Relationship Id="rId909" Type="http://schemas.openxmlformats.org/officeDocument/2006/relationships/hyperlink" Target="https://www.scopus.com/inward/record.uri?eid=2-s2.0-85049674778&amp;doi=10.1145%2f3183440.3194950&amp;partnerID=40&amp;md5=e3304807d2353cd906e4c925fd57549b;http://dx.doi.org/10.1145/3183440.3194950" TargetMode="External"/><Relationship Id="rId38" Type="http://schemas.openxmlformats.org/officeDocument/2006/relationships/hyperlink" Target="https://www.scopus.com/inward/record.uri?eid=2-s2.0-85143443375&amp;doi=10.1109%2fSTC55697.2022.00020&amp;partnerID=40&amp;md5=7bc794e67cd0e17137ca00fd4783c72b;http://dx.doi.org/10.1109/STC55697.2022.00020" TargetMode="External"/><Relationship Id="rId103" Type="http://schemas.openxmlformats.org/officeDocument/2006/relationships/hyperlink" Target="https://www.scopus.com/inward/record.uri?eid=2-s2.0-85136734876&amp;doi=10.1016%2fj.jss.2022.111483&amp;partnerID=40&amp;md5=909b9bd77d3ee232970fab3ecc4ee05c;http://dx.doi.org/10.1016/j.jss.2022.111483" TargetMode="External"/><Relationship Id="rId310" Type="http://schemas.openxmlformats.org/officeDocument/2006/relationships/hyperlink" Target="https://www.scopus.com/inward/record.uri?eid=2-s2.0-85113677128&amp;doi=10.1109%2fMSR52588.2021.00052&amp;partnerID=40&amp;md5=f978cf4c05eeb8a3053e953ff502b973;http://dx.doi.org/10.1109/MSR52588.2021.00052" TargetMode="External"/><Relationship Id="rId548" Type="http://schemas.openxmlformats.org/officeDocument/2006/relationships/hyperlink" Target="https://www.scopus.com/inward/record.uri?eid=2-s2.0-85106463739&amp;doi=10.1109%2fISR50024.2021.9419498&amp;partnerID=40&amp;md5=ec2a8dfb34997476917eda005a1cd794;http://dx.doi.org/10.1109/ISR50024.2021.9419498" TargetMode="External"/><Relationship Id="rId755" Type="http://schemas.openxmlformats.org/officeDocument/2006/relationships/hyperlink" Target="https://www.scopus.com/inward/record.uri?eid=2-s2.0-85060212333&amp;doi=10.1007%2f978-981-13-5913-2_24&amp;partnerID=40&amp;md5=9d68dfe503ebe0dfdcc2600d7b769c9b;http://dx.doi.org/10.1007/978-981-13-5913-2_24" TargetMode="External"/><Relationship Id="rId91" Type="http://schemas.openxmlformats.org/officeDocument/2006/relationships/hyperlink" Target="https://www.scopus.com/inward/record.uri?eid=2-s2.0-85136467284&amp;doi=10.1016%2fj.jss.2022.111475&amp;partnerID=40&amp;md5=9e3462d0a71d4fe859f0ab8331727169;http://dx.doi.org/10.1016/j.jss.2022.111475" TargetMode="External"/><Relationship Id="rId187" Type="http://schemas.openxmlformats.org/officeDocument/2006/relationships/hyperlink" Target="https://www.scopus.com/inward/record.uri?eid=2-s2.0-85135904165&amp;doi=10.1016%2fj.infsof.2022.107034&amp;partnerID=40&amp;md5=3170cbda783c04eee3e6131155efdb50;http://dx.doi.org/10.1016/j.infsof.2022.107034" TargetMode="External"/><Relationship Id="rId394" Type="http://schemas.openxmlformats.org/officeDocument/2006/relationships/hyperlink" Target="https://www.scopus.com/inward/record.uri?eid=2-s2.0-85115870987&amp;doi=10.1109%2fINDUSCON51756.2021.9529843&amp;partnerID=40&amp;md5=e4fac09ccf2456adaa5032fe72649e8d;http://dx.doi.org/10.1109/INDUSCON51756.2021.9529843" TargetMode="External"/><Relationship Id="rId408" Type="http://schemas.openxmlformats.org/officeDocument/2006/relationships/hyperlink" Target="https://www.scopus.com/inward/record.uri?eid=2-s2.0-85113249384&amp;doi=10.1109%2fICPC52881.2021.00030&amp;partnerID=40&amp;md5=4b077e0808597059c1a86172d30efe7a;http://dx.doi.org/10.1109/ICPC52881.2021.00030" TargetMode="External"/><Relationship Id="rId615" Type="http://schemas.openxmlformats.org/officeDocument/2006/relationships/hyperlink" Target="https://www.scopus.com/inward/record.uri?eid=2-s2.0-85062728420&amp;doi=10.1007%2fs10664-019-09688-8&amp;partnerID=40&amp;md5=cef3bfaa22528f155edd9d07f11a437d;http://dx.doi.org/10.1007/s10664-019-09688-8" TargetMode="External"/><Relationship Id="rId822" Type="http://schemas.openxmlformats.org/officeDocument/2006/relationships/hyperlink" Target="https://www.scopus.com/inward/record.uri?eid=2-s2.0-85029515113&amp;doi=10.1007%2f978-3-319-66284-8_1&amp;partnerID=40&amp;md5=32d5292a0e6d26b3a4fb181066229bd3;http://dx.doi.org/10.1007/978-3-319-66284-8_1" TargetMode="External"/><Relationship Id="rId254" Type="http://schemas.openxmlformats.org/officeDocument/2006/relationships/hyperlink" Target="https://www.scopus.com/inward/record.uri?eid=2-s2.0-85110356731&amp;doi=10.1007%2fs10664-021-10006-4&amp;partnerID=40&amp;md5=a859d2636665b7971e10581368126272;http://dx.doi.org/10.1007/s10664-021-10006-4" TargetMode="External"/><Relationship Id="rId699" Type="http://schemas.openxmlformats.org/officeDocument/2006/relationships/hyperlink" Target="https://www.scopus.com/inward/record.uri?eid=2-s2.0-85099505282&amp;partnerID=40&amp;md5=4f38fe9eaaab4c7a623c4c2129a8237c" TargetMode="External"/><Relationship Id="rId49" Type="http://schemas.openxmlformats.org/officeDocument/2006/relationships/hyperlink" Target="https://www.scopus.com/inward/record.uri?eid=2-s2.0-85140801792&amp;doi=10.1109%2fTSE.2021.3115772&amp;partnerID=40&amp;md5=3a9de7995a8751a8ec08017658d9927e;http://dx.doi.org/10.1109/TSE.2021.3115772" TargetMode="External"/><Relationship Id="rId114" Type="http://schemas.openxmlformats.org/officeDocument/2006/relationships/hyperlink" Target="https://www.scopus.com/inward/record.uri?eid=2-s2.0-85126778720&amp;doi=10.3390%2fsmartcities5010019&amp;partnerID=40&amp;md5=ad99304296a8cd15d699ce60c751b19a;http://dx.doi.org/10.3390/smartcities5010019" TargetMode="External"/><Relationship Id="rId461" Type="http://schemas.openxmlformats.org/officeDocument/2006/relationships/hyperlink" Target="https://www.scopus.com/inward/record.uri?eid=2-s2.0-85101321601&amp;doi=10.1007%2fs10664-020-09894-9&amp;partnerID=40&amp;md5=e08470aa6b9653a16a05ff82f96fc8ff;http://dx.doi.org/10.1007/s10664-020-09894-9" TargetMode="External"/><Relationship Id="rId559" Type="http://schemas.openxmlformats.org/officeDocument/2006/relationships/hyperlink" Target="https://www.scopus.com/inward/record.uri?eid=2-s2.0-85101612111&amp;doi=10.7717%2fPEERJ-CS.372&amp;partnerID=40&amp;md5=3689250207ed4ea47f652e14926515df;http://dx.doi.org/10.7717/PEERJ-CS.372" TargetMode="External"/><Relationship Id="rId766" Type="http://schemas.openxmlformats.org/officeDocument/2006/relationships/hyperlink" Target="https://www.scopus.com/inward/record.uri?eid=2-s2.0-85076086059&amp;doi=10.1145%2f3345629.3345630&amp;partnerID=40&amp;md5=bdfaeb0f9a84ed38cc34121b48587893;http://dx.doi.org/10.1145/3345629.3345630" TargetMode="External"/><Relationship Id="rId198" Type="http://schemas.openxmlformats.org/officeDocument/2006/relationships/hyperlink" Target="https://www.scopus.com/inward/record.uri?eid=2-s2.0-85142688414&amp;doi=10.1007%2f978-3-031-21388-5_51&amp;partnerID=40&amp;md5=56790ac98ea4f9733cca41a00bfca010;http://dx.doi.org/10.1007/978-3-031-21388-5_51" TargetMode="External"/><Relationship Id="rId321" Type="http://schemas.openxmlformats.org/officeDocument/2006/relationships/hyperlink" Target="https://www.scopus.com/inward/record.uri?eid=2-s2.0-85124010553&amp;doi=10.7717%2fPEERJ-CS.779&amp;partnerID=40&amp;md5=2da6ad89b2502afe108635947f601ea9;http://dx.doi.org/10.7717/PEERJ-CS.779" TargetMode="External"/><Relationship Id="rId419" Type="http://schemas.openxmlformats.org/officeDocument/2006/relationships/hyperlink" Target="https://www.scopus.com/inward/record.uri?eid=2-s2.0-85093964684&amp;doi=10.1109%2fRE48521.2020.00036&amp;partnerID=40&amp;md5=a14be906604d55cdce31df0f8abf399e;http://dx.doi.org/10.1109/RE48521.2020.00036" TargetMode="External"/><Relationship Id="rId626" Type="http://schemas.openxmlformats.org/officeDocument/2006/relationships/hyperlink" Target="https://www.scopus.com/inward/record.uri?eid=2-s2.0-85070263786&amp;doi=10.23919%2fMIPRO.2019.08757009&amp;partnerID=40&amp;md5=d4b7f9ee8e229027939dd158c6a6fdb5;http://dx.doi.org/10.23919/MIPRO.2019.08757009" TargetMode="External"/><Relationship Id="rId833" Type="http://schemas.openxmlformats.org/officeDocument/2006/relationships/hyperlink" Target="https://www.scopus.com/inward/record.uri?eid=2-s2.0-85042186206&amp;doi=10.1680%2fjmapl.17.00040&amp;partnerID=40&amp;md5=4a426a7fec4fc7a4b3d1200face6faf7;http://dx.doi.org/10.1680/jmapl.17.00040" TargetMode="External"/><Relationship Id="rId265" Type="http://schemas.openxmlformats.org/officeDocument/2006/relationships/hyperlink" Target="https://www.scopus.com/inward/record.uri?eid=2-s2.0-85133153613&amp;doi=10.1007%2f978-3-031-07802-6_30&amp;partnerID=40&amp;md5=bb38e6afb779e1d9ea89781395994d79;http://dx.doi.org/10.1007/978-3-031-07802-6_30" TargetMode="External"/><Relationship Id="rId472" Type="http://schemas.openxmlformats.org/officeDocument/2006/relationships/hyperlink" Target="https://www.scopus.com/inward/record.uri?eid=2-s2.0-85088664918&amp;doi=10.1016%2fj.infsof.2020.106377&amp;partnerID=40&amp;md5=4df408d610ac5bacdaf9baf6816d7607;http://dx.doi.org/10.1016/j.infsof.2020.106377" TargetMode="External"/><Relationship Id="rId900" Type="http://schemas.openxmlformats.org/officeDocument/2006/relationships/hyperlink" Target="https://www.scopus.com/inward/record.uri?eid=2-s2.0-85049683556&amp;doi=10.1145%2f3183440.3183478&amp;partnerID=40&amp;md5=fc9b4f29011dee78dffc65dcb86362ba;http://dx.doi.org/10.1145/3183440.3183478" TargetMode="External"/><Relationship Id="rId125" Type="http://schemas.openxmlformats.org/officeDocument/2006/relationships/hyperlink" Target="https://www.scopus.com/inward/record.uri?eid=2-s2.0-85121844776&amp;doi=10.1109%2fTSE.2021.3135465&amp;partnerID=40&amp;md5=1410d9efd8f71992be0a957c0c044f54;http://dx.doi.org/10.1109/TSE.2021.3135465" TargetMode="External"/><Relationship Id="rId332" Type="http://schemas.openxmlformats.org/officeDocument/2006/relationships/hyperlink" Target="https://www.scopus.com/inward/record.uri?eid=2-s2.0-85135059663&amp;doi=10.1145%2f3526073.3527591&amp;partnerID=40&amp;md5=3e69d49eaecd420d1a03d09b2da925b1;http://dx.doi.org/10.1145/3526073.3527591" TargetMode="External"/><Relationship Id="rId777" Type="http://schemas.openxmlformats.org/officeDocument/2006/relationships/hyperlink" Target="https://www.scopus.com/inward/record.uri?eid=2-s2.0-85078911241&amp;doi=10.1109%2fASE.2019.00065&amp;partnerID=40&amp;md5=ed17e5d010919355e0d572e5484ea7bb;http://dx.doi.org/10.1109/ASE.2019.00065" TargetMode="External"/><Relationship Id="rId637" Type="http://schemas.openxmlformats.org/officeDocument/2006/relationships/hyperlink" Target="https://www.scopus.com/inward/record.uri?eid=2-s2.0-85092446639&amp;doi=10.1145%2f3379177.3388905&amp;partnerID=40&amp;md5=ae75579ef8db6ccdf0c715c3943eb7a6;http://dx.doi.org/10.1145/3379177.3388905" TargetMode="External"/><Relationship Id="rId844" Type="http://schemas.openxmlformats.org/officeDocument/2006/relationships/hyperlink" Target="https://www.scopus.com/inward/record.uri?eid=2-s2.0-85009513487&amp;partnerID=40&amp;md5=10de414f1ac383281bd9932dc8e1f757" TargetMode="External"/><Relationship Id="rId276" Type="http://schemas.openxmlformats.org/officeDocument/2006/relationships/hyperlink" Target="https://www.scopus.com/inward/record.uri?eid=2-s2.0-85115682958&amp;doi=10.1109%2fICSE43902.2021.00045&amp;partnerID=40&amp;md5=b8cf36a834806fa4c837a5593efc5b27;http://dx.doi.org/10.1109/ICSE43902.2021.00045" TargetMode="External"/><Relationship Id="rId483" Type="http://schemas.openxmlformats.org/officeDocument/2006/relationships/hyperlink" Target="https://www.scopus.com/inward/record.uri?eid=2-s2.0-85099183000&amp;doi=10.1145%2f3324884.3416583&amp;partnerID=40&amp;md5=2489e9e83a6d8c5749c20581aec0ce51;http://dx.doi.org/10.1145/3324884.3416583" TargetMode="External"/><Relationship Id="rId690" Type="http://schemas.openxmlformats.org/officeDocument/2006/relationships/hyperlink" Target="https://www.scopus.com/inward/record.uri?eid=2-s2.0-85094889936&amp;partnerID=40&amp;md5=ed9c3e56fdaf670df68f4f687d9f51fb" TargetMode="External"/><Relationship Id="rId704" Type="http://schemas.openxmlformats.org/officeDocument/2006/relationships/hyperlink" Target="https://www.scopus.com/inward/record.uri?eid=2-s2.0-85073409904&amp;doi=10.1109%2fIWoR.2019.00017&amp;partnerID=40&amp;md5=7b843d164db9bbed15b53fc663521848;http://dx.doi.org/10.1109/IWoR.2019.00017" TargetMode="External"/><Relationship Id="rId911" Type="http://schemas.openxmlformats.org/officeDocument/2006/relationships/hyperlink" Target="https://www.scopus.com/inward/record.uri?eid=2-s2.0-85031008685&amp;doi=10.1016%2fj.jss.2017.09.026&amp;partnerID=40&amp;md5=38bde174d903e196f4c42505e21c36f7;http://dx.doi.org/10.1016/j.jss.2017.09.026" TargetMode="External"/><Relationship Id="rId40" Type="http://schemas.openxmlformats.org/officeDocument/2006/relationships/hyperlink" Target="https://www.scopus.com/inward/record.uri?eid=2-s2.0-85136925659&amp;doi=10.3390%2fapp12157482&amp;partnerID=40&amp;md5=4c43ef6cf54db27bed12247567f76c4c;http://dx.doi.org/10.3390/app12157482" TargetMode="External"/><Relationship Id="rId136" Type="http://schemas.openxmlformats.org/officeDocument/2006/relationships/hyperlink" Target="https://www.scopus.com/inward/record.uri?eid=2-s2.0-85139069929&amp;doi=10.1515%2fauto-2022-0076&amp;partnerID=40&amp;md5=9320f12cb22195680926acd268700a72;http://dx.doi.org/10.1515/auto-2022-0076" TargetMode="External"/><Relationship Id="rId343" Type="http://schemas.openxmlformats.org/officeDocument/2006/relationships/hyperlink" Target="https://www.scopus.com/inward/record.uri?eid=2-s2.0-85110456711&amp;doi=10.1007%2fs11229-021-03305-2&amp;partnerID=40&amp;md5=7049dcdbefb9f1ad30a067d78bc0453b;http://dx.doi.org/10.1007/s11229-021-03305-2" TargetMode="External"/><Relationship Id="rId550" Type="http://schemas.openxmlformats.org/officeDocument/2006/relationships/hyperlink" Target="https://www.scopus.com/inward/record.uri?eid=2-s2.0-85089561236&amp;doi=10.1007%2fs10664-020-09856-1&amp;partnerID=40&amp;md5=2b9d55aa0c40e1079c995eea4c93a82f;http://dx.doi.org/10.1007/s10664-020-09856-1" TargetMode="External"/><Relationship Id="rId788" Type="http://schemas.openxmlformats.org/officeDocument/2006/relationships/hyperlink" Target="https://www.scopus.com/inward/record.uri?eid=2-s2.0-85071939298&amp;doi=10.1145%2f3338906.3340442&amp;partnerID=40&amp;md5=d0d611ca989e40d9cc00d308c1d892fe;http://dx.doi.org/10.1145/3338906.3340442" TargetMode="External"/><Relationship Id="rId203" Type="http://schemas.openxmlformats.org/officeDocument/2006/relationships/hyperlink" Target="https://www.scopus.com/inward/record.uri?eid=2-s2.0-85111879543&amp;doi=10.1007%2fs11219-021-09564-z&amp;partnerID=40&amp;md5=203eb1056e8d2fefbf0be9f538add891;http://dx.doi.org/10.1007/s11219-021-09564-z" TargetMode="External"/><Relationship Id="rId648" Type="http://schemas.openxmlformats.org/officeDocument/2006/relationships/hyperlink" Target="https://www.scopus.com/inward/record.uri?eid=2-s2.0-85089994347&amp;doi=10.1109%2fICOEI48184.2020.9142886&amp;partnerID=40&amp;md5=8c216c6ca9b924188acefe4dceab0709;http://dx.doi.org/10.1109/ICOEI48184.2020.9142886" TargetMode="External"/><Relationship Id="rId855" Type="http://schemas.openxmlformats.org/officeDocument/2006/relationships/hyperlink" Target="https://www.scopus.com/inward/record.uri?eid=2-s2.0-85025122019&amp;doi=10.1109%2fTSE.2017.2654244&amp;partnerID=40&amp;md5=e451cac637cd2b608649b22ace9a2b41;http://dx.doi.org/10.1109/TSE.2017.2654244" TargetMode="External"/><Relationship Id="rId287" Type="http://schemas.openxmlformats.org/officeDocument/2006/relationships/hyperlink" Target="https://www.scopus.com/inward/record.uri?eid=2-s2.0-85135795681&amp;doi=10.1109%2fSANER53432.2022.00113&amp;partnerID=40&amp;md5=adfadeb536fc69a0106a71907100f942;http://dx.doi.org/10.1109/SANER53432.2022.00113" TargetMode="External"/><Relationship Id="rId410" Type="http://schemas.openxmlformats.org/officeDocument/2006/relationships/hyperlink" Target="https://www.scopus.com/inward/record.uri?eid=2-s2.0-85092325634&amp;doi=10.1002%2fspe.2908&amp;partnerID=40&amp;md5=1a51724d241ac77820dd5996e6211400;http://dx.doi.org/10.1002/spe.2908" TargetMode="External"/><Relationship Id="rId494" Type="http://schemas.openxmlformats.org/officeDocument/2006/relationships/hyperlink" Target="https://www.scopus.com/inward/record.uri?eid=2-s2.0-85113620912&amp;partnerID=40&amp;md5=4ec6c60b0a801883da8b533dc84013f2" TargetMode="External"/><Relationship Id="rId508" Type="http://schemas.openxmlformats.org/officeDocument/2006/relationships/hyperlink" Target="https://www.scopus.com/inward/record.uri?eid=2-s2.0-85097139899&amp;doi=10.1145%2f3368089.3409692&amp;partnerID=40&amp;md5=cb82bb570d4a68ad5d6e39d28086f867;http://dx.doi.org/10.1145/3368089.3409692" TargetMode="External"/><Relationship Id="rId715" Type="http://schemas.openxmlformats.org/officeDocument/2006/relationships/hyperlink" Target="https://www.scopus.com/inward/record.uri?eid=2-s2.0-85062622797&amp;doi=10.1109%2fBigData.2018.8622357&amp;partnerID=40&amp;md5=8a85487e246f1342bb32bd1a63e9383b;http://dx.doi.org/10.1109/BigData.2018.8622357" TargetMode="External"/><Relationship Id="rId922" Type="http://schemas.openxmlformats.org/officeDocument/2006/relationships/hyperlink" Target="https://www.scopus.com/inward/record.uri?eid=2-s2.0-85053250705&amp;doi=10.1007%2f978-981-13-0761-4_86&amp;partnerID=40&amp;md5=83df076c0c8371cc0f82cc2139fc4ad1;http://dx.doi.org/10.1007/978-981-13-0761-4_86" TargetMode="External"/><Relationship Id="rId147" Type="http://schemas.openxmlformats.org/officeDocument/2006/relationships/hyperlink" Target="https://www.scopus.com/inward/record.uri?eid=2-s2.0-85134628533&amp;doi=10.1016%2fj.simpa.2022.100352&amp;partnerID=40&amp;md5=fda78d822c21fe568d2eb9b5aa5a1fc6;http://dx.doi.org/10.1016/j.simpa.2022.100352" TargetMode="External"/><Relationship Id="rId354" Type="http://schemas.openxmlformats.org/officeDocument/2006/relationships/hyperlink" Target="https://www.scopus.com/inward/record.uri?eid=2-s2.0-85134029487&amp;doi=10.1145%2f3524842.3528519&amp;partnerID=40&amp;md5=09d08d5a25188bca9d93d6035c878653;http://dx.doi.org/10.1145/3524842.3528519" TargetMode="External"/><Relationship Id="rId799" Type="http://schemas.openxmlformats.org/officeDocument/2006/relationships/hyperlink" Target="https://www.scopus.com/inward/record.uri?eid=2-s2.0-85056707888&amp;doi=10.1145%2f3275245.3275248&amp;partnerID=40&amp;md5=ccd03972c758e2cc3a71fcd673f39bcd;http://dx.doi.org/10.1145/3275245.3275248" TargetMode="External"/><Relationship Id="rId51" Type="http://schemas.openxmlformats.org/officeDocument/2006/relationships/hyperlink" Target="https://www.scopus.com/inward/record.uri?eid=2-s2.0-85139564518&amp;doi=10.1145%2f3545258.3545273&amp;partnerID=40&amp;md5=db5b95948075f89c5c9f286542a97339;http://dx.doi.org/10.1145/3545258.3545273" TargetMode="External"/><Relationship Id="rId561" Type="http://schemas.openxmlformats.org/officeDocument/2006/relationships/hyperlink" Target="https://www.scopus.com/inward/record.uri?eid=2-s2.0-85118631068&amp;partnerID=40&amp;md5=2195f60fd0617a0087df6aa8fcb55489" TargetMode="External"/><Relationship Id="rId659" Type="http://schemas.openxmlformats.org/officeDocument/2006/relationships/hyperlink" Target="https://www.scopus.com/inward/record.uri?eid=2-s2.0-85072316200&amp;doi=10.1109%2fICPC.2019.00023&amp;partnerID=40&amp;md5=9d90ddc422db8353080db82eb01e152b;http://dx.doi.org/10.1109/ICPC.2019.00023" TargetMode="External"/><Relationship Id="rId866" Type="http://schemas.openxmlformats.org/officeDocument/2006/relationships/hyperlink" Target="https://www.scopus.com/inward/record.uri?eid=2-s2.0-85060254810&amp;partnerID=40&amp;md5=01ebbc18f8a113b3506a1517367862f0" TargetMode="External"/><Relationship Id="rId214" Type="http://schemas.openxmlformats.org/officeDocument/2006/relationships/hyperlink" Target="https://www.scopus.com/inward/record.uri?eid=2-s2.0-85113807787&amp;doi=10.1145%2f3469440&amp;partnerID=40&amp;md5=ac2ec772179d5bb925bf67779e557769;http://dx.doi.org/10.1145/3469440" TargetMode="External"/><Relationship Id="rId298" Type="http://schemas.openxmlformats.org/officeDocument/2006/relationships/hyperlink" Target="https://www.scopus.com/inward/record.uri?eid=2-s2.0-85134302388&amp;doi=10.1145%2f3524843.3528093&amp;partnerID=40&amp;md5=8d57749be70d4ed3ecd5c51bc6373c9e;http://dx.doi.org/10.1145/3524843.3528093" TargetMode="External"/><Relationship Id="rId421" Type="http://schemas.openxmlformats.org/officeDocument/2006/relationships/hyperlink" Target="https://www.scopus.com/inward/record.uri?eid=2-s2.0-85103296998&amp;doi=10.1007%2f978-3-030-70006-5_5&amp;partnerID=40&amp;md5=56b6dc1ba648e4b4ab2b3fe83883ebc3;http://dx.doi.org/10.1007/978-3-030-70006-5_5" TargetMode="External"/><Relationship Id="rId519" Type="http://schemas.openxmlformats.org/officeDocument/2006/relationships/hyperlink" Target="https://www.scopus.com/inward/record.uri?eid=2-s2.0-85113231448&amp;doi=10.1109%2fICPC52881.2021.00013&amp;partnerID=40&amp;md5=20346bedd01823c0775782424717eece;http://dx.doi.org/10.1109/ICPC52881.2021.00013" TargetMode="External"/><Relationship Id="rId158" Type="http://schemas.openxmlformats.org/officeDocument/2006/relationships/hyperlink" Target="https://www.scopus.com/inward/record.uri?eid=2-s2.0-85144817300&amp;doi=10.1016%2fj.future.2022.12.024&amp;partnerID=40&amp;md5=7a875bbeb1eb88634bca573c15c8da9d;http://dx.doi.org/10.1016/j.future.2022.12.024" TargetMode="External"/><Relationship Id="rId726" Type="http://schemas.openxmlformats.org/officeDocument/2006/relationships/hyperlink" Target="https://www.scopus.com/inward/record.uri?eid=2-s2.0-85066781621&amp;doi=10.1109%2fACCESS.2019.2913349&amp;partnerID=40&amp;md5=2431b5a8094d9f30fc3f2c51c6f84480;http://dx.doi.org/10.1109/ACCESS.2019.2913349" TargetMode="External"/><Relationship Id="rId933" Type="http://schemas.openxmlformats.org/officeDocument/2006/relationships/hyperlink" Target="https://www.scopus.com/inward/record.uri?eid=2-s2.0-84961144203&amp;doi=10.1016%2fj.infsof.2016.02.003&amp;partnerID=40&amp;md5=39d31d9a944d5e67c10ac63568c00a64;http://dx.doi.org/10.1016/j.infsof.2016.02.003" TargetMode="External"/><Relationship Id="rId62" Type="http://schemas.openxmlformats.org/officeDocument/2006/relationships/hyperlink" Target="https://www.scopus.com/inward/record.uri?eid=2-s2.0-85141605926&amp;doi=10.1109%2fJSTARS.2022.3219897&amp;partnerID=40&amp;md5=8666402555025111c6b3fde9268cef8b;http://dx.doi.org/10.1109/JSTARS.2022.3219897" TargetMode="External"/><Relationship Id="rId365" Type="http://schemas.openxmlformats.org/officeDocument/2006/relationships/hyperlink" Target="https://www.scopus.com/inward/record.uri?eid=2-s2.0-85102119719&amp;doi=10.1016%2fj.jss.2021.110936&amp;partnerID=40&amp;md5=802a1c364cae9feb102101198284bab7;http://dx.doi.org/10.1016/j.jss.2021.110936" TargetMode="External"/><Relationship Id="rId572" Type="http://schemas.openxmlformats.org/officeDocument/2006/relationships/hyperlink" Target="https://www.scopus.com/inward/record.uri?eid=2-s2.0-85099608821&amp;doi=10.1016%2fj.infsof.2021.106530&amp;partnerID=40&amp;md5=8e73ebfc3c2c2eac5674687b8bef289f;http://dx.doi.org/10.1016/j.infsof.2021.106530" TargetMode="External"/><Relationship Id="rId225" Type="http://schemas.openxmlformats.org/officeDocument/2006/relationships/hyperlink" Target="https://www.scopus.com/inward/record.uri?eid=2-s2.0-85135744097&amp;doi=10.1109%2fACCESS.2022.3196923&amp;partnerID=40&amp;md5=7d3a77dd28b2f0fd1e8ec1cfda510d1a;http://dx.doi.org/10.1109/ACCESS.2022.3196923" TargetMode="External"/><Relationship Id="rId432" Type="http://schemas.openxmlformats.org/officeDocument/2006/relationships/hyperlink" Target="https://www.scopus.com/inward/record.uri?eid=2-s2.0-85102010209&amp;doi=10.1142%2fS021819402150008X&amp;partnerID=40&amp;md5=dbf2dc671d419b196d65a4aa0bb0126e;http://dx.doi.org/10.1142/S021819402150008X" TargetMode="External"/><Relationship Id="rId877" Type="http://schemas.openxmlformats.org/officeDocument/2006/relationships/hyperlink" Target="https://www.scopus.com/inward/record.uri?eid=2-s2.0-85055590546&amp;doi=10.1145%2f3131151.3131164&amp;partnerID=40&amp;md5=4579cd77eb8cf835cacb499c4388c170;http://dx.doi.org/10.1145/3131151.3131164" TargetMode="External"/><Relationship Id="rId737" Type="http://schemas.openxmlformats.org/officeDocument/2006/relationships/hyperlink" Target="https://www.scopus.com/inward/record.uri?eid=2-s2.0-85073790433&amp;doi=10.1109%2fQRS.2019.00041&amp;partnerID=40&amp;md5=554197f3cd3a269d57bda010e33880de;http://dx.doi.org/10.1109/QRS.2019.00041" TargetMode="External"/><Relationship Id="rId944" Type="http://schemas.openxmlformats.org/officeDocument/2006/relationships/hyperlink" Target="https://www.scopus.com/inward/record.uri?eid=2-s2.0-85058117217&amp;doi=10.18421%2fTEM74-31&amp;partnerID=40&amp;md5=bdfedb748512a88db98c63aa8972759e;http://dx.doi.org/10.18421/TEM74-31" TargetMode="External"/><Relationship Id="rId73" Type="http://schemas.openxmlformats.org/officeDocument/2006/relationships/hyperlink" Target="https://www.scopus.com/inward/record.uri?eid=2-s2.0-85130578634&amp;doi=10.1145%2f3491102.3517537&amp;partnerID=40&amp;md5=1b63920694e882a66ec29dccf3453ef9;http://dx.doi.org/10.1145/3491102.3517537" TargetMode="External"/><Relationship Id="rId169" Type="http://schemas.openxmlformats.org/officeDocument/2006/relationships/hyperlink" Target="https://www.scopus.com/inward/record.uri?eid=2-s2.0-85144734803&amp;doi=10.3390%2fcomputers11120179&amp;partnerID=40&amp;md5=8e7462afaf721f217f380c5e66ef3c0e;http://dx.doi.org/10.3390/computers11120179" TargetMode="External"/><Relationship Id="rId376" Type="http://schemas.openxmlformats.org/officeDocument/2006/relationships/hyperlink" Target="https://www.scopus.com/inward/record.uri?eid=2-s2.0-85114827039&amp;doi=10.1109%2fTechDebt52882.2021.00011&amp;partnerID=40&amp;md5=934d9d466016810c9acf88a4b0612b8d;http://dx.doi.org/10.1109/TechDebt52882.2021.00011" TargetMode="External"/><Relationship Id="rId583" Type="http://schemas.openxmlformats.org/officeDocument/2006/relationships/hyperlink" Target="https://www.scopus.com/inward/record.uri?eid=2-s2.0-85113265853&amp;doi=10.1109%2fWAIN52551.2021.00011&amp;partnerID=40&amp;md5=6d05e74896e5f302e30e0d11c8938d7a;http://dx.doi.org/10.1109/WAIN52551.2021.00011" TargetMode="External"/><Relationship Id="rId790" Type="http://schemas.openxmlformats.org/officeDocument/2006/relationships/hyperlink" Target="https://www.scopus.com/inward/record.uri?eid=2-s2.0-85084143742&amp;doi=10.1007%2fs10994-020-05872-w&amp;partnerID=40&amp;md5=e46222c40ec929bdf26b6ed2b83abd05;http://dx.doi.org/10.1007/s10994-020-05872-w" TargetMode="External"/><Relationship Id="rId804" Type="http://schemas.openxmlformats.org/officeDocument/2006/relationships/hyperlink" Target="https://www.scopus.com/inward/record.uri?eid=2-s2.0-85058401948&amp;doi=10.1145%2f3278142.3278147&amp;partnerID=40&amp;md5=98783821aa4f6c3fb6f220b9ef0773df;http://dx.doi.org/10.1145/3278142.3278147" TargetMode="External"/><Relationship Id="rId4" Type="http://schemas.openxmlformats.org/officeDocument/2006/relationships/hyperlink" Target="https://www.scopus.com/inward/record.uri?eid=2-s2.0-85140988970&amp;doi=10.5220%2f0011039700003176&amp;partnerID=40&amp;md5=a3f710a5b2d6e27fb76a852bc53c36b5;http://dx.doi.org/10.5220/0011039700003176" TargetMode="External"/><Relationship Id="rId236" Type="http://schemas.openxmlformats.org/officeDocument/2006/relationships/hyperlink" Target="https://www.scopus.com/inward/record.uri?eid=2-s2.0-85132828703&amp;doi=10.1109%2fICSE-SEIP55303.2022.9794115&amp;partnerID=40&amp;md5=e98012d4d684cd76149215af71dc8b4a;http://dx.doi.org/10.1109/ICSE-SEIP55303.2022.9794115" TargetMode="External"/><Relationship Id="rId443" Type="http://schemas.openxmlformats.org/officeDocument/2006/relationships/hyperlink" Target="https://www.scopus.com/inward/record.uri?eid=2-s2.0-85086465273&amp;doi=10.1016%2fj.jss.2020.110693&amp;partnerID=40&amp;md5=c52d1386d8458354f2e436c3ae9006dc;http://dx.doi.org/10.1016/j.jss.2020.110693" TargetMode="External"/><Relationship Id="rId650" Type="http://schemas.openxmlformats.org/officeDocument/2006/relationships/hyperlink" Target="https://www.scopus.com/inward/record.uri?eid=2-s2.0-85086144211&amp;doi=10.1007%2f978-3-030-49392-9_13&amp;partnerID=40&amp;md5=3b403cac917fe2ea2f03e4255dcb9087;http://dx.doi.org/10.1007/978-3-030-49392-9_13" TargetMode="External"/><Relationship Id="rId888" Type="http://schemas.openxmlformats.org/officeDocument/2006/relationships/hyperlink" Target="https://www.scopus.com/inward/record.uri?eid=2-s2.0-84903641089&amp;doi=10.1145%2f2591062.2591085&amp;partnerID=40&amp;md5=b1018435ab0a9634720e47e219964737;http://dx.doi.org/10.1145/2591062.2591085" TargetMode="External"/><Relationship Id="rId303" Type="http://schemas.openxmlformats.org/officeDocument/2006/relationships/hyperlink" Target="https://www.scopus.com/inward/record.uri?eid=2-s2.0-85134065747&amp;doi=10.1145%2f3524842.3528431&amp;partnerID=40&amp;md5=a0abf95d46544d32bfc42882d4d48bcf;http://dx.doi.org/10.1145/3524842.3528431" TargetMode="External"/><Relationship Id="rId748" Type="http://schemas.openxmlformats.org/officeDocument/2006/relationships/hyperlink" Target="https://www.scopus.com/inward/record.uri?eid=2-s2.0-85093832705&amp;doi=10.1109%2fIJCNN48605.2020.9207356&amp;partnerID=40&amp;md5=49ec179bf6889688add0b6da0c0e6f58;http://dx.doi.org/10.1109/IJCNN48605.2020.9207356" TargetMode="External"/><Relationship Id="rId84" Type="http://schemas.openxmlformats.org/officeDocument/2006/relationships/hyperlink" Target="https://www.scopus.com/inward/record.uri?eid=2-s2.0-85112213035&amp;doi=10.1109%2fTR.2021.3087864&amp;partnerID=40&amp;md5=0f63845850e3cdcaee3de5471d5bb511;http://dx.doi.org/10.1109/TR.2021.3087864" TargetMode="External"/><Relationship Id="rId387" Type="http://schemas.openxmlformats.org/officeDocument/2006/relationships/hyperlink" Target="https://www.scopus.com/inward/record.uri?eid=2-s2.0-85127609471&amp;doi=10.1109%2fConfluence52989.2022.9734202&amp;partnerID=40&amp;md5=d03f2e99f1499d8ba8307513fee10213;http://dx.doi.org/10.1109/Confluence52989.2022.9734202" TargetMode="External"/><Relationship Id="rId510" Type="http://schemas.openxmlformats.org/officeDocument/2006/relationships/hyperlink" Target="https://www.scopus.com/inward/record.uri?eid=2-s2.0-85090125949&amp;partnerID=40&amp;md5=d66bb994a25467f9dcac357d2c9a228a" TargetMode="External"/><Relationship Id="rId594" Type="http://schemas.openxmlformats.org/officeDocument/2006/relationships/hyperlink" Target="https://www.scopus.com/inward/record.uri?eid=2-s2.0-85104202907&amp;doi=10.3389%2ffcomp.2020.00036&amp;partnerID=40&amp;md5=f312b89ba0ff921d5b56e2bb2dfcb5eb;http://dx.doi.org/10.3389/fcomp.2020.00036" TargetMode="External"/><Relationship Id="rId608" Type="http://schemas.openxmlformats.org/officeDocument/2006/relationships/hyperlink" Target="https://www.scopus.com/inward/record.uri?eid=2-s2.0-85072781929&amp;doi=10.1109%2fBigDataCongress.2019.00025&amp;partnerID=40&amp;md5=d55f5a5347b43aa35291b1b926b0f294;http://dx.doi.org/10.1109/BigDataCongress.2019.00025" TargetMode="External"/><Relationship Id="rId815" Type="http://schemas.openxmlformats.org/officeDocument/2006/relationships/hyperlink" Target="https://www.scopus.com/inward/record.uri?eid=2-s2.0-84961661955&amp;doi=10.1109%2fICSM.2015.7332458&amp;partnerID=40&amp;md5=f08ced87b7c6be23d92ee0cde4fda468;http://dx.doi.org/10.1109/ICSM.2015.7332458" TargetMode="External"/><Relationship Id="rId247" Type="http://schemas.openxmlformats.org/officeDocument/2006/relationships/hyperlink" Target="https://www.scopus.com/inward/record.uri?eid=2-s2.0-85111779360&amp;doi=10.1515%2fitit-2020-0045&amp;partnerID=40&amp;md5=7bd5e680aee015e6562ce010d11a8a07;http://dx.doi.org/10.1515/itit-2020-0045" TargetMode="External"/><Relationship Id="rId899" Type="http://schemas.openxmlformats.org/officeDocument/2006/relationships/hyperlink" Target="https://www.scopus.com/inward/record.uri?eid=2-s2.0-85061820119&amp;doi=10.1145%2f3283812.3283820&amp;partnerID=40&amp;md5=7bb0b78d489818aa147e2c7e2bcc0a46;http://dx.doi.org/10.1145/3283812.3283820" TargetMode="External"/><Relationship Id="rId107" Type="http://schemas.openxmlformats.org/officeDocument/2006/relationships/hyperlink" Target="https://www.scopus.com/inward/record.uri?eid=2-s2.0-85126671710&amp;doi=10.1109%2fTSE.2021.3128356&amp;partnerID=40&amp;md5=2373adee78cf4a2e38c603d43371032a;http://dx.doi.org/10.1109/TSE.2021.3128356" TargetMode="External"/><Relationship Id="rId454" Type="http://schemas.openxmlformats.org/officeDocument/2006/relationships/hyperlink" Target="https://www.scopus.com/inward/record.uri?eid=2-s2.0-85091933740&amp;doi=10.1145%2f3387904.3389295&amp;partnerID=40&amp;md5=ed9f3b769b9b0983eb421776bb759588;http://dx.doi.org/10.1145/3387904.3389295" TargetMode="External"/><Relationship Id="rId661" Type="http://schemas.openxmlformats.org/officeDocument/2006/relationships/hyperlink" Target="https://www.scopus.com/inward/record.uri?eid=2-s2.0-85067631360&amp;doi=10.1145%2f3290605.3300830&amp;partnerID=40&amp;md5=f1365b81c262fe8ade9bfc485ab8ae11;http://dx.doi.org/10.1145/3290605.3300830" TargetMode="External"/><Relationship Id="rId759" Type="http://schemas.openxmlformats.org/officeDocument/2006/relationships/hyperlink" Target="https://www.scopus.com/inward/record.uri?eid=2-s2.0-85064995774&amp;doi=10.18178%2fijmlc.2019.9.2.793&amp;partnerID=40&amp;md5=89a96da26fda84674bd343ed90000e73;http://dx.doi.org/10.18178/ijmlc.2019.9.2.793" TargetMode="External"/><Relationship Id="rId11" Type="http://schemas.openxmlformats.org/officeDocument/2006/relationships/hyperlink" Target="https://www.scopus.com/inward/record.uri?eid=2-s2.0-85125222267&amp;doi=10.1007%2fs40815-022-01248-5&amp;partnerID=40&amp;md5=9f7e9f99ac22a96db4a97550f0f8e2c5;http://dx.doi.org/10.1007/s40815-022-01248-5" TargetMode="External"/><Relationship Id="rId314" Type="http://schemas.openxmlformats.org/officeDocument/2006/relationships/hyperlink" Target="https://www.scopus.com/inward/record.uri?eid=2-s2.0-85116381167&amp;doi=10.1007%2fs00500-021-06254-7&amp;partnerID=40&amp;md5=743616e25bff5647b6164600c2caca81;http://dx.doi.org/10.1007/s00500-021-06254-7" TargetMode="External"/><Relationship Id="rId398" Type="http://schemas.openxmlformats.org/officeDocument/2006/relationships/hyperlink" Target="https://www.scopus.com/inward/record.uri?eid=2-s2.0-85134042003&amp;doi=10.1145%2f3524842.3527937&amp;partnerID=40&amp;md5=d5aa7d9cefbac729dd7cd036b97d408a;http://dx.doi.org/10.1145/3524842.3527937" TargetMode="External"/><Relationship Id="rId521" Type="http://schemas.openxmlformats.org/officeDocument/2006/relationships/hyperlink" Target="https://www.scopus.com/inward/record.uri?eid=2-s2.0-85113217257&amp;doi=10.1109%2fWAIN52551.2021.00008&amp;partnerID=40&amp;md5=8007c6523e47f344bdf125475ab72681;http://dx.doi.org/10.1109/WAIN52551.2021.00008" TargetMode="External"/><Relationship Id="rId619" Type="http://schemas.openxmlformats.org/officeDocument/2006/relationships/hyperlink" Target="https://www.scopus.com/inward/record.uri?eid=2-s2.0-85066256743&amp;doi=10.1016%2fj.infsof.2019.05.009&amp;partnerID=40&amp;md5=a1ed98175a61323ea9e37c48e98e3b5d;http://dx.doi.org/10.1016/j.infsof.2019.05.009" TargetMode="External"/><Relationship Id="rId95" Type="http://schemas.openxmlformats.org/officeDocument/2006/relationships/hyperlink" Target="https://www.scopus.com/inward/record.uri?eid=2-s2.0-85101745918&amp;doi=10.1109%2fTSE.2021.3060068&amp;partnerID=40&amp;md5=ee66c4a20c1af0b5beffcd87f575d9ad;http://dx.doi.org/10.1109/TSE.2021.3060068" TargetMode="External"/><Relationship Id="rId160" Type="http://schemas.openxmlformats.org/officeDocument/2006/relationships/hyperlink" Target="https://www.scopus.com/inward/record.uri?eid=2-s2.0-85138419041&amp;doi=10.1007%2fs10664-022-10203-9&amp;partnerID=40&amp;md5=d16c0df54ae10ff190933b33b98e4b1a;http://dx.doi.org/10.1007/s10664-022-10203-9" TargetMode="External"/><Relationship Id="rId826" Type="http://schemas.openxmlformats.org/officeDocument/2006/relationships/hyperlink" Target="https://www.scopus.com/inward/record.uri?eid=2-s2.0-85021234082&amp;doi=10.1109%2fICDE.2017.109&amp;partnerID=40&amp;md5=1e7891b987436b8db39d3d8fb42b9c70;http://dx.doi.org/10.1109/ICDE.2017.109" TargetMode="External"/><Relationship Id="rId258" Type="http://schemas.openxmlformats.org/officeDocument/2006/relationships/hyperlink" Target="https://www.scopus.com/inward/record.uri?eid=2-s2.0-85135814472&amp;doi=10.1109%2fSANER53432.2022.00039&amp;partnerID=40&amp;md5=8de238549893d91d497d59d5920f5719;http://dx.doi.org/10.1109/SANER53432.2022.00039" TargetMode="External"/><Relationship Id="rId465" Type="http://schemas.openxmlformats.org/officeDocument/2006/relationships/hyperlink" Target="https://www.scopus.com/inward/record.uri?eid=2-s2.0-85101464715&amp;doi=10.1088%2f2632-2153%2fabd614&amp;partnerID=40&amp;md5=0314ae54375d899eecd46cb3ed417ab5;http://dx.doi.org/10.1088/2632-2153/abd614" TargetMode="External"/><Relationship Id="rId672" Type="http://schemas.openxmlformats.org/officeDocument/2006/relationships/hyperlink" Target="https://www.scopus.com/inward/record.uri?eid=2-s2.0-85092712028&amp;doi=10.1145%2f3377815.3381377&amp;partnerID=40&amp;md5=98ed3c4b97ddeac843854ee0c5ca9648;http://dx.doi.org/10.1145/3377815.3381377" TargetMode="External"/><Relationship Id="rId22" Type="http://schemas.openxmlformats.org/officeDocument/2006/relationships/hyperlink" Target="https://www.scopus.com/inward/record.uri?eid=2-s2.0-85106729716&amp;doi=10.1109%2fTSE.2021.3081171&amp;partnerID=40&amp;md5=67f37fe295058a12ed25afe41c5f8b51;http://dx.doi.org/10.1109/TSE.2021.3081171" TargetMode="External"/><Relationship Id="rId118" Type="http://schemas.openxmlformats.org/officeDocument/2006/relationships/hyperlink" Target="https://www.scopus.com/inward/record.uri?eid=2-s2.0-85140604339&amp;doi=10.3390%2fcomputers11100151&amp;partnerID=40&amp;md5=3b49fdbcd1605c628da34e7a18bf2cf1;http://dx.doi.org/10.3390/computers11100151" TargetMode="External"/><Relationship Id="rId325" Type="http://schemas.openxmlformats.org/officeDocument/2006/relationships/hyperlink" Target="https://www.scopus.com/inward/record.uri?eid=2-s2.0-85134078512&amp;doi=10.1109%2fSANER53432.2022.00022&amp;partnerID=40&amp;md5=83912dd89d5bb13fff0e59bf8748443b;http://dx.doi.org/10.1109/SANER53432.2022.00022" TargetMode="External"/><Relationship Id="rId532" Type="http://schemas.openxmlformats.org/officeDocument/2006/relationships/hyperlink" Target="https://www.scopus.com/inward/record.uri?eid=2-s2.0-85097354714&amp;doi=10.1109%2fISSRE5003.2020.00010&amp;partnerID=40&amp;md5=795fcf5bfbb26fe7892e6069385ad8ee;http://dx.doi.org/10.1109/ISSRE5003.2020.00010" TargetMode="External"/><Relationship Id="rId171" Type="http://schemas.openxmlformats.org/officeDocument/2006/relationships/hyperlink" Target="https://www.scopus.com/inward/record.uri?eid=2-s2.0-85128856166&amp;doi=10.1109%2fTSE.2020.3021736&amp;partnerID=40&amp;md5=f794a4fd06e73f135cc1d917dcb23a74;http://dx.doi.org/10.1109/TSE.2020.3021736" TargetMode="External"/><Relationship Id="rId837" Type="http://schemas.openxmlformats.org/officeDocument/2006/relationships/hyperlink" Target="https://www.scopus.com/inward/record.uri?eid=2-s2.0-85083954471&amp;partnerID=40&amp;md5=446c71b9443bcdefa6ad28aa652b3d0d" TargetMode="External"/><Relationship Id="rId269" Type="http://schemas.openxmlformats.org/officeDocument/2006/relationships/hyperlink" Target="https://www.scopus.com/inward/record.uri?eid=2-s2.0-85108905885&amp;doi=10.1145%2f3463274.3464455&amp;partnerID=40&amp;md5=72d95961bb20e726db887900f1cb3f6d;http://dx.doi.org/10.1145/3463274.3464455" TargetMode="External"/><Relationship Id="rId476" Type="http://schemas.openxmlformats.org/officeDocument/2006/relationships/hyperlink" Target="https://www.scopus.com/inward/record.uri?eid=2-s2.0-85123838162&amp;doi=10.1109%2fVizSec53666.2021.00006&amp;partnerID=40&amp;md5=c8a648eb6cc297caa631247a6f9422ee;http://dx.doi.org/10.1109/VizSec53666.2021.00006" TargetMode="External"/><Relationship Id="rId683" Type="http://schemas.openxmlformats.org/officeDocument/2006/relationships/hyperlink" Target="https://www.scopus.com/inward/record.uri?eid=2-s2.0-85093084744&amp;doi=10.1109%2fICRITO48877.2020.9197868&amp;partnerID=40&amp;md5=01de343202350ecdf1747a86eded5cba;http://dx.doi.org/10.1109/ICRITO48877.2020.9197868" TargetMode="External"/><Relationship Id="rId890" Type="http://schemas.openxmlformats.org/officeDocument/2006/relationships/hyperlink" Target="https://www.scopus.com/inward/record.uri?eid=2-s2.0-85058463945&amp;doi=10.1002%2fsmr.2115&amp;partnerID=40&amp;md5=a3dfe1fadc2b7a37ca9536733b49c84e;http://dx.doi.org/10.1002/smr.2115" TargetMode="External"/><Relationship Id="rId904" Type="http://schemas.openxmlformats.org/officeDocument/2006/relationships/hyperlink" Target="https://www.scopus.com/inward/record.uri?eid=2-s2.0-85006456778&amp;doi=10.1007%2f978-3-319-50478-0_10&amp;partnerID=40&amp;md5=4c4373897f09d45e54249bb2d656efc0;http://dx.doi.org/10.1007/978-3-319-50478-0_10" TargetMode="External"/><Relationship Id="rId33" Type="http://schemas.openxmlformats.org/officeDocument/2006/relationships/hyperlink" Target="https://www.scopus.com/inward/record.uri?eid=2-s2.0-85143129520&amp;doi=10.1145%2f3549035.3561182&amp;partnerID=40&amp;md5=1788a77586625ba6676d4d45a694b27d;http://dx.doi.org/10.1145/3549035.3561182" TargetMode="External"/><Relationship Id="rId129" Type="http://schemas.openxmlformats.org/officeDocument/2006/relationships/hyperlink" Target="https://www.scopus.com/inward/record.uri?eid=2-s2.0-85127828513&amp;doi=10.1145%2f3479008&amp;partnerID=40&amp;md5=7d5197acbbe6613fa26c33417326f668;http://dx.doi.org/10.1145/3479008" TargetMode="External"/><Relationship Id="rId336" Type="http://schemas.openxmlformats.org/officeDocument/2006/relationships/hyperlink" Target="https://www.scopus.com/inward/record.uri?eid=2-s2.0-85102291373&amp;doi=10.1007%2fs12198-021-00230-w&amp;partnerID=40&amp;md5=b63ddf3488fb779f4917217e8731846d;http://dx.doi.org/10.1007/s12198-021-00230-w" TargetMode="External"/><Relationship Id="rId543" Type="http://schemas.openxmlformats.org/officeDocument/2006/relationships/hyperlink" Target="https://www.scopus.com/inward/record.uri?eid=2-s2.0-85099091771&amp;doi=10.1007%2fs10664-020-09916-6&amp;partnerID=40&amp;md5=fb931cfc409ee456e24ad533e80416a4;http://dx.doi.org/10.1007/s10664-020-09916-6" TargetMode="External"/><Relationship Id="rId182" Type="http://schemas.openxmlformats.org/officeDocument/2006/relationships/hyperlink" Target="https://www.scopus.com/inward/record.uri?eid=2-s2.0-85130710474&amp;doi=10.1145%2f3490953&amp;partnerID=40&amp;md5=f51af049efd96e1b1de161be45f7c130;http://dx.doi.org/10.1145/3490953" TargetMode="External"/><Relationship Id="rId403" Type="http://schemas.openxmlformats.org/officeDocument/2006/relationships/hyperlink" Target="https://www.scopus.com/inward/record.uri?eid=2-s2.0-85085562707&amp;doi=10.1002%2fper.2257&amp;partnerID=40&amp;md5=3bc73dab710dc511252df487e134dc05;http://dx.doi.org/10.1002/per.2257" TargetMode="External"/><Relationship Id="rId750" Type="http://schemas.openxmlformats.org/officeDocument/2006/relationships/hyperlink" Target="https://www.scopus.com/inward/record.uri?eid=2-s2.0-85073437829&amp;doi=10.1109%2fCESSER-IP.2019.00009&amp;partnerID=40&amp;md5=6ee4c8ddefaa6d61ea7f840450700a0c;http://dx.doi.org/10.1109/CESSER-IP.2019.00009" TargetMode="External"/><Relationship Id="rId848" Type="http://schemas.openxmlformats.org/officeDocument/2006/relationships/hyperlink" Target="https://www.scopus.com/inward/record.uri?eid=2-s2.0-85015176462&amp;doi=10.1109%2fBigData.2016.7840748&amp;partnerID=40&amp;md5=1561150575893c76c3a51217a41d1ab3;http://dx.doi.org/10.1109/BigData.2016.7840748" TargetMode="External"/><Relationship Id="rId487" Type="http://schemas.openxmlformats.org/officeDocument/2006/relationships/hyperlink" Target="https://www.scopus.com/inward/record.uri?eid=2-s2.0-85091896955&amp;doi=10.1145%2f3387904.3389280&amp;partnerID=40&amp;md5=6204af3174fc76b9c958ade4f579c3a6;http://dx.doi.org/10.1145/3387904.3389280" TargetMode="External"/><Relationship Id="rId610" Type="http://schemas.openxmlformats.org/officeDocument/2006/relationships/hyperlink" Target="https://www.scopus.com/inward/record.uri?eid=2-s2.0-85094116307&amp;doi=10.1145%2f3377812.3381404&amp;partnerID=40&amp;md5=53d6bfa6cbc64787b225d893f8098270;http://dx.doi.org/10.1145/3377812.3381404" TargetMode="External"/><Relationship Id="rId694" Type="http://schemas.openxmlformats.org/officeDocument/2006/relationships/hyperlink" Target="https://www.scopus.com/inward/record.uri?eid=2-s2.0-85076023455&amp;doi=10.1109%2fSEAA.2019.00058&amp;partnerID=40&amp;md5=8782bcadfa91c73f243bfa205aabfbdb;http://dx.doi.org/10.1109/SEAA.2019.00058" TargetMode="External"/><Relationship Id="rId708" Type="http://schemas.openxmlformats.org/officeDocument/2006/relationships/hyperlink" Target="https://www.scopus.com/inward/record.uri?eid=2-s2.0-85097644879&amp;doi=10.1007%2f978-3-030-64148-1_10&amp;partnerID=40&amp;md5=3b7d291d1dbc27d47773d40d60fdbd7e;http://dx.doi.org/10.1007/978-3-030-64148-1_10" TargetMode="External"/><Relationship Id="rId915" Type="http://schemas.openxmlformats.org/officeDocument/2006/relationships/hyperlink" Target="https://www.scopus.com/inward/record.uri?eid=2-s2.0-84984985889&amp;doi=10.1145%2f2939672.2939778&amp;partnerID=40&amp;md5=217b33ce367d1ea7001014a5ac694c79;http://dx.doi.org/10.1145/2939672.2939778" TargetMode="External"/><Relationship Id="rId347" Type="http://schemas.openxmlformats.org/officeDocument/2006/relationships/hyperlink" Target="https://www.scopus.com/inward/record.uri?eid=2-s2.0-85133204295&amp;doi=10.53106%2f160792642022052303021&amp;partnerID=40&amp;md5=cf299fe5b610d06f963041f07a5afefb;http://dx.doi.org/10.53106/160792642022052303021" TargetMode="External"/><Relationship Id="rId44" Type="http://schemas.openxmlformats.org/officeDocument/2006/relationships/hyperlink" Target="https://www.scopus.com/inward/record.uri?eid=2-s2.0-85130759581&amp;doi=10.1145%2f3503509&amp;partnerID=40&amp;md5=9fe3adb7cd22469cc37df72481195af2;http://dx.doi.org/10.1145/3503509" TargetMode="External"/><Relationship Id="rId554" Type="http://schemas.openxmlformats.org/officeDocument/2006/relationships/hyperlink" Target="https://www.scopus.com/inward/record.uri?eid=2-s2.0-85100749826&amp;doi=10.1142%2fS0218194021500017&amp;partnerID=40&amp;md5=f7c76b5b6a6f5e80d5aa3896e874c0d8;http://dx.doi.org/10.1142/S0218194021500017" TargetMode="External"/><Relationship Id="rId761" Type="http://schemas.openxmlformats.org/officeDocument/2006/relationships/hyperlink" Target="https://www.scopus.com/inward/record.uri?eid=2-s2.0-85098171792&amp;doi=10.1007%2f978-3-030-63322-6_4&amp;partnerID=40&amp;md5=bcb4cba359711f76a867d3f48e411765;http://dx.doi.org/10.1007/978-3-030-63322-6_4" TargetMode="External"/><Relationship Id="rId859" Type="http://schemas.openxmlformats.org/officeDocument/2006/relationships/hyperlink" Target="https://www.scopus.com/inward/record.uri?eid=2-s2.0-85075303052&amp;partnerID=40&amp;md5=9d1bd6760a36387d25b5159c3ca86abd" TargetMode="External"/><Relationship Id="rId193" Type="http://schemas.openxmlformats.org/officeDocument/2006/relationships/hyperlink" Target="https://www.scopus.com/inward/record.uri?eid=2-s2.0-85138607469&amp;doi=10.3390%2fmath10183233&amp;partnerID=40&amp;md5=b48c2401e1e3e2f65556676d01e9f6aa;http://dx.doi.org/10.3390/math10183233" TargetMode="External"/><Relationship Id="rId207" Type="http://schemas.openxmlformats.org/officeDocument/2006/relationships/hyperlink" Target="https://www.scopus.com/inward/record.uri?eid=2-s2.0-85128143850&amp;doi=10.4018%2f9781799869856&amp;partnerID=40&amp;md5=c68135660fe735db4c9025cfefebddd2;http://dx.doi.org/10.4018/9781799869856" TargetMode="External"/><Relationship Id="rId414" Type="http://schemas.openxmlformats.org/officeDocument/2006/relationships/hyperlink" Target="https://www.scopus.com/inward/record.uri?eid=2-s2.0-85087511768&amp;doi=10.1007%2fs11219-020-09520-3&amp;partnerID=40&amp;md5=3825cb06f748a2af90903823c08d80f6;http://dx.doi.org/10.1007/s11219-020-09520-3" TargetMode="External"/><Relationship Id="rId498" Type="http://schemas.openxmlformats.org/officeDocument/2006/relationships/hyperlink" Target="https://www.scopus.com/inward/record.uri?eid=2-s2.0-85123212543&amp;doi=10.1109%2fIC2E52221.2021.00034&amp;partnerID=40&amp;md5=c2344d21b8096b68a0886e87a42dff46;http://dx.doi.org/10.1109/IC2E52221.2021.00034" TargetMode="External"/><Relationship Id="rId621" Type="http://schemas.openxmlformats.org/officeDocument/2006/relationships/hyperlink" Target="https://www.scopus.com/inward/record.uri?eid=2-s2.0-85073435706&amp;doi=10.1109%2fIWoR.2019.00015&amp;partnerID=40&amp;md5=e10e2a5c9022551b1016cdc78d9b9a95;http://dx.doi.org/10.1109/IWoR.2019.00015" TargetMode="External"/><Relationship Id="rId260" Type="http://schemas.openxmlformats.org/officeDocument/2006/relationships/hyperlink" Target="https://www.scopus.com/inward/record.uri?eid=2-s2.0-85135860484&amp;doi=10.1109%2fSANER53432.2022.00029&amp;partnerID=40&amp;md5=c05b0ee4ebadf35d988ad552d51ac1a3;http://dx.doi.org/10.1109/SANER53432.2022.00029" TargetMode="External"/><Relationship Id="rId719" Type="http://schemas.openxmlformats.org/officeDocument/2006/relationships/hyperlink" Target="https://www.scopus.com/inward/record.uri?eid=2-s2.0-85080861178&amp;doi=10.1109%2fISSREW.2019.00035&amp;partnerID=40&amp;md5=dc8eaabf2d5a6ec47bb4b44643a5c3fa;http://dx.doi.org/10.1109/ISSREW.2019.00035" TargetMode="External"/><Relationship Id="rId926" Type="http://schemas.openxmlformats.org/officeDocument/2006/relationships/hyperlink" Target="https://www.scopus.com/inward/record.uri?eid=2-s2.0-85044651549&amp;doi=10.1016%2fj.jss.2017.12.034&amp;partnerID=40&amp;md5=0275655072c9d7072652bb43654908e7;http://dx.doi.org/10.1016/j.jss.2017.12.034" TargetMode="External"/><Relationship Id="rId55" Type="http://schemas.openxmlformats.org/officeDocument/2006/relationships/hyperlink" Target="https://www.scopus.com/inward/record.uri?eid=2-s2.0-85133116259&amp;doi=10.1007%2fs11219-021-09557-y&amp;partnerID=40&amp;md5=e24fca2c7254408c8ac21156402db9a3;http://dx.doi.org/10.1007/s11219-021-09557-y" TargetMode="External"/><Relationship Id="rId120" Type="http://schemas.openxmlformats.org/officeDocument/2006/relationships/hyperlink" Target="https://www.scopus.com/inward/record.uri?eid=2-s2.0-85131510401&amp;doi=10.1038%2fs41746-022-00611-y&amp;partnerID=40&amp;md5=09f7394d60d732fda84bd5dc1c8a133e;http://dx.doi.org/10.1038/s41746-022-00611-y" TargetMode="External"/><Relationship Id="rId358" Type="http://schemas.openxmlformats.org/officeDocument/2006/relationships/hyperlink" Target="https://www.scopus.com/inward/record.uri?eid=2-s2.0-85121707446&amp;doi=10.1177%2f18479790211062044&amp;partnerID=40&amp;md5=b785de8c083927f7e9836909f1e58fd5;http://dx.doi.org/10.1177/18479790211062044" TargetMode="External"/><Relationship Id="rId565" Type="http://schemas.openxmlformats.org/officeDocument/2006/relationships/hyperlink" Target="https://www.scopus.com/inward/record.uri?eid=2-s2.0-85127693591&amp;doi=10.1109%2fAIKE52691.2021.00010&amp;partnerID=40&amp;md5=ab80be2a0ca9fc311ecc098c76e85efe;http://dx.doi.org/10.1109/AIKE52691.2021.00010" TargetMode="External"/><Relationship Id="rId772" Type="http://schemas.openxmlformats.org/officeDocument/2006/relationships/hyperlink" Target="https://www.scopus.com/inward/record.uri?eid=2-s2.0-85090177992&amp;doi=10.1007%2f978-3-030-57321-8_25&amp;partnerID=40&amp;md5=91084d2ddcf15d354de3a3f429b02b0d;http://dx.doi.org/10.1007/978-3-030-57321-8_25" TargetMode="External"/><Relationship Id="rId218" Type="http://schemas.openxmlformats.org/officeDocument/2006/relationships/hyperlink" Target="https://www.scopus.com/inward/record.uri?eid=2-s2.0-85118863045&amp;doi=10.3390%2finfo12110437&amp;partnerID=40&amp;md5=e38a833f0d268ecacdb0bc53af1c48d4;http://dx.doi.org/10.3390/info12110437" TargetMode="External"/><Relationship Id="rId425" Type="http://schemas.openxmlformats.org/officeDocument/2006/relationships/hyperlink" Target="https://www.scopus.com/inward/record.uri?eid=2-s2.0-85093925437&amp;doi=10.1145%2f3382494.3410680&amp;partnerID=40&amp;md5=c811f43a3e197f225b6bf063c67e0aed;http://dx.doi.org/10.1145/3382494.3410680" TargetMode="External"/><Relationship Id="rId632" Type="http://schemas.openxmlformats.org/officeDocument/2006/relationships/hyperlink" Target="https://www.scopus.com/inward/record.uri?eid=2-s2.0-85079378944&amp;doi=10.1016%2fj.infsof.2020.106274&amp;partnerID=40&amp;md5=6f22bb95c1daf557005d2cd3a19f65eb;http://dx.doi.org/10.1016/j.infsof.2020.106274" TargetMode="External"/><Relationship Id="rId271" Type="http://schemas.openxmlformats.org/officeDocument/2006/relationships/hyperlink" Target="https://www.scopus.com/inward/record.uri?eid=2-s2.0-85128925243&amp;doi=10.1007%2f978-3-031-04115-0_3&amp;partnerID=40&amp;md5=7cebbd7dddbf4281addae297ccc02fa3;http://dx.doi.org/10.1007/978-3-031-04115-0_3" TargetMode="External"/><Relationship Id="rId937" Type="http://schemas.openxmlformats.org/officeDocument/2006/relationships/hyperlink" Target="https://www.scopus.com/inward/record.uri?eid=2-s2.0-85057113704&amp;doi=10.1109%2fICDE.2018.00159&amp;partnerID=40&amp;md5=9f84eeae9e2f154f00c81fbded42d099;http://dx.doi.org/10.1109/ICDE.2018.00159" TargetMode="External"/><Relationship Id="rId66" Type="http://schemas.openxmlformats.org/officeDocument/2006/relationships/hyperlink" Target="https://www.scopus.com/inward/record.uri?eid=2-s2.0-85139132343&amp;doi=10.1145%2f3555228.3555250&amp;partnerID=40&amp;md5=b1d72504567443cd4c6e5fb61825895e;http://dx.doi.org/10.1145/3555228.3555250" TargetMode="External"/><Relationship Id="rId131" Type="http://schemas.openxmlformats.org/officeDocument/2006/relationships/hyperlink" Target="https://www.scopus.com/inward/record.uri?eid=2-s2.0-85142683338&amp;doi=10.1007%2f978-3-031-21388-5_19&amp;partnerID=40&amp;md5=c3af08459cf0233cd5db9d511d5918d9;http://dx.doi.org/10.1007/978-3-031-21388-5_19" TargetMode="External"/><Relationship Id="rId369" Type="http://schemas.openxmlformats.org/officeDocument/2006/relationships/hyperlink" Target="https://www.scopus.com/inward/record.uri?eid=2-s2.0-85102578152&amp;doi=10.1016%2fj.jss.2021.110941&amp;partnerID=40&amp;md5=dcbc0dc703f07e37f7f5fecc315e151d;http://dx.doi.org/10.1016/j.jss.2021.110941" TargetMode="External"/><Relationship Id="rId576" Type="http://schemas.openxmlformats.org/officeDocument/2006/relationships/hyperlink" Target="https://www.scopus.com/inward/record.uri?eid=2-s2.0-85102359323&amp;doi=10.1109%2fAPSEC51365.2020.00048&amp;partnerID=40&amp;md5=0853303162ddbab2b67c1f89f83f472d;http://dx.doi.org/10.1109/APSEC51365.2020.00048" TargetMode="External"/><Relationship Id="rId783" Type="http://schemas.openxmlformats.org/officeDocument/2006/relationships/hyperlink" Target="https://www.scopus.com/inward/record.uri?eid=2-s2.0-85076041964&amp;doi=10.1007%2fs10664-019-09773-y&amp;partnerID=40&amp;md5=95f8bcbd18fbbb141eba8daf680739ed;http://dx.doi.org/10.1007/s10664-019-09773-y" TargetMode="External"/><Relationship Id="rId229" Type="http://schemas.openxmlformats.org/officeDocument/2006/relationships/hyperlink" Target="https://www.scopus.com/inward/record.uri?eid=2-s2.0-85116351574&amp;doi=10.1016%2fj.jss.2021.111096&amp;partnerID=40&amp;md5=8c5aa6e19ea2dc2cba467254b20cb554;http://dx.doi.org/10.1016/j.jss.2021.111096" TargetMode="External"/><Relationship Id="rId436" Type="http://schemas.openxmlformats.org/officeDocument/2006/relationships/hyperlink" Target="https://www.scopus.com/inward/record.uri?eid=2-s2.0-85105369998&amp;doi=10.1109%2fTASE49443.2020.00012&amp;partnerID=40&amp;md5=4698bb49666119a0b843832b20db9c1c;http://dx.doi.org/10.1109/TASE49443.2020.00012" TargetMode="External"/><Relationship Id="rId643" Type="http://schemas.openxmlformats.org/officeDocument/2006/relationships/hyperlink" Target="https://www.scopus.com/inward/record.uri?eid=2-s2.0-85084979078&amp;partnerID=40&amp;md5=f79ee9b00beaa673b49155e8ec7d7c95" TargetMode="External"/><Relationship Id="rId850" Type="http://schemas.openxmlformats.org/officeDocument/2006/relationships/hyperlink" Target="https://www.scopus.com/inward/record.uri?eid=2-s2.0-84965107309&amp;partnerID=40&amp;md5=18bbc8dc5266339b6dc47a1e9b508dcf" TargetMode="External"/><Relationship Id="rId948" Type="http://schemas.openxmlformats.org/officeDocument/2006/relationships/hyperlink" Target="https://www.scopus.com/inward/record.uri?eid=2-s2.0-85054784046&amp;doi=10.1007%2f978-3-030-01042-3_14&amp;partnerID=40&amp;md5=eb8f2bfd96f8220542a4058ba72bf954;http://dx.doi.org/10.1007/978-3-030-01042-3_14" TargetMode="External"/><Relationship Id="rId77" Type="http://schemas.openxmlformats.org/officeDocument/2006/relationships/hyperlink" Target="https://www.scopus.com/inward/record.uri?eid=2-s2.0-85139215662&amp;doi=10.1109%2fACCESS.2022.3206382&amp;partnerID=40&amp;md5=f8deba300522a5711553a896b6fe4009;http://dx.doi.org/10.1109/ACCESS.2022.3206382" TargetMode="External"/><Relationship Id="rId282" Type="http://schemas.openxmlformats.org/officeDocument/2006/relationships/hyperlink" Target="https://www.scopus.com/inward/record.uri?eid=2-s2.0-85132395661&amp;doi=10.1109%2fICSE-Companion55297.2022.9793798&amp;partnerID=40&amp;md5=8340ae7a93b28121554e6125d6f393e4;http://dx.doi.org/10.1109/ICSE-Companion55297.2022.9793798" TargetMode="External"/><Relationship Id="rId503" Type="http://schemas.openxmlformats.org/officeDocument/2006/relationships/hyperlink" Target="https://www.scopus.com/inward/record.uri?eid=2-s2.0-85108962461&amp;doi=10.1145%2f3448016.3457566&amp;partnerID=40&amp;md5=5457d9aba01d113608abd8913c746563;http://dx.doi.org/10.1145/3448016.3457566" TargetMode="External"/><Relationship Id="rId587" Type="http://schemas.openxmlformats.org/officeDocument/2006/relationships/hyperlink" Target="https://www.scopus.com/inward/record.uri?eid=2-s2.0-85101567368&amp;doi=10.1109%2fINDICON49873.2020.9342579&amp;partnerID=40&amp;md5=70d266f18a400ee242fcb4af32e3f28e;http://dx.doi.org/10.1109/INDICON49873.2020.9342579" TargetMode="External"/><Relationship Id="rId710" Type="http://schemas.openxmlformats.org/officeDocument/2006/relationships/hyperlink" Target="https://www.scopus.com/inward/record.uri?eid=2-s2.0-85081634201&amp;doi=10.1007%2fs10664-019-09788-5&amp;partnerID=40&amp;md5=2cd209ad64b6d45955d9d90dfceaf6c6;http://dx.doi.org/10.1007/s10664-019-09788-5" TargetMode="External"/><Relationship Id="rId808" Type="http://schemas.openxmlformats.org/officeDocument/2006/relationships/hyperlink" Target="https://www.scopus.com/inward/record.uri?eid=2-s2.0-85034592025&amp;doi=10.1007%2f978-3-319-69926-4_13&amp;partnerID=40&amp;md5=6bded589da576075dcada2624dba849f;http://dx.doi.org/10.1007/978-3-319-69926-4_13" TargetMode="External"/><Relationship Id="rId8" Type="http://schemas.openxmlformats.org/officeDocument/2006/relationships/hyperlink" Target="https://www.scopus.com/inward/record.uri?eid=2-s2.0-85139844046&amp;doi=10.1145%2f3544902.3546637&amp;partnerID=40&amp;md5=58be2f1b51158cf58cefaaec91658062;http://dx.doi.org/10.1145/3544902.3546637" TargetMode="External"/><Relationship Id="rId142" Type="http://schemas.openxmlformats.org/officeDocument/2006/relationships/hyperlink" Target="https://www.scopus.com/inward/record.uri?eid=2-s2.0-85142686832&amp;doi=10.1007%2f978-3-031-19756-7_17&amp;partnerID=40&amp;md5=e7512dbcb4102e5308e13e7d16800931;http://dx.doi.org/10.1007/978-3-031-19756-7_17" TargetMode="External"/><Relationship Id="rId447" Type="http://schemas.openxmlformats.org/officeDocument/2006/relationships/hyperlink" Target="https://www.scopus.com/inward/record.uri?eid=2-s2.0-85125441263&amp;doi=10.1109%2fASE51524.2021.9678592&amp;partnerID=40&amp;md5=aec529ae74edbde13c5e9566de28f835;http://dx.doi.org/10.1109/ASE51524.2021.9678592" TargetMode="External"/><Relationship Id="rId794" Type="http://schemas.openxmlformats.org/officeDocument/2006/relationships/hyperlink" Target="https://www.scopus.com/inward/record.uri?eid=2-s2.0-85051376098&amp;doi=10.1109%2fTSE.2018.2864217&amp;partnerID=40&amp;md5=a3523e1e2bc2dc31efb5d92f98a36d08;http://dx.doi.org/10.1109/TSE.2018.2864217" TargetMode="External"/><Relationship Id="rId654" Type="http://schemas.openxmlformats.org/officeDocument/2006/relationships/hyperlink" Target="https://www.scopus.com/inward/record.uri?eid=2-s2.0-85099151643&amp;doi=10.14778%2f3436905.3436925&amp;partnerID=40&amp;md5=ad8619d7d14b0b32820b1a17e1a8c6aa;http://dx.doi.org/10.14778/3436905.3436925" TargetMode="External"/><Relationship Id="rId861" Type="http://schemas.openxmlformats.org/officeDocument/2006/relationships/hyperlink" Target="https://www.scopus.com/inward/record.uri?eid=2-s2.0-85028532467&amp;doi=10.23919%2fConTEL.2017.8000012&amp;partnerID=40&amp;md5=fc020b3455bc103854a84bf5a68ea689;http://dx.doi.org/10.23919/ConTEL.2017.8000012" TargetMode="External"/><Relationship Id="rId293" Type="http://schemas.openxmlformats.org/officeDocument/2006/relationships/hyperlink" Target="https://www.scopus.com/inward/record.uri?eid=2-s2.0-85118479420&amp;doi=10.1002%2fsmr.2399&amp;partnerID=40&amp;md5=8b23b60c3e7565eb74045937f71d58cd;http://dx.doi.org/10.1002/smr.2399" TargetMode="External"/><Relationship Id="rId307" Type="http://schemas.openxmlformats.org/officeDocument/2006/relationships/hyperlink" Target="https://www.scopus.com/inward/record.uri?eid=2-s2.0-85119188059&amp;doi=10.1109%2fSEAA53835.2021.00032&amp;partnerID=40&amp;md5=aa61a2e188974a7848c87e65473cb369;http://dx.doi.org/10.1109/SEAA53835.2021.00032" TargetMode="External"/><Relationship Id="rId514" Type="http://schemas.openxmlformats.org/officeDocument/2006/relationships/hyperlink" Target="https://www.scopus.com/inward/record.uri?eid=2-s2.0-85096810527&amp;doi=10.1145%2f3417990.3420196&amp;partnerID=40&amp;md5=734bb34bd97d5b82326506bf0e316734;http://dx.doi.org/10.1145/3417990.3420196" TargetMode="External"/><Relationship Id="rId721" Type="http://schemas.openxmlformats.org/officeDocument/2006/relationships/hyperlink" Target="https://www.scopus.com/inward/record.uri?eid=2-s2.0-85079817562&amp;doi=10.1109%2fACCESS.2020.2964386&amp;partnerID=40&amp;md5=0083a9ea8c0405cf0392007bf1b89a6e;http://dx.doi.org/10.1109/ACCESS.2020.2964386" TargetMode="External"/><Relationship Id="rId88" Type="http://schemas.openxmlformats.org/officeDocument/2006/relationships/hyperlink" Target="https://www.scopus.com/inward/record.uri?eid=2-s2.0-85127582313&amp;doi=10.1109%2fTSE.2020.3007722&amp;partnerID=40&amp;md5=6c1d2b43f85bf226ddb7d2c2da6cce3c;http://dx.doi.org/10.1109/TSE.2020.3007722" TargetMode="External"/><Relationship Id="rId153" Type="http://schemas.openxmlformats.org/officeDocument/2006/relationships/hyperlink" Target="https://www.scopus.com/inward/record.uri?eid=2-s2.0-85133005994&amp;doi=10.1145%2f3531146.3533158&amp;partnerID=40&amp;md5=205ca6f2e3d8df6d95c6dce290e423f5;http://dx.doi.org/10.1145/3531146.3533158" TargetMode="External"/><Relationship Id="rId360" Type="http://schemas.openxmlformats.org/officeDocument/2006/relationships/hyperlink" Target="https://www.scopus.com/inward/record.uri?eid=2-s2.0-85109370861&amp;doi=10.1088%2f1742-6596%2f1955%2f1%2f012102&amp;partnerID=40&amp;md5=9fc23f8475fd6669354976ce553fb5c6;http://dx.doi.org/10.1088/1742-6596/1955/1/012102" TargetMode="External"/><Relationship Id="rId598" Type="http://schemas.openxmlformats.org/officeDocument/2006/relationships/hyperlink" Target="https://www.scopus.com/inward/record.uri?eid=2-s2.0-85092234625&amp;doi=10.1007%2f978-3-030-58811-3_73&amp;partnerID=40&amp;md5=5869cd3d767df9c2edac6039a5407bd2;http://dx.doi.org/10.1007/978-3-030-58811-3_73" TargetMode="External"/><Relationship Id="rId819" Type="http://schemas.openxmlformats.org/officeDocument/2006/relationships/hyperlink" Target="https://www.scopus.com/inward/record.uri?eid=2-s2.0-84989960497&amp;doi=10.1145%2f2910896.2910904&amp;partnerID=40&amp;md5=0fb5f4d318a0d7ba5d6a5a314d6be2f3;http://dx.doi.org/10.1145/2910896.2910904" TargetMode="External"/><Relationship Id="rId220" Type="http://schemas.openxmlformats.org/officeDocument/2006/relationships/hyperlink" Target="https://www.scopus.com/inward/record.uri?eid=2-s2.0-85130738070&amp;doi=10.4018%2fIJOSSP.300756&amp;partnerID=40&amp;md5=242b5facb6672ebf14f1465c699beb8f;http://dx.doi.org/10.4018/IJOSSP.300756" TargetMode="External"/><Relationship Id="rId458" Type="http://schemas.openxmlformats.org/officeDocument/2006/relationships/hyperlink" Target="https://www.scopus.com/inward/record.uri?eid=2-s2.0-85097157302&amp;doi=10.1145%2f3368089.3417919&amp;partnerID=40&amp;md5=81eae8f84ae4ad1536ef68dbed950e74;http://dx.doi.org/10.1145/3368089.3417919" TargetMode="External"/><Relationship Id="rId665" Type="http://schemas.openxmlformats.org/officeDocument/2006/relationships/hyperlink" Target="https://www.scopus.com/inward/record.uri?eid=2-s2.0-85081158422&amp;doi=10.1109%2fACCESS.2019.2952191&amp;partnerID=40&amp;md5=cb8d4bc14bd2f5ceda66a5fba9dd24f7;http://dx.doi.org/10.1109/ACCESS.2019.2952191" TargetMode="External"/><Relationship Id="rId872" Type="http://schemas.openxmlformats.org/officeDocument/2006/relationships/hyperlink" Target="https://www.scopus.com/inward/record.uri?eid=2-s2.0-85041236239&amp;doi=10.1002%2fspe.2563&amp;partnerID=40&amp;md5=3257b0ac4f4ff1b978bb911d18bb5d23;http://dx.doi.org/10.1002/spe.2563" TargetMode="External"/><Relationship Id="rId15" Type="http://schemas.openxmlformats.org/officeDocument/2006/relationships/hyperlink" Target="https://www.scopus.com/inward/record.uri?eid=2-s2.0-85130705823&amp;doi=10.1631%2fFITEE.2100467&amp;partnerID=40&amp;md5=5dd77d10e1754a20c5cce0c213fd2adc;http://dx.doi.org/10.1631/FITEE.2100467" TargetMode="External"/><Relationship Id="rId318" Type="http://schemas.openxmlformats.org/officeDocument/2006/relationships/hyperlink" Target="https://www.scopus.com/inward/record.uri?eid=2-s2.0-85121724655&amp;doi=10.1109%2fTSE.2020.2967380&amp;partnerID=40&amp;md5=f4fe5940b6a57963b6a85c641ee0d5fb;http://dx.doi.org/10.1109/TSE.2020.2967380" TargetMode="External"/><Relationship Id="rId525" Type="http://schemas.openxmlformats.org/officeDocument/2006/relationships/hyperlink" Target="https://www.scopus.com/inward/record.uri?eid=2-s2.0-85097843589&amp;doi=10.1007%2f978-3-030-49795-8_31&amp;partnerID=40&amp;md5=601568d9f1b5bda19f7cebe1bee3c2f8;http://dx.doi.org/10.1007/978-3-030-49795-8_31" TargetMode="External"/><Relationship Id="rId732" Type="http://schemas.openxmlformats.org/officeDocument/2006/relationships/hyperlink" Target="https://www.scopus.com/inward/record.uri?eid=2-s2.0-85066035758&amp;doi=10.1145%2f3313151.3313166&amp;partnerID=40&amp;md5=e1cc9ace6353999a630b266e53c92d42;http://dx.doi.org/10.1145/3313151.3313166" TargetMode="External"/><Relationship Id="rId99" Type="http://schemas.openxmlformats.org/officeDocument/2006/relationships/hyperlink" Target="https://www.scopus.com/inward/record.uri?eid=2-s2.0-85132359794&amp;doi=10.1145%2f3530019.3530035&amp;partnerID=40&amp;md5=b840f2d862131c038d7b65cf61a475b8;http://dx.doi.org/10.1145/3530019.3530035" TargetMode="External"/><Relationship Id="rId164" Type="http://schemas.openxmlformats.org/officeDocument/2006/relationships/hyperlink" Target="https://www.scopus.com/inward/record.uri?eid=2-s2.0-85141687357&amp;doi=10.1007%2f978-3-031-18461-1_10&amp;partnerID=40&amp;md5=e0dcff8ddb04c6d6c4314b57f711be75;http://dx.doi.org/10.1007/978-3-031-18461-1_10" TargetMode="External"/><Relationship Id="rId371" Type="http://schemas.openxmlformats.org/officeDocument/2006/relationships/hyperlink" Target="https://www.scopus.com/inward/record.uri?eid=2-s2.0-85126020125&amp;doi=10.1007%2fs10796-022-10259-4&amp;partnerID=40&amp;md5=02d7f58fed7b812eb6ee8d66637e9358;http://dx.doi.org/10.1007/s10796-022-10259-4" TargetMode="External"/><Relationship Id="rId469" Type="http://schemas.openxmlformats.org/officeDocument/2006/relationships/hyperlink" Target="https://www.scopus.com/inward/record.uri?eid=2-s2.0-85100249613&amp;doi=10.1109%2f3ICT51146.2020.9311978&amp;partnerID=40&amp;md5=1832d73521c6f12bc9c848a1637b63b5;http://dx.doi.org/10.1109/3ICT51146.2020.9311978" TargetMode="External"/><Relationship Id="rId676" Type="http://schemas.openxmlformats.org/officeDocument/2006/relationships/hyperlink" Target="https://www.scopus.com/inward/record.uri?eid=2-s2.0-85073675359&amp;doi=10.1127%2fmetz%2f2019%2f0934&amp;partnerID=40&amp;md5=33bed54e7cebeb47fc1c700e4a4a537d;http://dx.doi.org/10.1127/metz/2019/0934" TargetMode="External"/><Relationship Id="rId883" Type="http://schemas.openxmlformats.org/officeDocument/2006/relationships/hyperlink" Target="https://www.scopus.com/inward/record.uri?eid=2-s2.0-85069772253&amp;doi=10.1145%2f3180155.3180220&amp;partnerID=40&amp;md5=bd81c43f9e437a21d2524b38678cb67f;http://dx.doi.org/10.1145/3180155.3180220" TargetMode="External"/><Relationship Id="rId26" Type="http://schemas.openxmlformats.org/officeDocument/2006/relationships/hyperlink" Target="https://www.scopus.com/inward/record.uri?eid=2-s2.0-85130710048&amp;doi=10.1145%2f3488245&amp;partnerID=40&amp;md5=bfecfcbf1c8e6522cc763a93063351e6;http://dx.doi.org/10.1145/3488245" TargetMode="External"/><Relationship Id="rId231" Type="http://schemas.openxmlformats.org/officeDocument/2006/relationships/hyperlink" Target="https://www.scopus.com/inward/record.uri?eid=2-s2.0-85117924888&amp;doi=10.1145%2f3475716.3484487&amp;partnerID=40&amp;md5=7477753012d271fbd0106804685ba436;http://dx.doi.org/10.1145/3475716.3484487" TargetMode="External"/><Relationship Id="rId329" Type="http://schemas.openxmlformats.org/officeDocument/2006/relationships/hyperlink" Target="https://www.scopus.com/inward/record.uri?eid=2-s2.0-85098414166&amp;doi=10.1109%2fTSE.2020.2986415&amp;partnerID=40&amp;md5=638abf74d76cd60698871916833f90ae;http://dx.doi.org/10.1109/TSE.2020.2986415" TargetMode="External"/><Relationship Id="rId536" Type="http://schemas.openxmlformats.org/officeDocument/2006/relationships/hyperlink" Target="https://www.scopus.com/inward/record.uri?eid=2-s2.0-85124423330&amp;doi=10.1109%2fCIMPS54606.2021.9652693&amp;partnerID=40&amp;md5=a37e94e0429e7681a1701a4ea483670e;http://dx.doi.org/10.1109/CIMPS54606.2021.9652693" TargetMode="External"/><Relationship Id="rId175" Type="http://schemas.openxmlformats.org/officeDocument/2006/relationships/hyperlink" Target="https://www.scopus.com/inward/record.uri?eid=2-s2.0-85137877053&amp;doi=10.1007%2fs00146-022-01545-5&amp;partnerID=40&amp;md5=d8c22f1754387bc87f8704756d6dcd9e;http://dx.doi.org/10.1007/s00146-022-01545-5" TargetMode="External"/><Relationship Id="rId743" Type="http://schemas.openxmlformats.org/officeDocument/2006/relationships/hyperlink" Target="https://www.scopus.com/inward/record.uri?eid=2-s2.0-85085967138&amp;doi=10.1109%2fJPROC.2020.2985293&amp;partnerID=40&amp;md5=cc8946989ba1be8454524fde5c94ffee;http://dx.doi.org/10.1109/JPROC.2020.2985293" TargetMode="External"/><Relationship Id="rId950" Type="http://schemas.openxmlformats.org/officeDocument/2006/relationships/hyperlink" Target="https://www.scopus.com/inward/record.uri?eid=2-s2.0-85048500823&amp;doi=10.1007%2fs13740-018-0086-2&amp;partnerID=40&amp;md5=384d40e6b2ccb7b40f3745f3a7e7881f;http://dx.doi.org/10.1007/s13740-018-0086-2" TargetMode="External"/><Relationship Id="rId382" Type="http://schemas.openxmlformats.org/officeDocument/2006/relationships/hyperlink" Target="https://www.scopus.com/inward/record.uri?eid=2-s2.0-85109165765&amp;doi=10.1016%2fj.infsof.2021.106669&amp;partnerID=40&amp;md5=001e083353bc73d6d036bf61af0c72f4;http://dx.doi.org/10.1016/j.infsof.2021.106669" TargetMode="External"/><Relationship Id="rId603" Type="http://schemas.openxmlformats.org/officeDocument/2006/relationships/hyperlink" Target="https://www.scopus.com/inward/record.uri?eid=2-s2.0-85095611801&amp;doi=10.1109%2fICONC345789.2020.9117485&amp;partnerID=40&amp;md5=02ee1e9e849c70a11bf100bfca39e590;http://dx.doi.org/10.1109/ICONC345789.2020.9117485" TargetMode="External"/><Relationship Id="rId687" Type="http://schemas.openxmlformats.org/officeDocument/2006/relationships/hyperlink" Target="https://www.scopus.com/inward/record.uri?eid=2-s2.0-85092287665&amp;partnerID=40&amp;md5=8238ee074e3e0cb1fbdfe7ca6e7d964e" TargetMode="External"/><Relationship Id="rId810" Type="http://schemas.openxmlformats.org/officeDocument/2006/relationships/hyperlink" Target="https://www.scopus.com/inward/record.uri?eid=2-s2.0-85028058482&amp;doi=10.1016%2fj.jss.2017.08.017&amp;partnerID=40&amp;md5=85d44fc2bba91f523de7e2c6d5d47736;http://dx.doi.org/10.1016/j.jss.2017.08.017" TargetMode="External"/><Relationship Id="rId908" Type="http://schemas.openxmlformats.org/officeDocument/2006/relationships/hyperlink" Target="https://www.scopus.com/inward/record.uri?eid=2-s2.0-85034432549&amp;doi=10.1109%2fSEAA.2017.15&amp;partnerID=40&amp;md5=45c23c07014a9deea0ed21eebd3ec72a;http://dx.doi.org/10.1109/SEAA.2017.15" TargetMode="External"/><Relationship Id="rId242" Type="http://schemas.openxmlformats.org/officeDocument/2006/relationships/hyperlink" Target="https://www.scopus.com/inward/record.uri?eid=2-s2.0-85098747435&amp;doi=10.1109%2fJIOT.2020.3046441&amp;partnerID=40&amp;md5=2590b03f81218d081d6390b18c6c74c9;http://dx.doi.org/10.1109/JIOT.2020.3046441" TargetMode="External"/><Relationship Id="rId894" Type="http://schemas.openxmlformats.org/officeDocument/2006/relationships/hyperlink" Target="https://www.scopus.com/inward/record.uri?eid=2-s2.0-85051677013&amp;doi=10.1145%2f3195555.3195562&amp;partnerID=40&amp;md5=399ade8ebe06d485719a7dd517c847ef;http://dx.doi.org/10.1145/3195555.3195562" TargetMode="External"/><Relationship Id="rId37" Type="http://schemas.openxmlformats.org/officeDocument/2006/relationships/hyperlink" Target="https://www.scopus.com/inward/record.uri?eid=2-s2.0-85117576971&amp;doi=10.1007%2fs10270-021-00929-3&amp;partnerID=40&amp;md5=4dfe6f4506c21606c462b383c383b789;http://dx.doi.org/10.1007/s10270-021-00929-3" TargetMode="External"/><Relationship Id="rId102" Type="http://schemas.openxmlformats.org/officeDocument/2006/relationships/hyperlink" Target="https://www.scopus.com/inward/record.uri?eid=2-s2.0-85143261277&amp;partnerID=40&amp;md5=c1a55cd1bd7f0e35fb6f0a419d867e8f" TargetMode="External"/><Relationship Id="rId547" Type="http://schemas.openxmlformats.org/officeDocument/2006/relationships/hyperlink" Target="https://www.scopus.com/inward/record.uri?eid=2-s2.0-85102646173&amp;doi=10.1145%2f3442188.3445918&amp;partnerID=40&amp;md5=de914614bddc5b2a46bb56fb40e0c3f6;http://dx.doi.org/10.1145/3442188.3445918" TargetMode="External"/><Relationship Id="rId754" Type="http://schemas.openxmlformats.org/officeDocument/2006/relationships/hyperlink" Target="https://www.scopus.com/inward/record.uri?eid=2-s2.0-85085926600&amp;doi=10.1145%2f3358960.3379130&amp;partnerID=40&amp;md5=f4be5d49f90b9acb39fde0931a466cdd;http://dx.doi.org/10.1145/3358960.3379130" TargetMode="External"/><Relationship Id="rId90" Type="http://schemas.openxmlformats.org/officeDocument/2006/relationships/hyperlink" Target="https://www.scopus.com/inward/record.uri?eid=2-s2.0-85136864939&amp;doi=10.1080%2f01972243.2022.2100851&amp;partnerID=40&amp;md5=672b21f6c2efd4a2b0b56a786a3812ef;http://dx.doi.org/10.1080/01972243.2022.2100851" TargetMode="External"/><Relationship Id="rId186" Type="http://schemas.openxmlformats.org/officeDocument/2006/relationships/hyperlink" Target="https://www.scopus.com/inward/record.uri?eid=2-s2.0-85129512886&amp;doi=10.1016%2fj.jss.2022.111336&amp;partnerID=40&amp;md5=2b6bf85134c2819dcdba1c0f1bf045e0;http://dx.doi.org/10.1016/j.jss.2022.111336" TargetMode="External"/><Relationship Id="rId393" Type="http://schemas.openxmlformats.org/officeDocument/2006/relationships/hyperlink" Target="https://www.scopus.com/inward/record.uri?eid=2-s2.0-85119001557&amp;doi=10.1007%2f978-981-16-2102-4_18&amp;partnerID=40&amp;md5=e51eeb954228c26f5fba46011638644a;http://dx.doi.org/10.1007/978-981-16-2102-4_18" TargetMode="External"/><Relationship Id="rId407" Type="http://schemas.openxmlformats.org/officeDocument/2006/relationships/hyperlink" Target="https://www.scopus.com/inward/record.uri?eid=2-s2.0-85086381665&amp;doi=10.1016%2fj.jss.2020.110684&amp;partnerID=40&amp;md5=992a7eee002a59b3a9df05cff256dfc8;http://dx.doi.org/10.1016/j.jss.2020.110684" TargetMode="External"/><Relationship Id="rId614" Type="http://schemas.openxmlformats.org/officeDocument/2006/relationships/hyperlink" Target="https://www.scopus.com/inward/record.uri?eid=2-s2.0-85082479839&amp;doi=10.3390%2fcomputers9010021&amp;partnerID=40&amp;md5=227fb89c60751629b4e1d6676535bd0f;http://dx.doi.org/10.3390/computers9010021" TargetMode="External"/><Relationship Id="rId821" Type="http://schemas.openxmlformats.org/officeDocument/2006/relationships/hyperlink" Target="https://www.scopus.com/inward/record.uri?eid=2-s2.0-85013104749&amp;doi=10.1109%2fREW.2016.46&amp;partnerID=40&amp;md5=5355ed17d60270738edb09f2c591cfba;http://dx.doi.org/10.1109/REW.2016.46" TargetMode="External"/><Relationship Id="rId253" Type="http://schemas.openxmlformats.org/officeDocument/2006/relationships/hyperlink" Target="https://www.scopus.com/inward/record.uri?eid=2-s2.0-85116210160&amp;doi=10.1145%2f3468264.3468553&amp;partnerID=40&amp;md5=6ce12a520cb3da739efe05874cbde11d;http://dx.doi.org/10.1145/3468264.3468553" TargetMode="External"/><Relationship Id="rId460" Type="http://schemas.openxmlformats.org/officeDocument/2006/relationships/hyperlink" Target="https://www.scopus.com/inward/record.uri?eid=2-s2.0-85088924536&amp;doi=10.1016%2fj.jss.2020.110754&amp;partnerID=40&amp;md5=bafd6729f307832361257c34cbdf8685;http://dx.doi.org/10.1016/j.jss.2020.110754" TargetMode="External"/><Relationship Id="rId698" Type="http://schemas.openxmlformats.org/officeDocument/2006/relationships/hyperlink" Target="https://www.scopus.com/inward/record.uri?eid=2-s2.0-85094317336&amp;doi=10.1145%2f3377811.3380378&amp;partnerID=40&amp;md5=04f2a8fe22d46c9728e273be0636e07b;http://dx.doi.org/10.1145/3377811.3380378" TargetMode="External"/><Relationship Id="rId919" Type="http://schemas.openxmlformats.org/officeDocument/2006/relationships/hyperlink" Target="https://www.scopus.com/inward/record.uri?eid=2-s2.0-85050071753&amp;partnerID=40&amp;md5=17d3d7bb3e17ad1c4df00eadc261a667" TargetMode="External"/><Relationship Id="rId48" Type="http://schemas.openxmlformats.org/officeDocument/2006/relationships/hyperlink" Target="https://www.scopus.com/inward/record.uri?eid=2-s2.0-85141871666&amp;doi=10.3390%2fapp122110773&amp;partnerID=40&amp;md5=68da77451b330b3c748a87a531f560c2;http://dx.doi.org/10.3390/app122110773" TargetMode="External"/><Relationship Id="rId113" Type="http://schemas.openxmlformats.org/officeDocument/2006/relationships/hyperlink" Target="https://www.scopus.com/inward/record.uri?eid=2-s2.0-85137825739&amp;doi=10.3389%2ffdgth.2022.939292&amp;partnerID=40&amp;md5=19debbf63d58827dc80975cfcbb37474;http://dx.doi.org/10.3389/fdgth.2022.939292" TargetMode="External"/><Relationship Id="rId320" Type="http://schemas.openxmlformats.org/officeDocument/2006/relationships/hyperlink" Target="https://www.scopus.com/inward/record.uri?eid=2-s2.0-85108908952&amp;doi=10.1145%2f3463274.3463325&amp;partnerID=40&amp;md5=60491fb66bd1538f1f429e96ba5627cd;http://dx.doi.org/10.1145/3463274.3463325" TargetMode="External"/><Relationship Id="rId558" Type="http://schemas.openxmlformats.org/officeDocument/2006/relationships/hyperlink" Target="https://www.scopus.com/inward/record.uri?eid=2-s2.0-85122936707&amp;doi=10.1109%2fETFA45728.2021.9613538&amp;partnerID=40&amp;md5=d05e631efef840c64a487c7fc4697803;http://dx.doi.org/10.1109/ETFA45728.2021.9613538" TargetMode="External"/><Relationship Id="rId765" Type="http://schemas.openxmlformats.org/officeDocument/2006/relationships/hyperlink" Target="https://www.scopus.com/inward/record.uri?eid=2-s2.0-85127339915&amp;doi=10.18420%2finf2020_16&amp;partnerID=40&amp;md5=165b4d942b7a2e1fffbff3379abd6757;http://dx.doi.org/10.18420/inf2020_16" TargetMode="External"/><Relationship Id="rId197" Type="http://schemas.openxmlformats.org/officeDocument/2006/relationships/hyperlink" Target="https://www.scopus.com/inward/record.uri?eid=2-s2.0-85122086312&amp;doi=10.1007%2fs10515-021-00314-w&amp;partnerID=40&amp;md5=21ab1e846b58b044f8c0976ad0d90046;http://dx.doi.org/10.1007/s10515-021-00314-w" TargetMode="External"/><Relationship Id="rId418" Type="http://schemas.openxmlformats.org/officeDocument/2006/relationships/hyperlink" Target="https://www.scopus.com/inward/record.uri?eid=2-s2.0-85104571977&amp;doi=10.1109%2fTSE.2019.2903057&amp;partnerID=40&amp;md5=8321a030c9ea5d1072b8bab803cd5df5;http://dx.doi.org/10.1109/TSE.2019.2903057" TargetMode="External"/><Relationship Id="rId625" Type="http://schemas.openxmlformats.org/officeDocument/2006/relationships/hyperlink" Target="https://www.scopus.com/inward/record.uri?eid=2-s2.0-85082448866&amp;doi=10.24507%2ficicel.14.05.423&amp;partnerID=40&amp;md5=9d3a3fc6034424833899d0a5e186adae;http://dx.doi.org/10.24507/icicel.14.05.423" TargetMode="External"/><Relationship Id="rId832" Type="http://schemas.openxmlformats.org/officeDocument/2006/relationships/hyperlink" Target="https://www.scopus.com/inward/record.uri?eid=2-s2.0-85047325550&amp;doi=10.1145%2f3190507&amp;partnerID=40&amp;md5=2fdd4ae61cb25dd5f7421228ce8cbc2c;http://dx.doi.org/10.1145/3190507" TargetMode="External"/><Relationship Id="rId264" Type="http://schemas.openxmlformats.org/officeDocument/2006/relationships/hyperlink" Target="https://www.scopus.com/inward/record.uri?eid=2-s2.0-85115889625&amp;doi=10.1016%2fj.scico.2021.102693&amp;partnerID=40&amp;md5=5dbc6d48d322c359a08ff5baedd3732b;http://dx.doi.org/10.1016/j.scico.2021.102693" TargetMode="External"/><Relationship Id="rId471" Type="http://schemas.openxmlformats.org/officeDocument/2006/relationships/hyperlink" Target="https://www.scopus.com/inward/record.uri?eid=2-s2.0-85111710917&amp;doi=10.5220%2f0010602203100317&amp;partnerID=40&amp;md5=59b5b34f7c4b07b20ca7796e39fab919;http://dx.doi.org/10.5220/0010602203100317" TargetMode="External"/><Relationship Id="rId59" Type="http://schemas.openxmlformats.org/officeDocument/2006/relationships/hyperlink" Target="https://www.scopus.com/inward/record.uri?eid=2-s2.0-85143878845&amp;doi=10.14569%2fIJACSA.2022.0131132&amp;partnerID=40&amp;md5=3559f9562be7ac2b9c30930c49fe73bc;http://dx.doi.org/10.14569/IJACSA.2022.0131132" TargetMode="External"/><Relationship Id="rId124" Type="http://schemas.openxmlformats.org/officeDocument/2006/relationships/hyperlink" Target="https://www.scopus.com/inward/record.uri?eid=2-s2.0-85140303949&amp;doi=10.1016%2fj.future.2022.10.008&amp;partnerID=40&amp;md5=ec6643aa4d2b049fb3935341cfd2ccb6;http://dx.doi.org/10.1016/j.future.2022.10.008" TargetMode="External"/><Relationship Id="rId569" Type="http://schemas.openxmlformats.org/officeDocument/2006/relationships/hyperlink" Target="https://www.scopus.com/inward/record.uri?eid=2-s2.0-85125451472&amp;doi=10.1109%2fASE51524.2021.9678586&amp;partnerID=40&amp;md5=dfed15c08ee21e719233da1b8bf64a94;http://dx.doi.org/10.1109/ASE51524.2021.9678586" TargetMode="External"/><Relationship Id="rId776" Type="http://schemas.openxmlformats.org/officeDocument/2006/relationships/hyperlink" Target="https://www.scopus.com/inward/record.uri?eid=2-s2.0-85101363818&amp;doi=10.1007%2f978-3-030-66834-1_4&amp;partnerID=40&amp;md5=b08785efee355cebfe4950581f0731e5;http://dx.doi.org/10.1007/978-3-030-66834-1_4" TargetMode="External"/><Relationship Id="rId331" Type="http://schemas.openxmlformats.org/officeDocument/2006/relationships/hyperlink" Target="https://www.scopus.com/inward/record.uri?eid=2-s2.0-85130851259&amp;doi=10.23919%2fDATE54114.2022.9774586&amp;partnerID=40&amp;md5=19eb0ccd49d048c84328829fffa2c2d5;http://dx.doi.org/10.23919/DATE54114.2022.9774586" TargetMode="External"/><Relationship Id="rId429" Type="http://schemas.openxmlformats.org/officeDocument/2006/relationships/hyperlink" Target="https://www.scopus.com/inward/record.uri?eid=2-s2.0-85106397061&amp;doi=10.1007%2f978-3-030-75418-1_25&amp;partnerID=40&amp;md5=e16bc689de5b2986b70c89a82c3a996f;http://dx.doi.org/10.1007/978-3-030-75418-1_25" TargetMode="External"/><Relationship Id="rId636" Type="http://schemas.openxmlformats.org/officeDocument/2006/relationships/hyperlink" Target="https://www.scopus.com/inward/record.uri?eid=2-s2.0-85069918932&amp;doi=10.1016%2fB978-0-12-818597-1.50023-0&amp;partnerID=40&amp;md5=5f2e5c447e31170b8c42b306097c824d;http://dx.doi.org/10.1016/B978-0-12-818597-1.50023-0" TargetMode="External"/><Relationship Id="rId843" Type="http://schemas.openxmlformats.org/officeDocument/2006/relationships/hyperlink" Target="https://www.scopus.com/inward/record.uri?eid=2-s2.0-85025124144&amp;doi=10.1109%2fICPC.2017.32&amp;partnerID=40&amp;md5=255ec184eb1e7d10028106b58864f2ff;http://dx.doi.org/10.1109/ICPC.2017.32" TargetMode="External"/><Relationship Id="rId275" Type="http://schemas.openxmlformats.org/officeDocument/2006/relationships/hyperlink" Target="https://www.scopus.com/inward/record.uri?eid=2-s2.0-85108729050&amp;doi=10.3772%2fj.issn.1006-6748.2021.02.012&amp;partnerID=40&amp;md5=e7497e1fd7258da8b532a4783feea21e;http://dx.doi.org/10.3772/j.issn.1006-6748.2021.02.012" TargetMode="External"/><Relationship Id="rId482" Type="http://schemas.openxmlformats.org/officeDocument/2006/relationships/hyperlink" Target="https://www.scopus.com/inward/record.uri?eid=2-s2.0-85098550296&amp;doi=10.1145%2f3377812.3381396&amp;partnerID=40&amp;md5=0eb1b6c877ef8f74621ed6fa10a0bb17;http://dx.doi.org/10.1145/3377812.3381396" TargetMode="External"/><Relationship Id="rId703" Type="http://schemas.openxmlformats.org/officeDocument/2006/relationships/hyperlink" Target="https://www.scopus.com/inward/record.uri?eid=2-s2.0-85077200772&amp;doi=10.1109%2fICSME.2019.00039&amp;partnerID=40&amp;md5=bc8feace6ae2a725fd69231f8ae76e07;http://dx.doi.org/10.1109/ICSME.2019.00039" TargetMode="External"/><Relationship Id="rId910" Type="http://schemas.openxmlformats.org/officeDocument/2006/relationships/hyperlink" Target="https://www.scopus.com/inward/record.uri?eid=2-s2.0-85056883561&amp;doi=10.18293%2fSEKE2018-081&amp;partnerID=40&amp;md5=58e6161dc9a55d903b889ce41da3d294;http://dx.doi.org/10.18293/SEKE2018-081"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dx.doi.org/10.1109/APSECW53869.2021.00010" TargetMode="External"/><Relationship Id="rId299" Type="http://schemas.openxmlformats.org/officeDocument/2006/relationships/hyperlink" Target="https://ieeexplore.ieee.org/document/9821971;http:/dx.doi.org/10.1002/9781119644682.ch12" TargetMode="External"/><Relationship Id="rId21" Type="http://schemas.openxmlformats.org/officeDocument/2006/relationships/hyperlink" Target="http://dx.doi.org/10.1109/ICSE-SEIP.2019.00042" TargetMode="External"/><Relationship Id="rId63" Type="http://schemas.openxmlformats.org/officeDocument/2006/relationships/hyperlink" Target="http://dx.doi.org/10.1109/ICSME.2017.8" TargetMode="External"/><Relationship Id="rId159" Type="http://schemas.openxmlformats.org/officeDocument/2006/relationships/hyperlink" Target="http://dx.doi.org/10.1109/TSE.2019.2949275" TargetMode="External"/><Relationship Id="rId324" Type="http://schemas.openxmlformats.org/officeDocument/2006/relationships/hyperlink" Target="http://dx.doi.org/10.1109/MS.2021.3105625" TargetMode="External"/><Relationship Id="rId170" Type="http://schemas.openxmlformats.org/officeDocument/2006/relationships/hyperlink" Target="http://dx.doi.org/10.1109/MSR52588.2021.00080" TargetMode="External"/><Relationship Id="rId226" Type="http://schemas.openxmlformats.org/officeDocument/2006/relationships/hyperlink" Target="http://dx.doi.org/10.1145/3510003.3510225" TargetMode="External"/><Relationship Id="rId268" Type="http://schemas.openxmlformats.org/officeDocument/2006/relationships/hyperlink" Target="http://dx.doi.org/10.1109/ICSA.2019.00018" TargetMode="External"/><Relationship Id="rId32" Type="http://schemas.openxmlformats.org/officeDocument/2006/relationships/hyperlink" Target="http://dx.doi.org/10.1109/MS.2018.1661318" TargetMode="External"/><Relationship Id="rId74" Type="http://schemas.openxmlformats.org/officeDocument/2006/relationships/hyperlink" Target="http://dx.doi.org/10.1109/SANER53432.2022.00094" TargetMode="External"/><Relationship Id="rId128" Type="http://schemas.openxmlformats.org/officeDocument/2006/relationships/hyperlink" Target="http://dx.doi.org/10.1109/SEmotion52567.2021.00011" TargetMode="External"/><Relationship Id="rId335" Type="http://schemas.openxmlformats.org/officeDocument/2006/relationships/hyperlink" Target="http://dx.doi.org/10.1109/CONISOFT50191.2020.00004" TargetMode="External"/><Relationship Id="rId5" Type="http://schemas.openxmlformats.org/officeDocument/2006/relationships/hyperlink" Target="http://dx.doi.org/10.1109/SEAA.2018.00045" TargetMode="External"/><Relationship Id="rId181" Type="http://schemas.openxmlformats.org/officeDocument/2006/relationships/hyperlink" Target="http://dx.doi.org/10.1109/SEAA56994.2022.00018" TargetMode="External"/><Relationship Id="rId237" Type="http://schemas.openxmlformats.org/officeDocument/2006/relationships/hyperlink" Target="http://dx.doi.org/10.1109/ACCESS.2022.3181630" TargetMode="External"/><Relationship Id="rId279" Type="http://schemas.openxmlformats.org/officeDocument/2006/relationships/hyperlink" Target="http://dx.doi.org/10.1109/ICSTW50294.2020.00071" TargetMode="External"/><Relationship Id="rId43" Type="http://schemas.openxmlformats.org/officeDocument/2006/relationships/hyperlink" Target="http://dx.doi.org/10.1109/IJCNN52387.2021.9534423" TargetMode="External"/><Relationship Id="rId139" Type="http://schemas.openxmlformats.org/officeDocument/2006/relationships/hyperlink" Target="http://dx.doi.org/10.1109/MS.2022.3195432" TargetMode="External"/><Relationship Id="rId290" Type="http://schemas.openxmlformats.org/officeDocument/2006/relationships/hyperlink" Target="http://dx.doi.org/10.1109/MCSE.2019.2900945" TargetMode="External"/><Relationship Id="rId304" Type="http://schemas.openxmlformats.org/officeDocument/2006/relationships/hyperlink" Target="https://ieeexplore.ieee.org/document/9821663;http:/dx.doi.org/10.1002/9781119644682.biblio" TargetMode="External"/><Relationship Id="rId346" Type="http://schemas.openxmlformats.org/officeDocument/2006/relationships/hyperlink" Target="http://dx.doi.org/10.1109/CyberSecPODS.2019.8885403" TargetMode="External"/><Relationship Id="rId85" Type="http://schemas.openxmlformats.org/officeDocument/2006/relationships/hyperlink" Target="http://dx.doi.org/10.1145/3526073.3527591" TargetMode="External"/><Relationship Id="rId150" Type="http://schemas.openxmlformats.org/officeDocument/2006/relationships/hyperlink" Target="http://dx.doi.org/10.1109/CCWC54503.2022.9720900" TargetMode="External"/><Relationship Id="rId192" Type="http://schemas.openxmlformats.org/officeDocument/2006/relationships/hyperlink" Target="http://dx.doi.org/10.1109/ICSE-NIER.2019.00037" TargetMode="External"/><Relationship Id="rId206" Type="http://schemas.openxmlformats.org/officeDocument/2006/relationships/hyperlink" Target="http://dx.doi.org/10.1109/ACCESS.2020.3024671" TargetMode="External"/><Relationship Id="rId248" Type="http://schemas.openxmlformats.org/officeDocument/2006/relationships/hyperlink" Target="http://dx.doi.org/10.1109/AERO47225.2020.9172526" TargetMode="External"/><Relationship Id="rId12" Type="http://schemas.openxmlformats.org/officeDocument/2006/relationships/hyperlink" Target="http://dx.doi.org/10.1145/3524843.3528097" TargetMode="External"/><Relationship Id="rId108" Type="http://schemas.openxmlformats.org/officeDocument/2006/relationships/hyperlink" Target="http://dx.doi.org/10.1109/TSE.2022.3222318" TargetMode="External"/><Relationship Id="rId315" Type="http://schemas.openxmlformats.org/officeDocument/2006/relationships/hyperlink" Target="http://dx.doi.org/10.1109/AERO47225.2020.9172613" TargetMode="External"/><Relationship Id="rId54" Type="http://schemas.openxmlformats.org/officeDocument/2006/relationships/hyperlink" Target="http://dx.doi.org/10.1109/RCIS.2014.6861083" TargetMode="External"/><Relationship Id="rId96" Type="http://schemas.openxmlformats.org/officeDocument/2006/relationships/hyperlink" Target="http://dx.doi.org/10.1145/3524610.3528387" TargetMode="External"/><Relationship Id="rId161" Type="http://schemas.openxmlformats.org/officeDocument/2006/relationships/hyperlink" Target="http://dx.doi.org/10.23919/MIPRO55190.2022.9803727" TargetMode="External"/><Relationship Id="rId217" Type="http://schemas.openxmlformats.org/officeDocument/2006/relationships/hyperlink" Target="http://dx.doi.org/10.1109/MS.2021.3071806" TargetMode="External"/><Relationship Id="rId259" Type="http://schemas.openxmlformats.org/officeDocument/2006/relationships/hyperlink" Target="http://dx.doi.org/10.1109/ICSA-C54293.2022.00023" TargetMode="External"/><Relationship Id="rId23" Type="http://schemas.openxmlformats.org/officeDocument/2006/relationships/hyperlink" Target="http://dx.doi.org/10.1109/ACCESS.2021.3119746" TargetMode="External"/><Relationship Id="rId119" Type="http://schemas.openxmlformats.org/officeDocument/2006/relationships/hyperlink" Target="http://dx.doi.org/10.1109/SANER53432.2022.00029" TargetMode="External"/><Relationship Id="rId270" Type="http://schemas.openxmlformats.org/officeDocument/2006/relationships/hyperlink" Target="http://dx.doi.org/10.1109/IEEESTD.2021.9404959" TargetMode="External"/><Relationship Id="rId326" Type="http://schemas.openxmlformats.org/officeDocument/2006/relationships/hyperlink" Target="http://dx.doi.org/10.1109/ICSE.2012.6227212" TargetMode="External"/><Relationship Id="rId65" Type="http://schemas.openxmlformats.org/officeDocument/2006/relationships/hyperlink" Target="http://dx.doi.org/10.1109/TSE.2019.2901490" TargetMode="External"/><Relationship Id="rId130" Type="http://schemas.openxmlformats.org/officeDocument/2006/relationships/hyperlink" Target="http://dx.doi.org/10.1109/ESEM.2019.8870159" TargetMode="External"/><Relationship Id="rId172" Type="http://schemas.openxmlformats.org/officeDocument/2006/relationships/hyperlink" Target="http://dx.doi.org/10.1109/TSE.2017.2752171" TargetMode="External"/><Relationship Id="rId228" Type="http://schemas.openxmlformats.org/officeDocument/2006/relationships/hyperlink" Target="http://dx.doi.org/10.1109/TSE.2018.2874960" TargetMode="External"/><Relationship Id="rId281" Type="http://schemas.openxmlformats.org/officeDocument/2006/relationships/hyperlink" Target="http://dx.doi.org/10.1109/SANER50967.2021.00025" TargetMode="External"/><Relationship Id="rId337" Type="http://schemas.openxmlformats.org/officeDocument/2006/relationships/hyperlink" Target="http://dx.doi.org/10.1109/SEAA51224.2020.00004" TargetMode="External"/><Relationship Id="rId34" Type="http://schemas.openxmlformats.org/officeDocument/2006/relationships/hyperlink" Target="http://dx.doi.org/10.1109/IWESEP49350.2019.00017" TargetMode="External"/><Relationship Id="rId76" Type="http://schemas.openxmlformats.org/officeDocument/2006/relationships/hyperlink" Target="http://dx.doi.org/10.1109/MS.2021.3101945" TargetMode="External"/><Relationship Id="rId141" Type="http://schemas.openxmlformats.org/officeDocument/2006/relationships/hyperlink" Target="http://dx.doi.org/10.1109/TSE.2018.2883603" TargetMode="External"/><Relationship Id="rId7" Type="http://schemas.openxmlformats.org/officeDocument/2006/relationships/hyperlink" Target="http://dx.doi.org/10.1109/SEAA56994.2022.00049" TargetMode="External"/><Relationship Id="rId183" Type="http://schemas.openxmlformats.org/officeDocument/2006/relationships/hyperlink" Target="http://dx.doi.org/10.1109/CONISOFT52520.2021.00019" TargetMode="External"/><Relationship Id="rId239" Type="http://schemas.openxmlformats.org/officeDocument/2006/relationships/hyperlink" Target="http://dx.doi.org/10.1109/SANER53432.2022.00043" TargetMode="External"/><Relationship Id="rId250" Type="http://schemas.openxmlformats.org/officeDocument/2006/relationships/hyperlink" Target="http://dx.doi.org/10.1109/VISSOFT.2018.00009" TargetMode="External"/><Relationship Id="rId292" Type="http://schemas.openxmlformats.org/officeDocument/2006/relationships/hyperlink" Target="http://dx.doi.org/10.1109/JIOT.2020.3046441" TargetMode="External"/><Relationship Id="rId306" Type="http://schemas.openxmlformats.org/officeDocument/2006/relationships/hyperlink" Target="http://dx.doi.org/10.1109/MSEC.2021.3118561" TargetMode="External"/><Relationship Id="rId45" Type="http://schemas.openxmlformats.org/officeDocument/2006/relationships/hyperlink" Target="http://dx.doi.org/10.23919/ConTEL.2017.8000012" TargetMode="External"/><Relationship Id="rId87" Type="http://schemas.openxmlformats.org/officeDocument/2006/relationships/hyperlink" Target="http://dx.doi.org/10.1109/WAIN52551.2021.00011" TargetMode="External"/><Relationship Id="rId110" Type="http://schemas.openxmlformats.org/officeDocument/2006/relationships/hyperlink" Target="http://dx.doi.org/10.1109/MSR.2019.00054" TargetMode="External"/><Relationship Id="rId348" Type="http://schemas.openxmlformats.org/officeDocument/2006/relationships/hyperlink" Target="http://dx.doi.org/10.1109/ICSTW.2018.00004" TargetMode="External"/><Relationship Id="rId152" Type="http://schemas.openxmlformats.org/officeDocument/2006/relationships/hyperlink" Target="http://dx.doi.org/10.1109/QRS.2019.00026" TargetMode="External"/><Relationship Id="rId194" Type="http://schemas.openxmlformats.org/officeDocument/2006/relationships/hyperlink" Target="http://dx.doi.org/10.1109/BigDataCongress.2018.00030" TargetMode="External"/><Relationship Id="rId208" Type="http://schemas.openxmlformats.org/officeDocument/2006/relationships/hyperlink" Target="http://dx.doi.org/10.1109/STC.2017.8234462" TargetMode="External"/><Relationship Id="rId261" Type="http://schemas.openxmlformats.org/officeDocument/2006/relationships/hyperlink" Target="http://dx.doi.org/10.1109/BigData.2018.8622357" TargetMode="External"/><Relationship Id="rId14" Type="http://schemas.openxmlformats.org/officeDocument/2006/relationships/hyperlink" Target="http://dx.doi.org/10.1109/MS.2021.3103326" TargetMode="External"/><Relationship Id="rId35" Type="http://schemas.openxmlformats.org/officeDocument/2006/relationships/hyperlink" Target="http://dx.doi.org/10.1109/MS.2016.114" TargetMode="External"/><Relationship Id="rId56" Type="http://schemas.openxmlformats.org/officeDocument/2006/relationships/hyperlink" Target="http://dx.doi.org/10.1109/TSE.2021.3115772" TargetMode="External"/><Relationship Id="rId77" Type="http://schemas.openxmlformats.org/officeDocument/2006/relationships/hyperlink" Target="http://dx.doi.org/10.1109/ICAS49788.2021.9551151" TargetMode="External"/><Relationship Id="rId100" Type="http://schemas.openxmlformats.org/officeDocument/2006/relationships/hyperlink" Target="http://dx.doi.org/10.1109/ICSE.2013.6606583" TargetMode="External"/><Relationship Id="rId282" Type="http://schemas.openxmlformats.org/officeDocument/2006/relationships/hyperlink" Target="http://dx.doi.org/10.1109/ACCESS.2022.3221130" TargetMode="External"/><Relationship Id="rId317" Type="http://schemas.openxmlformats.org/officeDocument/2006/relationships/hyperlink" Target="https://ieeexplore.ieee.org/document/9822330;http:/dx.doi.org/10.1002/9781119644682.index" TargetMode="External"/><Relationship Id="rId338" Type="http://schemas.openxmlformats.org/officeDocument/2006/relationships/hyperlink" Target="http://dx.doi.org/10.1109/SEAA56994.2022.00004" TargetMode="External"/><Relationship Id="rId8" Type="http://schemas.openxmlformats.org/officeDocument/2006/relationships/hyperlink" Target="http://dx.doi.org/10.1145/3524843.3528098" TargetMode="External"/><Relationship Id="rId98" Type="http://schemas.openxmlformats.org/officeDocument/2006/relationships/hyperlink" Target="http://dx.doi.org/10.1145/3524843.3528099" TargetMode="External"/><Relationship Id="rId121" Type="http://schemas.openxmlformats.org/officeDocument/2006/relationships/hyperlink" Target="http://dx.doi.org/10.1109/MS.2019.2933681" TargetMode="External"/><Relationship Id="rId142" Type="http://schemas.openxmlformats.org/officeDocument/2006/relationships/hyperlink" Target="http://dx.doi.org/10.1109/MS.2021.3133734" TargetMode="External"/><Relationship Id="rId163" Type="http://schemas.openxmlformats.org/officeDocument/2006/relationships/hyperlink" Target="http://dx.doi.org/10.1109/TSE.2021.3087419" TargetMode="External"/><Relationship Id="rId184" Type="http://schemas.openxmlformats.org/officeDocument/2006/relationships/hyperlink" Target="http://dx.doi.org/10.1109/TSE.2021.3060068" TargetMode="External"/><Relationship Id="rId219" Type="http://schemas.openxmlformats.org/officeDocument/2006/relationships/hyperlink" Target="http://dx.doi.org/10.1145/3522664.3528599" TargetMode="External"/><Relationship Id="rId230" Type="http://schemas.openxmlformats.org/officeDocument/2006/relationships/hyperlink" Target="http://dx.doi.org/10.1109/ASE51524.2021.9678617" TargetMode="External"/><Relationship Id="rId251" Type="http://schemas.openxmlformats.org/officeDocument/2006/relationships/hyperlink" Target="http://dx.doi.org/10.1109/MSR52588.2021.00081" TargetMode="External"/><Relationship Id="rId25" Type="http://schemas.openxmlformats.org/officeDocument/2006/relationships/hyperlink" Target="http://dx.doi.org/10.1109/ICSE-Companion52605.2021.00124" TargetMode="External"/><Relationship Id="rId46" Type="http://schemas.openxmlformats.org/officeDocument/2006/relationships/hyperlink" Target="http://dx.doi.org/10.1109/SEAA51224.2020.00069" TargetMode="External"/><Relationship Id="rId67" Type="http://schemas.openxmlformats.org/officeDocument/2006/relationships/hyperlink" Target="http://dx.doi.org/10.1145/3526073.3527584" TargetMode="External"/><Relationship Id="rId272" Type="http://schemas.openxmlformats.org/officeDocument/2006/relationships/hyperlink" Target="http://dx.doi.org/10.1109/QRS.2019.00041" TargetMode="External"/><Relationship Id="rId293" Type="http://schemas.openxmlformats.org/officeDocument/2006/relationships/hyperlink" Target="http://dx.doi.org/10.1109/MS.2019.2933685" TargetMode="External"/><Relationship Id="rId307" Type="http://schemas.openxmlformats.org/officeDocument/2006/relationships/hyperlink" Target="https://ieeexplore.ieee.org/document/9380243" TargetMode="External"/><Relationship Id="rId328" Type="http://schemas.openxmlformats.org/officeDocument/2006/relationships/hyperlink" Target="http://dx.doi.org/10.1109/MS.2021.3118906" TargetMode="External"/><Relationship Id="rId88" Type="http://schemas.openxmlformats.org/officeDocument/2006/relationships/hyperlink" Target="http://dx.doi.org/10.1109/REW.2019.00011" TargetMode="External"/><Relationship Id="rId111" Type="http://schemas.openxmlformats.org/officeDocument/2006/relationships/hyperlink" Target="http://dx.doi.org/10.1145/3510455.3512773" TargetMode="External"/><Relationship Id="rId132" Type="http://schemas.openxmlformats.org/officeDocument/2006/relationships/hyperlink" Target="http://dx.doi.org/10.1109/ICSA-C.2019.00023" TargetMode="External"/><Relationship Id="rId153" Type="http://schemas.openxmlformats.org/officeDocument/2006/relationships/hyperlink" Target="http://dx.doi.org/10.1109/ASEW52652.2021.00050" TargetMode="External"/><Relationship Id="rId174" Type="http://schemas.openxmlformats.org/officeDocument/2006/relationships/hyperlink" Target="http://dx.doi.org/10.1109/ICSE-SEIP.2019.00009" TargetMode="External"/><Relationship Id="rId195" Type="http://schemas.openxmlformats.org/officeDocument/2006/relationships/hyperlink" Target="http://dx.doi.org/10.1109/MC.2021.3134800" TargetMode="External"/><Relationship Id="rId209" Type="http://schemas.openxmlformats.org/officeDocument/2006/relationships/hyperlink" Target="http://dx.doi.org/10.1109/SEAA53835.2021.00023" TargetMode="External"/><Relationship Id="rId220" Type="http://schemas.openxmlformats.org/officeDocument/2006/relationships/hyperlink" Target="http://dx.doi.org/10.1109/ESEM.2017.12" TargetMode="External"/><Relationship Id="rId241" Type="http://schemas.openxmlformats.org/officeDocument/2006/relationships/hyperlink" Target="http://dx.doi.org/10.1109/ICPC52881.2021.00029" TargetMode="External"/><Relationship Id="rId15" Type="http://schemas.openxmlformats.org/officeDocument/2006/relationships/hyperlink" Target="http://dx.doi.org/10.1109/ICPC52881.2021.00030" TargetMode="External"/><Relationship Id="rId36" Type="http://schemas.openxmlformats.org/officeDocument/2006/relationships/hyperlink" Target="http://dx.doi.org/10.1145/3522664.3528611" TargetMode="External"/><Relationship Id="rId57" Type="http://schemas.openxmlformats.org/officeDocument/2006/relationships/hyperlink" Target="http://dx.doi.org/10.1109/ASE51524.2021.9678680" TargetMode="External"/><Relationship Id="rId262" Type="http://schemas.openxmlformats.org/officeDocument/2006/relationships/hyperlink" Target="http://dx.doi.org/10.1109/ICECCE49384.2020.9179341" TargetMode="External"/><Relationship Id="rId283" Type="http://schemas.openxmlformats.org/officeDocument/2006/relationships/hyperlink" Target="http://dx.doi.org/10.1109/ARGENCON55245.2022.9939935" TargetMode="External"/><Relationship Id="rId318" Type="http://schemas.openxmlformats.org/officeDocument/2006/relationships/hyperlink" Target="https://ieeexplore.ieee.org/document/9822652;http:/dx.doi.org/10.1002/9781119602477.bapp" TargetMode="External"/><Relationship Id="rId339" Type="http://schemas.openxmlformats.org/officeDocument/2006/relationships/hyperlink" Target="http://dx.doi.org/10.1109/SANER53432.2022.00004" TargetMode="External"/><Relationship Id="rId78" Type="http://schemas.openxmlformats.org/officeDocument/2006/relationships/hyperlink" Target="http://dx.doi.org/10.1109/ICSTW.2018.00061" TargetMode="External"/><Relationship Id="rId99" Type="http://schemas.openxmlformats.org/officeDocument/2006/relationships/hyperlink" Target="http://dx.doi.org/10.1109/TSE.2021.3102221" TargetMode="External"/><Relationship Id="rId101" Type="http://schemas.openxmlformats.org/officeDocument/2006/relationships/hyperlink" Target="http://dx.doi.org/10.1109/SEAA51224.2020.00075" TargetMode="External"/><Relationship Id="rId122" Type="http://schemas.openxmlformats.org/officeDocument/2006/relationships/hyperlink" Target="http://dx.doi.org/10.1109/SEAA.2018.00067" TargetMode="External"/><Relationship Id="rId143" Type="http://schemas.openxmlformats.org/officeDocument/2006/relationships/hyperlink" Target="http://dx.doi.org/10.1109/TSE.2021.3060918" TargetMode="External"/><Relationship Id="rId164" Type="http://schemas.openxmlformats.org/officeDocument/2006/relationships/hyperlink" Target="http://dx.doi.org/10.1109/QRS54544.2021.00103" TargetMode="External"/><Relationship Id="rId185" Type="http://schemas.openxmlformats.org/officeDocument/2006/relationships/hyperlink" Target="http://dx.doi.org/10.1109/TSE.2020.3024814" TargetMode="External"/><Relationship Id="rId9" Type="http://schemas.openxmlformats.org/officeDocument/2006/relationships/hyperlink" Target="http://dx.doi.org/10.1109/SEAA53835.2021.00034" TargetMode="External"/><Relationship Id="rId210" Type="http://schemas.openxmlformats.org/officeDocument/2006/relationships/hyperlink" Target="http://dx.doi.org/10.1109/TSE.2022.3216279" TargetMode="External"/><Relationship Id="rId26" Type="http://schemas.openxmlformats.org/officeDocument/2006/relationships/hyperlink" Target="http://dx.doi.org/10.1109/MCSE.2015.113" TargetMode="External"/><Relationship Id="rId231" Type="http://schemas.openxmlformats.org/officeDocument/2006/relationships/hyperlink" Target="http://dx.doi.org/10.1109/ICOCO53166.2021.9673561" TargetMode="External"/><Relationship Id="rId252" Type="http://schemas.openxmlformats.org/officeDocument/2006/relationships/hyperlink" Target="http://dx.doi.org/10.1109/TSE.2018.2880977" TargetMode="External"/><Relationship Id="rId273" Type="http://schemas.openxmlformats.org/officeDocument/2006/relationships/hyperlink" Target="http://dx.doi.org/10.1109/ICICT52872.2021.00031" TargetMode="External"/><Relationship Id="rId294" Type="http://schemas.openxmlformats.org/officeDocument/2006/relationships/hyperlink" Target="http://dx.doi.org/10.1109/EDUCON45650.2020.9125363" TargetMode="External"/><Relationship Id="rId308" Type="http://schemas.openxmlformats.org/officeDocument/2006/relationships/hyperlink" Target="https://ieeexplore.ieee.org/document/9823032;http:/dx.doi.org/10.1002/9781119513957.acron" TargetMode="External"/><Relationship Id="rId329" Type="http://schemas.openxmlformats.org/officeDocument/2006/relationships/hyperlink" Target="http://dx.doi.org/10.1109/MC.2021.3094960" TargetMode="External"/><Relationship Id="rId47" Type="http://schemas.openxmlformats.org/officeDocument/2006/relationships/hyperlink" Target="http://dx.doi.org/10.1109/TSE.2020.3031401" TargetMode="External"/><Relationship Id="rId68" Type="http://schemas.openxmlformats.org/officeDocument/2006/relationships/hyperlink" Target="http://dx.doi.org/10.1109/MS.2018.4321235" TargetMode="External"/><Relationship Id="rId89" Type="http://schemas.openxmlformats.org/officeDocument/2006/relationships/hyperlink" Target="http://dx.doi.org/10.1109/MS.2017.83" TargetMode="External"/><Relationship Id="rId112" Type="http://schemas.openxmlformats.org/officeDocument/2006/relationships/hyperlink" Target="http://dx.doi.org/10.1109/ICSME55016.2022.00061" TargetMode="External"/><Relationship Id="rId133" Type="http://schemas.openxmlformats.org/officeDocument/2006/relationships/hyperlink" Target="http://dx.doi.org/10.1109/COMPSAC54236.2022.00166" TargetMode="External"/><Relationship Id="rId154" Type="http://schemas.openxmlformats.org/officeDocument/2006/relationships/hyperlink" Target="http://dx.doi.org/10.1109/IJCNN48605.2020.9207116" TargetMode="External"/><Relationship Id="rId175" Type="http://schemas.openxmlformats.org/officeDocument/2006/relationships/hyperlink" Target="http://dx.doi.org/10.1109/IOTM.005.2100196" TargetMode="External"/><Relationship Id="rId340" Type="http://schemas.openxmlformats.org/officeDocument/2006/relationships/hyperlink" Target="http://dx.doi.org/10.1109/MSR52588.2021.00004" TargetMode="External"/><Relationship Id="rId196" Type="http://schemas.openxmlformats.org/officeDocument/2006/relationships/hyperlink" Target="http://dx.doi.org/10.1109/TSE.2023.3234321" TargetMode="External"/><Relationship Id="rId200" Type="http://schemas.openxmlformats.org/officeDocument/2006/relationships/hyperlink" Target="http://dx.doi.org/10.1109/ICSME.2016.19" TargetMode="External"/><Relationship Id="rId16" Type="http://schemas.openxmlformats.org/officeDocument/2006/relationships/hyperlink" Target="http://dx.doi.org/10.1145/3524843.3528096" TargetMode="External"/><Relationship Id="rId221" Type="http://schemas.openxmlformats.org/officeDocument/2006/relationships/hyperlink" Target="http://dx.doi.org/10.1109/IWSC55060.2022.00011" TargetMode="External"/><Relationship Id="rId242" Type="http://schemas.openxmlformats.org/officeDocument/2006/relationships/hyperlink" Target="http://dx.doi.org/10.1109/TSE.2023.3234206" TargetMode="External"/><Relationship Id="rId263" Type="http://schemas.openxmlformats.org/officeDocument/2006/relationships/hyperlink" Target="http://dx.doi.org/10.1109/ICACCS54159.2022.9785260" TargetMode="External"/><Relationship Id="rId284" Type="http://schemas.openxmlformats.org/officeDocument/2006/relationships/hyperlink" Target="http://dx.doi.org/10.1109/SCAM55253.2022.00014" TargetMode="External"/><Relationship Id="rId319" Type="http://schemas.openxmlformats.org/officeDocument/2006/relationships/hyperlink" Target="https://ieeexplore.ieee.org/document/9821778;http:/dx.doi.org/10.1002/9781119513957.fmatter" TargetMode="External"/><Relationship Id="rId37" Type="http://schemas.openxmlformats.org/officeDocument/2006/relationships/hyperlink" Target="http://dx.doi.org/10.1109/TSE.2020.3021736" TargetMode="External"/><Relationship Id="rId58" Type="http://schemas.openxmlformats.org/officeDocument/2006/relationships/hyperlink" Target="http://dx.doi.org/10.1109/TASE.2020.3008055" TargetMode="External"/><Relationship Id="rId79" Type="http://schemas.openxmlformats.org/officeDocument/2006/relationships/hyperlink" Target="http://dx.doi.org/10.1145/3510457.3513036" TargetMode="External"/><Relationship Id="rId102" Type="http://schemas.openxmlformats.org/officeDocument/2006/relationships/hyperlink" Target="http://dx.doi.org/10.1109/SEAA51224.2020.00082" TargetMode="External"/><Relationship Id="rId123" Type="http://schemas.openxmlformats.org/officeDocument/2006/relationships/hyperlink" Target="http://dx.doi.org/10.1109/CSIT.2018.8486180" TargetMode="External"/><Relationship Id="rId144" Type="http://schemas.openxmlformats.org/officeDocument/2006/relationships/hyperlink" Target="http://dx.doi.org/10.1109/TSE.2020.2986415" TargetMode="External"/><Relationship Id="rId330" Type="http://schemas.openxmlformats.org/officeDocument/2006/relationships/hyperlink" Target="http://dx.doi.org/10.1109/MC.2022.3183705" TargetMode="External"/><Relationship Id="rId90" Type="http://schemas.openxmlformats.org/officeDocument/2006/relationships/hyperlink" Target="http://dx.doi.org/10.1109/SEAA.2019.00057" TargetMode="External"/><Relationship Id="rId165" Type="http://schemas.openxmlformats.org/officeDocument/2006/relationships/hyperlink" Target="http://dx.doi.org/10.1109/TSE.2018.2797899" TargetMode="External"/><Relationship Id="rId186" Type="http://schemas.openxmlformats.org/officeDocument/2006/relationships/hyperlink" Target="http://dx.doi.org/10.1109/ISSREW55968.2022.00047" TargetMode="External"/><Relationship Id="rId211" Type="http://schemas.openxmlformats.org/officeDocument/2006/relationships/hyperlink" Target="http://dx.doi.org/10.1109/ICSE43902.2021.00125" TargetMode="External"/><Relationship Id="rId232" Type="http://schemas.openxmlformats.org/officeDocument/2006/relationships/hyperlink" Target="http://dx.doi.org/10.1109/TSE.2018.2867847" TargetMode="External"/><Relationship Id="rId253" Type="http://schemas.openxmlformats.org/officeDocument/2006/relationships/hyperlink" Target="http://dx.doi.org/10.1109/SEAA51224.2020.00061" TargetMode="External"/><Relationship Id="rId274" Type="http://schemas.openxmlformats.org/officeDocument/2006/relationships/hyperlink" Target="http://dx.doi.org/10.1109/ACCESS.2021.3126681" TargetMode="External"/><Relationship Id="rId295" Type="http://schemas.openxmlformats.org/officeDocument/2006/relationships/hyperlink" Target="http://dx.doi.org/10.1109/MS.2022.3148928" TargetMode="External"/><Relationship Id="rId309" Type="http://schemas.openxmlformats.org/officeDocument/2006/relationships/hyperlink" Target="https://ieeexplore.ieee.org/document/9519685" TargetMode="External"/><Relationship Id="rId27" Type="http://schemas.openxmlformats.org/officeDocument/2006/relationships/hyperlink" Target="http://dx.doi.org/10.1109/IWESEP.2018.00010" TargetMode="External"/><Relationship Id="rId48" Type="http://schemas.openxmlformats.org/officeDocument/2006/relationships/hyperlink" Target="http://dx.doi.org/10.1109/SEAA.2018.00018" TargetMode="External"/><Relationship Id="rId69" Type="http://schemas.openxmlformats.org/officeDocument/2006/relationships/hyperlink" Target="http://dx.doi.org/10.1109/MS.2019.2919573" TargetMode="External"/><Relationship Id="rId113" Type="http://schemas.openxmlformats.org/officeDocument/2006/relationships/hyperlink" Target="http://dx.doi.org/10.1109/ICPC.2019.00023" TargetMode="External"/><Relationship Id="rId134" Type="http://schemas.openxmlformats.org/officeDocument/2006/relationships/hyperlink" Target="http://dx.doi.org/10.1109/ICGSEW.2016.16" TargetMode="External"/><Relationship Id="rId320" Type="http://schemas.openxmlformats.org/officeDocument/2006/relationships/hyperlink" Target="https://ieeexplore.ieee.org/document/9822939;http:/dx.doi.org/10.1002/9781119602477.fmatter" TargetMode="External"/><Relationship Id="rId80" Type="http://schemas.openxmlformats.org/officeDocument/2006/relationships/hyperlink" Target="http://dx.doi.org/10.1109/MS.2018.227105530" TargetMode="External"/><Relationship Id="rId155" Type="http://schemas.openxmlformats.org/officeDocument/2006/relationships/hyperlink" Target="http://dx.doi.org/10.1109/ICSME55016.2022.00055" TargetMode="External"/><Relationship Id="rId176" Type="http://schemas.openxmlformats.org/officeDocument/2006/relationships/hyperlink" Target="http://dx.doi.org/10.1109/SANER50967.2021.00043" TargetMode="External"/><Relationship Id="rId197" Type="http://schemas.openxmlformats.org/officeDocument/2006/relationships/hyperlink" Target="http://dx.doi.org/10.1109/UKSim.2017.28" TargetMode="External"/><Relationship Id="rId341" Type="http://schemas.openxmlformats.org/officeDocument/2006/relationships/hyperlink" Target="http://dx.doi.org/10.1109/MS.2020.3028678" TargetMode="External"/><Relationship Id="rId201" Type="http://schemas.openxmlformats.org/officeDocument/2006/relationships/hyperlink" Target="http://dx.doi.org/10.1109/ICSAW.2017.16" TargetMode="External"/><Relationship Id="rId222" Type="http://schemas.openxmlformats.org/officeDocument/2006/relationships/hyperlink" Target="http://dx.doi.org/10.1109/TSE.2022.3184842" TargetMode="External"/><Relationship Id="rId243" Type="http://schemas.openxmlformats.org/officeDocument/2006/relationships/hyperlink" Target="http://dx.doi.org/10.1109/BigData52589.2021.9671930" TargetMode="External"/><Relationship Id="rId264" Type="http://schemas.openxmlformats.org/officeDocument/2006/relationships/hyperlink" Target="http://dx.doi.org/10.1109/ICSA51549.2021.00022" TargetMode="External"/><Relationship Id="rId285" Type="http://schemas.openxmlformats.org/officeDocument/2006/relationships/hyperlink" Target="http://dx.doi.org/10.1109/CSMR-WCRE.2014.6747177" TargetMode="External"/><Relationship Id="rId17" Type="http://schemas.openxmlformats.org/officeDocument/2006/relationships/hyperlink" Target="http://dx.doi.org/10.1109/TSE.2019.2937083" TargetMode="External"/><Relationship Id="rId38" Type="http://schemas.openxmlformats.org/officeDocument/2006/relationships/hyperlink" Target="http://dx.doi.org/10.1109/SEAA53835.2021.00050" TargetMode="External"/><Relationship Id="rId59" Type="http://schemas.openxmlformats.org/officeDocument/2006/relationships/hyperlink" Target="http://dx.doi.org/10.1109/CCCI49893.2020.9256507" TargetMode="External"/><Relationship Id="rId103" Type="http://schemas.openxmlformats.org/officeDocument/2006/relationships/hyperlink" Target="http://dx.doi.org/10.1109/MSR52588.2021.00030" TargetMode="External"/><Relationship Id="rId124" Type="http://schemas.openxmlformats.org/officeDocument/2006/relationships/hyperlink" Target="http://dx.doi.org/10.1109/RE51729.2021.00009" TargetMode="External"/><Relationship Id="rId310" Type="http://schemas.openxmlformats.org/officeDocument/2006/relationships/hyperlink" Target="http://dx.doi.org/10.1109/ISTAS50296.2020.9462201" TargetMode="External"/><Relationship Id="rId70" Type="http://schemas.openxmlformats.org/officeDocument/2006/relationships/hyperlink" Target="http://dx.doi.org/10.1109/REW53955.2021.00022" TargetMode="External"/><Relationship Id="rId91" Type="http://schemas.openxmlformats.org/officeDocument/2006/relationships/hyperlink" Target="http://dx.doi.org/10.1109/MS.2019.2954841" TargetMode="External"/><Relationship Id="rId145" Type="http://schemas.openxmlformats.org/officeDocument/2006/relationships/hyperlink" Target="http://dx.doi.org/10.1109/CHASE.2019.00013" TargetMode="External"/><Relationship Id="rId166" Type="http://schemas.openxmlformats.org/officeDocument/2006/relationships/hyperlink" Target="http://dx.doi.org/10.1109/QRS51102.2020.00016" TargetMode="External"/><Relationship Id="rId187" Type="http://schemas.openxmlformats.org/officeDocument/2006/relationships/hyperlink" Target="http://dx.doi.org/10.1109/ACCESS.2021.3054472" TargetMode="External"/><Relationship Id="rId331" Type="http://schemas.openxmlformats.org/officeDocument/2006/relationships/hyperlink" Target="http://dx.doi.org/10.1109/MS.2021.3060552" TargetMode="External"/><Relationship Id="rId1" Type="http://schemas.openxmlformats.org/officeDocument/2006/relationships/hyperlink" Target="http://dx.doi.org/10.1109/TSE.2017.2654244" TargetMode="External"/><Relationship Id="rId212" Type="http://schemas.openxmlformats.org/officeDocument/2006/relationships/hyperlink" Target="http://dx.doi.org/10.1109/TSE.2019.2919305" TargetMode="External"/><Relationship Id="rId233" Type="http://schemas.openxmlformats.org/officeDocument/2006/relationships/hyperlink" Target="http://dx.doi.org/10.1109/BigDataCongress.2018.00013" TargetMode="External"/><Relationship Id="rId254" Type="http://schemas.openxmlformats.org/officeDocument/2006/relationships/hyperlink" Target="http://dx.doi.org/10.1145/2884781.2884825" TargetMode="External"/><Relationship Id="rId28" Type="http://schemas.openxmlformats.org/officeDocument/2006/relationships/hyperlink" Target="http://dx.doi.org/10.1109/SEAA51224.2020.00083" TargetMode="External"/><Relationship Id="rId49" Type="http://schemas.openxmlformats.org/officeDocument/2006/relationships/hyperlink" Target="http://dx.doi.org/10.1109/ICSME.2017.44" TargetMode="External"/><Relationship Id="rId114" Type="http://schemas.openxmlformats.org/officeDocument/2006/relationships/hyperlink" Target="http://dx.doi.org/10.1145/3510457.3513041" TargetMode="External"/><Relationship Id="rId275" Type="http://schemas.openxmlformats.org/officeDocument/2006/relationships/hyperlink" Target="http://dx.doi.org/10.1109/TEMSCONEUROPE54743.2022.9802054" TargetMode="External"/><Relationship Id="rId296" Type="http://schemas.openxmlformats.org/officeDocument/2006/relationships/hyperlink" Target="http://dx.doi.org/10.1147/JRD.2019.2961069" TargetMode="External"/><Relationship Id="rId300" Type="http://schemas.openxmlformats.org/officeDocument/2006/relationships/hyperlink" Target="http://dx.doi.org/10.1109/eScience55777.2022.00090" TargetMode="External"/><Relationship Id="rId60" Type="http://schemas.openxmlformats.org/officeDocument/2006/relationships/hyperlink" Target="http://dx.doi.org/10.1109/ICSME.2014.31" TargetMode="External"/><Relationship Id="rId81" Type="http://schemas.openxmlformats.org/officeDocument/2006/relationships/hyperlink" Target="http://dx.doi.org/10.1109/SANER.2019.8667999" TargetMode="External"/><Relationship Id="rId135" Type="http://schemas.openxmlformats.org/officeDocument/2006/relationships/hyperlink" Target="http://dx.doi.org/10.1109/ICSME46990.2020.00065" TargetMode="External"/><Relationship Id="rId156" Type="http://schemas.openxmlformats.org/officeDocument/2006/relationships/hyperlink" Target="http://dx.doi.org/10.1109/TSE.2021.3106247" TargetMode="External"/><Relationship Id="rId177" Type="http://schemas.openxmlformats.org/officeDocument/2006/relationships/hyperlink" Target="http://dx.doi.org/10.1109/ICSA51549.2021.00017" TargetMode="External"/><Relationship Id="rId198" Type="http://schemas.openxmlformats.org/officeDocument/2006/relationships/hyperlink" Target="http://dx.doi.org/10.1109/ICSME.2019.00060" TargetMode="External"/><Relationship Id="rId321" Type="http://schemas.openxmlformats.org/officeDocument/2006/relationships/hyperlink" Target="http://dx.doi.org/10.1109/ICSA-C.2019.00007" TargetMode="External"/><Relationship Id="rId342" Type="http://schemas.openxmlformats.org/officeDocument/2006/relationships/hyperlink" Target="http://dx.doi.org/10.1109/ICSME46990.2020.00004" TargetMode="External"/><Relationship Id="rId202" Type="http://schemas.openxmlformats.org/officeDocument/2006/relationships/hyperlink" Target="http://dx.doi.org/10.1109/TBDATA.2019.2921774" TargetMode="External"/><Relationship Id="rId223" Type="http://schemas.openxmlformats.org/officeDocument/2006/relationships/hyperlink" Target="http://dx.doi.org/10.1109/ICSE43902.2021.00134" TargetMode="External"/><Relationship Id="rId244" Type="http://schemas.openxmlformats.org/officeDocument/2006/relationships/hyperlink" Target="http://dx.doi.org/10.1109/TLA.2021.9447690" TargetMode="External"/><Relationship Id="rId18" Type="http://schemas.openxmlformats.org/officeDocument/2006/relationships/hyperlink" Target="http://dx.doi.org/10.1109/MTD.2015.7332621" TargetMode="External"/><Relationship Id="rId39" Type="http://schemas.openxmlformats.org/officeDocument/2006/relationships/hyperlink" Target="http://dx.doi.org/10.1109/TSE.2022.3214764" TargetMode="External"/><Relationship Id="rId265" Type="http://schemas.openxmlformats.org/officeDocument/2006/relationships/hyperlink" Target="http://dx.doi.org/10.1109/ACCESS.2021.3066348" TargetMode="External"/><Relationship Id="rId286" Type="http://schemas.openxmlformats.org/officeDocument/2006/relationships/hyperlink" Target="http://dx.doi.org/10.1109/IC2E.2019.00025" TargetMode="External"/><Relationship Id="rId50" Type="http://schemas.openxmlformats.org/officeDocument/2006/relationships/hyperlink" Target="http://dx.doi.org/10.1109/SCAM51674.2020.00011" TargetMode="External"/><Relationship Id="rId104" Type="http://schemas.openxmlformats.org/officeDocument/2006/relationships/hyperlink" Target="http://dx.doi.org/10.1109/MSR52588.2021.00032" TargetMode="External"/><Relationship Id="rId125" Type="http://schemas.openxmlformats.org/officeDocument/2006/relationships/hyperlink" Target="http://dx.doi.org/10.1145/2896995.2896999" TargetMode="External"/><Relationship Id="rId146" Type="http://schemas.openxmlformats.org/officeDocument/2006/relationships/hyperlink" Target="http://dx.doi.org/10.1145/3524610.3527874" TargetMode="External"/><Relationship Id="rId167" Type="http://schemas.openxmlformats.org/officeDocument/2006/relationships/hyperlink" Target="http://dx.doi.org/10.1109/VLHCC.2016.7739680" TargetMode="External"/><Relationship Id="rId188" Type="http://schemas.openxmlformats.org/officeDocument/2006/relationships/hyperlink" Target="http://dx.doi.org/10.1109/TSE.2019.2912113" TargetMode="External"/><Relationship Id="rId311" Type="http://schemas.openxmlformats.org/officeDocument/2006/relationships/hyperlink" Target="http://dx.doi.org/10.1109/VISSOFT52517.2021.00018" TargetMode="External"/><Relationship Id="rId332" Type="http://schemas.openxmlformats.org/officeDocument/2006/relationships/hyperlink" Target="http://dx.doi.org/10.1109/TSE.2019.2960169" TargetMode="External"/><Relationship Id="rId71" Type="http://schemas.openxmlformats.org/officeDocument/2006/relationships/hyperlink" Target="http://dx.doi.org/10.1109/JEEIT.2019.8717457" TargetMode="External"/><Relationship Id="rId92" Type="http://schemas.openxmlformats.org/officeDocument/2006/relationships/hyperlink" Target="http://dx.doi.org/10.1109/ACCESS.2022.3196923" TargetMode="External"/><Relationship Id="rId213" Type="http://schemas.openxmlformats.org/officeDocument/2006/relationships/hyperlink" Target="http://dx.doi.org/10.1109/TSE.2021.3102982" TargetMode="External"/><Relationship Id="rId234" Type="http://schemas.openxmlformats.org/officeDocument/2006/relationships/hyperlink" Target="http://dx.doi.org/10.1109/ASE.2019.00065" TargetMode="External"/><Relationship Id="rId2" Type="http://schemas.openxmlformats.org/officeDocument/2006/relationships/hyperlink" Target="http://dx.doi.org/10.1145/3524843.3528093" TargetMode="External"/><Relationship Id="rId29" Type="http://schemas.openxmlformats.org/officeDocument/2006/relationships/hyperlink" Target="http://dx.doi.org/10.1109/MSR52588.2021.00048" TargetMode="External"/><Relationship Id="rId255" Type="http://schemas.openxmlformats.org/officeDocument/2006/relationships/hyperlink" Target="http://dx.doi.org/10.1109/ICSE.2019.00117" TargetMode="External"/><Relationship Id="rId276" Type="http://schemas.openxmlformats.org/officeDocument/2006/relationships/hyperlink" Target="https://ieeexplore.ieee.org/document/9953517" TargetMode="External"/><Relationship Id="rId297" Type="http://schemas.openxmlformats.org/officeDocument/2006/relationships/hyperlink" Target="http://dx.doi.org/10.1109/BigData47090.2019.9005503" TargetMode="External"/><Relationship Id="rId40" Type="http://schemas.openxmlformats.org/officeDocument/2006/relationships/hyperlink" Target="http://dx.doi.org/10.1109/SEAA.2019.00020" TargetMode="External"/><Relationship Id="rId115" Type="http://schemas.openxmlformats.org/officeDocument/2006/relationships/hyperlink" Target="http://dx.doi.org/10.1109/IS.2018.8710521" TargetMode="External"/><Relationship Id="rId136" Type="http://schemas.openxmlformats.org/officeDocument/2006/relationships/hyperlink" Target="http://dx.doi.org/10.1109/ICSE.2019.00032" TargetMode="External"/><Relationship Id="rId157" Type="http://schemas.openxmlformats.org/officeDocument/2006/relationships/hyperlink" Target="http://dx.doi.org/10.1109/ASE51524.2021.9678704" TargetMode="External"/><Relationship Id="rId178" Type="http://schemas.openxmlformats.org/officeDocument/2006/relationships/hyperlink" Target="http://dx.doi.org/10.1109/ICSE.2013.6606638" TargetMode="External"/><Relationship Id="rId301" Type="http://schemas.openxmlformats.org/officeDocument/2006/relationships/hyperlink" Target="https://ieeexplore.ieee.org/document/9823192;http:/dx.doi.org/10.1002/9781119644682.ch28" TargetMode="External"/><Relationship Id="rId322" Type="http://schemas.openxmlformats.org/officeDocument/2006/relationships/hyperlink" Target="https://ieeexplore.ieee.org/document/9822369;http:/dx.doi.org/10.1002/9781119644682.ch27" TargetMode="External"/><Relationship Id="rId343" Type="http://schemas.openxmlformats.org/officeDocument/2006/relationships/hyperlink" Target="http://dx.doi.org/10.1109/SANER48275.2020.9054810" TargetMode="External"/><Relationship Id="rId61" Type="http://schemas.openxmlformats.org/officeDocument/2006/relationships/hyperlink" Target="http://dx.doi.org/10.1109/ETFA45728.2021.9613538" TargetMode="External"/><Relationship Id="rId82" Type="http://schemas.openxmlformats.org/officeDocument/2006/relationships/hyperlink" Target="http://dx.doi.org/10.1109/APSEC48747.2019.00050" TargetMode="External"/><Relationship Id="rId199" Type="http://schemas.openxmlformats.org/officeDocument/2006/relationships/hyperlink" Target="http://dx.doi.org/10.1109/CBI52690.2021.10064" TargetMode="External"/><Relationship Id="rId203" Type="http://schemas.openxmlformats.org/officeDocument/2006/relationships/hyperlink" Target="http://dx.doi.org/10.1109/ICAICE51518.2020.00102" TargetMode="External"/><Relationship Id="rId19" Type="http://schemas.openxmlformats.org/officeDocument/2006/relationships/hyperlink" Target="http://dx.doi.org/10.1109/MTD.2015.7332619" TargetMode="External"/><Relationship Id="rId224" Type="http://schemas.openxmlformats.org/officeDocument/2006/relationships/hyperlink" Target="http://dx.doi.org/10.1109/Cluster48925.2021.00053" TargetMode="External"/><Relationship Id="rId245" Type="http://schemas.openxmlformats.org/officeDocument/2006/relationships/hyperlink" Target="http://dx.doi.org/10.1109/eScience55777.2022.00095" TargetMode="External"/><Relationship Id="rId266" Type="http://schemas.openxmlformats.org/officeDocument/2006/relationships/hyperlink" Target="http://dx.doi.org/10.1109/ICSM.2013.99" TargetMode="External"/><Relationship Id="rId287" Type="http://schemas.openxmlformats.org/officeDocument/2006/relationships/hyperlink" Target="http://dx.doi.org/10.1109/ICSA47634.2020.00013" TargetMode="External"/><Relationship Id="rId30" Type="http://schemas.openxmlformats.org/officeDocument/2006/relationships/hyperlink" Target="http://dx.doi.org/10.1109/ICSE43902.2021.00033" TargetMode="External"/><Relationship Id="rId105" Type="http://schemas.openxmlformats.org/officeDocument/2006/relationships/hyperlink" Target="http://dx.doi.org/10.1145/3524842.3528458" TargetMode="External"/><Relationship Id="rId126" Type="http://schemas.openxmlformats.org/officeDocument/2006/relationships/hyperlink" Target="http://dx.doi.org/10.1109/ISSRE.2019.00047" TargetMode="External"/><Relationship Id="rId147" Type="http://schemas.openxmlformats.org/officeDocument/2006/relationships/hyperlink" Target="http://dx.doi.org/10.1109/TENCON.2019.8929628" TargetMode="External"/><Relationship Id="rId168" Type="http://schemas.openxmlformats.org/officeDocument/2006/relationships/hyperlink" Target="http://dx.doi.org/10.1109/DSAA49011.2020.00068" TargetMode="External"/><Relationship Id="rId312" Type="http://schemas.openxmlformats.org/officeDocument/2006/relationships/hyperlink" Target="https://ieeexplore.ieee.org/document/9936879" TargetMode="External"/><Relationship Id="rId333" Type="http://schemas.openxmlformats.org/officeDocument/2006/relationships/hyperlink" Target="http://dx.doi.org/10.1109/ICSE-SEIP52600.2021.00004" TargetMode="External"/><Relationship Id="rId51" Type="http://schemas.openxmlformats.org/officeDocument/2006/relationships/hyperlink" Target="http://dx.doi.org/10.1109/ICRITO48877.2020.9197868" TargetMode="External"/><Relationship Id="rId72" Type="http://schemas.openxmlformats.org/officeDocument/2006/relationships/hyperlink" Target="http://dx.doi.org/10.1109/IEEESTD.2017.8016712" TargetMode="External"/><Relationship Id="rId93" Type="http://schemas.openxmlformats.org/officeDocument/2006/relationships/hyperlink" Target="http://dx.doi.org/10.1109/WAIN52551.2021.00008" TargetMode="External"/><Relationship Id="rId189" Type="http://schemas.openxmlformats.org/officeDocument/2006/relationships/hyperlink" Target="http://dx.doi.org/10.1145/3522664.3528612" TargetMode="External"/><Relationship Id="rId3" Type="http://schemas.openxmlformats.org/officeDocument/2006/relationships/hyperlink" Target="http://dx.doi.org/10.1109/TechDebt.2019.00018" TargetMode="External"/><Relationship Id="rId214" Type="http://schemas.openxmlformats.org/officeDocument/2006/relationships/hyperlink" Target="http://dx.doi.org/10.1109/ICSA-C.2019.00053" TargetMode="External"/><Relationship Id="rId235" Type="http://schemas.openxmlformats.org/officeDocument/2006/relationships/hyperlink" Target="http://dx.doi.org/10.1109/TSE.2022.3228739" TargetMode="External"/><Relationship Id="rId256" Type="http://schemas.openxmlformats.org/officeDocument/2006/relationships/hyperlink" Target="http://dx.doi.org/10.1109/MobileSoft52590.2021.00010" TargetMode="External"/><Relationship Id="rId277" Type="http://schemas.openxmlformats.org/officeDocument/2006/relationships/hyperlink" Target="http://dx.doi.org/10.1109/ICIEA49774.2020.9101913" TargetMode="External"/><Relationship Id="rId298" Type="http://schemas.openxmlformats.org/officeDocument/2006/relationships/hyperlink" Target="http://dx.doi.org/10.1145/3524842.3528455" TargetMode="External"/><Relationship Id="rId116" Type="http://schemas.openxmlformats.org/officeDocument/2006/relationships/hyperlink" Target="http://dx.doi.org/10.1109/ICSA53651.2022.00017" TargetMode="External"/><Relationship Id="rId137" Type="http://schemas.openxmlformats.org/officeDocument/2006/relationships/hyperlink" Target="http://dx.doi.org/10.1109/ICGSE.2015.18" TargetMode="External"/><Relationship Id="rId158" Type="http://schemas.openxmlformats.org/officeDocument/2006/relationships/hyperlink" Target="http://dx.doi.org/10.1109/ESEM.2017.14" TargetMode="External"/><Relationship Id="rId302" Type="http://schemas.openxmlformats.org/officeDocument/2006/relationships/hyperlink" Target="http://dx.doi.org/10.1145/3524610.3527901" TargetMode="External"/><Relationship Id="rId323" Type="http://schemas.openxmlformats.org/officeDocument/2006/relationships/hyperlink" Target="http://dx.doi.org/10.1109/MS.2022.3199621" TargetMode="External"/><Relationship Id="rId344" Type="http://schemas.openxmlformats.org/officeDocument/2006/relationships/hyperlink" Target="http://dx.doi.org/10.1109/ICSME.2018.00004" TargetMode="External"/><Relationship Id="rId20" Type="http://schemas.openxmlformats.org/officeDocument/2006/relationships/hyperlink" Target="http://dx.doi.org/10.1145/3522664.3528620" TargetMode="External"/><Relationship Id="rId41" Type="http://schemas.openxmlformats.org/officeDocument/2006/relationships/hyperlink" Target="http://dx.doi.org/10.1109/TSE.2021.3129355" TargetMode="External"/><Relationship Id="rId62" Type="http://schemas.openxmlformats.org/officeDocument/2006/relationships/hyperlink" Target="http://dx.doi.org/10.1109/BigData.2017.8258038" TargetMode="External"/><Relationship Id="rId83" Type="http://schemas.openxmlformats.org/officeDocument/2006/relationships/hyperlink" Target="http://dx.doi.org/10.1109/DSA51864.2020.00019" TargetMode="External"/><Relationship Id="rId179" Type="http://schemas.openxmlformats.org/officeDocument/2006/relationships/hyperlink" Target="http://dx.doi.org/10.1145/3522664.3528621" TargetMode="External"/><Relationship Id="rId190" Type="http://schemas.openxmlformats.org/officeDocument/2006/relationships/hyperlink" Target="http://dx.doi.org/10.1109/MS.2016.149" TargetMode="External"/><Relationship Id="rId204" Type="http://schemas.openxmlformats.org/officeDocument/2006/relationships/hyperlink" Target="http://dx.doi.org/10.1109/IWoR.2019.00017" TargetMode="External"/><Relationship Id="rId225" Type="http://schemas.openxmlformats.org/officeDocument/2006/relationships/hyperlink" Target="http://dx.doi.org/10.1109/MS.2017.56" TargetMode="External"/><Relationship Id="rId246" Type="http://schemas.openxmlformats.org/officeDocument/2006/relationships/hyperlink" Target="http://dx.doi.org/10.1109/TSE.2022.3140230" TargetMode="External"/><Relationship Id="rId267" Type="http://schemas.openxmlformats.org/officeDocument/2006/relationships/hyperlink" Target="http://dx.doi.org/10.23919/DATE54114.2022.9774586" TargetMode="External"/><Relationship Id="rId288" Type="http://schemas.openxmlformats.org/officeDocument/2006/relationships/hyperlink" Target="http://dx.doi.org/10.1109/ICPC52881.2021.00013" TargetMode="External"/><Relationship Id="rId106" Type="http://schemas.openxmlformats.org/officeDocument/2006/relationships/hyperlink" Target="http://dx.doi.org/10.1109/CogMI48466.2019.00030" TargetMode="External"/><Relationship Id="rId127" Type="http://schemas.openxmlformats.org/officeDocument/2006/relationships/hyperlink" Target="http://dx.doi.org/10.23919/SoftCOM50211.2020.9238323" TargetMode="External"/><Relationship Id="rId313" Type="http://schemas.openxmlformats.org/officeDocument/2006/relationships/hyperlink" Target="http://dx.doi.org/10.1109/ISPRAS53967.2021.00027" TargetMode="External"/><Relationship Id="rId10" Type="http://schemas.openxmlformats.org/officeDocument/2006/relationships/hyperlink" Target="http://dx.doi.org/10.1145/3524843.3528094" TargetMode="External"/><Relationship Id="rId31" Type="http://schemas.openxmlformats.org/officeDocument/2006/relationships/hyperlink" Target="http://dx.doi.org/10.1109/MS.2017.51" TargetMode="External"/><Relationship Id="rId52" Type="http://schemas.openxmlformats.org/officeDocument/2006/relationships/hyperlink" Target="http://dx.doi.org/10.1109/TSE.2020.2967380" TargetMode="External"/><Relationship Id="rId73" Type="http://schemas.openxmlformats.org/officeDocument/2006/relationships/hyperlink" Target="http://dx.doi.org/10.1109/ACCESS.2019.2933318" TargetMode="External"/><Relationship Id="rId94" Type="http://schemas.openxmlformats.org/officeDocument/2006/relationships/hyperlink" Target="http://dx.doi.org/10.1109/SANER.2018.8330266" TargetMode="External"/><Relationship Id="rId148" Type="http://schemas.openxmlformats.org/officeDocument/2006/relationships/hyperlink" Target="http://dx.doi.org/10.1109/REW.2019.00051" TargetMode="External"/><Relationship Id="rId169" Type="http://schemas.openxmlformats.org/officeDocument/2006/relationships/hyperlink" Target="http://dx.doi.org/10.1109/WAIN52551.2021.00026" TargetMode="External"/><Relationship Id="rId334" Type="http://schemas.openxmlformats.org/officeDocument/2006/relationships/hyperlink" Target="http://dx.doi.org/10.1109/ESEM.2019.8870145" TargetMode="External"/><Relationship Id="rId4" Type="http://schemas.openxmlformats.org/officeDocument/2006/relationships/hyperlink" Target="http://dx.doi.org/10.1109/SLAAI-ICAI54477.2021.9664736" TargetMode="External"/><Relationship Id="rId180" Type="http://schemas.openxmlformats.org/officeDocument/2006/relationships/hyperlink" Target="http://dx.doi.org/10.1145/2896941.2896954" TargetMode="External"/><Relationship Id="rId215" Type="http://schemas.openxmlformats.org/officeDocument/2006/relationships/hyperlink" Target="http://dx.doi.org/10.1109/ICSESS.2017.8342885" TargetMode="External"/><Relationship Id="rId236" Type="http://schemas.openxmlformats.org/officeDocument/2006/relationships/hyperlink" Target="http://dx.doi.org/10.1109/MSP.2018.2875349" TargetMode="External"/><Relationship Id="rId257" Type="http://schemas.openxmlformats.org/officeDocument/2006/relationships/hyperlink" Target="http://dx.doi.org/10.1109/SEAA56994.2022.00062" TargetMode="External"/><Relationship Id="rId278" Type="http://schemas.openxmlformats.org/officeDocument/2006/relationships/hyperlink" Target="http://dx.doi.org/10.1109/VL/HCC50065.2020.9127202" TargetMode="External"/><Relationship Id="rId303" Type="http://schemas.openxmlformats.org/officeDocument/2006/relationships/hyperlink" Target="http://dx.doi.org/10.1145/3524842.3527932" TargetMode="External"/><Relationship Id="rId42" Type="http://schemas.openxmlformats.org/officeDocument/2006/relationships/hyperlink" Target="http://dx.doi.org/10.1109/TR.2021.3087864" TargetMode="External"/><Relationship Id="rId84" Type="http://schemas.openxmlformats.org/officeDocument/2006/relationships/hyperlink" Target="http://dx.doi.org/10.1109/TSE.2022.3224378" TargetMode="External"/><Relationship Id="rId138" Type="http://schemas.openxmlformats.org/officeDocument/2006/relationships/hyperlink" Target="http://dx.doi.org/10.1109/ICCSEA49143.2020.9132886" TargetMode="External"/><Relationship Id="rId345" Type="http://schemas.openxmlformats.org/officeDocument/2006/relationships/hyperlink" Target="http://dx.doi.org/10.1049/et.2022.0521" TargetMode="External"/><Relationship Id="rId191" Type="http://schemas.openxmlformats.org/officeDocument/2006/relationships/hyperlink" Target="http://dx.doi.org/10.1109/TSE.2019.2903057" TargetMode="External"/><Relationship Id="rId205" Type="http://schemas.openxmlformats.org/officeDocument/2006/relationships/hyperlink" Target="http://dx.doi.org/10.1109/AERO53065.2022.9843840" TargetMode="External"/><Relationship Id="rId247" Type="http://schemas.openxmlformats.org/officeDocument/2006/relationships/hyperlink" Target="http://dx.doi.org/10.1145/3238147.3238201" TargetMode="External"/><Relationship Id="rId107" Type="http://schemas.openxmlformats.org/officeDocument/2006/relationships/hyperlink" Target="http://dx.doi.org/10.1109/ACCESS.2020.3036037" TargetMode="External"/><Relationship Id="rId289" Type="http://schemas.openxmlformats.org/officeDocument/2006/relationships/hyperlink" Target="http://dx.doi.org/10.1109/JPROC.2020.2985293" TargetMode="External"/><Relationship Id="rId11" Type="http://schemas.openxmlformats.org/officeDocument/2006/relationships/hyperlink" Target="http://dx.doi.org/10.1109/ASE51524.2021.9678532" TargetMode="External"/><Relationship Id="rId53" Type="http://schemas.openxmlformats.org/officeDocument/2006/relationships/hyperlink" Target="http://dx.doi.org/10.1145/3524842.3528469" TargetMode="External"/><Relationship Id="rId149" Type="http://schemas.openxmlformats.org/officeDocument/2006/relationships/hyperlink" Target="http://dx.doi.org/10.1109/ICSSP.2019.00018" TargetMode="External"/><Relationship Id="rId314" Type="http://schemas.openxmlformats.org/officeDocument/2006/relationships/hyperlink" Target="http://dx.doi.org/10.1109/ETFA52439.2022.9921705" TargetMode="External"/><Relationship Id="rId95" Type="http://schemas.openxmlformats.org/officeDocument/2006/relationships/hyperlink" Target="http://dx.doi.org/10.1109/SANER48275.2020.9054868" TargetMode="External"/><Relationship Id="rId160" Type="http://schemas.openxmlformats.org/officeDocument/2006/relationships/hyperlink" Target="http://dx.doi.org/10.22360/SpringSim.2020.HSAA.007" TargetMode="External"/><Relationship Id="rId216" Type="http://schemas.openxmlformats.org/officeDocument/2006/relationships/hyperlink" Target="http://dx.doi.org/10.1109/SCAM55253.2022.00018" TargetMode="External"/><Relationship Id="rId258" Type="http://schemas.openxmlformats.org/officeDocument/2006/relationships/hyperlink" Target="http://dx.doi.org/10.1109/SCAM.2019.00029" TargetMode="External"/><Relationship Id="rId22" Type="http://schemas.openxmlformats.org/officeDocument/2006/relationships/hyperlink" Target="http://dx.doi.org/10.1109/SEAA53835.2021.00032" TargetMode="External"/><Relationship Id="rId64" Type="http://schemas.openxmlformats.org/officeDocument/2006/relationships/hyperlink" Target="http://dx.doi.org/10.1109/QUATIC.2018.00050" TargetMode="External"/><Relationship Id="rId118" Type="http://schemas.openxmlformats.org/officeDocument/2006/relationships/hyperlink" Target="http://dx.doi.org/10.1145/3522664.3528590" TargetMode="External"/><Relationship Id="rId325" Type="http://schemas.openxmlformats.org/officeDocument/2006/relationships/hyperlink" Target="http://dx.doi.org/10.1109/MS.2022.3196208" TargetMode="External"/><Relationship Id="rId171" Type="http://schemas.openxmlformats.org/officeDocument/2006/relationships/hyperlink" Target="http://dx.doi.org/10.1145/3510003.3510057" TargetMode="External"/><Relationship Id="rId227" Type="http://schemas.openxmlformats.org/officeDocument/2006/relationships/hyperlink" Target="http://dx.doi.org/10.1109/SEmotion.2019.00014" TargetMode="External"/><Relationship Id="rId269" Type="http://schemas.openxmlformats.org/officeDocument/2006/relationships/hyperlink" Target="http://dx.doi.org/10.1109/BigData.2017.8258187" TargetMode="External"/><Relationship Id="rId33" Type="http://schemas.openxmlformats.org/officeDocument/2006/relationships/hyperlink" Target="http://dx.doi.org/10.1109/TSE.2021.3135465" TargetMode="External"/><Relationship Id="rId129" Type="http://schemas.openxmlformats.org/officeDocument/2006/relationships/hyperlink" Target="http://dx.doi.org/10.1109/ACCESS.2019.2917403" TargetMode="External"/><Relationship Id="rId280" Type="http://schemas.openxmlformats.org/officeDocument/2006/relationships/hyperlink" Target="http://dx.doi.org/10.1109/IWSM-MENSURA.2011.14" TargetMode="External"/><Relationship Id="rId336" Type="http://schemas.openxmlformats.org/officeDocument/2006/relationships/hyperlink" Target="http://dx.doi.org/10.1109/SEAA.2019.00004" TargetMode="External"/><Relationship Id="rId75" Type="http://schemas.openxmlformats.org/officeDocument/2006/relationships/hyperlink" Target="http://dx.doi.org/10.1109/AERO50100.2021.9438359" TargetMode="External"/><Relationship Id="rId140" Type="http://schemas.openxmlformats.org/officeDocument/2006/relationships/hyperlink" Target="http://dx.doi.org/10.1109/TPDS.2015.2414943" TargetMode="External"/><Relationship Id="rId182" Type="http://schemas.openxmlformats.org/officeDocument/2006/relationships/hyperlink" Target="http://dx.doi.org/10.1109/EMBC44109.2020.9175947" TargetMode="External"/><Relationship Id="rId6" Type="http://schemas.openxmlformats.org/officeDocument/2006/relationships/hyperlink" Target="http://dx.doi.org/10.1109/SER-IP.2017..5" TargetMode="External"/><Relationship Id="rId238" Type="http://schemas.openxmlformats.org/officeDocument/2006/relationships/hyperlink" Target="http://dx.doi.org/10.1109/IPDPSW55747.2022.00160" TargetMode="External"/><Relationship Id="rId291" Type="http://schemas.openxmlformats.org/officeDocument/2006/relationships/hyperlink" Target="http://dx.doi.org/10.1109/AST.2017.3" TargetMode="External"/><Relationship Id="rId305" Type="http://schemas.openxmlformats.org/officeDocument/2006/relationships/hyperlink" Target="https://ieeexplore.ieee.org/document/9823094;http:/dx.doi.org/10.1002/9781119513957.index" TargetMode="External"/><Relationship Id="rId347" Type="http://schemas.openxmlformats.org/officeDocument/2006/relationships/hyperlink" Target="http://dx.doi.org/10.1109/SANER50967.2021.00004" TargetMode="External"/><Relationship Id="rId44" Type="http://schemas.openxmlformats.org/officeDocument/2006/relationships/hyperlink" Target="http://dx.doi.org/10.1109/TSE.2018.2831232" TargetMode="External"/><Relationship Id="rId86" Type="http://schemas.openxmlformats.org/officeDocument/2006/relationships/hyperlink" Target="http://dx.doi.org/10.1145/3510454.3517055" TargetMode="External"/><Relationship Id="rId151" Type="http://schemas.openxmlformats.org/officeDocument/2006/relationships/hyperlink" Target="http://dx.doi.org/10.1109/MS.2022.3180906" TargetMode="External"/><Relationship Id="rId193" Type="http://schemas.openxmlformats.org/officeDocument/2006/relationships/hyperlink" Target="http://dx.doi.org/10.1109/TSE.2020.3007722" TargetMode="External"/><Relationship Id="rId207" Type="http://schemas.openxmlformats.org/officeDocument/2006/relationships/hyperlink" Target="http://dx.doi.org/10.1109/ICOSEC54921.2022.9951895" TargetMode="External"/><Relationship Id="rId249" Type="http://schemas.openxmlformats.org/officeDocument/2006/relationships/hyperlink" Target="http://dx.doi.org/10.23919/JSC.2021.0023" TargetMode="External"/><Relationship Id="rId13" Type="http://schemas.openxmlformats.org/officeDocument/2006/relationships/hyperlink" Target="http://dx.doi.org/10.1109/MS.2016.13" TargetMode="External"/><Relationship Id="rId109" Type="http://schemas.openxmlformats.org/officeDocument/2006/relationships/hyperlink" Target="http://dx.doi.org/10.1145/3510457.3513082" TargetMode="External"/><Relationship Id="rId260" Type="http://schemas.openxmlformats.org/officeDocument/2006/relationships/hyperlink" Target="http://dx.doi.org/10.1109/DSN48987.2021.00026" TargetMode="External"/><Relationship Id="rId316" Type="http://schemas.openxmlformats.org/officeDocument/2006/relationships/hyperlink" Target="http://dx.doi.org/10.1145/3524842.3528032" TargetMode="External"/><Relationship Id="rId55" Type="http://schemas.openxmlformats.org/officeDocument/2006/relationships/hyperlink" Target="http://dx.doi.org/10.1109/TechDebt52882.2021.00016" TargetMode="External"/><Relationship Id="rId97" Type="http://schemas.openxmlformats.org/officeDocument/2006/relationships/hyperlink" Target="http://dx.doi.org/10.1109/3ICT51146.2020.9311978" TargetMode="External"/><Relationship Id="rId120" Type="http://schemas.openxmlformats.org/officeDocument/2006/relationships/hyperlink" Target="http://dx.doi.org/10.1109/TSE.2016.2550458" TargetMode="External"/><Relationship Id="rId162" Type="http://schemas.openxmlformats.org/officeDocument/2006/relationships/hyperlink" Target="http://dx.doi.org/10.1109/CONISOFT52520.2021.00028" TargetMode="External"/><Relationship Id="rId218" Type="http://schemas.openxmlformats.org/officeDocument/2006/relationships/hyperlink" Target="http://dx.doi.org/10.1109/TSE.2019.2910856" TargetMode="External"/><Relationship Id="rId271" Type="http://schemas.openxmlformats.org/officeDocument/2006/relationships/hyperlink" Target="http://dx.doi.org/10.1109/JPROC.2022.3175070" TargetMode="External"/><Relationship Id="rId24" Type="http://schemas.openxmlformats.org/officeDocument/2006/relationships/hyperlink" Target="http://dx.doi.org/10.1109/ACCESS.2020.2996951" TargetMode="External"/><Relationship Id="rId66" Type="http://schemas.openxmlformats.org/officeDocument/2006/relationships/hyperlink" Target="http://dx.doi.org/10.1109/SEAA.2018.00077" TargetMode="External"/><Relationship Id="rId131" Type="http://schemas.openxmlformats.org/officeDocument/2006/relationships/hyperlink" Target="http://dx.doi.org/10.1109/ICGCIoT.2018.8753081" TargetMode="External"/><Relationship Id="rId327" Type="http://schemas.openxmlformats.org/officeDocument/2006/relationships/hyperlink" Target="http://dx.doi.org/10.1109/MS.2020.2993662" TargetMode="External"/><Relationship Id="rId173" Type="http://schemas.openxmlformats.org/officeDocument/2006/relationships/hyperlink" Target="http://dx.doi.org/10.1109/SNPD51163.2021.9705010" TargetMode="External"/><Relationship Id="rId229" Type="http://schemas.openxmlformats.org/officeDocument/2006/relationships/hyperlink" Target="http://dx.doi.org/10.1109/SEAA.2017.15" TargetMode="External"/><Relationship Id="rId240" Type="http://schemas.openxmlformats.org/officeDocument/2006/relationships/hyperlink" Target="http://dx.doi.org/10.1109/TSE.2022.3220236"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sciencedirect.com/science/article/pii/B9780128001608099927;http:/dx.doi.org/10.1016/B978-0-12-800160-8.09992-7" TargetMode="External"/><Relationship Id="rId21" Type="http://schemas.openxmlformats.org/officeDocument/2006/relationships/hyperlink" Target="https://www.sciencedirect.com/science/article/pii/S0950584921000264;http:/dx.doi.org/10.1016/j.infsof.2021.106539" TargetMode="External"/><Relationship Id="rId42" Type="http://schemas.openxmlformats.org/officeDocument/2006/relationships/hyperlink" Target="https://www.sciencedirect.com/science/article/pii/S0164121219301980;http:/dx.doi.org/10.1016/j.jss.2019.110424" TargetMode="External"/><Relationship Id="rId63" Type="http://schemas.openxmlformats.org/officeDocument/2006/relationships/hyperlink" Target="https://www.sciencedirect.com/science/article/pii/S1877050919307203;http:/dx.doi.org/10.1016/j.procs.2019.05.061" TargetMode="External"/><Relationship Id="rId84" Type="http://schemas.openxmlformats.org/officeDocument/2006/relationships/hyperlink" Target="https://www.sciencedirect.com/science/article/pii/S0164121222002643;http:/dx.doi.org/10.1016/j.jss.2022.111588" TargetMode="External"/><Relationship Id="rId138" Type="http://schemas.openxmlformats.org/officeDocument/2006/relationships/hyperlink" Target="https://www.sciencedirect.com/science/article/pii/S2405896322014239;http:/dx.doi.org/10.1016/j.ifacol.2022.09.206" TargetMode="External"/><Relationship Id="rId107" Type="http://schemas.openxmlformats.org/officeDocument/2006/relationships/hyperlink" Target="https://www.sciencedirect.com/science/article/pii/B9780128023013000132;http:/dx.doi.org/10.1016/B978-0-12-802301-3.00013-2" TargetMode="External"/><Relationship Id="rId11" Type="http://schemas.openxmlformats.org/officeDocument/2006/relationships/hyperlink" Target="https://www.sciencedirect.com/science/article/pii/S095058491930028X;http:/dx.doi.org/10.1016/j.infsof.2019.02.001" TargetMode="External"/><Relationship Id="rId32" Type="http://schemas.openxmlformats.org/officeDocument/2006/relationships/hyperlink" Target="https://www.sciencedirect.com/science/article/pii/S0164121218302334;http:/dx.doi.org/10.1016/j.jss.2018.10.029" TargetMode="External"/><Relationship Id="rId53" Type="http://schemas.openxmlformats.org/officeDocument/2006/relationships/hyperlink" Target="https://www.sciencedirect.com/science/article/pii/S016412122100251X;http:/dx.doi.org/10.1016/j.jss.2021.111166" TargetMode="External"/><Relationship Id="rId74" Type="http://schemas.openxmlformats.org/officeDocument/2006/relationships/hyperlink" Target="https://www.sciencedirect.com/science/article/pii/S0164121220301904;http:/dx.doi.org/10.1016/j.jss.2020.110777" TargetMode="External"/><Relationship Id="rId128" Type="http://schemas.openxmlformats.org/officeDocument/2006/relationships/hyperlink" Target="https://www.sciencedirect.com/science/article/pii/S0065245816300547;http:/dx.doi.org/10.1016/S0065-2458(16)30054-7" TargetMode="External"/><Relationship Id="rId149" Type="http://schemas.openxmlformats.org/officeDocument/2006/relationships/hyperlink" Target="https://www.sciencedirect.com/science/article/pii/S0950584922001513;http:/dx.doi.org/10.1016/j.infsof.2022.107034" TargetMode="External"/><Relationship Id="rId5" Type="http://schemas.openxmlformats.org/officeDocument/2006/relationships/hyperlink" Target="https://www.sciencedirect.com/science/article/pii/S0164121221001072;http:/dx.doi.org/10.1016/j.jss.2021.111010" TargetMode="External"/><Relationship Id="rId95" Type="http://schemas.openxmlformats.org/officeDocument/2006/relationships/hyperlink" Target="https://www.sciencedirect.com/science/article/pii/S0950584922001872;http:/dx.doi.org/10.1016/j.infsof.2022.107078" TargetMode="External"/><Relationship Id="rId22" Type="http://schemas.openxmlformats.org/officeDocument/2006/relationships/hyperlink" Target="https://www.sciencedirect.com/science/article/pii/S0950584920301440;http:/dx.doi.org/10.1016/j.infsof.2020.106375" TargetMode="External"/><Relationship Id="rId43" Type="http://schemas.openxmlformats.org/officeDocument/2006/relationships/hyperlink" Target="https://www.sciencedirect.com/science/article/pii/S1877050921018512;http:/dx.doi.org/10.1016/j.procs.2021.09.112" TargetMode="External"/><Relationship Id="rId64" Type="http://schemas.openxmlformats.org/officeDocument/2006/relationships/hyperlink" Target="https://www.sciencedirect.com/science/article/pii/S0950584920300203;http:/dx.doi.org/10.1016/j.infsof.2020.106270" TargetMode="External"/><Relationship Id="rId118" Type="http://schemas.openxmlformats.org/officeDocument/2006/relationships/hyperlink" Target="https://www.sciencedirect.com/science/article/pii/S0065245816300717;http:/dx.doi.org/10.1016/S0065-2458(16)30071-7" TargetMode="External"/><Relationship Id="rId139" Type="http://schemas.openxmlformats.org/officeDocument/2006/relationships/hyperlink" Target="https://www.sciencedirect.com/science/article/pii/B9780128028551000113;http:/dx.doi.org/10.1016/B978-0-12-802855-1.00011-3" TargetMode="External"/><Relationship Id="rId80" Type="http://schemas.openxmlformats.org/officeDocument/2006/relationships/hyperlink" Target="https://www.sciencedirect.com/science/article/pii/S0950705120304226;http:/dx.doi.org/10.1016/j.knosys.2020.106201" TargetMode="External"/><Relationship Id="rId85" Type="http://schemas.openxmlformats.org/officeDocument/2006/relationships/hyperlink" Target="https://www.sciencedirect.com/science/article/pii/S0920548921000362;http:/dx.doi.org/10.1016/j.csi.2021.103541" TargetMode="External"/><Relationship Id="rId150" Type="http://schemas.openxmlformats.org/officeDocument/2006/relationships/hyperlink" Target="https://www.sciencedirect.com/science/article/pii/S0957417422006388;http:/dx.doi.org/10.1016/j.eswa.2022.117267" TargetMode="External"/><Relationship Id="rId155" Type="http://schemas.openxmlformats.org/officeDocument/2006/relationships/hyperlink" Target="https://www.sciencedirect.com/science/article/pii/B9780123965288000134;http:/dx.doi.org/10.1016/B978-0-12-396528-8.00013-4" TargetMode="External"/><Relationship Id="rId12" Type="http://schemas.openxmlformats.org/officeDocument/2006/relationships/hyperlink" Target="https://www.sciencedirect.com/science/article/pii/S0164121220300881;http:/dx.doi.org/10.1016/j.jss.2020.110610" TargetMode="External"/><Relationship Id="rId17" Type="http://schemas.openxmlformats.org/officeDocument/2006/relationships/hyperlink" Target="https://www.sciencedirect.com/science/article/pii/S0952197622000616;http:/dx.doi.org/10.1016/j.engappai.2022.104773" TargetMode="External"/><Relationship Id="rId33" Type="http://schemas.openxmlformats.org/officeDocument/2006/relationships/hyperlink" Target="https://www.sciencedirect.com/science/article/pii/S0164121221000613;http:/dx.doi.org/10.1016/j.jss.2021.110964" TargetMode="External"/><Relationship Id="rId38" Type="http://schemas.openxmlformats.org/officeDocument/2006/relationships/hyperlink" Target="https://www.sciencedirect.com/science/article/pii/S0164121212003536;http:/dx.doi.org/10.1016/j.jss.2012.12.046" TargetMode="External"/><Relationship Id="rId59" Type="http://schemas.openxmlformats.org/officeDocument/2006/relationships/hyperlink" Target="https://www.sciencedirect.com/science/article/pii/B9780128042069000179;http:/dx.doi.org/10.1016/B978-0-12-804206-9.00017-9" TargetMode="External"/><Relationship Id="rId103" Type="http://schemas.openxmlformats.org/officeDocument/2006/relationships/hyperlink" Target="https://www.sciencedirect.com/science/article/pii/S0164121217301966;http:/dx.doi.org/10.1016/j.jss.2017.09.007" TargetMode="External"/><Relationship Id="rId108" Type="http://schemas.openxmlformats.org/officeDocument/2006/relationships/hyperlink" Target="https://www.sciencedirect.com/science/article/pii/S0164121219301943;http:/dx.doi.org/10.1016/j.jss.2019.110420" TargetMode="External"/><Relationship Id="rId124" Type="http://schemas.openxmlformats.org/officeDocument/2006/relationships/hyperlink" Target="https://www.sciencedirect.com/science/article/pii/S2212827120314347;http:/dx.doi.org/10.1016/j.procir.2020.05.213" TargetMode="External"/><Relationship Id="rId129" Type="http://schemas.openxmlformats.org/officeDocument/2006/relationships/hyperlink" Target="https://www.sciencedirect.com/science/article/pii/S0065245816300109;http:/dx.doi.org/10.1016/S0065-2458(16)30010-9" TargetMode="External"/><Relationship Id="rId54" Type="http://schemas.openxmlformats.org/officeDocument/2006/relationships/hyperlink" Target="https://www.sciencedirect.com/science/article/pii/S0164121222000036;http:/dx.doi.org/10.1016/j.jss.2022.111219" TargetMode="External"/><Relationship Id="rId70" Type="http://schemas.openxmlformats.org/officeDocument/2006/relationships/hyperlink" Target="https://www.sciencedirect.com/science/article/pii/S0740624X22000399;http:/dx.doi.org/10.1016/j.giq.2022.101706" TargetMode="External"/><Relationship Id="rId75" Type="http://schemas.openxmlformats.org/officeDocument/2006/relationships/hyperlink" Target="https://www.sciencedirect.com/science/article/pii/S016412122030282X;http:/dx.doi.org/10.1016/j.jss.2020.110892" TargetMode="External"/><Relationship Id="rId91" Type="http://schemas.openxmlformats.org/officeDocument/2006/relationships/hyperlink" Target="https://www.sciencedirect.com/science/article/pii/S2212827122014974;http:/dx.doi.org/10.1016/j.procir.2022.10.062" TargetMode="External"/><Relationship Id="rId96" Type="http://schemas.openxmlformats.org/officeDocument/2006/relationships/hyperlink" Target="https://www.sciencedirect.com/science/article/pii/S0164121219300457;http:/dx.doi.org/10.1016/j.jss.2019.02.056" TargetMode="External"/><Relationship Id="rId140" Type="http://schemas.openxmlformats.org/officeDocument/2006/relationships/hyperlink" Target="https://www.sciencedirect.com/science/article/pii/B9780124080911000142;http:/dx.doi.org/10.1016/B978-0-12-408091-1.00014-2" TargetMode="External"/><Relationship Id="rId145" Type="http://schemas.openxmlformats.org/officeDocument/2006/relationships/hyperlink" Target="https://www.sciencedirect.com/science/article/pii/S0164121218301109;http:/dx.doi.org/10.1016/j.jss.2018.05.057" TargetMode="External"/><Relationship Id="rId1" Type="http://schemas.openxmlformats.org/officeDocument/2006/relationships/hyperlink" Target="https://www.sciencedirect.com/science/article/pii/S0164121220301448;http:/dx.doi.org/10.1016/j.jss.2020.110693" TargetMode="External"/><Relationship Id="rId6" Type="http://schemas.openxmlformats.org/officeDocument/2006/relationships/hyperlink" Target="https://www.sciencedirect.com/science/article/pii/S0164121220302090;http:/dx.doi.org/10.1016/j.jss.2020.110806" TargetMode="External"/><Relationship Id="rId23" Type="http://schemas.openxmlformats.org/officeDocument/2006/relationships/hyperlink" Target="https://www.sciencedirect.com/science/article/pii/S0167404821000249;http:/dx.doi.org/10.1016/j.cose.2021.102200" TargetMode="External"/><Relationship Id="rId28" Type="http://schemas.openxmlformats.org/officeDocument/2006/relationships/hyperlink" Target="https://www.sciencedirect.com/science/article/pii/S0164121219301451;http:/dx.doi.org/10.1016/j.jss.2019.07.002" TargetMode="External"/><Relationship Id="rId49" Type="http://schemas.openxmlformats.org/officeDocument/2006/relationships/hyperlink" Target="https://www.sciencedirect.com/science/article/pii/S0950584919300321;http:/dx.doi.org/10.1016/j.infsof.2019.02.004" TargetMode="External"/><Relationship Id="rId114" Type="http://schemas.openxmlformats.org/officeDocument/2006/relationships/hyperlink" Target="https://www.sciencedirect.com/science/article/pii/S0065245815000248;http:/dx.doi.org/10.1016/S0065-2458(15)00024-8" TargetMode="External"/><Relationship Id="rId119" Type="http://schemas.openxmlformats.org/officeDocument/2006/relationships/hyperlink" Target="https://www.sciencedirect.com/science/article/pii/S0950584918300922;http:/dx.doi.org/10.1016/j.infsof.2018.05.009" TargetMode="External"/><Relationship Id="rId44" Type="http://schemas.openxmlformats.org/officeDocument/2006/relationships/hyperlink" Target="https://www.sciencedirect.com/science/article/pii/S0950584922002403;http:/dx.doi.org/10.1016/j.infsof.2022.107131" TargetMode="External"/><Relationship Id="rId60" Type="http://schemas.openxmlformats.org/officeDocument/2006/relationships/hyperlink" Target="https://www.sciencedirect.com/science/article/pii/S0950584920301373;http:/dx.doi.org/10.1016/j.infsof.2020.106368" TargetMode="External"/><Relationship Id="rId65" Type="http://schemas.openxmlformats.org/officeDocument/2006/relationships/hyperlink" Target="https://www.sciencedirect.com/science/article/pii/S0164121220301539;http:/dx.doi.org/10.1016/j.jss.2020.110710" TargetMode="External"/><Relationship Id="rId81" Type="http://schemas.openxmlformats.org/officeDocument/2006/relationships/hyperlink" Target="https://www.sciencedirect.com/science/article/pii/S0164121219301013;http:/dx.doi.org/10.1016/j.jss.2019.04.066" TargetMode="External"/><Relationship Id="rId86" Type="http://schemas.openxmlformats.org/officeDocument/2006/relationships/hyperlink" Target="https://www.sciencedirect.com/science/article/pii/S0164121222002801;http:/dx.doi.org/10.1016/j.jss.2022.111604" TargetMode="External"/><Relationship Id="rId130" Type="http://schemas.openxmlformats.org/officeDocument/2006/relationships/hyperlink" Target="https://www.sciencedirect.com/science/article/pii/B9780124077256000125;http:/dx.doi.org/10.1016/B978-0-12-407725-6.00012-5" TargetMode="External"/><Relationship Id="rId135" Type="http://schemas.openxmlformats.org/officeDocument/2006/relationships/hyperlink" Target="https://www.sciencedirect.com/science/article/pii/S0950584918302490;http:/dx.doi.org/10.1016/j.infsof.2018.12.003" TargetMode="External"/><Relationship Id="rId151" Type="http://schemas.openxmlformats.org/officeDocument/2006/relationships/hyperlink" Target="https://www.sciencedirect.com/science/article/pii/S2666546822000544;http:/dx.doi.org/10.1016/j.egyai.2022.100208" TargetMode="External"/><Relationship Id="rId156" Type="http://schemas.openxmlformats.org/officeDocument/2006/relationships/hyperlink" Target="https://www.sciencedirect.com/science/article/pii/S0925231222006646;http:/dx.doi.org/10.1016/j.neucom.2022.05.081" TargetMode="External"/><Relationship Id="rId13" Type="http://schemas.openxmlformats.org/officeDocument/2006/relationships/hyperlink" Target="https://www.sciencedirect.com/science/article/pii/S0164121220301734;http:/dx.doi.org/10.1016/j.jss.2020.110750" TargetMode="External"/><Relationship Id="rId18" Type="http://schemas.openxmlformats.org/officeDocument/2006/relationships/hyperlink" Target="https://www.sciencedirect.com/science/article/pii/S0164121222002394;http:/dx.doi.org/10.1016/j.jss.2022.111563" TargetMode="External"/><Relationship Id="rId39" Type="http://schemas.openxmlformats.org/officeDocument/2006/relationships/hyperlink" Target="https://www.sciencedirect.com/science/article/pii/S0950584920300926;http:/dx.doi.org/10.1016/j.infsof.2020.106333" TargetMode="External"/><Relationship Id="rId109" Type="http://schemas.openxmlformats.org/officeDocument/2006/relationships/hyperlink" Target="https://www.sciencedirect.com/science/article/pii/S0065245815000455;http:/dx.doi.org/10.1016/S0065-2458(15)00045-5" TargetMode="External"/><Relationship Id="rId34" Type="http://schemas.openxmlformats.org/officeDocument/2006/relationships/hyperlink" Target="https://www.sciencedirect.com/science/article/pii/S016412122200190X;http:/dx.doi.org/10.1016/j.jss.2022.111514" TargetMode="External"/><Relationship Id="rId50" Type="http://schemas.openxmlformats.org/officeDocument/2006/relationships/hyperlink" Target="https://www.sciencedirect.com/science/article/pii/S0950584920301920;http:/dx.doi.org/10.1016/j.infsof.2020.106439" TargetMode="External"/><Relationship Id="rId55" Type="http://schemas.openxmlformats.org/officeDocument/2006/relationships/hyperlink" Target="https://www.sciencedirect.com/science/article/pii/S0164121219300536;http:/dx.doi.org/10.1016/j.jss.2019.03.002" TargetMode="External"/><Relationship Id="rId76" Type="http://schemas.openxmlformats.org/officeDocument/2006/relationships/hyperlink" Target="https://www.sciencedirect.com/science/article/pii/S0950584922000258;http:/dx.doi.org/10.1016/j.infsof.2022.106855" TargetMode="External"/><Relationship Id="rId97" Type="http://schemas.openxmlformats.org/officeDocument/2006/relationships/hyperlink" Target="https://www.sciencedirect.com/science/article/pii/S0957417420308824;http:/dx.doi.org/10.1016/j.eswa.2020.114134" TargetMode="External"/><Relationship Id="rId104" Type="http://schemas.openxmlformats.org/officeDocument/2006/relationships/hyperlink" Target="https://www.sciencedirect.com/science/article/pii/S0164121220300753;http:/dx.doi.org/10.1016/j.jss.2020.110596" TargetMode="External"/><Relationship Id="rId120" Type="http://schemas.openxmlformats.org/officeDocument/2006/relationships/hyperlink" Target="https://www.sciencedirect.com/science/article/pii/S016412122030128X;http:/dx.doi.org/10.1016/j.jss.2020.110671" TargetMode="External"/><Relationship Id="rId125" Type="http://schemas.openxmlformats.org/officeDocument/2006/relationships/hyperlink" Target="https://www.sciencedirect.com/science/article/pii/B9780128002186000126;http:/dx.doi.org/10.1016/B978-0-12-800218-6.00012-6" TargetMode="External"/><Relationship Id="rId141" Type="http://schemas.openxmlformats.org/officeDocument/2006/relationships/hyperlink" Target="https://www.sciencedirect.com/science/article/pii/S0950584919302058;http:/dx.doi.org/10.1016/j.infsof.2019.106198" TargetMode="External"/><Relationship Id="rId146" Type="http://schemas.openxmlformats.org/officeDocument/2006/relationships/hyperlink" Target="https://www.sciencedirect.com/science/article/pii/S0164121217301772;http:/dx.doi.org/10.1016/j.jss.2017.08.017" TargetMode="External"/><Relationship Id="rId7" Type="http://schemas.openxmlformats.org/officeDocument/2006/relationships/hyperlink" Target="https://www.sciencedirect.com/science/article/pii/S0164121222001972;http:/dx.doi.org/10.1016/j.jss.2022.111521" TargetMode="External"/><Relationship Id="rId71" Type="http://schemas.openxmlformats.org/officeDocument/2006/relationships/hyperlink" Target="https://www.sciencedirect.com/science/article/pii/S0950584920301701;http:/dx.doi.org/10.1016/j.infsof.2020.106407" TargetMode="External"/><Relationship Id="rId92" Type="http://schemas.openxmlformats.org/officeDocument/2006/relationships/hyperlink" Target="https://www.sciencedirect.com/science/article/pii/S0164121220300947;http:/dx.doi.org/10.1016/j.jss.2020.110616" TargetMode="External"/><Relationship Id="rId2" Type="http://schemas.openxmlformats.org/officeDocument/2006/relationships/hyperlink" Target="https://www.sciencedirect.com/science/article/pii/S0164121222000358;http:/dx.doi.org/10.1016/j.jss.2022.111273" TargetMode="External"/><Relationship Id="rId29" Type="http://schemas.openxmlformats.org/officeDocument/2006/relationships/hyperlink" Target="https://www.sciencedirect.com/science/article/pii/S0950584921001580;http:/dx.doi.org/10.1016/j.infsof.2021.106705" TargetMode="External"/><Relationship Id="rId24" Type="http://schemas.openxmlformats.org/officeDocument/2006/relationships/hyperlink" Target="https://www.sciencedirect.com/science/article/pii/B9780128001622000142;http:/dx.doi.org/10.1016/B978-0-12-800162-2.00014-2" TargetMode="External"/><Relationship Id="rId40" Type="http://schemas.openxmlformats.org/officeDocument/2006/relationships/hyperlink" Target="https://www.sciencedirect.com/science/article/pii/S0166361522000987;http:/dx.doi.org/10.1016/j.compind.2022.103701" TargetMode="External"/><Relationship Id="rId45" Type="http://schemas.openxmlformats.org/officeDocument/2006/relationships/hyperlink" Target="https://www.sciencedirect.com/science/article/pii/S016412121930202X;http:/dx.doi.org/10.1016/j.jss.2019.110428" TargetMode="External"/><Relationship Id="rId66" Type="http://schemas.openxmlformats.org/officeDocument/2006/relationships/hyperlink" Target="https://www.sciencedirect.com/science/article/pii/B9780128185971500230;http:/dx.doi.org/10.1016/B978-0-12-818597-1.50023-0" TargetMode="External"/><Relationship Id="rId87" Type="http://schemas.openxmlformats.org/officeDocument/2006/relationships/hyperlink" Target="https://www.sciencedirect.com/science/article/pii/S095219762200313X;http:/dx.doi.org/10.1016/j.engappai.2022.105240" TargetMode="External"/><Relationship Id="rId110" Type="http://schemas.openxmlformats.org/officeDocument/2006/relationships/hyperlink" Target="https://www.sciencedirect.com/science/article/pii/S0164121221000662;http:/dx.doi.org/10.1016/j.jss.2021.110969" TargetMode="External"/><Relationship Id="rId115" Type="http://schemas.openxmlformats.org/officeDocument/2006/relationships/hyperlink" Target="https://www.sciencedirect.com/science/article/pii/S0040162521003899;http:/dx.doi.org/10.1016/j.techfore.2021.120957" TargetMode="External"/><Relationship Id="rId131" Type="http://schemas.openxmlformats.org/officeDocument/2006/relationships/hyperlink" Target="https://www.sciencedirect.com/science/article/pii/S0950584919302289;http:/dx.doi.org/10.1016/j.infsof.2019.106218" TargetMode="External"/><Relationship Id="rId136" Type="http://schemas.openxmlformats.org/officeDocument/2006/relationships/hyperlink" Target="https://www.sciencedirect.com/science/article/pii/S1568494622000187;http:/dx.doi.org/10.1016/j.asoc.2022.108441" TargetMode="External"/><Relationship Id="rId157" Type="http://schemas.openxmlformats.org/officeDocument/2006/relationships/hyperlink" Target="https://www.sciencedirect.com/science/article/pii/S2153353922001353;http:/dx.doi.org/10.4103/jpi.jpi_84_20" TargetMode="External"/><Relationship Id="rId61" Type="http://schemas.openxmlformats.org/officeDocument/2006/relationships/hyperlink" Target="https://www.sciencedirect.com/science/article/pii/S0950584918302623;http:/dx.doi.org/10.1016/j.infsof.2018.12.009" TargetMode="External"/><Relationship Id="rId82" Type="http://schemas.openxmlformats.org/officeDocument/2006/relationships/hyperlink" Target="https://www.sciencedirect.com/science/article/pii/S0920548919300789;http:/dx.doi.org/10.1016/j.csi.2019.103389" TargetMode="External"/><Relationship Id="rId152" Type="http://schemas.openxmlformats.org/officeDocument/2006/relationships/hyperlink" Target="https://www.sciencedirect.com/science/article/pii/B9780128002056000032;http:/dx.doi.org/10.1016/B978-0-12-800205-6.00003-2" TargetMode="External"/><Relationship Id="rId19" Type="http://schemas.openxmlformats.org/officeDocument/2006/relationships/hyperlink" Target="https://www.sciencedirect.com/science/article/pii/S2666827022000354;http:/dx.doi.org/10.1016/j.mlwa.2022.100316" TargetMode="External"/><Relationship Id="rId14" Type="http://schemas.openxmlformats.org/officeDocument/2006/relationships/hyperlink" Target="https://www.sciencedirect.com/science/article/pii/S0952197622002998;http:/dx.doi.org/10.1016/j.engappai.2022.105209" TargetMode="External"/><Relationship Id="rId30" Type="http://schemas.openxmlformats.org/officeDocument/2006/relationships/hyperlink" Target="https://www.sciencedirect.com/science/article/pii/S0950584921000495;http:/dx.doi.org/10.1016/j.infsof.2021.106566" TargetMode="External"/><Relationship Id="rId35" Type="http://schemas.openxmlformats.org/officeDocument/2006/relationships/hyperlink" Target="https://www.sciencedirect.com/science/article/pii/S254266052200018X;http:/dx.doi.org/10.1016/j.iot.2022.100514" TargetMode="External"/><Relationship Id="rId56" Type="http://schemas.openxmlformats.org/officeDocument/2006/relationships/hyperlink" Target="https://www.sciencedirect.com/science/article/pii/S0950584922000556;http:/dx.doi.org/10.1016/j.infsof.2022.106893" TargetMode="External"/><Relationship Id="rId77" Type="http://schemas.openxmlformats.org/officeDocument/2006/relationships/hyperlink" Target="https://www.sciencedirect.com/science/article/pii/S016412122100128X;http:/dx.doi.org/10.1016/j.jss.2021.111031" TargetMode="External"/><Relationship Id="rId100" Type="http://schemas.openxmlformats.org/officeDocument/2006/relationships/hyperlink" Target="https://www.sciencedirect.com/science/article/pii/S0167404821000821;http:/dx.doi.org/10.1016/j.cose.2021.102258" TargetMode="External"/><Relationship Id="rId105" Type="http://schemas.openxmlformats.org/officeDocument/2006/relationships/hyperlink" Target="https://www.sciencedirect.com/science/article/pii/S0950584920300914;http:/dx.doi.org/10.1016/j.infsof.2020.106332" TargetMode="External"/><Relationship Id="rId126" Type="http://schemas.openxmlformats.org/officeDocument/2006/relationships/hyperlink" Target="https://www.sciencedirect.com/science/article/pii/S0164121219301323;http:/dx.doi.org/10.1016/j.jss.2019.06.003" TargetMode="External"/><Relationship Id="rId147" Type="http://schemas.openxmlformats.org/officeDocument/2006/relationships/hyperlink" Target="https://www.sciencedirect.com/science/article/pii/S0065245817300086;http:/dx.doi.org/10.1016/S0065-2458(17)30008-6" TargetMode="External"/><Relationship Id="rId8" Type="http://schemas.openxmlformats.org/officeDocument/2006/relationships/hyperlink" Target="https://www.sciencedirect.com/science/article/pii/S0950584920300240;http:/dx.doi.org/10.1016/j.infsof.2020.106274" TargetMode="External"/><Relationship Id="rId51" Type="http://schemas.openxmlformats.org/officeDocument/2006/relationships/hyperlink" Target="https://www.sciencedirect.com/science/article/pii/S0164121222000437;http:/dx.doi.org/10.1016/j.jss.2022.111283" TargetMode="External"/><Relationship Id="rId72" Type="http://schemas.openxmlformats.org/officeDocument/2006/relationships/hyperlink" Target="https://www.sciencedirect.com/science/article/pii/S095058492200088X;http:/dx.doi.org/10.1016/j.infsof.2022.106939" TargetMode="External"/><Relationship Id="rId93" Type="http://schemas.openxmlformats.org/officeDocument/2006/relationships/hyperlink" Target="https://www.sciencedirect.com/science/article/pii/S0950584922002294;http:/dx.doi.org/10.1016/j.infsof.2022.107120" TargetMode="External"/><Relationship Id="rId98" Type="http://schemas.openxmlformats.org/officeDocument/2006/relationships/hyperlink" Target="https://www.sciencedirect.com/science/article/pii/S0164121223000109;http:/dx.doi.org/10.1016/j.jss.2023.111615" TargetMode="External"/><Relationship Id="rId121" Type="http://schemas.openxmlformats.org/officeDocument/2006/relationships/hyperlink" Target="https://www.sciencedirect.com/science/article/pii/S0164121221002211;http:/dx.doi.org/10.1016/j.jss.2021.111124" TargetMode="External"/><Relationship Id="rId142" Type="http://schemas.openxmlformats.org/officeDocument/2006/relationships/hyperlink" Target="https://www.sciencedirect.com/science/article/pii/B9780124115194000197;http:/dx.doi.org/10.1016/B978-0-12-411519-4.00019-7" TargetMode="External"/><Relationship Id="rId3" Type="http://schemas.openxmlformats.org/officeDocument/2006/relationships/hyperlink" Target="https://www.sciencedirect.com/science/article/pii/S2212827122014986;http:/dx.doi.org/10.1016/j.procir.2022.10.063" TargetMode="External"/><Relationship Id="rId25" Type="http://schemas.openxmlformats.org/officeDocument/2006/relationships/hyperlink" Target="https://www.sciencedirect.com/science/article/pii/S0950584920301907;http:/dx.doi.org/10.1016/j.infsof.2020.106435" TargetMode="External"/><Relationship Id="rId46" Type="http://schemas.openxmlformats.org/officeDocument/2006/relationships/hyperlink" Target="https://www.sciencedirect.com/science/article/pii/S0950584920301981;http:/dx.doi.org/10.1016/j.infsof.2020.106448" TargetMode="External"/><Relationship Id="rId67" Type="http://schemas.openxmlformats.org/officeDocument/2006/relationships/hyperlink" Target="https://www.sciencedirect.com/science/article/pii/S0164121222001303;http:/dx.doi.org/10.1016/j.jss.2022.111423" TargetMode="External"/><Relationship Id="rId116" Type="http://schemas.openxmlformats.org/officeDocument/2006/relationships/hyperlink" Target="https://www.sciencedirect.com/science/article/pii/S0164121221000819;http:/dx.doi.org/10.1016/j.jss.2021.110984" TargetMode="External"/><Relationship Id="rId137" Type="http://schemas.openxmlformats.org/officeDocument/2006/relationships/hyperlink" Target="https://www.sciencedirect.com/science/article/pii/S0950584917305104;http:/dx.doi.org/10.1016/j.infsof.2018.06.006" TargetMode="External"/><Relationship Id="rId20" Type="http://schemas.openxmlformats.org/officeDocument/2006/relationships/hyperlink" Target="https://www.sciencedirect.com/science/article/pii/S0164121216000789;http:/dx.doi.org/10.1016/j.jss.2016.02.047" TargetMode="External"/><Relationship Id="rId41" Type="http://schemas.openxmlformats.org/officeDocument/2006/relationships/hyperlink" Target="https://www.sciencedirect.com/science/article/pii/S0164121221001266;http:/dx.doi.org/10.1016/j.jss.2021.111029" TargetMode="External"/><Relationship Id="rId62" Type="http://schemas.openxmlformats.org/officeDocument/2006/relationships/hyperlink" Target="https://www.sciencedirect.com/science/article/pii/S0167739X22003223;http:/dx.doi.org/10.1016/j.future.2022.10.008" TargetMode="External"/><Relationship Id="rId83" Type="http://schemas.openxmlformats.org/officeDocument/2006/relationships/hyperlink" Target="https://www.sciencedirect.com/science/article/pii/S095058491930240X;http:/dx.doi.org/10.1016/j.infsof.2019.106225" TargetMode="External"/><Relationship Id="rId88" Type="http://schemas.openxmlformats.org/officeDocument/2006/relationships/hyperlink" Target="https://www.sciencedirect.com/science/article/pii/S1877050920308267;http:/dx.doi.org/10.1016/j.procs.2020.03.360" TargetMode="External"/><Relationship Id="rId111" Type="http://schemas.openxmlformats.org/officeDocument/2006/relationships/hyperlink" Target="https://www.sciencedirect.com/science/article/pii/S0065245815000571;http:/dx.doi.org/10.1016/S0065-2458(15)00057-1" TargetMode="External"/><Relationship Id="rId132" Type="http://schemas.openxmlformats.org/officeDocument/2006/relationships/hyperlink" Target="https://www.sciencedirect.com/science/article/pii/B978012800161509993X;http:/dx.doi.org/10.1016/B978-0-12-800161-5.09993-X" TargetMode="External"/><Relationship Id="rId153" Type="http://schemas.openxmlformats.org/officeDocument/2006/relationships/hyperlink" Target="https://www.sciencedirect.com/science/article/pii/S0164121218302681;http:/dx.doi.org/10.1016/j.jss.2018.12.006" TargetMode="External"/><Relationship Id="rId15" Type="http://schemas.openxmlformats.org/officeDocument/2006/relationships/hyperlink" Target="https://www.sciencedirect.com/science/article/pii/S0950584915001676;http:/dx.doi.org/10.1016/j.infsof.2015.10.001" TargetMode="External"/><Relationship Id="rId36" Type="http://schemas.openxmlformats.org/officeDocument/2006/relationships/hyperlink" Target="https://www.sciencedirect.com/science/article/pii/S0164121220302922;http:/dx.doi.org/10.1016/j.jss.2020.110902" TargetMode="External"/><Relationship Id="rId57" Type="http://schemas.openxmlformats.org/officeDocument/2006/relationships/hyperlink" Target="https://www.sciencedirect.com/science/article/pii/S0164121222001091;http:/dx.doi.org/10.1016/j.jss.2022.111389" TargetMode="External"/><Relationship Id="rId106" Type="http://schemas.openxmlformats.org/officeDocument/2006/relationships/hyperlink" Target="https://www.sciencedirect.com/science/article/pii/S0065245815000133;http:/dx.doi.org/10.1016/S0065-2458(15)00013-3" TargetMode="External"/><Relationship Id="rId127" Type="http://schemas.openxmlformats.org/officeDocument/2006/relationships/hyperlink" Target="https://www.sciencedirect.com/science/article/pii/S0167642320301301;http:/dx.doi.org/10.1016/j.scico.2020.102522" TargetMode="External"/><Relationship Id="rId10" Type="http://schemas.openxmlformats.org/officeDocument/2006/relationships/hyperlink" Target="https://www.sciencedirect.com/science/article/pii/S0164121222002308;http:/dx.doi.org/10.1016/j.jss.2022.111554" TargetMode="External"/><Relationship Id="rId31" Type="http://schemas.openxmlformats.org/officeDocument/2006/relationships/hyperlink" Target="https://www.sciencedirect.com/science/article/pii/S0164121215001818;http:/dx.doi.org/10.1016/j.jss.2015.08.026" TargetMode="External"/><Relationship Id="rId52" Type="http://schemas.openxmlformats.org/officeDocument/2006/relationships/hyperlink" Target="https://www.sciencedirect.com/science/article/pii/S0164121222000954;http:/dx.doi.org/10.1016/j.jss.2022.111369" TargetMode="External"/><Relationship Id="rId73" Type="http://schemas.openxmlformats.org/officeDocument/2006/relationships/hyperlink" Target="https://www.sciencedirect.com/science/article/pii/S0164121222000772;http:/dx.doi.org/10.1016/j.jss.2022.111336" TargetMode="External"/><Relationship Id="rId78" Type="http://schemas.openxmlformats.org/officeDocument/2006/relationships/hyperlink" Target="https://www.sciencedirect.com/science/article/pii/S0164121221000364;http:/dx.doi.org/10.1016/j.jss.2021.110939" TargetMode="External"/><Relationship Id="rId94" Type="http://schemas.openxmlformats.org/officeDocument/2006/relationships/hyperlink" Target="https://www.sciencedirect.com/science/article/pii/S156849462200669X;http:/dx.doi.org/10.1016/j.asoc.2022.109620" TargetMode="External"/><Relationship Id="rId99" Type="http://schemas.openxmlformats.org/officeDocument/2006/relationships/hyperlink" Target="https://www.sciencedirect.com/science/article/pii/S0164121222001844;http:/dx.doi.org/10.1016/j.jss.2022.111508" TargetMode="External"/><Relationship Id="rId101" Type="http://schemas.openxmlformats.org/officeDocument/2006/relationships/hyperlink" Target="https://www.sciencedirect.com/science/article/pii/S0164121216302321;http:/dx.doi.org/10.1016/j.jss.2016.11.030" TargetMode="External"/><Relationship Id="rId122" Type="http://schemas.openxmlformats.org/officeDocument/2006/relationships/hyperlink" Target="https://www.sciencedirect.com/science/article/pii/S0164121218300918;http:/dx.doi.org/10.1016/j.jss.2018.05.003" TargetMode="External"/><Relationship Id="rId143" Type="http://schemas.openxmlformats.org/officeDocument/2006/relationships/hyperlink" Target="https://www.sciencedirect.com/science/article/pii/S0040162518309594;http:/dx.doi.org/10.1016/j.techfore.2019.119735" TargetMode="External"/><Relationship Id="rId148" Type="http://schemas.openxmlformats.org/officeDocument/2006/relationships/hyperlink" Target="https://www.sciencedirect.com/science/article/pii/B9780124080898000124;http:/dx.doi.org/10.1016/B978-0-12-408089-8.00012-4" TargetMode="External"/><Relationship Id="rId4" Type="http://schemas.openxmlformats.org/officeDocument/2006/relationships/hyperlink" Target="https://www.sciencedirect.com/science/article/pii/S0950584922002257;http:/dx.doi.org/10.1016/j.infsof.2022.107116" TargetMode="External"/><Relationship Id="rId9" Type="http://schemas.openxmlformats.org/officeDocument/2006/relationships/hyperlink" Target="https://www.sciencedirect.com/science/article/pii/S0164121220302375;http:/dx.doi.org/10.1016/j.jss.2020.110847" TargetMode="External"/><Relationship Id="rId26" Type="http://schemas.openxmlformats.org/officeDocument/2006/relationships/hyperlink" Target="https://www.sciencedirect.com/science/article/pii/S0950584921000367;http:/dx.doi.org/10.1016/j.infsof.2021.106551" TargetMode="External"/><Relationship Id="rId47" Type="http://schemas.openxmlformats.org/officeDocument/2006/relationships/hyperlink" Target="https://www.sciencedirect.com/science/article/pii/S0164121223000146;http:/dx.doi.org/10.1016/j.jss.2023.111619" TargetMode="External"/><Relationship Id="rId68" Type="http://schemas.openxmlformats.org/officeDocument/2006/relationships/hyperlink" Target="https://www.sciencedirect.com/science/article/pii/S016412122030217X;http:/dx.doi.org/10.1016/j.jss.2020.110821" TargetMode="External"/><Relationship Id="rId89" Type="http://schemas.openxmlformats.org/officeDocument/2006/relationships/hyperlink" Target="https://www.sciencedirect.com/science/article/pii/S0167642321000861;http:/dx.doi.org/10.1016/j.scico.2021.102693" TargetMode="External"/><Relationship Id="rId112" Type="http://schemas.openxmlformats.org/officeDocument/2006/relationships/hyperlink" Target="https://www.sciencedirect.com/science/article/pii/B9780128002186000163;http:/dx.doi.org/10.1016/B978-0-12-800218-6.00016-3" TargetMode="External"/><Relationship Id="rId133" Type="http://schemas.openxmlformats.org/officeDocument/2006/relationships/hyperlink" Target="https://www.sciencedirect.com/science/article/pii/S0065245816300420;http:/dx.doi.org/10.1016/S0065-2458(16)30042-0" TargetMode="External"/><Relationship Id="rId154" Type="http://schemas.openxmlformats.org/officeDocument/2006/relationships/hyperlink" Target="https://www.sciencedirect.com/science/article/pii/S1568494621009741;http:/dx.doi.org/10.1016/j.asoc.2021.108066" TargetMode="External"/><Relationship Id="rId16" Type="http://schemas.openxmlformats.org/officeDocument/2006/relationships/hyperlink" Target="https://www.sciencedirect.com/science/article/pii/S0167404820302406;http:/dx.doi.org/10.1016/j.cose.2020.101967" TargetMode="External"/><Relationship Id="rId37" Type="http://schemas.openxmlformats.org/officeDocument/2006/relationships/hyperlink" Target="https://www.sciencedirect.com/science/article/pii/S0164121221000339;http:/dx.doi.org/10.1016/j.jss.2021.110936" TargetMode="External"/><Relationship Id="rId58" Type="http://schemas.openxmlformats.org/officeDocument/2006/relationships/hyperlink" Target="https://www.sciencedirect.com/science/article/pii/S2212827122003122;http:/dx.doi.org/10.1016/j.procir.2022.05.028" TargetMode="External"/><Relationship Id="rId79" Type="http://schemas.openxmlformats.org/officeDocument/2006/relationships/hyperlink" Target="https://www.sciencedirect.com/science/article/pii/S0957417417303883;http:/dx.doi.org/10.1016/j.eswa.2017.05.060" TargetMode="External"/><Relationship Id="rId102" Type="http://schemas.openxmlformats.org/officeDocument/2006/relationships/hyperlink" Target="https://www.sciencedirect.com/science/article/pii/S0957417420308356;http:/dx.doi.org/10.1016/j.eswa.2020.114076" TargetMode="External"/><Relationship Id="rId123" Type="http://schemas.openxmlformats.org/officeDocument/2006/relationships/hyperlink" Target="https://www.sciencedirect.com/science/article/pii/B9780124080942000138;http:/dx.doi.org/10.1016/B978-0-12-408094-2.00013-8" TargetMode="External"/><Relationship Id="rId144" Type="http://schemas.openxmlformats.org/officeDocument/2006/relationships/hyperlink" Target="https://www.sciencedirect.com/science/article/pii/S0164121221001941;http:/dx.doi.org/10.1016/j.jss.2021.111097" TargetMode="External"/><Relationship Id="rId90" Type="http://schemas.openxmlformats.org/officeDocument/2006/relationships/hyperlink" Target="https://www.sciencedirect.com/science/article/pii/S0164121217303114;http:/dx.doi.org/10.1016/j.jss.2017.12.034" TargetMode="External"/><Relationship Id="rId27" Type="http://schemas.openxmlformats.org/officeDocument/2006/relationships/hyperlink" Target="https://www.sciencedirect.com/science/article/pii/S0164121222000693;http:/dx.doi.org/10.1016/j.jss.2022.111326" TargetMode="External"/><Relationship Id="rId48" Type="http://schemas.openxmlformats.org/officeDocument/2006/relationships/hyperlink" Target="https://www.sciencedirect.com/science/article/pii/S0164121222001649;http:/dx.doi.org/10.1016/j.jss.2022.111481" TargetMode="External"/><Relationship Id="rId69" Type="http://schemas.openxmlformats.org/officeDocument/2006/relationships/hyperlink" Target="https://www.sciencedirect.com/science/article/pii/S095741742030912X;http:/dx.doi.org/10.1016/j.eswa.2020.114176" TargetMode="External"/><Relationship Id="rId113" Type="http://schemas.openxmlformats.org/officeDocument/2006/relationships/hyperlink" Target="https://www.sciencedirect.com/science/article/pii/B9780128180150000062;http:/dx.doi.org/10.1016/B978-0-12-818015-0.00006-2" TargetMode="External"/><Relationship Id="rId134" Type="http://schemas.openxmlformats.org/officeDocument/2006/relationships/hyperlink" Target="https://www.sciencedirect.com/science/article/pii/S0065245816300225;http:/dx.doi.org/10.1016/S0065-2458(16)30022-5"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link.springer.com/book/10.1007/978-3-319-55444-0" TargetMode="External"/><Relationship Id="rId299" Type="http://schemas.openxmlformats.org/officeDocument/2006/relationships/hyperlink" Target="http://link.springer.com/chapter/10.1007/978-3-030-65854-0_4" TargetMode="External"/><Relationship Id="rId21" Type="http://schemas.openxmlformats.org/officeDocument/2006/relationships/hyperlink" Target="http://link.springer.com/book/10.1007/978-3-030-49435-3" TargetMode="External"/><Relationship Id="rId63" Type="http://schemas.openxmlformats.org/officeDocument/2006/relationships/hyperlink" Target="http://link.springer.com/book/10.1007/978-981-16-5655-2" TargetMode="External"/><Relationship Id="rId159" Type="http://schemas.openxmlformats.org/officeDocument/2006/relationships/hyperlink" Target="http://link.springer.com/book/10.1007/978-1-4842-4859-1" TargetMode="External"/><Relationship Id="rId324" Type="http://schemas.openxmlformats.org/officeDocument/2006/relationships/hyperlink" Target="http://link.springer.com/book/10.1007/978-1-4842-8832-0" TargetMode="External"/><Relationship Id="rId366" Type="http://schemas.openxmlformats.org/officeDocument/2006/relationships/hyperlink" Target="http://link.springer.com/chapter/10.1007/978-1-4842-5104-1_3" TargetMode="External"/><Relationship Id="rId170" Type="http://schemas.openxmlformats.org/officeDocument/2006/relationships/hyperlink" Target="http://link.springer.com/book/10.1007/978-3-662-65116-2" TargetMode="External"/><Relationship Id="rId226" Type="http://schemas.openxmlformats.org/officeDocument/2006/relationships/hyperlink" Target="http://link.springer.com/book/10.1007/978-1-4842-8279-3" TargetMode="External"/><Relationship Id="rId433" Type="http://schemas.openxmlformats.org/officeDocument/2006/relationships/hyperlink" Target="http://link.springer.com/article/10.1007/s10270-022-01011-2" TargetMode="External"/><Relationship Id="rId268" Type="http://schemas.openxmlformats.org/officeDocument/2006/relationships/hyperlink" Target="http://link.springer.com/chapter/10.1007/978-3-030-65854-0_6" TargetMode="External"/><Relationship Id="rId32" Type="http://schemas.openxmlformats.org/officeDocument/2006/relationships/hyperlink" Target="http://link.springer.com/book/10.1007/978-3-030-80119-9" TargetMode="External"/><Relationship Id="rId74" Type="http://schemas.openxmlformats.org/officeDocument/2006/relationships/hyperlink" Target="http://link.springer.com/chapter/10.1007/978-3-030-58793-2_5" TargetMode="External"/><Relationship Id="rId128" Type="http://schemas.openxmlformats.org/officeDocument/2006/relationships/hyperlink" Target="http://link.springer.com/book/10.1007/978-3-319-91797-9" TargetMode="External"/><Relationship Id="rId335" Type="http://schemas.openxmlformats.org/officeDocument/2006/relationships/hyperlink" Target="http://link.springer.com/book/10.1007/978-1-4842-8236-6" TargetMode="External"/><Relationship Id="rId377" Type="http://schemas.openxmlformats.org/officeDocument/2006/relationships/hyperlink" Target="http://link.springer.com/article/10.1007/s10664-022-10224-4" TargetMode="External"/><Relationship Id="rId5" Type="http://schemas.openxmlformats.org/officeDocument/2006/relationships/hyperlink" Target="http://link.springer.com/book/10.1007/978-3-030-77283-3" TargetMode="External"/><Relationship Id="rId181" Type="http://schemas.openxmlformats.org/officeDocument/2006/relationships/hyperlink" Target="http://link.springer.com/chapter/10.1007/978-3-030-60939-9_25" TargetMode="External"/><Relationship Id="rId237" Type="http://schemas.openxmlformats.org/officeDocument/2006/relationships/hyperlink" Target="http://link.springer.com/book/10.1007/978-1-4842-8820-7" TargetMode="External"/><Relationship Id="rId402" Type="http://schemas.openxmlformats.org/officeDocument/2006/relationships/hyperlink" Target="http://link.springer.com/article/10.1007/s11219-019-09465-2" TargetMode="External"/><Relationship Id="rId279" Type="http://schemas.openxmlformats.org/officeDocument/2006/relationships/hyperlink" Target="http://link.springer.com/chapter/10.1007/978-1-4842-7383-8_9" TargetMode="External"/><Relationship Id="rId444" Type="http://schemas.openxmlformats.org/officeDocument/2006/relationships/hyperlink" Target="http://link.springer.com/chapter/10.1007/978-3-030-00761-4_20" TargetMode="External"/><Relationship Id="rId43" Type="http://schemas.openxmlformats.org/officeDocument/2006/relationships/hyperlink" Target="http://link.springer.com/book/10.1007/978-3-030-57321-8" TargetMode="External"/><Relationship Id="rId139" Type="http://schemas.openxmlformats.org/officeDocument/2006/relationships/hyperlink" Target="http://link.springer.com/article/10.1631/FITEE.2100467" TargetMode="External"/><Relationship Id="rId290" Type="http://schemas.openxmlformats.org/officeDocument/2006/relationships/hyperlink" Target="http://link.springer.com/book/10.1007/978-1-4842-7505-4" TargetMode="External"/><Relationship Id="rId304" Type="http://schemas.openxmlformats.org/officeDocument/2006/relationships/hyperlink" Target="http://link.springer.com/article/10.1007/s13369-021-06077-6" TargetMode="External"/><Relationship Id="rId346" Type="http://schemas.openxmlformats.org/officeDocument/2006/relationships/hyperlink" Target="http://link.springer.com/book/10.1007/978-3-658-32236-6" TargetMode="External"/><Relationship Id="rId388" Type="http://schemas.openxmlformats.org/officeDocument/2006/relationships/hyperlink" Target="http://link.springer.com/article/10.1007/s00766-022-00385-5" TargetMode="External"/><Relationship Id="rId85" Type="http://schemas.openxmlformats.org/officeDocument/2006/relationships/hyperlink" Target="http://link.springer.com/book/10.1007/978-3-031-21920-7" TargetMode="External"/><Relationship Id="rId150" Type="http://schemas.openxmlformats.org/officeDocument/2006/relationships/hyperlink" Target="http://link.springer.com/book/10.1007/978-3-030-67032-0" TargetMode="External"/><Relationship Id="rId192" Type="http://schemas.openxmlformats.org/officeDocument/2006/relationships/hyperlink" Target="http://link.springer.com/chapter/10.1007/978-3-030-00262-6_6" TargetMode="External"/><Relationship Id="rId206" Type="http://schemas.openxmlformats.org/officeDocument/2006/relationships/hyperlink" Target="http://link.springer.com/book/10.1007/978-1-4842-3606-2" TargetMode="External"/><Relationship Id="rId413" Type="http://schemas.openxmlformats.org/officeDocument/2006/relationships/hyperlink" Target="http://link.springer.com/chapter/10.1007/978-3-031-19741-3_3" TargetMode="External"/><Relationship Id="rId248" Type="http://schemas.openxmlformats.org/officeDocument/2006/relationships/hyperlink" Target="http://link.springer.com/article/10.1007/s11219-020-09538-7" TargetMode="External"/><Relationship Id="rId455" Type="http://schemas.openxmlformats.org/officeDocument/2006/relationships/hyperlink" Target="http://link.springer.com/chapter/10.1007/978-3-030-78821-6_2" TargetMode="External"/><Relationship Id="rId12" Type="http://schemas.openxmlformats.org/officeDocument/2006/relationships/hyperlink" Target="http://link.springer.com/book/10.1007/978-3-319-49094-6" TargetMode="External"/><Relationship Id="rId108" Type="http://schemas.openxmlformats.org/officeDocument/2006/relationships/hyperlink" Target="http://link.springer.com/chapter/10.1007/978-3-030-19034-7_14" TargetMode="External"/><Relationship Id="rId315" Type="http://schemas.openxmlformats.org/officeDocument/2006/relationships/hyperlink" Target="http://link.springer.com/book/10.1007/978-1-4842-8704-0" TargetMode="External"/><Relationship Id="rId357" Type="http://schemas.openxmlformats.org/officeDocument/2006/relationships/hyperlink" Target="http://link.springer.com/article/10.1007/s10664-020-09910-y" TargetMode="External"/><Relationship Id="rId54" Type="http://schemas.openxmlformats.org/officeDocument/2006/relationships/hyperlink" Target="http://link.springer.com/article/10.1007/s10515-022-00358-6" TargetMode="External"/><Relationship Id="rId96" Type="http://schemas.openxmlformats.org/officeDocument/2006/relationships/hyperlink" Target="http://link.springer.com/book/10.1007/978-3-030-28005-5" TargetMode="External"/><Relationship Id="rId161" Type="http://schemas.openxmlformats.org/officeDocument/2006/relationships/hyperlink" Target="http://link.springer.com/chapter/10.1007/978-3-319-94135-6_9" TargetMode="External"/><Relationship Id="rId217" Type="http://schemas.openxmlformats.org/officeDocument/2006/relationships/hyperlink" Target="http://link.springer.com/chapter/10.1007/978-3-030-89159-6_14" TargetMode="External"/><Relationship Id="rId399" Type="http://schemas.openxmlformats.org/officeDocument/2006/relationships/hyperlink" Target="http://link.springer.com/article/10.1007/s42979-020-00405-7" TargetMode="External"/><Relationship Id="rId259" Type="http://schemas.openxmlformats.org/officeDocument/2006/relationships/hyperlink" Target="http://link.springer.com/book/10.1007/978-1-4842-7452-1" TargetMode="External"/><Relationship Id="rId424" Type="http://schemas.openxmlformats.org/officeDocument/2006/relationships/hyperlink" Target="http://link.springer.com/chapter/10.1007/978-1-4842-7252-7_1" TargetMode="External"/><Relationship Id="rId466" Type="http://schemas.openxmlformats.org/officeDocument/2006/relationships/hyperlink" Target="http://link.springer.com/book/10.1007/978-3-662-63956-6" TargetMode="External"/><Relationship Id="rId23" Type="http://schemas.openxmlformats.org/officeDocument/2006/relationships/hyperlink" Target="http://link.springer.com/book/10.1007/978-3-030-88389-8" TargetMode="External"/><Relationship Id="rId119" Type="http://schemas.openxmlformats.org/officeDocument/2006/relationships/hyperlink" Target="http://link.springer.com/book/10.1007/978-3-030-58858-8" TargetMode="External"/><Relationship Id="rId270" Type="http://schemas.openxmlformats.org/officeDocument/2006/relationships/hyperlink" Target="http://link.springer.com/article/10.1007/s11831-021-09566-x" TargetMode="External"/><Relationship Id="rId326" Type="http://schemas.openxmlformats.org/officeDocument/2006/relationships/hyperlink" Target="http://link.springer.com/article/10.1007/s10664-017-9515-3" TargetMode="External"/><Relationship Id="rId65" Type="http://schemas.openxmlformats.org/officeDocument/2006/relationships/hyperlink" Target="http://link.springer.com/book/10.1007/978-3-030-56441-4" TargetMode="External"/><Relationship Id="rId130" Type="http://schemas.openxmlformats.org/officeDocument/2006/relationships/hyperlink" Target="http://link.springer.com/book/10.1007/978-1-4842-5729-6" TargetMode="External"/><Relationship Id="rId368" Type="http://schemas.openxmlformats.org/officeDocument/2006/relationships/hyperlink" Target="http://link.springer.com/chapter/10.1007/978-981-16-2594-7_9" TargetMode="External"/><Relationship Id="rId172" Type="http://schemas.openxmlformats.org/officeDocument/2006/relationships/hyperlink" Target="http://link.springer.com/book/10.1007/978-1-4842-7383-8" TargetMode="External"/><Relationship Id="rId228" Type="http://schemas.openxmlformats.org/officeDocument/2006/relationships/hyperlink" Target="http://link.springer.com/article/10.1007/s11390-020-0323-7" TargetMode="External"/><Relationship Id="rId435" Type="http://schemas.openxmlformats.org/officeDocument/2006/relationships/hyperlink" Target="http://link.springer.com/chapter/10.1007/978-1-4302-4918-4_2" TargetMode="External"/><Relationship Id="rId281" Type="http://schemas.openxmlformats.org/officeDocument/2006/relationships/hyperlink" Target="http://link.springer.com/article/10.1186/s13173-021-00107-9" TargetMode="External"/><Relationship Id="rId337" Type="http://schemas.openxmlformats.org/officeDocument/2006/relationships/hyperlink" Target="http://link.springer.com/chapter/10.1007/978-3-031-02063-6_3" TargetMode="External"/><Relationship Id="rId34" Type="http://schemas.openxmlformats.org/officeDocument/2006/relationships/hyperlink" Target="http://link.springer.com/book/10.1007/978-981-16-6605-6" TargetMode="External"/><Relationship Id="rId76" Type="http://schemas.openxmlformats.org/officeDocument/2006/relationships/hyperlink" Target="http://link.springer.com/book/10.1007/978-3-031-18461-1" TargetMode="External"/><Relationship Id="rId141" Type="http://schemas.openxmlformats.org/officeDocument/2006/relationships/hyperlink" Target="http://link.springer.com/book/10.1007/978-3-030-53337-3" TargetMode="External"/><Relationship Id="rId379" Type="http://schemas.openxmlformats.org/officeDocument/2006/relationships/hyperlink" Target="http://link.springer.com/article/10.1007/s11219-017-9363-9" TargetMode="External"/><Relationship Id="rId7" Type="http://schemas.openxmlformats.org/officeDocument/2006/relationships/hyperlink" Target="http://link.springer.com/book/10.1007/978-3-030-64148-1" TargetMode="External"/><Relationship Id="rId183" Type="http://schemas.openxmlformats.org/officeDocument/2006/relationships/hyperlink" Target="http://link.springer.com/article/10.1007/s11219-018-9424-8" TargetMode="External"/><Relationship Id="rId239" Type="http://schemas.openxmlformats.org/officeDocument/2006/relationships/hyperlink" Target="http://link.springer.com/chapter/10.1007/978-3-030-65854-0_5" TargetMode="External"/><Relationship Id="rId390" Type="http://schemas.openxmlformats.org/officeDocument/2006/relationships/hyperlink" Target="http://link.springer.com/article/10.1007/s11219-016-9336-4" TargetMode="External"/><Relationship Id="rId404" Type="http://schemas.openxmlformats.org/officeDocument/2006/relationships/hyperlink" Target="http://link.springer.com/chapter/10.1007/978-3-030-40907-4_14" TargetMode="External"/><Relationship Id="rId446" Type="http://schemas.openxmlformats.org/officeDocument/2006/relationships/hyperlink" Target="http://link.springer.com/book/10.1007/978-981-16-3583-0" TargetMode="External"/><Relationship Id="rId250" Type="http://schemas.openxmlformats.org/officeDocument/2006/relationships/hyperlink" Target="http://link.springer.com/book/10.1007/978-3-030-84589-6" TargetMode="External"/><Relationship Id="rId292" Type="http://schemas.openxmlformats.org/officeDocument/2006/relationships/hyperlink" Target="http://link.springer.com/article/10.1007/s11219-013-9225-z" TargetMode="External"/><Relationship Id="rId306" Type="http://schemas.openxmlformats.org/officeDocument/2006/relationships/hyperlink" Target="http://link.springer.com/chapter/10.1007/978-3-030-58811-3_73" TargetMode="External"/><Relationship Id="rId45" Type="http://schemas.openxmlformats.org/officeDocument/2006/relationships/hyperlink" Target="http://link.springer.com/book/10.1007/978-3-031-20984-0" TargetMode="External"/><Relationship Id="rId87" Type="http://schemas.openxmlformats.org/officeDocument/2006/relationships/hyperlink" Target="http://link.springer.com/book/10.1007/978-3-031-20218-6" TargetMode="External"/><Relationship Id="rId110" Type="http://schemas.openxmlformats.org/officeDocument/2006/relationships/hyperlink" Target="http://link.springer.com/chapter/10.1007/978-3-030-49795-8_31" TargetMode="External"/><Relationship Id="rId348" Type="http://schemas.openxmlformats.org/officeDocument/2006/relationships/hyperlink" Target="http://link.springer.com/book/10.1007/978-3-658-30995-4" TargetMode="External"/><Relationship Id="rId152" Type="http://schemas.openxmlformats.org/officeDocument/2006/relationships/hyperlink" Target="http://link.springer.com/book/10.1007/978-3-030-24405-7" TargetMode="External"/><Relationship Id="rId194" Type="http://schemas.openxmlformats.org/officeDocument/2006/relationships/hyperlink" Target="http://link.springer.com/chapter/10.1007/978-3-030-32489-6_6" TargetMode="External"/><Relationship Id="rId208" Type="http://schemas.openxmlformats.org/officeDocument/2006/relationships/hyperlink" Target="http://link.springer.com/chapter/10.1007/978-3-031-21388-5_43" TargetMode="External"/><Relationship Id="rId415" Type="http://schemas.openxmlformats.org/officeDocument/2006/relationships/hyperlink" Target="http://link.springer.com/chapter/10.1007/978-3-030-86152-0_2" TargetMode="External"/><Relationship Id="rId457" Type="http://schemas.openxmlformats.org/officeDocument/2006/relationships/hyperlink" Target="http://link.springer.com/chapter/10.1007/978-3-030-85521-5_7" TargetMode="External"/><Relationship Id="rId261" Type="http://schemas.openxmlformats.org/officeDocument/2006/relationships/hyperlink" Target="http://link.springer.com/chapter/10.1007/978-3-030-12157-0_16" TargetMode="External"/><Relationship Id="rId14" Type="http://schemas.openxmlformats.org/officeDocument/2006/relationships/hyperlink" Target="http://link.springer.com/book/10.1007/978-3-030-86797-3" TargetMode="External"/><Relationship Id="rId56" Type="http://schemas.openxmlformats.org/officeDocument/2006/relationships/hyperlink" Target="http://link.springer.com/book/10.1007/978-3-030-86044-8" TargetMode="External"/><Relationship Id="rId317" Type="http://schemas.openxmlformats.org/officeDocument/2006/relationships/hyperlink" Target="http://link.springer.com/chapter/10.1007/978-3-030-67084-9_6" TargetMode="External"/><Relationship Id="rId359" Type="http://schemas.openxmlformats.org/officeDocument/2006/relationships/hyperlink" Target="http://link.springer.com/article/10.1007/s10664-020-09880-1" TargetMode="External"/><Relationship Id="rId98" Type="http://schemas.openxmlformats.org/officeDocument/2006/relationships/hyperlink" Target="http://link.springer.com/book/10.1007/978-3-031-15116-3" TargetMode="External"/><Relationship Id="rId121" Type="http://schemas.openxmlformats.org/officeDocument/2006/relationships/hyperlink" Target="http://link.springer.com/book/10.1007/978-3-030-79976-2" TargetMode="External"/><Relationship Id="rId163" Type="http://schemas.openxmlformats.org/officeDocument/2006/relationships/hyperlink" Target="http://link.springer.com/article/10.1007/s10664-022-10164-z" TargetMode="External"/><Relationship Id="rId219" Type="http://schemas.openxmlformats.org/officeDocument/2006/relationships/hyperlink" Target="http://link.springer.com/article/10.1007/s10664-022-10227-1" TargetMode="External"/><Relationship Id="rId370" Type="http://schemas.openxmlformats.org/officeDocument/2006/relationships/hyperlink" Target="http://link.springer.com/article/10.1007/s42979-020-00404-8" TargetMode="External"/><Relationship Id="rId426" Type="http://schemas.openxmlformats.org/officeDocument/2006/relationships/hyperlink" Target="http://link.springer.com/book/10.1007/978-3-658-21194-3" TargetMode="External"/><Relationship Id="rId230" Type="http://schemas.openxmlformats.org/officeDocument/2006/relationships/hyperlink" Target="http://link.springer.com/article/10.1007/s11219-019-09478-x" TargetMode="External"/><Relationship Id="rId468" Type="http://schemas.openxmlformats.org/officeDocument/2006/relationships/hyperlink" Target="http://link.springer.com/book/10.1007/978-3-476-05604-7" TargetMode="External"/><Relationship Id="rId25" Type="http://schemas.openxmlformats.org/officeDocument/2006/relationships/hyperlink" Target="http://link.springer.com/book/10.1007/978-3-031-11686-5" TargetMode="External"/><Relationship Id="rId67" Type="http://schemas.openxmlformats.org/officeDocument/2006/relationships/hyperlink" Target="http://link.springer.com/book/10.1007/978-3-031-15063-0" TargetMode="External"/><Relationship Id="rId272" Type="http://schemas.openxmlformats.org/officeDocument/2006/relationships/hyperlink" Target="http://link.springer.com/article/10.1007/s38314-021-0733-5" TargetMode="External"/><Relationship Id="rId328" Type="http://schemas.openxmlformats.org/officeDocument/2006/relationships/hyperlink" Target="http://link.springer.com/article/10.1007/s10664-021-10058-6" TargetMode="External"/><Relationship Id="rId132" Type="http://schemas.openxmlformats.org/officeDocument/2006/relationships/hyperlink" Target="http://link.springer.com/book/10.1007/978-3-319-91602-6" TargetMode="External"/><Relationship Id="rId174" Type="http://schemas.openxmlformats.org/officeDocument/2006/relationships/hyperlink" Target="http://link.springer.com/chapter/10.1007/978-3-030-40783-4_12" TargetMode="External"/><Relationship Id="rId381" Type="http://schemas.openxmlformats.org/officeDocument/2006/relationships/hyperlink" Target="http://link.springer.com/article/10.1007/s10664-022-10151-4" TargetMode="External"/><Relationship Id="rId241" Type="http://schemas.openxmlformats.org/officeDocument/2006/relationships/hyperlink" Target="http://link.springer.com/book/10.1007/978-1-4842-7416-3" TargetMode="External"/><Relationship Id="rId437" Type="http://schemas.openxmlformats.org/officeDocument/2006/relationships/hyperlink" Target="http://link.springer.com/chapter/10.1007/978-3-658-19938-8_3" TargetMode="External"/><Relationship Id="rId36" Type="http://schemas.openxmlformats.org/officeDocument/2006/relationships/hyperlink" Target="http://link.springer.com/book/10.1007/978-3-030-79382-1" TargetMode="External"/><Relationship Id="rId283" Type="http://schemas.openxmlformats.org/officeDocument/2006/relationships/hyperlink" Target="http://link.springer.com/chapter/10.1007/978-1-4842-7226-8_10" TargetMode="External"/><Relationship Id="rId339" Type="http://schemas.openxmlformats.org/officeDocument/2006/relationships/hyperlink" Target="http://link.springer.com/book/10.1007/978-3-658-31519-1" TargetMode="External"/><Relationship Id="rId78" Type="http://schemas.openxmlformats.org/officeDocument/2006/relationships/hyperlink" Target="http://link.springer.com/article/10.1007/s11704-022-1541-7" TargetMode="External"/><Relationship Id="rId101" Type="http://schemas.openxmlformats.org/officeDocument/2006/relationships/hyperlink" Target="http://link.springer.com/book/10.1007/978-981-16-1045-5" TargetMode="External"/><Relationship Id="rId143" Type="http://schemas.openxmlformats.org/officeDocument/2006/relationships/hyperlink" Target="http://link.springer.com/book/10.1007/978-3-030-93907-6" TargetMode="External"/><Relationship Id="rId185" Type="http://schemas.openxmlformats.org/officeDocument/2006/relationships/hyperlink" Target="http://link.springer.com/book/10.1007/978-3-030-84614-5" TargetMode="External"/><Relationship Id="rId350" Type="http://schemas.openxmlformats.org/officeDocument/2006/relationships/hyperlink" Target="http://link.springer.com/article/10.1007/s10664-019-09754-1" TargetMode="External"/><Relationship Id="rId406" Type="http://schemas.openxmlformats.org/officeDocument/2006/relationships/hyperlink" Target="http://link.springer.com/chapter/10.1007/978-3-030-58703-1_17" TargetMode="External"/><Relationship Id="rId9" Type="http://schemas.openxmlformats.org/officeDocument/2006/relationships/hyperlink" Target="http://link.springer.com/book/10.1007/978-3-031-20322-0" TargetMode="External"/><Relationship Id="rId210" Type="http://schemas.openxmlformats.org/officeDocument/2006/relationships/hyperlink" Target="http://link.springer.com/article/10.1007/s10664-021-09987-z" TargetMode="External"/><Relationship Id="rId392" Type="http://schemas.openxmlformats.org/officeDocument/2006/relationships/hyperlink" Target="http://link.springer.com/article/10.1007/s13198-021-01110-1" TargetMode="External"/><Relationship Id="rId448" Type="http://schemas.openxmlformats.org/officeDocument/2006/relationships/hyperlink" Target="http://link.springer.com/book/10.1007/978-3-658-37324-5" TargetMode="External"/><Relationship Id="rId252" Type="http://schemas.openxmlformats.org/officeDocument/2006/relationships/hyperlink" Target="http://link.springer.com/chapter/10.1007/978-3-031-15559-8_5" TargetMode="External"/><Relationship Id="rId294" Type="http://schemas.openxmlformats.org/officeDocument/2006/relationships/hyperlink" Target="http://link.springer.com/article/10.1007/s11219-020-09533-y" TargetMode="External"/><Relationship Id="rId308" Type="http://schemas.openxmlformats.org/officeDocument/2006/relationships/hyperlink" Target="http://link.springer.com/book/10.1007/978-1-4842-8593-0" TargetMode="External"/><Relationship Id="rId47" Type="http://schemas.openxmlformats.org/officeDocument/2006/relationships/hyperlink" Target="http://link.springer.com/book/10.1007/978-3-030-72654-6" TargetMode="External"/><Relationship Id="rId89" Type="http://schemas.openxmlformats.org/officeDocument/2006/relationships/hyperlink" Target="http://link.springer.com/article/10.1007/s10664-022-10119-4" TargetMode="External"/><Relationship Id="rId112" Type="http://schemas.openxmlformats.org/officeDocument/2006/relationships/hyperlink" Target="http://link.springer.com/book/10.1007/978-3-030-30126-2" TargetMode="External"/><Relationship Id="rId154" Type="http://schemas.openxmlformats.org/officeDocument/2006/relationships/hyperlink" Target="http://link.springer.com/book/10.1007/978-3-030-80003-1" TargetMode="External"/><Relationship Id="rId361" Type="http://schemas.openxmlformats.org/officeDocument/2006/relationships/hyperlink" Target="http://link.springer.com/article/10.1007/s10664-020-09819-6" TargetMode="External"/><Relationship Id="rId196" Type="http://schemas.openxmlformats.org/officeDocument/2006/relationships/hyperlink" Target="http://link.springer.com/book/10.1007/978-3-030-89902-8" TargetMode="External"/><Relationship Id="rId417" Type="http://schemas.openxmlformats.org/officeDocument/2006/relationships/hyperlink" Target="http://link.springer.com/chapter/10.1007/978-1-4842-6186-6_8" TargetMode="External"/><Relationship Id="rId459" Type="http://schemas.openxmlformats.org/officeDocument/2006/relationships/hyperlink" Target="http://link.springer.com/chapter/10.1007/978-1-4842-7226-8_16" TargetMode="External"/><Relationship Id="rId16" Type="http://schemas.openxmlformats.org/officeDocument/2006/relationships/hyperlink" Target="http://link.springer.com/book/10.1007/978-3-030-21290-2" TargetMode="External"/><Relationship Id="rId221" Type="http://schemas.openxmlformats.org/officeDocument/2006/relationships/hyperlink" Target="http://link.springer.com/book/10.1007/978-1-4842-8200-7" TargetMode="External"/><Relationship Id="rId263" Type="http://schemas.openxmlformats.org/officeDocument/2006/relationships/hyperlink" Target="http://link.springer.com/chapter/10.1007/978-3-030-57321-8_25" TargetMode="External"/><Relationship Id="rId319" Type="http://schemas.openxmlformats.org/officeDocument/2006/relationships/hyperlink" Target="http://link.springer.com/article/10.1007/s10664-019-09788-5" TargetMode="External"/><Relationship Id="rId470" Type="http://schemas.openxmlformats.org/officeDocument/2006/relationships/hyperlink" Target="http://link.springer.com/chapter/10.1007/978-1-4842-6228-3_11" TargetMode="External"/><Relationship Id="rId58" Type="http://schemas.openxmlformats.org/officeDocument/2006/relationships/hyperlink" Target="http://link.springer.com/book/10.1007/978-3-031-02063-6" TargetMode="External"/><Relationship Id="rId123" Type="http://schemas.openxmlformats.org/officeDocument/2006/relationships/hyperlink" Target="http://link.springer.com/book/10.1007/978-3-030-94238-0" TargetMode="External"/><Relationship Id="rId330" Type="http://schemas.openxmlformats.org/officeDocument/2006/relationships/hyperlink" Target="http://link.springer.com/chapter/10.1007/978-3-030-34706-2_5" TargetMode="External"/><Relationship Id="rId165" Type="http://schemas.openxmlformats.org/officeDocument/2006/relationships/hyperlink" Target="http://link.springer.com/book/10.1007/978-3-031-11043-6" TargetMode="External"/><Relationship Id="rId372" Type="http://schemas.openxmlformats.org/officeDocument/2006/relationships/hyperlink" Target="http://link.springer.com/book/10.1007/978-1-4842-6361-7" TargetMode="External"/><Relationship Id="rId428" Type="http://schemas.openxmlformats.org/officeDocument/2006/relationships/hyperlink" Target="http://link.springer.com/chapter/10.1007/978-3-030-30701-1_3" TargetMode="External"/><Relationship Id="rId232" Type="http://schemas.openxmlformats.org/officeDocument/2006/relationships/hyperlink" Target="http://link.springer.com/book/10.1007/978-3-031-22311-2" TargetMode="External"/><Relationship Id="rId274" Type="http://schemas.openxmlformats.org/officeDocument/2006/relationships/hyperlink" Target="http://link.springer.com/book/10.1007/978-981-16-3807-7" TargetMode="External"/><Relationship Id="rId27" Type="http://schemas.openxmlformats.org/officeDocument/2006/relationships/hyperlink" Target="http://link.springer.com/referencework/10.1007/978-3-319-32010-6" TargetMode="External"/><Relationship Id="rId69" Type="http://schemas.openxmlformats.org/officeDocument/2006/relationships/hyperlink" Target="http://link.springer.com/book/10.1007/978-3-031-19429-0" TargetMode="External"/><Relationship Id="rId134" Type="http://schemas.openxmlformats.org/officeDocument/2006/relationships/hyperlink" Target="http://link.springer.com/chapter/10.1007/978-3-030-43020-7_93" TargetMode="External"/><Relationship Id="rId80" Type="http://schemas.openxmlformats.org/officeDocument/2006/relationships/hyperlink" Target="http://link.springer.com/book/10.1007/978-3-030-91983-2" TargetMode="External"/><Relationship Id="rId176" Type="http://schemas.openxmlformats.org/officeDocument/2006/relationships/hyperlink" Target="http://link.springer.com/book/10.1007/978-3-031-16697-6" TargetMode="External"/><Relationship Id="rId341" Type="http://schemas.openxmlformats.org/officeDocument/2006/relationships/hyperlink" Target="http://link.springer.com/chapter/10.1007/978-3-030-84589-6_6" TargetMode="External"/><Relationship Id="rId383" Type="http://schemas.openxmlformats.org/officeDocument/2006/relationships/hyperlink" Target="http://link.springer.com/chapter/10.1007/978-3-030-16142-2_22" TargetMode="External"/><Relationship Id="rId439" Type="http://schemas.openxmlformats.org/officeDocument/2006/relationships/hyperlink" Target="http://link.springer.com/chapter/10.1007/978-3-319-23850-0_6" TargetMode="External"/><Relationship Id="rId201" Type="http://schemas.openxmlformats.org/officeDocument/2006/relationships/hyperlink" Target="http://link.springer.com/article/10.1007/s11334-021-00388-5" TargetMode="External"/><Relationship Id="rId243" Type="http://schemas.openxmlformats.org/officeDocument/2006/relationships/hyperlink" Target="http://link.springer.com/chapter/10.1007/978-3-030-95041-5_2" TargetMode="External"/><Relationship Id="rId285" Type="http://schemas.openxmlformats.org/officeDocument/2006/relationships/hyperlink" Target="http://link.springer.com/article/10.1007/s10664-018-9656-z" TargetMode="External"/><Relationship Id="rId450" Type="http://schemas.openxmlformats.org/officeDocument/2006/relationships/hyperlink" Target="http://link.springer.com/chapter/10.1007/978-3-030-23570-3_15" TargetMode="External"/><Relationship Id="rId38" Type="http://schemas.openxmlformats.org/officeDocument/2006/relationships/hyperlink" Target="http://link.springer.com/book/10.1007/978-3-031-14179-9" TargetMode="External"/><Relationship Id="rId103" Type="http://schemas.openxmlformats.org/officeDocument/2006/relationships/hyperlink" Target="http://link.springer.com/article/10.1007/s10664-022-10206-6" TargetMode="External"/><Relationship Id="rId310" Type="http://schemas.openxmlformats.org/officeDocument/2006/relationships/hyperlink" Target="http://link.springer.com/chapter/10.1007/978-3-319-91563-0_36" TargetMode="External"/><Relationship Id="rId91" Type="http://schemas.openxmlformats.org/officeDocument/2006/relationships/hyperlink" Target="http://link.springer.com/book/10.1007/978-981-16-1927-4" TargetMode="External"/><Relationship Id="rId145" Type="http://schemas.openxmlformats.org/officeDocument/2006/relationships/hyperlink" Target="http://link.springer.com/book/10.1007/978-3-030-87101-7" TargetMode="External"/><Relationship Id="rId187" Type="http://schemas.openxmlformats.org/officeDocument/2006/relationships/hyperlink" Target="http://link.springer.com/chapter/10.1007/978-1-4842-8817-7_7" TargetMode="External"/><Relationship Id="rId352" Type="http://schemas.openxmlformats.org/officeDocument/2006/relationships/hyperlink" Target="http://link.springer.com/chapter/10.1007/978-3-030-77283-3_1" TargetMode="External"/><Relationship Id="rId394" Type="http://schemas.openxmlformats.org/officeDocument/2006/relationships/hyperlink" Target="http://link.springer.com/article/10.1007/s10796-022-10253-w" TargetMode="External"/><Relationship Id="rId408" Type="http://schemas.openxmlformats.org/officeDocument/2006/relationships/hyperlink" Target="http://link.springer.com/article/10.1007/s10664-019-09763-0" TargetMode="External"/><Relationship Id="rId212" Type="http://schemas.openxmlformats.org/officeDocument/2006/relationships/hyperlink" Target="http://link.springer.com/article/10.1007/s10515-021-00314-w" TargetMode="External"/><Relationship Id="rId254" Type="http://schemas.openxmlformats.org/officeDocument/2006/relationships/hyperlink" Target="http://link.springer.com/chapter/10.1007/978-1-4842-6228-3_10" TargetMode="External"/><Relationship Id="rId49" Type="http://schemas.openxmlformats.org/officeDocument/2006/relationships/hyperlink" Target="http://link.springer.com/book/10.1007/978-3-030-91431-8" TargetMode="External"/><Relationship Id="rId114" Type="http://schemas.openxmlformats.org/officeDocument/2006/relationships/hyperlink" Target="http://link.springer.com/book/10.1007/978-3-030-44999-5" TargetMode="External"/><Relationship Id="rId296" Type="http://schemas.openxmlformats.org/officeDocument/2006/relationships/hyperlink" Target="http://link.springer.com/book/10.1007/978-3-031-01761-2" TargetMode="External"/><Relationship Id="rId461" Type="http://schemas.openxmlformats.org/officeDocument/2006/relationships/hyperlink" Target="http://link.springer.com/chapter/10.1007/978-1-4842-3751-9_9" TargetMode="External"/><Relationship Id="rId60" Type="http://schemas.openxmlformats.org/officeDocument/2006/relationships/hyperlink" Target="http://link.springer.com/book/10.1007/978-1-4842-6228-3" TargetMode="External"/><Relationship Id="rId156" Type="http://schemas.openxmlformats.org/officeDocument/2006/relationships/hyperlink" Target="http://link.springer.com/article/10.1007/s10664-021-10081-7" TargetMode="External"/><Relationship Id="rId198" Type="http://schemas.openxmlformats.org/officeDocument/2006/relationships/hyperlink" Target="http://link.springer.com/article/10.1186/s40537-020-00303-y" TargetMode="External"/><Relationship Id="rId321" Type="http://schemas.openxmlformats.org/officeDocument/2006/relationships/hyperlink" Target="http://link.springer.com/book/10.1007/978-1-4842-7164-3" TargetMode="External"/><Relationship Id="rId363" Type="http://schemas.openxmlformats.org/officeDocument/2006/relationships/hyperlink" Target="http://link.springer.com/book/10.1007/978-3-030-55746-1" TargetMode="External"/><Relationship Id="rId419" Type="http://schemas.openxmlformats.org/officeDocument/2006/relationships/hyperlink" Target="http://link.springer.com/article/10.1007/s10664-021-10103-4" TargetMode="External"/><Relationship Id="rId223" Type="http://schemas.openxmlformats.org/officeDocument/2006/relationships/hyperlink" Target="http://link.springer.com/article/10.1007/s41870-020-00487-9" TargetMode="External"/><Relationship Id="rId430" Type="http://schemas.openxmlformats.org/officeDocument/2006/relationships/hyperlink" Target="http://link.springer.com/chapter/10.1007/978-3-030-88583-0_5" TargetMode="External"/><Relationship Id="rId18" Type="http://schemas.openxmlformats.org/officeDocument/2006/relationships/hyperlink" Target="http://link.springer.com/book/10.1007/978-3-031-10548-7" TargetMode="External"/><Relationship Id="rId265" Type="http://schemas.openxmlformats.org/officeDocument/2006/relationships/hyperlink" Target="http://link.springer.com/article/10.1007/s10664-020-09847-2" TargetMode="External"/><Relationship Id="rId472" Type="http://schemas.openxmlformats.org/officeDocument/2006/relationships/hyperlink" Target="http://link.springer.com/book/10.1007/978-3-662-62148-6" TargetMode="External"/><Relationship Id="rId125" Type="http://schemas.openxmlformats.org/officeDocument/2006/relationships/hyperlink" Target="http://link.springer.com/book/10.1007/978-3-031-04580-6" TargetMode="External"/><Relationship Id="rId167" Type="http://schemas.openxmlformats.org/officeDocument/2006/relationships/hyperlink" Target="http://link.springer.com/article/10.1007/s10664-021-10099-x" TargetMode="External"/><Relationship Id="rId332" Type="http://schemas.openxmlformats.org/officeDocument/2006/relationships/hyperlink" Target="http://link.springer.com/chapter/10.1007/978-3-030-28005-5_57" TargetMode="External"/><Relationship Id="rId374" Type="http://schemas.openxmlformats.org/officeDocument/2006/relationships/hyperlink" Target="http://link.springer.com/book/10.1007/978-3-658-37009-1" TargetMode="External"/><Relationship Id="rId71" Type="http://schemas.openxmlformats.org/officeDocument/2006/relationships/hyperlink" Target="http://link.springer.com/book/10.1007/978-3-031-15919-0" TargetMode="External"/><Relationship Id="rId234" Type="http://schemas.openxmlformats.org/officeDocument/2006/relationships/hyperlink" Target="http://link.springer.com/article/10.1007/s10664-021-09993-1" TargetMode="External"/><Relationship Id="rId2" Type="http://schemas.openxmlformats.org/officeDocument/2006/relationships/hyperlink" Target="http://link.springer.com/book/10.1007/978-3-030-35333-9" TargetMode="External"/><Relationship Id="rId29" Type="http://schemas.openxmlformats.org/officeDocument/2006/relationships/hyperlink" Target="http://link.springer.com/book/10.1007/978-3-030-69970-3" TargetMode="External"/><Relationship Id="rId276" Type="http://schemas.openxmlformats.org/officeDocument/2006/relationships/hyperlink" Target="http://link.springer.com/chapter/10.1007/978-3-030-98876-0_19" TargetMode="External"/><Relationship Id="rId441" Type="http://schemas.openxmlformats.org/officeDocument/2006/relationships/hyperlink" Target="http://link.springer.com/chapter/10.1007/978-1-4842-5107-2_8" TargetMode="External"/><Relationship Id="rId40" Type="http://schemas.openxmlformats.org/officeDocument/2006/relationships/hyperlink" Target="http://link.springer.com/book/10.1007/978-3-030-95947-0" TargetMode="External"/><Relationship Id="rId136" Type="http://schemas.openxmlformats.org/officeDocument/2006/relationships/hyperlink" Target="http://link.springer.com/book/10.1007/978-981-16-8866-9" TargetMode="External"/><Relationship Id="rId178" Type="http://schemas.openxmlformats.org/officeDocument/2006/relationships/hyperlink" Target="http://link.springer.com/book/10.1007/978-3-030-78585-7" TargetMode="External"/><Relationship Id="rId301" Type="http://schemas.openxmlformats.org/officeDocument/2006/relationships/hyperlink" Target="http://link.springer.com/chapter/10.1007/978-1-4842-5104-1_8" TargetMode="External"/><Relationship Id="rId343" Type="http://schemas.openxmlformats.org/officeDocument/2006/relationships/hyperlink" Target="http://link.springer.com/chapter/10.1007/978-1-4842-5814-9_12" TargetMode="External"/><Relationship Id="rId82" Type="http://schemas.openxmlformats.org/officeDocument/2006/relationships/hyperlink" Target="http://link.springer.com/book/10.1007/978-3-031-21441-7" TargetMode="External"/><Relationship Id="rId203" Type="http://schemas.openxmlformats.org/officeDocument/2006/relationships/hyperlink" Target="http://link.springer.com/chapter/10.1007/978-3-030-77283-3_9" TargetMode="External"/><Relationship Id="rId385" Type="http://schemas.openxmlformats.org/officeDocument/2006/relationships/hyperlink" Target="http://link.springer.com/article/10.1007/s10515-022-00359-5" TargetMode="External"/><Relationship Id="rId245" Type="http://schemas.openxmlformats.org/officeDocument/2006/relationships/hyperlink" Target="http://link.springer.com/book/10.1007/978-1-4842-7252-7" TargetMode="External"/><Relationship Id="rId287" Type="http://schemas.openxmlformats.org/officeDocument/2006/relationships/hyperlink" Target="http://link.springer.com/chapter/10.1007/978-3-030-20040-4_8" TargetMode="External"/><Relationship Id="rId410" Type="http://schemas.openxmlformats.org/officeDocument/2006/relationships/hyperlink" Target="http://link.springer.com/book/10.1007/978-1-4842-7202-2" TargetMode="External"/><Relationship Id="rId452" Type="http://schemas.openxmlformats.org/officeDocument/2006/relationships/hyperlink" Target="http://link.springer.com/chapter/10.1007/978-3-030-91279-6_4" TargetMode="External"/><Relationship Id="rId30" Type="http://schemas.openxmlformats.org/officeDocument/2006/relationships/hyperlink" Target="http://link.springer.com/book/10.1007/978-3-030-91452-3" TargetMode="External"/><Relationship Id="rId105" Type="http://schemas.openxmlformats.org/officeDocument/2006/relationships/hyperlink" Target="http://link.springer.com/book/10.1007/978-3-030-28464-0" TargetMode="External"/><Relationship Id="rId126" Type="http://schemas.openxmlformats.org/officeDocument/2006/relationships/hyperlink" Target="http://link.springer.com/book/10.1007/978-3-030-49392-9" TargetMode="External"/><Relationship Id="rId147" Type="http://schemas.openxmlformats.org/officeDocument/2006/relationships/hyperlink" Target="http://link.springer.com/book/10.1007/978-3-030-67084-9" TargetMode="External"/><Relationship Id="rId168" Type="http://schemas.openxmlformats.org/officeDocument/2006/relationships/hyperlink" Target="http://link.springer.com/book/10.1007/978-3-031-07802-6" TargetMode="External"/><Relationship Id="rId312" Type="http://schemas.openxmlformats.org/officeDocument/2006/relationships/hyperlink" Target="http://link.springer.com/chapter/10.1007/978-3-030-40223-5_17" TargetMode="External"/><Relationship Id="rId333" Type="http://schemas.openxmlformats.org/officeDocument/2006/relationships/hyperlink" Target="http://link.springer.com/chapter/10.1007/978-3-031-02318-7_6" TargetMode="External"/><Relationship Id="rId354" Type="http://schemas.openxmlformats.org/officeDocument/2006/relationships/hyperlink" Target="http://link.springer.com/book/10.1007/978-3-662-50263-1" TargetMode="External"/><Relationship Id="rId51" Type="http://schemas.openxmlformats.org/officeDocument/2006/relationships/hyperlink" Target="http://link.springer.com/book/10.1007/978-3-030-89159-6" TargetMode="External"/><Relationship Id="rId72" Type="http://schemas.openxmlformats.org/officeDocument/2006/relationships/hyperlink" Target="http://link.springer.com/book/10.1007/978-3-031-04115-0" TargetMode="External"/><Relationship Id="rId93" Type="http://schemas.openxmlformats.org/officeDocument/2006/relationships/hyperlink" Target="http://link.springer.com/book/10.1007/978-3-319-97925-0" TargetMode="External"/><Relationship Id="rId189" Type="http://schemas.openxmlformats.org/officeDocument/2006/relationships/hyperlink" Target="http://link.springer.com/book/10.1007/978-981-19-3517-6" TargetMode="External"/><Relationship Id="rId375" Type="http://schemas.openxmlformats.org/officeDocument/2006/relationships/hyperlink" Target="http://link.springer.com/book/10.1007/978-3-658-25210-6" TargetMode="External"/><Relationship Id="rId396" Type="http://schemas.openxmlformats.org/officeDocument/2006/relationships/hyperlink" Target="http://link.springer.com/chapter/10.1007/978-1-4842-7252-7_2" TargetMode="External"/><Relationship Id="rId3" Type="http://schemas.openxmlformats.org/officeDocument/2006/relationships/hyperlink" Target="http://link.springer.com/book/10.1007/978-3-030-75418-1" TargetMode="External"/><Relationship Id="rId214" Type="http://schemas.openxmlformats.org/officeDocument/2006/relationships/hyperlink" Target="http://link.springer.com/chapter/10.1007/978-3-030-89385-9_1" TargetMode="External"/><Relationship Id="rId235" Type="http://schemas.openxmlformats.org/officeDocument/2006/relationships/hyperlink" Target="http://link.springer.com/book/10.1007/978-3-031-16281-7" TargetMode="External"/><Relationship Id="rId256" Type="http://schemas.openxmlformats.org/officeDocument/2006/relationships/hyperlink" Target="http://link.springer.com/article/10.1007/s11219-021-09564-z" TargetMode="External"/><Relationship Id="rId277" Type="http://schemas.openxmlformats.org/officeDocument/2006/relationships/hyperlink" Target="http://link.springer.com/book/10.1007/978-3-031-08313-6" TargetMode="External"/><Relationship Id="rId298" Type="http://schemas.openxmlformats.org/officeDocument/2006/relationships/hyperlink" Target="http://link.springer.com/article/10.1007/s11704-019-9023-2" TargetMode="External"/><Relationship Id="rId400" Type="http://schemas.openxmlformats.org/officeDocument/2006/relationships/hyperlink" Target="http://link.springer.com/chapter/10.1007/978-3-319-91602-6_20" TargetMode="External"/><Relationship Id="rId421" Type="http://schemas.openxmlformats.org/officeDocument/2006/relationships/hyperlink" Target="http://link.springer.com/chapter/10.1007/978-3-030-67084-9_11" TargetMode="External"/><Relationship Id="rId442" Type="http://schemas.openxmlformats.org/officeDocument/2006/relationships/hyperlink" Target="http://link.springer.com/book/10.1007/978-3-658-31001-1" TargetMode="External"/><Relationship Id="rId463" Type="http://schemas.openxmlformats.org/officeDocument/2006/relationships/hyperlink" Target="http://link.springer.com/chapter/10.1007/978-1-4842-8575-6_9" TargetMode="External"/><Relationship Id="rId116" Type="http://schemas.openxmlformats.org/officeDocument/2006/relationships/hyperlink" Target="http://link.springer.com/article/10.1007/s10664-022-10121-w" TargetMode="External"/><Relationship Id="rId137" Type="http://schemas.openxmlformats.org/officeDocument/2006/relationships/hyperlink" Target="http://link.springer.com/book/10.1007/978-3-031-20837-9" TargetMode="External"/><Relationship Id="rId158" Type="http://schemas.openxmlformats.org/officeDocument/2006/relationships/hyperlink" Target="http://link.springer.com/book/10.1007/978-3-031-09237-4" TargetMode="External"/><Relationship Id="rId302" Type="http://schemas.openxmlformats.org/officeDocument/2006/relationships/hyperlink" Target="http://link.springer.com/chapter/10.1007/978-3-030-90318-3_24" TargetMode="External"/><Relationship Id="rId323" Type="http://schemas.openxmlformats.org/officeDocument/2006/relationships/hyperlink" Target="http://link.springer.com/chapter/10.1007/978-3-662-58485-9_13" TargetMode="External"/><Relationship Id="rId344" Type="http://schemas.openxmlformats.org/officeDocument/2006/relationships/hyperlink" Target="http://link.springer.com/chapter/10.1007/978-3-319-99229-7_2" TargetMode="External"/><Relationship Id="rId20" Type="http://schemas.openxmlformats.org/officeDocument/2006/relationships/hyperlink" Target="http://link.springer.com/book/10.1007/978-3-031-08421-8" TargetMode="External"/><Relationship Id="rId41" Type="http://schemas.openxmlformats.org/officeDocument/2006/relationships/hyperlink" Target="http://link.springer.com/book/10.1007/978-3-030-82405-1" TargetMode="External"/><Relationship Id="rId62" Type="http://schemas.openxmlformats.org/officeDocument/2006/relationships/hyperlink" Target="http://link.springer.com/book/10.1007/978-3-030-97947-8" TargetMode="External"/><Relationship Id="rId83" Type="http://schemas.openxmlformats.org/officeDocument/2006/relationships/hyperlink" Target="http://link.springer.com/book/10.1007/978-981-19-1111-8" TargetMode="External"/><Relationship Id="rId179" Type="http://schemas.openxmlformats.org/officeDocument/2006/relationships/hyperlink" Target="http://link.springer.com/book/10.1007/978-981-16-6795-4" TargetMode="External"/><Relationship Id="rId365" Type="http://schemas.openxmlformats.org/officeDocument/2006/relationships/hyperlink" Target="http://link.springer.com/article/10.1007/s10664-020-09886-9" TargetMode="External"/><Relationship Id="rId386" Type="http://schemas.openxmlformats.org/officeDocument/2006/relationships/hyperlink" Target="http://link.springer.com/article/10.1007/s10664-022-10200-y" TargetMode="External"/><Relationship Id="rId190" Type="http://schemas.openxmlformats.org/officeDocument/2006/relationships/hyperlink" Target="http://link.springer.com/chapter/10.1007/978-3-030-59155-7_1" TargetMode="External"/><Relationship Id="rId204" Type="http://schemas.openxmlformats.org/officeDocument/2006/relationships/hyperlink" Target="http://link.springer.com/chapter/10.1007/978-3-031-21388-5_19" TargetMode="External"/><Relationship Id="rId225" Type="http://schemas.openxmlformats.org/officeDocument/2006/relationships/hyperlink" Target="http://link.springer.com/chapter/10.1007/978-3-319-91836-5_6" TargetMode="External"/><Relationship Id="rId246" Type="http://schemas.openxmlformats.org/officeDocument/2006/relationships/hyperlink" Target="http://link.springer.com/chapter/10.1007/978-1-4842-5104-1_7" TargetMode="External"/><Relationship Id="rId267" Type="http://schemas.openxmlformats.org/officeDocument/2006/relationships/hyperlink" Target="http://link.springer.com/chapter/10.1007/978-3-030-39306-9_13" TargetMode="External"/><Relationship Id="rId288" Type="http://schemas.openxmlformats.org/officeDocument/2006/relationships/hyperlink" Target="http://link.springer.com/chapter/10.1007/978-981-33-4859-2_26" TargetMode="External"/><Relationship Id="rId411" Type="http://schemas.openxmlformats.org/officeDocument/2006/relationships/hyperlink" Target="http://link.springer.com/article/10.1007/s00450-019-00413-w" TargetMode="External"/><Relationship Id="rId432" Type="http://schemas.openxmlformats.org/officeDocument/2006/relationships/hyperlink" Target="http://link.springer.com/chapter/10.1007/978-1-4842-7226-8_11" TargetMode="External"/><Relationship Id="rId453" Type="http://schemas.openxmlformats.org/officeDocument/2006/relationships/hyperlink" Target="http://link.springer.com/chapter/10.1007/978-3-030-87839-9_6" TargetMode="External"/><Relationship Id="rId474" Type="http://schemas.openxmlformats.org/officeDocument/2006/relationships/hyperlink" Target="http://link.springer.com/article/10.1007/s35658-021-0729-1" TargetMode="External"/><Relationship Id="rId106" Type="http://schemas.openxmlformats.org/officeDocument/2006/relationships/hyperlink" Target="http://link.springer.com/book/10.1007/978-3-031-22941-1" TargetMode="External"/><Relationship Id="rId127" Type="http://schemas.openxmlformats.org/officeDocument/2006/relationships/hyperlink" Target="http://link.springer.com/book/10.1007/978-3-030-91279-6" TargetMode="External"/><Relationship Id="rId313" Type="http://schemas.openxmlformats.org/officeDocument/2006/relationships/hyperlink" Target="http://link.springer.com/book/10.1007/978-3-031-08848-3" TargetMode="External"/><Relationship Id="rId10" Type="http://schemas.openxmlformats.org/officeDocument/2006/relationships/hyperlink" Target="http://link.springer.com/book/10.1007/978-3-030-70873-3" TargetMode="External"/><Relationship Id="rId31" Type="http://schemas.openxmlformats.org/officeDocument/2006/relationships/hyperlink" Target="http://link.springer.com/book/10.1007/978-1-4842-7226-8" TargetMode="External"/><Relationship Id="rId52" Type="http://schemas.openxmlformats.org/officeDocument/2006/relationships/hyperlink" Target="http://link.springer.com/book/10.1007/978-981-16-3690-5" TargetMode="External"/><Relationship Id="rId73" Type="http://schemas.openxmlformats.org/officeDocument/2006/relationships/hyperlink" Target="http://link.springer.com/article/10.1007/s10515-022-00364-8" TargetMode="External"/><Relationship Id="rId94" Type="http://schemas.openxmlformats.org/officeDocument/2006/relationships/hyperlink" Target="http://link.springer.com/book/10.1007/978-3-030-03673-7" TargetMode="External"/><Relationship Id="rId148" Type="http://schemas.openxmlformats.org/officeDocument/2006/relationships/hyperlink" Target="http://link.springer.com/book/10.1007/978-3-030-88063-7" TargetMode="External"/><Relationship Id="rId169" Type="http://schemas.openxmlformats.org/officeDocument/2006/relationships/hyperlink" Target="http://link.springer.com/book/10.1007/978-3-030-83549-1" TargetMode="External"/><Relationship Id="rId334" Type="http://schemas.openxmlformats.org/officeDocument/2006/relationships/hyperlink" Target="http://link.springer.com/chapter/10.1007/978-3-030-78585-7_4" TargetMode="External"/><Relationship Id="rId355" Type="http://schemas.openxmlformats.org/officeDocument/2006/relationships/hyperlink" Target="http://link.springer.com/article/10.1007/s40815-022-01248-5" TargetMode="External"/><Relationship Id="rId376" Type="http://schemas.openxmlformats.org/officeDocument/2006/relationships/hyperlink" Target="http://link.springer.com/chapter/10.1007/978-3-319-27033-3_12" TargetMode="External"/><Relationship Id="rId397" Type="http://schemas.openxmlformats.org/officeDocument/2006/relationships/hyperlink" Target="http://link.springer.com/book/10.1007/978-3-662-62917-8" TargetMode="External"/><Relationship Id="rId4" Type="http://schemas.openxmlformats.org/officeDocument/2006/relationships/hyperlink" Target="http://link.springer.com/book/10.1007/978-3-030-85347-1" TargetMode="External"/><Relationship Id="rId180" Type="http://schemas.openxmlformats.org/officeDocument/2006/relationships/hyperlink" Target="http://link.springer.com/article/10.1007/s11390-021-1596-1" TargetMode="External"/><Relationship Id="rId215" Type="http://schemas.openxmlformats.org/officeDocument/2006/relationships/hyperlink" Target="http://link.springer.com/article/10.1007/s10664-021-10105-2" TargetMode="External"/><Relationship Id="rId236" Type="http://schemas.openxmlformats.org/officeDocument/2006/relationships/hyperlink" Target="http://link.springer.com/article/10.1007/s10664-022-10126-5" TargetMode="External"/><Relationship Id="rId257" Type="http://schemas.openxmlformats.org/officeDocument/2006/relationships/hyperlink" Target="http://link.springer.com/chapter/10.1007/978-981-16-6069-6_12" TargetMode="External"/><Relationship Id="rId278" Type="http://schemas.openxmlformats.org/officeDocument/2006/relationships/hyperlink" Target="http://link.springer.com/chapter/10.1007/978-1-4842-7226-8_5" TargetMode="External"/><Relationship Id="rId401" Type="http://schemas.openxmlformats.org/officeDocument/2006/relationships/hyperlink" Target="http://link.springer.com/chapter/10.1007/978-981-19-1111-8_10" TargetMode="External"/><Relationship Id="rId422" Type="http://schemas.openxmlformats.org/officeDocument/2006/relationships/hyperlink" Target="http://link.springer.com/chapter/10.1007/978-1-4302-6599-3_9" TargetMode="External"/><Relationship Id="rId443" Type="http://schemas.openxmlformats.org/officeDocument/2006/relationships/hyperlink" Target="http://link.springer.com/chapter/10.1007/978-3-031-15116-3_4" TargetMode="External"/><Relationship Id="rId464" Type="http://schemas.openxmlformats.org/officeDocument/2006/relationships/hyperlink" Target="http://link.springer.com/chapter/10.1007/978-981-16-6795-4_7" TargetMode="External"/><Relationship Id="rId303" Type="http://schemas.openxmlformats.org/officeDocument/2006/relationships/hyperlink" Target="http://link.springer.com/article/10.1007/s11219-022-09607-z" TargetMode="External"/><Relationship Id="rId42" Type="http://schemas.openxmlformats.org/officeDocument/2006/relationships/hyperlink" Target="http://link.springer.com/book/10.1007/978-3-031-04829-6" TargetMode="External"/><Relationship Id="rId84" Type="http://schemas.openxmlformats.org/officeDocument/2006/relationships/hyperlink" Target="http://link.springer.com/book/10.1007/978-3-030-90963-5" TargetMode="External"/><Relationship Id="rId138" Type="http://schemas.openxmlformats.org/officeDocument/2006/relationships/hyperlink" Target="http://link.springer.com/article/10.1007/s10664-020-09917-5" TargetMode="External"/><Relationship Id="rId345" Type="http://schemas.openxmlformats.org/officeDocument/2006/relationships/hyperlink" Target="http://link.springer.com/book/10.1007/978-3-030-94837-5" TargetMode="External"/><Relationship Id="rId387" Type="http://schemas.openxmlformats.org/officeDocument/2006/relationships/hyperlink" Target="http://link.springer.com/chapter/10.1007/978-3-030-03673-7_33" TargetMode="External"/><Relationship Id="rId191" Type="http://schemas.openxmlformats.org/officeDocument/2006/relationships/hyperlink" Target="http://link.springer.com/chapter/10.1007/978-3-030-97947-8_40" TargetMode="External"/><Relationship Id="rId205" Type="http://schemas.openxmlformats.org/officeDocument/2006/relationships/hyperlink" Target="http://link.springer.com/book/10.1007/978-3-030-95775-9" TargetMode="External"/><Relationship Id="rId247" Type="http://schemas.openxmlformats.org/officeDocument/2006/relationships/hyperlink" Target="http://link.springer.com/chapter/10.1007/978-981-16-6069-6_3" TargetMode="External"/><Relationship Id="rId412" Type="http://schemas.openxmlformats.org/officeDocument/2006/relationships/hyperlink" Target="http://link.springer.com/article/10.1007/s10609-023-09451-1" TargetMode="External"/><Relationship Id="rId107" Type="http://schemas.openxmlformats.org/officeDocument/2006/relationships/hyperlink" Target="http://link.springer.com/book/10.1007/978-3-031-09282-4" TargetMode="External"/><Relationship Id="rId289" Type="http://schemas.openxmlformats.org/officeDocument/2006/relationships/hyperlink" Target="http://link.springer.com/chapter/10.1007/978-3-031-12807-3_7" TargetMode="External"/><Relationship Id="rId454" Type="http://schemas.openxmlformats.org/officeDocument/2006/relationships/hyperlink" Target="http://link.springer.com/chapter/10.1007/978-3-319-98149-9_14" TargetMode="External"/><Relationship Id="rId11" Type="http://schemas.openxmlformats.org/officeDocument/2006/relationships/hyperlink" Target="http://link.springer.com/book/10.1007/978-3-031-05760-1" TargetMode="External"/><Relationship Id="rId53" Type="http://schemas.openxmlformats.org/officeDocument/2006/relationships/hyperlink" Target="http://link.springer.com/book/10.1007/978-3-031-19756-7" TargetMode="External"/><Relationship Id="rId149" Type="http://schemas.openxmlformats.org/officeDocument/2006/relationships/hyperlink" Target="http://link.springer.com/book/10.1007/978-3-031-21229-1" TargetMode="External"/><Relationship Id="rId314" Type="http://schemas.openxmlformats.org/officeDocument/2006/relationships/hyperlink" Target="http://link.springer.com/article/10.1007/s11219-021-09581-y" TargetMode="External"/><Relationship Id="rId356" Type="http://schemas.openxmlformats.org/officeDocument/2006/relationships/hyperlink" Target="http://link.springer.com/article/10.1007/s10664-019-09739-0" TargetMode="External"/><Relationship Id="rId398" Type="http://schemas.openxmlformats.org/officeDocument/2006/relationships/hyperlink" Target="http://link.springer.com/chapter/10.1007/978-3-319-98149-9_15" TargetMode="External"/><Relationship Id="rId95" Type="http://schemas.openxmlformats.org/officeDocument/2006/relationships/hyperlink" Target="http://link.springer.com/book/10.1007/978-3-031-15644-1" TargetMode="External"/><Relationship Id="rId160" Type="http://schemas.openxmlformats.org/officeDocument/2006/relationships/hyperlink" Target="http://link.springer.com/article/10.1007/s10664-022-10183-w" TargetMode="External"/><Relationship Id="rId216" Type="http://schemas.openxmlformats.org/officeDocument/2006/relationships/hyperlink" Target="http://link.springer.com/book/10.1007/978-3-319-95273-4" TargetMode="External"/><Relationship Id="rId423" Type="http://schemas.openxmlformats.org/officeDocument/2006/relationships/hyperlink" Target="http://link.springer.com/book/10.1007/978-1-4842-7833-8" TargetMode="External"/><Relationship Id="rId258" Type="http://schemas.openxmlformats.org/officeDocument/2006/relationships/hyperlink" Target="http://link.springer.com/book/10.1007/978-3-030-96734-5" TargetMode="External"/><Relationship Id="rId465" Type="http://schemas.openxmlformats.org/officeDocument/2006/relationships/hyperlink" Target="http://link.springer.com/article/10.1007/s10664-021-10049-7" TargetMode="External"/><Relationship Id="rId22" Type="http://schemas.openxmlformats.org/officeDocument/2006/relationships/hyperlink" Target="http://link.springer.com/book/10.1007/978-981-16-2594-7" TargetMode="External"/><Relationship Id="rId64" Type="http://schemas.openxmlformats.org/officeDocument/2006/relationships/hyperlink" Target="http://link.springer.com/book/10.1007/978-3-030-88583-0" TargetMode="External"/><Relationship Id="rId118" Type="http://schemas.openxmlformats.org/officeDocument/2006/relationships/hyperlink" Target="http://link.springer.com/book/10.1007/978-3-031-05347-4" TargetMode="External"/><Relationship Id="rId325" Type="http://schemas.openxmlformats.org/officeDocument/2006/relationships/hyperlink" Target="http://link.springer.com/article/10.1007/s10664-022-10251-1" TargetMode="External"/><Relationship Id="rId367" Type="http://schemas.openxmlformats.org/officeDocument/2006/relationships/hyperlink" Target="http://link.springer.com/book/10.1007/978-3-030-37464-8" TargetMode="External"/><Relationship Id="rId171" Type="http://schemas.openxmlformats.org/officeDocument/2006/relationships/hyperlink" Target="http://link.springer.com/book/10.1007/978-3-031-07704-3" TargetMode="External"/><Relationship Id="rId227" Type="http://schemas.openxmlformats.org/officeDocument/2006/relationships/hyperlink" Target="http://link.springer.com/article/10.1007/s10664-021-10110-5" TargetMode="External"/><Relationship Id="rId269" Type="http://schemas.openxmlformats.org/officeDocument/2006/relationships/hyperlink" Target="http://link.springer.com/article/10.1007/s11219-019-09490-1" TargetMode="External"/><Relationship Id="rId434" Type="http://schemas.openxmlformats.org/officeDocument/2006/relationships/hyperlink" Target="http://link.springer.com/article/10.1007/s00766-014-0205-z" TargetMode="External"/><Relationship Id="rId33" Type="http://schemas.openxmlformats.org/officeDocument/2006/relationships/hyperlink" Target="http://link.springer.com/book/10.1007/978-3-658-37182-1" TargetMode="External"/><Relationship Id="rId129" Type="http://schemas.openxmlformats.org/officeDocument/2006/relationships/hyperlink" Target="http://link.springer.com/article/10.1007/s10664-022-10203-9" TargetMode="External"/><Relationship Id="rId280" Type="http://schemas.openxmlformats.org/officeDocument/2006/relationships/hyperlink" Target="http://link.springer.com/article/10.1007/s10664-021-10018-0" TargetMode="External"/><Relationship Id="rId336" Type="http://schemas.openxmlformats.org/officeDocument/2006/relationships/hyperlink" Target="http://link.springer.com/article/10.1007/s00500-021-06254-7" TargetMode="External"/><Relationship Id="rId75" Type="http://schemas.openxmlformats.org/officeDocument/2006/relationships/hyperlink" Target="http://link.springer.com/book/10.1007/978-1-4842-4221-6" TargetMode="External"/><Relationship Id="rId140" Type="http://schemas.openxmlformats.org/officeDocument/2006/relationships/hyperlink" Target="http://link.springer.com/article/10.1007/s11831-022-09864-y" TargetMode="External"/><Relationship Id="rId182" Type="http://schemas.openxmlformats.org/officeDocument/2006/relationships/hyperlink" Target="http://link.springer.com/chapter/10.1007/978-3-031-10542-5_5" TargetMode="External"/><Relationship Id="rId378" Type="http://schemas.openxmlformats.org/officeDocument/2006/relationships/hyperlink" Target="http://link.springer.com/chapter/10.1007/978-3-030-89385-9_5" TargetMode="External"/><Relationship Id="rId403" Type="http://schemas.openxmlformats.org/officeDocument/2006/relationships/hyperlink" Target="http://link.springer.com/chapter/10.1007/978-3-030-14969-7_21" TargetMode="External"/><Relationship Id="rId6" Type="http://schemas.openxmlformats.org/officeDocument/2006/relationships/hyperlink" Target="http://link.springer.com/book/10.1007/978-3-031-08202-3" TargetMode="External"/><Relationship Id="rId238" Type="http://schemas.openxmlformats.org/officeDocument/2006/relationships/hyperlink" Target="http://link.springer.com/article/10.1007/s00766-022-00395-3" TargetMode="External"/><Relationship Id="rId445" Type="http://schemas.openxmlformats.org/officeDocument/2006/relationships/hyperlink" Target="http://link.springer.com/chapter/10.1007/978-3-030-49435-3_3" TargetMode="External"/><Relationship Id="rId291" Type="http://schemas.openxmlformats.org/officeDocument/2006/relationships/hyperlink" Target="http://link.springer.com/article/10.1007/s10664-019-09724-7" TargetMode="External"/><Relationship Id="rId305" Type="http://schemas.openxmlformats.org/officeDocument/2006/relationships/hyperlink" Target="http://link.springer.com/chapter/10.1007/978-3-658-37182-1_2" TargetMode="External"/><Relationship Id="rId347" Type="http://schemas.openxmlformats.org/officeDocument/2006/relationships/hyperlink" Target="http://link.springer.com/referencework/10.1007/978-981-16-4318-7" TargetMode="External"/><Relationship Id="rId44" Type="http://schemas.openxmlformats.org/officeDocument/2006/relationships/hyperlink" Target="http://link.springer.com/book/10.1007/978-3-031-04819-7" TargetMode="External"/><Relationship Id="rId86" Type="http://schemas.openxmlformats.org/officeDocument/2006/relationships/hyperlink" Target="http://link.springer.com/book/10.1007/978-3-030-78821-6" TargetMode="External"/><Relationship Id="rId151" Type="http://schemas.openxmlformats.org/officeDocument/2006/relationships/hyperlink" Target="http://link.springer.com/book/10.1007/978-3-031-13181-3" TargetMode="External"/><Relationship Id="rId389" Type="http://schemas.openxmlformats.org/officeDocument/2006/relationships/hyperlink" Target="http://link.springer.com/chapter/10.1007/978-3-031-15116-3_6" TargetMode="External"/><Relationship Id="rId193" Type="http://schemas.openxmlformats.org/officeDocument/2006/relationships/hyperlink" Target="http://link.springer.com/article/10.1007/s11219-021-09578-7" TargetMode="External"/><Relationship Id="rId207" Type="http://schemas.openxmlformats.org/officeDocument/2006/relationships/hyperlink" Target="http://link.springer.com/chapter/10.1007/978-3-030-77283-3_6" TargetMode="External"/><Relationship Id="rId249" Type="http://schemas.openxmlformats.org/officeDocument/2006/relationships/hyperlink" Target="http://link.springer.com/book/10.1007/978-3-030-73758-0" TargetMode="External"/><Relationship Id="rId414" Type="http://schemas.openxmlformats.org/officeDocument/2006/relationships/hyperlink" Target="http://link.springer.com/article/10.1007/s10664-020-09855-2" TargetMode="External"/><Relationship Id="rId456" Type="http://schemas.openxmlformats.org/officeDocument/2006/relationships/hyperlink" Target="http://link.springer.com/chapter/10.1007/978-1-4842-1925-6_5" TargetMode="External"/><Relationship Id="rId13" Type="http://schemas.openxmlformats.org/officeDocument/2006/relationships/hyperlink" Target="http://link.springer.com/book/10.1007/978-3-030-77442-4" TargetMode="External"/><Relationship Id="rId109" Type="http://schemas.openxmlformats.org/officeDocument/2006/relationships/hyperlink" Target="http://link.springer.com/book/10.1007/978-3-319-64218-5" TargetMode="External"/><Relationship Id="rId260" Type="http://schemas.openxmlformats.org/officeDocument/2006/relationships/hyperlink" Target="http://link.springer.com/chapter/10.1007/978-3-030-83549-1_3" TargetMode="External"/><Relationship Id="rId316" Type="http://schemas.openxmlformats.org/officeDocument/2006/relationships/hyperlink" Target="http://link.springer.com/chapter/10.1007/978-3-319-69341-5_23" TargetMode="External"/><Relationship Id="rId55" Type="http://schemas.openxmlformats.org/officeDocument/2006/relationships/hyperlink" Target="http://link.springer.com/article/10.1007/s11219-020-09520-3" TargetMode="External"/><Relationship Id="rId97" Type="http://schemas.openxmlformats.org/officeDocument/2006/relationships/hyperlink" Target="http://link.springer.com/book/10.1007/978-3-030-59155-7" TargetMode="External"/><Relationship Id="rId120" Type="http://schemas.openxmlformats.org/officeDocument/2006/relationships/hyperlink" Target="http://link.springer.com/article/10.1007/s10664-020-09869-w" TargetMode="External"/><Relationship Id="rId358" Type="http://schemas.openxmlformats.org/officeDocument/2006/relationships/hyperlink" Target="http://link.springer.com/article/10.1007/s10489-021-02911-4" TargetMode="External"/><Relationship Id="rId162" Type="http://schemas.openxmlformats.org/officeDocument/2006/relationships/hyperlink" Target="http://link.springer.com/article/10.1186/s13174-021-00134-x" TargetMode="External"/><Relationship Id="rId218" Type="http://schemas.openxmlformats.org/officeDocument/2006/relationships/hyperlink" Target="http://link.springer.com/chapter/10.1007/978-3-030-32489-6_14" TargetMode="External"/><Relationship Id="rId425" Type="http://schemas.openxmlformats.org/officeDocument/2006/relationships/hyperlink" Target="http://link.springer.com/article/10.1007/s41870-022-00905-0" TargetMode="External"/><Relationship Id="rId467" Type="http://schemas.openxmlformats.org/officeDocument/2006/relationships/hyperlink" Target="http://link.springer.com/chapter/10.1007/978-3-030-96734-5_4" TargetMode="External"/><Relationship Id="rId271" Type="http://schemas.openxmlformats.org/officeDocument/2006/relationships/hyperlink" Target="http://link.springer.com/article/10.1186/s40411-018-0046-4" TargetMode="External"/><Relationship Id="rId24" Type="http://schemas.openxmlformats.org/officeDocument/2006/relationships/hyperlink" Target="http://link.springer.com/book/10.1007/978-3-030-90318-3" TargetMode="External"/><Relationship Id="rId66" Type="http://schemas.openxmlformats.org/officeDocument/2006/relationships/hyperlink" Target="http://link.springer.com/book/10.1007/978-3-030-19034-7" TargetMode="External"/><Relationship Id="rId131" Type="http://schemas.openxmlformats.org/officeDocument/2006/relationships/hyperlink" Target="http://link.springer.com/book/10.1007/978-3-031-19849-6" TargetMode="External"/><Relationship Id="rId327" Type="http://schemas.openxmlformats.org/officeDocument/2006/relationships/hyperlink" Target="http://link.springer.com/chapter/10.1007/978-3-030-69970-3_12" TargetMode="External"/><Relationship Id="rId369" Type="http://schemas.openxmlformats.org/officeDocument/2006/relationships/hyperlink" Target="http://link.springer.com/chapter/10.1007/978-1-4842-5104-1_9" TargetMode="External"/><Relationship Id="rId173" Type="http://schemas.openxmlformats.org/officeDocument/2006/relationships/hyperlink" Target="http://link.springer.com/article/10.1007/s42979-020-00408-4" TargetMode="External"/><Relationship Id="rId229" Type="http://schemas.openxmlformats.org/officeDocument/2006/relationships/hyperlink" Target="http://link.springer.com/article/10.1007/s10664-020-09858-z" TargetMode="External"/><Relationship Id="rId380" Type="http://schemas.openxmlformats.org/officeDocument/2006/relationships/hyperlink" Target="http://link.springer.com/chapter/10.1007/978-3-030-75018-3_14" TargetMode="External"/><Relationship Id="rId436" Type="http://schemas.openxmlformats.org/officeDocument/2006/relationships/hyperlink" Target="http://link.springer.com/article/10.1007/s11306-019-1588-0" TargetMode="External"/><Relationship Id="rId240" Type="http://schemas.openxmlformats.org/officeDocument/2006/relationships/hyperlink" Target="http://link.springer.com/book/10.1007/978-3-030-82978-0" TargetMode="External"/><Relationship Id="rId35" Type="http://schemas.openxmlformats.org/officeDocument/2006/relationships/hyperlink" Target="http://link.springer.com/book/10.1007/978-3-031-10542-5" TargetMode="External"/><Relationship Id="rId77" Type="http://schemas.openxmlformats.org/officeDocument/2006/relationships/hyperlink" Target="http://link.springer.com/article/10.1007/s10664-017-9522-4" TargetMode="External"/><Relationship Id="rId100" Type="http://schemas.openxmlformats.org/officeDocument/2006/relationships/hyperlink" Target="http://link.springer.com/article/10.1007/s10664-020-09854-3" TargetMode="External"/><Relationship Id="rId282" Type="http://schemas.openxmlformats.org/officeDocument/2006/relationships/hyperlink" Target="http://link.springer.com/book/10.1007/978-1-4842-8867-2" TargetMode="External"/><Relationship Id="rId338" Type="http://schemas.openxmlformats.org/officeDocument/2006/relationships/hyperlink" Target="http://link.springer.com/article/10.1007/s10664-021-10109-y" TargetMode="External"/><Relationship Id="rId8" Type="http://schemas.openxmlformats.org/officeDocument/2006/relationships/hyperlink" Target="http://link.springer.com/book/10.1007/978-3-030-87007-2" TargetMode="External"/><Relationship Id="rId142" Type="http://schemas.openxmlformats.org/officeDocument/2006/relationships/hyperlink" Target="http://link.springer.com/book/10.1007/978-3-030-26250-1" TargetMode="External"/><Relationship Id="rId184" Type="http://schemas.openxmlformats.org/officeDocument/2006/relationships/hyperlink" Target="http://link.springer.com/chapter/10.1007/978-3-030-87007-2_22" TargetMode="External"/><Relationship Id="rId391" Type="http://schemas.openxmlformats.org/officeDocument/2006/relationships/hyperlink" Target="http://link.springer.com/chapter/10.1007/978-3-030-86044-8_8" TargetMode="External"/><Relationship Id="rId405" Type="http://schemas.openxmlformats.org/officeDocument/2006/relationships/hyperlink" Target="http://link.springer.com/chapter/10.1007/978-981-16-6069-6_5" TargetMode="External"/><Relationship Id="rId447" Type="http://schemas.openxmlformats.org/officeDocument/2006/relationships/hyperlink" Target="http://link.springer.com/chapter/10.1007/978-3-031-15644-1_34" TargetMode="External"/><Relationship Id="rId251" Type="http://schemas.openxmlformats.org/officeDocument/2006/relationships/hyperlink" Target="http://link.springer.com/book/10.1007/978-3-030-85867-4" TargetMode="External"/><Relationship Id="rId46" Type="http://schemas.openxmlformats.org/officeDocument/2006/relationships/hyperlink" Target="http://link.springer.com/book/10.1007/978-3-030-85521-5" TargetMode="External"/><Relationship Id="rId293" Type="http://schemas.openxmlformats.org/officeDocument/2006/relationships/hyperlink" Target="http://link.springer.com/article/10.1007/s10664-022-10221-7" TargetMode="External"/><Relationship Id="rId307" Type="http://schemas.openxmlformats.org/officeDocument/2006/relationships/hyperlink" Target="http://link.springer.com/chapter/10.1007/978-3-658-37182-1_11" TargetMode="External"/><Relationship Id="rId349" Type="http://schemas.openxmlformats.org/officeDocument/2006/relationships/hyperlink" Target="http://link.springer.com/chapter/10.1007/978-3-031-11686-5_9" TargetMode="External"/><Relationship Id="rId88" Type="http://schemas.openxmlformats.org/officeDocument/2006/relationships/hyperlink" Target="http://link.springer.com/book/10.1007/978-3-319-57633-6" TargetMode="External"/><Relationship Id="rId111" Type="http://schemas.openxmlformats.org/officeDocument/2006/relationships/hyperlink" Target="http://link.springer.com/chapter/10.1007/978-3-030-35333-9_14" TargetMode="External"/><Relationship Id="rId153" Type="http://schemas.openxmlformats.org/officeDocument/2006/relationships/hyperlink" Target="http://link.springer.com/book/10.1007/978-3-031-11513-4" TargetMode="External"/><Relationship Id="rId195" Type="http://schemas.openxmlformats.org/officeDocument/2006/relationships/hyperlink" Target="http://link.springer.com/book/10.1007/978-3-658-37665-9" TargetMode="External"/><Relationship Id="rId209" Type="http://schemas.openxmlformats.org/officeDocument/2006/relationships/hyperlink" Target="http://link.springer.com/chapter/10.1007/978-3-030-00623-5_2" TargetMode="External"/><Relationship Id="rId360" Type="http://schemas.openxmlformats.org/officeDocument/2006/relationships/hyperlink" Target="http://link.springer.com/book/10.1007/978-1-4842-6921-3" TargetMode="External"/><Relationship Id="rId416" Type="http://schemas.openxmlformats.org/officeDocument/2006/relationships/hyperlink" Target="http://link.springer.com/article/10.1007/s10664-021-10083-5" TargetMode="External"/><Relationship Id="rId220" Type="http://schemas.openxmlformats.org/officeDocument/2006/relationships/hyperlink" Target="http://link.springer.com/chapter/10.1007/978-3-031-04115-0_3" TargetMode="External"/><Relationship Id="rId458" Type="http://schemas.openxmlformats.org/officeDocument/2006/relationships/hyperlink" Target="http://link.springer.com/article/10.1007/s00500-022-06908-0" TargetMode="External"/><Relationship Id="rId15" Type="http://schemas.openxmlformats.org/officeDocument/2006/relationships/hyperlink" Target="http://link.springer.com/book/10.1007/978-3-031-15559-8" TargetMode="External"/><Relationship Id="rId57" Type="http://schemas.openxmlformats.org/officeDocument/2006/relationships/hyperlink" Target="http://link.springer.com/article/10.1007/s11704-020-9281-z" TargetMode="External"/><Relationship Id="rId262" Type="http://schemas.openxmlformats.org/officeDocument/2006/relationships/hyperlink" Target="http://link.springer.com/book/10.1007/978-3-030-92934-3" TargetMode="External"/><Relationship Id="rId318" Type="http://schemas.openxmlformats.org/officeDocument/2006/relationships/hyperlink" Target="http://link.springer.com/chapter/10.1007/978-981-15-5827-6_6" TargetMode="External"/><Relationship Id="rId99" Type="http://schemas.openxmlformats.org/officeDocument/2006/relationships/hyperlink" Target="http://link.springer.com/book/10.1007/978-3-030-87839-9" TargetMode="External"/><Relationship Id="rId122" Type="http://schemas.openxmlformats.org/officeDocument/2006/relationships/hyperlink" Target="http://link.springer.com/book/10.1007/978-3-031-02318-7" TargetMode="External"/><Relationship Id="rId164" Type="http://schemas.openxmlformats.org/officeDocument/2006/relationships/hyperlink" Target="http://link.springer.com/book/10.1007/978-3-030-95041-5" TargetMode="External"/><Relationship Id="rId371" Type="http://schemas.openxmlformats.org/officeDocument/2006/relationships/hyperlink" Target="http://link.springer.com/article/10.1007/s11219-016-9318-6" TargetMode="External"/><Relationship Id="rId427" Type="http://schemas.openxmlformats.org/officeDocument/2006/relationships/hyperlink" Target="http://link.springer.com/chapter/10.1007/978-3-319-57633-6_2" TargetMode="External"/><Relationship Id="rId469" Type="http://schemas.openxmlformats.org/officeDocument/2006/relationships/hyperlink" Target="http://link.springer.com/chapter/10.1007/978-981-16-1927-4_15" TargetMode="External"/><Relationship Id="rId26" Type="http://schemas.openxmlformats.org/officeDocument/2006/relationships/hyperlink" Target="http://link.springer.com/book/10.1007/978-981-16-2380-6" TargetMode="External"/><Relationship Id="rId231" Type="http://schemas.openxmlformats.org/officeDocument/2006/relationships/hyperlink" Target="http://link.springer.com/article/10.1007/s10664-021-10045-x" TargetMode="External"/><Relationship Id="rId273" Type="http://schemas.openxmlformats.org/officeDocument/2006/relationships/hyperlink" Target="http://link.springer.com/article/10.1007/s11219-021-09555-0" TargetMode="External"/><Relationship Id="rId329" Type="http://schemas.openxmlformats.org/officeDocument/2006/relationships/hyperlink" Target="http://link.springer.com/chapter/10.1007/978-3-319-51472-7_2" TargetMode="External"/><Relationship Id="rId68" Type="http://schemas.openxmlformats.org/officeDocument/2006/relationships/hyperlink" Target="http://link.springer.com/referencework/10.1007/978-3-030-10576-1" TargetMode="External"/><Relationship Id="rId133" Type="http://schemas.openxmlformats.org/officeDocument/2006/relationships/hyperlink" Target="http://link.springer.com/book/10.1007/978-3-030-53125-6" TargetMode="External"/><Relationship Id="rId175" Type="http://schemas.openxmlformats.org/officeDocument/2006/relationships/hyperlink" Target="http://link.springer.com/article/10.1007/s10664-016-9460-6" TargetMode="External"/><Relationship Id="rId340" Type="http://schemas.openxmlformats.org/officeDocument/2006/relationships/hyperlink" Target="http://link.springer.com/chapter/10.1007/978-1-4842-6228-3_17" TargetMode="External"/><Relationship Id="rId200" Type="http://schemas.openxmlformats.org/officeDocument/2006/relationships/hyperlink" Target="http://link.springer.com/article/10.1007/s40264-022-01156-5" TargetMode="External"/><Relationship Id="rId382" Type="http://schemas.openxmlformats.org/officeDocument/2006/relationships/hyperlink" Target="http://link.springer.com/chapter/10.1007/978-981-15-7984-4_37" TargetMode="External"/><Relationship Id="rId438" Type="http://schemas.openxmlformats.org/officeDocument/2006/relationships/hyperlink" Target="http://link.springer.com/chapter/10.1007/978-3-030-59155-7_8" TargetMode="External"/><Relationship Id="rId242" Type="http://schemas.openxmlformats.org/officeDocument/2006/relationships/hyperlink" Target="http://link.springer.com/book/10.1007/978-3-031-08950-3" TargetMode="External"/><Relationship Id="rId284" Type="http://schemas.openxmlformats.org/officeDocument/2006/relationships/hyperlink" Target="http://link.springer.com/article/10.1007/s10664-020-09803-0" TargetMode="External"/><Relationship Id="rId37" Type="http://schemas.openxmlformats.org/officeDocument/2006/relationships/hyperlink" Target="http://link.springer.com/book/10.1007/978-981-16-2102-4" TargetMode="External"/><Relationship Id="rId79" Type="http://schemas.openxmlformats.org/officeDocument/2006/relationships/hyperlink" Target="http://link.springer.com/book/10.1007/978-3-031-08965-7" TargetMode="External"/><Relationship Id="rId102" Type="http://schemas.openxmlformats.org/officeDocument/2006/relationships/hyperlink" Target="http://link.springer.com/book/10.1007/978-3-031-12807-3" TargetMode="External"/><Relationship Id="rId144" Type="http://schemas.openxmlformats.org/officeDocument/2006/relationships/hyperlink" Target="http://link.springer.com/chapter/10.1007/978-3-030-75418-1_25" TargetMode="External"/><Relationship Id="rId90" Type="http://schemas.openxmlformats.org/officeDocument/2006/relationships/hyperlink" Target="http://link.springer.com/book/10.1007/978-981-19-5482-5" TargetMode="External"/><Relationship Id="rId186" Type="http://schemas.openxmlformats.org/officeDocument/2006/relationships/hyperlink" Target="http://link.springer.com/chapter/10.1007/978-3-319-69926-4_42" TargetMode="External"/><Relationship Id="rId351" Type="http://schemas.openxmlformats.org/officeDocument/2006/relationships/hyperlink" Target="http://link.springer.com/chapter/10.1007/978-3-031-04819-7_40" TargetMode="External"/><Relationship Id="rId393" Type="http://schemas.openxmlformats.org/officeDocument/2006/relationships/hyperlink" Target="http://link.springer.com/article/10.1007/s11219-020-09540-z" TargetMode="External"/><Relationship Id="rId407" Type="http://schemas.openxmlformats.org/officeDocument/2006/relationships/hyperlink" Target="http://link.springer.com/book/10.1007/978-3-662-57611-3" TargetMode="External"/><Relationship Id="rId449" Type="http://schemas.openxmlformats.org/officeDocument/2006/relationships/hyperlink" Target="http://link.springer.com/chapter/10.1007/978-3-662-60304-8_1" TargetMode="External"/><Relationship Id="rId211" Type="http://schemas.openxmlformats.org/officeDocument/2006/relationships/hyperlink" Target="http://link.springer.com/book/10.1007/978-3-030-86152-0" TargetMode="External"/><Relationship Id="rId253" Type="http://schemas.openxmlformats.org/officeDocument/2006/relationships/hyperlink" Target="http://link.springer.com/book/10.1007/978-3-030-49640-1" TargetMode="External"/><Relationship Id="rId295" Type="http://schemas.openxmlformats.org/officeDocument/2006/relationships/hyperlink" Target="http://link.springer.com/article/10.1007/s00766-016-0253-7" TargetMode="External"/><Relationship Id="rId309" Type="http://schemas.openxmlformats.org/officeDocument/2006/relationships/hyperlink" Target="http://link.springer.com/article/10.1007/s12650-020-00647-w" TargetMode="External"/><Relationship Id="rId460" Type="http://schemas.openxmlformats.org/officeDocument/2006/relationships/hyperlink" Target="http://link.springer.com/chapter/10.1007/978-3-319-96193-4_6" TargetMode="External"/><Relationship Id="rId48" Type="http://schemas.openxmlformats.org/officeDocument/2006/relationships/hyperlink" Target="http://link.springer.com/book/10.1007/978-981-16-6069-6" TargetMode="External"/><Relationship Id="rId113" Type="http://schemas.openxmlformats.org/officeDocument/2006/relationships/hyperlink" Target="http://link.springer.com/article/10.1007/s10664-022-10128-3" TargetMode="External"/><Relationship Id="rId320" Type="http://schemas.openxmlformats.org/officeDocument/2006/relationships/hyperlink" Target="http://link.springer.com/article/10.1007/s10664-018-9615-8" TargetMode="External"/><Relationship Id="rId155" Type="http://schemas.openxmlformats.org/officeDocument/2006/relationships/hyperlink" Target="http://link.springer.com/book/10.1007/978-3-031-19741-3" TargetMode="External"/><Relationship Id="rId197" Type="http://schemas.openxmlformats.org/officeDocument/2006/relationships/hyperlink" Target="http://link.springer.com/book/10.1007/978-3-031-11510-3" TargetMode="External"/><Relationship Id="rId362" Type="http://schemas.openxmlformats.org/officeDocument/2006/relationships/hyperlink" Target="http://link.springer.com/article/10.1007/s11334-022-00457-3" TargetMode="External"/><Relationship Id="rId418" Type="http://schemas.openxmlformats.org/officeDocument/2006/relationships/hyperlink" Target="http://link.springer.com/chapter/10.1007/978-3-030-89902-8_4" TargetMode="External"/><Relationship Id="rId222" Type="http://schemas.openxmlformats.org/officeDocument/2006/relationships/hyperlink" Target="http://link.springer.com/chapter/10.1007/978-3-031-08421-8_41" TargetMode="External"/><Relationship Id="rId264" Type="http://schemas.openxmlformats.org/officeDocument/2006/relationships/hyperlink" Target="http://link.springer.com/chapter/10.1007/978-3-031-20875-1_14" TargetMode="External"/><Relationship Id="rId471" Type="http://schemas.openxmlformats.org/officeDocument/2006/relationships/hyperlink" Target="http://link.springer.com/chapter/10.1007/978-3-031-21388-5_20" TargetMode="External"/><Relationship Id="rId17" Type="http://schemas.openxmlformats.org/officeDocument/2006/relationships/hyperlink" Target="http://link.springer.com/book/10.1007/978-1-4842-8817-7" TargetMode="External"/><Relationship Id="rId59" Type="http://schemas.openxmlformats.org/officeDocument/2006/relationships/hyperlink" Target="http://link.springer.com/book/10.1007/978-981-15-7984-4" TargetMode="External"/><Relationship Id="rId124" Type="http://schemas.openxmlformats.org/officeDocument/2006/relationships/hyperlink" Target="http://link.springer.com/book/10.1007/978-3-031-20875-1" TargetMode="External"/><Relationship Id="rId70" Type="http://schemas.openxmlformats.org/officeDocument/2006/relationships/hyperlink" Target="http://link.springer.com/chapter/10.1007/978-3-031-08202-3_2" TargetMode="External"/><Relationship Id="rId166" Type="http://schemas.openxmlformats.org/officeDocument/2006/relationships/hyperlink" Target="http://link.springer.com/chapter/10.1007/978-3-031-19756-7_17" TargetMode="External"/><Relationship Id="rId331" Type="http://schemas.openxmlformats.org/officeDocument/2006/relationships/hyperlink" Target="http://link.springer.com/article/10.1007/s11334-021-00422-6" TargetMode="External"/><Relationship Id="rId373" Type="http://schemas.openxmlformats.org/officeDocument/2006/relationships/hyperlink" Target="http://link.springer.com/article/10.1007/s10664-022-10132-7" TargetMode="External"/><Relationship Id="rId429" Type="http://schemas.openxmlformats.org/officeDocument/2006/relationships/hyperlink" Target="http://link.springer.com/book/10.1007/978-3-030-63034-8" TargetMode="External"/><Relationship Id="rId1" Type="http://schemas.openxmlformats.org/officeDocument/2006/relationships/hyperlink" Target="http://link.springer.com/book/10.1007/978-3-031-21388-5" TargetMode="External"/><Relationship Id="rId233" Type="http://schemas.openxmlformats.org/officeDocument/2006/relationships/hyperlink" Target="http://link.springer.com/referencework/10.1007/978-3-030-29980-4" TargetMode="External"/><Relationship Id="rId440" Type="http://schemas.openxmlformats.org/officeDocument/2006/relationships/hyperlink" Target="http://link.springer.com/book/10.1007/978-3-658-35626-2" TargetMode="External"/><Relationship Id="rId28" Type="http://schemas.openxmlformats.org/officeDocument/2006/relationships/hyperlink" Target="http://link.springer.com/book/10.1007/978-3-031-10873-0" TargetMode="External"/><Relationship Id="rId275" Type="http://schemas.openxmlformats.org/officeDocument/2006/relationships/hyperlink" Target="http://link.springer.com/article/10.1007/s10664-020-09856-1" TargetMode="External"/><Relationship Id="rId300" Type="http://schemas.openxmlformats.org/officeDocument/2006/relationships/hyperlink" Target="http://link.springer.com/chapter/10.1007/978-3-030-29852-4_32" TargetMode="External"/><Relationship Id="rId81" Type="http://schemas.openxmlformats.org/officeDocument/2006/relationships/hyperlink" Target="http://link.springer.com/book/10.1007/978-3-030-42504-3" TargetMode="External"/><Relationship Id="rId135" Type="http://schemas.openxmlformats.org/officeDocument/2006/relationships/hyperlink" Target="http://link.springer.com/article/10.1007/s10664-021-10031-3" TargetMode="External"/><Relationship Id="rId177" Type="http://schemas.openxmlformats.org/officeDocument/2006/relationships/hyperlink" Target="http://link.springer.com/book/10.1007/978-3-031-09357-9" TargetMode="External"/><Relationship Id="rId342" Type="http://schemas.openxmlformats.org/officeDocument/2006/relationships/hyperlink" Target="http://link.springer.com/article/10.1007/s10664-022-10122-9" TargetMode="External"/><Relationship Id="rId384" Type="http://schemas.openxmlformats.org/officeDocument/2006/relationships/hyperlink" Target="http://link.springer.com/book/10.1007/978-1-4842-7217-6" TargetMode="External"/><Relationship Id="rId202" Type="http://schemas.openxmlformats.org/officeDocument/2006/relationships/hyperlink" Target="http://link.springer.com/chapter/10.1007/978-3-658-37182-1_9" TargetMode="External"/><Relationship Id="rId244" Type="http://schemas.openxmlformats.org/officeDocument/2006/relationships/hyperlink" Target="http://link.springer.com/article/10.1007/s10664-022-10257-9" TargetMode="External"/><Relationship Id="rId39" Type="http://schemas.openxmlformats.org/officeDocument/2006/relationships/hyperlink" Target="http://link.springer.com/book/10.1007/978-3-031-10461-9" TargetMode="External"/><Relationship Id="rId286" Type="http://schemas.openxmlformats.org/officeDocument/2006/relationships/hyperlink" Target="http://link.springer.com/chapter/10.1007/978-3-030-37436-5_24" TargetMode="External"/><Relationship Id="rId451" Type="http://schemas.openxmlformats.org/officeDocument/2006/relationships/hyperlink" Target="http://link.springer.com/chapter/10.1007/978-3-031-01761-2_8" TargetMode="External"/><Relationship Id="rId50" Type="http://schemas.openxmlformats.org/officeDocument/2006/relationships/hyperlink" Target="http://link.springer.com/book/10.1007/978-3-030-89385-9" TargetMode="External"/><Relationship Id="rId104" Type="http://schemas.openxmlformats.org/officeDocument/2006/relationships/hyperlink" Target="http://link.springer.com/book/10.1007/978-3-030-82017-6" TargetMode="External"/><Relationship Id="rId146" Type="http://schemas.openxmlformats.org/officeDocument/2006/relationships/hyperlink" Target="http://link.springer.com/book/10.1007/978-3-030-93856-7" TargetMode="External"/><Relationship Id="rId188" Type="http://schemas.openxmlformats.org/officeDocument/2006/relationships/hyperlink" Target="http://link.springer.com/chapter/10.1007/978-3-030-64148-1_12" TargetMode="External"/><Relationship Id="rId311" Type="http://schemas.openxmlformats.org/officeDocument/2006/relationships/hyperlink" Target="http://link.springer.com/article/10.1007/s11219-020-09502-5" TargetMode="External"/><Relationship Id="rId353" Type="http://schemas.openxmlformats.org/officeDocument/2006/relationships/hyperlink" Target="http://link.springer.com/article/10.1007/s10664-021-09969-1" TargetMode="External"/><Relationship Id="rId395" Type="http://schemas.openxmlformats.org/officeDocument/2006/relationships/hyperlink" Target="http://link.springer.com/book/10.1007/978-3-030-88907-4" TargetMode="External"/><Relationship Id="rId409" Type="http://schemas.openxmlformats.org/officeDocument/2006/relationships/hyperlink" Target="http://link.springer.com/article/10.1007/s10664-018-9603-z" TargetMode="External"/><Relationship Id="rId92" Type="http://schemas.openxmlformats.org/officeDocument/2006/relationships/hyperlink" Target="http://link.springer.com/book/10.1007/978-3-662-49275-8" TargetMode="External"/><Relationship Id="rId213" Type="http://schemas.openxmlformats.org/officeDocument/2006/relationships/hyperlink" Target="http://link.springer.com/book/10.1007/978-3-031-18322-5" TargetMode="External"/><Relationship Id="rId420" Type="http://schemas.openxmlformats.org/officeDocument/2006/relationships/hyperlink" Target="http://link.springer.com/book/10.1007/978-1-4842-8575-6" TargetMode="External"/><Relationship Id="rId255" Type="http://schemas.openxmlformats.org/officeDocument/2006/relationships/hyperlink" Target="http://link.springer.com/article/10.1007/s10270-021-00929-3" TargetMode="External"/><Relationship Id="rId297" Type="http://schemas.openxmlformats.org/officeDocument/2006/relationships/hyperlink" Target="http://link.springer.com/article/10.1007/s11219-018-9404-z" TargetMode="External"/><Relationship Id="rId462" Type="http://schemas.openxmlformats.org/officeDocument/2006/relationships/hyperlink" Target="http://link.springer.com/article/10.1007/s00607-020-00895-6" TargetMode="External"/><Relationship Id="rId115" Type="http://schemas.openxmlformats.org/officeDocument/2006/relationships/hyperlink" Target="http://link.springer.com/book/10.1007/978-3-031-17604-3" TargetMode="External"/><Relationship Id="rId157" Type="http://schemas.openxmlformats.org/officeDocument/2006/relationships/hyperlink" Target="http://link.springer.com/book/10.1007/978-3-031-15629-8" TargetMode="External"/><Relationship Id="rId322" Type="http://schemas.openxmlformats.org/officeDocument/2006/relationships/hyperlink" Target="http://link.springer.com/chapter/10.1007/978-3-031-05760-1_25" TargetMode="External"/><Relationship Id="rId364" Type="http://schemas.openxmlformats.org/officeDocument/2006/relationships/hyperlink" Target="http://link.springer.com/article/10.1007/s10664-019-09708-7" TargetMode="External"/><Relationship Id="rId61" Type="http://schemas.openxmlformats.org/officeDocument/2006/relationships/hyperlink" Target="http://link.springer.com/book/10.1007/978-3-030-98876-0" TargetMode="External"/><Relationship Id="rId199" Type="http://schemas.openxmlformats.org/officeDocument/2006/relationships/hyperlink" Target="http://link.springer.com/chapter/10.1007/978-3-319-91836-5_7" TargetMode="External"/><Relationship Id="rId19" Type="http://schemas.openxmlformats.org/officeDocument/2006/relationships/hyperlink" Target="http://link.springer.com/book/10.1007/978-3-031-09070-7" TargetMode="External"/><Relationship Id="rId224" Type="http://schemas.openxmlformats.org/officeDocument/2006/relationships/hyperlink" Target="http://link.springer.com/book/10.1007/978-3-030-81915-6" TargetMode="External"/><Relationship Id="rId266" Type="http://schemas.openxmlformats.org/officeDocument/2006/relationships/hyperlink" Target="http://link.springer.com/article/10.1007/s41064-020-00102-3" TargetMode="External"/><Relationship Id="rId431" Type="http://schemas.openxmlformats.org/officeDocument/2006/relationships/hyperlink" Target="http://link.springer.com/article/10.1007/s11831-019-09348-6" TargetMode="External"/><Relationship Id="rId473" Type="http://schemas.openxmlformats.org/officeDocument/2006/relationships/hyperlink" Target="http://link.springer.com/chapter/10.1007/978-3-031-15559-8_7"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doi.org/10.1145/3522664.3528621;http:/dx.doi.org/10.1145/3522664.3528621" TargetMode="External"/><Relationship Id="rId21" Type="http://schemas.openxmlformats.org/officeDocument/2006/relationships/hyperlink" Target="https://doi.org/10.1145/3194164.3194181;http:/dx.doi.org/10.1145/3194164.3194181" TargetMode="External"/><Relationship Id="rId42" Type="http://schemas.openxmlformats.org/officeDocument/2006/relationships/hyperlink" Target="https://doi.org/10.1145/3522664.3528620;http:/dx.doi.org/10.1145/3522664.3528620" TargetMode="External"/><Relationship Id="rId63" Type="http://schemas.openxmlformats.org/officeDocument/2006/relationships/hyperlink" Target="https://doi.org/10.1109/ICPC.2019.00023;http:/dx.doi.org/10.1109/ICPC.2019.00023" TargetMode="External"/><Relationship Id="rId84" Type="http://schemas.openxmlformats.org/officeDocument/2006/relationships/hyperlink" Target="https://doi.org/10.1145/3241403.3241414;http:/dx.doi.org/10.1145/3241403.3241414" TargetMode="External"/><Relationship Id="rId138" Type="http://schemas.openxmlformats.org/officeDocument/2006/relationships/hyperlink" Target="https://doi.org/10.1145/3545258.3545260;http:/dx.doi.org/10.1145/3545258.3545260" TargetMode="External"/><Relationship Id="rId159" Type="http://schemas.openxmlformats.org/officeDocument/2006/relationships/hyperlink" Target="https://doi.org/10.1145/3196321.3196322;http:/dx.doi.org/10.1145/3196321.3196322" TargetMode="External"/><Relationship Id="rId170" Type="http://schemas.openxmlformats.org/officeDocument/2006/relationships/hyperlink" Target="https://doi.org/10.1145/3266237.3266271;http:/dx.doi.org/10.1145/3266237.3266271" TargetMode="External"/><Relationship Id="rId191" Type="http://schemas.openxmlformats.org/officeDocument/2006/relationships/hyperlink" Target="https://doi.org/10.1145/3178315.3178326;http:/dx.doi.org/10.1145/3178315.3178326" TargetMode="External"/><Relationship Id="rId205" Type="http://schemas.openxmlformats.org/officeDocument/2006/relationships/hyperlink" Target="https://doi.org/10.1145/2591062.2591085;http:/dx.doi.org/10.1145/2591062.2591085" TargetMode="External"/><Relationship Id="rId226" Type="http://schemas.openxmlformats.org/officeDocument/2006/relationships/hyperlink" Target="https://doi.org/10.1145/3426428.3426925;http:/dx.doi.org/10.1145/3426428.3426925" TargetMode="External"/><Relationship Id="rId107" Type="http://schemas.openxmlformats.org/officeDocument/2006/relationships/hyperlink" Target="https://doi.org/10.1145/3379597.3387457;http:/dx.doi.org/10.1145/3379597.3387457" TargetMode="External"/><Relationship Id="rId11" Type="http://schemas.openxmlformats.org/officeDocument/2006/relationships/hyperlink" Target="https://doi.org/10.1145/3345629.3345630;http:/dx.doi.org/10.1145/3345629.3345630" TargetMode="External"/><Relationship Id="rId32" Type="http://schemas.openxmlformats.org/officeDocument/2006/relationships/hyperlink" Target="https://doi.org/10.1145/3524610.3528387;http:/dx.doi.org/10.1145/3524610.3528387" TargetMode="External"/><Relationship Id="rId53" Type="http://schemas.openxmlformats.org/officeDocument/2006/relationships/hyperlink" Target="https://doi.org/10.1145/3560828.3564001;http:/dx.doi.org/10.1145/3560828.3564001" TargetMode="External"/><Relationship Id="rId74" Type="http://schemas.openxmlformats.org/officeDocument/2006/relationships/hyperlink" Target="https://doi.org/10.1145/3469440;http:/dx.doi.org/10.1145/3469440" TargetMode="External"/><Relationship Id="rId128" Type="http://schemas.openxmlformats.org/officeDocument/2006/relationships/hyperlink" Target="https://doi.org/10.1145/3387904.3389259;http:/dx.doi.org/10.1145/3387904.3389259" TargetMode="External"/><Relationship Id="rId149" Type="http://schemas.openxmlformats.org/officeDocument/2006/relationships/hyperlink" Target="https://doi.org/10.1109/ASE51524.2021.9678617;http:/dx.doi.org/10.1109/ASE51524.2021.9678617" TargetMode="External"/><Relationship Id="rId5" Type="http://schemas.openxmlformats.org/officeDocument/2006/relationships/hyperlink" Target="https://doi.org/10.1145/3524843.3528096;http:/dx.doi.org/10.1145/3524843.3528096" TargetMode="External"/><Relationship Id="rId95" Type="http://schemas.openxmlformats.org/officeDocument/2006/relationships/hyperlink" Target="https://doi.org/10.1145/2896995.2896999;http:/dx.doi.org/10.1145/2896995.2896999" TargetMode="External"/><Relationship Id="rId160" Type="http://schemas.openxmlformats.org/officeDocument/2006/relationships/hyperlink" Target="https://doi.org/10.1145/3520312.3534868;http:/dx.doi.org/10.1145/3520312.3534868" TargetMode="External"/><Relationship Id="rId181" Type="http://schemas.openxmlformats.org/officeDocument/2006/relationships/hyperlink" Target="https://doi.org/10.1109/IWoR.2019.00017;http:/dx.doi.org/10.1109/IWoR.2019.00017" TargetMode="External"/><Relationship Id="rId216" Type="http://schemas.openxmlformats.org/officeDocument/2006/relationships/hyperlink" Target="https://doi.org/10.1145/3140549.3140556;http:/dx.doi.org/10.1145/3140549.3140556" TargetMode="External"/><Relationship Id="rId237" Type="http://schemas.openxmlformats.org/officeDocument/2006/relationships/hyperlink" Target="https://doi.org/10.1145/3400302.3415737;http:/dx.doi.org/10.1145/3400302.3415737" TargetMode="External"/><Relationship Id="rId22" Type="http://schemas.openxmlformats.org/officeDocument/2006/relationships/hyperlink" Target="https://doi.org/10.1145/3194164.3194187;http:/dx.doi.org/10.1145/3194164.3194187" TargetMode="External"/><Relationship Id="rId43" Type="http://schemas.openxmlformats.org/officeDocument/2006/relationships/hyperlink" Target="https://doi.org/10.1145/3524842.3528469;http:/dx.doi.org/10.1145/3524842.3528469" TargetMode="External"/><Relationship Id="rId64" Type="http://schemas.openxmlformats.org/officeDocument/2006/relationships/hyperlink" Target="https://doi.org/10.1145/3341105.3374008;http:/dx.doi.org/10.1145/3341105.3374008" TargetMode="External"/><Relationship Id="rId118" Type="http://schemas.openxmlformats.org/officeDocument/2006/relationships/hyperlink" Target="https://doi.org/10.1145/3524610.3527874;http:/dx.doi.org/10.1145/3524610.3527874" TargetMode="External"/><Relationship Id="rId139" Type="http://schemas.openxmlformats.org/officeDocument/2006/relationships/hyperlink" Target="https://doi.org/10.1145/3522664.3528599;http:/dx.doi.org/10.1145/3522664.3528599" TargetMode="External"/><Relationship Id="rId85" Type="http://schemas.openxmlformats.org/officeDocument/2006/relationships/hyperlink" Target="https://doi.org/10.1145/3338468.3356829;http:/dx.doi.org/10.1145/3338468.3356829" TargetMode="External"/><Relationship Id="rId150" Type="http://schemas.openxmlformats.org/officeDocument/2006/relationships/hyperlink" Target="https://doi.org/10.1145/3468264.3468553;http:/dx.doi.org/10.1145/3468264.3468553" TargetMode="External"/><Relationship Id="rId171" Type="http://schemas.openxmlformats.org/officeDocument/2006/relationships/hyperlink" Target="https://doi.org/10.1145/3463274.3463335;http:/dx.doi.org/10.1145/3463274.3463335" TargetMode="External"/><Relationship Id="rId192" Type="http://schemas.openxmlformats.org/officeDocument/2006/relationships/hyperlink" Target="https://doi.org/10.1145/3430665.3456386;http:/dx.doi.org/10.1145/3430665.3456386" TargetMode="External"/><Relationship Id="rId206" Type="http://schemas.openxmlformats.org/officeDocument/2006/relationships/hyperlink" Target="https://doi.org/10.1145/3340433.3342825;http:/dx.doi.org/10.1145/3340433.3342825" TargetMode="External"/><Relationship Id="rId227" Type="http://schemas.openxmlformats.org/officeDocument/2006/relationships/hyperlink" Target="https://doi.org/10.1145/3542937;http:/dx.doi.org/10.1145/3542937" TargetMode="External"/><Relationship Id="rId12" Type="http://schemas.openxmlformats.org/officeDocument/2006/relationships/hyperlink" Target="https://doi.org/10.1145/3524843.3528097;http:/dx.doi.org/10.1145/3524843.3528097" TargetMode="External"/><Relationship Id="rId33" Type="http://schemas.openxmlformats.org/officeDocument/2006/relationships/hyperlink" Target="https://doi.org/10.1145/3524843.3528094;http:/dx.doi.org/10.1145/3524843.3528094" TargetMode="External"/><Relationship Id="rId108" Type="http://schemas.openxmlformats.org/officeDocument/2006/relationships/hyperlink" Target="https://doi.org/10.1145/3379597.3387448;http:/dx.doi.org/10.1145/3379597.3387448" TargetMode="External"/><Relationship Id="rId129" Type="http://schemas.openxmlformats.org/officeDocument/2006/relationships/hyperlink" Target="https://doi.org/10.1145/3511430.3511436;http:/dx.doi.org/10.1145/3511430.3511436" TargetMode="External"/><Relationship Id="rId54" Type="http://schemas.openxmlformats.org/officeDocument/2006/relationships/hyperlink" Target="https://doi.org/10.1145/3377814.3381714;http:/dx.doi.org/10.1145/3377814.3381714" TargetMode="External"/><Relationship Id="rId75" Type="http://schemas.openxmlformats.org/officeDocument/2006/relationships/hyperlink" Target="https://doi.org/10.1145/3477314.3507310;http:/dx.doi.org/10.1145/3477314.3507310" TargetMode="External"/><Relationship Id="rId96" Type="http://schemas.openxmlformats.org/officeDocument/2006/relationships/hyperlink" Target="https://doi.org/10.1145/3522664.3528611;http:/dx.doi.org/10.1145/3522664.3528611" TargetMode="External"/><Relationship Id="rId140" Type="http://schemas.openxmlformats.org/officeDocument/2006/relationships/hyperlink" Target="https://doi.org/10.1145/3236024.3236043;http:/dx.doi.org/10.1145/3236024.3236043" TargetMode="External"/><Relationship Id="rId161" Type="http://schemas.openxmlformats.org/officeDocument/2006/relationships/hyperlink" Target="https://doi.org/10.1145/3569934;http:/dx.doi.org/10.1145/3569934" TargetMode="External"/><Relationship Id="rId182" Type="http://schemas.openxmlformats.org/officeDocument/2006/relationships/hyperlink" Target="https://doi.org/10.1109/ICSE.2019.00032;http:/dx.doi.org/10.1109/ICSE.2019.00032" TargetMode="External"/><Relationship Id="rId217" Type="http://schemas.openxmlformats.org/officeDocument/2006/relationships/hyperlink" Target="https://doi.org/10.1145/3426428.3426922;http:/dx.doi.org/10.1145/3426428.3426922" TargetMode="External"/><Relationship Id="rId6" Type="http://schemas.openxmlformats.org/officeDocument/2006/relationships/hyperlink" Target="https://doi.org/10.1109/ICSE43902.2021.00033;http:/dx.doi.org/10.1109/ICSE43902.2021.00033" TargetMode="External"/><Relationship Id="rId238" Type="http://schemas.openxmlformats.org/officeDocument/2006/relationships/hyperlink" Target="https://doi.org/10.1145/3331447;http:/dx.doi.org/10.1145/3331447" TargetMode="External"/><Relationship Id="rId23" Type="http://schemas.openxmlformats.org/officeDocument/2006/relationships/hyperlink" Target="https://doi.org/10.1145/3382494.3410673;http:/dx.doi.org/10.1145/3382494.3410673" TargetMode="External"/><Relationship Id="rId119" Type="http://schemas.openxmlformats.org/officeDocument/2006/relationships/hyperlink" Target="https://doi.org/10.1145/3195555.3195562;http:/dx.doi.org/10.1145/3195555.3195562" TargetMode="External"/><Relationship Id="rId44" Type="http://schemas.openxmlformats.org/officeDocument/2006/relationships/hyperlink" Target="https://doi.org/10.1145/3505243;http:/dx.doi.org/10.1145/3505243" TargetMode="External"/><Relationship Id="rId65" Type="http://schemas.openxmlformats.org/officeDocument/2006/relationships/hyperlink" Target="https://doi.org/10.1145/3196369.3196391;http:/dx.doi.org/10.1145/3196369.3196391" TargetMode="External"/><Relationship Id="rId86" Type="http://schemas.openxmlformats.org/officeDocument/2006/relationships/hyperlink" Target="https://doi.org/10.1145/3510454.3517055;http:/dx.doi.org/10.1145/3510454.3517055" TargetMode="External"/><Relationship Id="rId130" Type="http://schemas.openxmlformats.org/officeDocument/2006/relationships/hyperlink" Target="https://doi.org/10.1109/SEmotion.2019.00014;http:/dx.doi.org/10.1109/SEmotion.2019.00014" TargetMode="External"/><Relationship Id="rId151" Type="http://schemas.openxmlformats.org/officeDocument/2006/relationships/hyperlink" Target="https://doi.org/10.1109/CHASE.2019.00013;http:/dx.doi.org/10.1109/CHASE.2019.00013" TargetMode="External"/><Relationship Id="rId172" Type="http://schemas.openxmlformats.org/officeDocument/2006/relationships/hyperlink" Target="https://doi.org/10.1145/2995272.2995276;http:/dx.doi.org/10.1145/2995272.2995276" TargetMode="External"/><Relationship Id="rId193" Type="http://schemas.openxmlformats.org/officeDocument/2006/relationships/hyperlink" Target="https://doi.org/10.1145/3368089.3417066;http:/dx.doi.org/10.1145/3368089.3417066" TargetMode="External"/><Relationship Id="rId207" Type="http://schemas.openxmlformats.org/officeDocument/2006/relationships/hyperlink" Target="https://doi.org/10.1145/3524842.3527932;http:/dx.doi.org/10.1145/3524842.3527932" TargetMode="External"/><Relationship Id="rId228" Type="http://schemas.openxmlformats.org/officeDocument/2006/relationships/hyperlink" Target="https://doi.org/10.1145/3491140.3528278;http:/dx.doi.org/10.1145/3491140.3528278" TargetMode="External"/><Relationship Id="rId13" Type="http://schemas.openxmlformats.org/officeDocument/2006/relationships/hyperlink" Target="https://doi.org/10.1145/3544902.3546245;http:/dx.doi.org/10.1145/3544902.3546245" TargetMode="External"/><Relationship Id="rId109" Type="http://schemas.openxmlformats.org/officeDocument/2006/relationships/hyperlink" Target="https://doi.org/10.1145/3510457.3513041;http:/dx.doi.org/10.1145/3510457.3513041" TargetMode="External"/><Relationship Id="rId34" Type="http://schemas.openxmlformats.org/officeDocument/2006/relationships/hyperlink" Target="https://doi.org/10.1145/3524843.3528093;http:/dx.doi.org/10.1145/3524843.3528093" TargetMode="External"/><Relationship Id="rId55" Type="http://schemas.openxmlformats.org/officeDocument/2006/relationships/hyperlink" Target="https://doi.org/10.1109/SER-IP.2017..5;http:/dx.doi.org/10.1109/SER-IP.2017..5" TargetMode="External"/><Relationship Id="rId76" Type="http://schemas.openxmlformats.org/officeDocument/2006/relationships/hyperlink" Target="https://doi.org/10.1145/2857218.2857224;http:/dx.doi.org/10.1145/2857218.2857224" TargetMode="External"/><Relationship Id="rId97" Type="http://schemas.openxmlformats.org/officeDocument/2006/relationships/hyperlink" Target="https://doi.org/10.1109/TechDebt.2019.00027;http:/dx.doi.org/10.1109/TechDebt.2019.00027" TargetMode="External"/><Relationship Id="rId120" Type="http://schemas.openxmlformats.org/officeDocument/2006/relationships/hyperlink" Target="https://doi.org/10.1109/MSR.2019.00054;http:/dx.doi.org/10.1109/MSR.2019.00054" TargetMode="External"/><Relationship Id="rId141" Type="http://schemas.openxmlformats.org/officeDocument/2006/relationships/hyperlink" Target="https://doi.org/10.1145/3338468.3356825;http:/dx.doi.org/10.1145/3338468.3356825" TargetMode="External"/><Relationship Id="rId7" Type="http://schemas.openxmlformats.org/officeDocument/2006/relationships/hyperlink" Target="https://doi.org/10.1145/3127360.3127372;http:/dx.doi.org/10.1145/3127360.3127372" TargetMode="External"/><Relationship Id="rId162" Type="http://schemas.openxmlformats.org/officeDocument/2006/relationships/hyperlink" Target="https://doi.org/10.1145/3140549.3140553;http:/dx.doi.org/10.1145/3140549.3140553" TargetMode="External"/><Relationship Id="rId183" Type="http://schemas.openxmlformats.org/officeDocument/2006/relationships/hyperlink" Target="https://doi.org/10.1145/3283812.3283820;http:/dx.doi.org/10.1145/3283812.3283820" TargetMode="External"/><Relationship Id="rId218" Type="http://schemas.openxmlformats.org/officeDocument/2006/relationships/hyperlink" Target="https://doi.org/10.1145/3387904.3389280;http:/dx.doi.org/10.1145/3387904.3389280" TargetMode="External"/><Relationship Id="rId239" Type="http://schemas.openxmlformats.org/officeDocument/2006/relationships/hyperlink" Target="https://doi.org/10.1145/3569931;http:/dx.doi.org/10.1145/3569931" TargetMode="External"/><Relationship Id="rId24" Type="http://schemas.openxmlformats.org/officeDocument/2006/relationships/hyperlink" Target="https://doi.org/10.1145/3539783;http:/dx.doi.org/10.1145/3539783" TargetMode="External"/><Relationship Id="rId45" Type="http://schemas.openxmlformats.org/officeDocument/2006/relationships/hyperlink" Target="https://doi.org/10.1145/3275245.3275248;http:/dx.doi.org/10.1145/3275245.3275248" TargetMode="External"/><Relationship Id="rId66" Type="http://schemas.openxmlformats.org/officeDocument/2006/relationships/hyperlink" Target="https://doi.org/10.1145/3472674.3473978;http:/dx.doi.org/10.1145/3472674.3473978" TargetMode="External"/><Relationship Id="rId87" Type="http://schemas.openxmlformats.org/officeDocument/2006/relationships/hyperlink" Target="https://doi.org/10.1145/3558489.3559069;http:/dx.doi.org/10.1145/3558489.3559069" TargetMode="External"/><Relationship Id="rId110" Type="http://schemas.openxmlformats.org/officeDocument/2006/relationships/hyperlink" Target="https://doi.org/10.1145/3474370.3485659;http:/dx.doi.org/10.1145/3474370.3485659" TargetMode="External"/><Relationship Id="rId131" Type="http://schemas.openxmlformats.org/officeDocument/2006/relationships/hyperlink" Target="https://doi.org/10.1145/3494519;http:/dx.doi.org/10.1145/3494519" TargetMode="External"/><Relationship Id="rId152" Type="http://schemas.openxmlformats.org/officeDocument/2006/relationships/hyperlink" Target="https://doi.org/10.1145/2995272.2995274;http:/dx.doi.org/10.1145/2995272.2995274" TargetMode="External"/><Relationship Id="rId173" Type="http://schemas.openxmlformats.org/officeDocument/2006/relationships/hyperlink" Target="https://doi.org/10.1145/3434280;http:/dx.doi.org/10.1145/3434280" TargetMode="External"/><Relationship Id="rId194" Type="http://schemas.openxmlformats.org/officeDocument/2006/relationships/hyperlink" Target="https://doi.org/10.1145/3524842.3528032;http:/dx.doi.org/10.1145/3524842.3528032" TargetMode="External"/><Relationship Id="rId208" Type="http://schemas.openxmlformats.org/officeDocument/2006/relationships/hyperlink" Target="https://doi.org/10.1145/3467896;http:/dx.doi.org/10.1145/3467896" TargetMode="External"/><Relationship Id="rId229" Type="http://schemas.openxmlformats.org/officeDocument/2006/relationships/hyperlink" Target="https://doi.org/10.1145/3531146.3533158;http:/dx.doi.org/10.1145/3531146.3533158" TargetMode="External"/><Relationship Id="rId240" Type="http://schemas.openxmlformats.org/officeDocument/2006/relationships/hyperlink" Target="https://doi.org/10.1145/3502724;http:/dx.doi.org/10.1145/3502724" TargetMode="External"/><Relationship Id="rId14" Type="http://schemas.openxmlformats.org/officeDocument/2006/relationships/hyperlink" Target="https://doi.org/10.1109/ICSE-SEIP.2019.00042;http:/dx.doi.org/10.1109/ICSE-SEIP.2019.00042" TargetMode="External"/><Relationship Id="rId35" Type="http://schemas.openxmlformats.org/officeDocument/2006/relationships/hyperlink" Target="https://doi.org/10.1145/3196398.3196423;http:/dx.doi.org/10.1145/3196398.3196423" TargetMode="External"/><Relationship Id="rId56" Type="http://schemas.openxmlformats.org/officeDocument/2006/relationships/hyperlink" Target="https://doi.org/10.1109/ICSE-Companion52605.2021.00124;http:/dx.doi.org/10.1109/ICSE-Companion52605.2021.00124" TargetMode="External"/><Relationship Id="rId77" Type="http://schemas.openxmlformats.org/officeDocument/2006/relationships/hyperlink" Target="https://doi.org/10.1145/3524843.3528099;http:/dx.doi.org/10.1145/3524843.3528099" TargetMode="External"/><Relationship Id="rId100" Type="http://schemas.openxmlformats.org/officeDocument/2006/relationships/hyperlink" Target="https://doi.org/10.1145/3183519.3183529;http:/dx.doi.org/10.1145/3183519.3183529" TargetMode="External"/><Relationship Id="rId8" Type="http://schemas.openxmlformats.org/officeDocument/2006/relationships/hyperlink" Target="https://doi.org/10.1145/2894784.2894800;http:/dx.doi.org/10.1145/2894784.2894800" TargetMode="External"/><Relationship Id="rId98" Type="http://schemas.openxmlformats.org/officeDocument/2006/relationships/hyperlink" Target="https://doi.org/10.1145/3510455.3512773;http:/dx.doi.org/10.1145/3510455.3512773" TargetMode="External"/><Relationship Id="rId121" Type="http://schemas.openxmlformats.org/officeDocument/2006/relationships/hyperlink" Target="https://doi.org/10.1145/3196398.3196440;http:/dx.doi.org/10.1145/3196398.3196440" TargetMode="External"/><Relationship Id="rId142" Type="http://schemas.openxmlformats.org/officeDocument/2006/relationships/hyperlink" Target="https://doi.org/10.1145/2896941.2896954;http:/dx.doi.org/10.1145/2896941.2896954" TargetMode="External"/><Relationship Id="rId163" Type="http://schemas.openxmlformats.org/officeDocument/2006/relationships/hyperlink" Target="https://doi.org/10.1145/3313151.3313166;http:/dx.doi.org/10.1145/3313151.3313166" TargetMode="External"/><Relationship Id="rId184" Type="http://schemas.openxmlformats.org/officeDocument/2006/relationships/hyperlink" Target="https://doi.org/10.1145/3377811.3380378;http:/dx.doi.org/10.1145/3377811.3380378" TargetMode="External"/><Relationship Id="rId219" Type="http://schemas.openxmlformats.org/officeDocument/2006/relationships/hyperlink" Target="https://doi.org/10.1145/3234152.3234153;http:/dx.doi.org/10.1145/3234152.3234153" TargetMode="External"/><Relationship Id="rId230" Type="http://schemas.openxmlformats.org/officeDocument/2006/relationships/hyperlink" Target="https://doi.org/10.1145/3173574.3173606;http:/dx.doi.org/10.1145/3173574.3173606" TargetMode="External"/><Relationship Id="rId25" Type="http://schemas.openxmlformats.org/officeDocument/2006/relationships/hyperlink" Target="https://doi.org/10.1109/TechDebt.2019.00028;http:/dx.doi.org/10.1109/TechDebt.2019.00028" TargetMode="External"/><Relationship Id="rId46" Type="http://schemas.openxmlformats.org/officeDocument/2006/relationships/hyperlink" Target="https://doi.org/10.1145/3387906.3388618;http:/dx.doi.org/10.1145/3387906.3388618" TargetMode="External"/><Relationship Id="rId67" Type="http://schemas.openxmlformats.org/officeDocument/2006/relationships/hyperlink" Target="https://doi.org/10.1145/3463274.3463325;http:/dx.doi.org/10.1145/3463274.3463325" TargetMode="External"/><Relationship Id="rId88" Type="http://schemas.openxmlformats.org/officeDocument/2006/relationships/hyperlink" Target="https://doi.org/10.1145/3183440.3183460;http:/dx.doi.org/10.1145/3183440.3183460" TargetMode="External"/><Relationship Id="rId111" Type="http://schemas.openxmlformats.org/officeDocument/2006/relationships/hyperlink" Target="https://doi.org/10.1145/3372787.3390439;http:/dx.doi.org/10.1145/3372787.3390439" TargetMode="External"/><Relationship Id="rId132" Type="http://schemas.openxmlformats.org/officeDocument/2006/relationships/hyperlink" Target="https://doi.org/10.1145/3375572.3375582;http:/dx.doi.org/10.1145/3375572.3375582" TargetMode="External"/><Relationship Id="rId153" Type="http://schemas.openxmlformats.org/officeDocument/2006/relationships/hyperlink" Target="https://doi.org/10.1145/3351095.3372873;http:/dx.doi.org/10.1145/3351095.3372873" TargetMode="External"/><Relationship Id="rId174" Type="http://schemas.openxmlformats.org/officeDocument/2006/relationships/hyperlink" Target="https://doi.org/10.1145/1852786.1852797;http:/dx.doi.org/10.1145/1852786.1852797" TargetMode="External"/><Relationship Id="rId195" Type="http://schemas.openxmlformats.org/officeDocument/2006/relationships/hyperlink" Target="https://doi.org/10.1145/3512945;http:/dx.doi.org/10.1145/3512945" TargetMode="External"/><Relationship Id="rId209" Type="http://schemas.openxmlformats.org/officeDocument/2006/relationships/hyperlink" Target="https://doi.org/10.1145/2663474.2663479;http:/dx.doi.org/10.1145/2663474.2663479" TargetMode="External"/><Relationship Id="rId190" Type="http://schemas.openxmlformats.org/officeDocument/2006/relationships/hyperlink" Target="https://doi.org/10.1145/3338906.3338965;http:/dx.doi.org/10.1145/3338906.3338965" TargetMode="External"/><Relationship Id="rId204" Type="http://schemas.openxmlformats.org/officeDocument/2006/relationships/hyperlink" Target="https://doi.org/10.1145/3475716.3475784;http:/dx.doi.org/10.1145/3475716.3475784" TargetMode="External"/><Relationship Id="rId220" Type="http://schemas.openxmlformats.org/officeDocument/2006/relationships/hyperlink" Target="https://doi.org/10.1145/3411764.3445518;http:/dx.doi.org/10.1145/3411764.3445518" TargetMode="External"/><Relationship Id="rId225" Type="http://schemas.openxmlformats.org/officeDocument/2006/relationships/hyperlink" Target="https://doi.org/10.1145/3529318;http:/dx.doi.org/10.1145/3529318" TargetMode="External"/><Relationship Id="rId15" Type="http://schemas.openxmlformats.org/officeDocument/2006/relationships/hyperlink" Target="https://doi.org/10.1145/3387906.3388630;http:/dx.doi.org/10.1145/3387906.3388630" TargetMode="External"/><Relationship Id="rId36" Type="http://schemas.openxmlformats.org/officeDocument/2006/relationships/hyperlink" Target="https://doi.org/10.1109/TechDebt.2019.00018;http:/dx.doi.org/10.1109/TechDebt.2019.00018" TargetMode="External"/><Relationship Id="rId57" Type="http://schemas.openxmlformats.org/officeDocument/2006/relationships/hyperlink" Target="https://doi.org/10.1145/2666581.2666583;http:/dx.doi.org/10.1145/2666581.2666583" TargetMode="External"/><Relationship Id="rId106" Type="http://schemas.openxmlformats.org/officeDocument/2006/relationships/hyperlink" Target="https://doi.org/10.1109/ICSE43902.2021.00125;http:/dx.doi.org/10.1109/ICSE43902.2021.00125" TargetMode="External"/><Relationship Id="rId127" Type="http://schemas.openxmlformats.org/officeDocument/2006/relationships/hyperlink" Target="https://doi.org/10.1109/ESEM.2017.12;http:/dx.doi.org/10.1109/ESEM.2017.12" TargetMode="External"/><Relationship Id="rId10" Type="http://schemas.openxmlformats.org/officeDocument/2006/relationships/hyperlink" Target="https://doi.org/10.1145/3540250.3549088;http:/dx.doi.org/10.1145/3540250.3549088" TargetMode="External"/><Relationship Id="rId31" Type="http://schemas.openxmlformats.org/officeDocument/2006/relationships/hyperlink" Target="https://doi.org/10.1145/3387906.3388623;http:/dx.doi.org/10.1145/3387906.3388623" TargetMode="External"/><Relationship Id="rId52" Type="http://schemas.openxmlformats.org/officeDocument/2006/relationships/hyperlink" Target="https://doi.org/10.1145/3377815.3381377;http:/dx.doi.org/10.1145/3377815.3381377" TargetMode="External"/><Relationship Id="rId73" Type="http://schemas.openxmlformats.org/officeDocument/2006/relationships/hyperlink" Target="https://doi.org/10.1145/3475965.3479315;http:/dx.doi.org/10.1145/3475965.3479315" TargetMode="External"/><Relationship Id="rId78" Type="http://schemas.openxmlformats.org/officeDocument/2006/relationships/hyperlink" Target="https://doi.org/10.1109/ASE51524.2021.9678532;http:/dx.doi.org/10.1109/ASE51524.2021.9678532" TargetMode="External"/><Relationship Id="rId94" Type="http://schemas.openxmlformats.org/officeDocument/2006/relationships/hyperlink" Target="https://doi.org/10.1145/3416505.3423559;http:/dx.doi.org/10.1145/3416505.3423559" TargetMode="External"/><Relationship Id="rId99" Type="http://schemas.openxmlformats.org/officeDocument/2006/relationships/hyperlink" Target="https://doi.org/10.1145/2684822.2697045;http:/dx.doi.org/10.1145/2684822.2697045" TargetMode="External"/><Relationship Id="rId101" Type="http://schemas.openxmlformats.org/officeDocument/2006/relationships/hyperlink" Target="https://doi.org/10.1145/3551349.3556918;http:/dx.doi.org/10.1145/3551349.3556918" TargetMode="External"/><Relationship Id="rId122" Type="http://schemas.openxmlformats.org/officeDocument/2006/relationships/hyperlink" Target="https://doi.org/10.1145/3358502.3361270;http:/dx.doi.org/10.1145/3358502.3361270" TargetMode="External"/><Relationship Id="rId143" Type="http://schemas.openxmlformats.org/officeDocument/2006/relationships/hyperlink" Target="https://doi.org/10.1145/3464970.3468413;http:/dx.doi.org/10.1145/3464970.3468413" TargetMode="External"/><Relationship Id="rId148" Type="http://schemas.openxmlformats.org/officeDocument/2006/relationships/hyperlink" Target="https://doi.org/10.1145/3522664.3528612;http:/dx.doi.org/10.1145/3522664.3528612" TargetMode="External"/><Relationship Id="rId164" Type="http://schemas.openxmlformats.org/officeDocument/2006/relationships/hyperlink" Target="https://doi.org/10.1145/3540250.3549145;http:/dx.doi.org/10.1145/3540250.3549145" TargetMode="External"/><Relationship Id="rId169" Type="http://schemas.openxmlformats.org/officeDocument/2006/relationships/hyperlink" Target="https://doi.org/10.1109/ASE51524.2021.9678704;http:/dx.doi.org/10.1109/ASE51524.2021.9678704" TargetMode="External"/><Relationship Id="rId185" Type="http://schemas.openxmlformats.org/officeDocument/2006/relationships/hyperlink" Target="https://doi.org/10.1109/ICSE43902.2021.00134;http:/dx.doi.org/10.1109/ICSE43902.2021.00134" TargetMode="External"/><Relationship Id="rId4" Type="http://schemas.openxmlformats.org/officeDocument/2006/relationships/hyperlink" Target="https://doi.org/10.1145/2901739.2901754;http:/dx.doi.org/10.1145/2901739.2901754" TargetMode="External"/><Relationship Id="rId9" Type="http://schemas.openxmlformats.org/officeDocument/2006/relationships/hyperlink" Target="https://doi.org/10.1145/3194164.3194168;http:/dx.doi.org/10.1145/3194164.3194168" TargetMode="External"/><Relationship Id="rId180" Type="http://schemas.openxmlformats.org/officeDocument/2006/relationships/hyperlink" Target="https://doi.org/10.1109/ICSE-SEIP.2019.00009;http:/dx.doi.org/10.1109/ICSE-SEIP.2019.00009" TargetMode="External"/><Relationship Id="rId210" Type="http://schemas.openxmlformats.org/officeDocument/2006/relationships/hyperlink" Target="https://doi.org/10.1145/3419604.3419809;http:/dx.doi.org/10.1145/3419604.3419809" TargetMode="External"/><Relationship Id="rId215" Type="http://schemas.openxmlformats.org/officeDocument/2006/relationships/hyperlink" Target="https://doi.org/10.1145/3524610.3527901;http:/dx.doi.org/10.1145/3524610.3527901" TargetMode="External"/><Relationship Id="rId236" Type="http://schemas.openxmlformats.org/officeDocument/2006/relationships/hyperlink" Target="https://doi.org/10.14778/3415478.3415570;http:/dx.doi.org/10.14778/3415478.3415570" TargetMode="External"/><Relationship Id="rId26" Type="http://schemas.openxmlformats.org/officeDocument/2006/relationships/hyperlink" Target="https://doi.org/10.1145/3512753.3512755;http:/dx.doi.org/10.1145/3512753.3512755" TargetMode="External"/><Relationship Id="rId231" Type="http://schemas.openxmlformats.org/officeDocument/2006/relationships/hyperlink" Target="https://doi.org/10.1145/3347092;http:/dx.doi.org/10.1145/3347092" TargetMode="External"/><Relationship Id="rId47" Type="http://schemas.openxmlformats.org/officeDocument/2006/relationships/hyperlink" Target="https://doi.org/10.1145/3487043;http:/dx.doi.org/10.1145/3487043" TargetMode="External"/><Relationship Id="rId68" Type="http://schemas.openxmlformats.org/officeDocument/2006/relationships/hyperlink" Target="https://doi.org/10.1109/ASE51524.2021.9678680;http:/dx.doi.org/10.1109/ASE51524.2021.9678680" TargetMode="External"/><Relationship Id="rId89" Type="http://schemas.openxmlformats.org/officeDocument/2006/relationships/hyperlink" Target="https://doi.org/10.1145/3379177.3388892;http:/dx.doi.org/10.1145/3379177.3388892" TargetMode="External"/><Relationship Id="rId112" Type="http://schemas.openxmlformats.org/officeDocument/2006/relationships/hyperlink" Target="https://doi.org/10.1145/3468264.3473928;http:/dx.doi.org/10.1145/3468264.3473928" TargetMode="External"/><Relationship Id="rId133" Type="http://schemas.openxmlformats.org/officeDocument/2006/relationships/hyperlink" Target="https://doi.org/10.1145/3236024.3236081;http:/dx.doi.org/10.1145/3236024.3236081" TargetMode="External"/><Relationship Id="rId154" Type="http://schemas.openxmlformats.org/officeDocument/2006/relationships/hyperlink" Target="https://doi.org/10.1145/3339985.3358491;http:/dx.doi.org/10.1145/3339985.3358491" TargetMode="External"/><Relationship Id="rId175" Type="http://schemas.openxmlformats.org/officeDocument/2006/relationships/hyperlink" Target="https://doi.org/10.1109/ICPC.2019.00019;http:/dx.doi.org/10.1109/ICPC.2019.00019" TargetMode="External"/><Relationship Id="rId196" Type="http://schemas.openxmlformats.org/officeDocument/2006/relationships/hyperlink" Target="https://doi.org/10.1145/3196398.3196410;http:/dx.doi.org/10.1145/3196398.3196410" TargetMode="External"/><Relationship Id="rId200" Type="http://schemas.openxmlformats.org/officeDocument/2006/relationships/hyperlink" Target="https://doi.org/10.1109/ICSE.2019.00117;http:/dx.doi.org/10.1109/ICSE.2019.00117" TargetMode="External"/><Relationship Id="rId16" Type="http://schemas.openxmlformats.org/officeDocument/2006/relationships/hyperlink" Target="https://doi.org/10.1109/TechDebt.2019.00025;http:/dx.doi.org/10.1109/TechDebt.2019.00025" TargetMode="External"/><Relationship Id="rId221" Type="http://schemas.openxmlformats.org/officeDocument/2006/relationships/hyperlink" Target="https://doi.org/10.1145/3404663.3404665;http:/dx.doi.org/10.1145/3404663.3404665" TargetMode="External"/><Relationship Id="rId37" Type="http://schemas.openxmlformats.org/officeDocument/2006/relationships/hyperlink" Target="https://doi.org/10.1145/3196398.3196448;http:/dx.doi.org/10.1145/3196398.3196448" TargetMode="External"/><Relationship Id="rId58" Type="http://schemas.openxmlformats.org/officeDocument/2006/relationships/hyperlink" Target="https://doi.org/10.1145/3340482.3342744;http:/dx.doi.org/10.1145/3340482.3342744" TargetMode="External"/><Relationship Id="rId79" Type="http://schemas.openxmlformats.org/officeDocument/2006/relationships/hyperlink" Target="https://doi.org/10.1145/3324884.3416583;http:/dx.doi.org/10.1145/3324884.3416583" TargetMode="External"/><Relationship Id="rId102" Type="http://schemas.openxmlformats.org/officeDocument/2006/relationships/hyperlink" Target="https://doi.org/10.1145/2972958.2972959;http:/dx.doi.org/10.1145/2972958.2972959" TargetMode="External"/><Relationship Id="rId123" Type="http://schemas.openxmlformats.org/officeDocument/2006/relationships/hyperlink" Target="https://doi.org/10.1145/3474370.3485655;http:/dx.doi.org/10.1145/3474370.3485655" TargetMode="External"/><Relationship Id="rId144" Type="http://schemas.openxmlformats.org/officeDocument/2006/relationships/hyperlink" Target="https://doi.org/10.1145/2889160.2889211;http:/dx.doi.org/10.1145/2889160.2889211" TargetMode="External"/><Relationship Id="rId90" Type="http://schemas.openxmlformats.org/officeDocument/2006/relationships/hyperlink" Target="https://doi.org/10.1145/3474370.3485661;http:/dx.doi.org/10.1145/3474370.3485661" TargetMode="External"/><Relationship Id="rId165" Type="http://schemas.openxmlformats.org/officeDocument/2006/relationships/hyperlink" Target="https://doi.org/10.1145/3560828.3564010;http:/dx.doi.org/10.1145/3560828.3564010" TargetMode="External"/><Relationship Id="rId186" Type="http://schemas.openxmlformats.org/officeDocument/2006/relationships/hyperlink" Target="https://doi.org/10.1145/2851613.2851786;http:/dx.doi.org/10.1145/2851613.2851786" TargetMode="External"/><Relationship Id="rId211" Type="http://schemas.openxmlformats.org/officeDocument/2006/relationships/hyperlink" Target="https://doi.org/10.1145/3411496.3421225;http:/dx.doi.org/10.1145/3411496.3421225" TargetMode="External"/><Relationship Id="rId232" Type="http://schemas.openxmlformats.org/officeDocument/2006/relationships/hyperlink" Target="https://doi.org/10.1145/3442188.3445935;http:/dx.doi.org/10.1145/3442188.3445935" TargetMode="External"/><Relationship Id="rId27" Type="http://schemas.openxmlformats.org/officeDocument/2006/relationships/hyperlink" Target="https://doi.org/10.1145/3544902.3546637;http:/dx.doi.org/10.1145/3544902.3546637" TargetMode="External"/><Relationship Id="rId48" Type="http://schemas.openxmlformats.org/officeDocument/2006/relationships/hyperlink" Target="https://doi.org/10.1145/3183440.3183478;http:/dx.doi.org/10.1145/3183440.3183478" TargetMode="External"/><Relationship Id="rId69" Type="http://schemas.openxmlformats.org/officeDocument/2006/relationships/hyperlink" Target="https://doi.org/10.1145/3477535;http:/dx.doi.org/10.1145/3477535" TargetMode="External"/><Relationship Id="rId113" Type="http://schemas.openxmlformats.org/officeDocument/2006/relationships/hyperlink" Target="https://doi.org/10.1145/3194095.3194096;http:/dx.doi.org/10.1145/3194095.3194096" TargetMode="External"/><Relationship Id="rId134" Type="http://schemas.openxmlformats.org/officeDocument/2006/relationships/hyperlink" Target="https://doi.org/10.1145/3324884.3416573;http:/dx.doi.org/10.1145/3324884.3416573" TargetMode="External"/><Relationship Id="rId80" Type="http://schemas.openxmlformats.org/officeDocument/2006/relationships/hyperlink" Target="https://doi.org/10.1145/3453478;http:/dx.doi.org/10.1145/3453478" TargetMode="External"/><Relationship Id="rId155" Type="http://schemas.openxmlformats.org/officeDocument/2006/relationships/hyperlink" Target="https://doi.org/10.14778/3436905.3436925;http:/dx.doi.org/10.14778/3436905.3436925" TargetMode="External"/><Relationship Id="rId176" Type="http://schemas.openxmlformats.org/officeDocument/2006/relationships/hyperlink" Target="https://doi.org/10.1145/3368089.3417941;http:/dx.doi.org/10.1145/3368089.3417941" TargetMode="External"/><Relationship Id="rId197" Type="http://schemas.openxmlformats.org/officeDocument/2006/relationships/hyperlink" Target="https://doi.org/10.1145/3471930;http:/dx.doi.org/10.1145/3471930" TargetMode="External"/><Relationship Id="rId201" Type="http://schemas.openxmlformats.org/officeDocument/2006/relationships/hyperlink" Target="https://doi.org/10.1145/3180155.3180192;http:/dx.doi.org/10.1145/3180155.3180192" TargetMode="External"/><Relationship Id="rId222" Type="http://schemas.openxmlformats.org/officeDocument/2006/relationships/hyperlink" Target="https://doi.org/10.1145/3512934;http:/dx.doi.org/10.1145/3512934" TargetMode="External"/><Relationship Id="rId17" Type="http://schemas.openxmlformats.org/officeDocument/2006/relationships/hyperlink" Target="https://doi.org/10.1145/3377812.3381396;http:/dx.doi.org/10.1145/3377812.3381396" TargetMode="External"/><Relationship Id="rId38" Type="http://schemas.openxmlformats.org/officeDocument/2006/relationships/hyperlink" Target="https://doi.org/10.1145/3442188.3445918;http:/dx.doi.org/10.1145/3442188.3445918" TargetMode="External"/><Relationship Id="rId59" Type="http://schemas.openxmlformats.org/officeDocument/2006/relationships/hyperlink" Target="https://doi.org/10.1145/3410352.3410730;http:/dx.doi.org/10.1145/3410352.3410730" TargetMode="External"/><Relationship Id="rId103" Type="http://schemas.openxmlformats.org/officeDocument/2006/relationships/hyperlink" Target="https://doi.org/10.1145/3559712.3559720;http:/dx.doi.org/10.1145/3559712.3559720" TargetMode="External"/><Relationship Id="rId124" Type="http://schemas.openxmlformats.org/officeDocument/2006/relationships/hyperlink" Target="https://doi.org/10.1145/3534678.3539059;http:/dx.doi.org/10.1145/3534678.3539059" TargetMode="External"/><Relationship Id="rId70" Type="http://schemas.openxmlformats.org/officeDocument/2006/relationships/hyperlink" Target="https://doi.org/10.1145/3347269;http:/dx.doi.org/10.1145/3347269" TargetMode="External"/><Relationship Id="rId91" Type="http://schemas.openxmlformats.org/officeDocument/2006/relationships/hyperlink" Target="https://doi.org/10.1109/TechDebt.2019.00015;http:/dx.doi.org/10.1109/TechDebt.2019.00015" TargetMode="External"/><Relationship Id="rId145" Type="http://schemas.openxmlformats.org/officeDocument/2006/relationships/hyperlink" Target="https://doi.org/10.1145/3472674.3473981;http:/dx.doi.org/10.1145/3472674.3473981" TargetMode="External"/><Relationship Id="rId166" Type="http://schemas.openxmlformats.org/officeDocument/2006/relationships/hyperlink" Target="https://doi.org/10.1145/3377811.3380342;http:/dx.doi.org/10.1145/3377811.3380342" TargetMode="External"/><Relationship Id="rId187" Type="http://schemas.openxmlformats.org/officeDocument/2006/relationships/hyperlink" Target="https://doi.org/10.1145/3338468.3356828;http:/dx.doi.org/10.1145/3338468.3356828" TargetMode="External"/><Relationship Id="rId1" Type="http://schemas.openxmlformats.org/officeDocument/2006/relationships/hyperlink" Target="https://doi.org/10.1145/3377812.3381404;http:/dx.doi.org/10.1145/3377812.3381404" TargetMode="External"/><Relationship Id="rId212" Type="http://schemas.openxmlformats.org/officeDocument/2006/relationships/hyperlink" Target="https://doi.org/10.1145/3555803;http:/dx.doi.org/10.1145/3555803" TargetMode="External"/><Relationship Id="rId233" Type="http://schemas.openxmlformats.org/officeDocument/2006/relationships/hyperlink" Target="https://doi.org/10.1145/3579643;http:/dx.doi.org/10.1145/3579643" TargetMode="External"/><Relationship Id="rId28" Type="http://schemas.openxmlformats.org/officeDocument/2006/relationships/hyperlink" Target="https://doi.org/10.1145/3382494.3410681;http:/dx.doi.org/10.1145/3382494.3410681" TargetMode="External"/><Relationship Id="rId49" Type="http://schemas.openxmlformats.org/officeDocument/2006/relationships/hyperlink" Target="https://doi.org/10.1145/3549034.3561178;http:/dx.doi.org/10.1145/3549034.3561178" TargetMode="External"/><Relationship Id="rId114" Type="http://schemas.openxmlformats.org/officeDocument/2006/relationships/hyperlink" Target="https://doi.org/10.1145/3522664.3528590;http:/dx.doi.org/10.1145/3522664.3528590" TargetMode="External"/><Relationship Id="rId60" Type="http://schemas.openxmlformats.org/officeDocument/2006/relationships/hyperlink" Target="https://doi.org/10.1145/3475167;http:/dx.doi.org/10.1145/3475167" TargetMode="External"/><Relationship Id="rId81" Type="http://schemas.openxmlformats.org/officeDocument/2006/relationships/hyperlink" Target="https://doi.org/10.1145/3463274.3463360;http:/dx.doi.org/10.1145/3463274.3463360" TargetMode="External"/><Relationship Id="rId135" Type="http://schemas.openxmlformats.org/officeDocument/2006/relationships/hyperlink" Target="https://doi.org/10.1109/ASE.2019.00065;http:/dx.doi.org/10.1109/ASE.2019.00065" TargetMode="External"/><Relationship Id="rId156" Type="http://schemas.openxmlformats.org/officeDocument/2006/relationships/hyperlink" Target="https://doi.org/10.1145/3368089.3409709;http:/dx.doi.org/10.1145/3368089.3409709" TargetMode="External"/><Relationship Id="rId177" Type="http://schemas.openxmlformats.org/officeDocument/2006/relationships/hyperlink" Target="https://doi.org/10.1109/ICPC.2017.38;http:/dx.doi.org/10.1109/ICPC.2017.38" TargetMode="External"/><Relationship Id="rId198" Type="http://schemas.openxmlformats.org/officeDocument/2006/relationships/hyperlink" Target="https://doi.org/10.1109/AST.2017.3;http:/dx.doi.org/10.1109/AST.2017.3" TargetMode="External"/><Relationship Id="rId202" Type="http://schemas.openxmlformats.org/officeDocument/2006/relationships/hyperlink" Target="https://doi.org/10.1145/3533767.3534375;http:/dx.doi.org/10.1145/3533767.3534375" TargetMode="External"/><Relationship Id="rId223" Type="http://schemas.openxmlformats.org/officeDocument/2006/relationships/hyperlink" Target="https://doi.org/10.1145/3316776;http:/dx.doi.org/10.1145/3316776" TargetMode="External"/><Relationship Id="rId18" Type="http://schemas.openxmlformats.org/officeDocument/2006/relationships/hyperlink" Target="https://doi.org/10.1109/TechDebt.2019.00029;http:/dx.doi.org/10.1109/TechDebt.2019.00029" TargetMode="External"/><Relationship Id="rId39" Type="http://schemas.openxmlformats.org/officeDocument/2006/relationships/hyperlink" Target="https://doi.org/10.1145/3503509;http:/dx.doi.org/10.1145/3503509" TargetMode="External"/><Relationship Id="rId50" Type="http://schemas.openxmlformats.org/officeDocument/2006/relationships/hyperlink" Target="https://doi.org/10.1145/3340435.3342718;http:/dx.doi.org/10.1145/3340435.3342718" TargetMode="External"/><Relationship Id="rId104" Type="http://schemas.openxmlformats.org/officeDocument/2006/relationships/hyperlink" Target="https://doi.org/10.1109/ICSE-NIER.2019.00037;http:/dx.doi.org/10.1109/ICSE-NIER.2019.00037" TargetMode="External"/><Relationship Id="rId125" Type="http://schemas.openxmlformats.org/officeDocument/2006/relationships/hyperlink" Target="https://doi.org/10.1145/3524842.3528458;http:/dx.doi.org/10.1145/3524842.3528458" TargetMode="External"/><Relationship Id="rId146" Type="http://schemas.openxmlformats.org/officeDocument/2006/relationships/hyperlink" Target="https://doi.org/10.1145/3197231.3198444;http:/dx.doi.org/10.1145/3197231.3198444" TargetMode="External"/><Relationship Id="rId167" Type="http://schemas.openxmlformats.org/officeDocument/2006/relationships/hyperlink" Target="https://doi.org/10.1145/3576036;http:/dx.doi.org/10.1145/3576036" TargetMode="External"/><Relationship Id="rId188" Type="http://schemas.openxmlformats.org/officeDocument/2006/relationships/hyperlink" Target="https://doi.org/10.1145/2884781.2884825;http:/dx.doi.org/10.1145/2884781.2884825" TargetMode="External"/><Relationship Id="rId71" Type="http://schemas.openxmlformats.org/officeDocument/2006/relationships/hyperlink" Target="https://doi.org/10.1145/2903220.2903223;http:/dx.doi.org/10.1145/2903220.2903223" TargetMode="External"/><Relationship Id="rId92" Type="http://schemas.openxmlformats.org/officeDocument/2006/relationships/hyperlink" Target="https://doi.org/10.1145/3447247;http:/dx.doi.org/10.1145/3447247" TargetMode="External"/><Relationship Id="rId213" Type="http://schemas.openxmlformats.org/officeDocument/2006/relationships/hyperlink" Target="https://doi.org/10.1145/3551624.3555286;http:/dx.doi.org/10.1145/3551624.3555286" TargetMode="External"/><Relationship Id="rId234" Type="http://schemas.openxmlformats.org/officeDocument/2006/relationships/hyperlink" Target="https://doi.org/10.1145/3551783.3551786;http:/dx.doi.org/10.1145/3551783.3551786" TargetMode="External"/><Relationship Id="rId2" Type="http://schemas.openxmlformats.org/officeDocument/2006/relationships/hyperlink" Target="https://doi.org/10.1145/3463274.3464455;http:/dx.doi.org/10.1145/3463274.3464455" TargetMode="External"/><Relationship Id="rId29" Type="http://schemas.openxmlformats.org/officeDocument/2006/relationships/hyperlink" Target="https://doi.org/10.1145/3324916;http:/dx.doi.org/10.1145/3324916" TargetMode="External"/><Relationship Id="rId40" Type="http://schemas.openxmlformats.org/officeDocument/2006/relationships/hyperlink" Target="https://doi.org/10.1145/3540250.3558908;http:/dx.doi.org/10.1145/3540250.3558908" TargetMode="External"/><Relationship Id="rId115" Type="http://schemas.openxmlformats.org/officeDocument/2006/relationships/hyperlink" Target="https://doi.org/10.1145/3282517.3302397;http:/dx.doi.org/10.1145/3282517.3302397" TargetMode="External"/><Relationship Id="rId136" Type="http://schemas.openxmlformats.org/officeDocument/2006/relationships/hyperlink" Target="https://doi.org/10.1145/3463274.3463333;http:/dx.doi.org/10.1145/3463274.3463333" TargetMode="External"/><Relationship Id="rId157" Type="http://schemas.openxmlformats.org/officeDocument/2006/relationships/hyperlink" Target="https://doi.org/10.1145/3555228.3555281;http:/dx.doi.org/10.1145/3555228.3555281" TargetMode="External"/><Relationship Id="rId178" Type="http://schemas.openxmlformats.org/officeDocument/2006/relationships/hyperlink" Target="https://doi.org/10.1145/3238147.3238201;http:/dx.doi.org/10.1145/3238147.3238201" TargetMode="External"/><Relationship Id="rId61" Type="http://schemas.openxmlformats.org/officeDocument/2006/relationships/hyperlink" Target="https://doi.org/10.1145/3510457.3513036;http:/dx.doi.org/10.1145/3510457.3513036" TargetMode="External"/><Relationship Id="rId82" Type="http://schemas.openxmlformats.org/officeDocument/2006/relationships/hyperlink" Target="https://doi.org/10.1145/3484824.3484911;http:/dx.doi.org/10.1145/3484824.3484911" TargetMode="External"/><Relationship Id="rId199" Type="http://schemas.openxmlformats.org/officeDocument/2006/relationships/hyperlink" Target="https://doi.org/10.1145/3524842.3528455;http:/dx.doi.org/10.1145/3524842.3528455" TargetMode="External"/><Relationship Id="rId203" Type="http://schemas.openxmlformats.org/officeDocument/2006/relationships/hyperlink" Target="https://doi.org/10.1145/3474370.3485669;http:/dx.doi.org/10.1145/3474370.3485669" TargetMode="External"/><Relationship Id="rId19" Type="http://schemas.openxmlformats.org/officeDocument/2006/relationships/hyperlink" Target="https://doi.org/10.1145/3340482.3342747;http:/dx.doi.org/10.1145/3340482.3342747" TargetMode="External"/><Relationship Id="rId224" Type="http://schemas.openxmlformats.org/officeDocument/2006/relationships/hyperlink" Target="https://doi.org/10.1145/3317287.3325792;http:/dx.doi.org/10.1145/3317287.3325792" TargetMode="External"/><Relationship Id="rId30" Type="http://schemas.openxmlformats.org/officeDocument/2006/relationships/hyperlink" Target="https://doi.org/10.1145/3131151.3131164;http:/dx.doi.org/10.1145/3131151.3131164" TargetMode="External"/><Relationship Id="rId105" Type="http://schemas.openxmlformats.org/officeDocument/2006/relationships/hyperlink" Target="https://doi.org/10.1145/2950290.2983989;http:/dx.doi.org/10.1145/2950290.2983989" TargetMode="External"/><Relationship Id="rId126" Type="http://schemas.openxmlformats.org/officeDocument/2006/relationships/hyperlink" Target="https://doi.org/10.1145/3510003.3510225;http:/dx.doi.org/10.1145/3510003.3510225" TargetMode="External"/><Relationship Id="rId147" Type="http://schemas.openxmlformats.org/officeDocument/2006/relationships/hyperlink" Target="https://doi.org/10.1145/3573074.3573099;http:/dx.doi.org/10.1145/3573074.3573099" TargetMode="External"/><Relationship Id="rId168" Type="http://schemas.openxmlformats.org/officeDocument/2006/relationships/hyperlink" Target="https://doi.org/10.1145/2950290.2983985;http:/dx.doi.org/10.1145/2950290.2983985" TargetMode="External"/><Relationship Id="rId51" Type="http://schemas.openxmlformats.org/officeDocument/2006/relationships/hyperlink" Target="https://doi.org/10.1145/3184407.3184413;http:/dx.doi.org/10.1145/3184407.3184413" TargetMode="External"/><Relationship Id="rId72" Type="http://schemas.openxmlformats.org/officeDocument/2006/relationships/hyperlink" Target="https://doi.org/10.1145/3379597.3387459;http:/dx.doi.org/10.1145/3379597.3387459" TargetMode="External"/><Relationship Id="rId93" Type="http://schemas.openxmlformats.org/officeDocument/2006/relationships/hyperlink" Target="https://doi.org/10.1145/3460231.3474616;http:/dx.doi.org/10.1145/3460231.3474616" TargetMode="External"/><Relationship Id="rId189" Type="http://schemas.openxmlformats.org/officeDocument/2006/relationships/hyperlink" Target="https://doi.org/10.1145/3377813.3381358;http:/dx.doi.org/10.1145/3377813.3381358" TargetMode="External"/><Relationship Id="rId3" Type="http://schemas.openxmlformats.org/officeDocument/2006/relationships/hyperlink" Target="https://doi.org/10.1145/3041765.3041774;http:/dx.doi.org/10.1145/3041765.3041774" TargetMode="External"/><Relationship Id="rId214" Type="http://schemas.openxmlformats.org/officeDocument/2006/relationships/hyperlink" Target="https://doi.org/10.1145/3474370.3485656;http:/dx.doi.org/10.1145/3474370.3485656" TargetMode="External"/><Relationship Id="rId235" Type="http://schemas.openxmlformats.org/officeDocument/2006/relationships/hyperlink" Target="https://doi.org/10.1145/2481244.2481247;http:/dx.doi.org/10.1145/2481244.2481247" TargetMode="External"/><Relationship Id="rId116" Type="http://schemas.openxmlformats.org/officeDocument/2006/relationships/hyperlink" Target="https://doi.org/10.1109/ICSSP.2019.00018;http:/dx.doi.org/10.1109/ICSSP.2019.00018" TargetMode="External"/><Relationship Id="rId137" Type="http://schemas.openxmlformats.org/officeDocument/2006/relationships/hyperlink" Target="https://doi.org/10.1145/3510457.3513082;http:/dx.doi.org/10.1145/3510457.3513082" TargetMode="External"/><Relationship Id="rId158" Type="http://schemas.openxmlformats.org/officeDocument/2006/relationships/hyperlink" Target="https://doi.org/10.1145/3510003.3510057;http:/dx.doi.org/10.1145/3510003.3510057" TargetMode="External"/><Relationship Id="rId20" Type="http://schemas.openxmlformats.org/officeDocument/2006/relationships/hyperlink" Target="https://doi.org/10.1145/3194164.3194165;http:/dx.doi.org/10.1145/3194164.3194165" TargetMode="External"/><Relationship Id="rId41" Type="http://schemas.openxmlformats.org/officeDocument/2006/relationships/hyperlink" Target="https://doi.org/10.1145/3524843.3528098;http:/dx.doi.org/10.1145/3524843.3528098" TargetMode="External"/><Relationship Id="rId62" Type="http://schemas.openxmlformats.org/officeDocument/2006/relationships/hyperlink" Target="https://doi.org/10.1145/3379177.3388905;http:/dx.doi.org/10.1145/3379177.3388905" TargetMode="External"/><Relationship Id="rId83" Type="http://schemas.openxmlformats.org/officeDocument/2006/relationships/hyperlink" Target="https://doi.org/10.1109/ESEM.2017.14;http:/dx.doi.org/10.1109/ESEM.2017.14" TargetMode="External"/><Relationship Id="rId179" Type="http://schemas.openxmlformats.org/officeDocument/2006/relationships/hyperlink" Target="https://doi.org/10.1145/3512850.3512861;http:/dx.doi.org/10.1145/3512850.3512861"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link.springer.com/article/10.1007/s10664-022-10128-3" TargetMode="External"/><Relationship Id="rId170" Type="http://schemas.openxmlformats.org/officeDocument/2006/relationships/hyperlink" Target="https://www.scopus.com/inward/record.uri?eid=2-s2.0-85126392549&amp;doi=10.1145%2f3503222.3507704&amp;partnerID=40&amp;md5=c53d349ec86b82dc3288d33fcf766aac;http://dx.doi.org/10.1145/3503222.3507704" TargetMode="External"/><Relationship Id="rId987" Type="http://schemas.openxmlformats.org/officeDocument/2006/relationships/hyperlink" Target="http://dx.doi.org/10.1109/MTD.2015.7332621" TargetMode="External"/><Relationship Id="rId847" Type="http://schemas.openxmlformats.org/officeDocument/2006/relationships/hyperlink" Target="https://www.scopus.com/inward/record.uri?eid=2-s2.0-84949443224&amp;doi=10.1016%2fj.infsof.2015.10.001&amp;partnerID=40&amp;md5=5386a36ceb20ab1b93fbb827e474b62a;http://dx.doi.org/10.1016/j.infsof.2015.10.001" TargetMode="External"/><Relationship Id="rId1477" Type="http://schemas.openxmlformats.org/officeDocument/2006/relationships/hyperlink" Target="https://doi.org/10.1145/3520312.3534868;http:/dx.doi.org/10.1145/3520312.3534868" TargetMode="External"/><Relationship Id="rId1684" Type="http://schemas.openxmlformats.org/officeDocument/2006/relationships/hyperlink" Target="https://www.sciencedirect.com/science/article/pii/S0167642320301301;http:/dx.doi.org/10.1016/j.scico.2020.102522" TargetMode="External"/><Relationship Id="rId1891" Type="http://schemas.openxmlformats.org/officeDocument/2006/relationships/hyperlink" Target="http://link.springer.com/book/10.1007/978-3-031-09357-9" TargetMode="External"/><Relationship Id="rId707" Type="http://schemas.openxmlformats.org/officeDocument/2006/relationships/hyperlink" Target="https://www.scopus.com/inward/record.uri?eid=2-s2.0-85060256649&amp;doi=10.1186%2fs13173-018-0083-1&amp;partnerID=40&amp;md5=c21c544db4400d0adf9f90a1f2fe7b5a;http://dx.doi.org/10.1186/s13173-018-0083-1" TargetMode="External"/><Relationship Id="rId914" Type="http://schemas.openxmlformats.org/officeDocument/2006/relationships/hyperlink" Target="https://www.scopus.com/inward/record.uri?eid=2-s2.0-84991000274&amp;doi=10.1109%2fSANER.2016.84&amp;partnerID=40&amp;md5=ba372f42bf0c3a1b468fbfa8760e6a84;http://dx.doi.org/10.1109/SANER.2016.84" TargetMode="External"/><Relationship Id="rId1337" Type="http://schemas.openxmlformats.org/officeDocument/2006/relationships/hyperlink" Target="https://doi.org/10.1145/3194164.3194165;http:/dx.doi.org/10.1145/3194164.3194165" TargetMode="External"/><Relationship Id="rId1544" Type="http://schemas.openxmlformats.org/officeDocument/2006/relationships/hyperlink" Target="https://doi.org/10.1145/3542937;http:/dx.doi.org/10.1145/3542937" TargetMode="External"/><Relationship Id="rId1751" Type="http://schemas.openxmlformats.org/officeDocument/2006/relationships/hyperlink" Target="http://link.springer.com/book/10.1007/978-981-16-2102-4" TargetMode="External"/><Relationship Id="rId43" Type="http://schemas.openxmlformats.org/officeDocument/2006/relationships/hyperlink" Target="https://www.scopus.com/inward/record.uri?eid=2-s2.0-85140993400&amp;doi=10.1109%2fRE54965.2022.00027&amp;partnerID=40&amp;md5=088e3e57c27f23bdf34af1a739a65a79;http://dx.doi.org/10.1109/RE54965.2022.00027" TargetMode="External"/><Relationship Id="rId1404" Type="http://schemas.openxmlformats.org/officeDocument/2006/relationships/hyperlink" Target="https://doi.org/10.1145/3558489.3559069;http:/dx.doi.org/10.1145/3558489.3559069" TargetMode="External"/><Relationship Id="rId1611" Type="http://schemas.openxmlformats.org/officeDocument/2006/relationships/hyperlink" Target="https://www.sciencedirect.com/science/article/pii/S0164121222000036;http:/dx.doi.org/10.1016/j.jss.2022.111219" TargetMode="External"/><Relationship Id="rId497" Type="http://schemas.openxmlformats.org/officeDocument/2006/relationships/hyperlink" Target="https://www.scopus.com/inward/record.uri?eid=2-s2.0-85107005908&amp;doi=10.1109%2fICSA51549.2021.00022&amp;partnerID=40&amp;md5=10c7ac8a6b8200093065cc3af2c060e8;http://dx.doi.org/10.1109/ICSA51549.2021.00022" TargetMode="External"/><Relationship Id="rId2178" Type="http://schemas.openxmlformats.org/officeDocument/2006/relationships/hyperlink" Target="http://link.springer.com/chapter/10.1007/978-981-16-6795-4_7" TargetMode="External"/><Relationship Id="rId357" Type="http://schemas.openxmlformats.org/officeDocument/2006/relationships/hyperlink" Target="https://www.scopus.com/inward/record.uri?eid=2-s2.0-85135860301&amp;doi=10.1007%2fs11280-022-01087-2&amp;partnerID=40&amp;md5=5746eca924cd50933c0b438f7a8f8bae;http://dx.doi.org/10.1007/s11280-022-01087-2" TargetMode="External"/><Relationship Id="rId1194" Type="http://schemas.openxmlformats.org/officeDocument/2006/relationships/hyperlink" Target="http://dx.doi.org/10.1109/MS.2017.56" TargetMode="External"/><Relationship Id="rId2038" Type="http://schemas.openxmlformats.org/officeDocument/2006/relationships/hyperlink" Target="http://link.springer.com/book/10.1007/978-1-4842-8832-0" TargetMode="External"/><Relationship Id="rId217" Type="http://schemas.openxmlformats.org/officeDocument/2006/relationships/hyperlink" Target="https://www.scopus.com/inward/record.uri?eid=2-s2.0-85135175342&amp;doi=10.1016%2fj.engappai.2022.105240&amp;partnerID=40&amp;md5=5919f74f3f5bfdcd53d6a92b4525d83d;http://dx.doi.org/10.1016/j.engappai.2022.105240" TargetMode="External"/><Relationship Id="rId564" Type="http://schemas.openxmlformats.org/officeDocument/2006/relationships/hyperlink" Target="https://www.scopus.com/inward/record.uri?eid=2-s2.0-85125454605&amp;doi=10.1109%2fASE51524.2021.9678680&amp;partnerID=40&amp;md5=4f33c0638d19063ae52d47689a64f5b4;http://dx.doi.org/10.1109/ASE51524.2021.9678680" TargetMode="External"/><Relationship Id="rId771" Type="http://schemas.openxmlformats.org/officeDocument/2006/relationships/hyperlink" Target="https://www.scopus.com/inward/record.uri?eid=2-s2.0-85083573289&amp;doi=10.1109%2fSANER48275.2020.9054868&amp;partnerID=40&amp;md5=be52c240156dc6649a1e234304ccee7b;http://dx.doi.org/10.1109/SANER48275.2020.9054868" TargetMode="External"/><Relationship Id="rId424" Type="http://schemas.openxmlformats.org/officeDocument/2006/relationships/hyperlink" Target="https://www.scopus.com/inward/record.uri?eid=2-s2.0-85097308081&amp;doi=10.1145%2f3416505.3423559&amp;partnerID=40&amp;md5=3b7f138612836dbeb7ae45f6e765d686;http://dx.doi.org/10.1145/3416505.3423559" TargetMode="External"/><Relationship Id="rId631" Type="http://schemas.openxmlformats.org/officeDocument/2006/relationships/hyperlink" Target="https://www.scopus.com/inward/record.uri?eid=2-s2.0-85093119961&amp;doi=10.1145%2f3387906.3388618&amp;partnerID=40&amp;md5=7504ccfec1b9932ac98031ae9df71572;http://dx.doi.org/10.1145/3387906.3388618" TargetMode="External"/><Relationship Id="rId1054" Type="http://schemas.openxmlformats.org/officeDocument/2006/relationships/hyperlink" Target="http://dx.doi.org/10.1145/3526073.3527591" TargetMode="External"/><Relationship Id="rId1261" Type="http://schemas.openxmlformats.org/officeDocument/2006/relationships/hyperlink" Target="http://dx.doi.org/10.1109/JIOT.2020.3046441" TargetMode="External"/><Relationship Id="rId2105" Type="http://schemas.openxmlformats.org/officeDocument/2006/relationships/hyperlink" Target="http://link.springer.com/chapter/10.1007/978-3-030-86044-8_8" TargetMode="External"/><Relationship Id="rId1121" Type="http://schemas.openxmlformats.org/officeDocument/2006/relationships/hyperlink" Target="http://dx.doi.org/10.1109/QRS.2019.00026" TargetMode="External"/><Relationship Id="rId1938" Type="http://schemas.openxmlformats.org/officeDocument/2006/relationships/hyperlink" Target="http://link.springer.com/book/10.1007/978-3-030-81915-6" TargetMode="External"/><Relationship Id="rId281" Type="http://schemas.openxmlformats.org/officeDocument/2006/relationships/hyperlink" Target="https://www.scopus.com/inward/record.uri?eid=2-s2.0-85133951759&amp;doi=10.23919%2fMIPRO55190.2022.9803727&amp;partnerID=40&amp;md5=26707e38b212fa540ee51b729c81f95d;http://dx.doi.org/10.23919/MIPRO55190.2022.9803727" TargetMode="External"/><Relationship Id="rId141" Type="http://schemas.openxmlformats.org/officeDocument/2006/relationships/hyperlink" Target="https://www.scopus.com/inward/record.uri?eid=2-s2.0-85136031948&amp;doi=10.1007%2fs10009-022-00662-2&amp;partnerID=40&amp;md5=62b6771758aa2c39164fa2130570b45d;http://dx.doi.org/10.1007/s10009-022-00662-2" TargetMode="External"/><Relationship Id="rId7" Type="http://schemas.openxmlformats.org/officeDocument/2006/relationships/hyperlink" Target="http://dx.doi.org/10.1007/s10515-022-00358-6" TargetMode="External"/><Relationship Id="rId958" Type="http://schemas.openxmlformats.org/officeDocument/2006/relationships/hyperlink" Target="https://www.scopus.com/inward/record.uri?eid=2-s2.0-85061993669&amp;doi=10.3389%2ffict.2016.00002&amp;partnerID=40&amp;md5=2c17672af2cd3970e22753ec24c43c7b;http://dx.doi.org/10.3389/fict.2016.00002" TargetMode="External"/><Relationship Id="rId1588" Type="http://schemas.openxmlformats.org/officeDocument/2006/relationships/hyperlink" Target="https://www.sciencedirect.com/science/article/pii/S0164121215001818;http:/dx.doi.org/10.1016/j.jss.2015.08.026" TargetMode="External"/><Relationship Id="rId1795" Type="http://schemas.openxmlformats.org/officeDocument/2006/relationships/hyperlink" Target="http://link.springer.com/book/10.1007/978-3-030-42504-3" TargetMode="External"/><Relationship Id="rId87" Type="http://schemas.openxmlformats.org/officeDocument/2006/relationships/hyperlink" Target="https://www.scopus.com/inward/record.uri?eid=2-s2.0-85128067243&amp;doi=10.4271%2f2022-01-0109&amp;partnerID=40&amp;md5=4db7822e205f435db6a5d96d164cbbef;http://dx.doi.org/10.4271/2022-01-0109" TargetMode="External"/><Relationship Id="rId818" Type="http://schemas.openxmlformats.org/officeDocument/2006/relationships/hyperlink" Target="https://www.scopus.com/inward/record.uri?eid=2-s2.0-85055440637&amp;doi=10.1109%2fCOMPSAC.2018.00017&amp;partnerID=40&amp;md5=f2c8270b95c3b4f3c7bf885ce6cb48fe;http://dx.doi.org/10.1109/COMPSAC.2018.00017" TargetMode="External"/><Relationship Id="rId1448" Type="http://schemas.openxmlformats.org/officeDocument/2006/relationships/hyperlink" Target="https://doi.org/10.1145/3494519;http:/dx.doi.org/10.1145/3494519" TargetMode="External"/><Relationship Id="rId1655" Type="http://schemas.openxmlformats.org/officeDocument/2006/relationships/hyperlink" Target="https://www.sciencedirect.com/science/article/pii/S0164121223000109;http:/dx.doi.org/10.1016/j.jss.2023.111615" TargetMode="External"/><Relationship Id="rId1308" Type="http://schemas.openxmlformats.org/officeDocument/2006/relationships/hyperlink" Target="http://dx.doi.org/10.1109/SANER53432.2022.00004" TargetMode="External"/><Relationship Id="rId1862" Type="http://schemas.openxmlformats.org/officeDocument/2006/relationships/hyperlink" Target="http://link.springer.com/book/10.1007/978-3-030-88063-7" TargetMode="External"/><Relationship Id="rId1515" Type="http://schemas.openxmlformats.org/officeDocument/2006/relationships/hyperlink" Target="https://doi.org/10.1109/AST.2017.3;http:/dx.doi.org/10.1109/AST.2017.3" TargetMode="External"/><Relationship Id="rId1722" Type="http://schemas.openxmlformats.org/officeDocument/2006/relationships/hyperlink" Target="http://link.springer.com/book/10.1007/978-3-030-87007-2" TargetMode="External"/><Relationship Id="rId14" Type="http://schemas.openxmlformats.org/officeDocument/2006/relationships/hyperlink" Target="http://dx.doi.org/10.4018/IJSI.297993" TargetMode="External"/><Relationship Id="rId468" Type="http://schemas.openxmlformats.org/officeDocument/2006/relationships/hyperlink" Target="https://www.scopus.com/inward/record.uri?eid=2-s2.0-85097841067&amp;doi=10.1109%2fCCCI49893.2020.9256507&amp;partnerID=40&amp;md5=3df520df1ae1119f3d35f5962b8a3923;http://dx.doi.org/10.1109/CCCI49893.2020.9256507" TargetMode="External"/><Relationship Id="rId675" Type="http://schemas.openxmlformats.org/officeDocument/2006/relationships/hyperlink" Target="https://www.scopus.com/inward/record.uri?eid=2-s2.0-85076134349&amp;doi=10.1007%2f978-3-030-33742-1_15&amp;partnerID=40&amp;md5=23cb0d39566949b76e1f6ff3bac7141a;http://dx.doi.org/10.1007/978-3-030-33742-1_15" TargetMode="External"/><Relationship Id="rId882" Type="http://schemas.openxmlformats.org/officeDocument/2006/relationships/hyperlink" Target="https://www.scopus.com/inward/record.uri?eid=2-s2.0-84961375653&amp;doi=10.1007%2f978-3-642-45398-4&amp;partnerID=40&amp;md5=749625357b37e006de267556d48c57e6;http://dx.doi.org/10.1007/978-3-642-45398-4" TargetMode="External"/><Relationship Id="rId1098" Type="http://schemas.openxmlformats.org/officeDocument/2006/relationships/hyperlink" Target="http://dx.doi.org/10.1109/ACCESS.2019.2917403" TargetMode="External"/><Relationship Id="rId2149" Type="http://schemas.openxmlformats.org/officeDocument/2006/relationships/hyperlink" Target="http://link.springer.com/chapter/10.1007/978-1-4302-4918-4_2" TargetMode="External"/><Relationship Id="rId328" Type="http://schemas.openxmlformats.org/officeDocument/2006/relationships/hyperlink" Target="https://www.scopus.com/inward/record.uri?eid=2-s2.0-85113677128&amp;doi=10.1109%2fMSR52588.2021.00052&amp;partnerID=40&amp;md5=f978cf4c05eeb8a3053e953ff502b973;http://dx.doi.org/10.1109/MSR52588.2021.00052" TargetMode="External"/><Relationship Id="rId535" Type="http://schemas.openxmlformats.org/officeDocument/2006/relationships/hyperlink" Target="https://www.scopus.com/inward/record.uri?eid=2-s2.0-85096991614&amp;doi=10.12928%2fTELKOMNIKA.v18i6.16743&amp;partnerID=40&amp;md5=e25a8960dcb879ace126590d1115a319;http://dx.doi.org/10.12928/TELKOMNIKA.v18i6.16743" TargetMode="External"/><Relationship Id="rId742" Type="http://schemas.openxmlformats.org/officeDocument/2006/relationships/hyperlink" Target="https://www.scopus.com/inward/record.uri?eid=2-s2.0-85063955510&amp;doi=10.1109%2fIWESEP.2018.00010&amp;partnerID=40&amp;md5=877dc7facce6dff853f440412e6187dd;http://dx.doi.org/10.1109/IWESEP.2018.00010" TargetMode="External"/><Relationship Id="rId1165" Type="http://schemas.openxmlformats.org/officeDocument/2006/relationships/hyperlink" Target="http://dx.doi.org/10.1109/TSE.2023.3234321" TargetMode="External"/><Relationship Id="rId1372" Type="http://schemas.openxmlformats.org/officeDocument/2006/relationships/hyperlink" Target="https://doi.org/10.1109/SER-IP.2017..5;http:/dx.doi.org/10.1109/SER-IP.2017..5" TargetMode="External"/><Relationship Id="rId2009" Type="http://schemas.openxmlformats.org/officeDocument/2006/relationships/hyperlink" Target="http://link.springer.com/article/10.1007/s00766-016-0253-7" TargetMode="External"/><Relationship Id="rId602" Type="http://schemas.openxmlformats.org/officeDocument/2006/relationships/hyperlink" Target="https://www.scopus.com/inward/record.uri?eid=2-s2.0-85124486693&amp;doi=10.1109%2fCONISOFT52520.2021.00019&amp;partnerID=40&amp;md5=02d7704db1cf13e7541b254e7543afb6;http://dx.doi.org/10.1109/CONISOFT52520.2021.00019" TargetMode="External"/><Relationship Id="rId1025" Type="http://schemas.openxmlformats.org/officeDocument/2006/relationships/hyperlink" Target="http://dx.doi.org/10.1109/TSE.2021.3115772" TargetMode="External"/><Relationship Id="rId1232" Type="http://schemas.openxmlformats.org/officeDocument/2006/relationships/hyperlink" Target="http://dx.doi.org/10.1109/ICACCS54159.2022.9785260" TargetMode="External"/><Relationship Id="rId185" Type="http://schemas.openxmlformats.org/officeDocument/2006/relationships/hyperlink" Target="https://www.scopus.com/inward/record.uri?eid=2-s2.0-85144822206&amp;doi=10.1016%2fj.jss.2022.111575&amp;partnerID=40&amp;md5=7d40feaac35c2f25b5c56707c0cf4c5a;http://dx.doi.org/10.1016/j.jss.2022.111575" TargetMode="External"/><Relationship Id="rId1909" Type="http://schemas.openxmlformats.org/officeDocument/2006/relationships/hyperlink" Target="http://link.springer.com/book/10.1007/978-3-658-37665-9" TargetMode="External"/><Relationship Id="rId392" Type="http://schemas.openxmlformats.org/officeDocument/2006/relationships/hyperlink" Target="https://www.scopus.com/inward/record.uri?eid=2-s2.0-85133467455&amp;doi=10.1145%2f3522664.3528592&amp;partnerID=40&amp;md5=c96498e5deeae9915eb8823bccdbb00d;http://dx.doi.org/10.1145/3522664.3528592" TargetMode="External"/><Relationship Id="rId2073" Type="http://schemas.openxmlformats.org/officeDocument/2006/relationships/hyperlink" Target="http://link.springer.com/article/10.1007/s10664-020-09880-1" TargetMode="External"/><Relationship Id="rId252" Type="http://schemas.openxmlformats.org/officeDocument/2006/relationships/hyperlink" Target="https://www.scopus.com/inward/record.uri?eid=2-s2.0-85135020559&amp;doi=10.1007%2f978-3-031-08421-8_41&amp;partnerID=40&amp;md5=8fba1eb478d33077040752bd1c7f76b7;http://dx.doi.org/10.1007/978-3-031-08421-8_41" TargetMode="External"/><Relationship Id="rId2140" Type="http://schemas.openxmlformats.org/officeDocument/2006/relationships/hyperlink" Target="http://link.springer.com/book/10.1007/978-3-658-21194-3" TargetMode="External"/><Relationship Id="rId112" Type="http://schemas.openxmlformats.org/officeDocument/2006/relationships/hyperlink" Target="https://www.scopus.com/inward/record.uri?eid=2-s2.0-85145825727&amp;doi=10.1007%2fs00766-022-00395-3&amp;partnerID=40&amp;md5=4a5638f6e5bce046053ffbabdadcdb06;http://dx.doi.org/10.1007/s00766-022-00395-3" TargetMode="External"/><Relationship Id="rId1699" Type="http://schemas.openxmlformats.org/officeDocument/2006/relationships/hyperlink" Target="https://www.sciencedirect.com/science/article/pii/B9780124115194000197;http:/dx.doi.org/10.1016/B978-0-12-411519-4.00019-7" TargetMode="External"/><Relationship Id="rId2000" Type="http://schemas.openxmlformats.org/officeDocument/2006/relationships/hyperlink" Target="http://link.springer.com/chapter/10.1007/978-3-030-37436-5_24" TargetMode="External"/><Relationship Id="rId929" Type="http://schemas.openxmlformats.org/officeDocument/2006/relationships/hyperlink" Target="https://www.scopus.com/inward/record.uri?eid=2-s2.0-85031008685&amp;doi=10.1016%2fj.jss.2017.09.026&amp;partnerID=40&amp;md5=38bde174d903e196f4c42505e21c36f7;http://dx.doi.org/10.1016/j.jss.2017.09.026" TargetMode="External"/><Relationship Id="rId1114" Type="http://schemas.openxmlformats.org/officeDocument/2006/relationships/hyperlink" Target="http://dx.doi.org/10.1109/CHASE.2019.00013" TargetMode="External"/><Relationship Id="rId1321" Type="http://schemas.openxmlformats.org/officeDocument/2006/relationships/hyperlink" Target="https://doi.org/10.1145/2901739.2901754;http:/dx.doi.org/10.1145/2901739.2901754" TargetMode="External"/><Relationship Id="rId1559" Type="http://schemas.openxmlformats.org/officeDocument/2006/relationships/hyperlink" Target="https://www.sciencedirect.com/science/article/pii/S0164121222000358;http:/dx.doi.org/10.1016/j.jss.2022.111273" TargetMode="External"/><Relationship Id="rId1766" Type="http://schemas.openxmlformats.org/officeDocument/2006/relationships/hyperlink" Target="http://link.springer.com/book/10.1007/978-981-16-3690-5" TargetMode="External"/><Relationship Id="rId1973" Type="http://schemas.openxmlformats.org/officeDocument/2006/relationships/hyperlink" Target="http://link.springer.com/book/10.1007/978-1-4842-7452-1" TargetMode="External"/><Relationship Id="rId58" Type="http://schemas.openxmlformats.org/officeDocument/2006/relationships/hyperlink" Target="https://www.scopus.com/inward/record.uri?eid=2-s2.0-85136925659&amp;doi=10.3390%2fapp12157482&amp;partnerID=40&amp;md5=4c43ef6cf54db27bed12247567f76c4c;http://dx.doi.org/10.3390/app12157482" TargetMode="External"/><Relationship Id="rId1419" Type="http://schemas.openxmlformats.org/officeDocument/2006/relationships/hyperlink" Target="https://doi.org/10.1145/2972958.2972959;http:/dx.doi.org/10.1145/2972958.2972959" TargetMode="External"/><Relationship Id="rId1626" Type="http://schemas.openxmlformats.org/officeDocument/2006/relationships/hyperlink" Target="https://www.sciencedirect.com/science/article/pii/S095741742030912X;http:/dx.doi.org/10.1016/j.eswa.2020.114176" TargetMode="External"/><Relationship Id="rId1833" Type="http://schemas.openxmlformats.org/officeDocument/2006/relationships/hyperlink" Target="http://link.springer.com/book/10.1007/978-3-030-58858-8" TargetMode="External"/><Relationship Id="rId1900" Type="http://schemas.openxmlformats.org/officeDocument/2006/relationships/hyperlink" Target="http://link.springer.com/chapter/10.1007/978-3-319-69926-4_42" TargetMode="External"/><Relationship Id="rId2095" Type="http://schemas.openxmlformats.org/officeDocument/2006/relationships/hyperlink" Target="http://link.springer.com/article/10.1007/s10664-022-10151-4" TargetMode="External"/><Relationship Id="rId274" Type="http://schemas.openxmlformats.org/officeDocument/2006/relationships/hyperlink" Target="https://www.scopus.com/inward/record.uri?eid=2-s2.0-85131034061&amp;doi=10.1109%2fSANER53432.2022.00128&amp;partnerID=40&amp;md5=347a90f993aa9b818a9cd39394d80740;http://dx.doi.org/10.1109/SANER53432.2022.00128" TargetMode="External"/><Relationship Id="rId481" Type="http://schemas.openxmlformats.org/officeDocument/2006/relationships/hyperlink" Target="https://www.scopus.com/inward/record.uri?eid=2-s2.0-85116885240&amp;doi=10.1016%2fj.procs.2021.09.112&amp;partnerID=40&amp;md5=03fe11631186a95bbe907a4b5ac0c018;http://dx.doi.org/10.1016/j.procs.2021.09.112" TargetMode="External"/><Relationship Id="rId2162" Type="http://schemas.openxmlformats.org/officeDocument/2006/relationships/hyperlink" Target="http://link.springer.com/book/10.1007/978-3-658-37324-5" TargetMode="External"/><Relationship Id="rId134" Type="http://schemas.openxmlformats.org/officeDocument/2006/relationships/hyperlink" Target="https://www.scopus.com/inward/record.uri?eid=2-s2.0-85138138017&amp;doi=10.1007%2f978-3-031-05347-4_4&amp;partnerID=40&amp;md5=f9e68a6614f02b4b28c0c540c19fa754;http://dx.doi.org/10.1007/978-3-031-05347-4_4" TargetMode="External"/><Relationship Id="rId579" Type="http://schemas.openxmlformats.org/officeDocument/2006/relationships/hyperlink" Target="https://www.scopus.com/inward/record.uri?eid=2-s2.0-85118631068&amp;partnerID=40&amp;md5=2195f60fd0617a0087df6aa8fcb55489" TargetMode="External"/><Relationship Id="rId786" Type="http://schemas.openxmlformats.org/officeDocument/2006/relationships/hyperlink" Target="https://www.scopus.com/inward/record.uri?eid=2-s2.0-85087106418&amp;partnerID=40&amp;md5=c049d9f5b1da9bd02f2b43af04474747" TargetMode="External"/><Relationship Id="rId993" Type="http://schemas.openxmlformats.org/officeDocument/2006/relationships/hyperlink" Target="http://dx.doi.org/10.1109/ACCESS.2020.2996951" TargetMode="External"/><Relationship Id="rId341" Type="http://schemas.openxmlformats.org/officeDocument/2006/relationships/hyperlink" Target="https://www.scopus.com/inward/record.uri?eid=2-s2.0-85111796535&amp;doi=10.1007%2fs41060-021-00265-1&amp;partnerID=40&amp;md5=e331f62f57ae194d27d91ea3dea0744b;http://dx.doi.org/10.1007/s41060-021-00265-1" TargetMode="External"/><Relationship Id="rId439" Type="http://schemas.openxmlformats.org/officeDocument/2006/relationships/hyperlink" Target="https://www.scopus.com/inward/record.uri?eid=2-s2.0-85103296998&amp;doi=10.1007%2f978-3-030-70006-5_5&amp;partnerID=40&amp;md5=56b6dc1ba648e4b4ab2b3fe83883ebc3;http://dx.doi.org/10.1007/978-3-030-70006-5_5" TargetMode="External"/><Relationship Id="rId646" Type="http://schemas.openxmlformats.org/officeDocument/2006/relationships/hyperlink" Target="https://www.scopus.com/inward/record.uri?eid=2-s2.0-85090854076&amp;doi=10.1145%2f3383219.3383264&amp;partnerID=40&amp;md5=5fbde590102722aa1df44b3e8fb10504;http://dx.doi.org/10.1145/3383219.3383264" TargetMode="External"/><Relationship Id="rId1069" Type="http://schemas.openxmlformats.org/officeDocument/2006/relationships/hyperlink" Target="http://dx.doi.org/10.1109/ICSE.2013.6606583" TargetMode="External"/><Relationship Id="rId1276" Type="http://schemas.openxmlformats.org/officeDocument/2006/relationships/hyperlink" Target="https://ieeexplore.ieee.org/document/9380243" TargetMode="External"/><Relationship Id="rId1483" Type="http://schemas.openxmlformats.org/officeDocument/2006/relationships/hyperlink" Target="https://doi.org/10.1145/3377811.3380342;http:/dx.doi.org/10.1145/3377811.3380342" TargetMode="External"/><Relationship Id="rId2022" Type="http://schemas.openxmlformats.org/officeDocument/2006/relationships/hyperlink" Target="http://link.springer.com/book/10.1007/978-1-4842-8593-0" TargetMode="External"/><Relationship Id="rId201" Type="http://schemas.openxmlformats.org/officeDocument/2006/relationships/hyperlink" Target="https://www.scopus.com/inward/record.uri?eid=2-s2.0-85138821813&amp;doi=10.1016%2fj.dsm.2022.07.004&amp;partnerID=40&amp;md5=348c88078d7989ba95bacfb5871756d6;http://dx.doi.org/10.1016/j.dsm.2022.07.004" TargetMode="External"/><Relationship Id="rId506" Type="http://schemas.openxmlformats.org/officeDocument/2006/relationships/hyperlink" Target="https://www.scopus.com/inward/record.uri?eid=2-s2.0-85087525711&amp;doi=10.1016%2fj.infsof.2020.106373&amp;partnerID=40&amp;md5=c87929cfbb4a609e979a565c45f26afd;http://dx.doi.org/10.1016/j.infsof.2020.106373" TargetMode="External"/><Relationship Id="rId853" Type="http://schemas.openxmlformats.org/officeDocument/2006/relationships/hyperlink" Target="https://www.scopus.com/inward/record.uri?eid=2-s2.0-85025438293&amp;doi=10.1145%2f3084226.3084282&amp;partnerID=40&amp;md5=a13a37742187b19da2199c036aa492eb;http://dx.doi.org/10.1145/3084226.3084282" TargetMode="External"/><Relationship Id="rId1136" Type="http://schemas.openxmlformats.org/officeDocument/2006/relationships/hyperlink" Target="http://dx.doi.org/10.1109/VLHCC.2016.7739680" TargetMode="External"/><Relationship Id="rId1690" Type="http://schemas.openxmlformats.org/officeDocument/2006/relationships/hyperlink" Target="https://www.sciencedirect.com/science/article/pii/S0065245816300420;http:/dx.doi.org/10.1016/S0065-2458(16)30042-0" TargetMode="External"/><Relationship Id="rId1788" Type="http://schemas.openxmlformats.org/officeDocument/2006/relationships/hyperlink" Target="http://link.springer.com/chapter/10.1007/978-3-030-58793-2_5" TargetMode="External"/><Relationship Id="rId1995" Type="http://schemas.openxmlformats.org/officeDocument/2006/relationships/hyperlink" Target="http://link.springer.com/article/10.1186/s13173-021-00107-9" TargetMode="External"/><Relationship Id="rId713" Type="http://schemas.openxmlformats.org/officeDocument/2006/relationships/hyperlink" Target="https://www.scopus.com/inward/record.uri?eid=2-s2.0-85090848681&amp;doi=10.1145%2f3383219.3383242&amp;partnerID=40&amp;md5=255b95a5553fedbbf3dfe916186b1aa3;http://dx.doi.org/10.1145/3383219.3383242" TargetMode="External"/><Relationship Id="rId920" Type="http://schemas.openxmlformats.org/officeDocument/2006/relationships/hyperlink" Target="https://www.scopus.com/inward/record.uri?eid=2-s2.0-84986567908&amp;doi=10.1145%2f2903220.2903223&amp;partnerID=40&amp;md5=abf8f9677f7f6a30d956f24886c14aeb;http://dx.doi.org/10.1145/2903220.2903223" TargetMode="External"/><Relationship Id="rId1343" Type="http://schemas.openxmlformats.org/officeDocument/2006/relationships/hyperlink" Target="https://doi.org/10.1145/3512753.3512755;http:/dx.doi.org/10.1145/3512753.3512755" TargetMode="External"/><Relationship Id="rId1550" Type="http://schemas.openxmlformats.org/officeDocument/2006/relationships/hyperlink" Target="https://doi.org/10.1145/3579643;http:/dx.doi.org/10.1145/3579643" TargetMode="External"/><Relationship Id="rId1648" Type="http://schemas.openxmlformats.org/officeDocument/2006/relationships/hyperlink" Target="https://www.sciencedirect.com/science/article/pii/S2212827122014974;http:/dx.doi.org/10.1016/j.procir.2022.10.062" TargetMode="External"/><Relationship Id="rId1203" Type="http://schemas.openxmlformats.org/officeDocument/2006/relationships/hyperlink" Target="http://dx.doi.org/10.1109/ASE.2019.00065" TargetMode="External"/><Relationship Id="rId1410" Type="http://schemas.openxmlformats.org/officeDocument/2006/relationships/hyperlink" Target="https://doi.org/10.1145/3460231.3474616;http:/dx.doi.org/10.1145/3460231.3474616" TargetMode="External"/><Relationship Id="rId1508" Type="http://schemas.openxmlformats.org/officeDocument/2006/relationships/hyperlink" Target="https://doi.org/10.1145/3178315.3178326;http:/dx.doi.org/10.1145/3178315.3178326" TargetMode="External"/><Relationship Id="rId1855" Type="http://schemas.openxmlformats.org/officeDocument/2006/relationships/hyperlink" Target="http://link.springer.com/book/10.1007/978-3-030-53337-3" TargetMode="External"/><Relationship Id="rId1715" Type="http://schemas.openxmlformats.org/officeDocument/2006/relationships/hyperlink" Target="http://link.springer.com/book/10.1007/978-3-031-21388-5" TargetMode="External"/><Relationship Id="rId1922" Type="http://schemas.openxmlformats.org/officeDocument/2006/relationships/hyperlink" Target="http://link.springer.com/chapter/10.1007/978-3-031-21388-5_43" TargetMode="External"/><Relationship Id="rId296" Type="http://schemas.openxmlformats.org/officeDocument/2006/relationships/hyperlink" Target="https://www.scopus.com/inward/record.uri?eid=2-s2.0-85120851738&amp;doi=10.1145%2f3486609.3487199&amp;partnerID=40&amp;md5=27f2355ad1f01d8ae15538d7647a3068;http://dx.doi.org/10.1145/3486609.3487199" TargetMode="External"/><Relationship Id="rId2184" Type="http://schemas.openxmlformats.org/officeDocument/2006/relationships/hyperlink" Target="http://link.springer.com/chapter/10.1007/978-1-4842-6228-3_11" TargetMode="External"/><Relationship Id="rId156" Type="http://schemas.openxmlformats.org/officeDocument/2006/relationships/hyperlink" Target="https://www.scopus.com/inward/record.uri?eid=2-s2.0-85135130833&amp;doi=10.1016%2fj.engappai.2022.105209&amp;partnerID=40&amp;md5=dfeac6767cd0654f1ee0925e2fe7c8ef;http://dx.doi.org/10.1016/j.engappai.2022.105209" TargetMode="External"/><Relationship Id="rId363" Type="http://schemas.openxmlformats.org/officeDocument/2006/relationships/hyperlink" Target="https://www.scopus.com/inward/record.uri?eid=2-s2.0-85132402735&amp;doi=10.1109%2fICSE-Companion55297.2022.9793745&amp;partnerID=40&amp;md5=b6feeaf27e1792837f5a4c5eb2480562;http://dx.doi.org/10.1109/ICSE-Companion55297.2022.9793745" TargetMode="External"/><Relationship Id="rId570" Type="http://schemas.openxmlformats.org/officeDocument/2006/relationships/hyperlink" Target="https://www.scopus.com/inward/record.uri?eid=2-s2.0-85090834563&amp;doi=10.1016%2fj.asoc.2020.106667&amp;partnerID=40&amp;md5=5be5bbaf90cecc5dfebc12710d37aed8;http://dx.doi.org/10.1016/j.asoc.2020.106667" TargetMode="External"/><Relationship Id="rId2044" Type="http://schemas.openxmlformats.org/officeDocument/2006/relationships/hyperlink" Target="http://link.springer.com/chapter/10.1007/978-3-030-34706-2_5" TargetMode="External"/><Relationship Id="rId223" Type="http://schemas.openxmlformats.org/officeDocument/2006/relationships/hyperlink" Target="https://www.scopus.com/inward/record.uri?eid=2-s2.0-85135091651&amp;doi=10.1145%2f3528228.3528404&amp;partnerID=40&amp;md5=610513b0ee0578d8cf88054fd74bfd26;http://dx.doi.org/10.1145/3528228.3528404" TargetMode="External"/><Relationship Id="rId430" Type="http://schemas.openxmlformats.org/officeDocument/2006/relationships/hyperlink" Target="https://www.scopus.com/inward/record.uri?eid=2-s2.0-85088872515&amp;doi=10.1007%2fs10664-020-09854-3&amp;partnerID=40&amp;md5=ae5042b46318c93de239aa4213d83d1f;http://dx.doi.org/10.1007/s10664-020-09854-3" TargetMode="External"/><Relationship Id="rId668" Type="http://schemas.openxmlformats.org/officeDocument/2006/relationships/hyperlink" Target="https://www.scopus.com/inward/record.uri?eid=2-s2.0-85086144211&amp;doi=10.1007%2f978-3-030-49392-9_13&amp;partnerID=40&amp;md5=3b403cac917fe2ea2f03e4255dcb9087;http://dx.doi.org/10.1007/978-3-030-49392-9_13" TargetMode="External"/><Relationship Id="rId875" Type="http://schemas.openxmlformats.org/officeDocument/2006/relationships/hyperlink" Target="https://www.scopus.com/inward/record.uri?eid=2-s2.0-85018955129&amp;doi=10.1016%2fj.knosys.2017.04.014&amp;partnerID=40&amp;md5=ddd40ba8ea4c21f038d1933c04f4d698;http://dx.doi.org/10.1016/j.knosys.2017.04.014" TargetMode="External"/><Relationship Id="rId1060" Type="http://schemas.openxmlformats.org/officeDocument/2006/relationships/hyperlink" Target="http://dx.doi.org/10.1109/MS.2019.2954841" TargetMode="External"/><Relationship Id="rId1298" Type="http://schemas.openxmlformats.org/officeDocument/2006/relationships/hyperlink" Target="http://dx.doi.org/10.1109/MC.2021.3094960" TargetMode="External"/><Relationship Id="rId2111" Type="http://schemas.openxmlformats.org/officeDocument/2006/relationships/hyperlink" Target="http://link.springer.com/book/10.1007/978-3-662-62917-8" TargetMode="External"/><Relationship Id="rId528" Type="http://schemas.openxmlformats.org/officeDocument/2006/relationships/hyperlink" Target="https://www.scopus.com/inward/record.uri?eid=2-s2.0-85090125949&amp;partnerID=40&amp;md5=d66bb994a25467f9dcac357d2c9a228a" TargetMode="External"/><Relationship Id="rId735" Type="http://schemas.openxmlformats.org/officeDocument/2006/relationships/hyperlink" Target="https://www.scopus.com/inward/record.uri?eid=2-s2.0-85078014264&amp;doi=10.1109%2fREW.2019.00051&amp;partnerID=40&amp;md5=c2d8478e36cff3758d045a4abd5180ba;http://dx.doi.org/10.1109/REW.2019.00051" TargetMode="External"/><Relationship Id="rId942" Type="http://schemas.openxmlformats.org/officeDocument/2006/relationships/hyperlink" Target="https://www.scopus.com/inward/record.uri?eid=2-s2.0-85061740114&amp;partnerID=40&amp;md5=3e3623ffe598569020b4ca67f8637c28" TargetMode="External"/><Relationship Id="rId1158" Type="http://schemas.openxmlformats.org/officeDocument/2006/relationships/hyperlink" Target="http://dx.doi.org/10.1145/3522664.3528612" TargetMode="External"/><Relationship Id="rId1365" Type="http://schemas.openxmlformats.org/officeDocument/2006/relationships/hyperlink" Target="https://doi.org/10.1145/3183440.3183478;http:/dx.doi.org/10.1145/3183440.3183478" TargetMode="External"/><Relationship Id="rId1572" Type="http://schemas.openxmlformats.org/officeDocument/2006/relationships/hyperlink" Target="https://www.sciencedirect.com/science/article/pii/S0950584915001676;http:/dx.doi.org/10.1016/j.infsof.2015.10.001" TargetMode="External"/><Relationship Id="rId1018" Type="http://schemas.openxmlformats.org/officeDocument/2006/relationships/hyperlink" Target="http://dx.doi.org/10.1109/ICSME.2017.44" TargetMode="External"/><Relationship Id="rId1225" Type="http://schemas.openxmlformats.org/officeDocument/2006/relationships/hyperlink" Target="http://dx.doi.org/10.1109/MobileSoft52590.2021.00010" TargetMode="External"/><Relationship Id="rId1432" Type="http://schemas.openxmlformats.org/officeDocument/2006/relationships/hyperlink" Target="https://doi.org/10.1145/3282517.3302397;http:/dx.doi.org/10.1145/3282517.3302397" TargetMode="External"/><Relationship Id="rId1877" Type="http://schemas.openxmlformats.org/officeDocument/2006/relationships/hyperlink" Target="http://link.springer.com/article/10.1007/s10664-022-10164-z" TargetMode="External"/><Relationship Id="rId71" Type="http://schemas.openxmlformats.org/officeDocument/2006/relationships/hyperlink" Target="https://www.scopus.com/inward/record.uri?eid=2-s2.0-85140313968&amp;doi=10.1016%2fj.jss.2022.111524&amp;partnerID=40&amp;md5=e4388fc3234b17723764df2587024515;http://dx.doi.org/10.1016/j.jss.2022.111524" TargetMode="External"/><Relationship Id="rId802" Type="http://schemas.openxmlformats.org/officeDocument/2006/relationships/hyperlink" Target="https://www.scopus.com/inward/record.uri?eid=2-s2.0-85093696448&amp;doi=10.1145%2f3379597.3387459&amp;partnerID=40&amp;md5=d83a2d14a56f14fc61a614034a5d039b;http://dx.doi.org/10.1145/3379597.3387459" TargetMode="External"/><Relationship Id="rId1737" Type="http://schemas.openxmlformats.org/officeDocument/2006/relationships/hyperlink" Target="http://link.springer.com/book/10.1007/978-3-030-88389-8" TargetMode="External"/><Relationship Id="rId1944" Type="http://schemas.openxmlformats.org/officeDocument/2006/relationships/hyperlink" Target="http://link.springer.com/article/10.1007/s11219-019-09478-x" TargetMode="External"/><Relationship Id="rId29" Type="http://schemas.openxmlformats.org/officeDocument/2006/relationships/hyperlink" Target="https://www.scopus.com/inward/record.uri?eid=2-s2.0-85125222267&amp;doi=10.1007%2fs40815-022-01248-5&amp;partnerID=40&amp;md5=9f7e9f99ac22a96db4a97550f0f8e2c5;http://dx.doi.org/10.1007/s40815-022-01248-5" TargetMode="External"/><Relationship Id="rId178" Type="http://schemas.openxmlformats.org/officeDocument/2006/relationships/hyperlink" Target="https://www.scopus.com/inward/record.uri?eid=2-s2.0-85138419041&amp;doi=10.1007%2fs10664-022-10203-9&amp;partnerID=40&amp;md5=d16c0df54ae10ff190933b33b98e4b1a;http://dx.doi.org/10.1007/s10664-022-10203-9" TargetMode="External"/><Relationship Id="rId1804" Type="http://schemas.openxmlformats.org/officeDocument/2006/relationships/hyperlink" Target="http://link.springer.com/book/10.1007/978-981-19-5482-5" TargetMode="External"/><Relationship Id="rId385" Type="http://schemas.openxmlformats.org/officeDocument/2006/relationships/hyperlink" Target="https://www.scopus.com/inward/record.uri?eid=2-s2.0-85132727772&amp;doi=10.1109%2fACCESS.2022.3182703&amp;partnerID=40&amp;md5=4c206ee666c5630048f6865e57257856;http://dx.doi.org/10.1109/ACCESS.2022.3182703" TargetMode="External"/><Relationship Id="rId592" Type="http://schemas.openxmlformats.org/officeDocument/2006/relationships/hyperlink" Target="https://www.scopus.com/inward/record.uri?eid=2-s2.0-85103524094&amp;doi=10.3390%2fmake3010004&amp;partnerID=40&amp;md5=5f59ecb11b411871a7fcc5b9818a1e37;http://dx.doi.org/10.3390/make3010004" TargetMode="External"/><Relationship Id="rId2066" Type="http://schemas.openxmlformats.org/officeDocument/2006/relationships/hyperlink" Target="http://link.springer.com/chapter/10.1007/978-3-030-77283-3_1" TargetMode="External"/><Relationship Id="rId245" Type="http://schemas.openxmlformats.org/officeDocument/2006/relationships/hyperlink" Target="https://www.scopus.com/inward/record.uri?eid=2-s2.0-85133432739&amp;doi=10.1145%2f3522664.3528600&amp;partnerID=40&amp;md5=46e2f7c7db65fa8a996456de137f238d;http://dx.doi.org/10.1145/3522664.3528600" TargetMode="External"/><Relationship Id="rId452" Type="http://schemas.openxmlformats.org/officeDocument/2006/relationships/hyperlink" Target="https://www.scopus.com/inward/record.uri?eid=2-s2.0-85090758196&amp;doi=10.1088%2f1742-6596%2f1587%2f1%2f012020&amp;partnerID=40&amp;md5=9bee82f46c9d3f49ef99493a9ef37493;http://dx.doi.org/10.1088/1742-6596/1587/1/012020" TargetMode="External"/><Relationship Id="rId897" Type="http://schemas.openxmlformats.org/officeDocument/2006/relationships/hyperlink" Target="https://www.scopus.com/inward/record.uri?eid=2-s2.0-85050969959&amp;doi=10.1109%2fICSTW.2018.00039&amp;partnerID=40&amp;md5=14265fd8be7c272ad271e9c8f8990221;http://dx.doi.org/10.1109/ICSTW.2018.00039" TargetMode="External"/><Relationship Id="rId1082" Type="http://schemas.openxmlformats.org/officeDocument/2006/relationships/hyperlink" Target="http://dx.doi.org/10.1109/ICPC.2019.00023" TargetMode="External"/><Relationship Id="rId2133" Type="http://schemas.openxmlformats.org/officeDocument/2006/relationships/hyperlink" Target="http://link.springer.com/article/10.1007/s10664-021-10103-4" TargetMode="External"/><Relationship Id="rId105" Type="http://schemas.openxmlformats.org/officeDocument/2006/relationships/hyperlink" Target="https://www.scopus.com/inward/record.uri?eid=2-s2.0-85145500796&amp;doi=10.1007%2fs00778-022-00775-9&amp;partnerID=40&amp;md5=740b7669cfff7a156276cfc294feb9a5;http://dx.doi.org/10.1007/s00778-022-00775-9" TargetMode="External"/><Relationship Id="rId312" Type="http://schemas.openxmlformats.org/officeDocument/2006/relationships/hyperlink" Target="https://www.scopus.com/inward/record.uri?eid=2-s2.0-85117899094&amp;doi=10.1145%2f3479575&amp;partnerID=40&amp;md5=2588531cb9eb7a52ed8be8a66ae0167a;http://dx.doi.org/10.1145/3479575" TargetMode="External"/><Relationship Id="rId757" Type="http://schemas.openxmlformats.org/officeDocument/2006/relationships/hyperlink" Target="https://www.scopus.com/inward/record.uri?eid=2-s2.0-85084928234&amp;doi=10.1145%2f3385187&amp;partnerID=40&amp;md5=2cdbd4ded79597910530cffb23e1df31;http://dx.doi.org/10.1145/3385187" TargetMode="External"/><Relationship Id="rId964" Type="http://schemas.openxmlformats.org/officeDocument/2006/relationships/hyperlink" Target="https://www.scopus.com/inward/record.uri?eid=2-s2.0-85032433166&amp;doi=10.1109%2fTSE.2017.2671865&amp;partnerID=40&amp;md5=4db7eb5764a6022a18ba1a99cf9ec1bb;http://dx.doi.org/10.1109/TSE.2017.2671865" TargetMode="External"/><Relationship Id="rId1387" Type="http://schemas.openxmlformats.org/officeDocument/2006/relationships/hyperlink" Target="https://doi.org/10.1145/3347269;http:/dx.doi.org/10.1145/3347269" TargetMode="External"/><Relationship Id="rId1594" Type="http://schemas.openxmlformats.org/officeDocument/2006/relationships/hyperlink" Target="https://www.sciencedirect.com/science/article/pii/S0164121221000339;http:/dx.doi.org/10.1016/j.jss.2021.110936" TargetMode="External"/><Relationship Id="rId93" Type="http://schemas.openxmlformats.org/officeDocument/2006/relationships/hyperlink" Target="https://www.scopus.com/inward/record.uri?eid=2-s2.0-85131438314&amp;doi=10.1016%2fj.softx.2022.101113&amp;partnerID=40&amp;md5=3743d4c140bc0b123ee54ada82f7f857;http://dx.doi.org/10.1016/j.softx.2022.101113" TargetMode="External"/><Relationship Id="rId617" Type="http://schemas.openxmlformats.org/officeDocument/2006/relationships/hyperlink" Target="https://www.scopus.com/inward/record.uri?eid=2-s2.0-85046362904&amp;doi=10.1109%2fTSE.2018.2831232&amp;partnerID=40&amp;md5=333fc3e9214c2d64801569958528ab9c;http://dx.doi.org/10.1109/TSE.2018.2831232" TargetMode="External"/><Relationship Id="rId824" Type="http://schemas.openxmlformats.org/officeDocument/2006/relationships/hyperlink" Target="https://www.scopus.com/inward/record.uri?eid=2-s2.0-84991829839&amp;doi=10.1007%2fs10664-016-9460-6&amp;partnerID=40&amp;md5=733a7f1f876e25889ed49650415b2104;http://dx.doi.org/10.1007/s10664-016-9460-6" TargetMode="External"/><Relationship Id="rId1247" Type="http://schemas.openxmlformats.org/officeDocument/2006/relationships/hyperlink" Target="http://dx.doi.org/10.1109/VL/HCC50065.2020.9127202" TargetMode="External"/><Relationship Id="rId1454" Type="http://schemas.openxmlformats.org/officeDocument/2006/relationships/hyperlink" Target="https://doi.org/10.1145/3510457.3513082;http:/dx.doi.org/10.1145/3510457.3513082" TargetMode="External"/><Relationship Id="rId1661" Type="http://schemas.openxmlformats.org/officeDocument/2006/relationships/hyperlink" Target="https://www.sciencedirect.com/science/article/pii/S0164121220300753;http:/dx.doi.org/10.1016/j.jss.2020.110596" TargetMode="External"/><Relationship Id="rId1899" Type="http://schemas.openxmlformats.org/officeDocument/2006/relationships/hyperlink" Target="http://link.springer.com/book/10.1007/978-3-030-84614-5" TargetMode="External"/><Relationship Id="rId1107" Type="http://schemas.openxmlformats.org/officeDocument/2006/relationships/hyperlink" Target="http://dx.doi.org/10.1109/ICCSEA49143.2020.9132886" TargetMode="External"/><Relationship Id="rId1314" Type="http://schemas.openxmlformats.org/officeDocument/2006/relationships/hyperlink" Target="http://dx.doi.org/10.1049/et.2022.0521" TargetMode="External"/><Relationship Id="rId1521" Type="http://schemas.openxmlformats.org/officeDocument/2006/relationships/hyperlink" Target="https://doi.org/10.1145/3475716.3475784;http:/dx.doi.org/10.1145/3475716.3475784" TargetMode="External"/><Relationship Id="rId1759" Type="http://schemas.openxmlformats.org/officeDocument/2006/relationships/hyperlink" Target="http://link.springer.com/book/10.1007/978-3-031-20984-0" TargetMode="External"/><Relationship Id="rId1966" Type="http://schemas.openxmlformats.org/officeDocument/2006/relationships/hyperlink" Target="http://link.springer.com/chapter/10.1007/978-3-031-15559-8_5" TargetMode="External"/><Relationship Id="rId1619" Type="http://schemas.openxmlformats.org/officeDocument/2006/relationships/hyperlink" Target="https://www.sciencedirect.com/science/article/pii/S0167739X22003223;http:/dx.doi.org/10.1016/j.future.2022.10.008" TargetMode="External"/><Relationship Id="rId1826" Type="http://schemas.openxmlformats.org/officeDocument/2006/relationships/hyperlink" Target="http://link.springer.com/book/10.1007/978-3-030-30126-2" TargetMode="External"/><Relationship Id="rId20" Type="http://schemas.openxmlformats.org/officeDocument/2006/relationships/hyperlink" Target="https://www.scopus.com/inward/record.uri?eid=2-s2.0-85132368307&amp;doi=10.1145%2f3530019.3530038&amp;partnerID=40&amp;md5=c3ec9d53f1a5f1f12c0265314c2709a9;http://dx.doi.org/10.1145/3530019.3530038" TargetMode="External"/><Relationship Id="rId2088" Type="http://schemas.openxmlformats.org/officeDocument/2006/relationships/hyperlink" Target="http://link.springer.com/book/10.1007/978-3-658-37009-1" TargetMode="External"/><Relationship Id="rId267" Type="http://schemas.openxmlformats.org/officeDocument/2006/relationships/hyperlink" Target="https://www.scopus.com/inward/record.uri?eid=2-s2.0-85113692154&amp;doi=10.1109%2fMSR52588.2021.00059&amp;partnerID=40&amp;md5=e3b61bb3742bb8a903734d99f7ac9a6f;http://dx.doi.org/10.1109/MSR52588.2021.00059" TargetMode="External"/><Relationship Id="rId474" Type="http://schemas.openxmlformats.org/officeDocument/2006/relationships/hyperlink" Target="https://www.scopus.com/inward/record.uri?eid=2-s2.0-85078457936&amp;doi=10.1080%2f19361610.2020.1716511&amp;partnerID=40&amp;md5=74aa5b09d807a4c4775813f724515caf;http://dx.doi.org/10.1080/19361610.2020.1716511" TargetMode="External"/><Relationship Id="rId2155" Type="http://schemas.openxmlformats.org/officeDocument/2006/relationships/hyperlink" Target="http://link.springer.com/chapter/10.1007/978-1-4842-5107-2_8" TargetMode="External"/><Relationship Id="rId127" Type="http://schemas.openxmlformats.org/officeDocument/2006/relationships/hyperlink" Target="https://www.scopus.com/inward/record.uri?eid=2-s2.0-85119991290&amp;doi=10.1016%2fj.jss.2021.111135&amp;partnerID=40&amp;md5=89a7ed2b6b11a2e95db84791e2ba8bdc;http://dx.doi.org/10.1016/j.jss.2021.111135" TargetMode="External"/><Relationship Id="rId681" Type="http://schemas.openxmlformats.org/officeDocument/2006/relationships/hyperlink" Target="https://www.scopus.com/inward/record.uri?eid=2-s2.0-85084133224&amp;doi=10.1109%2fACCESS.2020.2985098&amp;partnerID=40&amp;md5=f9bfb7ad46c35adfc3d60bde09cba2ec;http://dx.doi.org/10.1109/ACCESS.2020.2985098" TargetMode="External"/><Relationship Id="rId779" Type="http://schemas.openxmlformats.org/officeDocument/2006/relationships/hyperlink" Target="https://www.scopus.com/inward/record.uri?eid=2-s2.0-85098171792&amp;doi=10.1007%2f978-3-030-63322-6_4&amp;partnerID=40&amp;md5=bcb4cba359711f76a867d3f48e411765;http://dx.doi.org/10.1007/978-3-030-63322-6_4" TargetMode="External"/><Relationship Id="rId986" Type="http://schemas.openxmlformats.org/officeDocument/2006/relationships/hyperlink" Target="http://dx.doi.org/10.1109/TSE.2019.2937083" TargetMode="External"/><Relationship Id="rId334" Type="http://schemas.openxmlformats.org/officeDocument/2006/relationships/hyperlink" Target="https://www.scopus.com/inward/record.uri?eid=2-s2.0-85091770310&amp;doi=10.1007%2fs00521-020-05379-4&amp;partnerID=40&amp;md5=17baedb91c4a7ae3379bb063b065662b;http://dx.doi.org/10.1007/s00521-020-05379-4" TargetMode="External"/><Relationship Id="rId541" Type="http://schemas.openxmlformats.org/officeDocument/2006/relationships/hyperlink" Target="https://www.scopus.com/inward/record.uri?eid=2-s2.0-85092763520&amp;doi=10.3390%2fe22101122&amp;partnerID=40&amp;md5=d5d13f826d30dab82eb00f8a82bf76e4;http://dx.doi.org/10.3390/e22101122" TargetMode="External"/><Relationship Id="rId639" Type="http://schemas.openxmlformats.org/officeDocument/2006/relationships/hyperlink" Target="https://www.scopus.com/inward/record.uri?eid=2-s2.0-85073435706&amp;doi=10.1109%2fIWoR.2019.00015&amp;partnerID=40&amp;md5=e10e2a5c9022551b1016cdc78d9b9a95;http://dx.doi.org/10.1109/IWoR.2019.00015" TargetMode="External"/><Relationship Id="rId1171" Type="http://schemas.openxmlformats.org/officeDocument/2006/relationships/hyperlink" Target="http://dx.doi.org/10.1109/TBDATA.2019.2921774" TargetMode="External"/><Relationship Id="rId1269" Type="http://schemas.openxmlformats.org/officeDocument/2006/relationships/hyperlink" Target="http://dx.doi.org/10.1109/eScience55777.2022.00090" TargetMode="External"/><Relationship Id="rId1476" Type="http://schemas.openxmlformats.org/officeDocument/2006/relationships/hyperlink" Target="https://doi.org/10.1145/3196321.3196322;http:/dx.doi.org/10.1145/3196321.3196322" TargetMode="External"/><Relationship Id="rId2015" Type="http://schemas.openxmlformats.org/officeDocument/2006/relationships/hyperlink" Target="http://link.springer.com/chapter/10.1007/978-1-4842-5104-1_8" TargetMode="External"/><Relationship Id="rId401" Type="http://schemas.openxmlformats.org/officeDocument/2006/relationships/hyperlink" Target="https://www.scopus.com/inward/record.uri?eid=2-s2.0-85100941930&amp;doi=10.1007%2fs10462-020-09942-2&amp;partnerID=40&amp;md5=7830d08c29f6505be6357f6ef3a80856;http://dx.doi.org/10.1007/s10462-020-09942-2" TargetMode="External"/><Relationship Id="rId846" Type="http://schemas.openxmlformats.org/officeDocument/2006/relationships/hyperlink" Target="https://www.scopus.com/inward/record.uri?eid=2-s2.0-85052334218&amp;doi=10.1109%2fQRS.2018.00022&amp;partnerID=40&amp;md5=23f508f0a35d3d0723c974f99d1a5d48;http://dx.doi.org/10.1109/QRS.2018.00022" TargetMode="External"/><Relationship Id="rId1031" Type="http://schemas.openxmlformats.org/officeDocument/2006/relationships/hyperlink" Target="http://dx.doi.org/10.1109/BigData.2017.8258038" TargetMode="External"/><Relationship Id="rId1129" Type="http://schemas.openxmlformats.org/officeDocument/2006/relationships/hyperlink" Target="http://dx.doi.org/10.22360/SpringSim.2020.HSAA.007" TargetMode="External"/><Relationship Id="rId1683" Type="http://schemas.openxmlformats.org/officeDocument/2006/relationships/hyperlink" Target="https://www.sciencedirect.com/science/article/pii/S0164121219301323;http:/dx.doi.org/10.1016/j.jss.2019.06.003" TargetMode="External"/><Relationship Id="rId1890" Type="http://schemas.openxmlformats.org/officeDocument/2006/relationships/hyperlink" Target="http://link.springer.com/book/10.1007/978-3-031-16697-6" TargetMode="External"/><Relationship Id="rId1988" Type="http://schemas.openxmlformats.org/officeDocument/2006/relationships/hyperlink" Target="http://link.springer.com/book/10.1007/978-981-16-3807-7" TargetMode="External"/><Relationship Id="rId706" Type="http://schemas.openxmlformats.org/officeDocument/2006/relationships/hyperlink" Target="https://www.scopus.com/inward/record.uri?eid=2-s2.0-85071142564&amp;doi=10.1109%2fACCESS.2019.2933318&amp;partnerID=40&amp;md5=07d8d7c4cdc5cdb07cce1aa595c35180;http://dx.doi.org/10.1109/ACCESS.2019.2933318" TargetMode="External"/><Relationship Id="rId913" Type="http://schemas.openxmlformats.org/officeDocument/2006/relationships/hyperlink" Target="https://www.scopus.com/inward/record.uri?eid=2-s2.0-85025432762&amp;doi=10.1145%2f3084226.3084239&amp;partnerID=40&amp;md5=874158b90143a4a1ada5da7df674be31;http://dx.doi.org/10.1145/3084226.3084239" TargetMode="External"/><Relationship Id="rId1336" Type="http://schemas.openxmlformats.org/officeDocument/2006/relationships/hyperlink" Target="https://doi.org/10.1145/3340482.3342747;http:/dx.doi.org/10.1145/3340482.3342747" TargetMode="External"/><Relationship Id="rId1543" Type="http://schemas.openxmlformats.org/officeDocument/2006/relationships/hyperlink" Target="https://doi.org/10.1145/3426428.3426925;http:/dx.doi.org/10.1145/3426428.3426925" TargetMode="External"/><Relationship Id="rId1750" Type="http://schemas.openxmlformats.org/officeDocument/2006/relationships/hyperlink" Target="http://link.springer.com/book/10.1007/978-3-030-79382-1" TargetMode="External"/><Relationship Id="rId42" Type="http://schemas.openxmlformats.org/officeDocument/2006/relationships/hyperlink" Target="https://www.scopus.com/inward/record.uri?eid=2-s2.0-85143077577&amp;doi=10.1145%2f3540250.3558967&amp;partnerID=40&amp;md5=b10423b7968eeb52f2424d3966d2e3c6;http://dx.doi.org/10.1145/3540250.3558967" TargetMode="External"/><Relationship Id="rId1403" Type="http://schemas.openxmlformats.org/officeDocument/2006/relationships/hyperlink" Target="https://doi.org/10.1145/3510454.3517055;http:/dx.doi.org/10.1145/3510454.3517055" TargetMode="External"/><Relationship Id="rId1610" Type="http://schemas.openxmlformats.org/officeDocument/2006/relationships/hyperlink" Target="https://www.sciencedirect.com/science/article/pii/S016412122100251X;http:/dx.doi.org/10.1016/j.jss.2021.111166" TargetMode="External"/><Relationship Id="rId1848" Type="http://schemas.openxmlformats.org/officeDocument/2006/relationships/hyperlink" Target="http://link.springer.com/chapter/10.1007/978-3-030-43020-7_93" TargetMode="External"/><Relationship Id="rId191" Type="http://schemas.openxmlformats.org/officeDocument/2006/relationships/hyperlink" Target="https://www.scopus.com/inward/record.uri?eid=2-s2.0-85130736612&amp;doi=10.1145%2f3490487&amp;partnerID=40&amp;md5=daec68db4ef0fa69ebb519aa3c85d1ae;http://dx.doi.org/10.1145/3490487" TargetMode="External"/><Relationship Id="rId1708" Type="http://schemas.openxmlformats.org/officeDocument/2006/relationships/hyperlink" Target="https://www.sciencedirect.com/science/article/pii/S2666546822000544;http:/dx.doi.org/10.1016/j.egyai.2022.100208" TargetMode="External"/><Relationship Id="rId1915" Type="http://schemas.openxmlformats.org/officeDocument/2006/relationships/hyperlink" Target="http://link.springer.com/article/10.1007/s11334-021-00388-5" TargetMode="External"/><Relationship Id="rId289" Type="http://schemas.openxmlformats.org/officeDocument/2006/relationships/hyperlink" Target="https://www.scopus.com/inward/record.uri?eid=2-s2.0-85128925243&amp;doi=10.1007%2f978-3-031-04115-0_3&amp;partnerID=40&amp;md5=7cebbd7dddbf4281addae297ccc02fa3;http://dx.doi.org/10.1007/978-3-031-04115-0_3" TargetMode="External"/><Relationship Id="rId496" Type="http://schemas.openxmlformats.org/officeDocument/2006/relationships/hyperlink" Target="https://www.scopus.com/inward/record.uri?eid=2-s2.0-85096208082&amp;partnerID=40&amp;md5=9aadf7cfafe4bc00404f44bf0de4db4c" TargetMode="External"/><Relationship Id="rId2177" Type="http://schemas.openxmlformats.org/officeDocument/2006/relationships/hyperlink" Target="http://link.springer.com/chapter/10.1007/978-1-4842-8575-6_9" TargetMode="External"/><Relationship Id="rId149" Type="http://schemas.openxmlformats.org/officeDocument/2006/relationships/hyperlink" Target="https://www.scopus.com/inward/record.uri?eid=2-s2.0-85142683338&amp;doi=10.1007%2f978-3-031-21388-5_19&amp;partnerID=40&amp;md5=c3af08459cf0233cd5db9d511d5918d9;http://dx.doi.org/10.1007/978-3-031-21388-5_19" TargetMode="External"/><Relationship Id="rId356" Type="http://schemas.openxmlformats.org/officeDocument/2006/relationships/hyperlink" Target="https://www.scopus.com/inward/record.uri?eid=2-s2.0-85112052871&amp;doi=10.1145%2f3447247&amp;partnerID=40&amp;md5=64e9a5d0a33bf2cdbda8593b4b2d2ac4;http://dx.doi.org/10.1145/3447247" TargetMode="External"/><Relationship Id="rId563" Type="http://schemas.openxmlformats.org/officeDocument/2006/relationships/hyperlink" Target="https://www.scopus.com/inward/record.uri?eid=2-s2.0-85092453671&amp;doi=10.1016%2fj.cmpb.2020.105782&amp;partnerID=40&amp;md5=c872a54fce7931bff642bdf878096143;http://dx.doi.org/10.1016/j.cmpb.2020.105782" TargetMode="External"/><Relationship Id="rId770" Type="http://schemas.openxmlformats.org/officeDocument/2006/relationships/hyperlink" Target="https://www.scopus.com/inward/record.uri?eid=2-s2.0-85077682252&amp;doi=10.1109%2fTENCON.2019.8929628&amp;partnerID=40&amp;md5=43b2527dc20284f9b5b10e24b25d5df3;http://dx.doi.org/10.1109/TENCON.2019.8929628" TargetMode="External"/><Relationship Id="rId1193" Type="http://schemas.openxmlformats.org/officeDocument/2006/relationships/hyperlink" Target="http://dx.doi.org/10.1109/Cluster48925.2021.00053" TargetMode="External"/><Relationship Id="rId2037" Type="http://schemas.openxmlformats.org/officeDocument/2006/relationships/hyperlink" Target="http://link.springer.com/chapter/10.1007/978-3-662-58485-9_13" TargetMode="External"/><Relationship Id="rId216" Type="http://schemas.openxmlformats.org/officeDocument/2006/relationships/hyperlink" Target="https://www.scopus.com/inward/record.uri?eid=2-s2.0-85142688414&amp;doi=10.1007%2f978-3-031-21388-5_51&amp;partnerID=40&amp;md5=56790ac98ea4f9733cca41a00bfca010;http://dx.doi.org/10.1007/978-3-031-21388-5_51" TargetMode="External"/><Relationship Id="rId423" Type="http://schemas.openxmlformats.org/officeDocument/2006/relationships/hyperlink" Target="https://www.scopus.com/inward/record.uri?eid=2-s2.0-85120584694&amp;doi=10.1109%2fRE51729.2021.00009&amp;partnerID=40&amp;md5=42fdedbfc2808f06657b764db70385b7;http://dx.doi.org/10.1109/RE51729.2021.00009" TargetMode="External"/><Relationship Id="rId868" Type="http://schemas.openxmlformats.org/officeDocument/2006/relationships/hyperlink" Target="https://www.scopus.com/inward/record.uri?eid=2-s2.0-84965107309&amp;partnerID=40&amp;md5=18bbc8dc5266339b6dc47a1e9b508dcf" TargetMode="External"/><Relationship Id="rId1053" Type="http://schemas.openxmlformats.org/officeDocument/2006/relationships/hyperlink" Target="http://dx.doi.org/10.1109/TSE.2022.3224378" TargetMode="External"/><Relationship Id="rId1260" Type="http://schemas.openxmlformats.org/officeDocument/2006/relationships/hyperlink" Target="http://dx.doi.org/10.1109/AST.2017.3" TargetMode="External"/><Relationship Id="rId1498" Type="http://schemas.openxmlformats.org/officeDocument/2006/relationships/hyperlink" Target="https://doi.org/10.1109/IWoR.2019.00017;http:/dx.doi.org/10.1109/IWoR.2019.00017" TargetMode="External"/><Relationship Id="rId2104" Type="http://schemas.openxmlformats.org/officeDocument/2006/relationships/hyperlink" Target="http://link.springer.com/article/10.1007/s11219-016-9336-4" TargetMode="External"/><Relationship Id="rId630" Type="http://schemas.openxmlformats.org/officeDocument/2006/relationships/hyperlink" Target="https://www.scopus.com/inward/record.uri?eid=2-s2.0-85070076631&amp;doi=10.1007%2fs10664-019-09739-0&amp;partnerID=40&amp;md5=7d5a5da57ef7db65063b149302c323d2;http://dx.doi.org/10.1007/s10664-019-09739-0" TargetMode="External"/><Relationship Id="rId728" Type="http://schemas.openxmlformats.org/officeDocument/2006/relationships/hyperlink" Target="https://www.scopus.com/inward/record.uri?eid=2-s2.0-85081634201&amp;doi=10.1007%2fs10664-019-09788-5&amp;partnerID=40&amp;md5=2cd209ad64b6d45955d9d90dfceaf6c6;http://dx.doi.org/10.1007/s10664-019-09788-5" TargetMode="External"/><Relationship Id="rId935" Type="http://schemas.openxmlformats.org/officeDocument/2006/relationships/hyperlink" Target="https://www.scopus.com/inward/record.uri?eid=2-s2.0-85054881933&amp;doi=10.1007%2f978-3-030-00623-5_2&amp;partnerID=40&amp;md5=2b8c9a4443e0bc62d0139c404268876f;http://dx.doi.org/10.1007/978-3-030-00623-5_2" TargetMode="External"/><Relationship Id="rId1358" Type="http://schemas.openxmlformats.org/officeDocument/2006/relationships/hyperlink" Target="https://doi.org/10.1145/3524843.3528098;http:/dx.doi.org/10.1145/3524843.3528098" TargetMode="External"/><Relationship Id="rId1565" Type="http://schemas.openxmlformats.org/officeDocument/2006/relationships/hyperlink" Target="https://www.sciencedirect.com/science/article/pii/S0950584920300240;http:/dx.doi.org/10.1016/j.infsof.2020.106274" TargetMode="External"/><Relationship Id="rId1772" Type="http://schemas.openxmlformats.org/officeDocument/2006/relationships/hyperlink" Target="http://link.springer.com/book/10.1007/978-3-031-02063-6" TargetMode="External"/><Relationship Id="rId64" Type="http://schemas.openxmlformats.org/officeDocument/2006/relationships/hyperlink" Target="https://www.scopus.com/inward/record.uri?eid=2-s2.0-85137987405&amp;doi=10.1007%2f978-3-031-14179-9_11&amp;partnerID=40&amp;md5=3310f3bcde2403572c5a9cfda7ee46d0;http://dx.doi.org/10.1007/978-3-031-14179-9_11" TargetMode="External"/><Relationship Id="rId1120" Type="http://schemas.openxmlformats.org/officeDocument/2006/relationships/hyperlink" Target="http://dx.doi.org/10.1109/MS.2022.3180906" TargetMode="External"/><Relationship Id="rId1218" Type="http://schemas.openxmlformats.org/officeDocument/2006/relationships/hyperlink" Target="http://dx.doi.org/10.23919/JSC.2021.0023" TargetMode="External"/><Relationship Id="rId1425" Type="http://schemas.openxmlformats.org/officeDocument/2006/relationships/hyperlink" Target="https://doi.org/10.1145/3379597.3387448;http:/dx.doi.org/10.1145/3379597.3387448" TargetMode="External"/><Relationship Id="rId1632" Type="http://schemas.openxmlformats.org/officeDocument/2006/relationships/hyperlink" Target="https://www.sciencedirect.com/science/article/pii/S016412122030282X;http:/dx.doi.org/10.1016/j.jss.2020.110892" TargetMode="External"/><Relationship Id="rId1937" Type="http://schemas.openxmlformats.org/officeDocument/2006/relationships/hyperlink" Target="http://link.springer.com/article/10.1007/s41870-020-00487-9" TargetMode="External"/><Relationship Id="rId280" Type="http://schemas.openxmlformats.org/officeDocument/2006/relationships/hyperlink" Target="https://www.scopus.com/inward/record.uri?eid=2-s2.0-85114747740&amp;doi=10.1007%2fs10664-021-10015-3&amp;partnerID=40&amp;md5=fe1494adfcb4b48a9a4e62153f695d2f;http://dx.doi.org/10.1007/s10664-021-10015-3" TargetMode="External"/><Relationship Id="rId140" Type="http://schemas.openxmlformats.org/officeDocument/2006/relationships/hyperlink" Target="https://www.scopus.com/inward/record.uri?eid=2-s2.0-85124087646&amp;doi=10.3390%2fs22031252&amp;partnerID=40&amp;md5=3a859bf853571991698e1468de6a64d8;http://dx.doi.org/10.3390/s22031252" TargetMode="External"/><Relationship Id="rId378" Type="http://schemas.openxmlformats.org/officeDocument/2006/relationships/hyperlink" Target="https://www.scopus.com/inward/record.uri?eid=2-s2.0-85109370861&amp;doi=10.1088%2f1742-6596%2f1955%2f1%2f012102&amp;partnerID=40&amp;md5=9fc23f8475fd6669354976ce553fb5c6;http://dx.doi.org/10.1088/1742-6596/1955/1/012102" TargetMode="External"/><Relationship Id="rId585" Type="http://schemas.openxmlformats.org/officeDocument/2006/relationships/hyperlink" Target="https://www.scopus.com/inward/record.uri?eid=2-s2.0-85099198559&amp;doi=10.1016%2fj.jss.2020.110902&amp;partnerID=40&amp;md5=53256e07016c7b3e27f1a78be1e20811;http://dx.doi.org/10.1016/j.jss.2020.110902" TargetMode="External"/><Relationship Id="rId792" Type="http://schemas.openxmlformats.org/officeDocument/2006/relationships/hyperlink" Target="https://www.scopus.com/inward/record.uri?eid=2-s2.0-85074164358&amp;doi=10.7717%2fpeerj-cs.187&amp;partnerID=40&amp;md5=838f694bff45f6fd7a1052348e000a72;http://dx.doi.org/10.7717/peerj-cs.187" TargetMode="External"/><Relationship Id="rId2059" Type="http://schemas.openxmlformats.org/officeDocument/2006/relationships/hyperlink" Target="http://link.springer.com/book/10.1007/978-3-030-94837-5" TargetMode="External"/><Relationship Id="rId6" Type="http://schemas.openxmlformats.org/officeDocument/2006/relationships/hyperlink" Target="http://dx.doi.org/10.1007/s11704-020-9281-z" TargetMode="External"/><Relationship Id="rId238" Type="http://schemas.openxmlformats.org/officeDocument/2006/relationships/hyperlink" Target="https://www.scopus.com/inward/record.uri?eid=2-s2.0-85130738070&amp;doi=10.4018%2fIJOSSP.300756&amp;partnerID=40&amp;md5=242b5facb6672ebf14f1465c699beb8f;http://dx.doi.org/10.4018/IJOSSP.300756" TargetMode="External"/><Relationship Id="rId445" Type="http://schemas.openxmlformats.org/officeDocument/2006/relationships/hyperlink" Target="https://www.scopus.com/inward/record.uri?eid=2-s2.0-85117851973&amp;partnerID=40&amp;md5=432dfcd59472a3cd505d933cd50bb82a" TargetMode="External"/><Relationship Id="rId652" Type="http://schemas.openxmlformats.org/officeDocument/2006/relationships/hyperlink" Target="https://www.scopus.com/inward/record.uri?eid=2-s2.0-85091160754&amp;doi=10.1007%2f978-3-030-58793-2_2&amp;partnerID=40&amp;md5=9e7a917c890f19f7818464d7a3c8ab1e;http://dx.doi.org/10.1007/978-3-030-58793-2_2" TargetMode="External"/><Relationship Id="rId1075" Type="http://schemas.openxmlformats.org/officeDocument/2006/relationships/hyperlink" Target="http://dx.doi.org/10.1109/CogMI48466.2019.00030" TargetMode="External"/><Relationship Id="rId1282" Type="http://schemas.openxmlformats.org/officeDocument/2006/relationships/hyperlink" Target="http://dx.doi.org/10.1109/ISPRAS53967.2021.00027" TargetMode="External"/><Relationship Id="rId2126" Type="http://schemas.openxmlformats.org/officeDocument/2006/relationships/hyperlink" Target="http://link.springer.com/article/10.1007/s10609-023-09451-1" TargetMode="External"/><Relationship Id="rId305" Type="http://schemas.openxmlformats.org/officeDocument/2006/relationships/hyperlink" Target="https://www.scopus.com/inward/record.uri?eid=2-s2.0-85135795681&amp;doi=10.1109%2fSANER53432.2022.00113&amp;partnerID=40&amp;md5=adfadeb536fc69a0106a71907100f942;http://dx.doi.org/10.1109/SANER53432.2022.00113" TargetMode="External"/><Relationship Id="rId512" Type="http://schemas.openxmlformats.org/officeDocument/2006/relationships/hyperlink" Target="https://www.scopus.com/inward/record.uri?eid=2-s2.0-85113620912&amp;partnerID=40&amp;md5=4ec6c60b0a801883da8b533dc84013f2" TargetMode="External"/><Relationship Id="rId957" Type="http://schemas.openxmlformats.org/officeDocument/2006/relationships/hyperlink" Target="https://www.scopus.com/inward/record.uri?eid=2-s2.0-85051544507&amp;doi=10.1145%2f3196369.3196391&amp;partnerID=40&amp;md5=1db0914241bc8c746677c681d387b301;http://dx.doi.org/10.1145/3196369.3196391" TargetMode="External"/><Relationship Id="rId1142" Type="http://schemas.openxmlformats.org/officeDocument/2006/relationships/hyperlink" Target="http://dx.doi.org/10.1109/SNPD51163.2021.9705010" TargetMode="External"/><Relationship Id="rId1587" Type="http://schemas.openxmlformats.org/officeDocument/2006/relationships/hyperlink" Target="https://www.sciencedirect.com/science/article/pii/S0950584921000495;http:/dx.doi.org/10.1016/j.infsof.2021.106566" TargetMode="External"/><Relationship Id="rId1794" Type="http://schemas.openxmlformats.org/officeDocument/2006/relationships/hyperlink" Target="http://link.springer.com/book/10.1007/978-3-030-91983-2" TargetMode="External"/><Relationship Id="rId86" Type="http://schemas.openxmlformats.org/officeDocument/2006/relationships/hyperlink" Target="https://www.scopus.com/inward/record.uri?eid=2-s2.0-85136220815&amp;doi=10.1109%2fJCSSE54890.2022.9836311&amp;partnerID=40&amp;md5=7e08ec074e19ea7c325df9850b4d6f97;http://dx.doi.org/10.1109/JCSSE54890.2022.9836311" TargetMode="External"/><Relationship Id="rId817" Type="http://schemas.openxmlformats.org/officeDocument/2006/relationships/hyperlink" Target="https://www.scopus.com/inward/record.uri?eid=2-s2.0-85056707888&amp;doi=10.1145%2f3275245.3275248&amp;partnerID=40&amp;md5=ccd03972c758e2cc3a71fcd673f39bcd;http://dx.doi.org/10.1145/3275245.3275248" TargetMode="External"/><Relationship Id="rId1002" Type="http://schemas.openxmlformats.org/officeDocument/2006/relationships/hyperlink" Target="http://dx.doi.org/10.1109/TSE.2021.3135465" TargetMode="External"/><Relationship Id="rId1447" Type="http://schemas.openxmlformats.org/officeDocument/2006/relationships/hyperlink" Target="https://doi.org/10.1109/SEmotion.2019.00014;http:/dx.doi.org/10.1109/SEmotion.2019.00014" TargetMode="External"/><Relationship Id="rId1654" Type="http://schemas.openxmlformats.org/officeDocument/2006/relationships/hyperlink" Target="https://www.sciencedirect.com/science/article/pii/S0957417420308824;http:/dx.doi.org/10.1016/j.eswa.2020.114134" TargetMode="External"/><Relationship Id="rId1861" Type="http://schemas.openxmlformats.org/officeDocument/2006/relationships/hyperlink" Target="http://link.springer.com/book/10.1007/978-3-030-67084-9" TargetMode="External"/><Relationship Id="rId1307" Type="http://schemas.openxmlformats.org/officeDocument/2006/relationships/hyperlink" Target="http://dx.doi.org/10.1109/SEAA56994.2022.00004" TargetMode="External"/><Relationship Id="rId1514" Type="http://schemas.openxmlformats.org/officeDocument/2006/relationships/hyperlink" Target="https://doi.org/10.1145/3471930;http:/dx.doi.org/10.1145/3471930" TargetMode="External"/><Relationship Id="rId1721" Type="http://schemas.openxmlformats.org/officeDocument/2006/relationships/hyperlink" Target="http://link.springer.com/book/10.1007/978-3-030-64148-1" TargetMode="External"/><Relationship Id="rId1959" Type="http://schemas.openxmlformats.org/officeDocument/2006/relationships/hyperlink" Target="http://link.springer.com/book/10.1007/978-1-4842-7252-7" TargetMode="External"/><Relationship Id="rId13" Type="http://schemas.openxmlformats.org/officeDocument/2006/relationships/hyperlink" Target="http://dx.doi.org/10.1007/s10664-022-10121-w" TargetMode="External"/><Relationship Id="rId1819" Type="http://schemas.openxmlformats.org/officeDocument/2006/relationships/hyperlink" Target="http://link.springer.com/book/10.1007/978-3-030-28464-0" TargetMode="External"/><Relationship Id="rId162" Type="http://schemas.openxmlformats.org/officeDocument/2006/relationships/hyperlink" Target="https://www.scopus.com/inward/record.uri?eid=2-s2.0-85130727000&amp;doi=10.1145%2f3487043&amp;partnerID=40&amp;md5=fbf7ac61842908f81cd945ae6a1009e4;http://dx.doi.org/10.1145/3487043" TargetMode="External"/><Relationship Id="rId467" Type="http://schemas.openxmlformats.org/officeDocument/2006/relationships/hyperlink" Target="https://www.scopus.com/inward/record.uri?eid=2-s2.0-85106148361&amp;doi=10.1007%2f978-3-030-75251-4_1&amp;partnerID=40&amp;md5=db22e5d3804b44fd6c2ede9e3007f0cc;http://dx.doi.org/10.1007/978-3-030-75251-4_1" TargetMode="External"/><Relationship Id="rId1097" Type="http://schemas.openxmlformats.org/officeDocument/2006/relationships/hyperlink" Target="http://dx.doi.org/10.1109/SEmotion52567.2021.00011" TargetMode="External"/><Relationship Id="rId2050" Type="http://schemas.openxmlformats.org/officeDocument/2006/relationships/hyperlink" Target="http://link.springer.com/article/10.1007/s00500-021-06254-7" TargetMode="External"/><Relationship Id="rId2148" Type="http://schemas.openxmlformats.org/officeDocument/2006/relationships/hyperlink" Target="http://link.springer.com/article/10.1007/s00766-014-0205-z" TargetMode="External"/><Relationship Id="rId674" Type="http://schemas.openxmlformats.org/officeDocument/2006/relationships/hyperlink" Target="https://www.scopus.com/inward/record.uri?eid=2-s2.0-85071146151&amp;doi=10.1109%2fTechDebt.2019.00025&amp;partnerID=40&amp;md5=a6bf5dc2c6baf5b49904d2b7fb3432d3;http://dx.doi.org/10.1109/TechDebt.2019.00025" TargetMode="External"/><Relationship Id="rId881" Type="http://schemas.openxmlformats.org/officeDocument/2006/relationships/hyperlink" Target="https://www.scopus.com/inward/record.uri?eid=2-s2.0-85049555118&amp;doi=10.13328%2fj.cnki.jos.005520&amp;partnerID=40&amp;md5=02111ae26bb140f11169d60139a11bd7;http://dx.doi.org/10.13328/j.cnki.jos.005520" TargetMode="External"/><Relationship Id="rId979" Type="http://schemas.openxmlformats.org/officeDocument/2006/relationships/hyperlink" Target="http://dx.doi.org/10.1145/3524843.3528094" TargetMode="External"/><Relationship Id="rId327" Type="http://schemas.openxmlformats.org/officeDocument/2006/relationships/hyperlink" Target="https://www.scopus.com/inward/record.uri?eid=2-s2.0-85115698007&amp;doi=10.1109%2fICSE43902.2021.00049&amp;partnerID=40&amp;md5=1681c7698bd596159fdedcea721b1357;http://dx.doi.org/10.1109/ICSE43902.2021.00049" TargetMode="External"/><Relationship Id="rId534" Type="http://schemas.openxmlformats.org/officeDocument/2006/relationships/hyperlink" Target="https://www.scopus.com/inward/record.uri?eid=2-s2.0-85097715141&amp;doi=10.1145%2f3426428.3426925&amp;partnerID=40&amp;md5=999e87da168ab83f34157c02f50642ab;http://dx.doi.org/10.1145/3426428.3426925" TargetMode="External"/><Relationship Id="rId741" Type="http://schemas.openxmlformats.org/officeDocument/2006/relationships/hyperlink" Target="https://www.scopus.com/inward/record.uri?eid=2-s2.0-85081030171&amp;doi=10.1016%2fj.jss.2020.110542&amp;partnerID=40&amp;md5=0019441a753439c6d2a0513d3a102029;http://dx.doi.org/10.1016/j.jss.2020.110542" TargetMode="External"/><Relationship Id="rId839" Type="http://schemas.openxmlformats.org/officeDocument/2006/relationships/hyperlink" Target="https://www.scopus.com/inward/record.uri?eid=2-s2.0-85013104749&amp;doi=10.1109%2fREW.2016.46&amp;partnerID=40&amp;md5=5355ed17d60270738edb09f2c591cfba;http://dx.doi.org/10.1109/REW.2016.46" TargetMode="External"/><Relationship Id="rId1164" Type="http://schemas.openxmlformats.org/officeDocument/2006/relationships/hyperlink" Target="http://dx.doi.org/10.1109/MC.2021.3134800" TargetMode="External"/><Relationship Id="rId1371" Type="http://schemas.openxmlformats.org/officeDocument/2006/relationships/hyperlink" Target="https://doi.org/10.1145/3377814.3381714;http:/dx.doi.org/10.1145/3377814.3381714" TargetMode="External"/><Relationship Id="rId1469" Type="http://schemas.openxmlformats.org/officeDocument/2006/relationships/hyperlink" Target="https://doi.org/10.1145/2995272.2995274;http:/dx.doi.org/10.1145/2995272.2995274" TargetMode="External"/><Relationship Id="rId2008" Type="http://schemas.openxmlformats.org/officeDocument/2006/relationships/hyperlink" Target="http://link.springer.com/article/10.1007/s11219-020-09533-y" TargetMode="External"/><Relationship Id="rId601" Type="http://schemas.openxmlformats.org/officeDocument/2006/relationships/hyperlink" Target="https://www.scopus.com/inward/record.uri?eid=2-s2.0-85113265853&amp;doi=10.1109%2fWAIN52551.2021.00011&amp;partnerID=40&amp;md5=6d05e74896e5f302e30e0d11c8938d7a;http://dx.doi.org/10.1109/WAIN52551.2021.00011" TargetMode="External"/><Relationship Id="rId1024" Type="http://schemas.openxmlformats.org/officeDocument/2006/relationships/hyperlink" Target="http://dx.doi.org/10.1109/TechDebt52882.2021.00016" TargetMode="External"/><Relationship Id="rId1231" Type="http://schemas.openxmlformats.org/officeDocument/2006/relationships/hyperlink" Target="http://dx.doi.org/10.1109/ICECCE49384.2020.9179341" TargetMode="External"/><Relationship Id="rId1676" Type="http://schemas.openxmlformats.org/officeDocument/2006/relationships/hyperlink" Target="https://www.sciencedirect.com/science/article/pii/S0950584918300922;http:/dx.doi.org/10.1016/j.infsof.2018.05.009" TargetMode="External"/><Relationship Id="rId1883" Type="http://schemas.openxmlformats.org/officeDocument/2006/relationships/hyperlink" Target="http://link.springer.com/book/10.1007/978-3-030-83549-1" TargetMode="External"/><Relationship Id="rId906" Type="http://schemas.openxmlformats.org/officeDocument/2006/relationships/hyperlink" Target="https://www.scopus.com/inward/record.uri?eid=2-s2.0-84903641089&amp;doi=10.1145%2f2591062.2591085&amp;partnerID=40&amp;md5=b1018435ab0a9634720e47e219964737;http://dx.doi.org/10.1145/2591062.2591085" TargetMode="External"/><Relationship Id="rId1329" Type="http://schemas.openxmlformats.org/officeDocument/2006/relationships/hyperlink" Target="https://doi.org/10.1145/3524843.3528097;http:/dx.doi.org/10.1145/3524843.3528097" TargetMode="External"/><Relationship Id="rId1536" Type="http://schemas.openxmlformats.org/officeDocument/2006/relationships/hyperlink" Target="https://doi.org/10.1145/3234152.3234153;http:/dx.doi.org/10.1145/3234152.3234153" TargetMode="External"/><Relationship Id="rId1743" Type="http://schemas.openxmlformats.org/officeDocument/2006/relationships/hyperlink" Target="http://link.springer.com/book/10.1007/978-3-030-69970-3" TargetMode="External"/><Relationship Id="rId1950" Type="http://schemas.openxmlformats.org/officeDocument/2006/relationships/hyperlink" Target="http://link.springer.com/article/10.1007/s10664-022-10126-5" TargetMode="External"/><Relationship Id="rId35" Type="http://schemas.openxmlformats.org/officeDocument/2006/relationships/hyperlink" Target="https://www.scopus.com/inward/record.uri?eid=2-s2.0-85135893425&amp;doi=10.1002%2fspe.3138&amp;partnerID=40&amp;md5=81d2a407816f0eee2cee3b48947ce001;http://dx.doi.org/10.1002/spe.3138" TargetMode="External"/><Relationship Id="rId1603" Type="http://schemas.openxmlformats.org/officeDocument/2006/relationships/hyperlink" Target="https://www.sciencedirect.com/science/article/pii/S0950584920301981;http:/dx.doi.org/10.1016/j.infsof.2020.106448" TargetMode="External"/><Relationship Id="rId1810" Type="http://schemas.openxmlformats.org/officeDocument/2006/relationships/hyperlink" Target="http://link.springer.com/book/10.1007/978-3-030-28005-5" TargetMode="External"/><Relationship Id="rId184" Type="http://schemas.openxmlformats.org/officeDocument/2006/relationships/hyperlink" Target="https://www.scopus.com/inward/record.uri?eid=2-s2.0-85139171392&amp;doi=10.1145%2f3546932.3547008&amp;partnerID=40&amp;md5=c85b5e51885c4d9efaa5efa08bc88997;http://dx.doi.org/10.1145/3546932.3547008" TargetMode="External"/><Relationship Id="rId391" Type="http://schemas.openxmlformats.org/officeDocument/2006/relationships/hyperlink" Target="https://www.scopus.com/inward/record.uri?eid=2-s2.0-85112723049&amp;doi=10.1109%2fTASE.2020.3008055&amp;partnerID=40&amp;md5=11892a6eb42133f41293e0499f4be9bf;http://dx.doi.org/10.1109/TASE.2020.3008055" TargetMode="External"/><Relationship Id="rId1908" Type="http://schemas.openxmlformats.org/officeDocument/2006/relationships/hyperlink" Target="http://link.springer.com/chapter/10.1007/978-3-030-32489-6_6" TargetMode="External"/><Relationship Id="rId2072" Type="http://schemas.openxmlformats.org/officeDocument/2006/relationships/hyperlink" Target="http://link.springer.com/article/10.1007/s10489-021-02911-4" TargetMode="External"/><Relationship Id="rId251" Type="http://schemas.openxmlformats.org/officeDocument/2006/relationships/hyperlink" Target="https://www.scopus.com/inward/record.uri?eid=2-s2.0-85111259233&amp;doi=10.1186%2fs13174-021-00134-x&amp;partnerID=40&amp;md5=5c136ceacd6b205d6983203370b97239;http://dx.doi.org/10.1186/s13174-021-00134-x" TargetMode="External"/><Relationship Id="rId489" Type="http://schemas.openxmlformats.org/officeDocument/2006/relationships/hyperlink" Target="https://www.scopus.com/inward/record.uri?eid=2-s2.0-85111710917&amp;doi=10.5220%2f0010602203100317&amp;partnerID=40&amp;md5=59b5b34f7c4b07b20ca7796e39fab919;http://dx.doi.org/10.5220/0010602203100317" TargetMode="External"/><Relationship Id="rId696" Type="http://schemas.openxmlformats.org/officeDocument/2006/relationships/hyperlink" Target="https://www.scopus.com/inward/record.uri?eid=2-s2.0-85090507319&amp;doi=10.18293%2fSEKE2020-084&amp;partnerID=40&amp;md5=23ffd13ecb661a485d23117a4e4a8c80;http://dx.doi.org/10.18293/SEKE2020-084" TargetMode="External"/><Relationship Id="rId349" Type="http://schemas.openxmlformats.org/officeDocument/2006/relationships/hyperlink" Target="https://www.scopus.com/inward/record.uri?eid=2-s2.0-85130851259&amp;doi=10.23919%2fDATE54114.2022.9774586&amp;partnerID=40&amp;md5=19eb0ccd49d048c84328829fffa2c2d5;http://dx.doi.org/10.23919/DATE54114.2022.9774586" TargetMode="External"/><Relationship Id="rId556" Type="http://schemas.openxmlformats.org/officeDocument/2006/relationships/hyperlink" Target="https://www.scopus.com/inward/record.uri?eid=2-s2.0-85108027397&amp;doi=10.1109%2fISPA-BDCloud-SocialCom-SustainCom51426.2020.00082&amp;partnerID=40&amp;md5=d0b56a02fc3e4e08a430cbb9dd28cbd1;http://dx.doi.org/10.1109/ISPA-BDCloud-SocialCom-SustainCom51426.2020.00082" TargetMode="External"/><Relationship Id="rId763" Type="http://schemas.openxmlformats.org/officeDocument/2006/relationships/hyperlink" Target="https://www.scopus.com/inward/record.uri?eid=2-s2.0-85034272704&amp;doi=10.1109%2fTSE.2017.2770122&amp;partnerID=40&amp;md5=6c8be47eecf246e1d0d4970438460843;http://dx.doi.org/10.1109/TSE.2017.2770122" TargetMode="External"/><Relationship Id="rId1186" Type="http://schemas.openxmlformats.org/officeDocument/2006/relationships/hyperlink" Target="http://dx.doi.org/10.1109/MS.2021.3071806" TargetMode="External"/><Relationship Id="rId1393" Type="http://schemas.openxmlformats.org/officeDocument/2006/relationships/hyperlink" Target="https://doi.org/10.1145/2857218.2857224;http:/dx.doi.org/10.1145/2857218.2857224" TargetMode="External"/><Relationship Id="rId111" Type="http://schemas.openxmlformats.org/officeDocument/2006/relationships/hyperlink" Target="https://www.scopus.com/inward/record.uri?eid=2-s2.0-85144233627&amp;doi=10.1007%2fs10664-022-10251-1&amp;partnerID=40&amp;md5=24193ec1fce17ebbd4c76a8a54956f0c;http://dx.doi.org/10.1007/s10664-022-10251-1" TargetMode="External"/><Relationship Id="rId209" Type="http://schemas.openxmlformats.org/officeDocument/2006/relationships/hyperlink" Target="https://www.scopus.com/inward/record.uri?eid=2-s2.0-85130755580&amp;doi=10.1145%2f3471907&amp;partnerID=40&amp;md5=f15e997dedf7462b07afecd215b95b6a;http://dx.doi.org/10.1145/3471907" TargetMode="External"/><Relationship Id="rId416" Type="http://schemas.openxmlformats.org/officeDocument/2006/relationships/hyperlink" Target="https://www.scopus.com/inward/record.uri?eid=2-s2.0-85134042003&amp;doi=10.1145%2f3524842.3527937&amp;partnerID=40&amp;md5=d5aa7d9cefbac729dd7cd036b97d408a;http://dx.doi.org/10.1145/3524842.3527937" TargetMode="External"/><Relationship Id="rId970" Type="http://schemas.openxmlformats.org/officeDocument/2006/relationships/hyperlink" Target="http://dx.doi.org/10.1109/TSE.2017.2654244" TargetMode="External"/><Relationship Id="rId1046" Type="http://schemas.openxmlformats.org/officeDocument/2006/relationships/hyperlink" Target="http://dx.doi.org/10.1109/ICAS49788.2021.9551151" TargetMode="External"/><Relationship Id="rId1253" Type="http://schemas.openxmlformats.org/officeDocument/2006/relationships/hyperlink" Target="http://dx.doi.org/10.1109/SCAM55253.2022.00014" TargetMode="External"/><Relationship Id="rId1698" Type="http://schemas.openxmlformats.org/officeDocument/2006/relationships/hyperlink" Target="https://www.sciencedirect.com/science/article/pii/S0950584919302058;http:/dx.doi.org/10.1016/j.infsof.2019.106198" TargetMode="External"/><Relationship Id="rId623" Type="http://schemas.openxmlformats.org/officeDocument/2006/relationships/hyperlink" Target="https://www.scopus.com/inward/record.uri?eid=2-s2.0-85078009996&amp;doi=10.1109%2fREW.2019.00011&amp;partnerID=40&amp;md5=3d9d8ae9758cb2ce8d3fb6bf3347ffc9;http://dx.doi.org/10.1109/REW.2019.00011" TargetMode="External"/><Relationship Id="rId830" Type="http://schemas.openxmlformats.org/officeDocument/2006/relationships/hyperlink" Target="https://www.scopus.com/inward/record.uri?eid=2-s2.0-85034592026&amp;doi=10.1007%2f978-3-319-69926-4_42&amp;partnerID=40&amp;md5=facb84db639c6abe9bc241c2381f3668;http://dx.doi.org/10.1007/978-3-319-69926-4_42" TargetMode="External"/><Relationship Id="rId928" Type="http://schemas.openxmlformats.org/officeDocument/2006/relationships/hyperlink" Target="https://www.scopus.com/inward/record.uri?eid=2-s2.0-85056883561&amp;doi=10.18293%2fSEKE2018-081&amp;partnerID=40&amp;md5=58e6161dc9a55d903b889ce41da3d294;http://dx.doi.org/10.18293/SEKE2018-081" TargetMode="External"/><Relationship Id="rId1460" Type="http://schemas.openxmlformats.org/officeDocument/2006/relationships/hyperlink" Target="https://doi.org/10.1145/3464970.3468413;http:/dx.doi.org/10.1145/3464970.3468413" TargetMode="External"/><Relationship Id="rId1558" Type="http://schemas.openxmlformats.org/officeDocument/2006/relationships/hyperlink" Target="https://www.sciencedirect.com/science/article/pii/S0164121220301448;http:/dx.doi.org/10.1016/j.jss.2020.110693" TargetMode="External"/><Relationship Id="rId1765" Type="http://schemas.openxmlformats.org/officeDocument/2006/relationships/hyperlink" Target="http://link.springer.com/book/10.1007/978-3-030-89159-6" TargetMode="External"/><Relationship Id="rId57" Type="http://schemas.openxmlformats.org/officeDocument/2006/relationships/hyperlink" Target="https://www.scopus.com/inward/record.uri?eid=2-s2.0-85139548360&amp;doi=10.1007%2fs00521-022-07877-z&amp;partnerID=40&amp;md5=47a63c70a0c87e77eb2c6c16544d405d;http://dx.doi.org/10.1007/s00521-022-07877-z" TargetMode="External"/><Relationship Id="rId1113" Type="http://schemas.openxmlformats.org/officeDocument/2006/relationships/hyperlink" Target="http://dx.doi.org/10.1109/TSE.2020.2986415" TargetMode="External"/><Relationship Id="rId1320" Type="http://schemas.openxmlformats.org/officeDocument/2006/relationships/hyperlink" Target="https://doi.org/10.1145/3041765.3041774;http:/dx.doi.org/10.1145/3041765.3041774" TargetMode="External"/><Relationship Id="rId1418" Type="http://schemas.openxmlformats.org/officeDocument/2006/relationships/hyperlink" Target="https://doi.org/10.1145/3551349.3556918;http:/dx.doi.org/10.1145/3551349.3556918" TargetMode="External"/><Relationship Id="rId1972" Type="http://schemas.openxmlformats.org/officeDocument/2006/relationships/hyperlink" Target="http://link.springer.com/book/10.1007/978-3-030-96734-5" TargetMode="External"/><Relationship Id="rId1625" Type="http://schemas.openxmlformats.org/officeDocument/2006/relationships/hyperlink" Target="https://www.sciencedirect.com/science/article/pii/S016412122030217X;http:/dx.doi.org/10.1016/j.jss.2020.110821" TargetMode="External"/><Relationship Id="rId1832" Type="http://schemas.openxmlformats.org/officeDocument/2006/relationships/hyperlink" Target="http://link.springer.com/book/10.1007/978-3-031-05347-4" TargetMode="External"/><Relationship Id="rId2094" Type="http://schemas.openxmlformats.org/officeDocument/2006/relationships/hyperlink" Target="http://link.springer.com/chapter/10.1007/978-3-030-75018-3_14" TargetMode="External"/><Relationship Id="rId273" Type="http://schemas.openxmlformats.org/officeDocument/2006/relationships/hyperlink" Target="https://www.scopus.com/inward/record.uri?eid=2-s2.0-85134470450&amp;doi=10.1080%2f0960085X.2022.2088413&amp;partnerID=40&amp;md5=3a94c12ed8b85afa521143bbf56b05fc;http://dx.doi.org/10.1080/0960085X.2022.2088413" TargetMode="External"/><Relationship Id="rId480" Type="http://schemas.openxmlformats.org/officeDocument/2006/relationships/hyperlink" Target="https://www.scopus.com/inward/record.uri?eid=2-s2.0-85125742096&amp;doi=10.1109%2fSNPD51163.2021.9705010&amp;partnerID=40&amp;md5=7bf149931457e25b959f4e77cf6c2d7e;http://dx.doi.org/10.1109/SNPD51163.2021.9705010" TargetMode="External"/><Relationship Id="rId2161" Type="http://schemas.openxmlformats.org/officeDocument/2006/relationships/hyperlink" Target="http://link.springer.com/chapter/10.1007/978-3-031-15644-1_34" TargetMode="External"/><Relationship Id="rId133" Type="http://schemas.openxmlformats.org/officeDocument/2006/relationships/hyperlink" Target="https://www.scopus.com/inward/record.uri?eid=2-s2.0-85128076663&amp;doi=10.1007%2fs10664-021-10099-x&amp;partnerID=40&amp;md5=7d41c487cf4ea704150f95df0048e545;http://dx.doi.org/10.1007/s10664-021-10099-x" TargetMode="External"/><Relationship Id="rId340" Type="http://schemas.openxmlformats.org/officeDocument/2006/relationships/hyperlink" Target="https://www.scopus.com/inward/record.uri?eid=2-s2.0-85125253380&amp;doi=10.1007%2f978-3-030-95947-0_40&amp;partnerID=40&amp;md5=cea67de019236d3eb4b5bc679e072624;http://dx.doi.org/10.1007/978-3-030-95947-0_40" TargetMode="External"/><Relationship Id="rId578" Type="http://schemas.openxmlformats.org/officeDocument/2006/relationships/hyperlink" Target="https://www.scopus.com/inward/record.uri?eid=2-s2.0-85091245352&amp;doi=10.1007%2fs10664-020-09880-1&amp;partnerID=40&amp;md5=077dac4a9230c050eb6b28ff2c596d4c;http://dx.doi.org/10.1007/s10664-020-09880-1" TargetMode="External"/><Relationship Id="rId785" Type="http://schemas.openxmlformats.org/officeDocument/2006/relationships/hyperlink" Target="https://www.scopus.com/inward/record.uri?eid=2-s2.0-85093114739&amp;doi=10.1007%2f978-3-030-58802-1_25&amp;partnerID=40&amp;md5=a4a82ab6c1acec6090121239c85255c0;http://dx.doi.org/10.1007/978-3-030-58802-1_25" TargetMode="External"/><Relationship Id="rId992" Type="http://schemas.openxmlformats.org/officeDocument/2006/relationships/hyperlink" Target="http://dx.doi.org/10.1109/ACCESS.2021.3119746" TargetMode="External"/><Relationship Id="rId2021" Type="http://schemas.openxmlformats.org/officeDocument/2006/relationships/hyperlink" Target="http://link.springer.com/chapter/10.1007/978-3-658-37182-1_11" TargetMode="External"/><Relationship Id="rId200" Type="http://schemas.openxmlformats.org/officeDocument/2006/relationships/hyperlink" Target="https://www.scopus.com/inward/record.uri?eid=2-s2.0-85130710474&amp;doi=10.1145%2f3490953&amp;partnerID=40&amp;md5=f51af049efd96e1b1de161be45f7c130;http://dx.doi.org/10.1145/3490953" TargetMode="External"/><Relationship Id="rId438" Type="http://schemas.openxmlformats.org/officeDocument/2006/relationships/hyperlink" Target="https://www.scopus.com/inward/record.uri?eid=2-s2.0-85106644733&amp;doi=10.1109%2fSANER50967.2021.00046&amp;partnerID=40&amp;md5=24398e798fb42d6a1cc6b0c74b476dfd;http://dx.doi.org/10.1109/SANER50967.2021.00046" TargetMode="External"/><Relationship Id="rId645" Type="http://schemas.openxmlformats.org/officeDocument/2006/relationships/hyperlink" Target="https://www.scopus.com/inward/record.uri?eid=2-s2.0-85087877670&amp;doi=10.3390%2fapp10134624&amp;partnerID=40&amp;md5=d62cc02ee8ba36134b4fb32172584ec1;http://dx.doi.org/10.3390/app10134624" TargetMode="External"/><Relationship Id="rId852" Type="http://schemas.openxmlformats.org/officeDocument/2006/relationships/hyperlink" Target="https://www.scopus.com/inward/record.uri?eid=2-s2.0-85040782895&amp;doi=10.1109%2fISSRE.2017.43&amp;partnerID=40&amp;md5=56b04acac5fa471e025030e5aa70d5fb;http://dx.doi.org/10.1109/ISSRE.2017.43" TargetMode="External"/><Relationship Id="rId1068" Type="http://schemas.openxmlformats.org/officeDocument/2006/relationships/hyperlink" Target="http://dx.doi.org/10.1109/TSE.2021.3102221" TargetMode="External"/><Relationship Id="rId1275" Type="http://schemas.openxmlformats.org/officeDocument/2006/relationships/hyperlink" Target="http://dx.doi.org/10.1109/MSEC.2021.3118561" TargetMode="External"/><Relationship Id="rId1482" Type="http://schemas.openxmlformats.org/officeDocument/2006/relationships/hyperlink" Target="https://doi.org/10.1145/3560828.3564010;http:/dx.doi.org/10.1145/3560828.3564010" TargetMode="External"/><Relationship Id="rId2119" Type="http://schemas.openxmlformats.org/officeDocument/2006/relationships/hyperlink" Target="http://link.springer.com/chapter/10.1007/978-981-16-6069-6_5" TargetMode="External"/><Relationship Id="rId505" Type="http://schemas.openxmlformats.org/officeDocument/2006/relationships/hyperlink" Target="https://www.scopus.com/inward/record.uri?eid=2-s2.0-85091896955&amp;doi=10.1145%2f3387904.3389280&amp;partnerID=40&amp;md5=6204af3174fc76b9c958ade4f579c3a6;http://dx.doi.org/10.1145/3387904.3389280" TargetMode="External"/><Relationship Id="rId712" Type="http://schemas.openxmlformats.org/officeDocument/2006/relationships/hyperlink" Target="https://www.scopus.com/inward/record.uri?eid=2-s2.0-85076023455&amp;doi=10.1109%2fSEAA.2019.00058&amp;partnerID=40&amp;md5=8782bcadfa91c73f243bfa205aabfbdb;http://dx.doi.org/10.1109/SEAA.2019.00058" TargetMode="External"/><Relationship Id="rId1135" Type="http://schemas.openxmlformats.org/officeDocument/2006/relationships/hyperlink" Target="http://dx.doi.org/10.1109/QRS51102.2020.00016" TargetMode="External"/><Relationship Id="rId1342" Type="http://schemas.openxmlformats.org/officeDocument/2006/relationships/hyperlink" Target="https://doi.org/10.1109/TechDebt.2019.00028;http:/dx.doi.org/10.1109/TechDebt.2019.00028" TargetMode="External"/><Relationship Id="rId1787" Type="http://schemas.openxmlformats.org/officeDocument/2006/relationships/hyperlink" Target="http://link.springer.com/article/10.1007/s10515-022-00364-8" TargetMode="External"/><Relationship Id="rId1994" Type="http://schemas.openxmlformats.org/officeDocument/2006/relationships/hyperlink" Target="http://link.springer.com/article/10.1007/s10664-021-10018-0" TargetMode="External"/><Relationship Id="rId79" Type="http://schemas.openxmlformats.org/officeDocument/2006/relationships/hyperlink" Target="https://www.scopus.com/inward/record.uri?eid=2-s2.0-85133655153&amp;doi=10.1007%2fs10664-022-10119-4&amp;partnerID=40&amp;md5=a82bedea7c29214a99502b2e7668e6e3;http://dx.doi.org/10.1007/s10664-022-10119-4" TargetMode="External"/><Relationship Id="rId1202" Type="http://schemas.openxmlformats.org/officeDocument/2006/relationships/hyperlink" Target="http://dx.doi.org/10.1109/BigDataCongress.2018.00013" TargetMode="External"/><Relationship Id="rId1647" Type="http://schemas.openxmlformats.org/officeDocument/2006/relationships/hyperlink" Target="https://www.sciencedirect.com/science/article/pii/S0164121217303114;http:/dx.doi.org/10.1016/j.jss.2017.12.034" TargetMode="External"/><Relationship Id="rId1854" Type="http://schemas.openxmlformats.org/officeDocument/2006/relationships/hyperlink" Target="http://link.springer.com/article/10.1007/s11831-022-09864-y" TargetMode="External"/><Relationship Id="rId1507" Type="http://schemas.openxmlformats.org/officeDocument/2006/relationships/hyperlink" Target="https://doi.org/10.1145/3338906.3338965;http:/dx.doi.org/10.1145/3338906.3338965" TargetMode="External"/><Relationship Id="rId1714" Type="http://schemas.openxmlformats.org/officeDocument/2006/relationships/hyperlink" Target="https://www.sciencedirect.com/science/article/pii/S2153353922001353;http:/dx.doi.org/10.4103/jpi.jpi_84_20" TargetMode="External"/><Relationship Id="rId295" Type="http://schemas.openxmlformats.org/officeDocument/2006/relationships/hyperlink" Target="https://www.scopus.com/inward/record.uri?eid=2-s2.0-85135082967&amp;doi=10.1145%2f3526073.3527584&amp;partnerID=40&amp;md5=9ba43681c42e6c48a85436e54df633b1;http://dx.doi.org/10.1145/3526073.3527584" TargetMode="External"/><Relationship Id="rId1921" Type="http://schemas.openxmlformats.org/officeDocument/2006/relationships/hyperlink" Target="http://link.springer.com/chapter/10.1007/978-3-030-77283-3_6" TargetMode="External"/><Relationship Id="rId2183" Type="http://schemas.openxmlformats.org/officeDocument/2006/relationships/hyperlink" Target="http://link.springer.com/chapter/10.1007/978-981-16-1927-4_15" TargetMode="External"/><Relationship Id="rId155" Type="http://schemas.openxmlformats.org/officeDocument/2006/relationships/hyperlink" Target="https://www.scopus.com/inward/record.uri?eid=2-s2.0-85142754958&amp;partnerID=40&amp;md5=cd4bf0518dae3491537836c50064e080" TargetMode="External"/><Relationship Id="rId362" Type="http://schemas.openxmlformats.org/officeDocument/2006/relationships/hyperlink" Target="https://www.scopus.com/inward/record.uri?eid=2-s2.0-85117021916&amp;doi=10.1109%2fCASE49439.2021.9551419&amp;partnerID=40&amp;md5=34a2402b07b2e40af452b20905260b9f;http://dx.doi.org/10.1109/CASE49439.2021.9551419" TargetMode="External"/><Relationship Id="rId1297" Type="http://schemas.openxmlformats.org/officeDocument/2006/relationships/hyperlink" Target="http://dx.doi.org/10.1109/MS.2021.3118906" TargetMode="External"/><Relationship Id="rId2043" Type="http://schemas.openxmlformats.org/officeDocument/2006/relationships/hyperlink" Target="http://link.springer.com/chapter/10.1007/978-3-319-51472-7_2" TargetMode="External"/><Relationship Id="rId222" Type="http://schemas.openxmlformats.org/officeDocument/2006/relationships/hyperlink" Target="https://www.scopus.com/inward/record.uri?eid=2-s2.0-85135144392&amp;doi=10.23919%2fJSC.2021.0023&amp;partnerID=40&amp;md5=a6efa18907e9c52d0029ad7f44d06b45;http://dx.doi.org/10.23919/JSC.2021.0023" TargetMode="External"/><Relationship Id="rId667" Type="http://schemas.openxmlformats.org/officeDocument/2006/relationships/hyperlink" Target="https://www.scopus.com/inward/record.uri?eid=2-s2.0-85087660549&amp;doi=10.1007%2f978-3-030-36918-7&amp;partnerID=40&amp;md5=ecc55b8840417906879aad2b721c5cd7;http://dx.doi.org/10.1007/978-3-030-36918-7" TargetMode="External"/><Relationship Id="rId874" Type="http://schemas.openxmlformats.org/officeDocument/2006/relationships/hyperlink" Target="https://www.scopus.com/inward/record.uri?eid=2-s2.0-84868595858&amp;doi=10.4156%2fijact.vol4.issue19.54&amp;partnerID=40&amp;md5=589e4bf791bb7d217ea6027ffbf741b4;http://dx.doi.org/10.4156/ijact.vol4.issue19.54" TargetMode="External"/><Relationship Id="rId2110" Type="http://schemas.openxmlformats.org/officeDocument/2006/relationships/hyperlink" Target="http://link.springer.com/chapter/10.1007/978-1-4842-7252-7_2" TargetMode="External"/><Relationship Id="rId527" Type="http://schemas.openxmlformats.org/officeDocument/2006/relationships/hyperlink" Target="https://www.scopus.com/inward/record.uri?eid=2-s2.0-85100924329&amp;doi=10.1007%2fs10664-020-09917-5&amp;partnerID=40&amp;md5=3e7ce79f3c6bc5ed55165ba876d31c97;http://dx.doi.org/10.1007/s10664-020-09917-5" TargetMode="External"/><Relationship Id="rId734" Type="http://schemas.openxmlformats.org/officeDocument/2006/relationships/hyperlink" Target="https://www.scopus.com/inward/record.uri?eid=2-s2.0-85067076704&amp;doi=10.1109%2fMS.2019.2919573&amp;partnerID=40&amp;md5=80e90f29b5525b146bd5b31d929e8773;http://dx.doi.org/10.1109/MS.2019.2919573" TargetMode="External"/><Relationship Id="rId941" Type="http://schemas.openxmlformats.org/officeDocument/2006/relationships/hyperlink" Target="https://www.scopus.com/inward/record.uri?eid=2-s2.0-85057152167&amp;doi=10.1109%2fSEAA.2018.00045&amp;partnerID=40&amp;md5=2515f9dad60877d3a0677a95c896d60f;http://dx.doi.org/10.1109/SEAA.2018.00045" TargetMode="External"/><Relationship Id="rId1157" Type="http://schemas.openxmlformats.org/officeDocument/2006/relationships/hyperlink" Target="http://dx.doi.org/10.1109/TSE.2019.2912113" TargetMode="External"/><Relationship Id="rId1364" Type="http://schemas.openxmlformats.org/officeDocument/2006/relationships/hyperlink" Target="https://doi.org/10.1145/3487043;http:/dx.doi.org/10.1145/3487043" TargetMode="External"/><Relationship Id="rId1571" Type="http://schemas.openxmlformats.org/officeDocument/2006/relationships/hyperlink" Target="https://www.sciencedirect.com/science/article/pii/S0952197622002998;http:/dx.doi.org/10.1016/j.engappai.2022.105209" TargetMode="External"/><Relationship Id="rId70" Type="http://schemas.openxmlformats.org/officeDocument/2006/relationships/hyperlink" Target="https://www.scopus.com/inward/record.uri?eid=2-s2.0-85139632016&amp;doi=10.1142%2fS0218194022500528&amp;partnerID=40&amp;md5=78a61bc2bc8a02f231d385a13f5a5a0e;http://dx.doi.org/10.1142/S0218194022500528" TargetMode="External"/><Relationship Id="rId801" Type="http://schemas.openxmlformats.org/officeDocument/2006/relationships/hyperlink" Target="https://www.scopus.com/inward/record.uri?eid=2-s2.0-85076041964&amp;doi=10.1007%2fs10664-019-09773-y&amp;partnerID=40&amp;md5=95f8bcbd18fbbb141eba8daf680739ed;http://dx.doi.org/10.1007/s10664-019-09773-y" TargetMode="External"/><Relationship Id="rId1017" Type="http://schemas.openxmlformats.org/officeDocument/2006/relationships/hyperlink" Target="http://dx.doi.org/10.1109/SEAA.2018.00018" TargetMode="External"/><Relationship Id="rId1224" Type="http://schemas.openxmlformats.org/officeDocument/2006/relationships/hyperlink" Target="http://dx.doi.org/10.1109/ICSE.2019.00117" TargetMode="External"/><Relationship Id="rId1431" Type="http://schemas.openxmlformats.org/officeDocument/2006/relationships/hyperlink" Target="https://doi.org/10.1145/3522664.3528590;http:/dx.doi.org/10.1145/3522664.3528590" TargetMode="External"/><Relationship Id="rId1669" Type="http://schemas.openxmlformats.org/officeDocument/2006/relationships/hyperlink" Target="https://www.sciencedirect.com/science/article/pii/B9780128002186000163;http:/dx.doi.org/10.1016/B978-0-12-800218-6.00016-3" TargetMode="External"/><Relationship Id="rId1876" Type="http://schemas.openxmlformats.org/officeDocument/2006/relationships/hyperlink" Target="http://link.springer.com/article/10.1186/s13174-021-00134-x" TargetMode="External"/><Relationship Id="rId1529" Type="http://schemas.openxmlformats.org/officeDocument/2006/relationships/hyperlink" Target="https://doi.org/10.1145/3555803;http:/dx.doi.org/10.1145/3555803" TargetMode="External"/><Relationship Id="rId1736" Type="http://schemas.openxmlformats.org/officeDocument/2006/relationships/hyperlink" Target="http://link.springer.com/book/10.1007/978-981-16-2594-7" TargetMode="External"/><Relationship Id="rId1943" Type="http://schemas.openxmlformats.org/officeDocument/2006/relationships/hyperlink" Target="http://link.springer.com/article/10.1007/s10664-020-09858-z" TargetMode="External"/><Relationship Id="rId28" Type="http://schemas.openxmlformats.org/officeDocument/2006/relationships/hyperlink" Target="https://www.scopus.com/inward/record.uri?eid=2-s2.0-85138213545&amp;doi=10.1007%2f978-3-031-15629-8_28&amp;partnerID=40&amp;md5=b4f4521ec4954fb96f487eb1571ac4be;http://dx.doi.org/10.1007/978-3-031-15629-8_28" TargetMode="External"/><Relationship Id="rId1803" Type="http://schemas.openxmlformats.org/officeDocument/2006/relationships/hyperlink" Target="http://link.springer.com/article/10.1007/s10664-022-10119-4" TargetMode="External"/><Relationship Id="rId177" Type="http://schemas.openxmlformats.org/officeDocument/2006/relationships/hyperlink" Target="https://www.scopus.com/inward/record.uri?eid=2-s2.0-85138322340&amp;doi=10.1016%2fj.jss.2022.111505&amp;partnerID=40&amp;md5=dee1d5a976361fa08e28cbf9d03dbdc6;http://dx.doi.org/10.1016/j.jss.2022.111505" TargetMode="External"/><Relationship Id="rId384" Type="http://schemas.openxmlformats.org/officeDocument/2006/relationships/hyperlink" Target="https://www.scopus.com/inward/record.uri?eid=2-s2.0-85133199215&amp;doi=10.1145%2f3524610.3527920&amp;partnerID=40&amp;md5=84721a129c81e53aaef1e0fec395a65e;http://dx.doi.org/10.1145/3524610.3527920" TargetMode="External"/><Relationship Id="rId591" Type="http://schemas.openxmlformats.org/officeDocument/2006/relationships/hyperlink" Target="https://www.scopus.com/inward/record.uri?eid=2-s2.0-85117548541&amp;doi=10.7202%2f1081515ar&amp;partnerID=40&amp;md5=b77c80bd2db3795d75821b89f797cda0;http://dx.doi.org/10.7202/1081515ar" TargetMode="External"/><Relationship Id="rId2065" Type="http://schemas.openxmlformats.org/officeDocument/2006/relationships/hyperlink" Target="http://link.springer.com/chapter/10.1007/978-3-031-04819-7_40" TargetMode="External"/><Relationship Id="rId244" Type="http://schemas.openxmlformats.org/officeDocument/2006/relationships/hyperlink" Target="https://www.scopus.com/inward/record.uri?eid=2-s2.0-85126811133&amp;doi=10.14569%2fIJACSA.2022.0130289&amp;partnerID=40&amp;md5=a89502cbb254764652288a5a824a481e;http://dx.doi.org/10.14569/IJACSA.2022.0130289" TargetMode="External"/><Relationship Id="rId689" Type="http://schemas.openxmlformats.org/officeDocument/2006/relationships/hyperlink" Target="https://www.scopus.com/inward/record.uri?eid=2-s2.0-85072316214&amp;doi=10.1109%2fMSR.2019.00054&amp;partnerID=40&amp;md5=19878e711266006c188cc4411ce4cf11;http://dx.doi.org/10.1109/MSR.2019.00054" TargetMode="External"/><Relationship Id="rId896" Type="http://schemas.openxmlformats.org/officeDocument/2006/relationships/hyperlink" Target="https://www.scopus.com/inward/record.uri?eid=2-s2.0-85060304273&amp;doi=10.1109%2fICCSS.2018.8572304&amp;partnerID=40&amp;md5=321d9814261515dcc8c381a05cb91445;http://dx.doi.org/10.1109/ICCSS.2018.8572304" TargetMode="External"/><Relationship Id="rId1081" Type="http://schemas.openxmlformats.org/officeDocument/2006/relationships/hyperlink" Target="http://dx.doi.org/10.1109/ICSME55016.2022.00061" TargetMode="External"/><Relationship Id="rId451" Type="http://schemas.openxmlformats.org/officeDocument/2006/relationships/hyperlink" Target="https://www.scopus.com/inward/record.uri?eid=2-s2.0-85102876306&amp;doi=10.1145%2f3439961.3439991&amp;partnerID=40&amp;md5=ddef4fc9d5751caf581e9bf85ad76ca1;http://dx.doi.org/10.1145/3439961.3439991" TargetMode="External"/><Relationship Id="rId549" Type="http://schemas.openxmlformats.org/officeDocument/2006/relationships/hyperlink" Target="https://www.scopus.com/inward/record.uri?eid=2-s2.0-85117224711&amp;doi=10.1109%2fACCESS.2021.3117989&amp;partnerID=40&amp;md5=b0289930b94ea07486813c1cd5d909e5;http://dx.doi.org/10.1109/ACCESS.2021.3117989" TargetMode="External"/><Relationship Id="rId756" Type="http://schemas.openxmlformats.org/officeDocument/2006/relationships/hyperlink" Target="https://www.scopus.com/inward/record.uri?eid=2-s2.0-85090901906&amp;partnerID=40&amp;md5=053ba6b4c8911ffab65c6cb88fe8c0ac" TargetMode="External"/><Relationship Id="rId1179" Type="http://schemas.openxmlformats.org/officeDocument/2006/relationships/hyperlink" Target="http://dx.doi.org/10.1109/TSE.2022.3216279" TargetMode="External"/><Relationship Id="rId1386" Type="http://schemas.openxmlformats.org/officeDocument/2006/relationships/hyperlink" Target="https://doi.org/10.1145/3477535;http:/dx.doi.org/10.1145/3477535" TargetMode="External"/><Relationship Id="rId1593" Type="http://schemas.openxmlformats.org/officeDocument/2006/relationships/hyperlink" Target="https://www.sciencedirect.com/science/article/pii/S0164121220302922;http:/dx.doi.org/10.1016/j.jss.2020.110902" TargetMode="External"/><Relationship Id="rId2132" Type="http://schemas.openxmlformats.org/officeDocument/2006/relationships/hyperlink" Target="http://link.springer.com/chapter/10.1007/978-3-030-89902-8_4" TargetMode="External"/><Relationship Id="rId104" Type="http://schemas.openxmlformats.org/officeDocument/2006/relationships/hyperlink" Target="https://www.scopus.com/inward/record.uri?eid=2-s2.0-85143196742&amp;doi=10.1145%2f3549034.3561176&amp;partnerID=40&amp;md5=01ede058d4a352799db0aba344a26716;http://dx.doi.org/10.1145/3549034.3561176" TargetMode="External"/><Relationship Id="rId311" Type="http://schemas.openxmlformats.org/officeDocument/2006/relationships/hyperlink" Target="https://www.scopus.com/inward/record.uri?eid=2-s2.0-85118479420&amp;doi=10.1002%2fsmr.2399&amp;partnerID=40&amp;md5=8b23b60c3e7565eb74045937f71d58cd;http://dx.doi.org/10.1002/smr.2399" TargetMode="External"/><Relationship Id="rId409" Type="http://schemas.openxmlformats.org/officeDocument/2006/relationships/hyperlink" Target="https://www.scopus.com/inward/record.uri?eid=2-s2.0-85103128877&amp;doi=10.1016%2fj.jss.2021.110939&amp;partnerID=40&amp;md5=6ed68dadf7b14600f001be29c403e444;http://dx.doi.org/10.1016/j.jss.2021.110939" TargetMode="External"/><Relationship Id="rId963" Type="http://schemas.openxmlformats.org/officeDocument/2006/relationships/hyperlink" Target="https://www.scopus.com/inward/record.uri?eid=2-s2.0-85061759520&amp;doi=10.14778%2f3282495.3282499&amp;partnerID=40&amp;md5=a22d5fef39e21569f72e25db07226865;http://dx.doi.org/10.14778/3282495.3282499" TargetMode="External"/><Relationship Id="rId1039" Type="http://schemas.openxmlformats.org/officeDocument/2006/relationships/hyperlink" Target="http://dx.doi.org/10.1109/REW53955.2021.00022" TargetMode="External"/><Relationship Id="rId1246" Type="http://schemas.openxmlformats.org/officeDocument/2006/relationships/hyperlink" Target="http://dx.doi.org/10.1109/ICIEA49774.2020.9101913" TargetMode="External"/><Relationship Id="rId1898" Type="http://schemas.openxmlformats.org/officeDocument/2006/relationships/hyperlink" Target="http://link.springer.com/chapter/10.1007/978-3-030-87007-2_22" TargetMode="External"/><Relationship Id="rId92" Type="http://schemas.openxmlformats.org/officeDocument/2006/relationships/hyperlink" Target="https://www.scopus.com/inward/record.uri?eid=2-s2.0-85139866098&amp;doi=10.1145%2f3544902.3546249&amp;partnerID=40&amp;md5=309fc549aa1c9db1d05b461fff95f0c4;http://dx.doi.org/10.1145/3544902.3546249" TargetMode="External"/><Relationship Id="rId616" Type="http://schemas.openxmlformats.org/officeDocument/2006/relationships/hyperlink" Target="https://www.scopus.com/inward/record.uri?eid=2-s2.0-85092234625&amp;doi=10.1007%2f978-3-030-58811-3_73&amp;partnerID=40&amp;md5=5869cd3d767df9c2edac6039a5407bd2;http://dx.doi.org/10.1007/978-3-030-58811-3_73" TargetMode="External"/><Relationship Id="rId823" Type="http://schemas.openxmlformats.org/officeDocument/2006/relationships/hyperlink" Target="https://www.scopus.com/inward/record.uri?eid=2-s2.0-85053938962&amp;doi=10.1007%2f978-3-319-99229-7_2&amp;partnerID=40&amp;md5=40296950fa8540b1aeef2aec10412d25;http://dx.doi.org/10.1007/978-3-319-99229-7_2" TargetMode="External"/><Relationship Id="rId1453" Type="http://schemas.openxmlformats.org/officeDocument/2006/relationships/hyperlink" Target="https://doi.org/10.1145/3463274.3463333;http:/dx.doi.org/10.1145/3463274.3463333" TargetMode="External"/><Relationship Id="rId1660" Type="http://schemas.openxmlformats.org/officeDocument/2006/relationships/hyperlink" Target="https://www.sciencedirect.com/science/article/pii/S0164121217301966;http:/dx.doi.org/10.1016/j.jss.2017.09.007" TargetMode="External"/><Relationship Id="rId1758" Type="http://schemas.openxmlformats.org/officeDocument/2006/relationships/hyperlink" Target="http://link.springer.com/book/10.1007/978-3-031-04819-7" TargetMode="External"/><Relationship Id="rId1106" Type="http://schemas.openxmlformats.org/officeDocument/2006/relationships/hyperlink" Target="http://dx.doi.org/10.1109/ICGSE.2015.18" TargetMode="External"/><Relationship Id="rId1313" Type="http://schemas.openxmlformats.org/officeDocument/2006/relationships/hyperlink" Target="http://dx.doi.org/10.1109/ICSME.2018.00004" TargetMode="External"/><Relationship Id="rId1520" Type="http://schemas.openxmlformats.org/officeDocument/2006/relationships/hyperlink" Target="https://doi.org/10.1145/3474370.3485669;http:/dx.doi.org/10.1145/3474370.3485669" TargetMode="External"/><Relationship Id="rId1965" Type="http://schemas.openxmlformats.org/officeDocument/2006/relationships/hyperlink" Target="http://link.springer.com/book/10.1007/978-3-030-85867-4" TargetMode="External"/><Relationship Id="rId1618" Type="http://schemas.openxmlformats.org/officeDocument/2006/relationships/hyperlink" Target="https://www.sciencedirect.com/science/article/pii/S0950584918302623;http:/dx.doi.org/10.1016/j.infsof.2018.12.009" TargetMode="External"/><Relationship Id="rId1825" Type="http://schemas.openxmlformats.org/officeDocument/2006/relationships/hyperlink" Target="http://link.springer.com/chapter/10.1007/978-3-030-35333-9_14" TargetMode="External"/><Relationship Id="rId199" Type="http://schemas.openxmlformats.org/officeDocument/2006/relationships/hyperlink" Target="https://www.scopus.com/inward/record.uri?eid=2-s2.0-85144704030&amp;doi=10.3390%2fmachines10121233&amp;partnerID=40&amp;md5=e5fa100d835fe550ee8f64a2c9407fa0;http://dx.doi.org/10.3390/machines10121233" TargetMode="External"/><Relationship Id="rId2087" Type="http://schemas.openxmlformats.org/officeDocument/2006/relationships/hyperlink" Target="http://link.springer.com/article/10.1007/s10664-022-10132-7" TargetMode="External"/><Relationship Id="rId266" Type="http://schemas.openxmlformats.org/officeDocument/2006/relationships/hyperlink" Target="https://www.scopus.com/inward/record.uri?eid=2-s2.0-85067069426&amp;doi=10.1109%2fTSE.2019.2918536&amp;partnerID=40&amp;md5=a2151994a7598589135bd21ee5ac5251;http://dx.doi.org/10.1109/TSE.2019.2918536" TargetMode="External"/><Relationship Id="rId473" Type="http://schemas.openxmlformats.org/officeDocument/2006/relationships/hyperlink" Target="https://www.scopus.com/inward/record.uri?eid=2-s2.0-85116898427&amp;partnerID=40&amp;md5=040f1845b6770ddecad9feac2bc6ea4b" TargetMode="External"/><Relationship Id="rId680" Type="http://schemas.openxmlformats.org/officeDocument/2006/relationships/hyperlink" Target="https://www.scopus.com/inward/record.uri?eid=2-s2.0-85098319392&amp;doi=10.1109%2fACCESS.2020.3031966&amp;partnerID=40&amp;md5=4717a4f2a05e5ca9ebe049903e489060;http://dx.doi.org/10.1109/ACCESS.2020.3031966" TargetMode="External"/><Relationship Id="rId2154" Type="http://schemas.openxmlformats.org/officeDocument/2006/relationships/hyperlink" Target="http://link.springer.com/book/10.1007/978-3-658-35626-2" TargetMode="External"/><Relationship Id="rId126" Type="http://schemas.openxmlformats.org/officeDocument/2006/relationships/hyperlink" Target="https://www.scopus.com/inward/record.uri?eid=2-s2.0-85126524793&amp;doi=10.1007%2fs10664-021-10105-2&amp;partnerID=40&amp;md5=94d980b399bb6b673a9d2fb6da4c952f;http://dx.doi.org/10.1007/s10664-021-10105-2" TargetMode="External"/><Relationship Id="rId333" Type="http://schemas.openxmlformats.org/officeDocument/2006/relationships/hyperlink" Target="https://www.scopus.com/inward/record.uri?eid=2-s2.0-85116222356&amp;doi=10.1145%2f3468264.3473099&amp;partnerID=40&amp;md5=244f6b3170ba17eda024d2ade7a25a58;http://dx.doi.org/10.1145/3468264.3473099" TargetMode="External"/><Relationship Id="rId540" Type="http://schemas.openxmlformats.org/officeDocument/2006/relationships/hyperlink" Target="https://www.scopus.com/inward/record.uri?eid=2-s2.0-85100490591&amp;doi=10.3390%2fs21041133&amp;partnerID=40&amp;md5=63a8b7be9a761303be22a297e15bd4a3;http://dx.doi.org/10.3390/s21041133" TargetMode="External"/><Relationship Id="rId778" Type="http://schemas.openxmlformats.org/officeDocument/2006/relationships/hyperlink" Target="https://www.scopus.com/inward/record.uri?eid=2-s2.0-85083012837&amp;doi=10.1109%2fMS.2020.2985775&amp;partnerID=40&amp;md5=fcede53d450d76d50f966e169687cb51;http://dx.doi.org/10.1109/MS.2020.2985775" TargetMode="External"/><Relationship Id="rId985" Type="http://schemas.openxmlformats.org/officeDocument/2006/relationships/hyperlink" Target="http://dx.doi.org/10.1145/3524843.3528096" TargetMode="External"/><Relationship Id="rId1170" Type="http://schemas.openxmlformats.org/officeDocument/2006/relationships/hyperlink" Target="http://dx.doi.org/10.1109/ICSAW.2017.16" TargetMode="External"/><Relationship Id="rId2014" Type="http://schemas.openxmlformats.org/officeDocument/2006/relationships/hyperlink" Target="http://link.springer.com/chapter/10.1007/978-3-030-29852-4_32" TargetMode="External"/><Relationship Id="rId638" Type="http://schemas.openxmlformats.org/officeDocument/2006/relationships/hyperlink" Target="https://www.scopus.com/inward/record.uri?eid=2-s2.0-85064835658&amp;doi=10.1016%2fj.infsof.2019.04.009&amp;partnerID=40&amp;md5=708a9904e9560028415d0c6eb446b77d;http://dx.doi.org/10.1016/j.infsof.2019.04.009" TargetMode="External"/><Relationship Id="rId845" Type="http://schemas.openxmlformats.org/officeDocument/2006/relationships/hyperlink" Target="https://www.scopus.com/inward/record.uri?eid=2-s2.0-85029294314&amp;doi=10.1145%2f3025453.3025808&amp;partnerID=40&amp;md5=6b6f18103bfea70467cb27429216107e;http://dx.doi.org/10.1145/3025453.3025808" TargetMode="External"/><Relationship Id="rId1030" Type="http://schemas.openxmlformats.org/officeDocument/2006/relationships/hyperlink" Target="http://dx.doi.org/10.1109/ETFA45728.2021.9613538" TargetMode="External"/><Relationship Id="rId1268" Type="http://schemas.openxmlformats.org/officeDocument/2006/relationships/hyperlink" Target="https://ieeexplore.ieee.org/document/9821971;http:/dx.doi.org/10.1002/9781119644682.ch12" TargetMode="External"/><Relationship Id="rId1475" Type="http://schemas.openxmlformats.org/officeDocument/2006/relationships/hyperlink" Target="https://doi.org/10.1145/3510003.3510057;http:/dx.doi.org/10.1145/3510003.3510057" TargetMode="External"/><Relationship Id="rId1682" Type="http://schemas.openxmlformats.org/officeDocument/2006/relationships/hyperlink" Target="https://www.sciencedirect.com/science/article/pii/B9780128002186000126;http:/dx.doi.org/10.1016/B978-0-12-800218-6.00012-6" TargetMode="External"/><Relationship Id="rId400" Type="http://schemas.openxmlformats.org/officeDocument/2006/relationships/hyperlink" Target="https://www.scopus.com/inward/record.uri?eid=2-s2.0-85109165765&amp;doi=10.1016%2fj.infsof.2021.106669&amp;partnerID=40&amp;md5=001e083353bc73d6d036bf61af0c72f4;http://dx.doi.org/10.1016/j.infsof.2021.106669" TargetMode="External"/><Relationship Id="rId705" Type="http://schemas.openxmlformats.org/officeDocument/2006/relationships/hyperlink" Target="https://www.scopus.com/inward/record.uri?eid=2-s2.0-85092287665&amp;partnerID=40&amp;md5=8238ee074e3e0cb1fbdfe7ca6e7d964e" TargetMode="External"/><Relationship Id="rId1128" Type="http://schemas.openxmlformats.org/officeDocument/2006/relationships/hyperlink" Target="http://dx.doi.org/10.1109/TSE.2019.2949275" TargetMode="External"/><Relationship Id="rId1335" Type="http://schemas.openxmlformats.org/officeDocument/2006/relationships/hyperlink" Target="https://doi.org/10.1109/TechDebt.2019.00029;http:/dx.doi.org/10.1109/TechDebt.2019.00029" TargetMode="External"/><Relationship Id="rId1542" Type="http://schemas.openxmlformats.org/officeDocument/2006/relationships/hyperlink" Target="https://doi.org/10.1145/3529318;http:/dx.doi.org/10.1145/3529318" TargetMode="External"/><Relationship Id="rId1987" Type="http://schemas.openxmlformats.org/officeDocument/2006/relationships/hyperlink" Target="http://link.springer.com/article/10.1007/s11219-021-09555-0" TargetMode="External"/><Relationship Id="rId912" Type="http://schemas.openxmlformats.org/officeDocument/2006/relationships/hyperlink" Target="https://www.scopus.com/inward/record.uri?eid=2-s2.0-85051677013&amp;doi=10.1145%2f3195555.3195562&amp;partnerID=40&amp;md5=399ade8ebe06d485719a7dd517c847ef;http://dx.doi.org/10.1145/3195555.3195562" TargetMode="External"/><Relationship Id="rId1847" Type="http://schemas.openxmlformats.org/officeDocument/2006/relationships/hyperlink" Target="http://link.springer.com/book/10.1007/978-3-030-53125-6" TargetMode="External"/><Relationship Id="rId41" Type="http://schemas.openxmlformats.org/officeDocument/2006/relationships/hyperlink" Target="https://www.scopus.com/inward/record.uri?eid=2-s2.0-85145966825&amp;doi=10.1016%2fj.infsof.2022.107134&amp;partnerID=40&amp;md5=581350936b5b9365cc7476ca1738340b;http://dx.doi.org/10.1016/j.infsof.2022.107134" TargetMode="External"/><Relationship Id="rId1402" Type="http://schemas.openxmlformats.org/officeDocument/2006/relationships/hyperlink" Target="https://doi.org/10.1145/3338468.3356829;http:/dx.doi.org/10.1145/3338468.3356829" TargetMode="External"/><Relationship Id="rId1707" Type="http://schemas.openxmlformats.org/officeDocument/2006/relationships/hyperlink" Target="https://www.sciencedirect.com/science/article/pii/S0957417422006388;http:/dx.doi.org/10.1016/j.eswa.2022.117267" TargetMode="External"/><Relationship Id="rId190" Type="http://schemas.openxmlformats.org/officeDocument/2006/relationships/hyperlink" Target="https://www.scopus.com/inward/record.uri?eid=2-s2.0-85139314025&amp;doi=10.1016%2fj.infsof.2022.107078&amp;partnerID=40&amp;md5=9dd3c67e43d6488ea5af6fd53225439c;http://dx.doi.org/10.1016/j.infsof.2022.107078" TargetMode="External"/><Relationship Id="rId288" Type="http://schemas.openxmlformats.org/officeDocument/2006/relationships/hyperlink" Target="https://www.scopus.com/inward/record.uri?eid=2-s2.0-85132434050&amp;doi=10.1109%2fICSE-Companion55297.2022.9793823&amp;partnerID=40&amp;md5=c6a0344b1e5ab02c263e4e5140c2d432;http://dx.doi.org/10.1109/ICSE-Companion55297.2022.9793823" TargetMode="External"/><Relationship Id="rId1914" Type="http://schemas.openxmlformats.org/officeDocument/2006/relationships/hyperlink" Target="http://link.springer.com/article/10.1007/s40264-022-01156-5" TargetMode="External"/><Relationship Id="rId495" Type="http://schemas.openxmlformats.org/officeDocument/2006/relationships/hyperlink" Target="https://www.scopus.com/inward/record.uri?eid=2-s2.0-85111378880&amp;doi=10.1109%2fAERO50100.2021.9438359&amp;partnerID=40&amp;md5=74af6a9138336b3c7ff7cab6918360d2;http://dx.doi.org/10.1109/AERO50100.2021.9438359" TargetMode="External"/><Relationship Id="rId2176" Type="http://schemas.openxmlformats.org/officeDocument/2006/relationships/hyperlink" Target="http://link.springer.com/article/10.1007/s00607-020-00895-6" TargetMode="External"/><Relationship Id="rId148" Type="http://schemas.openxmlformats.org/officeDocument/2006/relationships/hyperlink" Target="https://www.scopus.com/inward/record.uri?eid=2-s2.0-85123756783&amp;doi=10.1007%2fs10664-021-10103-4&amp;partnerID=40&amp;md5=5e8365fd313b1a1216d95a2ee5e12f65;http://dx.doi.org/10.1007/s10664-021-10103-4" TargetMode="External"/><Relationship Id="rId355" Type="http://schemas.openxmlformats.org/officeDocument/2006/relationships/hyperlink" Target="https://www.scopus.com/inward/record.uri?eid=2-s2.0-85101476335&amp;doi=10.1080%2f01605682.2020.1865848&amp;partnerID=40&amp;md5=3cc10e6956c3732df5ec17d90661da5c;http://dx.doi.org/10.1080/01605682.2020.1865848" TargetMode="External"/><Relationship Id="rId562" Type="http://schemas.openxmlformats.org/officeDocument/2006/relationships/hyperlink" Target="https://www.scopus.com/inward/record.uri?eid=2-s2.0-85102615736&amp;doi=10.1136%2fmedethics-2020-106820&amp;partnerID=40&amp;md5=1c247440ebd3e00e8e186d01492a6541;http://dx.doi.org/10.1136/medethics-2020-106820" TargetMode="External"/><Relationship Id="rId1192" Type="http://schemas.openxmlformats.org/officeDocument/2006/relationships/hyperlink" Target="http://dx.doi.org/10.1109/ICSE43902.2021.00134" TargetMode="External"/><Relationship Id="rId2036" Type="http://schemas.openxmlformats.org/officeDocument/2006/relationships/hyperlink" Target="http://link.springer.com/chapter/10.1007/978-3-031-05760-1_25" TargetMode="External"/><Relationship Id="rId215" Type="http://schemas.openxmlformats.org/officeDocument/2006/relationships/hyperlink" Target="https://www.scopus.com/inward/record.uri?eid=2-s2.0-85122086312&amp;doi=10.1007%2fs10515-021-00314-w&amp;partnerID=40&amp;md5=21ab1e846b58b044f8c0976ad0d90046;http://dx.doi.org/10.1007/s10515-021-00314-w" TargetMode="External"/><Relationship Id="rId422" Type="http://schemas.openxmlformats.org/officeDocument/2006/relationships/hyperlink" Target="https://www.scopus.com/inward/record.uri?eid=2-s2.0-85097339934&amp;doi=10.1049%2fiet-sen.2019.0246&amp;partnerID=40&amp;md5=f4cccfa58cc27fe4ed906910d0fbf644;http://dx.doi.org/10.1049/iet-sen.2019.0246" TargetMode="External"/><Relationship Id="rId867" Type="http://schemas.openxmlformats.org/officeDocument/2006/relationships/hyperlink" Target="https://www.scopus.com/inward/record.uri?eid=2-s2.0-85051486330&amp;doi=10.1145%2f3194164.3194173&amp;partnerID=40&amp;md5=4dc45a9f967364a60204d0d376da94bd;http://dx.doi.org/10.1145/3194164.3194173" TargetMode="External"/><Relationship Id="rId1052" Type="http://schemas.openxmlformats.org/officeDocument/2006/relationships/hyperlink" Target="http://dx.doi.org/10.1109/DSA51864.2020.00019" TargetMode="External"/><Relationship Id="rId1497" Type="http://schemas.openxmlformats.org/officeDocument/2006/relationships/hyperlink" Target="https://doi.org/10.1109/ICSE-SEIP.2019.00009;http:/dx.doi.org/10.1109/ICSE-SEIP.2019.00009" TargetMode="External"/><Relationship Id="rId2103" Type="http://schemas.openxmlformats.org/officeDocument/2006/relationships/hyperlink" Target="http://link.springer.com/chapter/10.1007/978-3-031-15116-3_6" TargetMode="External"/><Relationship Id="rId727" Type="http://schemas.openxmlformats.org/officeDocument/2006/relationships/hyperlink" Target="https://www.scopus.com/inward/record.uri?eid=2-s2.0-85076433758&amp;doi=10.1145%2f3340482.3342744&amp;partnerID=40&amp;md5=79d9362df2ed37b4e2ea352f860ef181;http://dx.doi.org/10.1145/3340482.3342744" TargetMode="External"/><Relationship Id="rId934" Type="http://schemas.openxmlformats.org/officeDocument/2006/relationships/hyperlink" Target="https://www.scopus.com/inward/record.uri?eid=2-s2.0-84963626757&amp;doi=10.1109%2fMTD.2015.7332620&amp;partnerID=40&amp;md5=38e26e5f7b29899c8ee03a18d5930277;http://dx.doi.org/10.1109/MTD.2015.7332620" TargetMode="External"/><Relationship Id="rId1357" Type="http://schemas.openxmlformats.org/officeDocument/2006/relationships/hyperlink" Target="https://doi.org/10.1145/3540250.3558908;http:/dx.doi.org/10.1145/3540250.3558908" TargetMode="External"/><Relationship Id="rId1564" Type="http://schemas.openxmlformats.org/officeDocument/2006/relationships/hyperlink" Target="https://www.sciencedirect.com/science/article/pii/S0164121222001972;http:/dx.doi.org/10.1016/j.jss.2022.111521" TargetMode="External"/><Relationship Id="rId1771" Type="http://schemas.openxmlformats.org/officeDocument/2006/relationships/hyperlink" Target="http://link.springer.com/article/10.1007/s11704-020-9281-z" TargetMode="External"/><Relationship Id="rId63" Type="http://schemas.openxmlformats.org/officeDocument/2006/relationships/hyperlink" Target="https://www.scopus.com/inward/record.uri?eid=2-s2.0-85145215606&amp;doi=10.1016%2fj.procir.2022.10.063&amp;partnerID=40&amp;md5=a1a0ae626adb720c71e03c5c1b65d4ed;http://dx.doi.org/10.1016/j.procir.2022.10.063" TargetMode="External"/><Relationship Id="rId1217" Type="http://schemas.openxmlformats.org/officeDocument/2006/relationships/hyperlink" Target="http://dx.doi.org/10.1109/AERO47225.2020.9172526" TargetMode="External"/><Relationship Id="rId1424" Type="http://schemas.openxmlformats.org/officeDocument/2006/relationships/hyperlink" Target="https://doi.org/10.1145/3379597.3387457;http:/dx.doi.org/10.1145/3379597.3387457" TargetMode="External"/><Relationship Id="rId1631" Type="http://schemas.openxmlformats.org/officeDocument/2006/relationships/hyperlink" Target="https://www.sciencedirect.com/science/article/pii/S0164121220301904;http:/dx.doi.org/10.1016/j.jss.2020.110777" TargetMode="External"/><Relationship Id="rId1869" Type="http://schemas.openxmlformats.org/officeDocument/2006/relationships/hyperlink" Target="http://link.springer.com/book/10.1007/978-3-031-19741-3" TargetMode="External"/><Relationship Id="rId1729" Type="http://schemas.openxmlformats.org/officeDocument/2006/relationships/hyperlink" Target="http://link.springer.com/book/10.1007/978-3-031-15559-8" TargetMode="External"/><Relationship Id="rId1936" Type="http://schemas.openxmlformats.org/officeDocument/2006/relationships/hyperlink" Target="http://link.springer.com/chapter/10.1007/978-3-031-08421-8_41" TargetMode="External"/><Relationship Id="rId377" Type="http://schemas.openxmlformats.org/officeDocument/2006/relationships/hyperlink" Target="https://www.scopus.com/inward/record.uri?eid=2-s2.0-85133424746&amp;doi=10.1145%2f3522664.3528603&amp;partnerID=40&amp;md5=58190cd0bd430f7525b822fd40c4f058;http://dx.doi.org/10.1145/3522664.3528603" TargetMode="External"/><Relationship Id="rId584" Type="http://schemas.openxmlformats.org/officeDocument/2006/relationships/hyperlink" Target="https://www.scopus.com/inward/record.uri?eid=2-s2.0-85101556271&amp;doi=10.1007%2f978-3-030-65854-0_3&amp;partnerID=40&amp;md5=cbc8930e2218bd056ff8c0f95dfea4c4;http://dx.doi.org/10.1007/978-3-030-65854-0_3" TargetMode="External"/><Relationship Id="rId2058" Type="http://schemas.openxmlformats.org/officeDocument/2006/relationships/hyperlink" Target="http://link.springer.com/chapter/10.1007/978-3-319-99229-7_2" TargetMode="External"/><Relationship Id="rId5" Type="http://schemas.openxmlformats.org/officeDocument/2006/relationships/hyperlink" Target="http://dx.doi.org/10.1007/s11704-022-1541-7" TargetMode="External"/><Relationship Id="rId237" Type="http://schemas.openxmlformats.org/officeDocument/2006/relationships/hyperlink" Target="https://www.scopus.com/inward/record.uri?eid=2-s2.0-85132730765&amp;doi=10.1109%2fACCESS.2022.3181730&amp;partnerID=40&amp;md5=a3eef8516db1852a0c7a8230031a8fa1;http://dx.doi.org/10.1109/ACCESS.2022.3181730" TargetMode="External"/><Relationship Id="rId791" Type="http://schemas.openxmlformats.org/officeDocument/2006/relationships/hyperlink" Target="https://www.scopus.com/inward/record.uri?eid=2-s2.0-85071185990&amp;doi=10.1109%2fTechDebt.2019.00029&amp;partnerID=40&amp;md5=787f07eee0f7c1998d5431e12625d2ea;http://dx.doi.org/10.1109/TechDebt.2019.00029" TargetMode="External"/><Relationship Id="rId889" Type="http://schemas.openxmlformats.org/officeDocument/2006/relationships/hyperlink" Target="https://www.scopus.com/inward/record.uri?eid=2-s2.0-85040565901&amp;doi=10.1002%2fsmr.1886&amp;partnerID=40&amp;md5=37cc6894c928a530d03d2ff259537e36;http://dx.doi.org/10.1002/smr.1886" TargetMode="External"/><Relationship Id="rId1074" Type="http://schemas.openxmlformats.org/officeDocument/2006/relationships/hyperlink" Target="http://dx.doi.org/10.1145/3524842.3528458" TargetMode="External"/><Relationship Id="rId444" Type="http://schemas.openxmlformats.org/officeDocument/2006/relationships/hyperlink" Target="https://www.scopus.com/inward/record.uri?eid=2-s2.0-85104600619&amp;doi=10.1109%2fICCQ51190.2021.9392959&amp;partnerID=40&amp;md5=488439458514e49604b255ec09237b41;http://dx.doi.org/10.1109/ICCQ51190.2021.9392959" TargetMode="External"/><Relationship Id="rId651" Type="http://schemas.openxmlformats.org/officeDocument/2006/relationships/hyperlink" Target="https://www.scopus.com/inward/record.uri?eid=2-s2.0-85073781599&amp;doi=10.1109%2fQRS.2019.00026&amp;partnerID=40&amp;md5=697f3e53a7776f335a18730f364fa238;http://dx.doi.org/10.1109/QRS.2019.00026" TargetMode="External"/><Relationship Id="rId749" Type="http://schemas.openxmlformats.org/officeDocument/2006/relationships/hyperlink" Target="https://www.scopus.com/inward/record.uri?eid=2-s2.0-85090040158&amp;doi=10.1007%2f978-981-15-7984-4_37&amp;partnerID=40&amp;md5=4db31533ec7d63e568a1c1a3afae3eae;http://dx.doi.org/10.1007/978-981-15-7984-4_37" TargetMode="External"/><Relationship Id="rId1281" Type="http://schemas.openxmlformats.org/officeDocument/2006/relationships/hyperlink" Target="https://ieeexplore.ieee.org/document/9936879" TargetMode="External"/><Relationship Id="rId1379" Type="http://schemas.openxmlformats.org/officeDocument/2006/relationships/hyperlink" Target="https://doi.org/10.1145/3379177.3388905;http:/dx.doi.org/10.1145/3379177.3388905" TargetMode="External"/><Relationship Id="rId1586" Type="http://schemas.openxmlformats.org/officeDocument/2006/relationships/hyperlink" Target="https://www.sciencedirect.com/science/article/pii/S0950584921001580;http:/dx.doi.org/10.1016/j.infsof.2021.106705" TargetMode="External"/><Relationship Id="rId2125" Type="http://schemas.openxmlformats.org/officeDocument/2006/relationships/hyperlink" Target="http://link.springer.com/article/10.1007/s00450-019-00413-w" TargetMode="External"/><Relationship Id="rId304" Type="http://schemas.openxmlformats.org/officeDocument/2006/relationships/hyperlink" Target="https://www.scopus.com/inward/record.uri?eid=2-s2.0-85117528533&amp;doi=10.1109%2fICAS49788.2021.9551151&amp;partnerID=40&amp;md5=034597a94dab459da2f9c12133a67165;http://dx.doi.org/10.1109/ICAS49788.2021.9551151" TargetMode="External"/><Relationship Id="rId511" Type="http://schemas.openxmlformats.org/officeDocument/2006/relationships/hyperlink" Target="https://www.scopus.com/inward/record.uri?eid=2-s2.0-85116556448&amp;doi=10.1587%2ftransinf.2020EDP7255&amp;partnerID=40&amp;md5=4a32a900ee950e280de93550f1b5b228;http://dx.doi.org/10.1587/transinf.2020EDP7255" TargetMode="External"/><Relationship Id="rId609" Type="http://schemas.openxmlformats.org/officeDocument/2006/relationships/hyperlink" Target="https://www.scopus.com/inward/record.uri?eid=2-s2.0-85098933960&amp;doi=10.1016%2fj.compag.2020.105922&amp;partnerID=40&amp;md5=72d041552aa067501c1bde57ead189f8;http://dx.doi.org/10.1016/j.compag.2020.105922" TargetMode="External"/><Relationship Id="rId956" Type="http://schemas.openxmlformats.org/officeDocument/2006/relationships/hyperlink" Target="https://www.scopus.com/inward/record.uri?eid=2-s2.0-85030217493&amp;doi=10.1109%2fTSE.2017.2752171&amp;partnerID=40&amp;md5=08076642c9fa25afdcc104371b29f29e;http://dx.doi.org/10.1109/TSE.2017.2752171" TargetMode="External"/><Relationship Id="rId1141" Type="http://schemas.openxmlformats.org/officeDocument/2006/relationships/hyperlink" Target="http://dx.doi.org/10.1109/TSE.2017.2752171" TargetMode="External"/><Relationship Id="rId1239" Type="http://schemas.openxmlformats.org/officeDocument/2006/relationships/hyperlink" Target="http://dx.doi.org/10.1109/IEEESTD.2021.9404959" TargetMode="External"/><Relationship Id="rId1793" Type="http://schemas.openxmlformats.org/officeDocument/2006/relationships/hyperlink" Target="http://link.springer.com/book/10.1007/978-3-031-08965-7" TargetMode="External"/><Relationship Id="rId85" Type="http://schemas.openxmlformats.org/officeDocument/2006/relationships/hyperlink" Target="https://www.scopus.com/inward/record.uri?eid=2-s2.0-85142863387&amp;partnerID=40&amp;md5=219aaa958011f40bb75bd6fc1c8444ce" TargetMode="External"/><Relationship Id="rId816" Type="http://schemas.openxmlformats.org/officeDocument/2006/relationships/hyperlink" Target="https://www.scopus.com/inward/record.uri?eid=2-s2.0-85054607574&amp;doi=10.1145%2f3183428.3183435&amp;partnerID=40&amp;md5=f010615699455f50b4bd9db5cb2db540;http://dx.doi.org/10.1145/3183428.3183435" TargetMode="External"/><Relationship Id="rId1001" Type="http://schemas.openxmlformats.org/officeDocument/2006/relationships/hyperlink" Target="http://dx.doi.org/10.1109/MS.2018.1661318" TargetMode="External"/><Relationship Id="rId1446" Type="http://schemas.openxmlformats.org/officeDocument/2006/relationships/hyperlink" Target="https://doi.org/10.1145/3511430.3511436;http:/dx.doi.org/10.1145/3511430.3511436" TargetMode="External"/><Relationship Id="rId1653" Type="http://schemas.openxmlformats.org/officeDocument/2006/relationships/hyperlink" Target="https://www.sciencedirect.com/science/article/pii/S0164121219300457;http:/dx.doi.org/10.1016/j.jss.2019.02.056" TargetMode="External"/><Relationship Id="rId1860" Type="http://schemas.openxmlformats.org/officeDocument/2006/relationships/hyperlink" Target="http://link.springer.com/book/10.1007/978-3-030-93856-7" TargetMode="External"/><Relationship Id="rId1306" Type="http://schemas.openxmlformats.org/officeDocument/2006/relationships/hyperlink" Target="http://dx.doi.org/10.1109/SEAA51224.2020.00004" TargetMode="External"/><Relationship Id="rId1513" Type="http://schemas.openxmlformats.org/officeDocument/2006/relationships/hyperlink" Target="https://doi.org/10.1145/3196398.3196410;http:/dx.doi.org/10.1145/3196398.3196410" TargetMode="External"/><Relationship Id="rId1720" Type="http://schemas.openxmlformats.org/officeDocument/2006/relationships/hyperlink" Target="http://link.springer.com/book/10.1007/978-3-031-08202-3" TargetMode="External"/><Relationship Id="rId1958" Type="http://schemas.openxmlformats.org/officeDocument/2006/relationships/hyperlink" Target="http://link.springer.com/article/10.1007/s10664-022-10257-9" TargetMode="External"/><Relationship Id="rId12" Type="http://schemas.openxmlformats.org/officeDocument/2006/relationships/hyperlink" Target="http://dx.doi.org/10.1109/TR.2021.3087864" TargetMode="External"/><Relationship Id="rId1818" Type="http://schemas.openxmlformats.org/officeDocument/2006/relationships/hyperlink" Target="http://link.springer.com/book/10.1007/978-3-030-82017-6" TargetMode="External"/><Relationship Id="rId161" Type="http://schemas.openxmlformats.org/officeDocument/2006/relationships/hyperlink" Target="https://www.scopus.com/inward/record.uri?eid=2-s2.0-85123722465&amp;doi=10.1016%2fj.jss.2022.111221&amp;partnerID=40&amp;md5=4217939de66ecf1ec4cf865419c65124;http://dx.doi.org/10.1016/j.jss.2022.111221" TargetMode="External"/><Relationship Id="rId399" Type="http://schemas.openxmlformats.org/officeDocument/2006/relationships/hyperlink" Target="https://www.scopus.com/inward/record.uri?eid=2-s2.0-85135499146&amp;partnerID=40&amp;md5=ce9546da3091cf7f7fac3b2be289837c" TargetMode="External"/><Relationship Id="rId259" Type="http://schemas.openxmlformats.org/officeDocument/2006/relationships/hyperlink" Target="https://www.scopus.com/inward/record.uri?eid=2-s2.0-85135055907&amp;doi=10.1007%2f978-3-031-10461-9_44&amp;partnerID=40&amp;md5=f779adfd5f5b27e1a5e2ca6ccd4c50a9;http://dx.doi.org/10.1007/978-3-031-10461-9_44" TargetMode="External"/><Relationship Id="rId466" Type="http://schemas.openxmlformats.org/officeDocument/2006/relationships/hyperlink" Target="https://www.scopus.com/inward/record.uri?eid=2-s2.0-85092742482&amp;doi=10.1109%2fACSOS-C51401.2020.00048&amp;partnerID=40&amp;md5=795fa76009b0b5c46ad117f886187237;http://dx.doi.org/10.1109/ACSOS-C51401.2020.00048" TargetMode="External"/><Relationship Id="rId673" Type="http://schemas.openxmlformats.org/officeDocument/2006/relationships/hyperlink" Target="https://www.scopus.com/inward/record.uri?eid=2-s2.0-85085726790&amp;doi=10.1007%2f978-3-030-43020-7_93&amp;partnerID=40&amp;md5=0275fc6a4cad37548d71c148f023c80e;http://dx.doi.org/10.1007/978-3-030-43020-7_93" TargetMode="External"/><Relationship Id="rId880" Type="http://schemas.openxmlformats.org/officeDocument/2006/relationships/hyperlink" Target="https://www.scopus.com/inward/record.uri?eid=2-s2.0-85017153682&amp;partnerID=40&amp;md5=d9d0a2a0f0bf6a407ddf95fc0b47c9ac" TargetMode="External"/><Relationship Id="rId1096" Type="http://schemas.openxmlformats.org/officeDocument/2006/relationships/hyperlink" Target="http://dx.doi.org/10.23919/SoftCOM50211.2020.9238323" TargetMode="External"/><Relationship Id="rId2147" Type="http://schemas.openxmlformats.org/officeDocument/2006/relationships/hyperlink" Target="http://link.springer.com/article/10.1007/s10270-022-01011-2" TargetMode="External"/><Relationship Id="rId119" Type="http://schemas.openxmlformats.org/officeDocument/2006/relationships/hyperlink" Target="https://www.scopus.com/inward/record.uri?eid=2-s2.0-85112159655&amp;doi=10.1109%2fTSE.2021.3102221&amp;partnerID=40&amp;md5=943b8bd3c53f068d0d969a19676ec455;http://dx.doi.org/10.1109/TSE.2021.3102221" TargetMode="External"/><Relationship Id="rId326" Type="http://schemas.openxmlformats.org/officeDocument/2006/relationships/hyperlink" Target="https://www.scopus.com/inward/record.uri?eid=2-s2.0-85113649225&amp;doi=10.1145%2f3475960.3475985&amp;partnerID=40&amp;md5=587cce7d3192fade582f1bfb832c322f;http://dx.doi.org/10.1145/3475960.3475985" TargetMode="External"/><Relationship Id="rId533" Type="http://schemas.openxmlformats.org/officeDocument/2006/relationships/hyperlink" Target="https://www.scopus.com/inward/record.uri?eid=2-s2.0-85096567372&amp;doi=10.1109%2fSEAA51224.2020.00069&amp;partnerID=40&amp;md5=fa864c8485e6cb62bd4f1b41b258269e;http://dx.doi.org/10.1109/SEAA51224.2020.00069" TargetMode="External"/><Relationship Id="rId978" Type="http://schemas.openxmlformats.org/officeDocument/2006/relationships/hyperlink" Target="http://dx.doi.org/10.1109/SEAA53835.2021.00034" TargetMode="External"/><Relationship Id="rId1163" Type="http://schemas.openxmlformats.org/officeDocument/2006/relationships/hyperlink" Target="http://dx.doi.org/10.1109/BigDataCongress.2018.00030" TargetMode="External"/><Relationship Id="rId1370" Type="http://schemas.openxmlformats.org/officeDocument/2006/relationships/hyperlink" Target="https://doi.org/10.1145/3560828.3564001;http:/dx.doi.org/10.1145/3560828.3564001" TargetMode="External"/><Relationship Id="rId2007" Type="http://schemas.openxmlformats.org/officeDocument/2006/relationships/hyperlink" Target="http://link.springer.com/article/10.1007/s10664-022-10221-7" TargetMode="External"/><Relationship Id="rId740" Type="http://schemas.openxmlformats.org/officeDocument/2006/relationships/hyperlink" Target="https://www.scopus.com/inward/record.uri?eid=2-s2.0-85101002659&amp;doi=10.1109%2fACCESS.2020.3036037&amp;partnerID=40&amp;md5=f441f8f89999a4f9baeab92fa891d63d;http://dx.doi.org/10.1109/ACCESS.2020.3036037" TargetMode="External"/><Relationship Id="rId838" Type="http://schemas.openxmlformats.org/officeDocument/2006/relationships/hyperlink" Target="https://www.scopus.com/inward/record.uri?eid=2-s2.0-84960421324&amp;doi=10.1145%2f2786805.2786848&amp;partnerID=40&amp;md5=fb086ca8c559aa7ca2e20e0bd421c154;http://dx.doi.org/10.1145/2786805.2786848" TargetMode="External"/><Relationship Id="rId1023" Type="http://schemas.openxmlformats.org/officeDocument/2006/relationships/hyperlink" Target="http://dx.doi.org/10.1109/RCIS.2014.6861083" TargetMode="External"/><Relationship Id="rId1468" Type="http://schemas.openxmlformats.org/officeDocument/2006/relationships/hyperlink" Target="https://doi.org/10.1109/CHASE.2019.00013;http:/dx.doi.org/10.1109/CHASE.2019.00013" TargetMode="External"/><Relationship Id="rId1675" Type="http://schemas.openxmlformats.org/officeDocument/2006/relationships/hyperlink" Target="https://www.sciencedirect.com/science/article/pii/S0065245816300717;http:/dx.doi.org/10.1016/S0065-2458(16)30071-7" TargetMode="External"/><Relationship Id="rId1882" Type="http://schemas.openxmlformats.org/officeDocument/2006/relationships/hyperlink" Target="http://link.springer.com/book/10.1007/978-3-031-07802-6" TargetMode="External"/><Relationship Id="rId600" Type="http://schemas.openxmlformats.org/officeDocument/2006/relationships/hyperlink" Target="https://www.scopus.com/inward/record.uri?eid=2-s2.0-85116010167&amp;doi=10.1007%2f978-3-030-87007-2_22&amp;partnerID=40&amp;md5=006267f393429147a4517f2b43d3299c;http://dx.doi.org/10.1007/978-3-030-87007-2_22" TargetMode="External"/><Relationship Id="rId1230" Type="http://schemas.openxmlformats.org/officeDocument/2006/relationships/hyperlink" Target="http://dx.doi.org/10.1109/BigData.2018.8622357" TargetMode="External"/><Relationship Id="rId1328" Type="http://schemas.openxmlformats.org/officeDocument/2006/relationships/hyperlink" Target="https://doi.org/10.1145/3345629.3345630;http:/dx.doi.org/10.1145/3345629.3345630" TargetMode="External"/><Relationship Id="rId1535" Type="http://schemas.openxmlformats.org/officeDocument/2006/relationships/hyperlink" Target="https://doi.org/10.1145/3387904.3389280;http:/dx.doi.org/10.1145/3387904.3389280" TargetMode="External"/><Relationship Id="rId905" Type="http://schemas.openxmlformats.org/officeDocument/2006/relationships/hyperlink" Target="https://www.scopus.com/inward/record.uri?eid=2-s2.0-84891688656&amp;doi=10.1109%2fICSM.2013.56&amp;partnerID=40&amp;md5=1580015a515cb7c8d67933935648c03a;http://dx.doi.org/10.1109/ICSM.2013.56" TargetMode="External"/><Relationship Id="rId1742" Type="http://schemas.openxmlformats.org/officeDocument/2006/relationships/hyperlink" Target="http://link.springer.com/book/10.1007/978-3-031-10873-0" TargetMode="External"/><Relationship Id="rId34" Type="http://schemas.openxmlformats.org/officeDocument/2006/relationships/hyperlink" Target="https://www.scopus.com/inward/record.uri?eid=2-s2.0-85102303730&amp;doi=10.1109%2fTSE.2021.3063727&amp;partnerID=40&amp;md5=a8493f3a2190202e1859e9c7701469b0;http://dx.doi.org/10.1109/TSE.2021.3063727" TargetMode="External"/><Relationship Id="rId1602" Type="http://schemas.openxmlformats.org/officeDocument/2006/relationships/hyperlink" Target="https://www.sciencedirect.com/science/article/pii/S016412121930202X;http:/dx.doi.org/10.1016/j.jss.2019.110428" TargetMode="External"/><Relationship Id="rId183" Type="http://schemas.openxmlformats.org/officeDocument/2006/relationships/hyperlink" Target="https://www.scopus.com/inward/record.uri?eid=2-s2.0-85120086359&amp;doi=10.1109%2fTSE.2021.3129355&amp;partnerID=40&amp;md5=30dc3dec9e0bfb49943f97c2e25285d5;http://dx.doi.org/10.1109/TSE.2021.3129355" TargetMode="External"/><Relationship Id="rId390" Type="http://schemas.openxmlformats.org/officeDocument/2006/relationships/hyperlink" Target="https://www.scopus.com/inward/record.uri?eid=2-s2.0-85127505809&amp;doi=10.1109%2fACCESS.2022.3162863&amp;partnerID=40&amp;md5=0728d4f1754264db03e8492a6dee1ef2;http://dx.doi.org/10.1109/ACCESS.2022.3162863" TargetMode="External"/><Relationship Id="rId1907" Type="http://schemas.openxmlformats.org/officeDocument/2006/relationships/hyperlink" Target="http://link.springer.com/article/10.1007/s11219-021-09578-7" TargetMode="External"/><Relationship Id="rId2071" Type="http://schemas.openxmlformats.org/officeDocument/2006/relationships/hyperlink" Target="http://link.springer.com/article/10.1007/s10664-020-09910-y" TargetMode="External"/><Relationship Id="rId250" Type="http://schemas.openxmlformats.org/officeDocument/2006/relationships/hyperlink" Target="https://www.scopus.com/inward/record.uri?eid=2-s2.0-85116297167&amp;doi=10.1145%2f3468264.3473922&amp;partnerID=40&amp;md5=7621c921868ff843237b2ef5213e0e7c;http://dx.doi.org/10.1145/3468264.3473922" TargetMode="External"/><Relationship Id="rId488" Type="http://schemas.openxmlformats.org/officeDocument/2006/relationships/hyperlink" Target="https://www.scopus.com/inward/record.uri?eid=2-s2.0-85098553455&amp;doi=10.1145%2f3377812.3381404&amp;partnerID=40&amp;md5=49bd90bdd795d70e30576d4806605075;http://dx.doi.org/10.1145/3377812.3381404" TargetMode="External"/><Relationship Id="rId695" Type="http://schemas.openxmlformats.org/officeDocument/2006/relationships/hyperlink" Target="https://www.scopus.com/inward/record.uri?eid=2-s2.0-85087734994&amp;doi=10.1049%2fiet-sen.2019.0278&amp;partnerID=40&amp;md5=509ae309532d980eadff266de8bb29d3;http://dx.doi.org/10.1049/iet-sen.2019.0278" TargetMode="External"/><Relationship Id="rId2169" Type="http://schemas.openxmlformats.org/officeDocument/2006/relationships/hyperlink" Target="http://link.springer.com/chapter/10.1007/978-3-030-78821-6_2" TargetMode="External"/><Relationship Id="rId110" Type="http://schemas.openxmlformats.org/officeDocument/2006/relationships/hyperlink" Target="https://www.scopus.com/inward/record.uri?eid=2-s2.0-85129838215&amp;doi=10.1002%2fspe.3093&amp;partnerID=40&amp;md5=e22cde9c69e6b91c1c529527fdfe7b10;http://dx.doi.org/10.1002/spe.3093" TargetMode="External"/><Relationship Id="rId348" Type="http://schemas.openxmlformats.org/officeDocument/2006/relationships/hyperlink" Target="https://www.scopus.com/inward/record.uri?eid=2-s2.0-85104701235&amp;doi=10.1016%2fj.jss.2021.110976&amp;partnerID=40&amp;md5=465d320d5df377851f8a956da06c8c8f;http://dx.doi.org/10.1016/j.jss.2021.110976" TargetMode="External"/><Relationship Id="rId555" Type="http://schemas.openxmlformats.org/officeDocument/2006/relationships/hyperlink" Target="https://www.scopus.com/inward/record.uri?eid=2-s2.0-85123287454&amp;doi=10.1109%2fSCAM52516.2021.00016&amp;partnerID=40&amp;md5=d5aad7dfa0e6c1715bf45f4c5f3c99b5;http://dx.doi.org/10.1109/SCAM52516.2021.00016" TargetMode="External"/><Relationship Id="rId762" Type="http://schemas.openxmlformats.org/officeDocument/2006/relationships/hyperlink" Target="https://www.scopus.com/inward/record.uri?eid=2-s2.0-85097430483&amp;doi=10.1007%2f978-3-030-62144-5_8&amp;partnerID=40&amp;md5=057effcab39470d07e01b230e2511b35;http://dx.doi.org/10.1007/978-3-030-62144-5_8" TargetMode="External"/><Relationship Id="rId1185" Type="http://schemas.openxmlformats.org/officeDocument/2006/relationships/hyperlink" Target="http://dx.doi.org/10.1109/SCAM55253.2022.00018" TargetMode="External"/><Relationship Id="rId1392" Type="http://schemas.openxmlformats.org/officeDocument/2006/relationships/hyperlink" Target="https://doi.org/10.1145/3477314.3507310;http:/dx.doi.org/10.1145/3477314.3507310" TargetMode="External"/><Relationship Id="rId2029" Type="http://schemas.openxmlformats.org/officeDocument/2006/relationships/hyperlink" Target="http://link.springer.com/book/10.1007/978-1-4842-8704-0" TargetMode="External"/><Relationship Id="rId208" Type="http://schemas.openxmlformats.org/officeDocument/2006/relationships/hyperlink" Target="https://www.scopus.com/inward/record.uri?eid=2-s2.0-85139832258&amp;doi=10.1145%2f3544902.3546245&amp;partnerID=40&amp;md5=edbb24b01f3bad71665e5dd0778fd6e1;http://dx.doi.org/10.1145/3544902.3546245" TargetMode="External"/><Relationship Id="rId415" Type="http://schemas.openxmlformats.org/officeDocument/2006/relationships/hyperlink" Target="https://www.scopus.com/inward/record.uri?eid=2-s2.0-85113233819&amp;doi=10.1109%2fSEthics52569.2021.00009&amp;partnerID=40&amp;md5=381ee8f9de4f0758d6a3d1c57c6e76ff;http://dx.doi.org/10.1109/SEthics52569.2021.00009" TargetMode="External"/><Relationship Id="rId622" Type="http://schemas.openxmlformats.org/officeDocument/2006/relationships/hyperlink" Target="https://www.scopus.com/inward/record.uri?eid=2-s2.0-85050982730&amp;doi=10.1109%2fTSE.2018.2861735&amp;partnerID=40&amp;md5=2b87da1a7ab6367353d6b97d8b67b4ba;http://dx.doi.org/10.1109/TSE.2018.2861735" TargetMode="External"/><Relationship Id="rId1045" Type="http://schemas.openxmlformats.org/officeDocument/2006/relationships/hyperlink" Target="http://dx.doi.org/10.1109/MS.2021.3101945" TargetMode="External"/><Relationship Id="rId1252" Type="http://schemas.openxmlformats.org/officeDocument/2006/relationships/hyperlink" Target="http://dx.doi.org/10.1109/ARGENCON55245.2022.9939935" TargetMode="External"/><Relationship Id="rId1697" Type="http://schemas.openxmlformats.org/officeDocument/2006/relationships/hyperlink" Target="https://www.sciencedirect.com/science/article/pii/B9780124080911000142;http:/dx.doi.org/10.1016/B978-0-12-408091-1.00014-2" TargetMode="External"/><Relationship Id="rId927" Type="http://schemas.openxmlformats.org/officeDocument/2006/relationships/hyperlink" Target="https://www.scopus.com/inward/record.uri?eid=2-s2.0-85049674778&amp;doi=10.1145%2f3183440.3194950&amp;partnerID=40&amp;md5=e3304807d2353cd906e4c925fd57549b;http://dx.doi.org/10.1145/3183440.3194950" TargetMode="External"/><Relationship Id="rId1112" Type="http://schemas.openxmlformats.org/officeDocument/2006/relationships/hyperlink" Target="http://dx.doi.org/10.1109/TSE.2021.3060918" TargetMode="External"/><Relationship Id="rId1557" Type="http://schemas.openxmlformats.org/officeDocument/2006/relationships/hyperlink" Target="https://doi.org/10.1145/3502724;http:/dx.doi.org/10.1145/3502724" TargetMode="External"/><Relationship Id="rId1764" Type="http://schemas.openxmlformats.org/officeDocument/2006/relationships/hyperlink" Target="http://link.springer.com/book/10.1007/978-3-030-89385-9" TargetMode="External"/><Relationship Id="rId1971" Type="http://schemas.openxmlformats.org/officeDocument/2006/relationships/hyperlink" Target="http://link.springer.com/chapter/10.1007/978-981-16-6069-6_12" TargetMode="External"/><Relationship Id="rId56" Type="http://schemas.openxmlformats.org/officeDocument/2006/relationships/hyperlink" Target="https://www.scopus.com/inward/record.uri?eid=2-s2.0-85143443375&amp;doi=10.1109%2fSTC55697.2022.00020&amp;partnerID=40&amp;md5=7bc794e67cd0e17137ca00fd4783c72b;http://dx.doi.org/10.1109/STC55697.2022.00020" TargetMode="External"/><Relationship Id="rId1417" Type="http://schemas.openxmlformats.org/officeDocument/2006/relationships/hyperlink" Target="https://doi.org/10.1145/3183519.3183529;http:/dx.doi.org/10.1145/3183519.3183529" TargetMode="External"/><Relationship Id="rId1624" Type="http://schemas.openxmlformats.org/officeDocument/2006/relationships/hyperlink" Target="https://www.sciencedirect.com/science/article/pii/S0164121222001303;http:/dx.doi.org/10.1016/j.jss.2022.111423" TargetMode="External"/><Relationship Id="rId1831" Type="http://schemas.openxmlformats.org/officeDocument/2006/relationships/hyperlink" Target="http://link.springer.com/book/10.1007/978-3-319-55444-0" TargetMode="External"/><Relationship Id="rId1929" Type="http://schemas.openxmlformats.org/officeDocument/2006/relationships/hyperlink" Target="http://link.springer.com/article/10.1007/s10664-021-10105-2" TargetMode="External"/><Relationship Id="rId2093" Type="http://schemas.openxmlformats.org/officeDocument/2006/relationships/hyperlink" Target="http://link.springer.com/article/10.1007/s11219-017-9363-9" TargetMode="External"/><Relationship Id="rId272" Type="http://schemas.openxmlformats.org/officeDocument/2006/relationships/hyperlink" Target="https://www.scopus.com/inward/record.uri?eid=2-s2.0-85110356731&amp;doi=10.1007%2fs10664-021-10006-4&amp;partnerID=40&amp;md5=a859d2636665b7971e10581368126272;http://dx.doi.org/10.1007/s10664-021-10006-4" TargetMode="External"/><Relationship Id="rId577" Type="http://schemas.openxmlformats.org/officeDocument/2006/relationships/hyperlink" Target="https://www.scopus.com/inward/record.uri?eid=2-s2.0-85101612111&amp;doi=10.7717%2fPEERJ-CS.372&amp;partnerID=40&amp;md5=3689250207ed4ea47f652e14926515df;http://dx.doi.org/10.7717/PEERJ-CS.372" TargetMode="External"/><Relationship Id="rId2160" Type="http://schemas.openxmlformats.org/officeDocument/2006/relationships/hyperlink" Target="http://link.springer.com/book/10.1007/978-981-16-3583-0" TargetMode="External"/><Relationship Id="rId132" Type="http://schemas.openxmlformats.org/officeDocument/2006/relationships/hyperlink" Target="https://www.scopus.com/inward/record.uri?eid=2-s2.0-85126778720&amp;doi=10.3390%2fsmartcities5010019&amp;partnerID=40&amp;md5=ad99304296a8cd15d699ce60c751b19a;http://dx.doi.org/10.3390/smartcities5010019" TargetMode="External"/><Relationship Id="rId784" Type="http://schemas.openxmlformats.org/officeDocument/2006/relationships/hyperlink" Target="https://www.scopus.com/inward/record.uri?eid=2-s2.0-85076086059&amp;doi=10.1145%2f3345629.3345630&amp;partnerID=40&amp;md5=bdfaeb0f9a84ed38cc34121b48587893;http://dx.doi.org/10.1145/3345629.3345630" TargetMode="External"/><Relationship Id="rId991" Type="http://schemas.openxmlformats.org/officeDocument/2006/relationships/hyperlink" Target="http://dx.doi.org/10.1109/SEAA53835.2021.00032" TargetMode="External"/><Relationship Id="rId1067" Type="http://schemas.openxmlformats.org/officeDocument/2006/relationships/hyperlink" Target="http://dx.doi.org/10.1145/3524843.3528099" TargetMode="External"/><Relationship Id="rId2020" Type="http://schemas.openxmlformats.org/officeDocument/2006/relationships/hyperlink" Target="http://link.springer.com/chapter/10.1007/978-3-030-58811-3_73" TargetMode="External"/><Relationship Id="rId437" Type="http://schemas.openxmlformats.org/officeDocument/2006/relationships/hyperlink" Target="https://www.scopus.com/inward/record.uri?eid=2-s2.0-85093964684&amp;doi=10.1109%2fRE48521.2020.00036&amp;partnerID=40&amp;md5=a14be906604d55cdce31df0f8abf399e;http://dx.doi.org/10.1109/RE48521.2020.00036" TargetMode="External"/><Relationship Id="rId644" Type="http://schemas.openxmlformats.org/officeDocument/2006/relationships/hyperlink" Target="https://www.scopus.com/inward/record.uri?eid=2-s2.0-85070263786&amp;doi=10.23919%2fMIPRO.2019.08757009&amp;partnerID=40&amp;md5=d4b7f9ee8e229027939dd158c6a6fdb5;http://dx.doi.org/10.23919/MIPRO.2019.08757009" TargetMode="External"/><Relationship Id="rId851" Type="http://schemas.openxmlformats.org/officeDocument/2006/relationships/hyperlink" Target="https://www.scopus.com/inward/record.uri?eid=2-s2.0-85042186206&amp;doi=10.1680%2fjmapl.17.00040&amp;partnerID=40&amp;md5=4a426a7fec4fc7a4b3d1200face6faf7;http://dx.doi.org/10.1680/jmapl.17.00040" TargetMode="External"/><Relationship Id="rId1274" Type="http://schemas.openxmlformats.org/officeDocument/2006/relationships/hyperlink" Target="https://ieeexplore.ieee.org/document/9823094;http:/dx.doi.org/10.1002/9781119513957.index" TargetMode="External"/><Relationship Id="rId1481" Type="http://schemas.openxmlformats.org/officeDocument/2006/relationships/hyperlink" Target="https://doi.org/10.1145/3540250.3549145;http:/dx.doi.org/10.1145/3540250.3549145" TargetMode="External"/><Relationship Id="rId1579" Type="http://schemas.openxmlformats.org/officeDocument/2006/relationships/hyperlink" Target="https://www.sciencedirect.com/science/article/pii/S0950584920301440;http:/dx.doi.org/10.1016/j.infsof.2020.106375" TargetMode="External"/><Relationship Id="rId2118" Type="http://schemas.openxmlformats.org/officeDocument/2006/relationships/hyperlink" Target="http://link.springer.com/chapter/10.1007/978-3-030-40907-4_14" TargetMode="External"/><Relationship Id="rId504" Type="http://schemas.openxmlformats.org/officeDocument/2006/relationships/hyperlink" Target="https://www.scopus.com/inward/record.uri?eid=2-s2.0-85099346050&amp;doi=10.1145%2f3422392.3422507&amp;partnerID=40&amp;md5=22b2f8671798677cb15537abdf48fd57;http://dx.doi.org/10.1145/3422392.3422507" TargetMode="External"/><Relationship Id="rId711" Type="http://schemas.openxmlformats.org/officeDocument/2006/relationships/hyperlink" Target="https://www.scopus.com/inward/record.uri?eid=2-s2.0-85093120799&amp;doi=10.1145%2f3387906.3388627&amp;partnerID=40&amp;md5=65a27734e8572dcef49f552620f72fda;http://dx.doi.org/10.1145/3387906.3388627" TargetMode="External"/><Relationship Id="rId949" Type="http://schemas.openxmlformats.org/officeDocument/2006/relationships/hyperlink" Target="https://www.scopus.com/inward/record.uri?eid=2-s2.0-85049734434&amp;doi=10.1109%2fSANER.2018.8330266&amp;partnerID=40&amp;md5=0f2a02ffd59853212affe7704357ea21;http://dx.doi.org/10.1109/SANER.2018.8330266" TargetMode="External"/><Relationship Id="rId1134" Type="http://schemas.openxmlformats.org/officeDocument/2006/relationships/hyperlink" Target="http://dx.doi.org/10.1109/TSE.2018.2797899" TargetMode="External"/><Relationship Id="rId1341" Type="http://schemas.openxmlformats.org/officeDocument/2006/relationships/hyperlink" Target="https://doi.org/10.1145/3539783;http:/dx.doi.org/10.1145/3539783" TargetMode="External"/><Relationship Id="rId1786" Type="http://schemas.openxmlformats.org/officeDocument/2006/relationships/hyperlink" Target="http://link.springer.com/book/10.1007/978-3-031-04115-0" TargetMode="External"/><Relationship Id="rId1993" Type="http://schemas.openxmlformats.org/officeDocument/2006/relationships/hyperlink" Target="http://link.springer.com/chapter/10.1007/978-1-4842-7383-8_9" TargetMode="External"/><Relationship Id="rId78" Type="http://schemas.openxmlformats.org/officeDocument/2006/relationships/hyperlink" Target="https://www.scopus.com/inward/record.uri?eid=2-s2.0-85143052180&amp;doi=10.1145%2f3540250.3549088&amp;partnerID=40&amp;md5=221e967fa43a46b13ca4902687512b64;http://dx.doi.org/10.1145/3540250.3549088" TargetMode="External"/><Relationship Id="rId809" Type="http://schemas.openxmlformats.org/officeDocument/2006/relationships/hyperlink" Target="https://www.scopus.com/inward/record.uri?eid=2-s2.0-85092522299&amp;doi=10.1145%2f3379177.3388892&amp;partnerID=40&amp;md5=5ce22f7d386295c4b7f02eb069e7d6be;http://dx.doi.org/10.1145/3379177.3388892" TargetMode="External"/><Relationship Id="rId1201" Type="http://schemas.openxmlformats.org/officeDocument/2006/relationships/hyperlink" Target="http://dx.doi.org/10.1109/TSE.2018.2867847" TargetMode="External"/><Relationship Id="rId1439" Type="http://schemas.openxmlformats.org/officeDocument/2006/relationships/hyperlink" Target="https://doi.org/10.1145/3358502.3361270;http:/dx.doi.org/10.1145/3358502.3361270" TargetMode="External"/><Relationship Id="rId1646" Type="http://schemas.openxmlformats.org/officeDocument/2006/relationships/hyperlink" Target="https://www.sciencedirect.com/science/article/pii/S0167642321000861;http:/dx.doi.org/10.1016/j.scico.2021.102693" TargetMode="External"/><Relationship Id="rId1853" Type="http://schemas.openxmlformats.org/officeDocument/2006/relationships/hyperlink" Target="http://link.springer.com/article/10.1631/FITEE.2100467" TargetMode="External"/><Relationship Id="rId1506" Type="http://schemas.openxmlformats.org/officeDocument/2006/relationships/hyperlink" Target="https://doi.org/10.1145/3377813.3381358;http:/dx.doi.org/10.1145/3377813.3381358" TargetMode="External"/><Relationship Id="rId1713" Type="http://schemas.openxmlformats.org/officeDocument/2006/relationships/hyperlink" Target="https://www.sciencedirect.com/science/article/pii/S0925231222006646;http:/dx.doi.org/10.1016/j.neucom.2022.05.081" TargetMode="External"/><Relationship Id="rId1920" Type="http://schemas.openxmlformats.org/officeDocument/2006/relationships/hyperlink" Target="http://link.springer.com/book/10.1007/978-1-4842-3606-2" TargetMode="External"/><Relationship Id="rId294" Type="http://schemas.openxmlformats.org/officeDocument/2006/relationships/hyperlink" Target="https://www.scopus.com/inward/record.uri?eid=2-s2.0-85115682958&amp;doi=10.1109%2fICSE43902.2021.00045&amp;partnerID=40&amp;md5=b8cf36a834806fa4c837a5593efc5b27;http://dx.doi.org/10.1109/ICSE43902.2021.00045" TargetMode="External"/><Relationship Id="rId2182" Type="http://schemas.openxmlformats.org/officeDocument/2006/relationships/hyperlink" Target="http://link.springer.com/book/10.1007/978-3-476-05604-7" TargetMode="External"/><Relationship Id="rId154" Type="http://schemas.openxmlformats.org/officeDocument/2006/relationships/hyperlink" Target="https://www.scopus.com/inward/record.uri?eid=2-s2.0-85139069929&amp;doi=10.1515%2fauto-2022-0076&amp;partnerID=40&amp;md5=9320f12cb22195680926acd268700a72;http://dx.doi.org/10.1515/auto-2022-0076" TargetMode="External"/><Relationship Id="rId361" Type="http://schemas.openxmlformats.org/officeDocument/2006/relationships/hyperlink" Target="https://www.scopus.com/inward/record.uri?eid=2-s2.0-85110456711&amp;doi=10.1007%2fs11229-021-03305-2&amp;partnerID=40&amp;md5=7049dcdbefb9f1ad30a067d78bc0453b;http://dx.doi.org/10.1007/s11229-021-03305-2" TargetMode="External"/><Relationship Id="rId599" Type="http://schemas.openxmlformats.org/officeDocument/2006/relationships/hyperlink" Target="https://www.scopus.com/inward/record.uri?eid=2-s2.0-85117760287&amp;partnerID=40&amp;md5=81955a0a280b9878ff39973f036d6744" TargetMode="External"/><Relationship Id="rId2042" Type="http://schemas.openxmlformats.org/officeDocument/2006/relationships/hyperlink" Target="http://link.springer.com/article/10.1007/s10664-021-10058-6" TargetMode="External"/><Relationship Id="rId459" Type="http://schemas.openxmlformats.org/officeDocument/2006/relationships/hyperlink" Target="https://www.scopus.com/inward/record.uri?eid=2-s2.0-85113608396&amp;doi=10.1109%2fMSR52588.2021.00048&amp;partnerID=40&amp;md5=8372a320829643fa3dbaaf4903e3d57e;http://dx.doi.org/10.1109/MSR52588.2021.00048" TargetMode="External"/><Relationship Id="rId666" Type="http://schemas.openxmlformats.org/officeDocument/2006/relationships/hyperlink" Target="https://www.scopus.com/inward/record.uri?eid=2-s2.0-85089994347&amp;doi=10.1109%2fICOEI48184.2020.9142886&amp;partnerID=40&amp;md5=8c216c6ca9b924188acefe4dceab0709;http://dx.doi.org/10.1109/ICOEI48184.2020.9142886" TargetMode="External"/><Relationship Id="rId873" Type="http://schemas.openxmlformats.org/officeDocument/2006/relationships/hyperlink" Target="https://www.scopus.com/inward/record.uri?eid=2-s2.0-85025122019&amp;doi=10.1109%2fTSE.2017.2654244&amp;partnerID=40&amp;md5=e451cac637cd2b608649b22ace9a2b41;http://dx.doi.org/10.1109/TSE.2017.2654244" TargetMode="External"/><Relationship Id="rId1089" Type="http://schemas.openxmlformats.org/officeDocument/2006/relationships/hyperlink" Target="http://dx.doi.org/10.1109/TSE.2016.2550458" TargetMode="External"/><Relationship Id="rId1296" Type="http://schemas.openxmlformats.org/officeDocument/2006/relationships/hyperlink" Target="http://dx.doi.org/10.1109/MS.2020.2993662" TargetMode="External"/><Relationship Id="rId221" Type="http://schemas.openxmlformats.org/officeDocument/2006/relationships/hyperlink" Target="https://www.scopus.com/inward/record.uri?eid=2-s2.0-85111879543&amp;doi=10.1007%2fs11219-021-09564-z&amp;partnerID=40&amp;md5=203eb1056e8d2fefbf0be9f538add891;http://dx.doi.org/10.1007/s11219-021-09564-z" TargetMode="External"/><Relationship Id="rId319" Type="http://schemas.openxmlformats.org/officeDocument/2006/relationships/hyperlink" Target="https://www.scopus.com/inward/record.uri?eid=2-s2.0-85114808598&amp;doi=10.1109%2fTechDebt52882.2021.00009&amp;partnerID=40&amp;md5=760ad1ec91e35a2653864031ab66b940;http://dx.doi.org/10.1109/TechDebt52882.2021.00009" TargetMode="External"/><Relationship Id="rId526" Type="http://schemas.openxmlformats.org/officeDocument/2006/relationships/hyperlink" Target="https://www.scopus.com/inward/record.uri?eid=2-s2.0-85097139899&amp;doi=10.1145%2f3368089.3409692&amp;partnerID=40&amp;md5=cb82bb570d4a68ad5d6e39d28086f867;http://dx.doi.org/10.1145/3368089.3409692" TargetMode="External"/><Relationship Id="rId1156" Type="http://schemas.openxmlformats.org/officeDocument/2006/relationships/hyperlink" Target="http://dx.doi.org/10.1109/ACCESS.2021.3054472" TargetMode="External"/><Relationship Id="rId1363" Type="http://schemas.openxmlformats.org/officeDocument/2006/relationships/hyperlink" Target="https://doi.org/10.1145/3387906.3388618;http:/dx.doi.org/10.1145/3387906.3388618" TargetMode="External"/><Relationship Id="rId733" Type="http://schemas.openxmlformats.org/officeDocument/2006/relationships/hyperlink" Target="https://www.scopus.com/inward/record.uri?eid=2-s2.0-85062622797&amp;doi=10.1109%2fBigData.2018.8622357&amp;partnerID=40&amp;md5=8a85487e246f1342bb32bd1a63e9383b;http://dx.doi.org/10.1109/BigData.2018.8622357" TargetMode="External"/><Relationship Id="rId940" Type="http://schemas.openxmlformats.org/officeDocument/2006/relationships/hyperlink" Target="https://www.scopus.com/inward/record.uri?eid=2-s2.0-85053250705&amp;doi=10.1007%2f978-981-13-0761-4_86&amp;partnerID=40&amp;md5=83df076c0c8371cc0f82cc2139fc4ad1;http://dx.doi.org/10.1007/978-981-13-0761-4_86" TargetMode="External"/><Relationship Id="rId1016" Type="http://schemas.openxmlformats.org/officeDocument/2006/relationships/hyperlink" Target="http://dx.doi.org/10.1109/TSE.2020.3031401" TargetMode="External"/><Relationship Id="rId1570" Type="http://schemas.openxmlformats.org/officeDocument/2006/relationships/hyperlink" Target="https://www.sciencedirect.com/science/article/pii/S0164121220301734;http:/dx.doi.org/10.1016/j.jss.2020.110750" TargetMode="External"/><Relationship Id="rId1668" Type="http://schemas.openxmlformats.org/officeDocument/2006/relationships/hyperlink" Target="https://www.sciencedirect.com/science/article/pii/S0065245815000571;http:/dx.doi.org/10.1016/S0065-2458(15)00057-1" TargetMode="External"/><Relationship Id="rId1875" Type="http://schemas.openxmlformats.org/officeDocument/2006/relationships/hyperlink" Target="http://link.springer.com/chapter/10.1007/978-3-319-94135-6_9" TargetMode="External"/><Relationship Id="rId800" Type="http://schemas.openxmlformats.org/officeDocument/2006/relationships/hyperlink" Target="https://www.scopus.com/inward/record.uri?eid=2-s2.0-85087529805&amp;doi=10.1145%2f3387939.3391604&amp;partnerID=40&amp;md5=56aec211cbf7287b6c716c28bfd7d048;http://dx.doi.org/10.1145/3387939.3391604" TargetMode="External"/><Relationship Id="rId1223" Type="http://schemas.openxmlformats.org/officeDocument/2006/relationships/hyperlink" Target="http://dx.doi.org/10.1145/2884781.2884825" TargetMode="External"/><Relationship Id="rId1430" Type="http://schemas.openxmlformats.org/officeDocument/2006/relationships/hyperlink" Target="https://doi.org/10.1145/3194095.3194096;http:/dx.doi.org/10.1145/3194095.3194096" TargetMode="External"/><Relationship Id="rId1528" Type="http://schemas.openxmlformats.org/officeDocument/2006/relationships/hyperlink" Target="https://doi.org/10.1145/3411496.3421225;http:/dx.doi.org/10.1145/3411496.3421225" TargetMode="External"/><Relationship Id="rId1735" Type="http://schemas.openxmlformats.org/officeDocument/2006/relationships/hyperlink" Target="http://link.springer.com/book/10.1007/978-3-030-49435-3" TargetMode="External"/><Relationship Id="rId1942" Type="http://schemas.openxmlformats.org/officeDocument/2006/relationships/hyperlink" Target="http://link.springer.com/article/10.1007/s11390-020-0323-7" TargetMode="External"/><Relationship Id="rId27" Type="http://schemas.openxmlformats.org/officeDocument/2006/relationships/hyperlink" Target="https://www.scopus.com/inward/record.uri?eid=2-s2.0-85134807777&amp;doi=10.1007%2fs10664-022-10183-w&amp;partnerID=40&amp;md5=22c2a50f714a7297aea9be72975aa4a7;http://dx.doi.org/10.1007/s10664-022-10183-w" TargetMode="External"/><Relationship Id="rId1802" Type="http://schemas.openxmlformats.org/officeDocument/2006/relationships/hyperlink" Target="http://link.springer.com/book/10.1007/978-3-319-57633-6" TargetMode="External"/><Relationship Id="rId176" Type="http://schemas.openxmlformats.org/officeDocument/2006/relationships/hyperlink" Target="https://www.scopus.com/inward/record.uri?eid=2-s2.0-85144817300&amp;doi=10.1016%2fj.future.2022.12.024&amp;partnerID=40&amp;md5=7a875bbeb1eb88634bca573c15c8da9d;http://dx.doi.org/10.1016/j.future.2022.12.024" TargetMode="External"/><Relationship Id="rId383" Type="http://schemas.openxmlformats.org/officeDocument/2006/relationships/hyperlink" Target="https://www.scopus.com/inward/record.uri?eid=2-s2.0-85102119719&amp;doi=10.1016%2fj.jss.2021.110936&amp;partnerID=40&amp;md5=802a1c364cae9feb102101198284bab7;http://dx.doi.org/10.1016/j.jss.2021.110936" TargetMode="External"/><Relationship Id="rId590" Type="http://schemas.openxmlformats.org/officeDocument/2006/relationships/hyperlink" Target="https://www.scopus.com/inward/record.uri?eid=2-s2.0-85099608821&amp;doi=10.1016%2fj.infsof.2021.106530&amp;partnerID=40&amp;md5=8e73ebfc3c2c2eac5674687b8bef289f;http://dx.doi.org/10.1016/j.infsof.2021.106530" TargetMode="External"/><Relationship Id="rId2064" Type="http://schemas.openxmlformats.org/officeDocument/2006/relationships/hyperlink" Target="http://link.springer.com/article/10.1007/s10664-019-09754-1" TargetMode="External"/><Relationship Id="rId243" Type="http://schemas.openxmlformats.org/officeDocument/2006/relationships/hyperlink" Target="https://www.scopus.com/inward/record.uri?eid=2-s2.0-85135744097&amp;doi=10.1109%2fACCESS.2022.3196923&amp;partnerID=40&amp;md5=7d3a77dd28b2f0fd1e8ec1cfda510d1a;http://dx.doi.org/10.1109/ACCESS.2022.3196923" TargetMode="External"/><Relationship Id="rId450" Type="http://schemas.openxmlformats.org/officeDocument/2006/relationships/hyperlink" Target="https://www.scopus.com/inward/record.uri?eid=2-s2.0-85102010209&amp;doi=10.1142%2fS021819402150008X&amp;partnerID=40&amp;md5=dbf2dc671d419b196d65a4aa0bb0126e;http://dx.doi.org/10.1142/S021819402150008X" TargetMode="External"/><Relationship Id="rId688" Type="http://schemas.openxmlformats.org/officeDocument/2006/relationships/hyperlink" Target="https://www.scopus.com/inward/record.uri?eid=2-s2.0-85092439686&amp;doi=10.1145%2f3404663.3404665&amp;partnerID=40&amp;md5=08b95073fd61b0470975774e26bbd3b6;http://dx.doi.org/10.1145/3404663.3404665" TargetMode="External"/><Relationship Id="rId895" Type="http://schemas.openxmlformats.org/officeDocument/2006/relationships/hyperlink" Target="https://www.scopus.com/inward/record.uri?eid=2-s2.0-85055590546&amp;doi=10.1145%2f3131151.3131164&amp;partnerID=40&amp;md5=4579cd77eb8cf835cacb499c4388c170;http://dx.doi.org/10.1145/3131151.3131164" TargetMode="External"/><Relationship Id="rId1080" Type="http://schemas.openxmlformats.org/officeDocument/2006/relationships/hyperlink" Target="http://dx.doi.org/10.1145/3510455.3512773" TargetMode="External"/><Relationship Id="rId2131" Type="http://schemas.openxmlformats.org/officeDocument/2006/relationships/hyperlink" Target="http://link.springer.com/chapter/10.1007/978-1-4842-6186-6_8" TargetMode="External"/><Relationship Id="rId103" Type="http://schemas.openxmlformats.org/officeDocument/2006/relationships/hyperlink" Target="https://www.scopus.com/inward/record.uri?eid=2-s2.0-85126520334&amp;doi=10.1007%2fs10664-022-10126-5&amp;partnerID=40&amp;md5=e40c0e839e1f2ff67ac13072e9c4ed3c;http://dx.doi.org/10.1007/s10664-022-10126-5" TargetMode="External"/><Relationship Id="rId310" Type="http://schemas.openxmlformats.org/officeDocument/2006/relationships/hyperlink" Target="https://www.scopus.com/inward/record.uri?eid=2-s2.0-85107476543&amp;doi=10.1007%2fs13369-021-05766-6&amp;partnerID=40&amp;md5=7c6d14a531632b154462eeb447c74a7c;http://dx.doi.org/10.1007/s13369-021-05766-6" TargetMode="External"/><Relationship Id="rId548" Type="http://schemas.openxmlformats.org/officeDocument/2006/relationships/hyperlink" Target="https://www.scopus.com/inward/record.uri?eid=2-s2.0-85099769397&amp;doi=10.1109%2fICACSIS51025.2020.9263167&amp;partnerID=40&amp;md5=41ae4ea995eeed640a5197a7f9a907c3;http://dx.doi.org/10.1109/ICACSIS51025.2020.9263167" TargetMode="External"/><Relationship Id="rId755" Type="http://schemas.openxmlformats.org/officeDocument/2006/relationships/hyperlink" Target="https://www.scopus.com/inward/record.uri?eid=2-s2.0-85073790433&amp;doi=10.1109%2fQRS.2019.00041&amp;partnerID=40&amp;md5=554197f3cd3a269d57bda010e33880de;http://dx.doi.org/10.1109/QRS.2019.00041" TargetMode="External"/><Relationship Id="rId962" Type="http://schemas.openxmlformats.org/officeDocument/2006/relationships/hyperlink" Target="https://www.scopus.com/inward/record.uri?eid=2-s2.0-85058117217&amp;doi=10.18421%2fTEM74-31&amp;partnerID=40&amp;md5=bdfedb748512a88db98c63aa8972759e;http://dx.doi.org/10.18421/TEM74-31" TargetMode="External"/><Relationship Id="rId1178" Type="http://schemas.openxmlformats.org/officeDocument/2006/relationships/hyperlink" Target="http://dx.doi.org/10.1109/SEAA53835.2021.00023" TargetMode="External"/><Relationship Id="rId1385" Type="http://schemas.openxmlformats.org/officeDocument/2006/relationships/hyperlink" Target="https://doi.org/10.1109/ASE51524.2021.9678680;http:/dx.doi.org/10.1109/ASE51524.2021.9678680" TargetMode="External"/><Relationship Id="rId1592" Type="http://schemas.openxmlformats.org/officeDocument/2006/relationships/hyperlink" Target="https://www.sciencedirect.com/science/article/pii/S254266052200018X;http:/dx.doi.org/10.1016/j.iot.2022.100514" TargetMode="External"/><Relationship Id="rId91" Type="http://schemas.openxmlformats.org/officeDocument/2006/relationships/hyperlink" Target="https://www.scopus.com/inward/record.uri?eid=2-s2.0-85130578634&amp;doi=10.1145%2f3491102.3517537&amp;partnerID=40&amp;md5=1b63920694e882a66ec29dccf3453ef9;http://dx.doi.org/10.1145/3491102.3517537" TargetMode="External"/><Relationship Id="rId408" Type="http://schemas.openxmlformats.org/officeDocument/2006/relationships/hyperlink" Target="https://www.scopus.com/inward/record.uri?eid=2-s2.0-85114194059&amp;doi=10.1007%2fs10462-021-09973-3&amp;partnerID=40&amp;md5=49449a0bcf1838604f6936491dbf7dcf;http://dx.doi.org/10.1007/s10462-021-09973-3" TargetMode="External"/><Relationship Id="rId615" Type="http://schemas.openxmlformats.org/officeDocument/2006/relationships/hyperlink" Target="https://www.scopus.com/inward/record.uri?eid=2-s2.0-85107594454&amp;doi=10.4018%2fIJOSSP.2021040103&amp;partnerID=40&amp;md5=7bba65bb666a08cde582889021508a38;http://dx.doi.org/10.4018/IJOSSP.2021040103" TargetMode="External"/><Relationship Id="rId822" Type="http://schemas.openxmlformats.org/officeDocument/2006/relationships/hyperlink" Target="https://www.scopus.com/inward/record.uri?eid=2-s2.0-85058401948&amp;doi=10.1145%2f3278142.3278147&amp;partnerID=40&amp;md5=98783821aa4f6c3fb6f220b9ef0773df;http://dx.doi.org/10.1145/3278142.3278147" TargetMode="External"/><Relationship Id="rId1038" Type="http://schemas.openxmlformats.org/officeDocument/2006/relationships/hyperlink" Target="http://dx.doi.org/10.1109/MS.2019.2919573" TargetMode="External"/><Relationship Id="rId1245" Type="http://schemas.openxmlformats.org/officeDocument/2006/relationships/hyperlink" Target="https://ieeexplore.ieee.org/document/9953517" TargetMode="External"/><Relationship Id="rId1452" Type="http://schemas.openxmlformats.org/officeDocument/2006/relationships/hyperlink" Target="https://doi.org/10.1109/ASE.2019.00065;http:/dx.doi.org/10.1109/ASE.2019.00065" TargetMode="External"/><Relationship Id="rId1897" Type="http://schemas.openxmlformats.org/officeDocument/2006/relationships/hyperlink" Target="http://link.springer.com/article/10.1007/s11219-018-9424-8" TargetMode="External"/><Relationship Id="rId1105" Type="http://schemas.openxmlformats.org/officeDocument/2006/relationships/hyperlink" Target="http://dx.doi.org/10.1109/ICSE.2019.00032" TargetMode="External"/><Relationship Id="rId1312" Type="http://schemas.openxmlformats.org/officeDocument/2006/relationships/hyperlink" Target="http://dx.doi.org/10.1109/SANER48275.2020.9054810" TargetMode="External"/><Relationship Id="rId1757" Type="http://schemas.openxmlformats.org/officeDocument/2006/relationships/hyperlink" Target="http://link.springer.com/book/10.1007/978-3-030-57321-8" TargetMode="External"/><Relationship Id="rId1964" Type="http://schemas.openxmlformats.org/officeDocument/2006/relationships/hyperlink" Target="http://link.springer.com/book/10.1007/978-3-030-84589-6" TargetMode="External"/><Relationship Id="rId49" Type="http://schemas.openxmlformats.org/officeDocument/2006/relationships/hyperlink" Target="https://www.scopus.com/inward/record.uri?eid=2-s2.0-85122738619&amp;doi=10.1038%2fs41746-021-00549-7&amp;partnerID=40&amp;md5=0d7d18844b4bdc7089ecaf87c2457fb6;http://dx.doi.org/10.1038/s41746-021-00549-7" TargetMode="External"/><Relationship Id="rId1617" Type="http://schemas.openxmlformats.org/officeDocument/2006/relationships/hyperlink" Target="https://www.sciencedirect.com/science/article/pii/S0950584920301373;http:/dx.doi.org/10.1016/j.infsof.2020.106368" TargetMode="External"/><Relationship Id="rId1824" Type="http://schemas.openxmlformats.org/officeDocument/2006/relationships/hyperlink" Target="http://link.springer.com/chapter/10.1007/978-3-030-49795-8_31" TargetMode="External"/><Relationship Id="rId198" Type="http://schemas.openxmlformats.org/officeDocument/2006/relationships/hyperlink" Target="https://www.scopus.com/inward/record.uri?eid=2-s2.0-85139115973&amp;doi=10.1145%2f3555228.3555243&amp;partnerID=40&amp;md5=6cff46e7f5d2ebd3a471c921ec449c46;http://dx.doi.org/10.1145/3555228.3555243" TargetMode="External"/><Relationship Id="rId2086" Type="http://schemas.openxmlformats.org/officeDocument/2006/relationships/hyperlink" Target="http://link.springer.com/book/10.1007/978-1-4842-6361-7" TargetMode="External"/><Relationship Id="rId265" Type="http://schemas.openxmlformats.org/officeDocument/2006/relationships/hyperlink" Target="https://www.scopus.com/inward/record.uri?eid=2-s2.0-85111779360&amp;doi=10.1515%2fitit-2020-0045&amp;partnerID=40&amp;md5=7bd5e680aee015e6562ce010d11a8a07;http://dx.doi.org/10.1515/itit-2020-0045" TargetMode="External"/><Relationship Id="rId472" Type="http://schemas.openxmlformats.org/officeDocument/2006/relationships/hyperlink" Target="https://www.scopus.com/inward/record.uri?eid=2-s2.0-85091933740&amp;doi=10.1145%2f3387904.3389295&amp;partnerID=40&amp;md5=ed9f3b769b9b0983eb421776bb759588;http://dx.doi.org/10.1145/3387904.3389295" TargetMode="External"/><Relationship Id="rId2153" Type="http://schemas.openxmlformats.org/officeDocument/2006/relationships/hyperlink" Target="http://link.springer.com/chapter/10.1007/978-3-319-23850-0_6" TargetMode="External"/><Relationship Id="rId125" Type="http://schemas.openxmlformats.org/officeDocument/2006/relationships/hyperlink" Target="https://www.scopus.com/inward/record.uri?eid=2-s2.0-85126671710&amp;doi=10.1109%2fTSE.2021.3128356&amp;partnerID=40&amp;md5=2373adee78cf4a2e38c603d43371032a;http://dx.doi.org/10.1109/TSE.2021.3128356" TargetMode="External"/><Relationship Id="rId332" Type="http://schemas.openxmlformats.org/officeDocument/2006/relationships/hyperlink" Target="https://www.scopus.com/inward/record.uri?eid=2-s2.0-85116381167&amp;doi=10.1007%2fs00500-021-06254-7&amp;partnerID=40&amp;md5=743616e25bff5647b6164600c2caca81;http://dx.doi.org/10.1007/s00500-021-06254-7" TargetMode="External"/><Relationship Id="rId777" Type="http://schemas.openxmlformats.org/officeDocument/2006/relationships/hyperlink" Target="https://www.scopus.com/inward/record.uri?eid=2-s2.0-85064995774&amp;doi=10.18178%2fijmlc.2019.9.2.793&amp;partnerID=40&amp;md5=89a96da26fda84674bd343ed90000e73;http://dx.doi.org/10.18178/ijmlc.2019.9.2.793" TargetMode="External"/><Relationship Id="rId984" Type="http://schemas.openxmlformats.org/officeDocument/2006/relationships/hyperlink" Target="http://dx.doi.org/10.1109/ICPC52881.2021.00030" TargetMode="External"/><Relationship Id="rId2013" Type="http://schemas.openxmlformats.org/officeDocument/2006/relationships/hyperlink" Target="http://link.springer.com/chapter/10.1007/978-3-030-65854-0_4" TargetMode="External"/><Relationship Id="rId637" Type="http://schemas.openxmlformats.org/officeDocument/2006/relationships/hyperlink" Target="https://www.scopus.com/inward/record.uri?eid=2-s2.0-85066256743&amp;doi=10.1016%2fj.infsof.2019.05.009&amp;partnerID=40&amp;md5=a1ed98175a61323ea9e37c48e98e3b5d;http://dx.doi.org/10.1016/j.infsof.2019.05.009" TargetMode="External"/><Relationship Id="rId844" Type="http://schemas.openxmlformats.org/officeDocument/2006/relationships/hyperlink" Target="https://www.scopus.com/inward/record.uri?eid=2-s2.0-85021234082&amp;doi=10.1109%2fICDE.2017.109&amp;partnerID=40&amp;md5=1e7891b987436b8db39d3d8fb42b9c70;http://dx.doi.org/10.1109/ICDE.2017.109" TargetMode="External"/><Relationship Id="rId1267" Type="http://schemas.openxmlformats.org/officeDocument/2006/relationships/hyperlink" Target="http://dx.doi.org/10.1145/3524842.3528455" TargetMode="External"/><Relationship Id="rId1474" Type="http://schemas.openxmlformats.org/officeDocument/2006/relationships/hyperlink" Target="https://doi.org/10.1145/3555228.3555281;http:/dx.doi.org/10.1145/3555228.3555281" TargetMode="External"/><Relationship Id="rId1681" Type="http://schemas.openxmlformats.org/officeDocument/2006/relationships/hyperlink" Target="https://www.sciencedirect.com/science/article/pii/S2212827120314347;http:/dx.doi.org/10.1016/j.procir.2020.05.213" TargetMode="External"/><Relationship Id="rId704" Type="http://schemas.openxmlformats.org/officeDocument/2006/relationships/hyperlink" Target="https://www.scopus.com/inward/record.uri?eid=2-s2.0-85099723672&amp;doi=10.5593%2fsgem2020%2f2.1%2fs07.027&amp;partnerID=40&amp;md5=a2c61d7ad9145169efb9c0e826a061dc;http://dx.doi.org/10.5593/sgem2020/2.1/s07.027" TargetMode="External"/><Relationship Id="rId911" Type="http://schemas.openxmlformats.org/officeDocument/2006/relationships/hyperlink" Target="https://www.scopus.com/inward/record.uri?eid=2-s2.0-85024370661&amp;doi=10.1016%2fB978-0-12-805195-5.00008-9&amp;partnerID=40&amp;md5=a2abf57e3e55b52dfd00d506f7b0d93a;http://dx.doi.org/10.1016/B978-0-12-805195-5.00008-9" TargetMode="External"/><Relationship Id="rId1127" Type="http://schemas.openxmlformats.org/officeDocument/2006/relationships/hyperlink" Target="http://dx.doi.org/10.1109/ESEM.2017.14" TargetMode="External"/><Relationship Id="rId1334" Type="http://schemas.openxmlformats.org/officeDocument/2006/relationships/hyperlink" Target="https://doi.org/10.1145/3377812.3381396;http:/dx.doi.org/10.1145/3377812.3381396" TargetMode="External"/><Relationship Id="rId1541" Type="http://schemas.openxmlformats.org/officeDocument/2006/relationships/hyperlink" Target="https://doi.org/10.1145/3317287.3325792;http:/dx.doi.org/10.1145/3317287.3325792" TargetMode="External"/><Relationship Id="rId1779" Type="http://schemas.openxmlformats.org/officeDocument/2006/relationships/hyperlink" Target="http://link.springer.com/book/10.1007/978-3-030-56441-4" TargetMode="External"/><Relationship Id="rId1986" Type="http://schemas.openxmlformats.org/officeDocument/2006/relationships/hyperlink" Target="http://link.springer.com/article/10.1007/s38314-021-0733-5" TargetMode="External"/><Relationship Id="rId40" Type="http://schemas.openxmlformats.org/officeDocument/2006/relationships/hyperlink" Target="https://www.scopus.com/inward/record.uri?eid=2-s2.0-85106729716&amp;doi=10.1109%2fTSE.2021.3081171&amp;partnerID=40&amp;md5=67f37fe295058a12ed25afe41c5f8b51;http://dx.doi.org/10.1109/TSE.2021.3081171" TargetMode="External"/><Relationship Id="rId1401" Type="http://schemas.openxmlformats.org/officeDocument/2006/relationships/hyperlink" Target="https://doi.org/10.1145/3241403.3241414;http:/dx.doi.org/10.1145/3241403.3241414" TargetMode="External"/><Relationship Id="rId1639" Type="http://schemas.openxmlformats.org/officeDocument/2006/relationships/hyperlink" Target="https://www.sciencedirect.com/science/article/pii/S0920548919300789;http:/dx.doi.org/10.1016/j.csi.2019.103389" TargetMode="External"/><Relationship Id="rId1846" Type="http://schemas.openxmlformats.org/officeDocument/2006/relationships/hyperlink" Target="http://link.springer.com/book/10.1007/978-3-319-91602-6" TargetMode="External"/><Relationship Id="rId1706" Type="http://schemas.openxmlformats.org/officeDocument/2006/relationships/hyperlink" Target="https://www.sciencedirect.com/science/article/pii/S0950584922001513;http:/dx.doi.org/10.1016/j.infsof.2022.107034" TargetMode="External"/><Relationship Id="rId1913" Type="http://schemas.openxmlformats.org/officeDocument/2006/relationships/hyperlink" Target="http://link.springer.com/chapter/10.1007/978-3-319-91836-5_7" TargetMode="External"/><Relationship Id="rId287" Type="http://schemas.openxmlformats.org/officeDocument/2006/relationships/hyperlink" Target="https://www.scopus.com/inward/record.uri?eid=2-s2.0-85108905885&amp;doi=10.1145%2f3463274.3464455&amp;partnerID=40&amp;md5=72d95961bb20e726db887900f1cb3f6d;http://dx.doi.org/10.1145/3463274.3464455" TargetMode="External"/><Relationship Id="rId494" Type="http://schemas.openxmlformats.org/officeDocument/2006/relationships/hyperlink" Target="https://www.scopus.com/inward/record.uri?eid=2-s2.0-85123838162&amp;doi=10.1109%2fVizSec53666.2021.00006&amp;partnerID=40&amp;md5=c8a648eb6cc297caa631247a6f9422ee;http://dx.doi.org/10.1109/VizSec53666.2021.00006" TargetMode="External"/><Relationship Id="rId2175" Type="http://schemas.openxmlformats.org/officeDocument/2006/relationships/hyperlink" Target="http://link.springer.com/chapter/10.1007/978-1-4842-3751-9_9" TargetMode="External"/><Relationship Id="rId147" Type="http://schemas.openxmlformats.org/officeDocument/2006/relationships/hyperlink" Target="https://www.scopus.com/inward/record.uri?eid=2-s2.0-85127828513&amp;doi=10.1145%2f3479008&amp;partnerID=40&amp;md5=7d5197acbbe6613fa26c33417326f668;http://dx.doi.org/10.1145/3479008" TargetMode="External"/><Relationship Id="rId354" Type="http://schemas.openxmlformats.org/officeDocument/2006/relationships/hyperlink" Target="https://www.scopus.com/inward/record.uri?eid=2-s2.0-85102291373&amp;doi=10.1007%2fs12198-021-00230-w&amp;partnerID=40&amp;md5=b63ddf3488fb779f4917217e8731846d;http://dx.doi.org/10.1007/s12198-021-00230-w" TargetMode="External"/><Relationship Id="rId799" Type="http://schemas.openxmlformats.org/officeDocument/2006/relationships/hyperlink" Target="https://www.scopus.com/inward/record.uri?eid=2-s2.0-85073418102&amp;doi=10.1109%2fEMIP.2019.00013&amp;partnerID=40&amp;md5=01a6a02b94840a40d2f95bc9565be2a2;http://dx.doi.org/10.1109/EMIP.2019.00013" TargetMode="External"/><Relationship Id="rId1191" Type="http://schemas.openxmlformats.org/officeDocument/2006/relationships/hyperlink" Target="http://dx.doi.org/10.1109/TSE.2022.3184842" TargetMode="External"/><Relationship Id="rId2035" Type="http://schemas.openxmlformats.org/officeDocument/2006/relationships/hyperlink" Target="http://link.springer.com/book/10.1007/978-1-4842-7164-3" TargetMode="External"/><Relationship Id="rId561" Type="http://schemas.openxmlformats.org/officeDocument/2006/relationships/hyperlink" Target="https://www.scopus.com/inward/record.uri?eid=2-s2.0-85099091771&amp;doi=10.1007%2fs10664-020-09916-6&amp;partnerID=40&amp;md5=fb931cfc409ee456e24ad533e80416a4;http://dx.doi.org/10.1007/s10664-020-09916-6" TargetMode="External"/><Relationship Id="rId659" Type="http://schemas.openxmlformats.org/officeDocument/2006/relationships/hyperlink" Target="https://www.scopus.com/inward/record.uri?eid=2-s2.0-85082878517&amp;doi=10.1109%2fICSESS47205.2019.9040720&amp;partnerID=40&amp;md5=6f81e672dbf9fdeb0dff187b83944786;http://dx.doi.org/10.1109/ICSESS47205.2019.9040720" TargetMode="External"/><Relationship Id="rId866" Type="http://schemas.openxmlformats.org/officeDocument/2006/relationships/hyperlink" Target="https://www.scopus.com/inward/record.uri?eid=2-s2.0-85015176462&amp;doi=10.1109%2fBigData.2016.7840748&amp;partnerID=40&amp;md5=1561150575893c76c3a51217a41d1ab3;http://dx.doi.org/10.1109/BigData.2016.7840748" TargetMode="External"/><Relationship Id="rId1289" Type="http://schemas.openxmlformats.org/officeDocument/2006/relationships/hyperlink" Target="https://ieeexplore.ieee.org/document/9822939;http:/dx.doi.org/10.1002/9781119602477.fmatter" TargetMode="External"/><Relationship Id="rId1496" Type="http://schemas.openxmlformats.org/officeDocument/2006/relationships/hyperlink" Target="https://doi.org/10.1145/3512850.3512861;http:/dx.doi.org/10.1145/3512850.3512861" TargetMode="External"/><Relationship Id="rId214" Type="http://schemas.openxmlformats.org/officeDocument/2006/relationships/hyperlink" Target="https://www.scopus.com/inward/record.uri?eid=2-s2.0-85145552474&amp;doi=10.1016%2fj.infsof.2022.107116&amp;partnerID=40&amp;md5=63fb58b47d0f5d42d267e2dec0fbadd7;http://dx.doi.org/10.1016/j.infsof.2022.107116" TargetMode="External"/><Relationship Id="rId421" Type="http://schemas.openxmlformats.org/officeDocument/2006/relationships/hyperlink" Target="https://www.scopus.com/inward/record.uri?eid=2-s2.0-85085562707&amp;doi=10.1002%2fper.2257&amp;partnerID=40&amp;md5=3bc73dab710dc511252df487e134dc05;http://dx.doi.org/10.1002/per.2257" TargetMode="External"/><Relationship Id="rId519" Type="http://schemas.openxmlformats.org/officeDocument/2006/relationships/hyperlink" Target="https://www.scopus.com/inward/record.uri?eid=2-s2.0-85102310792&amp;doi=10.1109%2fTIM.2021.3062414&amp;partnerID=40&amp;md5=e930b65b37ee8b67476c6350c271f4b2;http://dx.doi.org/10.1109/TIM.2021.3062414" TargetMode="External"/><Relationship Id="rId1051" Type="http://schemas.openxmlformats.org/officeDocument/2006/relationships/hyperlink" Target="http://dx.doi.org/10.1109/APSEC48747.2019.00050" TargetMode="External"/><Relationship Id="rId1149" Type="http://schemas.openxmlformats.org/officeDocument/2006/relationships/hyperlink" Target="http://dx.doi.org/10.1145/2896941.2896954" TargetMode="External"/><Relationship Id="rId1356" Type="http://schemas.openxmlformats.org/officeDocument/2006/relationships/hyperlink" Target="https://doi.org/10.1145/3503509;http:/dx.doi.org/10.1145/3503509" TargetMode="External"/><Relationship Id="rId2102" Type="http://schemas.openxmlformats.org/officeDocument/2006/relationships/hyperlink" Target="http://link.springer.com/article/10.1007/s00766-022-00385-5" TargetMode="External"/><Relationship Id="rId726" Type="http://schemas.openxmlformats.org/officeDocument/2006/relationships/hyperlink" Target="https://www.scopus.com/inward/record.uri?eid=2-s2.0-85097644879&amp;doi=10.1007%2f978-3-030-64148-1_10&amp;partnerID=40&amp;md5=3b7d291d1dbc27d47773d40d60fdbd7e;http://dx.doi.org/10.1007/978-3-030-64148-1_10" TargetMode="External"/><Relationship Id="rId933" Type="http://schemas.openxmlformats.org/officeDocument/2006/relationships/hyperlink" Target="https://www.scopus.com/inward/record.uri?eid=2-s2.0-84984985889&amp;doi=10.1145%2f2939672.2939778&amp;partnerID=40&amp;md5=217b33ce367d1ea7001014a5ac694c79;http://dx.doi.org/10.1145/2939672.2939778" TargetMode="External"/><Relationship Id="rId1009" Type="http://schemas.openxmlformats.org/officeDocument/2006/relationships/hyperlink" Target="http://dx.doi.org/10.1109/SEAA.2019.00020" TargetMode="External"/><Relationship Id="rId1563" Type="http://schemas.openxmlformats.org/officeDocument/2006/relationships/hyperlink" Target="https://www.sciencedirect.com/science/article/pii/S0164121220302090;http:/dx.doi.org/10.1016/j.jss.2020.110806" TargetMode="External"/><Relationship Id="rId1770" Type="http://schemas.openxmlformats.org/officeDocument/2006/relationships/hyperlink" Target="http://link.springer.com/book/10.1007/978-3-030-86044-8" TargetMode="External"/><Relationship Id="rId1868" Type="http://schemas.openxmlformats.org/officeDocument/2006/relationships/hyperlink" Target="http://link.springer.com/book/10.1007/978-3-030-80003-1" TargetMode="External"/><Relationship Id="rId62" Type="http://schemas.openxmlformats.org/officeDocument/2006/relationships/hyperlink" Target="https://www.scopus.com/inward/record.uri?eid=2-s2.0-85130759581&amp;doi=10.1145%2f3503509&amp;partnerID=40&amp;md5=9fe3adb7cd22469cc37df72481195af2;http://dx.doi.org/10.1145/3503509" TargetMode="External"/><Relationship Id="rId1216" Type="http://schemas.openxmlformats.org/officeDocument/2006/relationships/hyperlink" Target="http://dx.doi.org/10.1145/3238147.3238201" TargetMode="External"/><Relationship Id="rId1423" Type="http://schemas.openxmlformats.org/officeDocument/2006/relationships/hyperlink" Target="https://doi.org/10.1109/ICSE43902.2021.00125;http:/dx.doi.org/10.1109/ICSE43902.2021.00125" TargetMode="External"/><Relationship Id="rId1630" Type="http://schemas.openxmlformats.org/officeDocument/2006/relationships/hyperlink" Target="https://www.sciencedirect.com/science/article/pii/S0164121222000772;http:/dx.doi.org/10.1016/j.jss.2022.111336" TargetMode="External"/><Relationship Id="rId1728" Type="http://schemas.openxmlformats.org/officeDocument/2006/relationships/hyperlink" Target="http://link.springer.com/book/10.1007/978-3-030-86797-3" TargetMode="External"/><Relationship Id="rId1935" Type="http://schemas.openxmlformats.org/officeDocument/2006/relationships/hyperlink" Target="http://link.springer.com/book/10.1007/978-1-4842-8200-7" TargetMode="External"/><Relationship Id="rId169" Type="http://schemas.openxmlformats.org/officeDocument/2006/relationships/hyperlink" Target="https://www.scopus.com/inward/record.uri?eid=2-s2.0-85138185453&amp;doi=10.1016%2fj.jss.2022.111508&amp;partnerID=40&amp;md5=4973a97ef53382eb1abfa96c96ec2362;http://dx.doi.org/10.1016/j.jss.2022.111508" TargetMode="External"/><Relationship Id="rId376" Type="http://schemas.openxmlformats.org/officeDocument/2006/relationships/hyperlink" Target="https://www.scopus.com/inward/record.uri?eid=2-s2.0-85121707446&amp;doi=10.1177%2f18479790211062044&amp;partnerID=40&amp;md5=b785de8c083927f7e9836909f1e58fd5;http://dx.doi.org/10.1177/18479790211062044" TargetMode="External"/><Relationship Id="rId583" Type="http://schemas.openxmlformats.org/officeDocument/2006/relationships/hyperlink" Target="https://www.scopus.com/inward/record.uri?eid=2-s2.0-85127693591&amp;doi=10.1109%2fAIKE52691.2021.00010&amp;partnerID=40&amp;md5=ab80be2a0ca9fc311ecc098c76e85efe;http://dx.doi.org/10.1109/AIKE52691.2021.00010" TargetMode="External"/><Relationship Id="rId790" Type="http://schemas.openxmlformats.org/officeDocument/2006/relationships/hyperlink" Target="https://www.scopus.com/inward/record.uri?eid=2-s2.0-85090177992&amp;doi=10.1007%2f978-3-030-57321-8_25&amp;partnerID=40&amp;md5=91084d2ddcf15d354de3a3f429b02b0d;http://dx.doi.org/10.1007/978-3-030-57321-8_25" TargetMode="External"/><Relationship Id="rId2057" Type="http://schemas.openxmlformats.org/officeDocument/2006/relationships/hyperlink" Target="http://link.springer.com/chapter/10.1007/978-1-4842-5814-9_12" TargetMode="External"/><Relationship Id="rId4" Type="http://schemas.openxmlformats.org/officeDocument/2006/relationships/hyperlink" Target="http://dx.doi.org/10.1109/TSE.2021.3129355" TargetMode="External"/><Relationship Id="rId236" Type="http://schemas.openxmlformats.org/officeDocument/2006/relationships/hyperlink" Target="https://www.scopus.com/inward/record.uri?eid=2-s2.0-85118863045&amp;doi=10.3390%2finfo12110437&amp;partnerID=40&amp;md5=e38a833f0d268ecacdb0bc53af1c48d4;http://dx.doi.org/10.3390/info12110437" TargetMode="External"/><Relationship Id="rId443" Type="http://schemas.openxmlformats.org/officeDocument/2006/relationships/hyperlink" Target="https://www.scopus.com/inward/record.uri?eid=2-s2.0-85093925437&amp;doi=10.1145%2f3382494.3410680&amp;partnerID=40&amp;md5=c811f43a3e197f225b6bf063c67e0aed;http://dx.doi.org/10.1145/3382494.3410680" TargetMode="External"/><Relationship Id="rId650" Type="http://schemas.openxmlformats.org/officeDocument/2006/relationships/hyperlink" Target="https://www.scopus.com/inward/record.uri?eid=2-s2.0-85079378944&amp;doi=10.1016%2fj.infsof.2020.106274&amp;partnerID=40&amp;md5=6f22bb95c1daf557005d2cd3a19f65eb;http://dx.doi.org/10.1016/j.infsof.2020.106274" TargetMode="External"/><Relationship Id="rId888" Type="http://schemas.openxmlformats.org/officeDocument/2006/relationships/hyperlink" Target="https://www.scopus.com/inward/record.uri?eid=2-s2.0-85058275146&amp;doi=10.1109%2fSCAM.2018.00015&amp;partnerID=40&amp;md5=735f0c987e0c433b10f67a72f9f2a97b;http://dx.doi.org/10.1109/SCAM.2018.00015" TargetMode="External"/><Relationship Id="rId1073" Type="http://schemas.openxmlformats.org/officeDocument/2006/relationships/hyperlink" Target="http://dx.doi.org/10.1109/MSR52588.2021.00032" TargetMode="External"/><Relationship Id="rId1280" Type="http://schemas.openxmlformats.org/officeDocument/2006/relationships/hyperlink" Target="http://dx.doi.org/10.1109/VISSOFT52517.2021.00018" TargetMode="External"/><Relationship Id="rId2124" Type="http://schemas.openxmlformats.org/officeDocument/2006/relationships/hyperlink" Target="http://link.springer.com/book/10.1007/978-1-4842-7202-2" TargetMode="External"/><Relationship Id="rId303" Type="http://schemas.openxmlformats.org/officeDocument/2006/relationships/hyperlink" Target="https://www.scopus.com/inward/record.uri?eid=2-s2.0-85113825122&amp;doi=10.1145%2f3472674.3473978&amp;partnerID=40&amp;md5=ef08e821bd0aa076a2350dadfe5034f8;http://dx.doi.org/10.1145/3472674.3473978" TargetMode="External"/><Relationship Id="rId748" Type="http://schemas.openxmlformats.org/officeDocument/2006/relationships/hyperlink" Target="https://www.scopus.com/inward/record.uri?eid=2-s2.0-85089306504&amp;doi=10.1155%2f2020%2f2976564&amp;partnerID=40&amp;md5=3edcf276fefc59def5d9c64479ece8f5;http://dx.doi.org/10.1155/2020/2976564" TargetMode="External"/><Relationship Id="rId955" Type="http://schemas.openxmlformats.org/officeDocument/2006/relationships/hyperlink" Target="https://www.scopus.com/inward/record.uri?eid=2-s2.0-85057113704&amp;doi=10.1109%2fICDE.2018.00159&amp;partnerID=40&amp;md5=9f84eeae9e2f154f00c81fbded42d099;http://dx.doi.org/10.1109/ICDE.2018.00159" TargetMode="External"/><Relationship Id="rId1140" Type="http://schemas.openxmlformats.org/officeDocument/2006/relationships/hyperlink" Target="http://dx.doi.org/10.1145/3510003.3510057" TargetMode="External"/><Relationship Id="rId1378" Type="http://schemas.openxmlformats.org/officeDocument/2006/relationships/hyperlink" Target="https://doi.org/10.1145/3510457.3513036;http:/dx.doi.org/10.1145/3510457.3513036" TargetMode="External"/><Relationship Id="rId1585" Type="http://schemas.openxmlformats.org/officeDocument/2006/relationships/hyperlink" Target="https://www.sciencedirect.com/science/article/pii/S0164121219301451;http:/dx.doi.org/10.1016/j.jss.2019.07.002" TargetMode="External"/><Relationship Id="rId1792" Type="http://schemas.openxmlformats.org/officeDocument/2006/relationships/hyperlink" Target="http://link.springer.com/article/10.1007/s11704-022-1541-7" TargetMode="External"/><Relationship Id="rId84" Type="http://schemas.openxmlformats.org/officeDocument/2006/relationships/hyperlink" Target="https://www.scopus.com/inward/record.uri?eid=2-s2.0-85139132343&amp;doi=10.1145%2f3555228.3555250&amp;partnerID=40&amp;md5=b1d72504567443cd4c6e5fb61825895e;http://dx.doi.org/10.1145/3555228.3555250" TargetMode="External"/><Relationship Id="rId510" Type="http://schemas.openxmlformats.org/officeDocument/2006/relationships/hyperlink" Target="https://www.scopus.com/inward/record.uri?eid=2-s2.0-85096588430&amp;doi=10.1109%2fSEAA51224.2020.00013&amp;partnerID=40&amp;md5=91a0c66839f3e09a22ce76289f2c3d55;http://dx.doi.org/10.1109/SEAA51224.2020.00013" TargetMode="External"/><Relationship Id="rId608" Type="http://schemas.openxmlformats.org/officeDocument/2006/relationships/hyperlink" Target="https://www.scopus.com/inward/record.uri?eid=2-s2.0-85112863573&amp;doi=10.1109%2fSEmotion52567.2021.00011&amp;partnerID=40&amp;md5=1ca98f10116a190c60bb7418d3f9f333;http://dx.doi.org/10.1109/SEmotion52567.2021.00011" TargetMode="External"/><Relationship Id="rId815" Type="http://schemas.openxmlformats.org/officeDocument/2006/relationships/hyperlink" Target="https://www.scopus.com/inward/record.uri?eid=2-s2.0-85015151902&amp;doi=10.1109%2fTLA.2017.7867598&amp;partnerID=40&amp;md5=e5c76e09eb8933bbb37c337592a840a7;http://dx.doi.org/10.1109/TLA.2017.7867598" TargetMode="External"/><Relationship Id="rId1238" Type="http://schemas.openxmlformats.org/officeDocument/2006/relationships/hyperlink" Target="http://dx.doi.org/10.1109/BigData.2017.8258187" TargetMode="External"/><Relationship Id="rId1445" Type="http://schemas.openxmlformats.org/officeDocument/2006/relationships/hyperlink" Target="https://doi.org/10.1145/3387904.3389259;http:/dx.doi.org/10.1145/3387904.3389259" TargetMode="External"/><Relationship Id="rId1652" Type="http://schemas.openxmlformats.org/officeDocument/2006/relationships/hyperlink" Target="https://www.sciencedirect.com/science/article/pii/S0950584922001872;http:/dx.doi.org/10.1016/j.infsof.2022.107078" TargetMode="External"/><Relationship Id="rId1000" Type="http://schemas.openxmlformats.org/officeDocument/2006/relationships/hyperlink" Target="http://dx.doi.org/10.1109/MS.2017.51" TargetMode="External"/><Relationship Id="rId1305" Type="http://schemas.openxmlformats.org/officeDocument/2006/relationships/hyperlink" Target="http://dx.doi.org/10.1109/SEAA.2019.00004" TargetMode="External"/><Relationship Id="rId1957" Type="http://schemas.openxmlformats.org/officeDocument/2006/relationships/hyperlink" Target="http://link.springer.com/chapter/10.1007/978-3-030-95041-5_2" TargetMode="External"/><Relationship Id="rId1512" Type="http://schemas.openxmlformats.org/officeDocument/2006/relationships/hyperlink" Target="https://doi.org/10.1145/3512945;http:/dx.doi.org/10.1145/3512945" TargetMode="External"/><Relationship Id="rId1817" Type="http://schemas.openxmlformats.org/officeDocument/2006/relationships/hyperlink" Target="http://link.springer.com/article/10.1007/s10664-022-10206-6" TargetMode="External"/><Relationship Id="rId11" Type="http://schemas.openxmlformats.org/officeDocument/2006/relationships/hyperlink" Target="http://dx.doi.org/10.1007/s10664-017-9522-4" TargetMode="External"/><Relationship Id="rId398" Type="http://schemas.openxmlformats.org/officeDocument/2006/relationships/hyperlink" Target="https://www.scopus.com/inward/record.uri?eid=2-s2.0-85115706103&amp;doi=10.1109%2fICSE-SEIP52600.2021.00049&amp;partnerID=40&amp;md5=1da4f8d366b90f2be0662d4fcc36661b;http://dx.doi.org/10.1109/ICSE-SEIP52600.2021.00049" TargetMode="External"/><Relationship Id="rId2079" Type="http://schemas.openxmlformats.org/officeDocument/2006/relationships/hyperlink" Target="http://link.springer.com/article/10.1007/s10664-020-09886-9" TargetMode="External"/><Relationship Id="rId160" Type="http://schemas.openxmlformats.org/officeDocument/2006/relationships/hyperlink" Target="https://www.scopus.com/inward/record.uri?eid=2-s2.0-85142686832&amp;doi=10.1007%2f978-3-031-19756-7_17&amp;partnerID=40&amp;md5=e7512dbcb4102e5308e13e7d16800931;http://dx.doi.org/10.1007/978-3-031-19756-7_17" TargetMode="External"/><Relationship Id="rId258" Type="http://schemas.openxmlformats.org/officeDocument/2006/relationships/hyperlink" Target="https://www.scopus.com/inward/record.uri?eid=2-s2.0-85115170584&amp;doi=10.3390%2fsu131810256&amp;partnerID=40&amp;md5=4fb2fc036cbe512bcde25df6c544d84e;http://dx.doi.org/10.3390/su131810256" TargetMode="External"/><Relationship Id="rId465" Type="http://schemas.openxmlformats.org/officeDocument/2006/relationships/hyperlink" Target="https://www.scopus.com/inward/record.uri?eid=2-s2.0-85125441263&amp;doi=10.1109%2fASE51524.2021.9678592&amp;partnerID=40&amp;md5=aec529ae74edbde13c5e9566de28f835;http://dx.doi.org/10.1109/ASE51524.2021.9678592" TargetMode="External"/><Relationship Id="rId672" Type="http://schemas.openxmlformats.org/officeDocument/2006/relationships/hyperlink" Target="https://www.scopus.com/inward/record.uri?eid=2-s2.0-85099151643&amp;doi=10.14778%2f3436905.3436925&amp;partnerID=40&amp;md5=ad8619d7d14b0b32820b1a17e1a8c6aa;http://dx.doi.org/10.14778/3436905.3436925" TargetMode="External"/><Relationship Id="rId1095" Type="http://schemas.openxmlformats.org/officeDocument/2006/relationships/hyperlink" Target="http://dx.doi.org/10.1109/ISSRE.2019.00047" TargetMode="External"/><Relationship Id="rId2146" Type="http://schemas.openxmlformats.org/officeDocument/2006/relationships/hyperlink" Target="http://link.springer.com/chapter/10.1007/978-1-4842-7226-8_11" TargetMode="External"/><Relationship Id="rId118" Type="http://schemas.openxmlformats.org/officeDocument/2006/relationships/hyperlink" Target="https://www.scopus.com/inward/record.uri?eid=2-s2.0-85096147180&amp;doi=10.1109%2fTSE.2020.3031401&amp;partnerID=40&amp;md5=6ccbd34b4c58d5bca5a9cd37fc2cec63;http://dx.doi.org/10.1109/TSE.2020.3031401" TargetMode="External"/><Relationship Id="rId325" Type="http://schemas.openxmlformats.org/officeDocument/2006/relationships/hyperlink" Target="https://www.scopus.com/inward/record.uri?eid=2-s2.0-85119188059&amp;doi=10.1109%2fSEAA53835.2021.00032&amp;partnerID=40&amp;md5=aa61a2e188974a7848c87e65473cb369;http://dx.doi.org/10.1109/SEAA53835.2021.00032" TargetMode="External"/><Relationship Id="rId532" Type="http://schemas.openxmlformats.org/officeDocument/2006/relationships/hyperlink" Target="https://www.scopus.com/inward/record.uri?eid=2-s2.0-85096810527&amp;doi=10.1145%2f3417990.3420196&amp;partnerID=40&amp;md5=734bb34bd97d5b82326506bf0e316734;http://dx.doi.org/10.1145/3417990.3420196" TargetMode="External"/><Relationship Id="rId977" Type="http://schemas.openxmlformats.org/officeDocument/2006/relationships/hyperlink" Target="http://dx.doi.org/10.1145/3524843.3528098" TargetMode="External"/><Relationship Id="rId1162" Type="http://schemas.openxmlformats.org/officeDocument/2006/relationships/hyperlink" Target="http://dx.doi.org/10.1109/TSE.2020.3007722" TargetMode="External"/><Relationship Id="rId2006" Type="http://schemas.openxmlformats.org/officeDocument/2006/relationships/hyperlink" Target="http://link.springer.com/article/10.1007/s11219-013-9225-z" TargetMode="External"/><Relationship Id="rId837" Type="http://schemas.openxmlformats.org/officeDocument/2006/relationships/hyperlink" Target="https://www.scopus.com/inward/record.uri?eid=2-s2.0-84989960497&amp;doi=10.1145%2f2910896.2910904&amp;partnerID=40&amp;md5=0fb5f4d318a0d7ba5d6a5a314d6be2f3;http://dx.doi.org/10.1145/2910896.2910904" TargetMode="External"/><Relationship Id="rId1022" Type="http://schemas.openxmlformats.org/officeDocument/2006/relationships/hyperlink" Target="http://dx.doi.org/10.1145/3524842.3528469" TargetMode="External"/><Relationship Id="rId1467" Type="http://schemas.openxmlformats.org/officeDocument/2006/relationships/hyperlink" Target="https://doi.org/10.1145/3468264.3468553;http:/dx.doi.org/10.1145/3468264.3468553" TargetMode="External"/><Relationship Id="rId1674" Type="http://schemas.openxmlformats.org/officeDocument/2006/relationships/hyperlink" Target="https://www.sciencedirect.com/science/article/pii/B9780128001608099927;http:/dx.doi.org/10.1016/B978-0-12-800160-8.09992-7" TargetMode="External"/><Relationship Id="rId1881" Type="http://schemas.openxmlformats.org/officeDocument/2006/relationships/hyperlink" Target="http://link.springer.com/article/10.1007/s10664-021-10099-x" TargetMode="External"/><Relationship Id="rId904" Type="http://schemas.openxmlformats.org/officeDocument/2006/relationships/hyperlink" Target="https://www.scopus.com/inward/record.uri?eid=2-s2.0-85065960484&amp;doi=10.1109%2fIS.2018.8710521&amp;partnerID=40&amp;md5=0a898ef8fbff21aa2cc0f1b7c26b83a7;http://dx.doi.org/10.1109/IS.2018.8710521" TargetMode="External"/><Relationship Id="rId1327" Type="http://schemas.openxmlformats.org/officeDocument/2006/relationships/hyperlink" Target="https://doi.org/10.1145/3540250.3549088;http:/dx.doi.org/10.1145/3540250.3549088" TargetMode="External"/><Relationship Id="rId1534" Type="http://schemas.openxmlformats.org/officeDocument/2006/relationships/hyperlink" Target="https://doi.org/10.1145/3426428.3426922;http:/dx.doi.org/10.1145/3426428.3426922" TargetMode="External"/><Relationship Id="rId1741" Type="http://schemas.openxmlformats.org/officeDocument/2006/relationships/hyperlink" Target="http://link.springer.com/referencework/10.1007/978-3-319-32010-6" TargetMode="External"/><Relationship Id="rId1979" Type="http://schemas.openxmlformats.org/officeDocument/2006/relationships/hyperlink" Target="http://link.springer.com/article/10.1007/s10664-020-09847-2" TargetMode="External"/><Relationship Id="rId33" Type="http://schemas.openxmlformats.org/officeDocument/2006/relationships/hyperlink" Target="https://www.scopus.com/inward/record.uri?eid=2-s2.0-85130705823&amp;doi=10.1631%2fFITEE.2100467&amp;partnerID=40&amp;md5=5dd77d10e1754a20c5cce0c213fd2adc;http://dx.doi.org/10.1631/FITEE.2100467" TargetMode="External"/><Relationship Id="rId1601" Type="http://schemas.openxmlformats.org/officeDocument/2006/relationships/hyperlink" Target="https://www.sciencedirect.com/science/article/pii/S0950584922002403;http:/dx.doi.org/10.1016/j.infsof.2022.107131" TargetMode="External"/><Relationship Id="rId1839" Type="http://schemas.openxmlformats.org/officeDocument/2006/relationships/hyperlink" Target="http://link.springer.com/book/10.1007/978-3-031-04580-6" TargetMode="External"/><Relationship Id="rId182" Type="http://schemas.openxmlformats.org/officeDocument/2006/relationships/hyperlink" Target="https://www.scopus.com/inward/record.uri?eid=2-s2.0-85141687357&amp;doi=10.1007%2f978-3-031-18461-1_10&amp;partnerID=40&amp;md5=e0dcff8ddb04c6d6c4314b57f711be75;http://dx.doi.org/10.1007/978-3-031-18461-1_10" TargetMode="External"/><Relationship Id="rId1906" Type="http://schemas.openxmlformats.org/officeDocument/2006/relationships/hyperlink" Target="http://link.springer.com/chapter/10.1007/978-3-030-00262-6_6" TargetMode="External"/><Relationship Id="rId487" Type="http://schemas.openxmlformats.org/officeDocument/2006/relationships/hyperlink" Target="https://www.scopus.com/inward/record.uri?eid=2-s2.0-85100249613&amp;doi=10.1109%2f3ICT51146.2020.9311978&amp;partnerID=40&amp;md5=1832d73521c6f12bc9c848a1637b63b5;http://dx.doi.org/10.1109/3ICT51146.2020.9311978" TargetMode="External"/><Relationship Id="rId694" Type="http://schemas.openxmlformats.org/officeDocument/2006/relationships/hyperlink" Target="https://www.scopus.com/inward/record.uri?eid=2-s2.0-85073675359&amp;doi=10.1127%2fmetz%2f2019%2f0934&amp;partnerID=40&amp;md5=33bed54e7cebeb47fc1c700e4a4a537d;http://dx.doi.org/10.1127/metz/2019/0934" TargetMode="External"/><Relationship Id="rId2070" Type="http://schemas.openxmlformats.org/officeDocument/2006/relationships/hyperlink" Target="http://link.springer.com/article/10.1007/s10664-019-09739-0" TargetMode="External"/><Relationship Id="rId2168" Type="http://schemas.openxmlformats.org/officeDocument/2006/relationships/hyperlink" Target="http://link.springer.com/chapter/10.1007/978-3-319-98149-9_14" TargetMode="External"/><Relationship Id="rId347" Type="http://schemas.openxmlformats.org/officeDocument/2006/relationships/hyperlink" Target="https://www.scopus.com/inward/record.uri?eid=2-s2.0-85098414166&amp;doi=10.1109%2fTSE.2020.2986415&amp;partnerID=40&amp;md5=638abf74d76cd60698871916833f90ae;http://dx.doi.org/10.1109/TSE.2020.2986415" TargetMode="External"/><Relationship Id="rId999" Type="http://schemas.openxmlformats.org/officeDocument/2006/relationships/hyperlink" Target="http://dx.doi.org/10.1109/ICSE43902.2021.00033" TargetMode="External"/><Relationship Id="rId1184" Type="http://schemas.openxmlformats.org/officeDocument/2006/relationships/hyperlink" Target="http://dx.doi.org/10.1109/ICSESS.2017.8342885" TargetMode="External"/><Relationship Id="rId2028" Type="http://schemas.openxmlformats.org/officeDocument/2006/relationships/hyperlink" Target="http://link.springer.com/article/10.1007/s11219-021-09581-y" TargetMode="External"/><Relationship Id="rId554" Type="http://schemas.openxmlformats.org/officeDocument/2006/relationships/hyperlink" Target="https://www.scopus.com/inward/record.uri?eid=2-s2.0-85124423330&amp;doi=10.1109%2fCIMPS54606.2021.9652693&amp;partnerID=40&amp;md5=a37e94e0429e7681a1701a4ea483670e;http://dx.doi.org/10.1109/CIMPS54606.2021.9652693" TargetMode="External"/><Relationship Id="rId761" Type="http://schemas.openxmlformats.org/officeDocument/2006/relationships/hyperlink" Target="https://www.scopus.com/inward/record.uri?eid=2-s2.0-85085967138&amp;doi=10.1109%2fJPROC.2020.2985293&amp;partnerID=40&amp;md5=cc8946989ba1be8454524fde5c94ffee;http://dx.doi.org/10.1109/JPROC.2020.2985293" TargetMode="External"/><Relationship Id="rId859" Type="http://schemas.openxmlformats.org/officeDocument/2006/relationships/hyperlink" Target="https://www.scopus.com/inward/record.uri?eid=2-s2.0-85045187448&amp;doi=10.1016%2fj.jss.2018.03.060&amp;partnerID=40&amp;md5=453e2dd25ab1b7a993df68baef20c80b;http://dx.doi.org/10.1016/j.jss.2018.03.060" TargetMode="External"/><Relationship Id="rId1391" Type="http://schemas.openxmlformats.org/officeDocument/2006/relationships/hyperlink" Target="https://doi.org/10.1145/3469440;http:/dx.doi.org/10.1145/3469440" TargetMode="External"/><Relationship Id="rId1489" Type="http://schemas.openxmlformats.org/officeDocument/2006/relationships/hyperlink" Target="https://doi.org/10.1145/2995272.2995276;http:/dx.doi.org/10.1145/2995272.2995276" TargetMode="External"/><Relationship Id="rId1696" Type="http://schemas.openxmlformats.org/officeDocument/2006/relationships/hyperlink" Target="https://www.sciencedirect.com/science/article/pii/B9780128028551000113;http:/dx.doi.org/10.1016/B978-0-12-802855-1.00011-3" TargetMode="External"/><Relationship Id="rId207" Type="http://schemas.openxmlformats.org/officeDocument/2006/relationships/hyperlink" Target="https://www.scopus.com/inward/record.uri?eid=2-s2.0-85128300131&amp;doi=10.1016%2fj.eswa.2022.117094&amp;partnerID=40&amp;md5=8abd4d36f0b2f01984d190f731d23a5a;http://dx.doi.org/10.1016/j.eswa.2022.117094" TargetMode="External"/><Relationship Id="rId414" Type="http://schemas.openxmlformats.org/officeDocument/2006/relationships/hyperlink" Target="https://www.scopus.com/inward/record.uri?eid=2-s2.0-85133459974&amp;doi=10.1145%2f3522664.3528620&amp;partnerID=40&amp;md5=97b0c303caa510a842490a1ceaec5ad5;http://dx.doi.org/10.1145/3522664.3528620" TargetMode="External"/><Relationship Id="rId621" Type="http://schemas.openxmlformats.org/officeDocument/2006/relationships/hyperlink" Target="https://www.scopus.com/inward/record.uri?eid=2-s2.0-85095611801&amp;doi=10.1109%2fICONC345789.2020.9117485&amp;partnerID=40&amp;md5=02ee1e9e849c70a11bf100bfca39e590;http://dx.doi.org/10.1109/ICONC345789.2020.9117485" TargetMode="External"/><Relationship Id="rId1044" Type="http://schemas.openxmlformats.org/officeDocument/2006/relationships/hyperlink" Target="http://dx.doi.org/10.1109/AERO50100.2021.9438359" TargetMode="External"/><Relationship Id="rId1251" Type="http://schemas.openxmlformats.org/officeDocument/2006/relationships/hyperlink" Target="http://dx.doi.org/10.1109/ACCESS.2022.3221130" TargetMode="External"/><Relationship Id="rId1349" Type="http://schemas.openxmlformats.org/officeDocument/2006/relationships/hyperlink" Target="https://doi.org/10.1145/3524610.3528387;http:/dx.doi.org/10.1145/3524610.3528387" TargetMode="External"/><Relationship Id="rId719" Type="http://schemas.openxmlformats.org/officeDocument/2006/relationships/hyperlink" Target="https://www.scopus.com/inward/record.uri?eid=2-s2.0-85093667883&amp;doi=10.1145%2f3377814.3381714&amp;partnerID=40&amp;md5=d0d68a6cfb33a9d23ddc92c746defdf5;http://dx.doi.org/10.1145/3377814.3381714" TargetMode="External"/><Relationship Id="rId926" Type="http://schemas.openxmlformats.org/officeDocument/2006/relationships/hyperlink" Target="https://www.scopus.com/inward/record.uri?eid=2-s2.0-85034432549&amp;doi=10.1109%2fSEAA.2017.15&amp;partnerID=40&amp;md5=45c23c07014a9deea0ed21eebd3ec72a;http://dx.doi.org/10.1109/SEAA.2017.15" TargetMode="External"/><Relationship Id="rId1111" Type="http://schemas.openxmlformats.org/officeDocument/2006/relationships/hyperlink" Target="http://dx.doi.org/10.1109/MS.2021.3133734" TargetMode="External"/><Relationship Id="rId1556" Type="http://schemas.openxmlformats.org/officeDocument/2006/relationships/hyperlink" Target="https://doi.org/10.1145/3569931;http:/dx.doi.org/10.1145/3569931" TargetMode="External"/><Relationship Id="rId1763" Type="http://schemas.openxmlformats.org/officeDocument/2006/relationships/hyperlink" Target="http://link.springer.com/book/10.1007/978-3-030-91431-8" TargetMode="External"/><Relationship Id="rId1970" Type="http://schemas.openxmlformats.org/officeDocument/2006/relationships/hyperlink" Target="http://link.springer.com/article/10.1007/s11219-021-09564-z" TargetMode="External"/><Relationship Id="rId55" Type="http://schemas.openxmlformats.org/officeDocument/2006/relationships/hyperlink" Target="https://www.scopus.com/inward/record.uri?eid=2-s2.0-85117576971&amp;doi=10.1007%2fs10270-021-00929-3&amp;partnerID=40&amp;md5=4dfe6f4506c21606c462b383c383b789;http://dx.doi.org/10.1007/s10270-021-00929-3" TargetMode="External"/><Relationship Id="rId1209" Type="http://schemas.openxmlformats.org/officeDocument/2006/relationships/hyperlink" Target="http://dx.doi.org/10.1109/TSE.2022.3220236" TargetMode="External"/><Relationship Id="rId1416" Type="http://schemas.openxmlformats.org/officeDocument/2006/relationships/hyperlink" Target="https://doi.org/10.1145/2684822.2697045;http:/dx.doi.org/10.1145/2684822.2697045" TargetMode="External"/><Relationship Id="rId1623" Type="http://schemas.openxmlformats.org/officeDocument/2006/relationships/hyperlink" Target="https://www.sciencedirect.com/science/article/pii/B9780128185971500230;http:/dx.doi.org/10.1016/B978-0-12-818597-1.50023-0" TargetMode="External"/><Relationship Id="rId1830" Type="http://schemas.openxmlformats.org/officeDocument/2006/relationships/hyperlink" Target="http://link.springer.com/article/10.1007/s10664-022-10121-w" TargetMode="External"/><Relationship Id="rId1928" Type="http://schemas.openxmlformats.org/officeDocument/2006/relationships/hyperlink" Target="http://link.springer.com/chapter/10.1007/978-3-030-89385-9_1" TargetMode="External"/><Relationship Id="rId2092" Type="http://schemas.openxmlformats.org/officeDocument/2006/relationships/hyperlink" Target="http://link.springer.com/chapter/10.1007/978-3-030-89385-9_5" TargetMode="External"/><Relationship Id="rId271" Type="http://schemas.openxmlformats.org/officeDocument/2006/relationships/hyperlink" Target="https://www.scopus.com/inward/record.uri?eid=2-s2.0-85116210160&amp;doi=10.1145%2f3468264.3468553&amp;partnerID=40&amp;md5=6ce12a520cb3da739efe05874cbde11d;http://dx.doi.org/10.1145/3468264.3468553" TargetMode="External"/><Relationship Id="rId131" Type="http://schemas.openxmlformats.org/officeDocument/2006/relationships/hyperlink" Target="https://www.scopus.com/inward/record.uri?eid=2-s2.0-85137825739&amp;doi=10.3389%2ffdgth.2022.939292&amp;partnerID=40&amp;md5=19debbf63d58827dc80975cfcbb37474;http://dx.doi.org/10.3389/fdgth.2022.939292" TargetMode="External"/><Relationship Id="rId369" Type="http://schemas.openxmlformats.org/officeDocument/2006/relationships/hyperlink" Target="https://www.scopus.com/inward/record.uri?eid=2-s2.0-85119054640&amp;doi=10.1145%2f3486607.3486748&amp;partnerID=40&amp;md5=e0fd265593d5f7ba6d534bc11202e392;http://dx.doi.org/10.1145/3486607.3486748" TargetMode="External"/><Relationship Id="rId576" Type="http://schemas.openxmlformats.org/officeDocument/2006/relationships/hyperlink" Target="https://www.scopus.com/inward/record.uri?eid=2-s2.0-85122936707&amp;doi=10.1109%2fETFA45728.2021.9613538&amp;partnerID=40&amp;md5=d05e631efef840c64a487c7fc4697803;http://dx.doi.org/10.1109/ETFA45728.2021.9613538" TargetMode="External"/><Relationship Id="rId783" Type="http://schemas.openxmlformats.org/officeDocument/2006/relationships/hyperlink" Target="https://www.scopus.com/inward/record.uri?eid=2-s2.0-85127339915&amp;doi=10.18420%2finf2020_16&amp;partnerID=40&amp;md5=165b4d942b7a2e1fffbff3379abd6757;http://dx.doi.org/10.18420/inf2020_16" TargetMode="External"/><Relationship Id="rId990" Type="http://schemas.openxmlformats.org/officeDocument/2006/relationships/hyperlink" Target="http://dx.doi.org/10.1109/ICSE-SEIP.2019.00042" TargetMode="External"/><Relationship Id="rId229" Type="http://schemas.openxmlformats.org/officeDocument/2006/relationships/hyperlink" Target="https://www.scopus.com/inward/record.uri?eid=2-s2.0-85114787941&amp;doi=10.1109%2fTechDebt52882.2021.00015&amp;partnerID=40&amp;md5=07e01d870b606471858b7d8d55d4f1f8;http://dx.doi.org/10.1109/TechDebt52882.2021.00015" TargetMode="External"/><Relationship Id="rId436" Type="http://schemas.openxmlformats.org/officeDocument/2006/relationships/hyperlink" Target="https://www.scopus.com/inward/record.uri?eid=2-s2.0-85104571977&amp;doi=10.1109%2fTSE.2019.2903057&amp;partnerID=40&amp;md5=8321a030c9ea5d1072b8bab803cd5df5;http://dx.doi.org/10.1109/TSE.2019.2903057" TargetMode="External"/><Relationship Id="rId643" Type="http://schemas.openxmlformats.org/officeDocument/2006/relationships/hyperlink" Target="https://www.scopus.com/inward/record.uri?eid=2-s2.0-85082448866&amp;doi=10.24507%2ficicel.14.05.423&amp;partnerID=40&amp;md5=9d3a3fc6034424833899d0a5e186adae;http://dx.doi.org/10.24507/icicel.14.05.423" TargetMode="External"/><Relationship Id="rId1066" Type="http://schemas.openxmlformats.org/officeDocument/2006/relationships/hyperlink" Target="http://dx.doi.org/10.1109/3ICT51146.2020.9311978" TargetMode="External"/><Relationship Id="rId1273" Type="http://schemas.openxmlformats.org/officeDocument/2006/relationships/hyperlink" Target="https://ieeexplore.ieee.org/document/9821663;http:/dx.doi.org/10.1002/9781119644682.biblio" TargetMode="External"/><Relationship Id="rId1480" Type="http://schemas.openxmlformats.org/officeDocument/2006/relationships/hyperlink" Target="https://doi.org/10.1145/3313151.3313166;http:/dx.doi.org/10.1145/3313151.3313166" TargetMode="External"/><Relationship Id="rId2117" Type="http://schemas.openxmlformats.org/officeDocument/2006/relationships/hyperlink" Target="http://link.springer.com/chapter/10.1007/978-3-030-14969-7_21" TargetMode="External"/><Relationship Id="rId850" Type="http://schemas.openxmlformats.org/officeDocument/2006/relationships/hyperlink" Target="https://www.scopus.com/inward/record.uri?eid=2-s2.0-85047325550&amp;doi=10.1145%2f3190507&amp;partnerID=40&amp;md5=2fdd4ae61cb25dd5f7421228ce8cbc2c;http://dx.doi.org/10.1145/3190507" TargetMode="External"/><Relationship Id="rId948" Type="http://schemas.openxmlformats.org/officeDocument/2006/relationships/hyperlink" Target="https://www.scopus.com/inward/record.uri?eid=2-s2.0-85050978697&amp;doi=10.1109%2fICSTW.2018.00061&amp;partnerID=40&amp;md5=8aa733b622c72d534b6786eaad52b095;http://dx.doi.org/10.1109/ICSTW.2018.00061" TargetMode="External"/><Relationship Id="rId1133" Type="http://schemas.openxmlformats.org/officeDocument/2006/relationships/hyperlink" Target="http://dx.doi.org/10.1109/QRS54544.2021.00103" TargetMode="External"/><Relationship Id="rId1578" Type="http://schemas.openxmlformats.org/officeDocument/2006/relationships/hyperlink" Target="https://www.sciencedirect.com/science/article/pii/S0950584921000264;http:/dx.doi.org/10.1016/j.infsof.2021.106539" TargetMode="External"/><Relationship Id="rId1785" Type="http://schemas.openxmlformats.org/officeDocument/2006/relationships/hyperlink" Target="http://link.springer.com/book/10.1007/978-3-031-15919-0" TargetMode="External"/><Relationship Id="rId1992" Type="http://schemas.openxmlformats.org/officeDocument/2006/relationships/hyperlink" Target="http://link.springer.com/chapter/10.1007/978-1-4842-7226-8_5" TargetMode="External"/><Relationship Id="rId77" Type="http://schemas.openxmlformats.org/officeDocument/2006/relationships/hyperlink" Target="https://www.scopus.com/inward/record.uri?eid=2-s2.0-85143878845&amp;doi=10.14569%2fIJACSA.2022.0131132&amp;partnerID=40&amp;md5=3559f9562be7ac2b9c30930c49fe73bc;http://dx.doi.org/10.14569/IJACSA.2022.0131132" TargetMode="External"/><Relationship Id="rId503" Type="http://schemas.openxmlformats.org/officeDocument/2006/relationships/hyperlink" Target="https://www.scopus.com/inward/record.uri?eid=2-s2.0-85090886014&amp;doi=10.1145%2f3410352.3410730&amp;partnerID=40&amp;md5=0cbecc85be120b365b021150c17e1f4b;http://dx.doi.org/10.1145/3410352.3410730" TargetMode="External"/><Relationship Id="rId710" Type="http://schemas.openxmlformats.org/officeDocument/2006/relationships/hyperlink" Target="https://www.scopus.com/inward/record.uri?eid=2-s2.0-85066501193&amp;doi=10.1109%2fICSA-C.2019.00053&amp;partnerID=40&amp;md5=a34e08bd8e80ebe987ae44f49dc7895a;http://dx.doi.org/10.1109/ICSA-C.2019.00053" TargetMode="External"/><Relationship Id="rId808" Type="http://schemas.openxmlformats.org/officeDocument/2006/relationships/hyperlink" Target="https://www.scopus.com/inward/record.uri?eid=2-s2.0-85084143742&amp;doi=10.1007%2fs10994-020-05872-w&amp;partnerID=40&amp;md5=e46222c40ec929bdf26b6ed2b83abd05;http://dx.doi.org/10.1007/s10994-020-05872-w" TargetMode="External"/><Relationship Id="rId1340" Type="http://schemas.openxmlformats.org/officeDocument/2006/relationships/hyperlink" Target="https://doi.org/10.1145/3382494.3410673;http:/dx.doi.org/10.1145/3382494.3410673" TargetMode="External"/><Relationship Id="rId1438" Type="http://schemas.openxmlformats.org/officeDocument/2006/relationships/hyperlink" Target="https://doi.org/10.1145/3196398.3196440;http:/dx.doi.org/10.1145/3196398.3196440" TargetMode="External"/><Relationship Id="rId1645" Type="http://schemas.openxmlformats.org/officeDocument/2006/relationships/hyperlink" Target="https://www.sciencedirect.com/science/article/pii/S1877050920308267;http:/dx.doi.org/10.1016/j.procs.2020.03.360" TargetMode="External"/><Relationship Id="rId1200" Type="http://schemas.openxmlformats.org/officeDocument/2006/relationships/hyperlink" Target="http://dx.doi.org/10.1109/ICOCO53166.2021.9673561" TargetMode="External"/><Relationship Id="rId1852" Type="http://schemas.openxmlformats.org/officeDocument/2006/relationships/hyperlink" Target="http://link.springer.com/article/10.1007/s10664-020-09917-5" TargetMode="External"/><Relationship Id="rId1505" Type="http://schemas.openxmlformats.org/officeDocument/2006/relationships/hyperlink" Target="https://doi.org/10.1145/2884781.2884825;http:/dx.doi.org/10.1145/2884781.2884825" TargetMode="External"/><Relationship Id="rId1712" Type="http://schemas.openxmlformats.org/officeDocument/2006/relationships/hyperlink" Target="https://www.sciencedirect.com/science/article/pii/B9780123965288000134;http:/dx.doi.org/10.1016/B978-0-12-396528-8.00013-4" TargetMode="External"/><Relationship Id="rId293" Type="http://schemas.openxmlformats.org/officeDocument/2006/relationships/hyperlink" Target="https://www.scopus.com/inward/record.uri?eid=2-s2.0-85108729050&amp;doi=10.3772%2fj.issn.1006-6748.2021.02.012&amp;partnerID=40&amp;md5=e7497e1fd7258da8b532a4783feea21e;http://dx.doi.org/10.3772/j.issn.1006-6748.2021.02.012" TargetMode="External"/><Relationship Id="rId2181" Type="http://schemas.openxmlformats.org/officeDocument/2006/relationships/hyperlink" Target="http://link.springer.com/chapter/10.1007/978-3-030-96734-5_4" TargetMode="External"/><Relationship Id="rId153" Type="http://schemas.openxmlformats.org/officeDocument/2006/relationships/hyperlink" Target="https://www.scopus.com/inward/record.uri?eid=2-s2.0-85145953212&amp;doi=10.30630%2fjoiv.6.4.982&amp;partnerID=40&amp;md5=200d0cc812ef636961a286a488f7df5a;http://dx.doi.org/10.30630/joiv.6.4.982" TargetMode="External"/><Relationship Id="rId360" Type="http://schemas.openxmlformats.org/officeDocument/2006/relationships/hyperlink" Target="https://www.scopus.com/inward/record.uri?eid=2-s2.0-85111809296&amp;doi=10.1016%2fj.amc.2021.126539&amp;partnerID=40&amp;md5=1f8edde4745d0e3326d461b07ef7e5f0;http://dx.doi.org/10.1016/j.amc.2021.126539" TargetMode="External"/><Relationship Id="rId598" Type="http://schemas.openxmlformats.org/officeDocument/2006/relationships/hyperlink" Target="https://www.scopus.com/inward/record.uri?eid=2-s2.0-85091922666&amp;doi=10.1145%2f3387904.3389270&amp;partnerID=40&amp;md5=ffc68e239ccf6dfd7170b6e2a40e405c;http://dx.doi.org/10.1145/3387904.3389270" TargetMode="External"/><Relationship Id="rId2041" Type="http://schemas.openxmlformats.org/officeDocument/2006/relationships/hyperlink" Target="http://link.springer.com/chapter/10.1007/978-3-030-69970-3_12" TargetMode="External"/><Relationship Id="rId220" Type="http://schemas.openxmlformats.org/officeDocument/2006/relationships/hyperlink" Target="https://www.scopus.com/inward/record.uri?eid=2-s2.0-85130230261&amp;doi=10.1007%2f978-3-031-04829-6_13&amp;partnerID=40&amp;md5=fa7d3f8c0353bd6e3bfe56c6fcee07df;http://dx.doi.org/10.1007/978-3-031-04829-6_13" TargetMode="External"/><Relationship Id="rId458" Type="http://schemas.openxmlformats.org/officeDocument/2006/relationships/hyperlink" Target="https://www.scopus.com/inward/record.uri?eid=2-s2.0-85101223219&amp;doi=10.1609%2faimag.v41i4.5309&amp;partnerID=40&amp;md5=a9ed703a7b5f5832914788a47107f701;http://dx.doi.org/10.1609/aimag.v41i4.5309" TargetMode="External"/><Relationship Id="rId665" Type="http://schemas.openxmlformats.org/officeDocument/2006/relationships/hyperlink" Target="https://www.scopus.com/inward/record.uri?eid=2-s2.0-85093646767&amp;doi=10.1145%2f3379597.3387448&amp;partnerID=40&amp;md5=6d778f6e5b3f863f5617638a54f2f921;http://dx.doi.org/10.1145/3379597.3387448" TargetMode="External"/><Relationship Id="rId872" Type="http://schemas.openxmlformats.org/officeDocument/2006/relationships/hyperlink" Target="https://www.scopus.com/inward/record.uri?eid=2-s2.0-85051472599&amp;doi=10.1145%2f3194164.3194168&amp;partnerID=40&amp;md5=ec28c7706adeead70d2d5f88117da531;http://dx.doi.org/10.1145/3194164.3194168" TargetMode="External"/><Relationship Id="rId1088" Type="http://schemas.openxmlformats.org/officeDocument/2006/relationships/hyperlink" Target="http://dx.doi.org/10.1109/SANER53432.2022.00029" TargetMode="External"/><Relationship Id="rId1295" Type="http://schemas.openxmlformats.org/officeDocument/2006/relationships/hyperlink" Target="http://dx.doi.org/10.1109/ICSE.2012.6227212" TargetMode="External"/><Relationship Id="rId2139" Type="http://schemas.openxmlformats.org/officeDocument/2006/relationships/hyperlink" Target="http://link.springer.com/article/10.1007/s41870-022-00905-0" TargetMode="External"/><Relationship Id="rId318" Type="http://schemas.openxmlformats.org/officeDocument/2006/relationships/hyperlink" Target="https://www.scopus.com/inward/record.uri?eid=2-s2.0-85097032199&amp;doi=10.1002%2fcpe.6129&amp;partnerID=40&amp;md5=35021be6327c7408aa2e08f0431f2531;http://dx.doi.org/10.1002/cpe.6129" TargetMode="External"/><Relationship Id="rId525" Type="http://schemas.openxmlformats.org/officeDocument/2006/relationships/hyperlink" Target="https://www.scopus.com/inward/record.uri?eid=2-s2.0-85106966534&amp;partnerID=40&amp;md5=b4f7c335dfe07bf1d0678ef9cf7d8f42" TargetMode="External"/><Relationship Id="rId732" Type="http://schemas.openxmlformats.org/officeDocument/2006/relationships/hyperlink" Target="https://www.scopus.com/inward/record.uri?eid=2-s2.0-85086278009&amp;doi=10.1145%2f3318464.3386146&amp;partnerID=40&amp;md5=6b9d0d875d873387855ce10ad97643b0;http://dx.doi.org/10.1145/3318464.3386146" TargetMode="External"/><Relationship Id="rId1155" Type="http://schemas.openxmlformats.org/officeDocument/2006/relationships/hyperlink" Target="http://dx.doi.org/10.1109/ISSREW55968.2022.00047" TargetMode="External"/><Relationship Id="rId1362" Type="http://schemas.openxmlformats.org/officeDocument/2006/relationships/hyperlink" Target="https://doi.org/10.1145/3275245.3275248;http:/dx.doi.org/10.1145/3275245.3275248" TargetMode="External"/><Relationship Id="rId99" Type="http://schemas.openxmlformats.org/officeDocument/2006/relationships/hyperlink" Target="https://www.scopus.com/inward/record.uri?eid=2-s2.0-85141530424&amp;doi=10.7544%2fissn1000-1239.20210221&amp;partnerID=40&amp;md5=35aaf67fcd4f78ddedf070f57389918e;http://dx.doi.org/10.7544/issn1000-1239.20210221" TargetMode="External"/><Relationship Id="rId1015" Type="http://schemas.openxmlformats.org/officeDocument/2006/relationships/hyperlink" Target="http://dx.doi.org/10.1109/SEAA51224.2020.00069" TargetMode="External"/><Relationship Id="rId1222" Type="http://schemas.openxmlformats.org/officeDocument/2006/relationships/hyperlink" Target="http://dx.doi.org/10.1109/SEAA51224.2020.00061" TargetMode="External"/><Relationship Id="rId1667" Type="http://schemas.openxmlformats.org/officeDocument/2006/relationships/hyperlink" Target="https://www.sciencedirect.com/science/article/pii/S0164121221000662;http:/dx.doi.org/10.1016/j.jss.2021.110969" TargetMode="External"/><Relationship Id="rId1874" Type="http://schemas.openxmlformats.org/officeDocument/2006/relationships/hyperlink" Target="http://link.springer.com/article/10.1007/s10664-022-10183-w" TargetMode="External"/><Relationship Id="rId1527" Type="http://schemas.openxmlformats.org/officeDocument/2006/relationships/hyperlink" Target="https://doi.org/10.1145/3419604.3419809;http:/dx.doi.org/10.1145/3419604.3419809" TargetMode="External"/><Relationship Id="rId1734" Type="http://schemas.openxmlformats.org/officeDocument/2006/relationships/hyperlink" Target="http://link.springer.com/book/10.1007/978-3-031-08421-8" TargetMode="External"/><Relationship Id="rId1941" Type="http://schemas.openxmlformats.org/officeDocument/2006/relationships/hyperlink" Target="http://link.springer.com/article/10.1007/s10664-021-10110-5" TargetMode="External"/><Relationship Id="rId26" Type="http://schemas.openxmlformats.org/officeDocument/2006/relationships/hyperlink" Target="https://www.scopus.com/inward/record.uri?eid=2-s2.0-85139844046&amp;doi=10.1145%2f3544902.3546637&amp;partnerID=40&amp;md5=58be2f1b51158cf58cefaaec91658062;http://dx.doi.org/10.1145/3544902.3546637" TargetMode="External"/><Relationship Id="rId175" Type="http://schemas.openxmlformats.org/officeDocument/2006/relationships/hyperlink" Target="https://www.scopus.com/inward/record.uri?eid=2-s2.0-85129765694&amp;doi=10.1145%2f3491101.3519724&amp;partnerID=40&amp;md5=78845bac017e1f1e34591118a2c1221c;http://dx.doi.org/10.1145/3491101.3519724" TargetMode="External"/><Relationship Id="rId1801" Type="http://schemas.openxmlformats.org/officeDocument/2006/relationships/hyperlink" Target="http://link.springer.com/book/10.1007/978-3-031-20218-6" TargetMode="External"/><Relationship Id="rId382" Type="http://schemas.openxmlformats.org/officeDocument/2006/relationships/hyperlink" Target="https://www.scopus.com/inward/record.uri?eid=2-s2.0-85117941875&amp;doi=10.1145%2f3475716.3475784&amp;partnerID=40&amp;md5=c3b61f80b0379b628da92c73b6136b0e;http://dx.doi.org/10.1145/3475716.3475784" TargetMode="External"/><Relationship Id="rId687" Type="http://schemas.openxmlformats.org/officeDocument/2006/relationships/hyperlink" Target="https://www.scopus.com/inward/record.uri?eid=2-s2.0-85072898064&amp;doi=10.1007%2f978-3-030-26250-1_30&amp;partnerID=40&amp;md5=ff9e046c42e97d445275b34d7f963329;http://dx.doi.org/10.1007/978-3-030-26250-1_30" TargetMode="External"/><Relationship Id="rId2063" Type="http://schemas.openxmlformats.org/officeDocument/2006/relationships/hyperlink" Target="http://link.springer.com/chapter/10.1007/978-3-031-11686-5_9" TargetMode="External"/><Relationship Id="rId242" Type="http://schemas.openxmlformats.org/officeDocument/2006/relationships/hyperlink" Target="https://www.scopus.com/inward/record.uri?eid=2-s2.0-85118802542&amp;doi=10.1002%2fcite.202100134&amp;partnerID=40&amp;md5=aa4fe2396d451ce1717a73069e7d063b;http://dx.doi.org/10.1002/cite.202100134" TargetMode="External"/><Relationship Id="rId894" Type="http://schemas.openxmlformats.org/officeDocument/2006/relationships/hyperlink" Target="https://www.scopus.com/inward/record.uri?eid=2-s2.0-85044588917&amp;doi=10.1142%2fS0218194018500110&amp;partnerID=40&amp;md5=335e5d58beca7a7c80f3679e24738fad;http://dx.doi.org/10.1142/S0218194018500110" TargetMode="External"/><Relationship Id="rId1177" Type="http://schemas.openxmlformats.org/officeDocument/2006/relationships/hyperlink" Target="http://dx.doi.org/10.1109/STC.2017.8234462" TargetMode="External"/><Relationship Id="rId2130" Type="http://schemas.openxmlformats.org/officeDocument/2006/relationships/hyperlink" Target="http://link.springer.com/article/10.1007/s10664-021-10083-5" TargetMode="External"/><Relationship Id="rId102" Type="http://schemas.openxmlformats.org/officeDocument/2006/relationships/hyperlink" Target="https://www.scopus.com/inward/record.uri?eid=2-s2.0-85112213035&amp;doi=10.1109%2fTR.2021.3087864&amp;partnerID=40&amp;md5=0f63845850e3cdcaee3de5471d5bb511;http://dx.doi.org/10.1109/TR.2021.3087864" TargetMode="External"/><Relationship Id="rId547" Type="http://schemas.openxmlformats.org/officeDocument/2006/relationships/hyperlink" Target="https://www.scopus.com/inward/record.uri?eid=2-s2.0-85113265376&amp;doi=10.1109%2fICPC52881.2021.00029&amp;partnerID=40&amp;md5=4841a5fce6ad58c21a93e016bb2a095b;http://dx.doi.org/10.1109/ICPC52881.2021.00029" TargetMode="External"/><Relationship Id="rId754" Type="http://schemas.openxmlformats.org/officeDocument/2006/relationships/hyperlink" Target="https://www.scopus.com/inward/record.uri?eid=2-s2.0-85094115702&amp;doi=10.1145%2f3377812.3381396&amp;partnerID=40&amp;md5=aeda611a5bc4028469ffe12e6ddb4aa4;http://dx.doi.org/10.1145/3377812.3381396" TargetMode="External"/><Relationship Id="rId961" Type="http://schemas.openxmlformats.org/officeDocument/2006/relationships/hyperlink" Target="https://www.scopus.com/inward/record.uri?eid=2-s2.0-85040591802&amp;doi=10.1109%2fICSME.2017.44&amp;partnerID=40&amp;md5=c6b4d39f711b62ac322cc93b626dc5a0;http://dx.doi.org/10.1109/ICSME.2017.44" TargetMode="External"/><Relationship Id="rId1384" Type="http://schemas.openxmlformats.org/officeDocument/2006/relationships/hyperlink" Target="https://doi.org/10.1145/3463274.3463325;http:/dx.doi.org/10.1145/3463274.3463325" TargetMode="External"/><Relationship Id="rId1591" Type="http://schemas.openxmlformats.org/officeDocument/2006/relationships/hyperlink" Target="https://www.sciencedirect.com/science/article/pii/S016412122200190X;http:/dx.doi.org/10.1016/j.jss.2022.111514" TargetMode="External"/><Relationship Id="rId1689" Type="http://schemas.openxmlformats.org/officeDocument/2006/relationships/hyperlink" Target="https://www.sciencedirect.com/science/article/pii/B978012800161509993X;http:/dx.doi.org/10.1016/B978-0-12-800161-5.09993-X" TargetMode="External"/><Relationship Id="rId90" Type="http://schemas.openxmlformats.org/officeDocument/2006/relationships/hyperlink" Target="https://www.scopus.com/inward/record.uri?eid=2-s2.0-85144557305&amp;doi=10.1016%2fj.jss.2022.111588&amp;partnerID=40&amp;md5=dabb3f2bf70e7b634ad2697de0abcf44;http://dx.doi.org/10.1016/j.jss.2022.111588" TargetMode="External"/><Relationship Id="rId407" Type="http://schemas.openxmlformats.org/officeDocument/2006/relationships/hyperlink" Target="https://www.scopus.com/inward/record.uri?eid=2-s2.0-85142316239&amp;doi=10.1515%2f9783110703399&amp;partnerID=40&amp;md5=a1580858a1f07b858e4d2a9754471528;http://dx.doi.org/10.1515/9783110703399" TargetMode="External"/><Relationship Id="rId614" Type="http://schemas.openxmlformats.org/officeDocument/2006/relationships/hyperlink" Target="https://www.scopus.com/inward/record.uri?eid=2-s2.0-85133418548&amp;doi=10.1109%2fJoCICI54528.2021.9794341&amp;partnerID=40&amp;md5=7d286e6571bbed24361a35a1cf02f7a8;http://dx.doi.org/10.1109/JoCICI54528.2021.9794341" TargetMode="External"/><Relationship Id="rId821" Type="http://schemas.openxmlformats.org/officeDocument/2006/relationships/hyperlink" Target="https://www.scopus.com/inward/record.uri?eid=2-s2.0-84961328315&amp;doi=10.4018%2f978-1-4666-8225-2&amp;partnerID=40&amp;md5=3da5c6538e7d8e5e1fc1a35adb92992a;http://dx.doi.org/10.4018/978-1-4666-8225-2" TargetMode="External"/><Relationship Id="rId1037" Type="http://schemas.openxmlformats.org/officeDocument/2006/relationships/hyperlink" Target="http://dx.doi.org/10.1109/MS.2018.4321235" TargetMode="External"/><Relationship Id="rId1244" Type="http://schemas.openxmlformats.org/officeDocument/2006/relationships/hyperlink" Target="http://dx.doi.org/10.1109/TEMSCONEUROPE54743.2022.9802054" TargetMode="External"/><Relationship Id="rId1451" Type="http://schemas.openxmlformats.org/officeDocument/2006/relationships/hyperlink" Target="https://doi.org/10.1145/3324884.3416573;http:/dx.doi.org/10.1145/3324884.3416573" TargetMode="External"/><Relationship Id="rId1896" Type="http://schemas.openxmlformats.org/officeDocument/2006/relationships/hyperlink" Target="http://link.springer.com/chapter/10.1007/978-3-031-10542-5_5" TargetMode="External"/><Relationship Id="rId919" Type="http://schemas.openxmlformats.org/officeDocument/2006/relationships/hyperlink" Target="https://www.scopus.com/inward/record.uri?eid=2-s2.0-85040559968&amp;doi=10.1109%2fICSME.2017.8&amp;partnerID=40&amp;md5=87314b2704eb01c637755bc6b19462bc;http://dx.doi.org/10.1109/ICSME.2017.8" TargetMode="External"/><Relationship Id="rId1104" Type="http://schemas.openxmlformats.org/officeDocument/2006/relationships/hyperlink" Target="http://dx.doi.org/10.1109/ICSME46990.2020.00065" TargetMode="External"/><Relationship Id="rId1311" Type="http://schemas.openxmlformats.org/officeDocument/2006/relationships/hyperlink" Target="http://dx.doi.org/10.1109/ICSME46990.2020.00004" TargetMode="External"/><Relationship Id="rId1549" Type="http://schemas.openxmlformats.org/officeDocument/2006/relationships/hyperlink" Target="https://doi.org/10.1145/3442188.3445935;http:/dx.doi.org/10.1145/3442188.3445935" TargetMode="External"/><Relationship Id="rId1756" Type="http://schemas.openxmlformats.org/officeDocument/2006/relationships/hyperlink" Target="http://link.springer.com/book/10.1007/978-3-031-04829-6" TargetMode="External"/><Relationship Id="rId1963" Type="http://schemas.openxmlformats.org/officeDocument/2006/relationships/hyperlink" Target="http://link.springer.com/book/10.1007/978-3-030-73758-0" TargetMode="External"/><Relationship Id="rId48" Type="http://schemas.openxmlformats.org/officeDocument/2006/relationships/hyperlink" Target="https://www.scopus.com/inward/record.uri?eid=2-s2.0-85136614376&amp;doi=10.1016%2fj.jss.2022.111481&amp;partnerID=40&amp;md5=6c676d95e43f78692316b4691625146c;http://dx.doi.org/10.1016/j.jss.2022.111481" TargetMode="External"/><Relationship Id="rId1409" Type="http://schemas.openxmlformats.org/officeDocument/2006/relationships/hyperlink" Target="https://doi.org/10.1145/3447247;http:/dx.doi.org/10.1145/3447247" TargetMode="External"/><Relationship Id="rId1616" Type="http://schemas.openxmlformats.org/officeDocument/2006/relationships/hyperlink" Target="https://www.sciencedirect.com/science/article/pii/B9780128042069000179;http:/dx.doi.org/10.1016/B978-0-12-804206-9.00017-9" TargetMode="External"/><Relationship Id="rId1823" Type="http://schemas.openxmlformats.org/officeDocument/2006/relationships/hyperlink" Target="http://link.springer.com/book/10.1007/978-3-319-64218-5" TargetMode="External"/><Relationship Id="rId197" Type="http://schemas.openxmlformats.org/officeDocument/2006/relationships/hyperlink" Target="https://www.scopus.com/inward/record.uri?eid=2-s2.0-85142676326&amp;doi=10.1109%2fWiMob55322.2022.9941679&amp;partnerID=40&amp;md5=ffeebd57cd963a1cd94ec48e1e7c56b7;http://dx.doi.org/10.1109/WiMob55322.2022.9941679" TargetMode="External"/><Relationship Id="rId2085" Type="http://schemas.openxmlformats.org/officeDocument/2006/relationships/hyperlink" Target="http://link.springer.com/article/10.1007/s11219-016-9318-6" TargetMode="External"/><Relationship Id="rId264" Type="http://schemas.openxmlformats.org/officeDocument/2006/relationships/hyperlink" Target="https://www.scopus.com/inward/record.uri?eid=2-s2.0-85121394933&amp;doi=10.1080%2f08839514.2021.2009222&amp;partnerID=40&amp;md5=bae762ff03709aaf0fe7fc2212394421;http://dx.doi.org/10.1080/08839514.2021.2009222" TargetMode="External"/><Relationship Id="rId471" Type="http://schemas.openxmlformats.org/officeDocument/2006/relationships/hyperlink" Target="https://www.scopus.com/inward/record.uri?eid=2-s2.0-85090829243&amp;doi=10.1016%2fj.infsof.2020.106407&amp;partnerID=40&amp;md5=e9b5fb3b887707760b670b7e2f86f52b;http://dx.doi.org/10.1016/j.infsof.2020.106407" TargetMode="External"/><Relationship Id="rId2152" Type="http://schemas.openxmlformats.org/officeDocument/2006/relationships/hyperlink" Target="http://link.springer.com/chapter/10.1007/978-3-030-59155-7_8" TargetMode="External"/><Relationship Id="rId124" Type="http://schemas.openxmlformats.org/officeDocument/2006/relationships/hyperlink" Target="https://www.scopus.com/inward/record.uri?eid=2-s2.0-85139956051&amp;doi=10.1145%2f3559712.3559720&amp;partnerID=40&amp;md5=817a2c79ae9bb6d217a57efcd944f25f;http://dx.doi.org/10.1145/3559712.3559720" TargetMode="External"/><Relationship Id="rId569" Type="http://schemas.openxmlformats.org/officeDocument/2006/relationships/hyperlink" Target="https://www.scopus.com/inward/record.uri?eid=2-s2.0-85096670635&amp;doi=10.1109%2fICSME46990.2020.00065&amp;partnerID=40&amp;md5=71881a84c2c237775c1306f8ee535e96;http://dx.doi.org/10.1109/ICSME46990.2020.00065" TargetMode="External"/><Relationship Id="rId776" Type="http://schemas.openxmlformats.org/officeDocument/2006/relationships/hyperlink" Target="https://www.scopus.com/inward/record.uri?eid=2-s2.0-85107656276&amp;doi=10.3389%2ffdgth.2020.00006&amp;partnerID=40&amp;md5=f5f9b176b6b4749f42ec0333ec53be7e;http://dx.doi.org/10.3389/fdgth.2020.00006" TargetMode="External"/><Relationship Id="rId983" Type="http://schemas.openxmlformats.org/officeDocument/2006/relationships/hyperlink" Target="http://dx.doi.org/10.1109/MS.2021.3103326" TargetMode="External"/><Relationship Id="rId1199" Type="http://schemas.openxmlformats.org/officeDocument/2006/relationships/hyperlink" Target="http://dx.doi.org/10.1109/ASE51524.2021.9678617" TargetMode="External"/><Relationship Id="rId331" Type="http://schemas.openxmlformats.org/officeDocument/2006/relationships/hyperlink" Target="https://www.scopus.com/inward/record.uri?eid=2-s2.0-85133287701&amp;doi=10.1109%2fICST53961.2022.00024&amp;partnerID=40&amp;md5=e33a6bc1b5ab5fd6a473bf68ee6e214b;http://dx.doi.org/10.1109/ICST53961.2022.00024" TargetMode="External"/><Relationship Id="rId429" Type="http://schemas.openxmlformats.org/officeDocument/2006/relationships/hyperlink" Target="https://www.scopus.com/inward/record.uri?eid=2-s2.0-85092460016&amp;doi=10.1002%2fsmr.2320&amp;partnerID=40&amp;md5=186368c65dae9987e861d3e50da2566f;http://dx.doi.org/10.1002/smr.2320" TargetMode="External"/><Relationship Id="rId636" Type="http://schemas.openxmlformats.org/officeDocument/2006/relationships/hyperlink" Target="https://www.scopus.com/inward/record.uri?eid=2-s2.0-85075447665&amp;doi=10.5277%2fe-Inf190107&amp;partnerID=40&amp;md5=6f92522a5c9f35833238ed1909fae61f;http://dx.doi.org/10.5277/e-Inf190107" TargetMode="External"/><Relationship Id="rId1059" Type="http://schemas.openxmlformats.org/officeDocument/2006/relationships/hyperlink" Target="http://dx.doi.org/10.1109/SEAA.2019.00057" TargetMode="External"/><Relationship Id="rId1266" Type="http://schemas.openxmlformats.org/officeDocument/2006/relationships/hyperlink" Target="http://dx.doi.org/10.1109/BigData47090.2019.9005503" TargetMode="External"/><Relationship Id="rId1473" Type="http://schemas.openxmlformats.org/officeDocument/2006/relationships/hyperlink" Target="https://doi.org/10.1145/3368089.3409709;http:/dx.doi.org/10.1145/3368089.3409709" TargetMode="External"/><Relationship Id="rId2012" Type="http://schemas.openxmlformats.org/officeDocument/2006/relationships/hyperlink" Target="http://link.springer.com/article/10.1007/s11704-019-9023-2" TargetMode="External"/><Relationship Id="rId843" Type="http://schemas.openxmlformats.org/officeDocument/2006/relationships/hyperlink" Target="https://www.scopus.com/inward/record.uri?eid=2-s2.0-85026730806&amp;doi=10.1109%2fICSE-NIER.2017.13&amp;partnerID=40&amp;md5=8b7d2a471beccbb90ba2ad78df2425a8;http://dx.doi.org/10.1109/ICSE-NIER.2017.13" TargetMode="External"/><Relationship Id="rId1126" Type="http://schemas.openxmlformats.org/officeDocument/2006/relationships/hyperlink" Target="http://dx.doi.org/10.1109/ASE51524.2021.9678704" TargetMode="External"/><Relationship Id="rId1680" Type="http://schemas.openxmlformats.org/officeDocument/2006/relationships/hyperlink" Target="https://www.sciencedirect.com/science/article/pii/B9780124080942000138;http:/dx.doi.org/10.1016/B978-0-12-408094-2.00013-8" TargetMode="External"/><Relationship Id="rId1778" Type="http://schemas.openxmlformats.org/officeDocument/2006/relationships/hyperlink" Target="http://link.springer.com/book/10.1007/978-3-030-88583-0" TargetMode="External"/><Relationship Id="rId1985" Type="http://schemas.openxmlformats.org/officeDocument/2006/relationships/hyperlink" Target="http://link.springer.com/article/10.1186/s40411-018-0046-4" TargetMode="External"/><Relationship Id="rId703" Type="http://schemas.openxmlformats.org/officeDocument/2006/relationships/hyperlink" Target="https://www.scopus.com/inward/record.uri?eid=2-s2.0-85088861187&amp;doi=10.1109%2fACCESS.2020.3006711&amp;partnerID=40&amp;md5=9ea2c26302aefb28b429868eac48f273;http://dx.doi.org/10.1109/ACCESS.2020.3006711" TargetMode="External"/><Relationship Id="rId910" Type="http://schemas.openxmlformats.org/officeDocument/2006/relationships/hyperlink" Target="https://www.scopus.com/inward/record.uri?eid=2-s2.0-85051672122&amp;doi=10.1145%2f3196398.3196440&amp;partnerID=40&amp;md5=e0eab957a50dd87034aaca6069769b30;http://dx.doi.org/10.1145/3196398.3196440" TargetMode="External"/><Relationship Id="rId1333" Type="http://schemas.openxmlformats.org/officeDocument/2006/relationships/hyperlink" Target="https://doi.org/10.1109/TechDebt.2019.00025;http:/dx.doi.org/10.1109/TechDebt.2019.00025" TargetMode="External"/><Relationship Id="rId1540" Type="http://schemas.openxmlformats.org/officeDocument/2006/relationships/hyperlink" Target="https://doi.org/10.1145/3316776;http:/dx.doi.org/10.1145/3316776" TargetMode="External"/><Relationship Id="rId1638" Type="http://schemas.openxmlformats.org/officeDocument/2006/relationships/hyperlink" Target="https://www.sciencedirect.com/science/article/pii/S0164121219301013;http:/dx.doi.org/10.1016/j.jss.2019.04.066" TargetMode="External"/><Relationship Id="rId1400" Type="http://schemas.openxmlformats.org/officeDocument/2006/relationships/hyperlink" Target="https://doi.org/10.1109/ESEM.2017.14;http:/dx.doi.org/10.1109/ESEM.2017.14" TargetMode="External"/><Relationship Id="rId1845" Type="http://schemas.openxmlformats.org/officeDocument/2006/relationships/hyperlink" Target="http://link.springer.com/book/10.1007/978-3-031-19849-6" TargetMode="External"/><Relationship Id="rId1705" Type="http://schemas.openxmlformats.org/officeDocument/2006/relationships/hyperlink" Target="https://www.sciencedirect.com/science/article/pii/B9780124080898000124;http:/dx.doi.org/10.1016/B978-0-12-408089-8.00012-4" TargetMode="External"/><Relationship Id="rId1912" Type="http://schemas.openxmlformats.org/officeDocument/2006/relationships/hyperlink" Target="http://link.springer.com/article/10.1186/s40537-020-00303-y" TargetMode="External"/><Relationship Id="rId286" Type="http://schemas.openxmlformats.org/officeDocument/2006/relationships/hyperlink" Target="https://www.scopus.com/inward/record.uri?eid=2-s2.0-85114013884&amp;doi=10.1016%2fj.neucom.2021.08.010&amp;partnerID=40&amp;md5=26e9153ed73c29aac86c53e23f208994;http://dx.doi.org/10.1016/j.neucom.2021.08.010" TargetMode="External"/><Relationship Id="rId493" Type="http://schemas.openxmlformats.org/officeDocument/2006/relationships/hyperlink" Target="https://www.scopus.com/inward/record.uri?eid=2-s2.0-85105431598&amp;doi=10.1145%2f3452383.3452401&amp;partnerID=40&amp;md5=1cf9b181978ca527ff100ba7af53d688;http://dx.doi.org/10.1145/3452383.3452401" TargetMode="External"/><Relationship Id="rId2174" Type="http://schemas.openxmlformats.org/officeDocument/2006/relationships/hyperlink" Target="http://link.springer.com/chapter/10.1007/978-3-319-96193-4_6" TargetMode="External"/><Relationship Id="rId146" Type="http://schemas.openxmlformats.org/officeDocument/2006/relationships/hyperlink" Target="https://www.scopus.com/inward/record.uri?eid=2-s2.0-85143083037&amp;doi=10.1145%2f3540250.3549145&amp;partnerID=40&amp;md5=755c48f934db8d98a8616912ddebd634;http://dx.doi.org/10.1145/3540250.3549145" TargetMode="External"/><Relationship Id="rId353" Type="http://schemas.openxmlformats.org/officeDocument/2006/relationships/hyperlink" Target="https://www.scopus.com/inward/record.uri?eid=2-s2.0-85135840854&amp;doi=10.1109%2fSANER53432.2022.00090&amp;partnerID=40&amp;md5=63f51861cf572d4cbaa31fb89269b825;http://dx.doi.org/10.1109/SANER53432.2022.00090" TargetMode="External"/><Relationship Id="rId560" Type="http://schemas.openxmlformats.org/officeDocument/2006/relationships/hyperlink" Target="https://www.scopus.com/inward/record.uri?eid=2-s2.0-85123382930&amp;doi=10.1109%2fICSME52107.2021.00029&amp;partnerID=40&amp;md5=90ce760007a85816b5575adb0ed3fb4e;http://dx.doi.org/10.1109/ICSME52107.2021.00029" TargetMode="External"/><Relationship Id="rId798" Type="http://schemas.openxmlformats.org/officeDocument/2006/relationships/hyperlink" Target="https://www.scopus.com/inward/record.uri?eid=2-s2.0-85084275412&amp;doi=10.1007%2f978-3-658-19938-8&amp;partnerID=40&amp;md5=71c21093dadb63d6cee4c5bd55f82028;http://dx.doi.org/10.1007/978-3-658-19938-8" TargetMode="External"/><Relationship Id="rId1190" Type="http://schemas.openxmlformats.org/officeDocument/2006/relationships/hyperlink" Target="http://dx.doi.org/10.1109/IWSC55060.2022.00011" TargetMode="External"/><Relationship Id="rId2034" Type="http://schemas.openxmlformats.org/officeDocument/2006/relationships/hyperlink" Target="http://link.springer.com/article/10.1007/s10664-018-9615-8" TargetMode="External"/><Relationship Id="rId213" Type="http://schemas.openxmlformats.org/officeDocument/2006/relationships/hyperlink" Target="https://www.scopus.com/inward/record.uri?eid=2-s2.0-85136171774&amp;doi=10.5220%2f0010800900003182&amp;partnerID=40&amp;md5=ebcae109f6d28a22e099817431223138;http://dx.doi.org/10.5220/0010800900003182" TargetMode="External"/><Relationship Id="rId420" Type="http://schemas.openxmlformats.org/officeDocument/2006/relationships/hyperlink" Target="https://www.scopus.com/inward/record.uri?eid=2-s2.0-85112118148&amp;doi=10.1109%2fWAIN52551.2021.00021&amp;partnerID=40&amp;md5=bef0767bd5dd2ab693e846ac4e0988d8;http://dx.doi.org/10.1109/WAIN52551.2021.00021" TargetMode="External"/><Relationship Id="rId658" Type="http://schemas.openxmlformats.org/officeDocument/2006/relationships/hyperlink" Target="https://www.scopus.com/inward/record.uri?eid=2-s2.0-85065870747&amp;doi=10.1007%2f978-3-030-19034-7_14&amp;partnerID=40&amp;md5=48c12ad7eda47dc0614198471e67b363;http://dx.doi.org/10.1007/978-3-030-19034-7_14" TargetMode="External"/><Relationship Id="rId865" Type="http://schemas.openxmlformats.org/officeDocument/2006/relationships/hyperlink" Target="https://www.scopus.com/inward/record.uri?eid=2-s2.0-85027940986&amp;doi=10.1016%2fj.infsof.2014.07.015&amp;partnerID=40&amp;md5=d8607dcf354e5e19c2159057eb8c9b80;http://dx.doi.org/10.1016/j.infsof.2014.07.015" TargetMode="External"/><Relationship Id="rId1050" Type="http://schemas.openxmlformats.org/officeDocument/2006/relationships/hyperlink" Target="http://dx.doi.org/10.1109/SANER.2019.8667999" TargetMode="External"/><Relationship Id="rId1288" Type="http://schemas.openxmlformats.org/officeDocument/2006/relationships/hyperlink" Target="https://ieeexplore.ieee.org/document/9821778;http:/dx.doi.org/10.1002/9781119513957.fmatter" TargetMode="External"/><Relationship Id="rId1495" Type="http://schemas.openxmlformats.org/officeDocument/2006/relationships/hyperlink" Target="https://doi.org/10.1145/3238147.3238201;http:/dx.doi.org/10.1145/3238147.3238201" TargetMode="External"/><Relationship Id="rId2101" Type="http://schemas.openxmlformats.org/officeDocument/2006/relationships/hyperlink" Target="http://link.springer.com/chapter/10.1007/978-3-030-03673-7_33" TargetMode="External"/><Relationship Id="rId518" Type="http://schemas.openxmlformats.org/officeDocument/2006/relationships/hyperlink" Target="https://www.scopus.com/inward/record.uri?eid=2-s2.0-85090415543&amp;doi=10.1145%2f3394486.3403379&amp;partnerID=40&amp;md5=c03835156d04ea2af102deec309a9c91;http://dx.doi.org/10.1145/3394486.3403379" TargetMode="External"/><Relationship Id="rId725" Type="http://schemas.openxmlformats.org/officeDocument/2006/relationships/hyperlink" Target="https://www.scopus.com/inward/record.uri?eid=2-s2.0-85093670806&amp;doi=10.1145%2f3379597.3387457&amp;partnerID=40&amp;md5=06ac9f34cf0961cfebc0e045c781d4da;http://dx.doi.org/10.1145/3379597.3387457" TargetMode="External"/><Relationship Id="rId932" Type="http://schemas.openxmlformats.org/officeDocument/2006/relationships/hyperlink" Target="https://www.scopus.com/inward/record.uri?eid=2-s2.0-84966659039&amp;doi=10.1007%2fs11219-016-9318-6&amp;partnerID=40&amp;md5=679f8af0dbafcf53bdea72619405f042;http://dx.doi.org/10.1007/s11219-016-9318-6" TargetMode="External"/><Relationship Id="rId1148" Type="http://schemas.openxmlformats.org/officeDocument/2006/relationships/hyperlink" Target="http://dx.doi.org/10.1145/3522664.3528621" TargetMode="External"/><Relationship Id="rId1355" Type="http://schemas.openxmlformats.org/officeDocument/2006/relationships/hyperlink" Target="https://doi.org/10.1145/3442188.3445918;http:/dx.doi.org/10.1145/3442188.3445918" TargetMode="External"/><Relationship Id="rId1562" Type="http://schemas.openxmlformats.org/officeDocument/2006/relationships/hyperlink" Target="https://www.sciencedirect.com/science/article/pii/S0164121221001072;http:/dx.doi.org/10.1016/j.jss.2021.111010" TargetMode="External"/><Relationship Id="rId1008" Type="http://schemas.openxmlformats.org/officeDocument/2006/relationships/hyperlink" Target="http://dx.doi.org/10.1109/TSE.2022.3214764" TargetMode="External"/><Relationship Id="rId1215" Type="http://schemas.openxmlformats.org/officeDocument/2006/relationships/hyperlink" Target="http://dx.doi.org/10.1109/TSE.2022.3140230" TargetMode="External"/><Relationship Id="rId1422" Type="http://schemas.openxmlformats.org/officeDocument/2006/relationships/hyperlink" Target="https://doi.org/10.1145/2950290.2983989;http:/dx.doi.org/10.1145/2950290.2983989" TargetMode="External"/><Relationship Id="rId1867" Type="http://schemas.openxmlformats.org/officeDocument/2006/relationships/hyperlink" Target="http://link.springer.com/book/10.1007/978-3-031-11513-4" TargetMode="External"/><Relationship Id="rId61" Type="http://schemas.openxmlformats.org/officeDocument/2006/relationships/hyperlink" Target="https://www.scopus.com/inward/record.uri?eid=2-s2.0-85137790866&amp;doi=10.3390%2fapp12178700&amp;partnerID=40&amp;md5=fe8697202d4e7ca0e3253705da5e022c;http://dx.doi.org/10.3390/app12178700" TargetMode="External"/><Relationship Id="rId1727" Type="http://schemas.openxmlformats.org/officeDocument/2006/relationships/hyperlink" Target="http://link.springer.com/book/10.1007/978-3-030-77442-4" TargetMode="External"/><Relationship Id="rId1934" Type="http://schemas.openxmlformats.org/officeDocument/2006/relationships/hyperlink" Target="http://link.springer.com/chapter/10.1007/978-3-031-04115-0_3" TargetMode="External"/><Relationship Id="rId19" Type="http://schemas.openxmlformats.org/officeDocument/2006/relationships/hyperlink" Target="https://www.scopus.com/inward/record.uri?eid=2-s2.0-85133665305&amp;doi=10.1007%2fs10664-022-10128-3&amp;partnerID=40&amp;md5=fae815333129347784d1ffe275b716a1;http://dx.doi.org/10.1007/s10664-022-10128-3" TargetMode="External"/><Relationship Id="rId168" Type="http://schemas.openxmlformats.org/officeDocument/2006/relationships/hyperlink" Target="https://www.scopus.com/inward/record.uri?eid=2-s2.0-85140768355&amp;doi=10.1109%2fTSE.2022.3214764&amp;partnerID=40&amp;md5=9fce7275e531f9a22b02c8a6c8590670;http://dx.doi.org/10.1109/TSE.2022.3214764" TargetMode="External"/><Relationship Id="rId375" Type="http://schemas.openxmlformats.org/officeDocument/2006/relationships/hyperlink" Target="https://www.scopus.com/inward/record.uri?eid=2-s2.0-85106705949&amp;doi=10.1145%2f3411764.3445281&amp;partnerID=40&amp;md5=b0e7d32419277366862b05c59eabf106;http://dx.doi.org/10.1145/3411764.3445281" TargetMode="External"/><Relationship Id="rId582" Type="http://schemas.openxmlformats.org/officeDocument/2006/relationships/hyperlink" Target="https://www.scopus.com/inward/record.uri?eid=2-s2.0-85099127778&amp;partnerID=40&amp;md5=dac34d4ff4a9a1fc3ce75d4ecefd5799" TargetMode="External"/><Relationship Id="rId2056" Type="http://schemas.openxmlformats.org/officeDocument/2006/relationships/hyperlink" Target="http://link.springer.com/article/10.1007/s10664-022-10122-9" TargetMode="External"/><Relationship Id="rId3" Type="http://schemas.openxmlformats.org/officeDocument/2006/relationships/hyperlink" Target="http://dx.doi.org/10.1007/s10664-022-10128-3" TargetMode="External"/><Relationship Id="rId235" Type="http://schemas.openxmlformats.org/officeDocument/2006/relationships/hyperlink" Target="https://www.scopus.com/inward/record.uri?eid=2-s2.0-85118233931&amp;doi=10.1007%2fs10664-021-10051-z&amp;partnerID=40&amp;md5=60ee8216c8d94a47bf71be4b24839ff1;http://dx.doi.org/10.1007/s10664-021-10051-z" TargetMode="External"/><Relationship Id="rId442" Type="http://schemas.openxmlformats.org/officeDocument/2006/relationships/hyperlink" Target="https://www.scopus.com/inward/record.uri?eid=2-s2.0-85114279916&amp;doi=10.18293%2fSEKE2021-014&amp;partnerID=40&amp;md5=4f914c5ed0bbf6d673686baa9098b413;http://dx.doi.org/10.18293/SEKE2021-014" TargetMode="External"/><Relationship Id="rId887" Type="http://schemas.openxmlformats.org/officeDocument/2006/relationships/hyperlink" Target="https://www.scopus.com/inward/record.uri?eid=2-s2.0-84951124061&amp;doi=10.1109%2fIJCNN.2015.7280772&amp;partnerID=40&amp;md5=2507d93bdf31d6f7c1ff8967bcebd26d;http://dx.doi.org/10.1109/IJCNN.2015.7280772" TargetMode="External"/><Relationship Id="rId1072" Type="http://schemas.openxmlformats.org/officeDocument/2006/relationships/hyperlink" Target="http://dx.doi.org/10.1109/MSR52588.2021.00030" TargetMode="External"/><Relationship Id="rId2123" Type="http://schemas.openxmlformats.org/officeDocument/2006/relationships/hyperlink" Target="http://link.springer.com/article/10.1007/s10664-018-9603-z" TargetMode="External"/><Relationship Id="rId302" Type="http://schemas.openxmlformats.org/officeDocument/2006/relationships/hyperlink" Target="https://www.scopus.com/inward/record.uri?eid=2-s2.0-85133212644&amp;doi=10.1109%2fICACCS54159.2022.9784981&amp;partnerID=40&amp;md5=9ac32a170b9cfc0d8c93261883ebdf9c;http://dx.doi.org/10.1109/ICACCS54159.2022.9784981" TargetMode="External"/><Relationship Id="rId747" Type="http://schemas.openxmlformats.org/officeDocument/2006/relationships/hyperlink" Target="https://www.scopus.com/inward/record.uri?eid=2-s2.0-85089179553&amp;doi=10.1109%2fICWR49608.2020.9122271&amp;partnerID=40&amp;md5=2442c0ca34498882123cecd68803985c;http://dx.doi.org/10.1109/ICWR49608.2020.9122271" TargetMode="External"/><Relationship Id="rId954" Type="http://schemas.openxmlformats.org/officeDocument/2006/relationships/hyperlink" Target="https://www.scopus.com/inward/record.uri?eid=2-s2.0-85019111869&amp;doi=10.1007%2fs10664-017-9522-4&amp;partnerID=40&amp;md5=bf81dd210ee56c037ad5dcc46f13b901;http://dx.doi.org/10.1007/s10664-017-9522-4" TargetMode="External"/><Relationship Id="rId1377" Type="http://schemas.openxmlformats.org/officeDocument/2006/relationships/hyperlink" Target="https://doi.org/10.1145/3475167;http:/dx.doi.org/10.1145/3475167" TargetMode="External"/><Relationship Id="rId1584" Type="http://schemas.openxmlformats.org/officeDocument/2006/relationships/hyperlink" Target="https://www.sciencedirect.com/science/article/pii/S0164121222000693;http:/dx.doi.org/10.1016/j.jss.2022.111326" TargetMode="External"/><Relationship Id="rId1791" Type="http://schemas.openxmlformats.org/officeDocument/2006/relationships/hyperlink" Target="http://link.springer.com/article/10.1007/s10664-017-9522-4" TargetMode="External"/><Relationship Id="rId83" Type="http://schemas.openxmlformats.org/officeDocument/2006/relationships/hyperlink" Target="https://www.scopus.com/inward/record.uri?eid=2-s2.0-85142345060&amp;doi=10.13328%2fj.cnki.jos.006373&amp;partnerID=40&amp;md5=e4f797bc24d00de3288ab44afed5ce7f;http://dx.doi.org/10.13328/j.cnki.jos.006373" TargetMode="External"/><Relationship Id="rId607" Type="http://schemas.openxmlformats.org/officeDocument/2006/relationships/hyperlink" Target="https://www.scopus.com/inward/record.uri?eid=2-s2.0-85117838230&amp;partnerID=40&amp;md5=4caf4199307476abec5f7e1dc08e661e" TargetMode="External"/><Relationship Id="rId814" Type="http://schemas.openxmlformats.org/officeDocument/2006/relationships/hyperlink" Target="https://www.scopus.com/inward/record.uri?eid=2-s2.0-85041003076&amp;doi=10.1109%2fTSE.2018.2797899&amp;partnerID=40&amp;md5=c5f7749b1b18ab26318fd64962a96e67;http://dx.doi.org/10.1109/TSE.2018.2797899" TargetMode="External"/><Relationship Id="rId1237" Type="http://schemas.openxmlformats.org/officeDocument/2006/relationships/hyperlink" Target="http://dx.doi.org/10.1109/ICSA.2019.00018" TargetMode="External"/><Relationship Id="rId1444" Type="http://schemas.openxmlformats.org/officeDocument/2006/relationships/hyperlink" Target="https://doi.org/10.1109/ESEM.2017.12;http:/dx.doi.org/10.1109/ESEM.2017.12" TargetMode="External"/><Relationship Id="rId1651" Type="http://schemas.openxmlformats.org/officeDocument/2006/relationships/hyperlink" Target="https://www.sciencedirect.com/science/article/pii/S156849462200669X;http:/dx.doi.org/10.1016/j.asoc.2022.109620" TargetMode="External"/><Relationship Id="rId1889" Type="http://schemas.openxmlformats.org/officeDocument/2006/relationships/hyperlink" Target="http://link.springer.com/article/10.1007/s10664-016-9460-6" TargetMode="External"/><Relationship Id="rId1304" Type="http://schemas.openxmlformats.org/officeDocument/2006/relationships/hyperlink" Target="http://dx.doi.org/10.1109/CONISOFT50191.2020.00004" TargetMode="External"/><Relationship Id="rId1511" Type="http://schemas.openxmlformats.org/officeDocument/2006/relationships/hyperlink" Target="https://doi.org/10.1145/3524842.3528032;http:/dx.doi.org/10.1145/3524842.3528032" TargetMode="External"/><Relationship Id="rId1749" Type="http://schemas.openxmlformats.org/officeDocument/2006/relationships/hyperlink" Target="http://link.springer.com/book/10.1007/978-3-031-10542-5" TargetMode="External"/><Relationship Id="rId1956" Type="http://schemas.openxmlformats.org/officeDocument/2006/relationships/hyperlink" Target="http://link.springer.com/book/10.1007/978-3-031-08950-3" TargetMode="External"/><Relationship Id="rId1609" Type="http://schemas.openxmlformats.org/officeDocument/2006/relationships/hyperlink" Target="https://www.sciencedirect.com/science/article/pii/S0164121222000954;http:/dx.doi.org/10.1016/j.jss.2022.111369" TargetMode="External"/><Relationship Id="rId1816" Type="http://schemas.openxmlformats.org/officeDocument/2006/relationships/hyperlink" Target="http://link.springer.com/book/10.1007/978-3-031-12807-3" TargetMode="External"/><Relationship Id="rId10" Type="http://schemas.openxmlformats.org/officeDocument/2006/relationships/hyperlink" Target="http://dx.doi.org/10.1007/s10515-022-00364-8" TargetMode="External"/><Relationship Id="rId397" Type="http://schemas.openxmlformats.org/officeDocument/2006/relationships/hyperlink" Target="https://www.scopus.com/inward/record.uri?eid=2-s2.0-85134017734&amp;doi=10.1145%2f3524842.3527932&amp;partnerID=40&amp;md5=d76520c15800fb0c50b62825238e040a;http://dx.doi.org/10.1145/3524842.3527932" TargetMode="External"/><Relationship Id="rId2078" Type="http://schemas.openxmlformats.org/officeDocument/2006/relationships/hyperlink" Target="http://link.springer.com/article/10.1007/s10664-019-09708-7" TargetMode="External"/><Relationship Id="rId257" Type="http://schemas.openxmlformats.org/officeDocument/2006/relationships/hyperlink" Target="https://www.scopus.com/inward/record.uri?eid=2-s2.0-85133444061&amp;doi=10.1145%2f3522664.3528621&amp;partnerID=40&amp;md5=20b42838920033b3571918d9ccb1ef03;http://dx.doi.org/10.1145/3522664.3528621" TargetMode="External"/><Relationship Id="rId464" Type="http://schemas.openxmlformats.org/officeDocument/2006/relationships/hyperlink" Target="https://www.scopus.com/inward/record.uri?eid=2-s2.0-85124488705&amp;doi=10.1109%2fCONISOFT52520.2021.00028&amp;partnerID=40&amp;md5=ebefa12026a77220dce39f944ef93726;http://dx.doi.org/10.1109/CONISOFT52520.2021.00028" TargetMode="External"/><Relationship Id="rId1094" Type="http://schemas.openxmlformats.org/officeDocument/2006/relationships/hyperlink" Target="http://dx.doi.org/10.1145/2896995.2896999" TargetMode="External"/><Relationship Id="rId2145" Type="http://schemas.openxmlformats.org/officeDocument/2006/relationships/hyperlink" Target="http://link.springer.com/article/10.1007/s11831-019-09348-6" TargetMode="External"/><Relationship Id="rId117" Type="http://schemas.openxmlformats.org/officeDocument/2006/relationships/hyperlink" Target="https://www.scopus.com/inward/record.uri?eid=2-s2.0-85132359794&amp;doi=10.1145%2f3530019.3530035&amp;partnerID=40&amp;md5=b840f2d862131c038d7b65cf61a475b8;http://dx.doi.org/10.1145/3530019.3530035" TargetMode="External"/><Relationship Id="rId671" Type="http://schemas.openxmlformats.org/officeDocument/2006/relationships/hyperlink" Target="https://www.scopus.com/inward/record.uri?eid=2-s2.0-85100411135&amp;doi=10.14778%2f3415478.3415570&amp;partnerID=40&amp;md5=c583d9b06b31d87741789cbf16d1d606;http://dx.doi.org/10.14778/3415478.3415570" TargetMode="External"/><Relationship Id="rId769" Type="http://schemas.openxmlformats.org/officeDocument/2006/relationships/hyperlink" Target="https://www.scopus.com/inward/record.uri?eid=2-s2.0-85083030688&amp;doi=10.1145%2f3341105.3374008&amp;partnerID=40&amp;md5=58046cfff4cab67a56772b0e99cf0b23;http://dx.doi.org/10.1145/3341105.3374008" TargetMode="External"/><Relationship Id="rId976" Type="http://schemas.openxmlformats.org/officeDocument/2006/relationships/hyperlink" Target="http://dx.doi.org/10.1109/SEAA56994.2022.00049" TargetMode="External"/><Relationship Id="rId1399" Type="http://schemas.openxmlformats.org/officeDocument/2006/relationships/hyperlink" Target="https://doi.org/10.1145/3484824.3484911;http:/dx.doi.org/10.1145/3484824.3484911" TargetMode="External"/><Relationship Id="rId324" Type="http://schemas.openxmlformats.org/officeDocument/2006/relationships/hyperlink" Target="https://www.scopus.com/inward/record.uri?eid=2-s2.0-85113671827&amp;doi=10.1109%2fMSR52588.2021.00032&amp;partnerID=40&amp;md5=19746d77c9346e359d7189aeefbb7e36;http://dx.doi.org/10.1109/MSR52588.2021.00032" TargetMode="External"/><Relationship Id="rId531" Type="http://schemas.openxmlformats.org/officeDocument/2006/relationships/hyperlink" Target="https://www.scopus.com/inward/record.uri?eid=2-s2.0-85123431746&amp;doi=10.1109%2fACSOS-C52956.2021.00038&amp;partnerID=40&amp;md5=f7fda58b9f6586ec5d122899e6cedbae;http://dx.doi.org/10.1109/ACSOS-C52956.2021.00038" TargetMode="External"/><Relationship Id="rId629" Type="http://schemas.openxmlformats.org/officeDocument/2006/relationships/hyperlink" Target="https://www.scopus.com/inward/record.uri?eid=2-s2.0-85079738831&amp;doi=10.1007%2fs11023-020-09519-6&amp;partnerID=40&amp;md5=63f43e272d732d100e4a5d83ec52f810;http://dx.doi.org/10.1007/s11023-020-09519-6" TargetMode="External"/><Relationship Id="rId1161" Type="http://schemas.openxmlformats.org/officeDocument/2006/relationships/hyperlink" Target="http://dx.doi.org/10.1109/ICSE-NIER.2019.00037" TargetMode="External"/><Relationship Id="rId1259" Type="http://schemas.openxmlformats.org/officeDocument/2006/relationships/hyperlink" Target="http://dx.doi.org/10.1109/MCSE.2019.2900945" TargetMode="External"/><Relationship Id="rId1466" Type="http://schemas.openxmlformats.org/officeDocument/2006/relationships/hyperlink" Target="https://doi.org/10.1109/ASE51524.2021.9678617;http:/dx.doi.org/10.1109/ASE51524.2021.9678617" TargetMode="External"/><Relationship Id="rId2005" Type="http://schemas.openxmlformats.org/officeDocument/2006/relationships/hyperlink" Target="http://link.springer.com/article/10.1007/s10664-019-09724-7" TargetMode="External"/><Relationship Id="rId836" Type="http://schemas.openxmlformats.org/officeDocument/2006/relationships/hyperlink" Target="https://www.scopus.com/inward/record.uri?eid=2-s2.0-84885962628&amp;doi=10.1109%2fMTD.2013.6608677&amp;partnerID=40&amp;md5=fa46f0fcd5bcf77cd1b7fce630f12b53;http://dx.doi.org/10.1109/MTD.2013.6608677" TargetMode="External"/><Relationship Id="rId1021" Type="http://schemas.openxmlformats.org/officeDocument/2006/relationships/hyperlink" Target="http://dx.doi.org/10.1109/TSE.2020.2967380" TargetMode="External"/><Relationship Id="rId1119" Type="http://schemas.openxmlformats.org/officeDocument/2006/relationships/hyperlink" Target="http://dx.doi.org/10.1109/CCWC54503.2022.9720900" TargetMode="External"/><Relationship Id="rId1673" Type="http://schemas.openxmlformats.org/officeDocument/2006/relationships/hyperlink" Target="https://www.sciencedirect.com/science/article/pii/S0164121221000819;http:/dx.doi.org/10.1016/j.jss.2021.110984" TargetMode="External"/><Relationship Id="rId1880" Type="http://schemas.openxmlformats.org/officeDocument/2006/relationships/hyperlink" Target="http://link.springer.com/chapter/10.1007/978-3-031-19756-7_17" TargetMode="External"/><Relationship Id="rId1978" Type="http://schemas.openxmlformats.org/officeDocument/2006/relationships/hyperlink" Target="http://link.springer.com/chapter/10.1007/978-3-031-20875-1_14" TargetMode="External"/><Relationship Id="rId903" Type="http://schemas.openxmlformats.org/officeDocument/2006/relationships/hyperlink" Target="https://www.scopus.com/inward/record.uri?eid=2-s2.0-84963624234&amp;doi=10.1109%2fMTD.2015.7332618&amp;partnerID=40&amp;md5=89d81ad9d7d2146b53990a627c01b7ea;http://dx.doi.org/10.1109/MTD.2015.7332618" TargetMode="External"/><Relationship Id="rId1326" Type="http://schemas.openxmlformats.org/officeDocument/2006/relationships/hyperlink" Target="https://doi.org/10.1145/3194164.3194168;http:/dx.doi.org/10.1145/3194164.3194168" TargetMode="External"/><Relationship Id="rId1533" Type="http://schemas.openxmlformats.org/officeDocument/2006/relationships/hyperlink" Target="https://doi.org/10.1145/3140549.3140556;http:/dx.doi.org/10.1145/3140549.3140556" TargetMode="External"/><Relationship Id="rId1740" Type="http://schemas.openxmlformats.org/officeDocument/2006/relationships/hyperlink" Target="http://link.springer.com/book/10.1007/978-981-16-2380-6" TargetMode="External"/><Relationship Id="rId32" Type="http://schemas.openxmlformats.org/officeDocument/2006/relationships/hyperlink" Target="https://www.scopus.com/inward/record.uri?eid=2-s2.0-85144500788&amp;doi=10.1142%2fS0218194022500723&amp;partnerID=40&amp;md5=713fe1c3accb07320e0e1949420b2092;http://dx.doi.org/10.1142/S0218194022500723" TargetMode="External"/><Relationship Id="rId1600" Type="http://schemas.openxmlformats.org/officeDocument/2006/relationships/hyperlink" Target="https://www.sciencedirect.com/science/article/pii/S1877050921018512;http:/dx.doi.org/10.1016/j.procs.2021.09.112" TargetMode="External"/><Relationship Id="rId1838" Type="http://schemas.openxmlformats.org/officeDocument/2006/relationships/hyperlink" Target="http://link.springer.com/book/10.1007/978-3-031-20875-1" TargetMode="External"/><Relationship Id="rId181" Type="http://schemas.openxmlformats.org/officeDocument/2006/relationships/hyperlink" Target="https://www.scopus.com/inward/record.uri?eid=2-s2.0-85123200409&amp;doi=10.1016%2fj.jss.2022.111219&amp;partnerID=40&amp;md5=cf75dd4e6f74b76ab89df4be724ddc5c;http://dx.doi.org/10.1016/j.jss.2022.111219" TargetMode="External"/><Relationship Id="rId1905" Type="http://schemas.openxmlformats.org/officeDocument/2006/relationships/hyperlink" Target="http://link.springer.com/chapter/10.1007/978-3-030-97947-8_40" TargetMode="External"/><Relationship Id="rId279" Type="http://schemas.openxmlformats.org/officeDocument/2006/relationships/hyperlink" Target="https://www.scopus.com/inward/record.uri?eid=2-s2.0-85113676757&amp;doi=10.1109%2fMSR52588.2021.00030&amp;partnerID=40&amp;md5=89bd6587de88862245793e28edbd5fcb;http://dx.doi.org/10.1109/MSR52588.2021.00030" TargetMode="External"/><Relationship Id="rId486" Type="http://schemas.openxmlformats.org/officeDocument/2006/relationships/hyperlink" Target="https://www.scopus.com/inward/record.uri?eid=2-s2.0-85099170614&amp;doi=10.2478%2ffcds-2020-0015&amp;partnerID=40&amp;md5=e38f34481aed9f762337849dd379eb01;http://dx.doi.org/10.2478/fcds-2020-0015" TargetMode="External"/><Relationship Id="rId693" Type="http://schemas.openxmlformats.org/officeDocument/2006/relationships/hyperlink" Target="https://www.scopus.com/inward/record.uri?eid=2-s2.0-85081550029&amp;doi=10.1007%2f978-3-030-40783-4_12&amp;partnerID=40&amp;md5=cb94fa62fd9b58db70b77925477cb13d;http://dx.doi.org/10.1007/978-3-030-40783-4_12" TargetMode="External"/><Relationship Id="rId2167" Type="http://schemas.openxmlformats.org/officeDocument/2006/relationships/hyperlink" Target="http://link.springer.com/chapter/10.1007/978-3-030-87839-9_6" TargetMode="External"/><Relationship Id="rId139" Type="http://schemas.openxmlformats.org/officeDocument/2006/relationships/hyperlink" Target="https://www.scopus.com/inward/record.uri?eid=2-s2.0-85143850045&amp;doi=10.11591%2fijece.v13i2.pp2142-2155&amp;partnerID=40&amp;md5=9c388e0b9412ec029b31c305d83d2be7;http://dx.doi.org/10.11591/ijece.v13i2.pp2142-2155" TargetMode="External"/><Relationship Id="rId346" Type="http://schemas.openxmlformats.org/officeDocument/2006/relationships/hyperlink" Target="https://www.scopus.com/inward/record.uri?eid=2-s2.0-85115089502&amp;doi=10.1109%2fCCICT53244.2021.00077&amp;partnerID=40&amp;md5=666b322f865fa7a27f1a09da66caf7f4;http://dx.doi.org/10.1109/CCICT53244.2021.00077" TargetMode="External"/><Relationship Id="rId553" Type="http://schemas.openxmlformats.org/officeDocument/2006/relationships/hyperlink" Target="https://www.scopus.com/inward/record.uri?eid=2-s2.0-85126188892&amp;doi=10.1109%2fAPSEC53868.2021.00053&amp;partnerID=40&amp;md5=4b0fa57084bd877975395b330124edde;http://dx.doi.org/10.1109/APSEC53868.2021.00053" TargetMode="External"/><Relationship Id="rId760" Type="http://schemas.openxmlformats.org/officeDocument/2006/relationships/hyperlink" Target="https://www.scopus.com/inward/record.uri?eid=2-s2.0-85083006137&amp;doi=10.1109%2fMS.2020.2985621&amp;partnerID=40&amp;md5=aaba6981f5c34875848add2db6ccf5a7;http://dx.doi.org/10.1109/MS.2020.2985621" TargetMode="External"/><Relationship Id="rId998" Type="http://schemas.openxmlformats.org/officeDocument/2006/relationships/hyperlink" Target="http://dx.doi.org/10.1109/MSR52588.2021.00048" TargetMode="External"/><Relationship Id="rId1183" Type="http://schemas.openxmlformats.org/officeDocument/2006/relationships/hyperlink" Target="http://dx.doi.org/10.1109/ICSA-C.2019.00053" TargetMode="External"/><Relationship Id="rId1390" Type="http://schemas.openxmlformats.org/officeDocument/2006/relationships/hyperlink" Target="https://doi.org/10.1145/3475965.3479315;http:/dx.doi.org/10.1145/3475965.3479315" TargetMode="External"/><Relationship Id="rId2027" Type="http://schemas.openxmlformats.org/officeDocument/2006/relationships/hyperlink" Target="http://link.springer.com/book/10.1007/978-3-031-08848-3" TargetMode="External"/><Relationship Id="rId206" Type="http://schemas.openxmlformats.org/officeDocument/2006/relationships/hyperlink" Target="https://www.scopus.com/inward/record.uri?eid=2-s2.0-85116891092&amp;doi=10.1016%2fj.infsof.2021.106733&amp;partnerID=40&amp;md5=0b35a193194226616e7512f98d3e32f5;http://dx.doi.org/10.1016/j.infsof.2021.106733" TargetMode="External"/><Relationship Id="rId413" Type="http://schemas.openxmlformats.org/officeDocument/2006/relationships/hyperlink" Target="https://www.scopus.com/inward/record.uri?eid=2-s2.0-85114853759&amp;doi=10.1109%2fDSN48987.2021.00026&amp;partnerID=40&amp;md5=46781be6fc7a80d455ef9a358f835112;http://dx.doi.org/10.1109/DSN48987.2021.00026" TargetMode="External"/><Relationship Id="rId858" Type="http://schemas.openxmlformats.org/officeDocument/2006/relationships/hyperlink" Target="https://www.scopus.com/inward/record.uri?eid=2-s2.0-85066781873&amp;doi=10.1109%2fAPSEC.2018.00049&amp;partnerID=40&amp;md5=84a850623f59387322cab3f4d7430dac;http://dx.doi.org/10.1109/APSEC.2018.00049" TargetMode="External"/><Relationship Id="rId1043" Type="http://schemas.openxmlformats.org/officeDocument/2006/relationships/hyperlink" Target="http://dx.doi.org/10.1109/SANER53432.2022.00094" TargetMode="External"/><Relationship Id="rId1488" Type="http://schemas.openxmlformats.org/officeDocument/2006/relationships/hyperlink" Target="https://doi.org/10.1145/3463274.3463335;http:/dx.doi.org/10.1145/3463274.3463335" TargetMode="External"/><Relationship Id="rId1695" Type="http://schemas.openxmlformats.org/officeDocument/2006/relationships/hyperlink" Target="https://www.sciencedirect.com/science/article/pii/S2405896322014239;http:/dx.doi.org/10.1016/j.ifacol.2022.09.206" TargetMode="External"/><Relationship Id="rId620" Type="http://schemas.openxmlformats.org/officeDocument/2006/relationships/hyperlink" Target="https://www.scopus.com/inward/record.uri?eid=2-s2.0-85064167604&amp;doi=10.1109%2fSANER.2019.8667999&amp;partnerID=40&amp;md5=00e712d60a9c3464eac77d48241f7b48;http://dx.doi.org/10.1109/SANER.2019.8667999" TargetMode="External"/><Relationship Id="rId718" Type="http://schemas.openxmlformats.org/officeDocument/2006/relationships/hyperlink" Target="https://www.scopus.com/inward/record.uri?eid=2-s2.0-85077219386&amp;doi=10.1109%2fICSME.2019.00060&amp;partnerID=40&amp;md5=b1adedf1f74f6e14b3982f32cc7ffcde;http://dx.doi.org/10.1109/ICSME.2019.00060" TargetMode="External"/><Relationship Id="rId925" Type="http://schemas.openxmlformats.org/officeDocument/2006/relationships/hyperlink" Target="https://www.scopus.com/inward/record.uri?eid=2-s2.0-84985021331&amp;doi=10.1145%2f2939672.2945388&amp;partnerID=40&amp;md5=c72fda8d1d66dc2a09daed6c9e63682b;http://dx.doi.org/10.1145/2939672.2945388" TargetMode="External"/><Relationship Id="rId1250" Type="http://schemas.openxmlformats.org/officeDocument/2006/relationships/hyperlink" Target="http://dx.doi.org/10.1109/SANER50967.2021.00025" TargetMode="External"/><Relationship Id="rId1348" Type="http://schemas.openxmlformats.org/officeDocument/2006/relationships/hyperlink" Target="https://doi.org/10.1145/3387906.3388623;http:/dx.doi.org/10.1145/3387906.3388623" TargetMode="External"/><Relationship Id="rId1555" Type="http://schemas.openxmlformats.org/officeDocument/2006/relationships/hyperlink" Target="https://doi.org/10.1145/3331447;http:/dx.doi.org/10.1145/3331447" TargetMode="External"/><Relationship Id="rId1762" Type="http://schemas.openxmlformats.org/officeDocument/2006/relationships/hyperlink" Target="http://link.springer.com/book/10.1007/978-981-16-6069-6" TargetMode="External"/><Relationship Id="rId1110" Type="http://schemas.openxmlformats.org/officeDocument/2006/relationships/hyperlink" Target="http://dx.doi.org/10.1109/TSE.2018.2883603" TargetMode="External"/><Relationship Id="rId1208" Type="http://schemas.openxmlformats.org/officeDocument/2006/relationships/hyperlink" Target="http://dx.doi.org/10.1109/SANER53432.2022.00043" TargetMode="External"/><Relationship Id="rId1415" Type="http://schemas.openxmlformats.org/officeDocument/2006/relationships/hyperlink" Target="https://doi.org/10.1145/3510455.3512773;http:/dx.doi.org/10.1145/3510455.3512773" TargetMode="External"/><Relationship Id="rId54" Type="http://schemas.openxmlformats.org/officeDocument/2006/relationships/hyperlink" Target="https://www.scopus.com/inward/record.uri?eid=2-s2.0-85137148155&amp;doi=10.1145%2f3534678.3539059&amp;partnerID=40&amp;md5=720a53193bc867a210bfe5d306148f35;http://dx.doi.org/10.1145/3534678.3539059" TargetMode="External"/><Relationship Id="rId1622" Type="http://schemas.openxmlformats.org/officeDocument/2006/relationships/hyperlink" Target="https://www.sciencedirect.com/science/article/pii/S0164121220301539;http:/dx.doi.org/10.1016/j.jss.2020.110710" TargetMode="External"/><Relationship Id="rId1927" Type="http://schemas.openxmlformats.org/officeDocument/2006/relationships/hyperlink" Target="http://link.springer.com/book/10.1007/978-3-031-18322-5" TargetMode="External"/><Relationship Id="rId2091" Type="http://schemas.openxmlformats.org/officeDocument/2006/relationships/hyperlink" Target="http://link.springer.com/article/10.1007/s10664-022-10224-4" TargetMode="External"/><Relationship Id="rId270" Type="http://schemas.openxmlformats.org/officeDocument/2006/relationships/hyperlink" Target="https://www.scopus.com/inward/record.uri?eid=2-s2.0-85125390377&amp;doi=10.13328%2fj.cnki.jos.006292&amp;partnerID=40&amp;md5=f48287fa35af4f748f998426e742f354;http://dx.doi.org/10.13328/j.cnki.jos.006292" TargetMode="External"/><Relationship Id="rId130" Type="http://schemas.openxmlformats.org/officeDocument/2006/relationships/hyperlink" Target="https://www.scopus.com/inward/record.uri?eid=2-s2.0-85141711105&amp;doi=10.1007%2fs10664-022-10232-4&amp;partnerID=40&amp;md5=33688bd6b7dc703c2f4e84423900cb6b;http://dx.doi.org/10.1007/s10664-022-10232-4" TargetMode="External"/><Relationship Id="rId368" Type="http://schemas.openxmlformats.org/officeDocument/2006/relationships/hyperlink" Target="https://www.scopus.com/inward/record.uri?eid=2-s2.0-85134067292&amp;doi=10.1145%2f3524842.3528527&amp;partnerID=40&amp;md5=2f1e84d0830061e07690e5dc2defc3c2;http://dx.doi.org/10.1145/3524842.3528527" TargetMode="External"/><Relationship Id="rId575" Type="http://schemas.openxmlformats.org/officeDocument/2006/relationships/hyperlink" Target="https://www.scopus.com/inward/record.uri?eid=2-s2.0-85119830809&amp;doi=10.1109%2fICSME52107.2021.00071&amp;partnerID=40&amp;md5=206be4f3a7e99e5773a8fa9606804b6f;http://dx.doi.org/10.1109/ICSME52107.2021.00071" TargetMode="External"/><Relationship Id="rId782" Type="http://schemas.openxmlformats.org/officeDocument/2006/relationships/hyperlink" Target="https://www.scopus.com/inward/record.uri?eid=2-s2.0-85076541990&amp;partnerID=40&amp;md5=ce125964603b630e1543356b5f1858ae" TargetMode="External"/><Relationship Id="rId2049" Type="http://schemas.openxmlformats.org/officeDocument/2006/relationships/hyperlink" Target="http://link.springer.com/book/10.1007/978-1-4842-8236-6" TargetMode="External"/><Relationship Id="rId228" Type="http://schemas.openxmlformats.org/officeDocument/2006/relationships/hyperlink" Target="https://www.scopus.com/inward/record.uri?eid=2-s2.0-85106961235&amp;doi=10.1007%2fs11704-020-9281-z&amp;partnerID=40&amp;md5=002b16d30c3111a8288dbd251d14acba;http://dx.doi.org/10.1007/s11704-020-9281-z" TargetMode="External"/><Relationship Id="rId435" Type="http://schemas.openxmlformats.org/officeDocument/2006/relationships/hyperlink" Target="https://www.scopus.com/inward/record.uri?eid=2-s2.0-85083265040&amp;doi=10.1186%2fs40537-020-00303-y&amp;partnerID=40&amp;md5=5de2ce72902813337438c54aa7189742;http://dx.doi.org/10.1186/s40537-020-00303-y" TargetMode="External"/><Relationship Id="rId642" Type="http://schemas.openxmlformats.org/officeDocument/2006/relationships/hyperlink" Target="https://www.scopus.com/inward/record.uri?eid=2-s2.0-85089026459&amp;doi=10.1155%2f2020%2f8830683&amp;partnerID=40&amp;md5=e03293835a3c5c6a7fa7ff50fa182fad;http://dx.doi.org/10.1155/2020/8830683" TargetMode="External"/><Relationship Id="rId1065" Type="http://schemas.openxmlformats.org/officeDocument/2006/relationships/hyperlink" Target="http://dx.doi.org/10.1145/3524610.3528387" TargetMode="External"/><Relationship Id="rId1272" Type="http://schemas.openxmlformats.org/officeDocument/2006/relationships/hyperlink" Target="http://dx.doi.org/10.1145/3524842.3527932" TargetMode="External"/><Relationship Id="rId2116" Type="http://schemas.openxmlformats.org/officeDocument/2006/relationships/hyperlink" Target="http://link.springer.com/article/10.1007/s11219-019-09465-2" TargetMode="External"/><Relationship Id="rId502" Type="http://schemas.openxmlformats.org/officeDocument/2006/relationships/hyperlink" Target="https://www.scopus.com/inward/record.uri?eid=2-s2.0-85087390369&amp;doi=10.1016%2fj.jss.2020.110750&amp;partnerID=40&amp;md5=7d907accd59bcbf3f76304179772122c;http://dx.doi.org/10.1016/j.jss.2020.110750" TargetMode="External"/><Relationship Id="rId947" Type="http://schemas.openxmlformats.org/officeDocument/2006/relationships/hyperlink" Target="https://www.scopus.com/inward/record.uri?eid=2-s2.0-84995404176&amp;doi=10.1016%2fj.future.2016.07.001&amp;partnerID=40&amp;md5=6e519449c0dce7eb03fba5233bd1cb0e;http://dx.doi.org/10.1016/j.future.2016.07.001" TargetMode="External"/><Relationship Id="rId1132" Type="http://schemas.openxmlformats.org/officeDocument/2006/relationships/hyperlink" Target="http://dx.doi.org/10.1109/TSE.2021.3087419" TargetMode="External"/><Relationship Id="rId1577" Type="http://schemas.openxmlformats.org/officeDocument/2006/relationships/hyperlink" Target="https://www.sciencedirect.com/science/article/pii/S0164121216000789;http:/dx.doi.org/10.1016/j.jss.2016.02.047" TargetMode="External"/><Relationship Id="rId1784" Type="http://schemas.openxmlformats.org/officeDocument/2006/relationships/hyperlink" Target="http://link.springer.com/chapter/10.1007/978-3-031-08202-3_2" TargetMode="External"/><Relationship Id="rId1991" Type="http://schemas.openxmlformats.org/officeDocument/2006/relationships/hyperlink" Target="http://link.springer.com/book/10.1007/978-3-031-08313-6" TargetMode="External"/><Relationship Id="rId76" Type="http://schemas.openxmlformats.org/officeDocument/2006/relationships/hyperlink" Target="https://www.scopus.com/inward/record.uri?eid=2-s2.0-85129358472&amp;doi=10.3390%2ffi14050124&amp;partnerID=40&amp;md5=b0c1e797271729e90fce836dbd73bd5d;http://dx.doi.org/10.3390/fi14050124" TargetMode="External"/><Relationship Id="rId807" Type="http://schemas.openxmlformats.org/officeDocument/2006/relationships/hyperlink" Target="https://www.scopus.com/inward/record.uri?eid=2-s2.0-85078087442&amp;doi=10.1109%2fAPSEC48747.2019.00050&amp;partnerID=40&amp;md5=c9b36f217cbe918e926ea52fb8e3529f;http://dx.doi.org/10.1109/APSEC48747.2019.00050" TargetMode="External"/><Relationship Id="rId1437" Type="http://schemas.openxmlformats.org/officeDocument/2006/relationships/hyperlink" Target="https://doi.org/10.1109/MSR.2019.00054;http:/dx.doi.org/10.1109/MSR.2019.00054" TargetMode="External"/><Relationship Id="rId1644" Type="http://schemas.openxmlformats.org/officeDocument/2006/relationships/hyperlink" Target="https://www.sciencedirect.com/science/article/pii/S095219762200313X;http:/dx.doi.org/10.1016/j.engappai.2022.105240" TargetMode="External"/><Relationship Id="rId1851" Type="http://schemas.openxmlformats.org/officeDocument/2006/relationships/hyperlink" Target="http://link.springer.com/book/10.1007/978-3-031-20837-9" TargetMode="External"/><Relationship Id="rId1504" Type="http://schemas.openxmlformats.org/officeDocument/2006/relationships/hyperlink" Target="https://doi.org/10.1145/3338468.3356828;http:/dx.doi.org/10.1145/3338468.3356828" TargetMode="External"/><Relationship Id="rId1711" Type="http://schemas.openxmlformats.org/officeDocument/2006/relationships/hyperlink" Target="https://www.sciencedirect.com/science/article/pii/S1568494621009741;http:/dx.doi.org/10.1016/j.asoc.2021.108066" TargetMode="External"/><Relationship Id="rId1949" Type="http://schemas.openxmlformats.org/officeDocument/2006/relationships/hyperlink" Target="http://link.springer.com/book/10.1007/978-3-031-16281-7" TargetMode="External"/><Relationship Id="rId292" Type="http://schemas.openxmlformats.org/officeDocument/2006/relationships/hyperlink" Target="https://www.scopus.com/inward/record.uri?eid=2-s2.0-85134882117&amp;doi=10.1109%2fICDEW55742.2022.00010&amp;partnerID=40&amp;md5=ce6e09b887565f27864ec5d52fda846b;http://dx.doi.org/10.1109/ICDEW55742.2022.00010" TargetMode="External"/><Relationship Id="rId1809" Type="http://schemas.openxmlformats.org/officeDocument/2006/relationships/hyperlink" Target="http://link.springer.com/book/10.1007/978-3-031-15644-1" TargetMode="External"/><Relationship Id="rId597" Type="http://schemas.openxmlformats.org/officeDocument/2006/relationships/hyperlink" Target="https://www.scopus.com/inward/record.uri?eid=2-s2.0-85121599547&amp;partnerID=40&amp;md5=ee015f1d0da14b1242f0f173d2ecc680" TargetMode="External"/><Relationship Id="rId2180" Type="http://schemas.openxmlformats.org/officeDocument/2006/relationships/hyperlink" Target="http://link.springer.com/book/10.1007/978-3-662-63956-6" TargetMode="External"/><Relationship Id="rId152" Type="http://schemas.openxmlformats.org/officeDocument/2006/relationships/hyperlink" Target="https://www.scopus.com/inward/record.uri?eid=2-s2.0-85113951811&amp;doi=10.1007%2fs13369-021-06077-6&amp;partnerID=40&amp;md5=aa0e8c52cc8e9051c96d2ad449e5a171;http://dx.doi.org/10.1007/s13369-021-06077-6" TargetMode="External"/><Relationship Id="rId457" Type="http://schemas.openxmlformats.org/officeDocument/2006/relationships/hyperlink" Target="https://www.scopus.com/inward/record.uri?eid=2-s2.0-85127155397&amp;partnerID=40&amp;md5=51baded0bda5f7d705bec12e82951857" TargetMode="External"/><Relationship Id="rId1087" Type="http://schemas.openxmlformats.org/officeDocument/2006/relationships/hyperlink" Target="http://dx.doi.org/10.1145/3522664.3528590" TargetMode="External"/><Relationship Id="rId1294" Type="http://schemas.openxmlformats.org/officeDocument/2006/relationships/hyperlink" Target="http://dx.doi.org/10.1109/MS.2022.3196208" TargetMode="External"/><Relationship Id="rId2040" Type="http://schemas.openxmlformats.org/officeDocument/2006/relationships/hyperlink" Target="http://link.springer.com/article/10.1007/s10664-017-9515-3" TargetMode="External"/><Relationship Id="rId2138" Type="http://schemas.openxmlformats.org/officeDocument/2006/relationships/hyperlink" Target="http://link.springer.com/chapter/10.1007/978-1-4842-7252-7_1" TargetMode="External"/><Relationship Id="rId664" Type="http://schemas.openxmlformats.org/officeDocument/2006/relationships/hyperlink" Target="https://www.scopus.com/inward/record.uri?eid=2-s2.0-85077502999&amp;partnerID=40&amp;md5=3765a7c62ef722a011bea06b9d3b39a8" TargetMode="External"/><Relationship Id="rId871" Type="http://schemas.openxmlformats.org/officeDocument/2006/relationships/hyperlink" Target="https://www.scopus.com/inward/record.uri?eid=2-s2.0-84954120914&amp;doi=10.1145%2f2783258.2788628&amp;partnerID=40&amp;md5=b43ba396032467f35be3fe986179b1d9;http://dx.doi.org/10.1145/2783258.2788628" TargetMode="External"/><Relationship Id="rId969" Type="http://schemas.openxmlformats.org/officeDocument/2006/relationships/hyperlink" Target="https://www.scopus.com/inward/record.uri?eid=2-s2.0-85048168263&amp;doi=10.1016%2fj.infsof.2018.05.010&amp;partnerID=40&amp;md5=710823121ee7e1f1408ff5f77ecc912b;http://dx.doi.org/10.1016/j.infsof.2018.05.010" TargetMode="External"/><Relationship Id="rId1599" Type="http://schemas.openxmlformats.org/officeDocument/2006/relationships/hyperlink" Target="https://www.sciencedirect.com/science/article/pii/S0164121219301980;http:/dx.doi.org/10.1016/j.jss.2019.110424" TargetMode="External"/><Relationship Id="rId317" Type="http://schemas.openxmlformats.org/officeDocument/2006/relationships/hyperlink" Target="https://www.scopus.com/inward/record.uri?eid=2-s2.0-85117904176&amp;doi=10.1145%2f3476058&amp;partnerID=40&amp;md5=6a7e3da439d4d71574bbbd8bbb0f7ee1;http://dx.doi.org/10.1145/3476058" TargetMode="External"/><Relationship Id="rId524" Type="http://schemas.openxmlformats.org/officeDocument/2006/relationships/hyperlink" Target="https://www.scopus.com/inward/record.uri?eid=2-s2.0-85124777462&amp;doi=10.1055%2fs-0041-1740923&amp;partnerID=40&amp;md5=cd97edd7ad4de13122a0f02c60dd31a6;http://dx.doi.org/10.1055/s-0041-1740923" TargetMode="External"/><Relationship Id="rId731" Type="http://schemas.openxmlformats.org/officeDocument/2006/relationships/hyperlink" Target="https://www.scopus.com/inward/record.uri?eid=2-s2.0-85079680598&amp;doi=10.1145%2f3351095.3372873&amp;partnerID=40&amp;md5=138ba67c88aa7cabfc034e3d75664dc5;http://dx.doi.org/10.1145/3351095.3372873" TargetMode="External"/><Relationship Id="rId1154" Type="http://schemas.openxmlformats.org/officeDocument/2006/relationships/hyperlink" Target="http://dx.doi.org/10.1109/TSE.2020.3024814" TargetMode="External"/><Relationship Id="rId1361" Type="http://schemas.openxmlformats.org/officeDocument/2006/relationships/hyperlink" Target="https://doi.org/10.1145/3505243;http:/dx.doi.org/10.1145/3505243" TargetMode="External"/><Relationship Id="rId1459" Type="http://schemas.openxmlformats.org/officeDocument/2006/relationships/hyperlink" Target="https://doi.org/10.1145/2896941.2896954;http:/dx.doi.org/10.1145/2896941.2896954" TargetMode="External"/><Relationship Id="rId98" Type="http://schemas.openxmlformats.org/officeDocument/2006/relationships/hyperlink" Target="https://www.scopus.com/inward/record.uri?eid=2-s2.0-85136515962&amp;doi=10.1007%2fs00766-022-00385-5&amp;partnerID=40&amp;md5=0f37b786a6059be379f420cf0d54e1f2;http://dx.doi.org/10.1007/s00766-022-00385-5" TargetMode="External"/><Relationship Id="rId829" Type="http://schemas.openxmlformats.org/officeDocument/2006/relationships/hyperlink" Target="https://www.scopus.com/inward/record.uri?eid=2-s2.0-85015651775&amp;doi=10.1017%2fS1351324917000109&amp;partnerID=40&amp;md5=249ae62e1dad021e42fd1bacfa0876f0;http://dx.doi.org/10.1017/S1351324917000109" TargetMode="External"/><Relationship Id="rId1014" Type="http://schemas.openxmlformats.org/officeDocument/2006/relationships/hyperlink" Target="http://dx.doi.org/10.23919/ConTEL.2017.8000012" TargetMode="External"/><Relationship Id="rId1221" Type="http://schemas.openxmlformats.org/officeDocument/2006/relationships/hyperlink" Target="http://dx.doi.org/10.1109/TSE.2018.2880977" TargetMode="External"/><Relationship Id="rId1666" Type="http://schemas.openxmlformats.org/officeDocument/2006/relationships/hyperlink" Target="https://www.sciencedirect.com/science/article/pii/S0065245815000455;http:/dx.doi.org/10.1016/S0065-2458(15)00045-5" TargetMode="External"/><Relationship Id="rId1873" Type="http://schemas.openxmlformats.org/officeDocument/2006/relationships/hyperlink" Target="http://link.springer.com/book/10.1007/978-1-4842-4859-1" TargetMode="External"/><Relationship Id="rId1319" Type="http://schemas.openxmlformats.org/officeDocument/2006/relationships/hyperlink" Target="https://doi.org/10.1145/3463274.3464455;http:/dx.doi.org/10.1145/3463274.3464455" TargetMode="External"/><Relationship Id="rId1526" Type="http://schemas.openxmlformats.org/officeDocument/2006/relationships/hyperlink" Target="https://doi.org/10.1145/2663474.2663479;http:/dx.doi.org/10.1145/2663474.2663479" TargetMode="External"/><Relationship Id="rId1733" Type="http://schemas.openxmlformats.org/officeDocument/2006/relationships/hyperlink" Target="http://link.springer.com/book/10.1007/978-3-031-09070-7" TargetMode="External"/><Relationship Id="rId1940" Type="http://schemas.openxmlformats.org/officeDocument/2006/relationships/hyperlink" Target="http://link.springer.com/book/10.1007/978-1-4842-8279-3" TargetMode="External"/><Relationship Id="rId25" Type="http://schemas.openxmlformats.org/officeDocument/2006/relationships/hyperlink" Target="https://www.scopus.com/inward/record.uri?eid=2-s2.0-85143589507&amp;doi=10.1142%2fS0218194022500693&amp;partnerID=40&amp;md5=f52a0e9b1784a7b8fc61fc1a9aefadcb;http://dx.doi.org/10.1142/S0218194022500693" TargetMode="External"/><Relationship Id="rId1800" Type="http://schemas.openxmlformats.org/officeDocument/2006/relationships/hyperlink" Target="http://link.springer.com/book/10.1007/978-3-030-78821-6" TargetMode="External"/><Relationship Id="rId174" Type="http://schemas.openxmlformats.org/officeDocument/2006/relationships/hyperlink" Target="https://www.scopus.com/inward/record.uri?eid=2-s2.0-85124089577&amp;doi=10.3390%2fmath10030446&amp;partnerID=40&amp;md5=edba7034083e27c3edb9e300c1ca7fac;http://dx.doi.org/10.3390/math10030446" TargetMode="External"/><Relationship Id="rId381" Type="http://schemas.openxmlformats.org/officeDocument/2006/relationships/hyperlink" Target="https://www.scopus.com/inward/record.uri?eid=2-s2.0-85119142384&amp;doi=10.3390%2fmath9212822&amp;partnerID=40&amp;md5=76e2181e5894eda78f3d58276e25a967;http://dx.doi.org/10.3390/math9212822" TargetMode="External"/><Relationship Id="rId2062" Type="http://schemas.openxmlformats.org/officeDocument/2006/relationships/hyperlink" Target="http://link.springer.com/book/10.1007/978-3-658-30995-4" TargetMode="External"/><Relationship Id="rId241" Type="http://schemas.openxmlformats.org/officeDocument/2006/relationships/hyperlink" Target="https://www.scopus.com/inward/record.uri?eid=2-s2.0-85107766571&amp;doi=10.1016%2fj.jss.2021.111010&amp;partnerID=40&amp;md5=d448645aacc3ff1b088bd1b3a1cb12db;http://dx.doi.org/10.1016/j.jss.2021.111010" TargetMode="External"/><Relationship Id="rId479" Type="http://schemas.openxmlformats.org/officeDocument/2006/relationships/hyperlink" Target="https://www.scopus.com/inward/record.uri?eid=2-s2.0-85101321601&amp;doi=10.1007%2fs10664-020-09894-9&amp;partnerID=40&amp;md5=e08470aa6b9653a16a05ff82f96fc8ff;http://dx.doi.org/10.1007/s10664-020-09894-9" TargetMode="External"/><Relationship Id="rId686" Type="http://schemas.openxmlformats.org/officeDocument/2006/relationships/hyperlink" Target="https://www.scopus.com/inward/record.uri?eid=2-s2.0-85081967635&amp;doi=10.1145%2f3344948.3344951&amp;partnerID=40&amp;md5=5a48b9bc34d6094cf05bed35c263ad19;http://dx.doi.org/10.1145/3344948.3344951" TargetMode="External"/><Relationship Id="rId893" Type="http://schemas.openxmlformats.org/officeDocument/2006/relationships/hyperlink" Target="https://www.scopus.com/inward/record.uri?eid=2-s2.0-85025172556&amp;doi=10.1109%2fICPC.2017.38&amp;partnerID=40&amp;md5=fd0269655eb20a7347798a4b00286fad;http://dx.doi.org/10.1109/ICPC.2017.38" TargetMode="External"/><Relationship Id="rId339" Type="http://schemas.openxmlformats.org/officeDocument/2006/relationships/hyperlink" Target="https://www.scopus.com/inward/record.uri?eid=2-s2.0-85124010553&amp;doi=10.7717%2fPEERJ-CS.779&amp;partnerID=40&amp;md5=2da6ad89b2502afe108635947f601ea9;http://dx.doi.org/10.7717/PEERJ-CS.779" TargetMode="External"/><Relationship Id="rId546" Type="http://schemas.openxmlformats.org/officeDocument/2006/relationships/hyperlink" Target="https://www.scopus.com/inward/record.uri?eid=2-s2.0-85105952800&amp;doi=10.1007%2f978-3-030-73103-8_9&amp;partnerID=40&amp;md5=cf09c02673d92fba921d1d138ff9e0b9;http://dx.doi.org/10.1007/978-3-030-73103-8_9" TargetMode="External"/><Relationship Id="rId753" Type="http://schemas.openxmlformats.org/officeDocument/2006/relationships/hyperlink" Target="https://www.scopus.com/inward/record.uri?eid=2-s2.0-85072343120&amp;doi=10.1109%2fMSR.2019.00071&amp;partnerID=40&amp;md5=47ccc563239187220923d9959cc82e19;http://dx.doi.org/10.1109/MSR.2019.00071" TargetMode="External"/><Relationship Id="rId1176" Type="http://schemas.openxmlformats.org/officeDocument/2006/relationships/hyperlink" Target="http://dx.doi.org/10.1109/ICOSEC54921.2022.9951895" TargetMode="External"/><Relationship Id="rId1383" Type="http://schemas.openxmlformats.org/officeDocument/2006/relationships/hyperlink" Target="https://doi.org/10.1145/3472674.3473978;http:/dx.doi.org/10.1145/3472674.3473978" TargetMode="External"/><Relationship Id="rId101" Type="http://schemas.openxmlformats.org/officeDocument/2006/relationships/hyperlink" Target="https://www.scopus.com/inward/record.uri?eid=2-s2.0-85135494534&amp;doi=10.1007%2fs12532-022-00225-1&amp;partnerID=40&amp;md5=1e4c72f3a4ebd7dbef859d32d04d3331;http://dx.doi.org/10.1007/s12532-022-00225-1" TargetMode="External"/><Relationship Id="rId406" Type="http://schemas.openxmlformats.org/officeDocument/2006/relationships/hyperlink" Target="https://www.scopus.com/inward/record.uri?eid=2-s2.0-85118546577&amp;doi=10.1109%2fTR.2021.3118026&amp;partnerID=40&amp;md5=2043476395f77f48777326e7f72bdf05;http://dx.doi.org/10.1109/TR.2021.3118026" TargetMode="External"/><Relationship Id="rId960" Type="http://schemas.openxmlformats.org/officeDocument/2006/relationships/hyperlink" Target="https://www.scopus.com/inward/record.uri?eid=2-s2.0-85062505759&amp;partnerID=40&amp;md5=636a61064499fcd05da9d69617d70c0d" TargetMode="External"/><Relationship Id="rId1036" Type="http://schemas.openxmlformats.org/officeDocument/2006/relationships/hyperlink" Target="http://dx.doi.org/10.1145/3526073.3527584" TargetMode="External"/><Relationship Id="rId1243" Type="http://schemas.openxmlformats.org/officeDocument/2006/relationships/hyperlink" Target="http://dx.doi.org/10.1109/ACCESS.2021.3126681" TargetMode="External"/><Relationship Id="rId1590" Type="http://schemas.openxmlformats.org/officeDocument/2006/relationships/hyperlink" Target="https://www.sciencedirect.com/science/article/pii/S0164121221000613;http:/dx.doi.org/10.1016/j.jss.2021.110964" TargetMode="External"/><Relationship Id="rId1688" Type="http://schemas.openxmlformats.org/officeDocument/2006/relationships/hyperlink" Target="https://www.sciencedirect.com/science/article/pii/S0950584919302289;http:/dx.doi.org/10.1016/j.infsof.2019.106218" TargetMode="External"/><Relationship Id="rId1895" Type="http://schemas.openxmlformats.org/officeDocument/2006/relationships/hyperlink" Target="http://link.springer.com/chapter/10.1007/978-3-030-60939-9_25" TargetMode="External"/><Relationship Id="rId613" Type="http://schemas.openxmlformats.org/officeDocument/2006/relationships/hyperlink" Target="https://www.scopus.com/inward/record.uri?eid=2-s2.0-85096006542&amp;doi=10.1142%2fS0218194020400227&amp;partnerID=40&amp;md5=772ec7e1f2201c5251764b201c4a66c6;http://dx.doi.org/10.1142/S0218194020400227" TargetMode="External"/><Relationship Id="rId820" Type="http://schemas.openxmlformats.org/officeDocument/2006/relationships/hyperlink" Target="https://www.scopus.com/inward/record.uri?eid=2-s2.0-85028690345&amp;partnerID=40&amp;md5=25f6e03953d7bf7041456caba1e2d45c" TargetMode="External"/><Relationship Id="rId918" Type="http://schemas.openxmlformats.org/officeDocument/2006/relationships/hyperlink" Target="https://www.scopus.com/inward/record.uri?eid=2-s2.0-85049683556&amp;doi=10.1145%2f3183440.3183478&amp;partnerID=40&amp;md5=fc9b4f29011dee78dffc65dcb86362ba;http://dx.doi.org/10.1145/3183440.3183478" TargetMode="External"/><Relationship Id="rId1450" Type="http://schemas.openxmlformats.org/officeDocument/2006/relationships/hyperlink" Target="https://doi.org/10.1145/3236024.3236081;http:/dx.doi.org/10.1145/3236024.3236081" TargetMode="External"/><Relationship Id="rId1548" Type="http://schemas.openxmlformats.org/officeDocument/2006/relationships/hyperlink" Target="https://doi.org/10.1145/3347092;http:/dx.doi.org/10.1145/3347092" TargetMode="External"/><Relationship Id="rId1755" Type="http://schemas.openxmlformats.org/officeDocument/2006/relationships/hyperlink" Target="http://link.springer.com/book/10.1007/978-3-030-82405-1" TargetMode="External"/><Relationship Id="rId1103" Type="http://schemas.openxmlformats.org/officeDocument/2006/relationships/hyperlink" Target="http://dx.doi.org/10.1109/ICGSEW.2016.16" TargetMode="External"/><Relationship Id="rId1310" Type="http://schemas.openxmlformats.org/officeDocument/2006/relationships/hyperlink" Target="http://dx.doi.org/10.1109/MS.2020.3028678" TargetMode="External"/><Relationship Id="rId1408" Type="http://schemas.openxmlformats.org/officeDocument/2006/relationships/hyperlink" Target="https://doi.org/10.1109/TechDebt.2019.00015;http:/dx.doi.org/10.1109/TechDebt.2019.00015" TargetMode="External"/><Relationship Id="rId1962" Type="http://schemas.openxmlformats.org/officeDocument/2006/relationships/hyperlink" Target="http://link.springer.com/article/10.1007/s11219-020-09538-7" TargetMode="External"/><Relationship Id="rId47" Type="http://schemas.openxmlformats.org/officeDocument/2006/relationships/hyperlink" Target="https://www.scopus.com/inward/record.uri?eid=2-s2.0-85128603213&amp;doi=10.1109%2fTR.2022.3159851&amp;partnerID=40&amp;md5=34f70bed258ee2f6c67413470fb980d1;http://dx.doi.org/10.1109/TR.2022.3159851" TargetMode="External"/><Relationship Id="rId1615" Type="http://schemas.openxmlformats.org/officeDocument/2006/relationships/hyperlink" Target="https://www.sciencedirect.com/science/article/pii/S2212827122003122;http:/dx.doi.org/10.1016/j.procir.2022.05.028" TargetMode="External"/><Relationship Id="rId1822" Type="http://schemas.openxmlformats.org/officeDocument/2006/relationships/hyperlink" Target="http://link.springer.com/chapter/10.1007/978-3-030-19034-7_14" TargetMode="External"/><Relationship Id="rId196" Type="http://schemas.openxmlformats.org/officeDocument/2006/relationships/hyperlink" Target="https://www.scopus.com/inward/record.uri?eid=2-s2.0-85128418414&amp;doi=10.1145%2f3512905&amp;partnerID=40&amp;md5=5ddea5edbb7cda4f0fc36e84feef1893;http://dx.doi.org/10.1145/3512905" TargetMode="External"/><Relationship Id="rId2084" Type="http://schemas.openxmlformats.org/officeDocument/2006/relationships/hyperlink" Target="http://link.springer.com/article/10.1007/s42979-020-00404-8" TargetMode="External"/><Relationship Id="rId263" Type="http://schemas.openxmlformats.org/officeDocument/2006/relationships/hyperlink" Target="https://www.scopus.com/inward/record.uri?eid=2-s2.0-85123224381&amp;doi=10.1109%2fTSE.2019.2962027&amp;partnerID=40&amp;md5=6bcb2de3ce3cbcef90ece1cf886dda83;http://dx.doi.org/10.1109/TSE.2019.2962027" TargetMode="External"/><Relationship Id="rId470" Type="http://schemas.openxmlformats.org/officeDocument/2006/relationships/hyperlink" Target="https://www.scopus.com/inward/record.uri?eid=2-s2.0-85056326860&amp;doi=10.1109%2fTSE.2018.2880977&amp;partnerID=40&amp;md5=3145ed3c974b5ddd75547497935ef7e4;http://dx.doi.org/10.1109/TSE.2018.2880977" TargetMode="External"/><Relationship Id="rId2151" Type="http://schemas.openxmlformats.org/officeDocument/2006/relationships/hyperlink" Target="http://link.springer.com/chapter/10.1007/978-3-658-19938-8_3" TargetMode="External"/><Relationship Id="rId123" Type="http://schemas.openxmlformats.org/officeDocument/2006/relationships/hyperlink" Target="https://www.scopus.com/inward/record.uri?eid=2-s2.0-85143060620&amp;doi=10.1145%2f3540250.3549132&amp;partnerID=40&amp;md5=b770784d1e8725eee04282384db54881;http://dx.doi.org/10.1145/3540250.3549132" TargetMode="External"/><Relationship Id="rId330" Type="http://schemas.openxmlformats.org/officeDocument/2006/relationships/hyperlink" Target="https://www.scopus.com/inward/record.uri?eid=2-s2.0-85114697629&amp;doi=10.25300%2fMISQ%2f2021%2f16543&amp;partnerID=40&amp;md5=b53e4d8014ae591404107447c5e1ced1;http://dx.doi.org/10.25300/MISQ/2021/16543" TargetMode="External"/><Relationship Id="rId568" Type="http://schemas.openxmlformats.org/officeDocument/2006/relationships/hyperlink" Target="https://www.scopus.com/inward/record.uri?eid=2-s2.0-85089561236&amp;doi=10.1007%2fs10664-020-09856-1&amp;partnerID=40&amp;md5=2b9d55aa0c40e1079c995eea4c93a82f;http://dx.doi.org/10.1007/s10664-020-09856-1" TargetMode="External"/><Relationship Id="rId775" Type="http://schemas.openxmlformats.org/officeDocument/2006/relationships/hyperlink" Target="https://www.scopus.com/inward/record.uri?eid=2-s2.0-85079266062&amp;doi=10.1109%2fASEW.2019.00041&amp;partnerID=40&amp;md5=000515e6207cd935696e69d1d84fb8fb;http://dx.doi.org/10.1109/ASEW.2019.00041" TargetMode="External"/><Relationship Id="rId982" Type="http://schemas.openxmlformats.org/officeDocument/2006/relationships/hyperlink" Target="http://dx.doi.org/10.1109/MS.2016.13" TargetMode="External"/><Relationship Id="rId1198" Type="http://schemas.openxmlformats.org/officeDocument/2006/relationships/hyperlink" Target="http://dx.doi.org/10.1109/SEAA.2017.15" TargetMode="External"/><Relationship Id="rId2011" Type="http://schemas.openxmlformats.org/officeDocument/2006/relationships/hyperlink" Target="http://link.springer.com/article/10.1007/s11219-018-9404-z" TargetMode="External"/><Relationship Id="rId428" Type="http://schemas.openxmlformats.org/officeDocument/2006/relationships/hyperlink" Target="https://www.scopus.com/inward/record.uri?eid=2-s2.0-85092325634&amp;doi=10.1002%2fspe.2908&amp;partnerID=40&amp;md5=1a51724d241ac77820dd5996e6211400;http://dx.doi.org/10.1002/spe.2908" TargetMode="External"/><Relationship Id="rId635" Type="http://schemas.openxmlformats.org/officeDocument/2006/relationships/hyperlink" Target="https://www.scopus.com/inward/record.uri?eid=2-s2.0-85064869442&amp;doi=10.1016%2fj.jss.2019.04.066&amp;partnerID=40&amp;md5=8334052a5794276a00b59c0c89ab5a37;http://dx.doi.org/10.1016/j.jss.2019.04.066" TargetMode="External"/><Relationship Id="rId842" Type="http://schemas.openxmlformats.org/officeDocument/2006/relationships/hyperlink" Target="https://www.scopus.com/inward/record.uri?eid=2-s2.0-85029407321&amp;doi=10.1016%2fj.infsof.2017.09.002&amp;partnerID=40&amp;md5=23f8be5aca5b325a3bf15eff80767dcb;http://dx.doi.org/10.1016/j.infsof.2017.09.002" TargetMode="External"/><Relationship Id="rId1058" Type="http://schemas.openxmlformats.org/officeDocument/2006/relationships/hyperlink" Target="http://dx.doi.org/10.1109/MS.2017.83" TargetMode="External"/><Relationship Id="rId1265" Type="http://schemas.openxmlformats.org/officeDocument/2006/relationships/hyperlink" Target="http://dx.doi.org/10.1147/JRD.2019.2961069" TargetMode="External"/><Relationship Id="rId1472" Type="http://schemas.openxmlformats.org/officeDocument/2006/relationships/hyperlink" Target="https://doi.org/10.14778/3436905.3436925;http:/dx.doi.org/10.14778/3436905.3436925" TargetMode="External"/><Relationship Id="rId2109" Type="http://schemas.openxmlformats.org/officeDocument/2006/relationships/hyperlink" Target="http://link.springer.com/book/10.1007/978-3-030-88907-4" TargetMode="External"/><Relationship Id="rId702" Type="http://schemas.openxmlformats.org/officeDocument/2006/relationships/hyperlink" Target="https://www.scopus.com/inward/record.uri?eid=2-s2.0-85067357790&amp;doi=10.1007%2f978-3-030-21290-2_39&amp;partnerID=40&amp;md5=84b52947fbd4ff3d7df1a1600fdbd3ba;http://dx.doi.org/10.1007/978-3-030-21290-2_39" TargetMode="External"/><Relationship Id="rId1125" Type="http://schemas.openxmlformats.org/officeDocument/2006/relationships/hyperlink" Target="http://dx.doi.org/10.1109/TSE.2021.3106247" TargetMode="External"/><Relationship Id="rId1332" Type="http://schemas.openxmlformats.org/officeDocument/2006/relationships/hyperlink" Target="https://doi.org/10.1145/3387906.3388630;http:/dx.doi.org/10.1145/3387906.3388630" TargetMode="External"/><Relationship Id="rId1777" Type="http://schemas.openxmlformats.org/officeDocument/2006/relationships/hyperlink" Target="http://link.springer.com/book/10.1007/978-981-16-5655-2" TargetMode="External"/><Relationship Id="rId1984" Type="http://schemas.openxmlformats.org/officeDocument/2006/relationships/hyperlink" Target="http://link.springer.com/article/10.1007/s11831-021-09566-x" TargetMode="External"/><Relationship Id="rId69" Type="http://schemas.openxmlformats.org/officeDocument/2006/relationships/hyperlink" Target="https://www.scopus.com/inward/record.uri?eid=2-s2.0-85139564518&amp;doi=10.1145%2f3545258.3545273&amp;partnerID=40&amp;md5=db5b95948075f89c5c9f286542a97339;http://dx.doi.org/10.1145/3545258.3545273" TargetMode="External"/><Relationship Id="rId1637" Type="http://schemas.openxmlformats.org/officeDocument/2006/relationships/hyperlink" Target="https://www.sciencedirect.com/science/article/pii/S0950705120304226;http:/dx.doi.org/10.1016/j.knosys.2020.106201" TargetMode="External"/><Relationship Id="rId1844" Type="http://schemas.openxmlformats.org/officeDocument/2006/relationships/hyperlink" Target="http://link.springer.com/book/10.1007/978-1-4842-5729-6" TargetMode="External"/><Relationship Id="rId1704" Type="http://schemas.openxmlformats.org/officeDocument/2006/relationships/hyperlink" Target="https://www.sciencedirect.com/science/article/pii/S0065245817300086;http:/dx.doi.org/10.1016/S0065-2458(17)30008-6" TargetMode="External"/><Relationship Id="rId285" Type="http://schemas.openxmlformats.org/officeDocument/2006/relationships/hyperlink" Target="https://www.scopus.com/inward/record.uri?eid=2-s2.0-85125909057&amp;doi=10.1002%2fsmr.2432&amp;partnerID=40&amp;md5=81497923d97888427d6200fc1d3459cf;http://dx.doi.org/10.1002/smr.2432" TargetMode="External"/><Relationship Id="rId1911" Type="http://schemas.openxmlformats.org/officeDocument/2006/relationships/hyperlink" Target="http://link.springer.com/book/10.1007/978-3-031-11510-3" TargetMode="External"/><Relationship Id="rId492" Type="http://schemas.openxmlformats.org/officeDocument/2006/relationships/hyperlink" Target="https://www.scopus.com/inward/record.uri?eid=2-s2.0-85122898212&amp;doi=10.1155%2f2021%2f8522839&amp;partnerID=40&amp;md5=f0bb3c564264a93cba7fbfbf11b611d0;http://dx.doi.org/10.1155/2021/8522839" TargetMode="External"/><Relationship Id="rId797" Type="http://schemas.openxmlformats.org/officeDocument/2006/relationships/hyperlink" Target="https://www.scopus.com/inward/record.uri?eid=2-s2.0-85086145221&amp;doi=10.1007%2f978-981-15-5827-6_6&amp;partnerID=40&amp;md5=fa314c2777096ade36f95c5553f4d8c3;http://dx.doi.org/10.1007/978-981-15-5827-6_6" TargetMode="External"/><Relationship Id="rId2173" Type="http://schemas.openxmlformats.org/officeDocument/2006/relationships/hyperlink" Target="http://link.springer.com/chapter/10.1007/978-1-4842-7226-8_16" TargetMode="External"/><Relationship Id="rId145" Type="http://schemas.openxmlformats.org/officeDocument/2006/relationships/hyperlink" Target="https://www.scopus.com/inward/record.uri?eid=2-s2.0-85127825250&amp;doi=10.1007%2fs10664-022-10121-w&amp;partnerID=40&amp;md5=6b976295e4a0ab64440d5bea832c353d;http://dx.doi.org/10.1007/s10664-022-10121-w" TargetMode="External"/><Relationship Id="rId352" Type="http://schemas.openxmlformats.org/officeDocument/2006/relationships/hyperlink" Target="https://www.scopus.com/inward/record.uri?eid=2-s2.0-85131722859&amp;doi=10.3233%2fJIFS-211273&amp;partnerID=40&amp;md5=b652457a51f3b4ed24a912c23cde3af3;http://dx.doi.org/10.3233/JIFS-211273" TargetMode="External"/><Relationship Id="rId1287" Type="http://schemas.openxmlformats.org/officeDocument/2006/relationships/hyperlink" Target="https://ieeexplore.ieee.org/document/9822652;http:/dx.doi.org/10.1002/9781119602477.bapp" TargetMode="External"/><Relationship Id="rId2033" Type="http://schemas.openxmlformats.org/officeDocument/2006/relationships/hyperlink" Target="http://link.springer.com/article/10.1007/s10664-019-09788-5" TargetMode="External"/><Relationship Id="rId212" Type="http://schemas.openxmlformats.org/officeDocument/2006/relationships/hyperlink" Target="https://www.scopus.com/inward/record.uri?eid=2-s2.0-85132973032&amp;doi=10.1145%2f3531146.3533233&amp;partnerID=40&amp;md5=9e21497ca3771ba71cf57ac1ea6e5296;http://dx.doi.org/10.1145/3531146.3533233" TargetMode="External"/><Relationship Id="rId657" Type="http://schemas.openxmlformats.org/officeDocument/2006/relationships/hyperlink" Target="https://www.scopus.com/inward/record.uri?eid=2-s2.0-85059611960&amp;doi=10.1016%2fj.infsof.2018.12.009&amp;partnerID=40&amp;md5=ddf6879e8500278d15f295f277320b23;http://dx.doi.org/10.1016/j.infsof.2018.12.009" TargetMode="External"/><Relationship Id="rId864" Type="http://schemas.openxmlformats.org/officeDocument/2006/relationships/hyperlink" Target="https://www.scopus.com/inward/record.uri?eid=2-s2.0-84971476736&amp;doi=10.1145%2f2884781.2884868&amp;partnerID=40&amp;md5=03e5793c8326bf6cab19f855de7d35af;http://dx.doi.org/10.1145/2884781.2884868" TargetMode="External"/><Relationship Id="rId1494" Type="http://schemas.openxmlformats.org/officeDocument/2006/relationships/hyperlink" Target="https://doi.org/10.1109/ICPC.2017.38;http:/dx.doi.org/10.1109/ICPC.2017.38" TargetMode="External"/><Relationship Id="rId1799" Type="http://schemas.openxmlformats.org/officeDocument/2006/relationships/hyperlink" Target="http://link.springer.com/book/10.1007/978-3-031-21920-7" TargetMode="External"/><Relationship Id="rId2100" Type="http://schemas.openxmlformats.org/officeDocument/2006/relationships/hyperlink" Target="http://link.springer.com/article/10.1007/s10664-022-10200-y" TargetMode="External"/><Relationship Id="rId517" Type="http://schemas.openxmlformats.org/officeDocument/2006/relationships/hyperlink" Target="https://www.scopus.com/inward/record.uri?eid=2-s2.0-85125461915&amp;doi=10.1109%2fASE51524.2021.9678863&amp;partnerID=40&amp;md5=482ee4f2a1b9b6b73fd2fafd5b384160;http://dx.doi.org/10.1109/ASE51524.2021.9678863" TargetMode="External"/><Relationship Id="rId724" Type="http://schemas.openxmlformats.org/officeDocument/2006/relationships/hyperlink" Target="https://www.scopus.com/inward/record.uri?eid=2-s2.0-85061105307&amp;doi=10.1007%2f978-3-030-06019-0_4&amp;partnerID=40&amp;md5=fe967be5b739bd55d54da635437930df;http://dx.doi.org/10.1007/978-3-030-06019-0_4" TargetMode="External"/><Relationship Id="rId931" Type="http://schemas.openxmlformats.org/officeDocument/2006/relationships/hyperlink" Target="https://www.scopus.com/inward/record.uri?eid=2-s2.0-84944128754&amp;doi=10.1016%2fB978-0-12-411519-4.00019-7&amp;partnerID=40&amp;md5=9b8d4010380d27f42aef6ed21682e4b1;http://dx.doi.org/10.1016/B978-0-12-411519-4.00019-7" TargetMode="External"/><Relationship Id="rId1147" Type="http://schemas.openxmlformats.org/officeDocument/2006/relationships/hyperlink" Target="http://dx.doi.org/10.1109/ICSE.2013.6606638" TargetMode="External"/><Relationship Id="rId1354" Type="http://schemas.openxmlformats.org/officeDocument/2006/relationships/hyperlink" Target="https://doi.org/10.1145/3196398.3196448;http:/dx.doi.org/10.1145/3196398.3196448" TargetMode="External"/><Relationship Id="rId1561" Type="http://schemas.openxmlformats.org/officeDocument/2006/relationships/hyperlink" Target="https://www.sciencedirect.com/science/article/pii/S0950584922002257;http:/dx.doi.org/10.1016/j.infsof.2022.107116" TargetMode="External"/><Relationship Id="rId60" Type="http://schemas.openxmlformats.org/officeDocument/2006/relationships/hyperlink" Target="https://www.scopus.com/inward/record.uri?eid=2-s2.0-85124006010&amp;doi=10.1007%2fs10664-021-10081-7&amp;partnerID=40&amp;md5=d27f46fbd645e3b250241cfaa84d2245;http://dx.doi.org/10.1007/s10664-021-10081-7" TargetMode="External"/><Relationship Id="rId1007" Type="http://schemas.openxmlformats.org/officeDocument/2006/relationships/hyperlink" Target="http://dx.doi.org/10.1109/SEAA53835.2021.00050" TargetMode="External"/><Relationship Id="rId1214" Type="http://schemas.openxmlformats.org/officeDocument/2006/relationships/hyperlink" Target="http://dx.doi.org/10.1109/eScience55777.2022.00095" TargetMode="External"/><Relationship Id="rId1421" Type="http://schemas.openxmlformats.org/officeDocument/2006/relationships/hyperlink" Target="https://doi.org/10.1109/ICSE-NIER.2019.00037;http:/dx.doi.org/10.1109/ICSE-NIER.2019.00037" TargetMode="External"/><Relationship Id="rId1659" Type="http://schemas.openxmlformats.org/officeDocument/2006/relationships/hyperlink" Target="https://www.sciencedirect.com/science/article/pii/S0957417420308356;http:/dx.doi.org/10.1016/j.eswa.2020.114076" TargetMode="External"/><Relationship Id="rId1866" Type="http://schemas.openxmlformats.org/officeDocument/2006/relationships/hyperlink" Target="http://link.springer.com/book/10.1007/978-3-030-24405-7" TargetMode="External"/><Relationship Id="rId1519" Type="http://schemas.openxmlformats.org/officeDocument/2006/relationships/hyperlink" Target="https://doi.org/10.1145/3533767.3534375;http:/dx.doi.org/10.1145/3533767.3534375" TargetMode="External"/><Relationship Id="rId1726" Type="http://schemas.openxmlformats.org/officeDocument/2006/relationships/hyperlink" Target="http://link.springer.com/book/10.1007/978-3-319-49094-6" TargetMode="External"/><Relationship Id="rId1933" Type="http://schemas.openxmlformats.org/officeDocument/2006/relationships/hyperlink" Target="http://link.springer.com/article/10.1007/s10664-022-10227-1" TargetMode="External"/><Relationship Id="rId18" Type="http://schemas.openxmlformats.org/officeDocument/2006/relationships/hyperlink" Target="http://dx.doi.org/10.1016/j.jss.2017.12.034" TargetMode="External"/><Relationship Id="rId167" Type="http://schemas.openxmlformats.org/officeDocument/2006/relationships/hyperlink" Target="https://www.scopus.com/inward/record.uri?eid=2-s2.0-85140061860&amp;doi=10.1016%2fj.jss.2022.111514&amp;partnerID=40&amp;md5=9329cc3dbfc999f365f92b66463c4b1b;http://dx.doi.org/10.1016/j.jss.2022.111514" TargetMode="External"/><Relationship Id="rId374" Type="http://schemas.openxmlformats.org/officeDocument/2006/relationships/hyperlink" Target="https://www.scopus.com/inward/record.uri?eid=2-s2.0-85127056188&amp;doi=10.1109%2fICSA53651.2022.00011&amp;partnerID=40&amp;md5=406bfae4f78486cdbc0ad4efd1370589;http://dx.doi.org/10.1109/ICSA53651.2022.00011" TargetMode="External"/><Relationship Id="rId581" Type="http://schemas.openxmlformats.org/officeDocument/2006/relationships/hyperlink" Target="https://www.scopus.com/inward/record.uri?eid=2-s2.0-85101548886&amp;doi=10.1007%2f978-3-030-65854-0_5&amp;partnerID=40&amp;md5=ed02229da2891e2e587e82cb76d1a808;http://dx.doi.org/10.1007/978-3-030-65854-0_5" TargetMode="External"/><Relationship Id="rId2055" Type="http://schemas.openxmlformats.org/officeDocument/2006/relationships/hyperlink" Target="http://link.springer.com/chapter/10.1007/978-3-030-84589-6_6" TargetMode="External"/><Relationship Id="rId234" Type="http://schemas.openxmlformats.org/officeDocument/2006/relationships/hyperlink" Target="https://www.scopus.com/inward/record.uri?eid=2-s2.0-85106207514&amp;doi=10.1007%2fs11219-021-09555-0&amp;partnerID=40&amp;md5=b0ecf71985d4ef4c10438eabe73da349;http://dx.doi.org/10.1007/s11219-021-09555-0" TargetMode="External"/><Relationship Id="rId679" Type="http://schemas.openxmlformats.org/officeDocument/2006/relationships/hyperlink" Target="https://www.scopus.com/inward/record.uri?eid=2-s2.0-85067631360&amp;doi=10.1145%2f3290605.3300830&amp;partnerID=40&amp;md5=f1365b81c262fe8ade9bfc485ab8ae11;http://dx.doi.org/10.1145/3290605.3300830" TargetMode="External"/><Relationship Id="rId886" Type="http://schemas.openxmlformats.org/officeDocument/2006/relationships/hyperlink" Target="https://www.scopus.com/inward/record.uri?eid=2-s2.0-85056902261&amp;doi=10.1145%2f3243734.3243757&amp;partnerID=40&amp;md5=587121a954035999afcb6db28834402e;http://dx.doi.org/10.1145/3243734.3243757" TargetMode="External"/><Relationship Id="rId2" Type="http://schemas.openxmlformats.org/officeDocument/2006/relationships/hyperlink" Target="http://dx.doi.org/10.1080/17517575.2020.1824017" TargetMode="External"/><Relationship Id="rId441" Type="http://schemas.openxmlformats.org/officeDocument/2006/relationships/hyperlink" Target="https://www.scopus.com/inward/record.uri?eid=2-s2.0-85097138978&amp;doi=10.1145%2f3368089.3417048&amp;partnerID=40&amp;md5=41973787b54adf14d6e036bde1855eeb;http://dx.doi.org/10.1145/3368089.3417048" TargetMode="External"/><Relationship Id="rId539" Type="http://schemas.openxmlformats.org/officeDocument/2006/relationships/hyperlink" Target="https://www.scopus.com/inward/record.uri?eid=2-s2.0-85113217257&amp;doi=10.1109%2fWAIN52551.2021.00008&amp;partnerID=40&amp;md5=8007c6523e47f344bdf125475ab72681;http://dx.doi.org/10.1109/WAIN52551.2021.00008" TargetMode="External"/><Relationship Id="rId746" Type="http://schemas.openxmlformats.org/officeDocument/2006/relationships/hyperlink" Target="https://www.scopus.com/inward/record.uri?eid=2-s2.0-85076222064&amp;doi=10.1007%2f978-981-15-1377-0_32&amp;partnerID=40&amp;md5=26cc99b4c728022bb9757ce8339fde8d;http://dx.doi.org/10.1007/978-981-15-1377-0_32" TargetMode="External"/><Relationship Id="rId1071" Type="http://schemas.openxmlformats.org/officeDocument/2006/relationships/hyperlink" Target="http://dx.doi.org/10.1109/SEAA51224.2020.00082" TargetMode="External"/><Relationship Id="rId1169" Type="http://schemas.openxmlformats.org/officeDocument/2006/relationships/hyperlink" Target="http://dx.doi.org/10.1109/ICSME.2016.19" TargetMode="External"/><Relationship Id="rId1376" Type="http://schemas.openxmlformats.org/officeDocument/2006/relationships/hyperlink" Target="https://doi.org/10.1145/3410352.3410730;http:/dx.doi.org/10.1145/3410352.3410730" TargetMode="External"/><Relationship Id="rId1583" Type="http://schemas.openxmlformats.org/officeDocument/2006/relationships/hyperlink" Target="https://www.sciencedirect.com/science/article/pii/S0950584921000367;http:/dx.doi.org/10.1016/j.infsof.2021.106551" TargetMode="External"/><Relationship Id="rId2122" Type="http://schemas.openxmlformats.org/officeDocument/2006/relationships/hyperlink" Target="http://link.springer.com/article/10.1007/s10664-019-09763-0" TargetMode="External"/><Relationship Id="rId301" Type="http://schemas.openxmlformats.org/officeDocument/2006/relationships/hyperlink" Target="https://www.scopus.com/inward/record.uri?eid=2-s2.0-85116431854&amp;doi=10.3390%2fmachines9100221&amp;partnerID=40&amp;md5=a71bf41a66e5e3a04601d285a26887b1;http://dx.doi.org/10.3390/machines9100221" TargetMode="External"/><Relationship Id="rId953" Type="http://schemas.openxmlformats.org/officeDocument/2006/relationships/hyperlink" Target="https://www.scopus.com/inward/record.uri?eid=2-s2.0-85042941931&amp;doi=10.1016%2fj.infsof.2018.02.004&amp;partnerID=40&amp;md5=abf547bf7f9e4706c230c761b0260b81;http://dx.doi.org/10.1016/j.infsof.2018.02.004" TargetMode="External"/><Relationship Id="rId1029" Type="http://schemas.openxmlformats.org/officeDocument/2006/relationships/hyperlink" Target="http://dx.doi.org/10.1109/ICSME.2014.31" TargetMode="External"/><Relationship Id="rId1236" Type="http://schemas.openxmlformats.org/officeDocument/2006/relationships/hyperlink" Target="http://dx.doi.org/10.23919/DATE54114.2022.9774586" TargetMode="External"/><Relationship Id="rId1790" Type="http://schemas.openxmlformats.org/officeDocument/2006/relationships/hyperlink" Target="http://link.springer.com/book/10.1007/978-3-031-18461-1" TargetMode="External"/><Relationship Id="rId1888" Type="http://schemas.openxmlformats.org/officeDocument/2006/relationships/hyperlink" Target="http://link.springer.com/chapter/10.1007/978-3-030-40783-4_12" TargetMode="External"/><Relationship Id="rId82" Type="http://schemas.openxmlformats.org/officeDocument/2006/relationships/hyperlink" Target="https://www.scopus.com/inward/record.uri?eid=2-s2.0-85124675907&amp;doi=10.1515%2fauto-2021-0138&amp;partnerID=40&amp;md5=b3966aaa27a1c952aae158f73486bc5c;http://dx.doi.org/10.1515/auto-2021-0138" TargetMode="External"/><Relationship Id="rId606" Type="http://schemas.openxmlformats.org/officeDocument/2006/relationships/hyperlink" Target="https://www.scopus.com/inward/record.uri?eid=2-s2.0-85112267816&amp;doi=10.15388%2f21-INFOR454&amp;partnerID=40&amp;md5=8bd149a1f3f0de62a234c35f84b10d05;http://dx.doi.org/10.15388/21-INFOR454" TargetMode="External"/><Relationship Id="rId813" Type="http://schemas.openxmlformats.org/officeDocument/2006/relationships/hyperlink" Target="https://www.scopus.com/inward/record.uri?eid=2-s2.0-85091323640&amp;doi=10.1145%2f3313831.3376177&amp;partnerID=40&amp;md5=f480d2d33d50e924a8d3971b4b377538;http://dx.doi.org/10.1145/3313831.3376177" TargetMode="External"/><Relationship Id="rId1443" Type="http://schemas.openxmlformats.org/officeDocument/2006/relationships/hyperlink" Target="https://doi.org/10.1145/3510003.3510225;http:/dx.doi.org/10.1145/3510003.3510225" TargetMode="External"/><Relationship Id="rId1650" Type="http://schemas.openxmlformats.org/officeDocument/2006/relationships/hyperlink" Target="https://www.sciencedirect.com/science/article/pii/S0950584922002294;http:/dx.doi.org/10.1016/j.infsof.2022.107120" TargetMode="External"/><Relationship Id="rId1748" Type="http://schemas.openxmlformats.org/officeDocument/2006/relationships/hyperlink" Target="http://link.springer.com/book/10.1007/978-981-16-6605-6" TargetMode="External"/><Relationship Id="rId1303" Type="http://schemas.openxmlformats.org/officeDocument/2006/relationships/hyperlink" Target="http://dx.doi.org/10.1109/ESEM.2019.8870145" TargetMode="External"/><Relationship Id="rId1510" Type="http://schemas.openxmlformats.org/officeDocument/2006/relationships/hyperlink" Target="https://doi.org/10.1145/3368089.3417066;http:/dx.doi.org/10.1145/3368089.3417066" TargetMode="External"/><Relationship Id="rId1955" Type="http://schemas.openxmlformats.org/officeDocument/2006/relationships/hyperlink" Target="http://link.springer.com/book/10.1007/978-1-4842-7416-3" TargetMode="External"/><Relationship Id="rId1608" Type="http://schemas.openxmlformats.org/officeDocument/2006/relationships/hyperlink" Target="https://www.sciencedirect.com/science/article/pii/S0164121222000437;http:/dx.doi.org/10.1016/j.jss.2022.111283" TargetMode="External"/><Relationship Id="rId1815" Type="http://schemas.openxmlformats.org/officeDocument/2006/relationships/hyperlink" Target="http://link.springer.com/book/10.1007/978-981-16-1045-5" TargetMode="External"/><Relationship Id="rId189" Type="http://schemas.openxmlformats.org/officeDocument/2006/relationships/hyperlink" Target="https://www.scopus.com/inward/record.uri?eid=2-s2.0-85128856166&amp;doi=10.1109%2fTSE.2020.3021736&amp;partnerID=40&amp;md5=f794a4fd06e73f135cc1d917dcb23a74;http://dx.doi.org/10.1109/TSE.2020.3021736" TargetMode="External"/><Relationship Id="rId396" Type="http://schemas.openxmlformats.org/officeDocument/2006/relationships/hyperlink" Target="https://www.scopus.com/inward/record.uri?eid=2-s2.0-85116420916&amp;doi=10.1109%2fIJCNN52387.2021.9534423&amp;partnerID=40&amp;md5=7ca186b49cb61cfb0ead5d3f5c4bfbb5;http://dx.doi.org/10.1109/IJCNN52387.2021.9534423" TargetMode="External"/><Relationship Id="rId2077" Type="http://schemas.openxmlformats.org/officeDocument/2006/relationships/hyperlink" Target="http://link.springer.com/book/10.1007/978-3-030-55746-1" TargetMode="External"/><Relationship Id="rId256" Type="http://schemas.openxmlformats.org/officeDocument/2006/relationships/hyperlink" Target="https://www.scopus.com/inward/record.uri?eid=2-s2.0-85114832074&amp;doi=10.1109%2fTechDebt52882.2021.00016&amp;partnerID=40&amp;md5=d2a18c8a42af690521e2a1a5b47df62c;http://dx.doi.org/10.1109/TechDebt52882.2021.00016" TargetMode="External"/><Relationship Id="rId463" Type="http://schemas.openxmlformats.org/officeDocument/2006/relationships/hyperlink" Target="https://www.scopus.com/inward/record.uri?eid=2-s2.0-85123492277&amp;doi=10.1109%2fDSA52907.2021.00055&amp;partnerID=40&amp;md5=9b1bcf38e138c663e9b343d5a5e75879;http://dx.doi.org/10.1109/DSA52907.2021.00055" TargetMode="External"/><Relationship Id="rId670" Type="http://schemas.openxmlformats.org/officeDocument/2006/relationships/hyperlink" Target="https://www.scopus.com/inward/record.uri?eid=2-s2.0-85058033875&amp;doi=10.1016%2fj.jss.2018.12.006&amp;partnerID=40&amp;md5=30541230bb21209a8e5ec87df56ba5f0;http://dx.doi.org/10.1016/j.jss.2018.12.006" TargetMode="External"/><Relationship Id="rId1093" Type="http://schemas.openxmlformats.org/officeDocument/2006/relationships/hyperlink" Target="http://dx.doi.org/10.1109/RE51729.2021.00009" TargetMode="External"/><Relationship Id="rId2144" Type="http://schemas.openxmlformats.org/officeDocument/2006/relationships/hyperlink" Target="http://link.springer.com/chapter/10.1007/978-3-030-88583-0_5" TargetMode="External"/><Relationship Id="rId116" Type="http://schemas.openxmlformats.org/officeDocument/2006/relationships/hyperlink" Target="https://www.scopus.com/inward/record.uri?eid=2-s2.0-85123066032&amp;doi=10.1007%2fs11334-021-00422-6&amp;partnerID=40&amp;md5=3fff891353aeee11ee10e74f82f79508;http://dx.doi.org/10.1007/s11334-021-00422-6" TargetMode="External"/><Relationship Id="rId323" Type="http://schemas.openxmlformats.org/officeDocument/2006/relationships/hyperlink" Target="https://www.scopus.com/inward/record.uri?eid=2-s2.0-85132607290&amp;doi=10.1145%2f3510003.3510209&amp;partnerID=40&amp;md5=3676e6f20f4bf446710a797ff34465e5;http://dx.doi.org/10.1145/3510003.3510209" TargetMode="External"/><Relationship Id="rId530" Type="http://schemas.openxmlformats.org/officeDocument/2006/relationships/hyperlink" Target="https://www.scopus.com/inward/record.uri?eid=2-s2.0-85125470611&amp;doi=10.1109%2fASE51524.2021.9678617&amp;partnerID=40&amp;md5=33179c29372e750880332088711cc195;http://dx.doi.org/10.1109/ASE51524.2021.9678617" TargetMode="External"/><Relationship Id="rId768" Type="http://schemas.openxmlformats.org/officeDocument/2006/relationships/hyperlink" Target="https://www.scopus.com/inward/record.uri?eid=2-s2.0-85073437829&amp;doi=10.1109%2fCESSER-IP.2019.00009&amp;partnerID=40&amp;md5=6ee4c8ddefaa6d61ea7f840450700a0c;http://dx.doi.org/10.1109/CESSER-IP.2019.00009" TargetMode="External"/><Relationship Id="rId975" Type="http://schemas.openxmlformats.org/officeDocument/2006/relationships/hyperlink" Target="http://dx.doi.org/10.1109/SER-IP.2017..5" TargetMode="External"/><Relationship Id="rId1160" Type="http://schemas.openxmlformats.org/officeDocument/2006/relationships/hyperlink" Target="http://dx.doi.org/10.1109/TSE.2019.2903057" TargetMode="External"/><Relationship Id="rId1398" Type="http://schemas.openxmlformats.org/officeDocument/2006/relationships/hyperlink" Target="https://doi.org/10.1145/3463274.3463360;http:/dx.doi.org/10.1145/3463274.3463360" TargetMode="External"/><Relationship Id="rId2004" Type="http://schemas.openxmlformats.org/officeDocument/2006/relationships/hyperlink" Target="http://link.springer.com/book/10.1007/978-1-4842-7505-4" TargetMode="External"/><Relationship Id="rId628" Type="http://schemas.openxmlformats.org/officeDocument/2006/relationships/hyperlink" Target="https://www.scopus.com/inward/record.uri?eid=2-s2.0-85094116307&amp;doi=10.1145%2f3377812.3381404&amp;partnerID=40&amp;md5=53d6bfa6cbc64787b225d893f8098270;http://dx.doi.org/10.1145/3377812.3381404" TargetMode="External"/><Relationship Id="rId835" Type="http://schemas.openxmlformats.org/officeDocument/2006/relationships/hyperlink" Target="https://www.scopus.com/inward/record.uri?eid=2-s2.0-84962708036&amp;doi=10.1145%2f2857218.2857224&amp;partnerID=40&amp;md5=156cfd7aad3578e5f910772fe85ddd91;http://dx.doi.org/10.1145/2857218.2857224" TargetMode="External"/><Relationship Id="rId1258" Type="http://schemas.openxmlformats.org/officeDocument/2006/relationships/hyperlink" Target="http://dx.doi.org/10.1109/JPROC.2020.2985293" TargetMode="External"/><Relationship Id="rId1465" Type="http://schemas.openxmlformats.org/officeDocument/2006/relationships/hyperlink" Target="https://doi.org/10.1145/3522664.3528612;http:/dx.doi.org/10.1145/3522664.3528612" TargetMode="External"/><Relationship Id="rId1672" Type="http://schemas.openxmlformats.org/officeDocument/2006/relationships/hyperlink" Target="https://www.sciencedirect.com/science/article/pii/S0040162521003899;http:/dx.doi.org/10.1016/j.techfore.2021.120957" TargetMode="External"/><Relationship Id="rId1020" Type="http://schemas.openxmlformats.org/officeDocument/2006/relationships/hyperlink" Target="http://dx.doi.org/10.1109/ICRITO48877.2020.9197868" TargetMode="External"/><Relationship Id="rId1118" Type="http://schemas.openxmlformats.org/officeDocument/2006/relationships/hyperlink" Target="http://dx.doi.org/10.1109/ICSSP.2019.00018" TargetMode="External"/><Relationship Id="rId1325" Type="http://schemas.openxmlformats.org/officeDocument/2006/relationships/hyperlink" Target="https://doi.org/10.1145/2894784.2894800;http:/dx.doi.org/10.1145/2894784.2894800" TargetMode="External"/><Relationship Id="rId1532" Type="http://schemas.openxmlformats.org/officeDocument/2006/relationships/hyperlink" Target="https://doi.org/10.1145/3524610.3527901;http:/dx.doi.org/10.1145/3524610.3527901" TargetMode="External"/><Relationship Id="rId1977" Type="http://schemas.openxmlformats.org/officeDocument/2006/relationships/hyperlink" Target="http://link.springer.com/chapter/10.1007/978-3-030-57321-8_25" TargetMode="External"/><Relationship Id="rId902" Type="http://schemas.openxmlformats.org/officeDocument/2006/relationships/hyperlink" Target="https://www.scopus.com/inward/record.uri?eid=2-s2.0-84983238335&amp;doi=10.1109%2fWICSA.2016.41&amp;partnerID=40&amp;md5=8758a2e935627411a84d692025434931;http://dx.doi.org/10.1109/WICSA.2016.41" TargetMode="External"/><Relationship Id="rId1837" Type="http://schemas.openxmlformats.org/officeDocument/2006/relationships/hyperlink" Target="http://link.springer.com/book/10.1007/978-3-030-94238-0" TargetMode="External"/><Relationship Id="rId31" Type="http://schemas.openxmlformats.org/officeDocument/2006/relationships/hyperlink" Target="https://www.scopus.com/inward/record.uri?eid=2-s2.0-85139207178&amp;doi=10.1007%2fs10664-022-10164-z&amp;partnerID=40&amp;md5=5bd679506e1ae15182248eea4ea994f4;http://dx.doi.org/10.1007/s10664-022-10164-z" TargetMode="External"/><Relationship Id="rId2099" Type="http://schemas.openxmlformats.org/officeDocument/2006/relationships/hyperlink" Target="http://link.springer.com/article/10.1007/s10515-022-00359-5" TargetMode="External"/><Relationship Id="rId180" Type="http://schemas.openxmlformats.org/officeDocument/2006/relationships/hyperlink" Target="https://www.scopus.com/inward/record.uri?eid=2-s2.0-85137168457&amp;doi=10.18293%2fSEKE2022-009&amp;partnerID=40&amp;md5=91d9a9e3b89efa403d99868e2a43a0d7;http://dx.doi.org/10.18293/SEKE2022-009" TargetMode="External"/><Relationship Id="rId278" Type="http://schemas.openxmlformats.org/officeDocument/2006/relationships/hyperlink" Target="https://www.scopus.com/inward/record.uri?eid=2-s2.0-85135860484&amp;doi=10.1109%2fSANER53432.2022.00029&amp;partnerID=40&amp;md5=c05b0ee4ebadf35d988ad552d51ac1a3;http://dx.doi.org/10.1109/SANER53432.2022.00029" TargetMode="External"/><Relationship Id="rId1904" Type="http://schemas.openxmlformats.org/officeDocument/2006/relationships/hyperlink" Target="http://link.springer.com/chapter/10.1007/978-3-030-59155-7_1" TargetMode="External"/><Relationship Id="rId485" Type="http://schemas.openxmlformats.org/officeDocument/2006/relationships/hyperlink" Target="https://www.scopus.com/inward/record.uri?eid=2-s2.0-85057852491&amp;doi=10.1109%2fTSE.2018.2883603&amp;partnerID=40&amp;md5=1dd8327aba9f59450939b8afa8282ab7;http://dx.doi.org/10.1109/TSE.2018.2883603" TargetMode="External"/><Relationship Id="rId692" Type="http://schemas.openxmlformats.org/officeDocument/2006/relationships/hyperlink" Target="https://www.scopus.com/inward/record.uri?eid=2-s2.0-85099729767&amp;doi=10.1109%2fSPW50608.2020.00028&amp;partnerID=40&amp;md5=131f5e4b40359a78039d7de9b9f2a22d;http://dx.doi.org/10.1109/SPW50608.2020.00028" TargetMode="External"/><Relationship Id="rId2166" Type="http://schemas.openxmlformats.org/officeDocument/2006/relationships/hyperlink" Target="http://link.springer.com/chapter/10.1007/978-3-030-91279-6_4" TargetMode="External"/><Relationship Id="rId138" Type="http://schemas.openxmlformats.org/officeDocument/2006/relationships/hyperlink" Target="https://www.scopus.com/inward/record.uri?eid=2-s2.0-85131510401&amp;doi=10.1038%2fs41746-022-00611-y&amp;partnerID=40&amp;md5=09f7394d60d732fda84bd5dc1c8a133e;http://dx.doi.org/10.1038/s41746-022-00611-y" TargetMode="External"/><Relationship Id="rId345" Type="http://schemas.openxmlformats.org/officeDocument/2006/relationships/hyperlink" Target="https://www.scopus.com/inward/record.uri?eid=2-s2.0-85133692894&amp;doi=10.1109%2fSANER53432.2022.00043&amp;partnerID=40&amp;md5=e7fabf15f8c5c0dc44830467eb9dd6fd;http://dx.doi.org/10.1109/SANER53432.2022.00043" TargetMode="External"/><Relationship Id="rId552" Type="http://schemas.openxmlformats.org/officeDocument/2006/relationships/hyperlink" Target="https://www.scopus.com/inward/record.uri?eid=2-s2.0-85111105153&amp;doi=10.1007%2f978-3-030-75018-3_14&amp;partnerID=40&amp;md5=7ca0cbe943c7be74e910dfa0dd15c35d;http://dx.doi.org/10.1007/978-3-030-75018-3_14" TargetMode="External"/><Relationship Id="rId997" Type="http://schemas.openxmlformats.org/officeDocument/2006/relationships/hyperlink" Target="http://dx.doi.org/10.1109/SEAA51224.2020.00083" TargetMode="External"/><Relationship Id="rId1182" Type="http://schemas.openxmlformats.org/officeDocument/2006/relationships/hyperlink" Target="http://dx.doi.org/10.1109/TSE.2021.3102982" TargetMode="External"/><Relationship Id="rId2026" Type="http://schemas.openxmlformats.org/officeDocument/2006/relationships/hyperlink" Target="http://link.springer.com/chapter/10.1007/978-3-030-40223-5_17" TargetMode="External"/><Relationship Id="rId205" Type="http://schemas.openxmlformats.org/officeDocument/2006/relationships/hyperlink" Target="https://www.scopus.com/inward/record.uri?eid=2-s2.0-85135904165&amp;doi=10.1016%2fj.infsof.2022.107034&amp;partnerID=40&amp;md5=3170cbda783c04eee3e6131155efdb50;http://dx.doi.org/10.1016/j.infsof.2022.107034" TargetMode="External"/><Relationship Id="rId412" Type="http://schemas.openxmlformats.org/officeDocument/2006/relationships/hyperlink" Target="https://www.scopus.com/inward/record.uri?eid=2-s2.0-85115870987&amp;doi=10.1109%2fINDUSCON51756.2021.9529843&amp;partnerID=40&amp;md5=e4fac09ccf2456adaa5032fe72649e8d;http://dx.doi.org/10.1109/INDUSCON51756.2021.9529843" TargetMode="External"/><Relationship Id="rId857" Type="http://schemas.openxmlformats.org/officeDocument/2006/relationships/hyperlink" Target="https://www.scopus.com/inward/record.uri?eid=2-s2.0-85015243309&amp;doi=10.1109%2fMLHPC.2016.5&amp;partnerID=40&amp;md5=53b01289abb7fa59831d4d91be1eef23;http://dx.doi.org/10.1109/MLHPC.2016.5" TargetMode="External"/><Relationship Id="rId1042" Type="http://schemas.openxmlformats.org/officeDocument/2006/relationships/hyperlink" Target="http://dx.doi.org/10.1109/ACCESS.2019.2933318" TargetMode="External"/><Relationship Id="rId1487" Type="http://schemas.openxmlformats.org/officeDocument/2006/relationships/hyperlink" Target="https://doi.org/10.1145/3266237.3266271;http:/dx.doi.org/10.1145/3266237.3266271" TargetMode="External"/><Relationship Id="rId1694" Type="http://schemas.openxmlformats.org/officeDocument/2006/relationships/hyperlink" Target="https://www.sciencedirect.com/science/article/pii/S0950584917305104;http:/dx.doi.org/10.1016/j.infsof.2018.06.006" TargetMode="External"/><Relationship Id="rId717" Type="http://schemas.openxmlformats.org/officeDocument/2006/relationships/hyperlink" Target="https://www.scopus.com/inward/record.uri?eid=2-s2.0-85099505282&amp;partnerID=40&amp;md5=4f38fe9eaaab4c7a623c4c2129a8237c" TargetMode="External"/><Relationship Id="rId924" Type="http://schemas.openxmlformats.org/officeDocument/2006/relationships/hyperlink" Target="https://www.scopus.com/inward/record.uri?eid=2-s2.0-85042390923&amp;doi=10.1109%2fESEM.2017.12&amp;partnerID=40&amp;md5=9ab6c329033b57a845b80a8fde98a836;http://dx.doi.org/10.1109/ESEM.2017.12" TargetMode="External"/><Relationship Id="rId1347" Type="http://schemas.openxmlformats.org/officeDocument/2006/relationships/hyperlink" Target="https://doi.org/10.1145/3131151.3131164;http:/dx.doi.org/10.1145/3131151.3131164" TargetMode="External"/><Relationship Id="rId1554" Type="http://schemas.openxmlformats.org/officeDocument/2006/relationships/hyperlink" Target="https://doi.org/10.1145/3400302.3415737;http:/dx.doi.org/10.1145/3400302.3415737" TargetMode="External"/><Relationship Id="rId1761" Type="http://schemas.openxmlformats.org/officeDocument/2006/relationships/hyperlink" Target="http://link.springer.com/book/10.1007/978-3-030-72654-6" TargetMode="External"/><Relationship Id="rId1999" Type="http://schemas.openxmlformats.org/officeDocument/2006/relationships/hyperlink" Target="http://link.springer.com/article/10.1007/s10664-018-9656-z" TargetMode="External"/><Relationship Id="rId53" Type="http://schemas.openxmlformats.org/officeDocument/2006/relationships/hyperlink" Target="https://www.scopus.com/inward/record.uri?eid=2-s2.0-85119363874&amp;doi=10.1007%2fs10462-021-10088-y&amp;partnerID=40&amp;md5=b0350e42829fc11e87c2b049ced10642;http://dx.doi.org/10.1007/s10462-021-10088-y" TargetMode="External"/><Relationship Id="rId1207" Type="http://schemas.openxmlformats.org/officeDocument/2006/relationships/hyperlink" Target="http://dx.doi.org/10.1109/IPDPSW55747.2022.00160" TargetMode="External"/><Relationship Id="rId1414" Type="http://schemas.openxmlformats.org/officeDocument/2006/relationships/hyperlink" Target="https://doi.org/10.1109/TechDebt.2019.00027;http:/dx.doi.org/10.1109/TechDebt.2019.00027" TargetMode="External"/><Relationship Id="rId1621" Type="http://schemas.openxmlformats.org/officeDocument/2006/relationships/hyperlink" Target="https://www.sciencedirect.com/science/article/pii/S0950584920300203;http:/dx.doi.org/10.1016/j.infsof.2020.106270" TargetMode="External"/><Relationship Id="rId1859" Type="http://schemas.openxmlformats.org/officeDocument/2006/relationships/hyperlink" Target="http://link.springer.com/book/10.1007/978-3-030-87101-7" TargetMode="External"/><Relationship Id="rId1719" Type="http://schemas.openxmlformats.org/officeDocument/2006/relationships/hyperlink" Target="http://link.springer.com/book/10.1007/978-3-030-77283-3" TargetMode="External"/><Relationship Id="rId1926" Type="http://schemas.openxmlformats.org/officeDocument/2006/relationships/hyperlink" Target="http://link.springer.com/article/10.1007/s10515-021-00314-w" TargetMode="External"/><Relationship Id="rId2090" Type="http://schemas.openxmlformats.org/officeDocument/2006/relationships/hyperlink" Target="http://link.springer.com/chapter/10.1007/978-3-319-27033-3_12" TargetMode="External"/><Relationship Id="rId2188" Type="http://schemas.openxmlformats.org/officeDocument/2006/relationships/hyperlink" Target="http://link.springer.com/article/10.1007/s35658-021-0729-1" TargetMode="External"/><Relationship Id="rId367" Type="http://schemas.openxmlformats.org/officeDocument/2006/relationships/hyperlink" Target="https://www.scopus.com/inward/record.uri?eid=2-s2.0-85113641285&amp;doi=10.1109%2fCHASE52884.2021.00021&amp;partnerID=40&amp;md5=264d946ee693a1ffb5e33eb2946a9490;http://dx.doi.org/10.1109/CHASE52884.2021.00021" TargetMode="External"/><Relationship Id="rId574" Type="http://schemas.openxmlformats.org/officeDocument/2006/relationships/hyperlink" Target="https://www.scopus.com/inward/record.uri?eid=2-s2.0-85097228042&amp;doi=10.1007%2fs11390-020-0323-7&amp;partnerID=40&amp;md5=610a2545ea68c1e95fc2dd2c2c6d9fab;http://dx.doi.org/10.1007/s11390-020-0323-7" TargetMode="External"/><Relationship Id="rId2048" Type="http://schemas.openxmlformats.org/officeDocument/2006/relationships/hyperlink" Target="http://link.springer.com/chapter/10.1007/978-3-030-78585-7_4" TargetMode="External"/><Relationship Id="rId227" Type="http://schemas.openxmlformats.org/officeDocument/2006/relationships/hyperlink" Target="https://www.scopus.com/inward/record.uri?eid=2-s2.0-85112462721&amp;doi=10.1145%2f3461702.3462564&amp;partnerID=40&amp;md5=671b14c6ba997a948a5be4d1cac6d0ef;http://dx.doi.org/10.1145/3461702.3462564" TargetMode="External"/><Relationship Id="rId781" Type="http://schemas.openxmlformats.org/officeDocument/2006/relationships/hyperlink" Target="https://www.scopus.com/inward/record.uri?eid=2-s2.0-85083034194&amp;partnerID=40&amp;md5=86a5daa17769e55130d3c7b5a473dbe9" TargetMode="External"/><Relationship Id="rId879" Type="http://schemas.openxmlformats.org/officeDocument/2006/relationships/hyperlink" Target="https://www.scopus.com/inward/record.uri?eid=2-s2.0-85028532467&amp;doi=10.23919%2fConTEL.2017.8000012&amp;partnerID=40&amp;md5=fc020b3455bc103854a84bf5a68ea689;http://dx.doi.org/10.23919/ConTEL.2017.8000012" TargetMode="External"/><Relationship Id="rId434" Type="http://schemas.openxmlformats.org/officeDocument/2006/relationships/hyperlink" Target="https://www.scopus.com/inward/record.uri?eid=2-s2.0-85113340403&amp;doi=10.1007%2f978-3-030-82017-6_11&amp;partnerID=40&amp;md5=5676cb2fab321b8df681c4ab1babd3f3;http://dx.doi.org/10.1007/978-3-030-82017-6_11" TargetMode="External"/><Relationship Id="rId641" Type="http://schemas.openxmlformats.org/officeDocument/2006/relationships/hyperlink" Target="https://www.scopus.com/inward/record.uri?eid=2-s2.0-85079822741&amp;partnerID=40&amp;md5=11065b562157e9e73ceb897b5b03d5cf" TargetMode="External"/><Relationship Id="rId739" Type="http://schemas.openxmlformats.org/officeDocument/2006/relationships/hyperlink" Target="https://www.scopus.com/inward/record.uri?eid=2-s2.0-85079817562&amp;doi=10.1109%2fACCESS.2020.2964386&amp;partnerID=40&amp;md5=0083a9ea8c0405cf0392007bf1b89a6e;http://dx.doi.org/10.1109/ACCESS.2020.2964386" TargetMode="External"/><Relationship Id="rId1064" Type="http://schemas.openxmlformats.org/officeDocument/2006/relationships/hyperlink" Target="http://dx.doi.org/10.1109/SANER48275.2020.9054868" TargetMode="External"/><Relationship Id="rId1271" Type="http://schemas.openxmlformats.org/officeDocument/2006/relationships/hyperlink" Target="http://dx.doi.org/10.1145/3524610.3527901" TargetMode="External"/><Relationship Id="rId1369" Type="http://schemas.openxmlformats.org/officeDocument/2006/relationships/hyperlink" Target="https://doi.org/10.1145/3377815.3381377;http:/dx.doi.org/10.1145/3377815.3381377" TargetMode="External"/><Relationship Id="rId1576" Type="http://schemas.openxmlformats.org/officeDocument/2006/relationships/hyperlink" Target="https://www.sciencedirect.com/science/article/pii/S2666827022000354;http:/dx.doi.org/10.1016/j.mlwa.2022.100316" TargetMode="External"/><Relationship Id="rId2115" Type="http://schemas.openxmlformats.org/officeDocument/2006/relationships/hyperlink" Target="http://link.springer.com/chapter/10.1007/978-981-19-1111-8_10" TargetMode="External"/><Relationship Id="rId501" Type="http://schemas.openxmlformats.org/officeDocument/2006/relationships/hyperlink" Target="https://www.scopus.com/inward/record.uri?eid=2-s2.0-85099183000&amp;doi=10.1145%2f3324884.3416583&amp;partnerID=40&amp;md5=2489e9e83a6d8c5749c20581aec0ce51;http://dx.doi.org/10.1145/3324884.3416583" TargetMode="External"/><Relationship Id="rId946" Type="http://schemas.openxmlformats.org/officeDocument/2006/relationships/hyperlink" Target="https://www.scopus.com/inward/record.uri?eid=2-s2.0-85065757709&amp;partnerID=40&amp;md5=b1f61ab9d24c141ce25864f50e8c6468" TargetMode="External"/><Relationship Id="rId1131" Type="http://schemas.openxmlformats.org/officeDocument/2006/relationships/hyperlink" Target="http://dx.doi.org/10.1109/CONISOFT52520.2021.00028" TargetMode="External"/><Relationship Id="rId1229" Type="http://schemas.openxmlformats.org/officeDocument/2006/relationships/hyperlink" Target="http://dx.doi.org/10.1109/DSN48987.2021.00026" TargetMode="External"/><Relationship Id="rId1783" Type="http://schemas.openxmlformats.org/officeDocument/2006/relationships/hyperlink" Target="http://link.springer.com/book/10.1007/978-3-031-19429-0" TargetMode="External"/><Relationship Id="rId1990" Type="http://schemas.openxmlformats.org/officeDocument/2006/relationships/hyperlink" Target="http://link.springer.com/chapter/10.1007/978-3-030-98876-0_19" TargetMode="External"/><Relationship Id="rId75" Type="http://schemas.openxmlformats.org/officeDocument/2006/relationships/hyperlink" Target="https://www.scopus.com/inward/record.uri?eid=2-s2.0-85137870233&amp;doi=10.17226%2f26355&amp;partnerID=40&amp;md5=ef286727f97093c5b272d45d400b6d87;http://dx.doi.org/10.17226/26355" TargetMode="External"/><Relationship Id="rId806" Type="http://schemas.openxmlformats.org/officeDocument/2006/relationships/hyperlink" Target="https://www.scopus.com/inward/record.uri?eid=2-s2.0-85071939298&amp;doi=10.1145%2f3338906.3340442&amp;partnerID=40&amp;md5=d0d611ca989e40d9cc00d308c1d892fe;http://dx.doi.org/10.1145/3338906.3340442" TargetMode="External"/><Relationship Id="rId1436" Type="http://schemas.openxmlformats.org/officeDocument/2006/relationships/hyperlink" Target="https://doi.org/10.1145/3195555.3195562;http:/dx.doi.org/10.1145/3195555.3195562" TargetMode="External"/><Relationship Id="rId1643" Type="http://schemas.openxmlformats.org/officeDocument/2006/relationships/hyperlink" Target="https://www.sciencedirect.com/science/article/pii/S0164121222002801;http:/dx.doi.org/10.1016/j.jss.2022.111604" TargetMode="External"/><Relationship Id="rId1850" Type="http://schemas.openxmlformats.org/officeDocument/2006/relationships/hyperlink" Target="http://link.springer.com/book/10.1007/978-981-16-8866-9" TargetMode="External"/><Relationship Id="rId1503" Type="http://schemas.openxmlformats.org/officeDocument/2006/relationships/hyperlink" Target="https://doi.org/10.1145/2851613.2851786;http:/dx.doi.org/10.1145/2851613.2851786" TargetMode="External"/><Relationship Id="rId1710" Type="http://schemas.openxmlformats.org/officeDocument/2006/relationships/hyperlink" Target="https://www.sciencedirect.com/science/article/pii/S0164121218302681;http:/dx.doi.org/10.1016/j.jss.2018.12.006" TargetMode="External"/><Relationship Id="rId1948" Type="http://schemas.openxmlformats.org/officeDocument/2006/relationships/hyperlink" Target="http://link.springer.com/article/10.1007/s10664-021-09993-1" TargetMode="External"/><Relationship Id="rId291" Type="http://schemas.openxmlformats.org/officeDocument/2006/relationships/hyperlink" Target="https://www.scopus.com/inward/record.uri?eid=2-s2.0-85112100545&amp;doi=10.1145%2f3453478&amp;partnerID=40&amp;md5=280818c136419ff6529d7eff1f603bbf;http://dx.doi.org/10.1145/3453478" TargetMode="External"/><Relationship Id="rId1808" Type="http://schemas.openxmlformats.org/officeDocument/2006/relationships/hyperlink" Target="http://link.springer.com/book/10.1007/978-3-030-03673-7" TargetMode="External"/><Relationship Id="rId151" Type="http://schemas.openxmlformats.org/officeDocument/2006/relationships/hyperlink" Target="https://www.scopus.com/inward/record.uri?eid=2-s2.0-85143200411&amp;doi=10.1145%2f3549034.3561178&amp;partnerID=40&amp;md5=a66daf76542fd2789255770359375870;http://dx.doi.org/10.1145/3549034.3561178" TargetMode="External"/><Relationship Id="rId389" Type="http://schemas.openxmlformats.org/officeDocument/2006/relationships/hyperlink" Target="https://www.scopus.com/inward/record.uri?eid=2-s2.0-85126020125&amp;doi=10.1007%2fs10796-022-10259-4&amp;partnerID=40&amp;md5=02d7f58fed7b812eb6ee8d66637e9358;http://dx.doi.org/10.1007/s10796-022-10259-4" TargetMode="External"/><Relationship Id="rId596" Type="http://schemas.openxmlformats.org/officeDocument/2006/relationships/hyperlink" Target="https://www.scopus.com/inward/record.uri?eid=2-s2.0-85104222736&amp;doi=10.1109%2fICSE-SEIS52602.2021.00017&amp;partnerID=40&amp;md5=9a3fdb6d1db053f3407fbf943bc8ff05;http://dx.doi.org/10.1109/ICSE-SEIS52602.2021.00017" TargetMode="External"/><Relationship Id="rId249" Type="http://schemas.openxmlformats.org/officeDocument/2006/relationships/hyperlink" Target="https://www.scopus.com/inward/record.uri?eid=2-s2.0-85117924888&amp;doi=10.1145%2f3475716.3484487&amp;partnerID=40&amp;md5=7477753012d271fbd0106804685ba436;http://dx.doi.org/10.1145/3475716.3484487" TargetMode="External"/><Relationship Id="rId456" Type="http://schemas.openxmlformats.org/officeDocument/2006/relationships/hyperlink" Target="https://www.scopus.com/inward/record.uri?eid=2-s2.0-85093986587&amp;doi=10.1016%2fj.jss.2020.110847&amp;partnerID=40&amp;md5=0a10ae423a46f93ffb1d25251416e0b9;http://dx.doi.org/10.1016/j.jss.2020.110847" TargetMode="External"/><Relationship Id="rId663" Type="http://schemas.openxmlformats.org/officeDocument/2006/relationships/hyperlink" Target="https://www.scopus.com/inward/record.uri?eid=2-s2.0-85098050873&amp;doi=10.1088%2f1742-6596%2f1691%2f1%2f012009&amp;partnerID=40&amp;md5=ee73dc404e9a94a2a5ca8cafa13b1d9d;http://dx.doi.org/10.1088/1742-6596/1691/1/012009" TargetMode="External"/><Relationship Id="rId870" Type="http://schemas.openxmlformats.org/officeDocument/2006/relationships/hyperlink" Target="https://www.scopus.com/inward/record.uri?eid=2-s2.0-85018335521&amp;doi=10.1109%2fMALTESQUE.2017.7882010&amp;partnerID=40&amp;md5=a6a21b4f125c8915806da549565f8ca7;http://dx.doi.org/10.1109/MALTESQUE.2017.7882010" TargetMode="External"/><Relationship Id="rId1086" Type="http://schemas.openxmlformats.org/officeDocument/2006/relationships/hyperlink" Target="http://dx.doi.org/10.1109/APSECW53869.2021.00010" TargetMode="External"/><Relationship Id="rId1293" Type="http://schemas.openxmlformats.org/officeDocument/2006/relationships/hyperlink" Target="http://dx.doi.org/10.1109/MS.2021.3105625" TargetMode="External"/><Relationship Id="rId2137" Type="http://schemas.openxmlformats.org/officeDocument/2006/relationships/hyperlink" Target="http://link.springer.com/book/10.1007/978-1-4842-7833-8" TargetMode="External"/><Relationship Id="rId109" Type="http://schemas.openxmlformats.org/officeDocument/2006/relationships/hyperlink" Target="https://www.scopus.com/inward/record.uri?eid=2-s2.0-85136467284&amp;doi=10.1016%2fj.jss.2022.111475&amp;partnerID=40&amp;md5=9e3462d0a71d4fe859f0ab8331727169;http://dx.doi.org/10.1016/j.jss.2022.111475" TargetMode="External"/><Relationship Id="rId316" Type="http://schemas.openxmlformats.org/officeDocument/2006/relationships/hyperlink" Target="https://www.scopus.com/inward/record.uri?eid=2-s2.0-85134302388&amp;doi=10.1145%2f3524843.3528093&amp;partnerID=40&amp;md5=8d57749be70d4ed3ecd5c51bc6373c9e;http://dx.doi.org/10.1145/3524843.3528093" TargetMode="External"/><Relationship Id="rId523" Type="http://schemas.openxmlformats.org/officeDocument/2006/relationships/hyperlink" Target="https://www.scopus.com/inward/record.uri?eid=2-s2.0-85095814265&amp;doi=10.1145%2f3382494.3410681&amp;partnerID=40&amp;md5=8c9d5d6c0962fe371bc4bcd6588e28d7;http://dx.doi.org/10.1145/3382494.3410681" TargetMode="External"/><Relationship Id="rId968" Type="http://schemas.openxmlformats.org/officeDocument/2006/relationships/hyperlink" Target="https://www.scopus.com/inward/record.uri?eid=2-s2.0-85048500823&amp;doi=10.1007%2fs13740-018-0086-2&amp;partnerID=40&amp;md5=384d40e6b2ccb7b40f3745f3a7e7881f;http://dx.doi.org/10.1007/s13740-018-0086-2" TargetMode="External"/><Relationship Id="rId1153" Type="http://schemas.openxmlformats.org/officeDocument/2006/relationships/hyperlink" Target="http://dx.doi.org/10.1109/TSE.2021.3060068" TargetMode="External"/><Relationship Id="rId1598" Type="http://schemas.openxmlformats.org/officeDocument/2006/relationships/hyperlink" Target="https://www.sciencedirect.com/science/article/pii/S0164121221001266;http:/dx.doi.org/10.1016/j.jss.2021.111029" TargetMode="External"/><Relationship Id="rId97" Type="http://schemas.openxmlformats.org/officeDocument/2006/relationships/hyperlink" Target="https://www.scopus.com/inward/record.uri?eid=2-s2.0-85145195886&amp;doi=10.1016%2fj.procir.2022.10.062&amp;partnerID=40&amp;md5=b113cca22bbc100c5dce5c2f1ab856ea;http://dx.doi.org/10.1016/j.procir.2022.10.062" TargetMode="External"/><Relationship Id="rId730" Type="http://schemas.openxmlformats.org/officeDocument/2006/relationships/hyperlink" Target="https://www.scopus.com/inward/record.uri?eid=2-s2.0-85075945842&amp;doi=10.1109%2fMODELS-C.2019.00047&amp;partnerID=40&amp;md5=83cafd09cf7d406df4e10484612a43e4;http://dx.doi.org/10.1109/MODELS-C.2019.00047" TargetMode="External"/><Relationship Id="rId828" Type="http://schemas.openxmlformats.org/officeDocument/2006/relationships/hyperlink" Target="https://www.scopus.com/inward/record.uri?eid=2-s2.0-85028058482&amp;doi=10.1016%2fj.jss.2017.08.017&amp;partnerID=40&amp;md5=85d44fc2bba91f523de7e2c6d5d47736;http://dx.doi.org/10.1016/j.jss.2017.08.017" TargetMode="External"/><Relationship Id="rId1013" Type="http://schemas.openxmlformats.org/officeDocument/2006/relationships/hyperlink" Target="http://dx.doi.org/10.1109/TSE.2018.2831232" TargetMode="External"/><Relationship Id="rId1360" Type="http://schemas.openxmlformats.org/officeDocument/2006/relationships/hyperlink" Target="https://doi.org/10.1145/3524842.3528469;http:/dx.doi.org/10.1145/3524842.3528469" TargetMode="External"/><Relationship Id="rId1458" Type="http://schemas.openxmlformats.org/officeDocument/2006/relationships/hyperlink" Target="https://doi.org/10.1145/3338468.3356825;http:/dx.doi.org/10.1145/3338468.3356825" TargetMode="External"/><Relationship Id="rId1665" Type="http://schemas.openxmlformats.org/officeDocument/2006/relationships/hyperlink" Target="https://www.sciencedirect.com/science/article/pii/S0164121219301943;http:/dx.doi.org/10.1016/j.jss.2019.110420" TargetMode="External"/><Relationship Id="rId1872" Type="http://schemas.openxmlformats.org/officeDocument/2006/relationships/hyperlink" Target="http://link.springer.com/book/10.1007/978-3-031-09237-4" TargetMode="External"/><Relationship Id="rId1220" Type="http://schemas.openxmlformats.org/officeDocument/2006/relationships/hyperlink" Target="http://dx.doi.org/10.1109/MSR52588.2021.00081" TargetMode="External"/><Relationship Id="rId1318" Type="http://schemas.openxmlformats.org/officeDocument/2006/relationships/hyperlink" Target="https://doi.org/10.1145/3377812.3381404;http:/dx.doi.org/10.1145/3377812.3381404" TargetMode="External"/><Relationship Id="rId1525" Type="http://schemas.openxmlformats.org/officeDocument/2006/relationships/hyperlink" Target="https://doi.org/10.1145/3467896;http:/dx.doi.org/10.1145/3467896" TargetMode="External"/><Relationship Id="rId1732" Type="http://schemas.openxmlformats.org/officeDocument/2006/relationships/hyperlink" Target="http://link.springer.com/book/10.1007/978-3-031-10548-7" TargetMode="External"/><Relationship Id="rId24" Type="http://schemas.openxmlformats.org/officeDocument/2006/relationships/hyperlink" Target="https://www.scopus.com/inward/record.uri?eid=2-s2.0-85125323743&amp;doi=10.1007%2fs11390-021-1596-1&amp;partnerID=40&amp;md5=8e4c15f6f3181100378d973e884107f4;http://dx.doi.org/10.1007/s11390-021-1596-1" TargetMode="External"/><Relationship Id="rId173" Type="http://schemas.openxmlformats.org/officeDocument/2006/relationships/hyperlink" Target="https://www.scopus.com/inward/record.uri?eid=2-s2.0-85136993161&amp;doi=10.1109%2fCOMPSAC54236.2022.00130&amp;partnerID=40&amp;md5=aa780049b7b7c1157c4879595abc7b7b;http://dx.doi.org/10.1109/COMPSAC54236.2022.00130" TargetMode="External"/><Relationship Id="rId380" Type="http://schemas.openxmlformats.org/officeDocument/2006/relationships/hyperlink" Target="https://www.scopus.com/inward/record.uri?eid=2-s2.0-85120074268&amp;doi=10.1016%2fj.asoc.2021.108066&amp;partnerID=40&amp;md5=f763137e4a225eda091073e6034c1beb;http://dx.doi.org/10.1016/j.asoc.2021.108066" TargetMode="External"/><Relationship Id="rId2061" Type="http://schemas.openxmlformats.org/officeDocument/2006/relationships/hyperlink" Target="http://link.springer.com/referencework/10.1007/978-981-16-4318-7" TargetMode="External"/><Relationship Id="rId240" Type="http://schemas.openxmlformats.org/officeDocument/2006/relationships/hyperlink" Target="https://www.scopus.com/inward/record.uri?eid=2-s2.0-85130831259&amp;doi=10.1109%2fACCESS.2022.3176865&amp;partnerID=40&amp;md5=076fec26a06a409dfca74a915e07acae;http://dx.doi.org/10.1109/ACCESS.2022.3176865" TargetMode="External"/><Relationship Id="rId478" Type="http://schemas.openxmlformats.org/officeDocument/2006/relationships/hyperlink" Target="https://www.scopus.com/inward/record.uri?eid=2-s2.0-85088924536&amp;doi=10.1016%2fj.jss.2020.110754&amp;partnerID=40&amp;md5=bafd6729f307832361257c34cbdf8685;http://dx.doi.org/10.1016/j.jss.2020.110754" TargetMode="External"/><Relationship Id="rId685" Type="http://schemas.openxmlformats.org/officeDocument/2006/relationships/hyperlink" Target="https://www.scopus.com/inward/record.uri?eid=2-s2.0-85078017230&amp;doi=10.1109%2fREW.2019.00050&amp;partnerID=40&amp;md5=c2916cebb3a8b28029bcbed06ca0a357;http://dx.doi.org/10.1109/REW.2019.00050" TargetMode="External"/><Relationship Id="rId892" Type="http://schemas.openxmlformats.org/officeDocument/2006/relationships/hyperlink" Target="https://www.scopus.com/inward/record.uri?eid=2-s2.0-85013078209&amp;doi=10.1109%2fICSME.2016.27&amp;partnerID=40&amp;md5=1fa0e20a3c078fea1c2c6ea63b399009;http://dx.doi.org/10.1109/ICSME.2016.27" TargetMode="External"/><Relationship Id="rId2159" Type="http://schemas.openxmlformats.org/officeDocument/2006/relationships/hyperlink" Target="http://link.springer.com/chapter/10.1007/978-3-030-49435-3_3" TargetMode="External"/><Relationship Id="rId100" Type="http://schemas.openxmlformats.org/officeDocument/2006/relationships/hyperlink" Target="https://www.scopus.com/inward/record.uri?eid=2-s2.0-85134657563&amp;doi=10.1016%2fj.jsis.2022.101734&amp;partnerID=40&amp;md5=175971429ebb05ca7fbb20449d1f19bd;http://dx.doi.org/10.1016/j.jsis.2022.101734" TargetMode="External"/><Relationship Id="rId338" Type="http://schemas.openxmlformats.org/officeDocument/2006/relationships/hyperlink" Target="https://www.scopus.com/inward/record.uri?eid=2-s2.0-85108908952&amp;doi=10.1145%2f3463274.3463325&amp;partnerID=40&amp;md5=60491fb66bd1538f1f429e96ba5627cd;http://dx.doi.org/10.1145/3463274.3463325" TargetMode="External"/><Relationship Id="rId545" Type="http://schemas.openxmlformats.org/officeDocument/2006/relationships/hyperlink" Target="https://www.scopus.com/inward/record.uri?eid=2-s2.0-85095508614&amp;doi=10.1145%2f3368089.3409688&amp;partnerID=40&amp;md5=1a789e8c27a01344f0c422a4b1ff6f53;http://dx.doi.org/10.1145/3368089.3409688" TargetMode="External"/><Relationship Id="rId752" Type="http://schemas.openxmlformats.org/officeDocument/2006/relationships/hyperlink" Target="https://www.scopus.com/inward/record.uri?eid=2-s2.0-85077201449&amp;doi=10.1109%2fICSME.2019.00100&amp;partnerID=40&amp;md5=3ddf747f546566976aa1f2f63a8d9a0b;http://dx.doi.org/10.1109/ICSME.2019.00100" TargetMode="External"/><Relationship Id="rId1175" Type="http://schemas.openxmlformats.org/officeDocument/2006/relationships/hyperlink" Target="http://dx.doi.org/10.1109/ACCESS.2020.3024671" TargetMode="External"/><Relationship Id="rId1382" Type="http://schemas.openxmlformats.org/officeDocument/2006/relationships/hyperlink" Target="https://doi.org/10.1145/3196369.3196391;http:/dx.doi.org/10.1145/3196369.3196391" TargetMode="External"/><Relationship Id="rId2019" Type="http://schemas.openxmlformats.org/officeDocument/2006/relationships/hyperlink" Target="http://link.springer.com/chapter/10.1007/978-3-658-37182-1_2" TargetMode="External"/><Relationship Id="rId405" Type="http://schemas.openxmlformats.org/officeDocument/2006/relationships/hyperlink" Target="https://www.scopus.com/inward/record.uri?eid=2-s2.0-85127609471&amp;doi=10.1109%2fConfluence52989.2022.9734202&amp;partnerID=40&amp;md5=d03f2e99f1499d8ba8307513fee10213;http://dx.doi.org/10.1109/Confluence52989.2022.9734202" TargetMode="External"/><Relationship Id="rId612" Type="http://schemas.openxmlformats.org/officeDocument/2006/relationships/hyperlink" Target="https://www.scopus.com/inward/record.uri?eid=2-s2.0-85104202907&amp;doi=10.3389%2ffcomp.2020.00036&amp;partnerID=40&amp;md5=f312b89ba0ff921d5b56e2bb2dfcb5eb;http://dx.doi.org/10.3389/fcomp.2020.00036" TargetMode="External"/><Relationship Id="rId1035" Type="http://schemas.openxmlformats.org/officeDocument/2006/relationships/hyperlink" Target="http://dx.doi.org/10.1109/SEAA.2018.00077" TargetMode="External"/><Relationship Id="rId1242" Type="http://schemas.openxmlformats.org/officeDocument/2006/relationships/hyperlink" Target="http://dx.doi.org/10.1109/ICICT52872.2021.00031" TargetMode="External"/><Relationship Id="rId1687" Type="http://schemas.openxmlformats.org/officeDocument/2006/relationships/hyperlink" Target="https://www.sciencedirect.com/science/article/pii/B9780124077256000125;http:/dx.doi.org/10.1016/B978-0-12-407725-6.00012-5" TargetMode="External"/><Relationship Id="rId1894" Type="http://schemas.openxmlformats.org/officeDocument/2006/relationships/hyperlink" Target="http://link.springer.com/article/10.1007/s11390-021-1596-1" TargetMode="External"/><Relationship Id="rId917" Type="http://schemas.openxmlformats.org/officeDocument/2006/relationships/hyperlink" Target="https://www.scopus.com/inward/record.uri?eid=2-s2.0-85061820119&amp;doi=10.1145%2f3283812.3283820&amp;partnerID=40&amp;md5=7bb0b78d489818aa147e2c7e2bcc0a46;http://dx.doi.org/10.1145/3283812.3283820" TargetMode="External"/><Relationship Id="rId1102" Type="http://schemas.openxmlformats.org/officeDocument/2006/relationships/hyperlink" Target="http://dx.doi.org/10.1109/COMPSAC54236.2022.00166" TargetMode="External"/><Relationship Id="rId1547" Type="http://schemas.openxmlformats.org/officeDocument/2006/relationships/hyperlink" Target="https://doi.org/10.1145/3173574.3173606;http:/dx.doi.org/10.1145/3173574.3173606" TargetMode="External"/><Relationship Id="rId1754" Type="http://schemas.openxmlformats.org/officeDocument/2006/relationships/hyperlink" Target="http://link.springer.com/book/10.1007/978-3-030-95947-0" TargetMode="External"/><Relationship Id="rId1961" Type="http://schemas.openxmlformats.org/officeDocument/2006/relationships/hyperlink" Target="http://link.springer.com/chapter/10.1007/978-981-16-6069-6_3" TargetMode="External"/><Relationship Id="rId46" Type="http://schemas.openxmlformats.org/officeDocument/2006/relationships/hyperlink" Target="https://www.scopus.com/inward/record.uri?eid=2-s2.0-85136974177&amp;doi=10.1109%2fCOMPSAC54236.2022.00166&amp;partnerID=40&amp;md5=286130a29f16628da067387c615dbb24;http://dx.doi.org/10.1109/COMPSAC54236.2022.00166" TargetMode="External"/><Relationship Id="rId1407" Type="http://schemas.openxmlformats.org/officeDocument/2006/relationships/hyperlink" Target="https://doi.org/10.1145/3474370.3485661;http:/dx.doi.org/10.1145/3474370.3485661" TargetMode="External"/><Relationship Id="rId1614" Type="http://schemas.openxmlformats.org/officeDocument/2006/relationships/hyperlink" Target="https://www.sciencedirect.com/science/article/pii/S0164121222001091;http:/dx.doi.org/10.1016/j.jss.2022.111389" TargetMode="External"/><Relationship Id="rId1821" Type="http://schemas.openxmlformats.org/officeDocument/2006/relationships/hyperlink" Target="http://link.springer.com/book/10.1007/978-3-031-09282-4" TargetMode="External"/><Relationship Id="rId195" Type="http://schemas.openxmlformats.org/officeDocument/2006/relationships/hyperlink" Target="https://www.scopus.com/inward/record.uri?eid=2-s2.0-85137414123&amp;doi=10.3390%2felectronics11162485&amp;partnerID=40&amp;md5=4d514e3ac1a30021822ef2d6f0b908b2;http://dx.doi.org/10.3390/electronics11162485" TargetMode="External"/><Relationship Id="rId1919" Type="http://schemas.openxmlformats.org/officeDocument/2006/relationships/hyperlink" Target="http://link.springer.com/book/10.1007/978-3-030-95775-9" TargetMode="External"/><Relationship Id="rId2083" Type="http://schemas.openxmlformats.org/officeDocument/2006/relationships/hyperlink" Target="http://link.springer.com/chapter/10.1007/978-1-4842-5104-1_9" TargetMode="External"/><Relationship Id="rId262" Type="http://schemas.openxmlformats.org/officeDocument/2006/relationships/hyperlink" Target="https://www.scopus.com/inward/record.uri?eid=2-s2.0-85128924924&amp;doi=10.1145%2f3522664.3528596&amp;partnerID=40&amp;md5=b19b71e3e173b3c989c17c49db592374;http://dx.doi.org/10.1145/3522664.3528596" TargetMode="External"/><Relationship Id="rId567" Type="http://schemas.openxmlformats.org/officeDocument/2006/relationships/hyperlink" Target="https://www.scopus.com/inward/record.uri?eid=2-s2.0-85099357131&amp;doi=10.1145%2f3422392.3422408&amp;partnerID=40&amp;md5=1671dddabb530b925d585c39cb56ac24;http://dx.doi.org/10.1145/3422392.3422408" TargetMode="External"/><Relationship Id="rId1197" Type="http://schemas.openxmlformats.org/officeDocument/2006/relationships/hyperlink" Target="http://dx.doi.org/10.1109/TSE.2018.2874960" TargetMode="External"/><Relationship Id="rId2150" Type="http://schemas.openxmlformats.org/officeDocument/2006/relationships/hyperlink" Target="http://link.springer.com/article/10.1007/s11306-019-1588-0" TargetMode="External"/><Relationship Id="rId122" Type="http://schemas.openxmlformats.org/officeDocument/2006/relationships/hyperlink" Target="https://www.scopus.com/inward/record.uri?eid=2-s2.0-85139550283&amp;doi=10.1145%2f3545258.3545260&amp;partnerID=40&amp;md5=9aba7f032c2458e08bd7b45e065c9fa2;http://dx.doi.org/10.1145/3545258.3545260" TargetMode="External"/><Relationship Id="rId774" Type="http://schemas.openxmlformats.org/officeDocument/2006/relationships/hyperlink" Target="https://www.scopus.com/inward/record.uri?eid=2-s2.0-85076086180&amp;doi=10.1145%2f3340482.3342747&amp;partnerID=40&amp;md5=226757cee7c7d2f7fdaf63be77e79886;http://dx.doi.org/10.1145/3340482.3342747" TargetMode="External"/><Relationship Id="rId981" Type="http://schemas.openxmlformats.org/officeDocument/2006/relationships/hyperlink" Target="http://dx.doi.org/10.1145/3524843.3528097" TargetMode="External"/><Relationship Id="rId1057" Type="http://schemas.openxmlformats.org/officeDocument/2006/relationships/hyperlink" Target="http://dx.doi.org/10.1109/REW.2019.00011" TargetMode="External"/><Relationship Id="rId2010" Type="http://schemas.openxmlformats.org/officeDocument/2006/relationships/hyperlink" Target="http://link.springer.com/book/10.1007/978-3-031-01761-2" TargetMode="External"/><Relationship Id="rId427" Type="http://schemas.openxmlformats.org/officeDocument/2006/relationships/hyperlink" Target="https://www.scopus.com/inward/record.uri?eid=2-s2.0-85097975943&amp;doi=10.1109%2fITMS51158.2020.9259303&amp;partnerID=40&amp;md5=fb2031fe726dd2ad1a466cb0dddff442;http://dx.doi.org/10.1109/ITMS51158.2020.9259303" TargetMode="External"/><Relationship Id="rId634" Type="http://schemas.openxmlformats.org/officeDocument/2006/relationships/hyperlink" Target="https://www.scopus.com/inward/record.uri?eid=2-s2.0-85062242630&amp;doi=10.1016%2fj.jss.2019.02.056&amp;partnerID=40&amp;md5=1ca0e6aa1b30f6f08732682d2002d46e;http://dx.doi.org/10.1016/j.jss.2019.02.056" TargetMode="External"/><Relationship Id="rId841" Type="http://schemas.openxmlformats.org/officeDocument/2006/relationships/hyperlink" Target="https://www.scopus.com/inward/record.uri?eid=2-s2.0-84904626790&amp;doi=10.1002%2fsmr.1639&amp;partnerID=40&amp;md5=669ee13b2e7dc7b4bb3b934501674ad7;http://dx.doi.org/10.1002/smr.1639" TargetMode="External"/><Relationship Id="rId1264" Type="http://schemas.openxmlformats.org/officeDocument/2006/relationships/hyperlink" Target="http://dx.doi.org/10.1109/MS.2022.3148928" TargetMode="External"/><Relationship Id="rId1471" Type="http://schemas.openxmlformats.org/officeDocument/2006/relationships/hyperlink" Target="https://doi.org/10.1145/3339985.3358491;http:/dx.doi.org/10.1145/3339985.3358491" TargetMode="External"/><Relationship Id="rId1569" Type="http://schemas.openxmlformats.org/officeDocument/2006/relationships/hyperlink" Target="https://www.sciencedirect.com/science/article/pii/S0164121220300881;http:/dx.doi.org/10.1016/j.jss.2020.110610" TargetMode="External"/><Relationship Id="rId2108" Type="http://schemas.openxmlformats.org/officeDocument/2006/relationships/hyperlink" Target="http://link.springer.com/article/10.1007/s10796-022-10253-w" TargetMode="External"/><Relationship Id="rId701" Type="http://schemas.openxmlformats.org/officeDocument/2006/relationships/hyperlink" Target="https://www.scopus.com/inward/record.uri?eid=2-s2.0-85093084744&amp;doi=10.1109%2fICRITO48877.2020.9197868&amp;partnerID=40&amp;md5=01de343202350ecdf1747a86eded5cba;http://dx.doi.org/10.1109/ICRITO48877.2020.9197868" TargetMode="External"/><Relationship Id="rId939" Type="http://schemas.openxmlformats.org/officeDocument/2006/relationships/hyperlink" Target="https://www.scopus.com/inward/record.uri?eid=2-s2.0-85051661163&amp;doi=10.1145%2f3196398.3196448&amp;partnerID=40&amp;md5=2a7324a25c3c9b2722fec72a8a978fc2;http://dx.doi.org/10.1145/3196398.3196448" TargetMode="External"/><Relationship Id="rId1124" Type="http://schemas.openxmlformats.org/officeDocument/2006/relationships/hyperlink" Target="http://dx.doi.org/10.1109/ICSME55016.2022.00055" TargetMode="External"/><Relationship Id="rId1331" Type="http://schemas.openxmlformats.org/officeDocument/2006/relationships/hyperlink" Target="https://doi.org/10.1109/ICSE-SEIP.2019.00042;http:/dx.doi.org/10.1109/ICSE-SEIP.2019.00042" TargetMode="External"/><Relationship Id="rId1776" Type="http://schemas.openxmlformats.org/officeDocument/2006/relationships/hyperlink" Target="http://link.springer.com/book/10.1007/978-3-030-97947-8" TargetMode="External"/><Relationship Id="rId1983" Type="http://schemas.openxmlformats.org/officeDocument/2006/relationships/hyperlink" Target="http://link.springer.com/article/10.1007/s11219-019-09490-1" TargetMode="External"/><Relationship Id="rId68" Type="http://schemas.openxmlformats.org/officeDocument/2006/relationships/hyperlink" Target="https://www.scopus.com/inward/record.uri?eid=2-s2.0-85129090211&amp;doi=10.23940%2fijpe.22.03.p1.149157&amp;partnerID=40&amp;md5=6eb4ec32913da662e18fb3dc353f6089;http://dx.doi.org/10.23940/ijpe.22.03.p1.149157" TargetMode="External"/><Relationship Id="rId1429" Type="http://schemas.openxmlformats.org/officeDocument/2006/relationships/hyperlink" Target="https://doi.org/10.1145/3468264.3473928;http:/dx.doi.org/10.1145/3468264.3473928" TargetMode="External"/><Relationship Id="rId1636" Type="http://schemas.openxmlformats.org/officeDocument/2006/relationships/hyperlink" Target="https://www.sciencedirect.com/science/article/pii/S0957417417303883;http:/dx.doi.org/10.1016/j.eswa.2017.05.060" TargetMode="External"/><Relationship Id="rId1843" Type="http://schemas.openxmlformats.org/officeDocument/2006/relationships/hyperlink" Target="http://link.springer.com/article/10.1007/s10664-022-10203-9" TargetMode="External"/><Relationship Id="rId1703" Type="http://schemas.openxmlformats.org/officeDocument/2006/relationships/hyperlink" Target="https://www.sciencedirect.com/science/article/pii/S0164121217301772;http:/dx.doi.org/10.1016/j.jss.2017.08.017" TargetMode="External"/><Relationship Id="rId1910" Type="http://schemas.openxmlformats.org/officeDocument/2006/relationships/hyperlink" Target="http://link.springer.com/book/10.1007/978-3-030-89902-8" TargetMode="External"/><Relationship Id="rId284" Type="http://schemas.openxmlformats.org/officeDocument/2006/relationships/hyperlink" Target="https://www.scopus.com/inward/record.uri?eid=2-s2.0-85124255974&amp;doi=10.3390%2fmachines10010023&amp;partnerID=40&amp;md5=28d3d472ad035d91998efc6df04c705e;http://dx.doi.org/10.3390/machines10010023" TargetMode="External"/><Relationship Id="rId491" Type="http://schemas.openxmlformats.org/officeDocument/2006/relationships/hyperlink" Target="https://www.scopus.com/inward/record.uri?eid=2-s2.0-85077973878&amp;doi=10.1016%2fj.ins.2019.12.075&amp;partnerID=40&amp;md5=8fdb7b1e8502ecf7847b9a4f4c70cc02;http://dx.doi.org/10.1016/j.ins.2019.12.075" TargetMode="External"/><Relationship Id="rId2172" Type="http://schemas.openxmlformats.org/officeDocument/2006/relationships/hyperlink" Target="http://link.springer.com/article/10.1007/s00500-022-06908-0" TargetMode="External"/><Relationship Id="rId144" Type="http://schemas.openxmlformats.org/officeDocument/2006/relationships/hyperlink" Target="https://www.scopus.com/inward/record.uri?eid=2-s2.0-85142894372&amp;partnerID=40&amp;md5=34601942019f57b92637bce02323ce72" TargetMode="External"/><Relationship Id="rId589" Type="http://schemas.openxmlformats.org/officeDocument/2006/relationships/hyperlink" Target="https://www.scopus.com/inward/record.uri?eid=2-s2.0-85101368139&amp;doi=10.1007%2f978-3-030-67292-8_2&amp;partnerID=40&amp;md5=1755610e8f350838212c69c596954cf2;http://dx.doi.org/10.1007/978-3-030-67292-8_2" TargetMode="External"/><Relationship Id="rId796" Type="http://schemas.openxmlformats.org/officeDocument/2006/relationships/hyperlink" Target="https://www.scopus.com/inward/record.uri?eid=2-s2.0-85077510435&amp;partnerID=40&amp;md5=70bfd4c4b4d7d9d7a5a883c200ea9df0" TargetMode="External"/><Relationship Id="rId351" Type="http://schemas.openxmlformats.org/officeDocument/2006/relationships/hyperlink" Target="https://www.scopus.com/inward/record.uri?eid=2-s2.0-85133288451&amp;doi=10.1080%2f09540091.2022.2067125&amp;partnerID=40&amp;md5=73770d01b2a5a6366da4aa4f93d906c2;http://dx.doi.org/10.1080/09540091.2022.2067125" TargetMode="External"/><Relationship Id="rId449" Type="http://schemas.openxmlformats.org/officeDocument/2006/relationships/hyperlink" Target="https://www.scopus.com/inward/record.uri?eid=2-s2.0-85084229748&amp;partnerID=40&amp;md5=083c4b246ba4671ff93e574d57b0692d" TargetMode="External"/><Relationship Id="rId656" Type="http://schemas.openxmlformats.org/officeDocument/2006/relationships/hyperlink" Target="https://www.scopus.com/inward/record.uri?eid=2-s2.0-85071955221&amp;doi=10.1145%2f3338906.3338965&amp;partnerID=40&amp;md5=48df39eece77c1e08a88f2d966221d91;http://dx.doi.org/10.1145/3338906.3338965" TargetMode="External"/><Relationship Id="rId863" Type="http://schemas.openxmlformats.org/officeDocument/2006/relationships/hyperlink" Target="https://www.scopus.com/inward/record.uri?eid=2-s2.0-85041192388&amp;doi=10.1145%2f3152434.3152435&amp;partnerID=40&amp;md5=daf459839c3d00af85fa9318af5ebab2;http://dx.doi.org/10.1145/3152434.3152435" TargetMode="External"/><Relationship Id="rId1079" Type="http://schemas.openxmlformats.org/officeDocument/2006/relationships/hyperlink" Target="http://dx.doi.org/10.1109/MSR.2019.00054" TargetMode="External"/><Relationship Id="rId1286" Type="http://schemas.openxmlformats.org/officeDocument/2006/relationships/hyperlink" Target="https://ieeexplore.ieee.org/document/9822330;http:/dx.doi.org/10.1002/9781119644682.index" TargetMode="External"/><Relationship Id="rId1493" Type="http://schemas.openxmlformats.org/officeDocument/2006/relationships/hyperlink" Target="https://doi.org/10.1145/3368089.3417941;http:/dx.doi.org/10.1145/3368089.3417941" TargetMode="External"/><Relationship Id="rId2032" Type="http://schemas.openxmlformats.org/officeDocument/2006/relationships/hyperlink" Target="http://link.springer.com/chapter/10.1007/978-981-15-5827-6_6" TargetMode="External"/><Relationship Id="rId211" Type="http://schemas.openxmlformats.org/officeDocument/2006/relationships/hyperlink" Target="https://www.scopus.com/inward/record.uri?eid=2-s2.0-85138607469&amp;doi=10.3390%2fmath10183233&amp;partnerID=40&amp;md5=b48c2401e1e3e2f65556676d01e9f6aa;http://dx.doi.org/10.3390/math10183233" TargetMode="External"/><Relationship Id="rId309" Type="http://schemas.openxmlformats.org/officeDocument/2006/relationships/hyperlink" Target="https://www.scopus.com/inward/record.uri?eid=2-s2.0-85117107487&amp;doi=10.1145%2f3474624.3474716&amp;partnerID=40&amp;md5=ac7d1b466b1109700dbed4017e4dd0d8;http://dx.doi.org/10.1145/3474624.3474716" TargetMode="External"/><Relationship Id="rId516" Type="http://schemas.openxmlformats.org/officeDocument/2006/relationships/hyperlink" Target="https://www.scopus.com/inward/record.uri?eid=2-s2.0-85123212543&amp;doi=10.1109%2fIC2E52221.2021.00034&amp;partnerID=40&amp;md5=c2344d21b8096b68a0886e87a42dff46;http://dx.doi.org/10.1109/IC2E52221.2021.00034" TargetMode="External"/><Relationship Id="rId1146" Type="http://schemas.openxmlformats.org/officeDocument/2006/relationships/hyperlink" Target="http://dx.doi.org/10.1109/ICSA51549.2021.00017" TargetMode="External"/><Relationship Id="rId1798" Type="http://schemas.openxmlformats.org/officeDocument/2006/relationships/hyperlink" Target="http://link.springer.com/book/10.1007/978-3-030-90963-5" TargetMode="External"/><Relationship Id="rId723" Type="http://schemas.openxmlformats.org/officeDocument/2006/relationships/hyperlink" Target="https://www.scopus.com/inward/record.uri?eid=2-s2.0-85094148542&amp;doi=10.1145%2f3377811.3380342&amp;partnerID=40&amp;md5=9796c59edc482fb9d1ad57190b43c652;http://dx.doi.org/10.1145/3377811.3380342" TargetMode="External"/><Relationship Id="rId930" Type="http://schemas.openxmlformats.org/officeDocument/2006/relationships/hyperlink" Target="https://www.scopus.com/inward/record.uri?eid=2-s2.0-85040565964&amp;doi=10.18653%2fv1%2fP17-2015&amp;partnerID=40&amp;md5=9e60a9624e4d86031cf60ec90c63360e;http://dx.doi.org/10.18653/v1/P17-2015" TargetMode="External"/><Relationship Id="rId1006" Type="http://schemas.openxmlformats.org/officeDocument/2006/relationships/hyperlink" Target="http://dx.doi.org/10.1109/TSE.2020.3021736" TargetMode="External"/><Relationship Id="rId1353" Type="http://schemas.openxmlformats.org/officeDocument/2006/relationships/hyperlink" Target="https://doi.org/10.1109/TechDebt.2019.00018;http:/dx.doi.org/10.1109/TechDebt.2019.00018" TargetMode="External"/><Relationship Id="rId1560" Type="http://schemas.openxmlformats.org/officeDocument/2006/relationships/hyperlink" Target="https://www.sciencedirect.com/science/article/pii/S2212827122014986;http:/dx.doi.org/10.1016/j.procir.2022.10.063" TargetMode="External"/><Relationship Id="rId1658" Type="http://schemas.openxmlformats.org/officeDocument/2006/relationships/hyperlink" Target="https://www.sciencedirect.com/science/article/pii/S0164121216302321;http:/dx.doi.org/10.1016/j.jss.2016.11.030" TargetMode="External"/><Relationship Id="rId1865" Type="http://schemas.openxmlformats.org/officeDocument/2006/relationships/hyperlink" Target="http://link.springer.com/book/10.1007/978-3-031-13181-3" TargetMode="External"/><Relationship Id="rId1213" Type="http://schemas.openxmlformats.org/officeDocument/2006/relationships/hyperlink" Target="http://dx.doi.org/10.1109/TLA.2021.9447690" TargetMode="External"/><Relationship Id="rId1420" Type="http://schemas.openxmlformats.org/officeDocument/2006/relationships/hyperlink" Target="https://doi.org/10.1145/3559712.3559720;http:/dx.doi.org/10.1145/3559712.3559720" TargetMode="External"/><Relationship Id="rId1518" Type="http://schemas.openxmlformats.org/officeDocument/2006/relationships/hyperlink" Target="https://doi.org/10.1145/3180155.3180192;http:/dx.doi.org/10.1145/3180155.3180192" TargetMode="External"/><Relationship Id="rId1725" Type="http://schemas.openxmlformats.org/officeDocument/2006/relationships/hyperlink" Target="http://link.springer.com/book/10.1007/978-3-031-05760-1" TargetMode="External"/><Relationship Id="rId1932" Type="http://schemas.openxmlformats.org/officeDocument/2006/relationships/hyperlink" Target="http://link.springer.com/chapter/10.1007/978-3-030-32489-6_14" TargetMode="External"/><Relationship Id="rId17" Type="http://schemas.openxmlformats.org/officeDocument/2006/relationships/hyperlink" Target="http://dx.doi.org/10.1007/s10515-021-00314-w" TargetMode="External"/><Relationship Id="rId166" Type="http://schemas.openxmlformats.org/officeDocument/2006/relationships/hyperlink" Target="https://www.scopus.com/inward/record.uri?eid=2-s2.0-85123247050&amp;doi=10.1007%2fs11219-021-09578-7&amp;partnerID=40&amp;md5=f8da8fe1b0e0b26ae3df1d4da5e4e904;http://dx.doi.org/10.1007/s11219-021-09578-7" TargetMode="External"/><Relationship Id="rId373" Type="http://schemas.openxmlformats.org/officeDocument/2006/relationships/hyperlink" Target="https://www.scopus.com/inward/record.uri?eid=2-s2.0-85103939999&amp;doi=10.1007%2fs11219-021-09550-5&amp;partnerID=40&amp;md5=0be53989d7e7b85b8a4e9cea53262e26;http://dx.doi.org/10.1007/s11219-021-09550-5" TargetMode="External"/><Relationship Id="rId580" Type="http://schemas.openxmlformats.org/officeDocument/2006/relationships/hyperlink" Target="https://www.scopus.com/inward/record.uri?eid=2-s2.0-85089908139&amp;doi=10.1007%2fs10664-020-09847-2&amp;partnerID=40&amp;md5=0f29b8351d518306bf042abd9f0efba1;http://dx.doi.org/10.1007/s10664-020-09847-2" TargetMode="External"/><Relationship Id="rId2054" Type="http://schemas.openxmlformats.org/officeDocument/2006/relationships/hyperlink" Target="http://link.springer.com/chapter/10.1007/978-1-4842-6228-3_17" TargetMode="External"/><Relationship Id="rId1" Type="http://schemas.openxmlformats.org/officeDocument/2006/relationships/hyperlink" Target="http://dx.doi.org/10.1109/TSE.2017.2654244" TargetMode="External"/><Relationship Id="rId233" Type="http://schemas.openxmlformats.org/officeDocument/2006/relationships/hyperlink" Target="https://www.scopus.com/inward/record.uri?eid=2-s2.0-85116384967&amp;doi=10.3390%2finfo12100396&amp;partnerID=40&amp;md5=f20bbec9a18cd9688ae764449c03d8fd;http://dx.doi.org/10.3390/info12100396" TargetMode="External"/><Relationship Id="rId440" Type="http://schemas.openxmlformats.org/officeDocument/2006/relationships/hyperlink" Target="https://www.scopus.com/inward/record.uri?eid=2-s2.0-85095827518&amp;doi=10.1016%2fj.eswa.2020.114176&amp;partnerID=40&amp;md5=6688d24e2ef4500ad1adffdce45c40f8;http://dx.doi.org/10.1016/j.eswa.2020.114176" TargetMode="External"/><Relationship Id="rId678" Type="http://schemas.openxmlformats.org/officeDocument/2006/relationships/hyperlink" Target="https://www.scopus.com/inward/record.uri?eid=2-s2.0-85066469510&amp;doi=10.1109%2fICSA-C.2019.00055&amp;partnerID=40&amp;md5=c7a340258c4698a2627f1d507069d861;http://dx.doi.org/10.1109/ICSA-C.2019.00055" TargetMode="External"/><Relationship Id="rId885" Type="http://schemas.openxmlformats.org/officeDocument/2006/relationships/hyperlink" Target="https://www.scopus.com/inward/record.uri?eid=2-s2.0-85057169222&amp;doi=10.1109%2fSEAA.2018.00018&amp;partnerID=40&amp;md5=4f67fe396baebb02964c19140b99a05d;http://dx.doi.org/10.1109/SEAA.2018.00018" TargetMode="External"/><Relationship Id="rId1070" Type="http://schemas.openxmlformats.org/officeDocument/2006/relationships/hyperlink" Target="http://dx.doi.org/10.1109/SEAA51224.2020.00075" TargetMode="External"/><Relationship Id="rId2121" Type="http://schemas.openxmlformats.org/officeDocument/2006/relationships/hyperlink" Target="http://link.springer.com/book/10.1007/978-3-662-57611-3" TargetMode="External"/><Relationship Id="rId300" Type="http://schemas.openxmlformats.org/officeDocument/2006/relationships/hyperlink" Target="https://www.scopus.com/inward/record.uri?eid=2-s2.0-85132395661&amp;doi=10.1109%2fICSE-Companion55297.2022.9793798&amp;partnerID=40&amp;md5=8340ae7a93b28121554e6125d6f393e4;http://dx.doi.org/10.1109/ICSE-Companion55297.2022.9793798" TargetMode="External"/><Relationship Id="rId538" Type="http://schemas.openxmlformats.org/officeDocument/2006/relationships/hyperlink" Target="https://www.scopus.com/inward/record.uri?eid=2-s2.0-85099402946&amp;doi=10.1145%2f3422392.3422415&amp;partnerID=40&amp;md5=b7cd8b2a91002fcb780a0cd33e6d7718;http://dx.doi.org/10.1145/3422392.3422415" TargetMode="External"/><Relationship Id="rId745" Type="http://schemas.openxmlformats.org/officeDocument/2006/relationships/hyperlink" Target="https://www.scopus.com/inward/record.uri?eid=2-s2.0-85077221156&amp;doi=10.1109%2fICSME.2019.00104&amp;partnerID=40&amp;md5=3eb16b13510268612b5061a5c90aedcf;http://dx.doi.org/10.1109/ICSME.2019.00104" TargetMode="External"/><Relationship Id="rId952" Type="http://schemas.openxmlformats.org/officeDocument/2006/relationships/hyperlink" Target="https://www.scopus.com/inward/record.uri?eid=2-s2.0-85054769455&amp;doi=10.3390%2fapp8101902&amp;partnerID=40&amp;md5=d159a5c90da2427a86371925b4d16b0b;http://dx.doi.org/10.3390/app8101902" TargetMode="External"/><Relationship Id="rId1168" Type="http://schemas.openxmlformats.org/officeDocument/2006/relationships/hyperlink" Target="http://dx.doi.org/10.1109/CBI52690.2021.10064" TargetMode="External"/><Relationship Id="rId1375" Type="http://schemas.openxmlformats.org/officeDocument/2006/relationships/hyperlink" Target="https://doi.org/10.1145/3340482.3342744;http:/dx.doi.org/10.1145/3340482.3342744" TargetMode="External"/><Relationship Id="rId1582" Type="http://schemas.openxmlformats.org/officeDocument/2006/relationships/hyperlink" Target="https://www.sciencedirect.com/science/article/pii/S0950584920301907;http:/dx.doi.org/10.1016/j.infsof.2020.106435" TargetMode="External"/><Relationship Id="rId81" Type="http://schemas.openxmlformats.org/officeDocument/2006/relationships/hyperlink" Target="https://www.scopus.com/inward/record.uri?eid=2-s2.0-85139266625&amp;doi=10.1007%2fs10515-022-00364-8&amp;partnerID=40&amp;md5=5594a1cab0fa5dcfebf980c07c055d4e;http://dx.doi.org/10.1007/s10515-022-00364-8" TargetMode="External"/><Relationship Id="rId605" Type="http://schemas.openxmlformats.org/officeDocument/2006/relationships/hyperlink" Target="https://www.scopus.com/inward/record.uri?eid=2-s2.0-85101567368&amp;doi=10.1109%2fINDICON49873.2020.9342579&amp;partnerID=40&amp;md5=70d266f18a400ee242fcb4af32e3f28e;http://dx.doi.org/10.1109/INDICON49873.2020.9342579" TargetMode="External"/><Relationship Id="rId812" Type="http://schemas.openxmlformats.org/officeDocument/2006/relationships/hyperlink" Target="https://www.scopus.com/inward/record.uri?eid=2-s2.0-85051376098&amp;doi=10.1109%2fTSE.2018.2864217&amp;partnerID=40&amp;md5=a3523e1e2bc2dc31efb5d92f98a36d08;http://dx.doi.org/10.1109/TSE.2018.2864217" TargetMode="External"/><Relationship Id="rId1028" Type="http://schemas.openxmlformats.org/officeDocument/2006/relationships/hyperlink" Target="http://dx.doi.org/10.1109/CCCI49893.2020.9256507" TargetMode="External"/><Relationship Id="rId1235" Type="http://schemas.openxmlformats.org/officeDocument/2006/relationships/hyperlink" Target="http://dx.doi.org/10.1109/ICSM.2013.99" TargetMode="External"/><Relationship Id="rId1442" Type="http://schemas.openxmlformats.org/officeDocument/2006/relationships/hyperlink" Target="https://doi.org/10.1145/3524842.3528458;http:/dx.doi.org/10.1145/3524842.3528458" TargetMode="External"/><Relationship Id="rId1887" Type="http://schemas.openxmlformats.org/officeDocument/2006/relationships/hyperlink" Target="http://link.springer.com/article/10.1007/s42979-020-00408-4" TargetMode="External"/><Relationship Id="rId1302" Type="http://schemas.openxmlformats.org/officeDocument/2006/relationships/hyperlink" Target="http://dx.doi.org/10.1109/ICSE-SEIP52600.2021.00004" TargetMode="External"/><Relationship Id="rId1747" Type="http://schemas.openxmlformats.org/officeDocument/2006/relationships/hyperlink" Target="http://link.springer.com/book/10.1007/978-3-658-37182-1" TargetMode="External"/><Relationship Id="rId1954" Type="http://schemas.openxmlformats.org/officeDocument/2006/relationships/hyperlink" Target="http://link.springer.com/book/10.1007/978-3-030-82978-0" TargetMode="External"/><Relationship Id="rId39" Type="http://schemas.openxmlformats.org/officeDocument/2006/relationships/hyperlink" Target="https://www.scopus.com/inward/record.uri?eid=2-s2.0-85139724292&amp;doi=10.1016%2fj.jksuci.2022.09.011&amp;partnerID=40&amp;md5=8e0853d562e8df7a8e1c751e9bebddee;http://dx.doi.org/10.1016/j.jksuci.2022.09.011" TargetMode="External"/><Relationship Id="rId1607" Type="http://schemas.openxmlformats.org/officeDocument/2006/relationships/hyperlink" Target="https://www.sciencedirect.com/science/article/pii/S0950584920301920;http:/dx.doi.org/10.1016/j.infsof.2020.106439" TargetMode="External"/><Relationship Id="rId1814" Type="http://schemas.openxmlformats.org/officeDocument/2006/relationships/hyperlink" Target="http://link.springer.com/article/10.1007/s10664-020-09854-3" TargetMode="External"/><Relationship Id="rId188" Type="http://schemas.openxmlformats.org/officeDocument/2006/relationships/hyperlink" Target="https://www.scopus.com/inward/record.uri?eid=2-s2.0-85145750026&amp;doi=10.1007%2fs40031-022-00836-1&amp;partnerID=40&amp;md5=c3c27b4e2e6e93adc2285c0b4897029b;http://dx.doi.org/10.1007/s40031-022-00836-1" TargetMode="External"/><Relationship Id="rId395" Type="http://schemas.openxmlformats.org/officeDocument/2006/relationships/hyperlink" Target="https://www.scopus.com/inward/record.uri?eid=2-s2.0-85113474504&amp;doi=10.1007%2fs10664-021-10018-0&amp;partnerID=40&amp;md5=6de027a2a0fa35df19a60344cfcc598e;http://dx.doi.org/10.1007/s10664-021-10018-0" TargetMode="External"/><Relationship Id="rId2076" Type="http://schemas.openxmlformats.org/officeDocument/2006/relationships/hyperlink" Target="http://link.springer.com/article/10.1007/s11334-022-00457-3" TargetMode="External"/><Relationship Id="rId255" Type="http://schemas.openxmlformats.org/officeDocument/2006/relationships/hyperlink" Target="https://www.scopus.com/inward/record.uri?eid=2-s2.0-85108903083&amp;doi=10.1145%2f3463274.3463337&amp;partnerID=40&amp;md5=43cbb812acb1d1ca47f4aba0f2e52851;http://dx.doi.org/10.1145/3463274.3463337" TargetMode="External"/><Relationship Id="rId462" Type="http://schemas.openxmlformats.org/officeDocument/2006/relationships/hyperlink" Target="https://www.scopus.com/inward/record.uri?eid=2-s2.0-85118239166&amp;doi=10.1002%2fsmr.2395&amp;partnerID=40&amp;md5=9de955604d3db3070dcb8e03e1eeaa85;http://dx.doi.org/10.1002/smr.2395" TargetMode="External"/><Relationship Id="rId1092" Type="http://schemas.openxmlformats.org/officeDocument/2006/relationships/hyperlink" Target="http://dx.doi.org/10.1109/CSIT.2018.8486180" TargetMode="External"/><Relationship Id="rId1397" Type="http://schemas.openxmlformats.org/officeDocument/2006/relationships/hyperlink" Target="https://doi.org/10.1145/3453478;http:/dx.doi.org/10.1145/3453478" TargetMode="External"/><Relationship Id="rId2143" Type="http://schemas.openxmlformats.org/officeDocument/2006/relationships/hyperlink" Target="http://link.springer.com/book/10.1007/978-3-030-63034-8" TargetMode="External"/><Relationship Id="rId115" Type="http://schemas.openxmlformats.org/officeDocument/2006/relationships/hyperlink" Target="https://www.scopus.com/inward/record.uri?eid=2-s2.0-85130682205&amp;doi=10.1145%2f3487571&amp;partnerID=40&amp;md5=24c28b573faab1626d25d89feb28de3b;http://dx.doi.org/10.1145/3487571" TargetMode="External"/><Relationship Id="rId322" Type="http://schemas.openxmlformats.org/officeDocument/2006/relationships/hyperlink" Target="https://www.scopus.com/inward/record.uri?eid=2-s2.0-85134315914&amp;doi=10.1145%2f3524843.3528098&amp;partnerID=40&amp;md5=1a201b18e5d31dd3e44aa186650d9338;http://dx.doi.org/10.1145/3524843.3528098" TargetMode="External"/><Relationship Id="rId767" Type="http://schemas.openxmlformats.org/officeDocument/2006/relationships/hyperlink" Target="https://www.scopus.com/inward/record.uri?eid=2-s2.0-85077198759&amp;doi=10.1145%2f3339985.3358491&amp;partnerID=40&amp;md5=6876a62a41ea06cd1ac41acde7702cdd;http://dx.doi.org/10.1145/3339985.3358491" TargetMode="External"/><Relationship Id="rId974" Type="http://schemas.openxmlformats.org/officeDocument/2006/relationships/hyperlink" Target="http://dx.doi.org/10.1109/SEAA.2018.00045" TargetMode="External"/><Relationship Id="rId2003" Type="http://schemas.openxmlformats.org/officeDocument/2006/relationships/hyperlink" Target="http://link.springer.com/chapter/10.1007/978-3-031-12807-3_7" TargetMode="External"/><Relationship Id="rId627" Type="http://schemas.openxmlformats.org/officeDocument/2006/relationships/hyperlink" Target="https://www.scopus.com/inward/record.uri?eid=2-s2.0-85071087966&amp;doi=10.1109%2fSEAMS.2019.00029&amp;partnerID=40&amp;md5=8e6b24a1794c18335509f5180553c690;http://dx.doi.org/10.1109/SEAMS.2019.00029" TargetMode="External"/><Relationship Id="rId834" Type="http://schemas.openxmlformats.org/officeDocument/2006/relationships/hyperlink" Target="https://www.scopus.com/inward/record.uri?eid=2-s2.0-84871276203&amp;doi=10.1145%2f2393596.2393670&amp;partnerID=40&amp;md5=3d7818dbab2d05f44d6ad581bbfddebf;http://dx.doi.org/10.1145/2393596.2393670" TargetMode="External"/><Relationship Id="rId1257" Type="http://schemas.openxmlformats.org/officeDocument/2006/relationships/hyperlink" Target="http://dx.doi.org/10.1109/ICPC52881.2021.00013" TargetMode="External"/><Relationship Id="rId1464" Type="http://schemas.openxmlformats.org/officeDocument/2006/relationships/hyperlink" Target="https://doi.org/10.1145/3573074.3573099;http:/dx.doi.org/10.1145/3573074.3573099" TargetMode="External"/><Relationship Id="rId1671" Type="http://schemas.openxmlformats.org/officeDocument/2006/relationships/hyperlink" Target="https://www.sciencedirect.com/science/article/pii/S0065245815000248;http:/dx.doi.org/10.1016/S0065-2458(15)00024-8" TargetMode="External"/><Relationship Id="rId901" Type="http://schemas.openxmlformats.org/officeDocument/2006/relationships/hyperlink" Target="https://www.scopus.com/inward/record.uri?eid=2-s2.0-85069772253&amp;doi=10.1145%2f3180155.3180220&amp;partnerID=40&amp;md5=bd81c43f9e437a21d2524b38678cb67f;http://dx.doi.org/10.1145/3180155.3180220" TargetMode="External"/><Relationship Id="rId1117" Type="http://schemas.openxmlformats.org/officeDocument/2006/relationships/hyperlink" Target="http://dx.doi.org/10.1109/REW.2019.00051" TargetMode="External"/><Relationship Id="rId1324" Type="http://schemas.openxmlformats.org/officeDocument/2006/relationships/hyperlink" Target="https://doi.org/10.1145/3127360.3127372;http:/dx.doi.org/10.1145/3127360.3127372" TargetMode="External"/><Relationship Id="rId1531" Type="http://schemas.openxmlformats.org/officeDocument/2006/relationships/hyperlink" Target="https://doi.org/10.1145/3474370.3485656;http:/dx.doi.org/10.1145/3474370.3485656" TargetMode="External"/><Relationship Id="rId1769" Type="http://schemas.openxmlformats.org/officeDocument/2006/relationships/hyperlink" Target="http://link.springer.com/article/10.1007/s11219-020-09520-3" TargetMode="External"/><Relationship Id="rId1976" Type="http://schemas.openxmlformats.org/officeDocument/2006/relationships/hyperlink" Target="http://link.springer.com/book/10.1007/978-3-030-92934-3" TargetMode="External"/><Relationship Id="rId30" Type="http://schemas.openxmlformats.org/officeDocument/2006/relationships/hyperlink" Target="https://www.scopus.com/inward/record.uri?eid=2-s2.0-85139914234&amp;doi=10.3390%2fapp12199851&amp;partnerID=40&amp;md5=bb511d78b795e3322d6f03596b346bed;http://dx.doi.org/10.3390/app12199851" TargetMode="External"/><Relationship Id="rId1629" Type="http://schemas.openxmlformats.org/officeDocument/2006/relationships/hyperlink" Target="https://www.sciencedirect.com/science/article/pii/S095058492200088X;http:/dx.doi.org/10.1016/j.infsof.2022.106939" TargetMode="External"/><Relationship Id="rId1836" Type="http://schemas.openxmlformats.org/officeDocument/2006/relationships/hyperlink" Target="http://link.springer.com/book/10.1007/978-3-031-02318-7" TargetMode="External"/><Relationship Id="rId1903" Type="http://schemas.openxmlformats.org/officeDocument/2006/relationships/hyperlink" Target="http://link.springer.com/book/10.1007/978-981-19-3517-6" TargetMode="External"/><Relationship Id="rId2098" Type="http://schemas.openxmlformats.org/officeDocument/2006/relationships/hyperlink" Target="http://link.springer.com/book/10.1007/978-1-4842-7217-6" TargetMode="External"/><Relationship Id="rId277" Type="http://schemas.openxmlformats.org/officeDocument/2006/relationships/hyperlink" Target="https://www.scopus.com/inward/record.uri?eid=2-s2.0-85114092290&amp;doi=10.3390%2fapp11177856&amp;partnerID=40&amp;md5=79ee91293fdde1ec01f229442d4c5e8d;http://dx.doi.org/10.3390/app11177856" TargetMode="External"/><Relationship Id="rId484" Type="http://schemas.openxmlformats.org/officeDocument/2006/relationships/hyperlink" Target="https://www.scopus.com/inward/record.uri?eid=2-s2.0-85085516355&amp;doi=10.1016%2fj.infsof.2020.106332&amp;partnerID=40&amp;md5=624a9619bc719fefda7c0cd7d78dd001;http://dx.doi.org/10.1016/j.infsof.2020.106332" TargetMode="External"/><Relationship Id="rId2165" Type="http://schemas.openxmlformats.org/officeDocument/2006/relationships/hyperlink" Target="http://link.springer.com/chapter/10.1007/978-3-031-01761-2_8" TargetMode="External"/><Relationship Id="rId137" Type="http://schemas.openxmlformats.org/officeDocument/2006/relationships/hyperlink" Target="https://www.scopus.com/inward/record.uri?eid=2-s2.0-85137169224&amp;doi=10.18293%2fSEKE2022-077&amp;partnerID=40&amp;md5=e695951cfd6d99c0f122334445dc3e2f;http://dx.doi.org/10.18293/SEKE2022-077" TargetMode="External"/><Relationship Id="rId344" Type="http://schemas.openxmlformats.org/officeDocument/2006/relationships/hyperlink" Target="https://www.scopus.com/inward/record.uri?eid=2-s2.0-85113593339&amp;doi=10.1007%2fs11219-021-09567-w&amp;partnerID=40&amp;md5=4b23a0a229f5fbf8f3608c82dcc0182b;http://dx.doi.org/10.1007/s11219-021-09567-w" TargetMode="External"/><Relationship Id="rId691" Type="http://schemas.openxmlformats.org/officeDocument/2006/relationships/hyperlink" Target="https://www.scopus.com/inward/record.uri?eid=2-s2.0-85123043342&amp;partnerID=40&amp;md5=68470ed13b4aa7d6c28ef0e465cfb0f4" TargetMode="External"/><Relationship Id="rId789" Type="http://schemas.openxmlformats.org/officeDocument/2006/relationships/hyperlink" Target="https://www.scopus.com/inward/record.uri?eid=2-s2.0-85093825859&amp;doi=10.1007%2f978-3-030-60939-9_25&amp;partnerID=40&amp;md5=afd17d4c8dd83c794dfe8408efac9243;http://dx.doi.org/10.1007/978-3-030-60939-9_25" TargetMode="External"/><Relationship Id="rId996" Type="http://schemas.openxmlformats.org/officeDocument/2006/relationships/hyperlink" Target="http://dx.doi.org/10.1109/IWESEP.2018.00010" TargetMode="External"/><Relationship Id="rId2025" Type="http://schemas.openxmlformats.org/officeDocument/2006/relationships/hyperlink" Target="http://link.springer.com/article/10.1007/s11219-020-09502-5" TargetMode="External"/><Relationship Id="rId551" Type="http://schemas.openxmlformats.org/officeDocument/2006/relationships/hyperlink" Target="https://www.scopus.com/inward/record.uri?eid=2-s2.0-85104962334&amp;doi=10.1145%2f3412841.3442003&amp;partnerID=40&amp;md5=4192ef558506abaff3ff57accf6c54f2;http://dx.doi.org/10.1145/3412841.3442003" TargetMode="External"/><Relationship Id="rId649" Type="http://schemas.openxmlformats.org/officeDocument/2006/relationships/hyperlink" Target="https://www.scopus.com/inward/record.uri?eid=2-s2.0-85091976602&amp;doi=10.1109%2fPerComWorkshops48775.2020.9156127&amp;partnerID=40&amp;md5=8eba2d5f57ae2645dda1e0282e26196f;http://dx.doi.org/10.1109/PerComWorkshops48775.2020.9156127" TargetMode="External"/><Relationship Id="rId856" Type="http://schemas.openxmlformats.org/officeDocument/2006/relationships/hyperlink" Target="https://www.scopus.com/inward/record.uri?eid=2-s2.0-85060056515&amp;doi=10.1007%2f978-3-319-91836-5&amp;partnerID=40&amp;md5=2989aeba549e92a0f3eda6862bc9d072;http://dx.doi.org/10.1007/978-3-319-91836-5" TargetMode="External"/><Relationship Id="rId1181" Type="http://schemas.openxmlformats.org/officeDocument/2006/relationships/hyperlink" Target="http://dx.doi.org/10.1109/TSE.2019.2919305" TargetMode="External"/><Relationship Id="rId1279" Type="http://schemas.openxmlformats.org/officeDocument/2006/relationships/hyperlink" Target="http://dx.doi.org/10.1109/ISTAS50296.2020.9462201" TargetMode="External"/><Relationship Id="rId1486" Type="http://schemas.openxmlformats.org/officeDocument/2006/relationships/hyperlink" Target="https://doi.org/10.1109/ASE51524.2021.9678704;http:/dx.doi.org/10.1109/ASE51524.2021.9678704" TargetMode="External"/><Relationship Id="rId204" Type="http://schemas.openxmlformats.org/officeDocument/2006/relationships/hyperlink" Target="https://www.scopus.com/inward/record.uri?eid=2-s2.0-85129512886&amp;doi=10.1016%2fj.jss.2022.111336&amp;partnerID=40&amp;md5=2b6bf85134c2819dcdba1c0f1bf045e0;http://dx.doi.org/10.1016/j.jss.2022.111336" TargetMode="External"/><Relationship Id="rId411" Type="http://schemas.openxmlformats.org/officeDocument/2006/relationships/hyperlink" Target="https://www.scopus.com/inward/record.uri?eid=2-s2.0-85119001557&amp;doi=10.1007%2f978-981-16-2102-4_18&amp;partnerID=40&amp;md5=e51eeb954228c26f5fba46011638644a;http://dx.doi.org/10.1007/978-981-16-2102-4_18" TargetMode="External"/><Relationship Id="rId509" Type="http://schemas.openxmlformats.org/officeDocument/2006/relationships/hyperlink" Target="https://www.scopus.com/inward/record.uri?eid=2-s2.0-85113614854&amp;doi=10.1109%2fMSR52588.2021.00047&amp;partnerID=40&amp;md5=b0f86906236d73ca080cfad3137970b8;http://dx.doi.org/10.1109/MSR52588.2021.00047" TargetMode="External"/><Relationship Id="rId1041" Type="http://schemas.openxmlformats.org/officeDocument/2006/relationships/hyperlink" Target="http://dx.doi.org/10.1109/IEEESTD.2017.8016712" TargetMode="External"/><Relationship Id="rId1139" Type="http://schemas.openxmlformats.org/officeDocument/2006/relationships/hyperlink" Target="http://dx.doi.org/10.1109/MSR52588.2021.00080" TargetMode="External"/><Relationship Id="rId1346" Type="http://schemas.openxmlformats.org/officeDocument/2006/relationships/hyperlink" Target="https://doi.org/10.1145/3324916;http:/dx.doi.org/10.1145/3324916" TargetMode="External"/><Relationship Id="rId1693" Type="http://schemas.openxmlformats.org/officeDocument/2006/relationships/hyperlink" Target="https://www.sciencedirect.com/science/article/pii/S1568494622000187;http:/dx.doi.org/10.1016/j.asoc.2022.108441" TargetMode="External"/><Relationship Id="rId1998" Type="http://schemas.openxmlformats.org/officeDocument/2006/relationships/hyperlink" Target="http://link.springer.com/article/10.1007/s10664-020-09803-0" TargetMode="External"/><Relationship Id="rId716" Type="http://schemas.openxmlformats.org/officeDocument/2006/relationships/hyperlink" Target="https://www.scopus.com/inward/record.uri?eid=2-s2.0-85094317336&amp;doi=10.1145%2f3377811.3380378&amp;partnerID=40&amp;md5=04f2a8fe22d46c9728e273be0636e07b;http://dx.doi.org/10.1145/3377811.3380378" TargetMode="External"/><Relationship Id="rId923" Type="http://schemas.openxmlformats.org/officeDocument/2006/relationships/hyperlink" Target="https://www.scopus.com/inward/record.uri?eid=2-s2.0-85047663116&amp;doi=10.1002%2fsys.21446&amp;partnerID=40&amp;md5=9f64869ad5c8051e78e7b90916fd443b;http://dx.doi.org/10.1002/sys.21446" TargetMode="External"/><Relationship Id="rId1553" Type="http://schemas.openxmlformats.org/officeDocument/2006/relationships/hyperlink" Target="https://doi.org/10.14778/3415478.3415570;http:/dx.doi.org/10.14778/3415478.3415570" TargetMode="External"/><Relationship Id="rId1760" Type="http://schemas.openxmlformats.org/officeDocument/2006/relationships/hyperlink" Target="http://link.springer.com/book/10.1007/978-3-030-85521-5" TargetMode="External"/><Relationship Id="rId1858" Type="http://schemas.openxmlformats.org/officeDocument/2006/relationships/hyperlink" Target="http://link.springer.com/chapter/10.1007/978-3-030-75418-1_25" TargetMode="External"/><Relationship Id="rId52" Type="http://schemas.openxmlformats.org/officeDocument/2006/relationships/hyperlink" Target="https://www.scopus.com/inward/record.uri?eid=2-s2.0-85126790322&amp;doi=10.1007%2fs10664-021-10109-y&amp;partnerID=40&amp;md5=ec6b16f333f2b757f75f6ee5ccf333b5;http://dx.doi.org/10.1007/s10664-021-10109-y" TargetMode="External"/><Relationship Id="rId1206" Type="http://schemas.openxmlformats.org/officeDocument/2006/relationships/hyperlink" Target="http://dx.doi.org/10.1109/ACCESS.2022.3181630" TargetMode="External"/><Relationship Id="rId1413" Type="http://schemas.openxmlformats.org/officeDocument/2006/relationships/hyperlink" Target="https://doi.org/10.1145/3522664.3528611;http:/dx.doi.org/10.1145/3522664.3528611" TargetMode="External"/><Relationship Id="rId1620" Type="http://schemas.openxmlformats.org/officeDocument/2006/relationships/hyperlink" Target="https://www.sciencedirect.com/science/article/pii/S1877050919307203;http:/dx.doi.org/10.1016/j.procs.2019.05.061" TargetMode="External"/><Relationship Id="rId1718" Type="http://schemas.openxmlformats.org/officeDocument/2006/relationships/hyperlink" Target="http://link.springer.com/book/10.1007/978-3-030-85347-1" TargetMode="External"/><Relationship Id="rId1925" Type="http://schemas.openxmlformats.org/officeDocument/2006/relationships/hyperlink" Target="http://link.springer.com/book/10.1007/978-3-030-86152-0" TargetMode="External"/><Relationship Id="rId299" Type="http://schemas.openxmlformats.org/officeDocument/2006/relationships/hyperlink" Target="https://www.scopus.com/inward/record.uri?eid=2-s2.0-85113229165&amp;doi=10.4018%2f978-1-7998-6985-6.ch002&amp;partnerID=40&amp;md5=0c2583157b8c5dc3f4a9a18b611d9b1d;http://dx.doi.org/10.4018/978-1-7998-6985-6.ch002" TargetMode="External"/><Relationship Id="rId2187" Type="http://schemas.openxmlformats.org/officeDocument/2006/relationships/hyperlink" Target="http://link.springer.com/chapter/10.1007/978-3-031-15559-8_7" TargetMode="External"/><Relationship Id="rId159" Type="http://schemas.openxmlformats.org/officeDocument/2006/relationships/hyperlink" Target="https://www.scopus.com/inward/record.uri?eid=2-s2.0-85137115700&amp;doi=10.1007%2fs10515-022-00358-6&amp;partnerID=40&amp;md5=60e9bbb2d585fef5ef2c8b29353bb634;http://dx.doi.org/10.1007/s10515-022-00358-6" TargetMode="External"/><Relationship Id="rId366" Type="http://schemas.openxmlformats.org/officeDocument/2006/relationships/hyperlink" Target="https://www.scopus.com/inward/record.uri?eid=2-s2.0-85116304893&amp;doi=10.1145%2f3468264.3473493&amp;partnerID=40&amp;md5=c6582bf8e064e1baf52f02043f2e8b99;http://dx.doi.org/10.1145/3468264.3473493" TargetMode="External"/><Relationship Id="rId573" Type="http://schemas.openxmlformats.org/officeDocument/2006/relationships/hyperlink" Target="https://www.scopus.com/inward/record.uri?eid=2-s2.0-85102859382&amp;doi=10.1145%2f3439961.3439979&amp;partnerID=40&amp;md5=2f0fed42c9599c582f1ea1cf29dfafa1;http://dx.doi.org/10.1145/3439961.3439979" TargetMode="External"/><Relationship Id="rId780" Type="http://schemas.openxmlformats.org/officeDocument/2006/relationships/hyperlink" Target="https://www.scopus.com/inward/record.uri?eid=2-s2.0-85072111655&amp;doi=10.1109%2fICSE-SEIP.2019.00042&amp;partnerID=40&amp;md5=8c03592773800ea1ac1b5a71f9fae249;http://dx.doi.org/10.1109/ICSE-SEIP.2019.00042" TargetMode="External"/><Relationship Id="rId2047" Type="http://schemas.openxmlformats.org/officeDocument/2006/relationships/hyperlink" Target="http://link.springer.com/chapter/10.1007/978-3-031-02318-7_6" TargetMode="External"/><Relationship Id="rId226" Type="http://schemas.openxmlformats.org/officeDocument/2006/relationships/hyperlink" Target="https://www.scopus.com/inward/record.uri?eid=2-s2.0-85117726027&amp;doi=10.1007%2fs10664-021-10009-1&amp;partnerID=40&amp;md5=6fb1cafc8822987601a714d4a6249c9e;http://dx.doi.org/10.1007/s10664-021-10009-1" TargetMode="External"/><Relationship Id="rId433" Type="http://schemas.openxmlformats.org/officeDocument/2006/relationships/hyperlink" Target="https://www.scopus.com/inward/record.uri?eid=2-s2.0-85087690796&amp;doi=10.1016%2fj.infsof.2020.106368&amp;partnerID=40&amp;md5=39ff261482f573a45f895642acbd9059;http://dx.doi.org/10.1016/j.infsof.2020.106368" TargetMode="External"/><Relationship Id="rId878" Type="http://schemas.openxmlformats.org/officeDocument/2006/relationships/hyperlink" Target="https://www.scopus.com/inward/record.uri?eid=2-s2.0-85055776066&amp;partnerID=40&amp;md5=048d0c1b42d42d95c277869704fdf551" TargetMode="External"/><Relationship Id="rId1063" Type="http://schemas.openxmlformats.org/officeDocument/2006/relationships/hyperlink" Target="http://dx.doi.org/10.1109/SANER.2018.8330266" TargetMode="External"/><Relationship Id="rId1270" Type="http://schemas.openxmlformats.org/officeDocument/2006/relationships/hyperlink" Target="https://ieeexplore.ieee.org/document/9823192;http:/dx.doi.org/10.1002/9781119644682.ch28" TargetMode="External"/><Relationship Id="rId2114" Type="http://schemas.openxmlformats.org/officeDocument/2006/relationships/hyperlink" Target="http://link.springer.com/chapter/10.1007/978-3-319-91602-6_20" TargetMode="External"/><Relationship Id="rId640" Type="http://schemas.openxmlformats.org/officeDocument/2006/relationships/hyperlink" Target="https://www.scopus.com/inward/record.uri?eid=2-s2.0-85098132133&amp;doi=10.1007%2f978-3-030-64849-7_6&amp;partnerID=40&amp;md5=27e0ce68de85f1fe0e5b77c572cc69df;http://dx.doi.org/10.1007/978-3-030-64849-7_6" TargetMode="External"/><Relationship Id="rId738" Type="http://schemas.openxmlformats.org/officeDocument/2006/relationships/hyperlink" Target="https://www.scopus.com/inward/record.uri?eid=2-s2.0-85074631958&amp;doi=10.1007%2fs00502-019-00746-z&amp;partnerID=40&amp;md5=5f2382ad1806e16c0c0b15ecd449df90;http://dx.doi.org/10.1007/s00502-019-00746-z" TargetMode="External"/><Relationship Id="rId945" Type="http://schemas.openxmlformats.org/officeDocument/2006/relationships/hyperlink" Target="https://www.scopus.com/inward/record.uri?eid=2-s2.0-85032825139&amp;doi=10.1109%2fRE.2017.36&amp;partnerID=40&amp;md5=1a0038b42890663de6a1aec409206a91;http://dx.doi.org/10.1109/RE.2017.36" TargetMode="External"/><Relationship Id="rId1368" Type="http://schemas.openxmlformats.org/officeDocument/2006/relationships/hyperlink" Target="https://doi.org/10.1145/3184407.3184413;http:/dx.doi.org/10.1145/3184407.3184413" TargetMode="External"/><Relationship Id="rId1575" Type="http://schemas.openxmlformats.org/officeDocument/2006/relationships/hyperlink" Target="https://www.sciencedirect.com/science/article/pii/S0164121222002394;http:/dx.doi.org/10.1016/j.jss.2022.111563" TargetMode="External"/><Relationship Id="rId1782" Type="http://schemas.openxmlformats.org/officeDocument/2006/relationships/hyperlink" Target="http://link.springer.com/referencework/10.1007/978-3-030-10576-1" TargetMode="External"/><Relationship Id="rId74" Type="http://schemas.openxmlformats.org/officeDocument/2006/relationships/hyperlink" Target="https://www.scopus.com/inward/record.uri?eid=2-s2.0-85127556940&amp;doi=10.1109%2fMC.2021.3137227&amp;partnerID=40&amp;md5=3eb34e179a76702bdadd740d865d7ff6;http://dx.doi.org/10.1109/MC.2021.3137227" TargetMode="External"/><Relationship Id="rId500" Type="http://schemas.openxmlformats.org/officeDocument/2006/relationships/hyperlink" Target="https://www.scopus.com/inward/record.uri?eid=2-s2.0-85098550296&amp;doi=10.1145%2f3377812.3381396&amp;partnerID=40&amp;md5=0eb1b6c877ef8f74621ed6fa10a0bb17;http://dx.doi.org/10.1145/3377812.3381396" TargetMode="External"/><Relationship Id="rId805" Type="http://schemas.openxmlformats.org/officeDocument/2006/relationships/hyperlink" Target="https://www.scopus.com/inward/record.uri?eid=2-s2.0-85090135552&amp;doi=10.1109%2fCVPRW50498.2020.00170&amp;partnerID=40&amp;md5=2402f64426e6e27cd11c23610714661a;http://dx.doi.org/10.1109/CVPRW50498.2020.00170" TargetMode="External"/><Relationship Id="rId1130" Type="http://schemas.openxmlformats.org/officeDocument/2006/relationships/hyperlink" Target="http://dx.doi.org/10.23919/MIPRO55190.2022.9803727" TargetMode="External"/><Relationship Id="rId1228" Type="http://schemas.openxmlformats.org/officeDocument/2006/relationships/hyperlink" Target="http://dx.doi.org/10.1109/ICSA-C54293.2022.00023" TargetMode="External"/><Relationship Id="rId1435" Type="http://schemas.openxmlformats.org/officeDocument/2006/relationships/hyperlink" Target="https://doi.org/10.1145/3524610.3527874;http:/dx.doi.org/10.1145/3524610.3527874" TargetMode="External"/><Relationship Id="rId1642" Type="http://schemas.openxmlformats.org/officeDocument/2006/relationships/hyperlink" Target="https://www.sciencedirect.com/science/article/pii/S0920548921000362;http:/dx.doi.org/10.1016/j.csi.2021.103541" TargetMode="External"/><Relationship Id="rId1947" Type="http://schemas.openxmlformats.org/officeDocument/2006/relationships/hyperlink" Target="http://link.springer.com/referencework/10.1007/978-3-030-29980-4" TargetMode="External"/><Relationship Id="rId1502" Type="http://schemas.openxmlformats.org/officeDocument/2006/relationships/hyperlink" Target="https://doi.org/10.1109/ICSE43902.2021.00134;http:/dx.doi.org/10.1109/ICSE43902.2021.00134" TargetMode="External"/><Relationship Id="rId1807" Type="http://schemas.openxmlformats.org/officeDocument/2006/relationships/hyperlink" Target="http://link.springer.com/book/10.1007/978-3-319-97925-0" TargetMode="External"/><Relationship Id="rId290" Type="http://schemas.openxmlformats.org/officeDocument/2006/relationships/hyperlink" Target="https://www.scopus.com/inward/record.uri?eid=2-s2.0-85115753395&amp;doi=10.1007%2fs10664-021-10031-3&amp;partnerID=40&amp;md5=8f5452f0b97e1e6b6713650ecbe1a2d5;http://dx.doi.org/10.1007/s10664-021-10031-3" TargetMode="External"/><Relationship Id="rId388" Type="http://schemas.openxmlformats.org/officeDocument/2006/relationships/hyperlink" Target="https://www.scopus.com/inward/record.uri?eid=2-s2.0-85134350727&amp;doi=10.1145%2f3524843.3528097&amp;partnerID=40&amp;md5=86e75b074cd4cf95c5ea49d4efd8310a;http://dx.doi.org/10.1145/3524843.3528097" TargetMode="External"/><Relationship Id="rId2069" Type="http://schemas.openxmlformats.org/officeDocument/2006/relationships/hyperlink" Target="http://link.springer.com/article/10.1007/s40815-022-01248-5" TargetMode="External"/><Relationship Id="rId150" Type="http://schemas.openxmlformats.org/officeDocument/2006/relationships/hyperlink" Target="https://www.scopus.com/inward/record.uri?eid=2-s2.0-85128221731&amp;doi=10.1038%2fs41746-022-00592-y&amp;partnerID=40&amp;md5=505a4e8bb93249a2eebe325bbce17005;http://dx.doi.org/10.1038/s41746-022-00592-y" TargetMode="External"/><Relationship Id="rId595" Type="http://schemas.openxmlformats.org/officeDocument/2006/relationships/hyperlink" Target="https://www.scopus.com/inward/record.uri?eid=2-s2.0-85089668454&amp;doi=10.1016%2fj.jss.2020.110777&amp;partnerID=40&amp;md5=c5865fd97e7d4d15984d4e88ce60aad3;http://dx.doi.org/10.1016/j.jss.2020.110777" TargetMode="External"/><Relationship Id="rId248" Type="http://schemas.openxmlformats.org/officeDocument/2006/relationships/hyperlink" Target="https://www.scopus.com/inward/record.uri?eid=2-s2.0-85104619239&amp;doi=10.1145%2f3411764.3445518&amp;partnerID=40&amp;md5=fb2bed912073ee7b2dadc6eb1b068427;http://dx.doi.org/10.1145/3411764.3445518" TargetMode="External"/><Relationship Id="rId455" Type="http://schemas.openxmlformats.org/officeDocument/2006/relationships/hyperlink" Target="https://www.scopus.com/inward/record.uri?eid=2-s2.0-85111389737&amp;doi=10.1109%2fAERO50100.2021.9438332&amp;partnerID=40&amp;md5=795ec34083622a90acb3a26c720febaa;http://dx.doi.org/10.1109/AERO50100.2021.9438332" TargetMode="External"/><Relationship Id="rId662" Type="http://schemas.openxmlformats.org/officeDocument/2006/relationships/hyperlink" Target="https://www.scopus.com/inward/record.uri?eid=2-s2.0-85077506321&amp;partnerID=40&amp;md5=43f19863d3fa8f4f7b006576f8398000" TargetMode="External"/><Relationship Id="rId1085" Type="http://schemas.openxmlformats.org/officeDocument/2006/relationships/hyperlink" Target="http://dx.doi.org/10.1109/ICSA53651.2022.00017" TargetMode="External"/><Relationship Id="rId1292" Type="http://schemas.openxmlformats.org/officeDocument/2006/relationships/hyperlink" Target="http://dx.doi.org/10.1109/MS.2022.3199621" TargetMode="External"/><Relationship Id="rId2136" Type="http://schemas.openxmlformats.org/officeDocument/2006/relationships/hyperlink" Target="http://link.springer.com/chapter/10.1007/978-1-4302-6599-3_9" TargetMode="External"/><Relationship Id="rId108" Type="http://schemas.openxmlformats.org/officeDocument/2006/relationships/hyperlink" Target="https://www.scopus.com/inward/record.uri?eid=2-s2.0-85136864939&amp;doi=10.1080%2f01972243.2022.2100851&amp;partnerID=40&amp;md5=672b21f6c2efd4a2b0b56a786a3812ef;http://dx.doi.org/10.1080/01972243.2022.2100851" TargetMode="External"/><Relationship Id="rId315" Type="http://schemas.openxmlformats.org/officeDocument/2006/relationships/hyperlink" Target="https://www.scopus.com/inward/record.uri?eid=2-s2.0-85132017814&amp;doi=10.24138%2fjcomss-2021-0124&amp;partnerID=40&amp;md5=433ca07519e588d0f73779fdd74a311c;http://dx.doi.org/10.24138/jcomss-2021-0124" TargetMode="External"/><Relationship Id="rId522" Type="http://schemas.openxmlformats.org/officeDocument/2006/relationships/hyperlink" Target="https://www.scopus.com/inward/record.uri?eid=2-s2.0-85103148325&amp;doi=10.1109%2fACCESS.2021.3066348&amp;partnerID=40&amp;md5=5c33c615d26804f810a0df3870ace47e;http://dx.doi.org/10.1109/ACCESS.2021.3066348" TargetMode="External"/><Relationship Id="rId967" Type="http://schemas.openxmlformats.org/officeDocument/2006/relationships/hyperlink" Target="https://www.scopus.com/inward/record.uri?eid=2-s2.0-85048052155&amp;doi=10.1007%2f978-3-319-91602-6_20&amp;partnerID=40&amp;md5=4cd490b5b3146b473727c373bbd28e51;http://dx.doi.org/10.1007/978-3-319-91602-6_20" TargetMode="External"/><Relationship Id="rId1152" Type="http://schemas.openxmlformats.org/officeDocument/2006/relationships/hyperlink" Target="http://dx.doi.org/10.1109/CONISOFT52520.2021.00019" TargetMode="External"/><Relationship Id="rId1597" Type="http://schemas.openxmlformats.org/officeDocument/2006/relationships/hyperlink" Target="https://www.sciencedirect.com/science/article/pii/S0166361522000987;http:/dx.doi.org/10.1016/j.compind.2022.103701" TargetMode="External"/><Relationship Id="rId96" Type="http://schemas.openxmlformats.org/officeDocument/2006/relationships/hyperlink" Target="https://www.scopus.com/inward/record.uri?eid=2-s2.0-85137988427&amp;doi=10.1007%2f978-3-031-16281-7_8&amp;partnerID=40&amp;md5=dad7cafe9c434552e9314e6bd36641f5;http://dx.doi.org/10.1007/978-3-031-16281-7_8" TargetMode="External"/><Relationship Id="rId827" Type="http://schemas.openxmlformats.org/officeDocument/2006/relationships/hyperlink" Target="https://www.scopus.com/inward/record.uri?eid=2-s2.0-85049422618&amp;doi=10.14778%2f3157794.3157804&amp;partnerID=40&amp;md5=57f4ef15de69da4d16c276b1eb7715b4;http://dx.doi.org/10.14778/3157794.3157804" TargetMode="External"/><Relationship Id="rId1012" Type="http://schemas.openxmlformats.org/officeDocument/2006/relationships/hyperlink" Target="http://dx.doi.org/10.1109/IJCNN52387.2021.9534423" TargetMode="External"/><Relationship Id="rId1457" Type="http://schemas.openxmlformats.org/officeDocument/2006/relationships/hyperlink" Target="https://doi.org/10.1145/3236024.3236043;http:/dx.doi.org/10.1145/3236024.3236043" TargetMode="External"/><Relationship Id="rId1664" Type="http://schemas.openxmlformats.org/officeDocument/2006/relationships/hyperlink" Target="https://www.sciencedirect.com/science/article/pii/B9780128023013000132;http:/dx.doi.org/10.1016/B978-0-12-802301-3.00013-2" TargetMode="External"/><Relationship Id="rId1871" Type="http://schemas.openxmlformats.org/officeDocument/2006/relationships/hyperlink" Target="http://link.springer.com/book/10.1007/978-3-031-15629-8" TargetMode="External"/><Relationship Id="rId1317" Type="http://schemas.openxmlformats.org/officeDocument/2006/relationships/hyperlink" Target="http://dx.doi.org/10.1109/ICSTW.2018.00004" TargetMode="External"/><Relationship Id="rId1524" Type="http://schemas.openxmlformats.org/officeDocument/2006/relationships/hyperlink" Target="https://doi.org/10.1145/3524842.3527932;http:/dx.doi.org/10.1145/3524842.3527932" TargetMode="External"/><Relationship Id="rId1731" Type="http://schemas.openxmlformats.org/officeDocument/2006/relationships/hyperlink" Target="http://link.springer.com/book/10.1007/978-1-4842-8817-7" TargetMode="External"/><Relationship Id="rId1969" Type="http://schemas.openxmlformats.org/officeDocument/2006/relationships/hyperlink" Target="http://link.springer.com/article/10.1007/s10270-021-00929-3" TargetMode="External"/><Relationship Id="rId23" Type="http://schemas.openxmlformats.org/officeDocument/2006/relationships/hyperlink" Target="https://www.scopus.com/inward/record.uri?eid=2-s2.0-85137070907&amp;doi=10.1016%2fj.neuron.2022.06.018&amp;partnerID=40&amp;md5=d95ad5c90342b00988ae7c7d5d9a9ea8;http://dx.doi.org/10.1016/j.neuron.2022.06.018" TargetMode="External"/><Relationship Id="rId1829" Type="http://schemas.openxmlformats.org/officeDocument/2006/relationships/hyperlink" Target="http://link.springer.com/book/10.1007/978-3-031-17604-3" TargetMode="External"/><Relationship Id="rId172" Type="http://schemas.openxmlformats.org/officeDocument/2006/relationships/hyperlink" Target="https://www.scopus.com/inward/record.uri?eid=2-s2.0-85139714305&amp;doi=10.1007%2fs00146-022-01572-2&amp;partnerID=40&amp;md5=79f4bcde3e95971b7b4e890873c722cc;http://dx.doi.org/10.1007/s00146-022-01572-2" TargetMode="External"/><Relationship Id="rId477" Type="http://schemas.openxmlformats.org/officeDocument/2006/relationships/hyperlink" Target="https://www.scopus.com/inward/record.uri?eid=2-s2.0-85095856937&amp;doi=10.1145%2f3425269.3425281&amp;partnerID=40&amp;md5=3fb2b8566d44c6b71f4aeac85cf65876;http://dx.doi.org/10.1145/3425269.3425281" TargetMode="External"/><Relationship Id="rId684" Type="http://schemas.openxmlformats.org/officeDocument/2006/relationships/hyperlink" Target="https://www.scopus.com/inward/record.uri?eid=2-s2.0-85081065732&amp;doi=10.1109%2fCHILECON47746.2019.8987553&amp;partnerID=40&amp;md5=5f4b8fb330a79f95632051f14db39697;http://dx.doi.org/10.1109/CHILECON47746.2019.8987553" TargetMode="External"/><Relationship Id="rId2060" Type="http://schemas.openxmlformats.org/officeDocument/2006/relationships/hyperlink" Target="http://link.springer.com/book/10.1007/978-3-658-32236-6" TargetMode="External"/><Relationship Id="rId2158" Type="http://schemas.openxmlformats.org/officeDocument/2006/relationships/hyperlink" Target="http://link.springer.com/chapter/10.1007/978-3-030-00761-4_20" TargetMode="External"/><Relationship Id="rId337" Type="http://schemas.openxmlformats.org/officeDocument/2006/relationships/hyperlink" Target="https://www.scopus.com/inward/record.uri?eid=2-s2.0-85121619577&amp;doi=10.1007%2fs42979-021-00726-1&amp;partnerID=40&amp;md5=47ff107c34d146132fcdcef8d8912562;http://dx.doi.org/10.1007/s42979-021-00726-1" TargetMode="External"/><Relationship Id="rId891" Type="http://schemas.openxmlformats.org/officeDocument/2006/relationships/hyperlink" Target="https://www.scopus.com/inward/record.uri?eid=2-s2.0-85051087850&amp;doi=10.1145%2f3184407.3184413&amp;partnerID=40&amp;md5=c4b0153bcd017d224774532305d422fa;http://dx.doi.org/10.1145/3184407.3184413" TargetMode="External"/><Relationship Id="rId989" Type="http://schemas.openxmlformats.org/officeDocument/2006/relationships/hyperlink" Target="http://dx.doi.org/10.1145/3522664.3528620" TargetMode="External"/><Relationship Id="rId2018" Type="http://schemas.openxmlformats.org/officeDocument/2006/relationships/hyperlink" Target="http://link.springer.com/article/10.1007/s13369-021-06077-6" TargetMode="External"/><Relationship Id="rId544" Type="http://schemas.openxmlformats.org/officeDocument/2006/relationships/hyperlink" Target="https://www.scopus.com/inward/record.uri?eid=2-s2.0-85100622799&amp;doi=10.1109%2fCogMI50398.2020.00030&amp;partnerID=40&amp;md5=c2b9239b0c65551bbc9d33aebe3d0d86;http://dx.doi.org/10.1109/CogMI50398.2020.00030" TargetMode="External"/><Relationship Id="rId751" Type="http://schemas.openxmlformats.org/officeDocument/2006/relationships/hyperlink" Target="https://www.scopus.com/inward/record.uri?eid=2-s2.0-85065542163&amp;doi=10.1016%2fj.scico.2019.05.002&amp;partnerID=40&amp;md5=0aa675929b8fce697b1de4ff272bb33b;http://dx.doi.org/10.1016/j.scico.2019.05.002" TargetMode="External"/><Relationship Id="rId849" Type="http://schemas.openxmlformats.org/officeDocument/2006/relationships/hyperlink" Target="https://www.scopus.com/inward/record.uri?eid=2-s2.0-85055841579&amp;doi=10.1145%2f3266237.3266271&amp;partnerID=40&amp;md5=d0a77956bce2f74082212ed570ec9e70;http://dx.doi.org/10.1145/3266237.3266271" TargetMode="External"/><Relationship Id="rId1174" Type="http://schemas.openxmlformats.org/officeDocument/2006/relationships/hyperlink" Target="http://dx.doi.org/10.1109/AERO53065.2022.9843840" TargetMode="External"/><Relationship Id="rId1381" Type="http://schemas.openxmlformats.org/officeDocument/2006/relationships/hyperlink" Target="https://doi.org/10.1145/3341105.3374008;http:/dx.doi.org/10.1145/3341105.3374008" TargetMode="External"/><Relationship Id="rId1479" Type="http://schemas.openxmlformats.org/officeDocument/2006/relationships/hyperlink" Target="https://doi.org/10.1145/3140549.3140553;http:/dx.doi.org/10.1145/3140549.3140553" TargetMode="External"/><Relationship Id="rId1686" Type="http://schemas.openxmlformats.org/officeDocument/2006/relationships/hyperlink" Target="https://www.sciencedirect.com/science/article/pii/S0065245816300109;http:/dx.doi.org/10.1016/S0065-2458(16)30010-9" TargetMode="External"/><Relationship Id="rId404" Type="http://schemas.openxmlformats.org/officeDocument/2006/relationships/hyperlink" Target="https://www.scopus.com/inward/record.uri?eid=2-s2.0-85127790091&amp;doi=10.3233%2fJNR-220002&amp;partnerID=40&amp;md5=b72e14aef3c2df2ce92e245ea0e589c4;http://dx.doi.org/10.3233/JNR-220002" TargetMode="External"/><Relationship Id="rId611" Type="http://schemas.openxmlformats.org/officeDocument/2006/relationships/hyperlink" Target="https://www.scopus.com/inward/record.uri?eid=2-s2.0-85091330297&amp;doi=10.1007%2f978-3-030-58703-1_17&amp;partnerID=40&amp;md5=8a2ee228a80752d0dc465ea71eb0bb88;http://dx.doi.org/10.1007/978-3-030-58703-1_17" TargetMode="External"/><Relationship Id="rId1034" Type="http://schemas.openxmlformats.org/officeDocument/2006/relationships/hyperlink" Target="http://dx.doi.org/10.1109/TSE.2019.2901490" TargetMode="External"/><Relationship Id="rId1241" Type="http://schemas.openxmlformats.org/officeDocument/2006/relationships/hyperlink" Target="http://dx.doi.org/10.1109/QRS.2019.00041" TargetMode="External"/><Relationship Id="rId1339" Type="http://schemas.openxmlformats.org/officeDocument/2006/relationships/hyperlink" Target="https://doi.org/10.1145/3194164.3194187;http:/dx.doi.org/10.1145/3194164.3194187" TargetMode="External"/><Relationship Id="rId1893" Type="http://schemas.openxmlformats.org/officeDocument/2006/relationships/hyperlink" Target="http://link.springer.com/book/10.1007/978-981-16-6795-4" TargetMode="External"/><Relationship Id="rId709" Type="http://schemas.openxmlformats.org/officeDocument/2006/relationships/hyperlink" Target="https://www.scopus.com/inward/record.uri?eid=2-s2.0-85081054508&amp;doi=10.1007%2f978-3-030-37436-5_24&amp;partnerID=40&amp;md5=89d006a2c8a3d2f0f7912efbf6ef7419;http://dx.doi.org/10.1007/978-3-030-37436-5_24" TargetMode="External"/><Relationship Id="rId916" Type="http://schemas.openxmlformats.org/officeDocument/2006/relationships/hyperlink" Target="https://www.scopus.com/inward/record.uri?eid=2-s2.0-85016444613&amp;doi=10.1016%2fj.infsof.2017.03.012&amp;partnerID=40&amp;md5=8b759acaa01c5136355d900e55157249;http://dx.doi.org/10.1016/j.infsof.2017.03.012" TargetMode="External"/><Relationship Id="rId1101" Type="http://schemas.openxmlformats.org/officeDocument/2006/relationships/hyperlink" Target="http://dx.doi.org/10.1109/ICSA-C.2019.00023" TargetMode="External"/><Relationship Id="rId1546" Type="http://schemas.openxmlformats.org/officeDocument/2006/relationships/hyperlink" Target="https://doi.org/10.1145/3531146.3533158;http:/dx.doi.org/10.1145/3531146.3533158" TargetMode="External"/><Relationship Id="rId1753" Type="http://schemas.openxmlformats.org/officeDocument/2006/relationships/hyperlink" Target="http://link.springer.com/book/10.1007/978-3-031-10461-9" TargetMode="External"/><Relationship Id="rId1960" Type="http://schemas.openxmlformats.org/officeDocument/2006/relationships/hyperlink" Target="http://link.springer.com/chapter/10.1007/978-1-4842-5104-1_7" TargetMode="External"/><Relationship Id="rId45" Type="http://schemas.openxmlformats.org/officeDocument/2006/relationships/hyperlink" Target="https://www.scopus.com/inward/record.uri?eid=2-s2.0-85133877682&amp;doi=10.1142%2fS021819402250036X&amp;partnerID=40&amp;md5=e4bb8c9eedf8a89d47d6d2c367c02f4f;http://dx.doi.org/10.1142/S021819402250036X" TargetMode="External"/><Relationship Id="rId1406" Type="http://schemas.openxmlformats.org/officeDocument/2006/relationships/hyperlink" Target="https://doi.org/10.1145/3379177.3388892;http:/dx.doi.org/10.1145/3379177.3388892" TargetMode="External"/><Relationship Id="rId1613" Type="http://schemas.openxmlformats.org/officeDocument/2006/relationships/hyperlink" Target="https://www.sciencedirect.com/science/article/pii/S0950584922000556;http:/dx.doi.org/10.1016/j.infsof.2022.106893" TargetMode="External"/><Relationship Id="rId1820" Type="http://schemas.openxmlformats.org/officeDocument/2006/relationships/hyperlink" Target="http://link.springer.com/book/10.1007/978-3-031-22941-1" TargetMode="External"/><Relationship Id="rId194" Type="http://schemas.openxmlformats.org/officeDocument/2006/relationships/hyperlink" Target="https://www.scopus.com/inward/record.uri?eid=2-s2.0-85130746978&amp;doi=10.1109%2fTSE.2020.3024814&amp;partnerID=40&amp;md5=034fb9df203b827551ffe9dfd4e2a737;http://dx.doi.org/10.1109/TSE.2020.3024814" TargetMode="External"/><Relationship Id="rId1918" Type="http://schemas.openxmlformats.org/officeDocument/2006/relationships/hyperlink" Target="http://link.springer.com/chapter/10.1007/978-3-031-21388-5_19" TargetMode="External"/><Relationship Id="rId2082" Type="http://schemas.openxmlformats.org/officeDocument/2006/relationships/hyperlink" Target="http://link.springer.com/chapter/10.1007/978-981-16-2594-7_9" TargetMode="External"/><Relationship Id="rId261" Type="http://schemas.openxmlformats.org/officeDocument/2006/relationships/hyperlink" Target="https://www.scopus.com/inward/record.uri?eid=2-s2.0-85135922174&amp;doi=10.1007%2f978-3-031-10542-5_5&amp;partnerID=40&amp;md5=10c18f25a4197f7c8479fc1e4acf8cd7;http://dx.doi.org/10.1007/978-3-031-10542-5_5" TargetMode="External"/><Relationship Id="rId499" Type="http://schemas.openxmlformats.org/officeDocument/2006/relationships/hyperlink" Target="https://www.scopus.com/inward/record.uri?eid=2-s2.0-85116053383&amp;doi=10.1007%2fs42979-020-00408-4&amp;partnerID=40&amp;md5=37cb9755720cbe70011b0bfa7bfcc0c2;http://dx.doi.org/10.1007/s42979-020-00408-4" TargetMode="External"/><Relationship Id="rId359" Type="http://schemas.openxmlformats.org/officeDocument/2006/relationships/hyperlink" Target="https://www.scopus.com/inward/record.uri?eid=2-s2.0-85132038889&amp;doi=10.1109%2fICSA53651.2022.00017&amp;partnerID=40&amp;md5=f41006061ada3ac78eb59d7d797684be;http://dx.doi.org/10.1109/ICSA53651.2022.00017" TargetMode="External"/><Relationship Id="rId566" Type="http://schemas.openxmlformats.org/officeDocument/2006/relationships/hyperlink" Target="https://www.scopus.com/inward/record.uri?eid=2-s2.0-85106463739&amp;doi=10.1109%2fISR50024.2021.9419498&amp;partnerID=40&amp;md5=ec2a8dfb34997476917eda005a1cd794;http://dx.doi.org/10.1109/ISR50024.2021.9419498" TargetMode="External"/><Relationship Id="rId773" Type="http://schemas.openxmlformats.org/officeDocument/2006/relationships/hyperlink" Target="https://www.scopus.com/inward/record.uri?eid=2-s2.0-85060212333&amp;doi=10.1007%2f978-981-13-5913-2_24&amp;partnerID=40&amp;md5=9d68dfe503ebe0dfdcc2600d7b769c9b;http://dx.doi.org/10.1007/978-981-13-5913-2_24" TargetMode="External"/><Relationship Id="rId1196" Type="http://schemas.openxmlformats.org/officeDocument/2006/relationships/hyperlink" Target="http://dx.doi.org/10.1109/SEmotion.2019.00014" TargetMode="External"/><Relationship Id="rId121" Type="http://schemas.openxmlformats.org/officeDocument/2006/relationships/hyperlink" Target="https://www.scopus.com/inward/record.uri?eid=2-s2.0-85136734876&amp;doi=10.1016%2fj.jss.2022.111483&amp;partnerID=40&amp;md5=909b9bd77d3ee232970fab3ecc4ee05c;http://dx.doi.org/10.1016/j.jss.2022.111483" TargetMode="External"/><Relationship Id="rId219" Type="http://schemas.openxmlformats.org/officeDocument/2006/relationships/hyperlink" Target="https://www.scopus.com/inward/record.uri?eid=2-s2.0-85133211210&amp;doi=10.1145%2f3524610.3527901&amp;partnerID=40&amp;md5=66bfdc062ab20d62b4b1d3b78e58fe20;http://dx.doi.org/10.1145/3524610.3527901" TargetMode="External"/><Relationship Id="rId426" Type="http://schemas.openxmlformats.org/officeDocument/2006/relationships/hyperlink" Target="https://www.scopus.com/inward/record.uri?eid=2-s2.0-85113249384&amp;doi=10.1109%2fICPC52881.2021.00030&amp;partnerID=40&amp;md5=4b077e0808597059c1a86172d30efe7a;http://dx.doi.org/10.1109/ICPC52881.2021.00030" TargetMode="External"/><Relationship Id="rId633" Type="http://schemas.openxmlformats.org/officeDocument/2006/relationships/hyperlink" Target="https://www.scopus.com/inward/record.uri?eid=2-s2.0-85062728420&amp;doi=10.1007%2fs10664-019-09688-8&amp;partnerID=40&amp;md5=cef3bfaa22528f155edd9d07f11a437d;http://dx.doi.org/10.1007/s10664-019-09688-8" TargetMode="External"/><Relationship Id="rId980" Type="http://schemas.openxmlformats.org/officeDocument/2006/relationships/hyperlink" Target="http://dx.doi.org/10.1109/ASE51524.2021.9678532" TargetMode="External"/><Relationship Id="rId1056" Type="http://schemas.openxmlformats.org/officeDocument/2006/relationships/hyperlink" Target="http://dx.doi.org/10.1109/WAIN52551.2021.00011" TargetMode="External"/><Relationship Id="rId1263" Type="http://schemas.openxmlformats.org/officeDocument/2006/relationships/hyperlink" Target="http://dx.doi.org/10.1109/EDUCON45650.2020.9125363" TargetMode="External"/><Relationship Id="rId2107" Type="http://schemas.openxmlformats.org/officeDocument/2006/relationships/hyperlink" Target="http://link.springer.com/article/10.1007/s11219-020-09540-z" TargetMode="External"/><Relationship Id="rId840" Type="http://schemas.openxmlformats.org/officeDocument/2006/relationships/hyperlink" Target="https://www.scopus.com/inward/record.uri?eid=2-s2.0-85029515113&amp;doi=10.1007%2f978-3-319-66284-8_1&amp;partnerID=40&amp;md5=32d5292a0e6d26b3a4fb181066229bd3;http://dx.doi.org/10.1007/978-3-319-66284-8_1" TargetMode="External"/><Relationship Id="rId938" Type="http://schemas.openxmlformats.org/officeDocument/2006/relationships/hyperlink" Target="https://www.scopus.com/inward/record.uri?eid=2-s2.0-85053913046&amp;doi=10.1145%2f3183428.3183435&amp;partnerID=40&amp;md5=4b8869fff7f56e549d660a454148a02e;http://dx.doi.org/10.1145/3183428.3183435" TargetMode="External"/><Relationship Id="rId1470" Type="http://schemas.openxmlformats.org/officeDocument/2006/relationships/hyperlink" Target="https://doi.org/10.1145/3351095.3372873;http:/dx.doi.org/10.1145/3351095.3372873" TargetMode="External"/><Relationship Id="rId1568" Type="http://schemas.openxmlformats.org/officeDocument/2006/relationships/hyperlink" Target="https://www.sciencedirect.com/science/article/pii/S095058491930028X;http:/dx.doi.org/10.1016/j.infsof.2019.02.001" TargetMode="External"/><Relationship Id="rId1775" Type="http://schemas.openxmlformats.org/officeDocument/2006/relationships/hyperlink" Target="http://link.springer.com/book/10.1007/978-3-030-98876-0" TargetMode="External"/><Relationship Id="rId67" Type="http://schemas.openxmlformats.org/officeDocument/2006/relationships/hyperlink" Target="https://www.scopus.com/inward/record.uri?eid=2-s2.0-85140801792&amp;doi=10.1109%2fTSE.2021.3115772&amp;partnerID=40&amp;md5=3a9de7995a8751a8ec08017658d9927e;http://dx.doi.org/10.1109/TSE.2021.3115772" TargetMode="External"/><Relationship Id="rId700" Type="http://schemas.openxmlformats.org/officeDocument/2006/relationships/hyperlink" Target="https://www.scopus.com/inward/record.uri?eid=2-s2.0-85071777875&amp;doi=10.1002%2fsmr.2203&amp;partnerID=40&amp;md5=d35f88df732c6388924b13ceafe7b8d0;http://dx.doi.org/10.1002/smr.2203" TargetMode="External"/><Relationship Id="rId1123" Type="http://schemas.openxmlformats.org/officeDocument/2006/relationships/hyperlink" Target="http://dx.doi.org/10.1109/IJCNN48605.2020.9207116" TargetMode="External"/><Relationship Id="rId1330" Type="http://schemas.openxmlformats.org/officeDocument/2006/relationships/hyperlink" Target="https://doi.org/10.1145/3544902.3546245;http:/dx.doi.org/10.1145/3544902.3546245" TargetMode="External"/><Relationship Id="rId1428" Type="http://schemas.openxmlformats.org/officeDocument/2006/relationships/hyperlink" Target="https://doi.org/10.1145/3372787.3390439;http:/dx.doi.org/10.1145/3372787.3390439" TargetMode="External"/><Relationship Id="rId1635" Type="http://schemas.openxmlformats.org/officeDocument/2006/relationships/hyperlink" Target="https://www.sciencedirect.com/science/article/pii/S0164121221000364;http:/dx.doi.org/10.1016/j.jss.2021.110939" TargetMode="External"/><Relationship Id="rId1982" Type="http://schemas.openxmlformats.org/officeDocument/2006/relationships/hyperlink" Target="http://link.springer.com/chapter/10.1007/978-3-030-65854-0_6" TargetMode="External"/><Relationship Id="rId1842" Type="http://schemas.openxmlformats.org/officeDocument/2006/relationships/hyperlink" Target="http://link.springer.com/book/10.1007/978-3-319-91797-9" TargetMode="External"/><Relationship Id="rId1702" Type="http://schemas.openxmlformats.org/officeDocument/2006/relationships/hyperlink" Target="https://www.sciencedirect.com/science/article/pii/S0164121218301109;http:/dx.doi.org/10.1016/j.jss.2018.05.057" TargetMode="External"/><Relationship Id="rId283" Type="http://schemas.openxmlformats.org/officeDocument/2006/relationships/hyperlink" Target="https://www.scopus.com/inward/record.uri?eid=2-s2.0-85133153613&amp;doi=10.1007%2f978-3-031-07802-6_30&amp;partnerID=40&amp;md5=bb38e6afb779e1d9ea89781395994d79;http://dx.doi.org/10.1007/978-3-031-07802-6_30" TargetMode="External"/><Relationship Id="rId490" Type="http://schemas.openxmlformats.org/officeDocument/2006/relationships/hyperlink" Target="https://www.scopus.com/inward/record.uri?eid=2-s2.0-85088664918&amp;doi=10.1016%2fj.infsof.2020.106377&amp;partnerID=40&amp;md5=4df408d610ac5bacdaf9baf6816d7607;http://dx.doi.org/10.1016/j.infsof.2020.106377" TargetMode="External"/><Relationship Id="rId2171" Type="http://schemas.openxmlformats.org/officeDocument/2006/relationships/hyperlink" Target="http://link.springer.com/chapter/10.1007/978-3-030-85521-5_7" TargetMode="External"/><Relationship Id="rId143" Type="http://schemas.openxmlformats.org/officeDocument/2006/relationships/hyperlink" Target="https://www.scopus.com/inward/record.uri?eid=2-s2.0-85121844776&amp;doi=10.1109%2fTSE.2021.3135465&amp;partnerID=40&amp;md5=1410d9efd8f71992be0a957c0c044f54;http://dx.doi.org/10.1109/TSE.2021.3135465" TargetMode="External"/><Relationship Id="rId350" Type="http://schemas.openxmlformats.org/officeDocument/2006/relationships/hyperlink" Target="https://www.scopus.com/inward/record.uri?eid=2-s2.0-85135059663&amp;doi=10.1145%2f3526073.3527591&amp;partnerID=40&amp;md5=3e69d49eaecd420d1a03d09b2da925b1;http://dx.doi.org/10.1145/3526073.3527591" TargetMode="External"/><Relationship Id="rId588" Type="http://schemas.openxmlformats.org/officeDocument/2006/relationships/hyperlink" Target="https://www.scopus.com/inward/record.uri?eid=2-s2.0-85141430282&amp;doi=10.1109%2fQRS54544.2021.00103&amp;partnerID=40&amp;md5=b6d0f6795eecbed78733249832cfaa95;http://dx.doi.org/10.1109/QRS54544.2021.00103" TargetMode="External"/><Relationship Id="rId795" Type="http://schemas.openxmlformats.org/officeDocument/2006/relationships/hyperlink" Target="https://www.scopus.com/inward/record.uri?eid=2-s2.0-85078911241&amp;doi=10.1109%2fASE.2019.00065&amp;partnerID=40&amp;md5=ed17e5d010919355e0d572e5484ea7bb;http://dx.doi.org/10.1109/ASE.2019.00065" TargetMode="External"/><Relationship Id="rId2031" Type="http://schemas.openxmlformats.org/officeDocument/2006/relationships/hyperlink" Target="http://link.springer.com/chapter/10.1007/978-3-030-67084-9_6" TargetMode="External"/><Relationship Id="rId9" Type="http://schemas.openxmlformats.org/officeDocument/2006/relationships/hyperlink" Target="http://dx.doi.org/10.1142/S021819402150008X" TargetMode="External"/><Relationship Id="rId210" Type="http://schemas.openxmlformats.org/officeDocument/2006/relationships/hyperlink" Target="https://www.scopus.com/inward/record.uri?eid=2-s2.0-85123681647&amp;doi=10.1109%2fTBDATA.2019.2921774&amp;partnerID=40&amp;md5=6e88382f167f730e2264f02d89055666;http://dx.doi.org/10.1109/TBDATA.2019.2921774" TargetMode="External"/><Relationship Id="rId448" Type="http://schemas.openxmlformats.org/officeDocument/2006/relationships/hyperlink" Target="https://www.scopus.com/inward/record.uri?eid=2-s2.0-85097642624&amp;doi=10.1109%2fSCAM51674.2020.00011&amp;partnerID=40&amp;md5=546e6224a37a8c2f83e5f1025cdcc7d1;http://dx.doi.org/10.1109/SCAM51674.2020.00011" TargetMode="External"/><Relationship Id="rId655" Type="http://schemas.openxmlformats.org/officeDocument/2006/relationships/hyperlink" Target="https://www.scopus.com/inward/record.uri?eid=2-s2.0-85092446639&amp;doi=10.1145%2f3379177.3388905&amp;partnerID=40&amp;md5=ae75579ef8db6ccdf0c715c3943eb7a6;http://dx.doi.org/10.1145/3379177.3388905" TargetMode="External"/><Relationship Id="rId862" Type="http://schemas.openxmlformats.org/officeDocument/2006/relationships/hyperlink" Target="https://www.scopus.com/inward/record.uri?eid=2-s2.0-85009513487&amp;partnerID=40&amp;md5=10de414f1ac383281bd9932dc8e1f757" TargetMode="External"/><Relationship Id="rId1078" Type="http://schemas.openxmlformats.org/officeDocument/2006/relationships/hyperlink" Target="http://dx.doi.org/10.1145/3510457.3513082" TargetMode="External"/><Relationship Id="rId1285" Type="http://schemas.openxmlformats.org/officeDocument/2006/relationships/hyperlink" Target="http://dx.doi.org/10.1145/3524842.3528032" TargetMode="External"/><Relationship Id="rId1492" Type="http://schemas.openxmlformats.org/officeDocument/2006/relationships/hyperlink" Target="https://doi.org/10.1109/ICPC.2019.00019;http:/dx.doi.org/10.1109/ICPC.2019.00019" TargetMode="External"/><Relationship Id="rId2129" Type="http://schemas.openxmlformats.org/officeDocument/2006/relationships/hyperlink" Target="http://link.springer.com/chapter/10.1007/978-3-030-86152-0_2" TargetMode="External"/><Relationship Id="rId308" Type="http://schemas.openxmlformats.org/officeDocument/2006/relationships/hyperlink" Target="https://www.scopus.com/inward/record.uri?eid=2-s2.0-85134010393&amp;doi=10.1145%2f3524842.3528458&amp;partnerID=40&amp;md5=d8401c36c5326b84dda8e37b616b2012;http://dx.doi.org/10.1145/3524842.3528458" TargetMode="External"/><Relationship Id="rId515" Type="http://schemas.openxmlformats.org/officeDocument/2006/relationships/hyperlink" Target="https://www.scopus.com/inward/record.uri?eid=2-s2.0-85125305120&amp;doi=10.1109%2fICCC54389.2021.9674263&amp;partnerID=40&amp;md5=2574ac649ab5d0971955cc5c7b7bcecf;http://dx.doi.org/10.1109/ICCC54389.2021.9674263" TargetMode="External"/><Relationship Id="rId722" Type="http://schemas.openxmlformats.org/officeDocument/2006/relationships/hyperlink" Target="https://www.scopus.com/inward/record.uri?eid=2-s2.0-85073409904&amp;doi=10.1109%2fIWoR.2019.00017&amp;partnerID=40&amp;md5=7b843d164db9bbed15b53fc663521848;http://dx.doi.org/10.1109/IWoR.2019.00017" TargetMode="External"/><Relationship Id="rId1145" Type="http://schemas.openxmlformats.org/officeDocument/2006/relationships/hyperlink" Target="http://dx.doi.org/10.1109/SANER50967.2021.00043" TargetMode="External"/><Relationship Id="rId1352" Type="http://schemas.openxmlformats.org/officeDocument/2006/relationships/hyperlink" Target="https://doi.org/10.1145/3196398.3196423;http:/dx.doi.org/10.1145/3196398.3196423" TargetMode="External"/><Relationship Id="rId1797" Type="http://schemas.openxmlformats.org/officeDocument/2006/relationships/hyperlink" Target="http://link.springer.com/book/10.1007/978-981-19-1111-8" TargetMode="External"/><Relationship Id="rId89" Type="http://schemas.openxmlformats.org/officeDocument/2006/relationships/hyperlink" Target="https://www.scopus.com/inward/record.uri?eid=2-s2.0-85143197967&amp;doi=10.1145%2f3558489.3559069&amp;partnerID=40&amp;md5=aa575bcbfb3041317cdc8d2bbdc8cad1;http://dx.doi.org/10.1145/3558489.3559069" TargetMode="External"/><Relationship Id="rId1005" Type="http://schemas.openxmlformats.org/officeDocument/2006/relationships/hyperlink" Target="http://dx.doi.org/10.1145/3522664.3528611" TargetMode="External"/><Relationship Id="rId1212" Type="http://schemas.openxmlformats.org/officeDocument/2006/relationships/hyperlink" Target="http://dx.doi.org/10.1109/BigData52589.2021.9671930" TargetMode="External"/><Relationship Id="rId1657" Type="http://schemas.openxmlformats.org/officeDocument/2006/relationships/hyperlink" Target="https://www.sciencedirect.com/science/article/pii/S0167404821000821;http:/dx.doi.org/10.1016/j.cose.2021.102258" TargetMode="External"/><Relationship Id="rId1864" Type="http://schemas.openxmlformats.org/officeDocument/2006/relationships/hyperlink" Target="http://link.springer.com/book/10.1007/978-3-030-67032-0" TargetMode="External"/><Relationship Id="rId1517" Type="http://schemas.openxmlformats.org/officeDocument/2006/relationships/hyperlink" Target="https://doi.org/10.1109/ICSE.2019.00117;http:/dx.doi.org/10.1109/ICSE.2019.00117" TargetMode="External"/><Relationship Id="rId1724" Type="http://schemas.openxmlformats.org/officeDocument/2006/relationships/hyperlink" Target="http://link.springer.com/book/10.1007/978-3-030-70873-3" TargetMode="External"/><Relationship Id="rId16" Type="http://schemas.openxmlformats.org/officeDocument/2006/relationships/hyperlink" Target="http://dx.doi.org/10.1007/s10664-021-10110-5" TargetMode="External"/><Relationship Id="rId1931" Type="http://schemas.openxmlformats.org/officeDocument/2006/relationships/hyperlink" Target="http://link.springer.com/chapter/10.1007/978-3-030-89159-6_14" TargetMode="External"/><Relationship Id="rId165" Type="http://schemas.openxmlformats.org/officeDocument/2006/relationships/hyperlink" Target="https://www.scopus.com/inward/record.uri?eid=2-s2.0-85134628533&amp;doi=10.1016%2fj.simpa.2022.100352&amp;partnerID=40&amp;md5=fda78d822c21fe568d2eb9b5aa5a1fc6;http://dx.doi.org/10.1016/j.simpa.2022.100352" TargetMode="External"/><Relationship Id="rId372" Type="http://schemas.openxmlformats.org/officeDocument/2006/relationships/hyperlink" Target="https://www.scopus.com/inward/record.uri?eid=2-s2.0-85134029487&amp;doi=10.1145%2f3524842.3528519&amp;partnerID=40&amp;md5=09d08d5a25188bca9d93d6035c878653;http://dx.doi.org/10.1145/3524842.3528519" TargetMode="External"/><Relationship Id="rId677" Type="http://schemas.openxmlformats.org/officeDocument/2006/relationships/hyperlink" Target="https://www.scopus.com/inward/record.uri?eid=2-s2.0-85072316200&amp;doi=10.1109%2fICPC.2019.00023&amp;partnerID=40&amp;md5=9d90ddc422db8353080db82eb01e152b;http://dx.doi.org/10.1109/ICPC.2019.00023" TargetMode="External"/><Relationship Id="rId2053" Type="http://schemas.openxmlformats.org/officeDocument/2006/relationships/hyperlink" Target="http://link.springer.com/book/10.1007/978-3-658-31519-1" TargetMode="External"/><Relationship Id="rId232" Type="http://schemas.openxmlformats.org/officeDocument/2006/relationships/hyperlink" Target="https://www.scopus.com/inward/record.uri?eid=2-s2.0-85113807787&amp;doi=10.1145%2f3469440&amp;partnerID=40&amp;md5=ac2ec772179d5bb925bf67779e557769;http://dx.doi.org/10.1145/3469440" TargetMode="External"/><Relationship Id="rId884" Type="http://schemas.openxmlformats.org/officeDocument/2006/relationships/hyperlink" Target="https://www.scopus.com/inward/record.uri?eid=2-s2.0-85060254810&amp;partnerID=40&amp;md5=01ebbc18f8a113b3506a1517367862f0" TargetMode="External"/><Relationship Id="rId2120" Type="http://schemas.openxmlformats.org/officeDocument/2006/relationships/hyperlink" Target="http://link.springer.com/chapter/10.1007/978-3-030-58703-1_17" TargetMode="External"/><Relationship Id="rId537" Type="http://schemas.openxmlformats.org/officeDocument/2006/relationships/hyperlink" Target="https://www.scopus.com/inward/record.uri?eid=2-s2.0-85113231448&amp;doi=10.1109%2fICPC52881.2021.00013&amp;partnerID=40&amp;md5=20346bedd01823c0775782424717eece;http://dx.doi.org/10.1109/ICPC52881.2021.00013" TargetMode="External"/><Relationship Id="rId744" Type="http://schemas.openxmlformats.org/officeDocument/2006/relationships/hyperlink" Target="https://www.scopus.com/inward/record.uri?eid=2-s2.0-85066781621&amp;doi=10.1109%2fACCESS.2019.2913349&amp;partnerID=40&amp;md5=2431b5a8094d9f30fc3f2c51c6f84480;http://dx.doi.org/10.1109/ACCESS.2019.2913349" TargetMode="External"/><Relationship Id="rId951" Type="http://schemas.openxmlformats.org/officeDocument/2006/relationships/hyperlink" Target="https://www.scopus.com/inward/record.uri?eid=2-s2.0-84961144203&amp;doi=10.1016%2fj.infsof.2016.02.003&amp;partnerID=40&amp;md5=39d31d9a944d5e67c10ac63568c00a64;http://dx.doi.org/10.1016/j.infsof.2016.02.003" TargetMode="External"/><Relationship Id="rId1167" Type="http://schemas.openxmlformats.org/officeDocument/2006/relationships/hyperlink" Target="http://dx.doi.org/10.1109/ICSME.2019.00060" TargetMode="External"/><Relationship Id="rId1374" Type="http://schemas.openxmlformats.org/officeDocument/2006/relationships/hyperlink" Target="https://doi.org/10.1145/2666581.2666583;http:/dx.doi.org/10.1145/2666581.2666583" TargetMode="External"/><Relationship Id="rId1581" Type="http://schemas.openxmlformats.org/officeDocument/2006/relationships/hyperlink" Target="https://www.sciencedirect.com/science/article/pii/B9780128001622000142;http:/dx.doi.org/10.1016/B978-0-12-800162-2.00014-2" TargetMode="External"/><Relationship Id="rId1679" Type="http://schemas.openxmlformats.org/officeDocument/2006/relationships/hyperlink" Target="https://www.sciencedirect.com/science/article/pii/S0164121218300918;http:/dx.doi.org/10.1016/j.jss.2018.05.003" TargetMode="External"/><Relationship Id="rId80" Type="http://schemas.openxmlformats.org/officeDocument/2006/relationships/hyperlink" Target="https://www.scopus.com/inward/record.uri?eid=2-s2.0-85141605926&amp;doi=10.1109%2fJSTARS.2022.3219897&amp;partnerID=40&amp;md5=8666402555025111c6b3fde9268cef8b;http://dx.doi.org/10.1109/JSTARS.2022.3219897" TargetMode="External"/><Relationship Id="rId604" Type="http://schemas.openxmlformats.org/officeDocument/2006/relationships/hyperlink" Target="https://www.scopus.com/inward/record.uri?eid=2-s2.0-85098698807&amp;doi=10.1016%2fj.jss.2020.110885&amp;partnerID=40&amp;md5=79bcce91325598c5ba71753a900109f3;http://dx.doi.org/10.1016/j.jss.2020.110885" TargetMode="External"/><Relationship Id="rId811" Type="http://schemas.openxmlformats.org/officeDocument/2006/relationships/hyperlink" Target="https://www.scopus.com/inward/record.uri?eid=2-s2.0-85083668952&amp;doi=10.1109%2fCCEM48484.2019.00014&amp;partnerID=40&amp;md5=37e0fe2cda2f2eab98accce36ebc9767;http://dx.doi.org/10.1109/CCEM48484.2019.00014" TargetMode="External"/><Relationship Id="rId1027" Type="http://schemas.openxmlformats.org/officeDocument/2006/relationships/hyperlink" Target="http://dx.doi.org/10.1109/TASE.2020.3008055" TargetMode="External"/><Relationship Id="rId1234" Type="http://schemas.openxmlformats.org/officeDocument/2006/relationships/hyperlink" Target="http://dx.doi.org/10.1109/ACCESS.2021.3066348" TargetMode="External"/><Relationship Id="rId1441" Type="http://schemas.openxmlformats.org/officeDocument/2006/relationships/hyperlink" Target="https://doi.org/10.1145/3534678.3539059;http:/dx.doi.org/10.1145/3534678.3539059" TargetMode="External"/><Relationship Id="rId1886" Type="http://schemas.openxmlformats.org/officeDocument/2006/relationships/hyperlink" Target="http://link.springer.com/book/10.1007/978-1-4842-7383-8" TargetMode="External"/><Relationship Id="rId909" Type="http://schemas.openxmlformats.org/officeDocument/2006/relationships/hyperlink" Target="https://www.scopus.com/inward/record.uri?eid=2-s2.0-85051654015&amp;doi=10.1145%2f3196398.3196459&amp;partnerID=40&amp;md5=68ae9396be10178693fabb42ae333235;http://dx.doi.org/10.1145/3196398.3196459" TargetMode="External"/><Relationship Id="rId1301" Type="http://schemas.openxmlformats.org/officeDocument/2006/relationships/hyperlink" Target="http://dx.doi.org/10.1109/TSE.2019.2960169" TargetMode="External"/><Relationship Id="rId1539" Type="http://schemas.openxmlformats.org/officeDocument/2006/relationships/hyperlink" Target="https://doi.org/10.1145/3512934;http:/dx.doi.org/10.1145/3512934" TargetMode="External"/><Relationship Id="rId1746" Type="http://schemas.openxmlformats.org/officeDocument/2006/relationships/hyperlink" Target="http://link.springer.com/book/10.1007/978-3-030-80119-9" TargetMode="External"/><Relationship Id="rId1953" Type="http://schemas.openxmlformats.org/officeDocument/2006/relationships/hyperlink" Target="http://link.springer.com/chapter/10.1007/978-3-030-65854-0_5" TargetMode="External"/><Relationship Id="rId38" Type="http://schemas.openxmlformats.org/officeDocument/2006/relationships/hyperlink" Target="https://www.scopus.com/inward/record.uri?eid=2-s2.0-85126535966&amp;doi=10.1007%2fs10664-021-10110-5&amp;partnerID=40&amp;md5=4532d1f2c2f16aac1c17a49eb93c0e31;http://dx.doi.org/10.1007/s10664-021-10110-5" TargetMode="External"/><Relationship Id="rId1606" Type="http://schemas.openxmlformats.org/officeDocument/2006/relationships/hyperlink" Target="https://www.sciencedirect.com/science/article/pii/S0950584919300321;http:/dx.doi.org/10.1016/j.infsof.2019.02.004" TargetMode="External"/><Relationship Id="rId1813" Type="http://schemas.openxmlformats.org/officeDocument/2006/relationships/hyperlink" Target="http://link.springer.com/book/10.1007/978-3-030-87839-9" TargetMode="External"/><Relationship Id="rId187" Type="http://schemas.openxmlformats.org/officeDocument/2006/relationships/hyperlink" Target="https://www.scopus.com/inward/record.uri?eid=2-s2.0-85144734803&amp;doi=10.3390%2fcomputers11120179&amp;partnerID=40&amp;md5=8e7462afaf721f217f380c5e66ef3c0e;http://dx.doi.org/10.3390/computers11120179" TargetMode="External"/><Relationship Id="rId394" Type="http://schemas.openxmlformats.org/officeDocument/2006/relationships/hyperlink" Target="https://www.scopus.com/inward/record.uri?eid=2-s2.0-85114827039&amp;doi=10.1109%2fTechDebt52882.2021.00011&amp;partnerID=40&amp;md5=934d9d466016810c9acf88a4b0612b8d;http://dx.doi.org/10.1109/TechDebt52882.2021.00011" TargetMode="External"/><Relationship Id="rId2075" Type="http://schemas.openxmlformats.org/officeDocument/2006/relationships/hyperlink" Target="http://link.springer.com/article/10.1007/s10664-020-09819-6" TargetMode="External"/><Relationship Id="rId254" Type="http://schemas.openxmlformats.org/officeDocument/2006/relationships/hyperlink" Target="https://www.scopus.com/inward/record.uri?eid=2-s2.0-85132828703&amp;doi=10.1109%2fICSE-SEIP55303.2022.9794115&amp;partnerID=40&amp;md5=e98012d4d684cd76149215af71dc8b4a;http://dx.doi.org/10.1109/ICSE-SEIP55303.2022.9794115" TargetMode="External"/><Relationship Id="rId699" Type="http://schemas.openxmlformats.org/officeDocument/2006/relationships/hyperlink" Target="https://www.scopus.com/inward/record.uri?eid=2-s2.0-85088377053&amp;partnerID=40&amp;md5=680d2c47b68278e24eac605a0e70c204" TargetMode="External"/><Relationship Id="rId1091" Type="http://schemas.openxmlformats.org/officeDocument/2006/relationships/hyperlink" Target="http://dx.doi.org/10.1109/SEAA.2018.00067" TargetMode="External"/><Relationship Id="rId114" Type="http://schemas.openxmlformats.org/officeDocument/2006/relationships/hyperlink" Target="https://www.scopus.com/inward/record.uri?eid=2-s2.0-85138727978&amp;doi=10.3390%2felectronics11182820&amp;partnerID=40&amp;md5=01dcc373fcf1c5021560dfa50bc4a8e7;http://dx.doi.org/10.3390/electronics11182820" TargetMode="External"/><Relationship Id="rId461" Type="http://schemas.openxmlformats.org/officeDocument/2006/relationships/hyperlink" Target="https://www.scopus.com/inward/record.uri?eid=2-s2.0-85086465273&amp;doi=10.1016%2fj.jss.2020.110693&amp;partnerID=40&amp;md5=c52d1386d8458354f2e436c3ae9006dc;http://dx.doi.org/10.1016/j.jss.2020.110693" TargetMode="External"/><Relationship Id="rId559" Type="http://schemas.openxmlformats.org/officeDocument/2006/relationships/hyperlink" Target="https://www.scopus.com/inward/record.uri?eid=2-s2.0-85103217766&amp;doi=10.1109%2fTSE.2019.2897300&amp;partnerID=40&amp;md5=17aa466ad61386ef9b07e43639b8c62b;http://dx.doi.org/10.1109/TSE.2019.2897300" TargetMode="External"/><Relationship Id="rId766" Type="http://schemas.openxmlformats.org/officeDocument/2006/relationships/hyperlink" Target="https://www.scopus.com/inward/record.uri?eid=2-s2.0-85093832705&amp;doi=10.1109%2fIJCNN48605.2020.9207356&amp;partnerID=40&amp;md5=49ec179bf6889688add0b6da0c0e6f58;http://dx.doi.org/10.1109/IJCNN48605.2020.9207356" TargetMode="External"/><Relationship Id="rId1189" Type="http://schemas.openxmlformats.org/officeDocument/2006/relationships/hyperlink" Target="http://dx.doi.org/10.1109/ESEM.2017.12" TargetMode="External"/><Relationship Id="rId1396" Type="http://schemas.openxmlformats.org/officeDocument/2006/relationships/hyperlink" Target="https://doi.org/10.1145/3324884.3416583;http:/dx.doi.org/10.1145/3324884.3416583" TargetMode="External"/><Relationship Id="rId2142" Type="http://schemas.openxmlformats.org/officeDocument/2006/relationships/hyperlink" Target="http://link.springer.com/chapter/10.1007/978-3-030-30701-1_3" TargetMode="External"/><Relationship Id="rId321" Type="http://schemas.openxmlformats.org/officeDocument/2006/relationships/hyperlink" Target="https://www.scopus.com/inward/record.uri?eid=2-s2.0-85134065747&amp;doi=10.1145%2f3524842.3528431&amp;partnerID=40&amp;md5=a0abf95d46544d32bfc42882d4d48bcf;http://dx.doi.org/10.1145/3524842.3528431" TargetMode="External"/><Relationship Id="rId419" Type="http://schemas.openxmlformats.org/officeDocument/2006/relationships/hyperlink" Target="https://www.scopus.com/inward/record.uri?eid=2-s2.0-85106414853&amp;partnerID=40&amp;md5=dd55c969141da37da7cf192f0fcca10a" TargetMode="External"/><Relationship Id="rId626" Type="http://schemas.openxmlformats.org/officeDocument/2006/relationships/hyperlink" Target="https://www.scopus.com/inward/record.uri?eid=2-s2.0-85072781929&amp;doi=10.1109%2fBigDataCongress.2019.00025&amp;partnerID=40&amp;md5=d55f5a5347b43aa35291b1b926b0f294;http://dx.doi.org/10.1109/BigDataCongress.2019.00025" TargetMode="External"/><Relationship Id="rId973" Type="http://schemas.openxmlformats.org/officeDocument/2006/relationships/hyperlink" Target="http://dx.doi.org/10.1109/SLAAI-ICAI54477.2021.9664736" TargetMode="External"/><Relationship Id="rId1049" Type="http://schemas.openxmlformats.org/officeDocument/2006/relationships/hyperlink" Target="http://dx.doi.org/10.1109/MS.2018.227105530" TargetMode="External"/><Relationship Id="rId1256" Type="http://schemas.openxmlformats.org/officeDocument/2006/relationships/hyperlink" Target="http://dx.doi.org/10.1109/ICSA47634.2020.00013" TargetMode="External"/><Relationship Id="rId2002" Type="http://schemas.openxmlformats.org/officeDocument/2006/relationships/hyperlink" Target="http://link.springer.com/chapter/10.1007/978-981-33-4859-2_26" TargetMode="External"/><Relationship Id="rId833" Type="http://schemas.openxmlformats.org/officeDocument/2006/relationships/hyperlink" Target="https://www.scopus.com/inward/record.uri?eid=2-s2.0-84961661955&amp;doi=10.1109%2fICSM.2015.7332458&amp;partnerID=40&amp;md5=f08ced87b7c6be23d92ee0cde4fda468;http://dx.doi.org/10.1109/ICSM.2015.7332458" TargetMode="External"/><Relationship Id="rId1116" Type="http://schemas.openxmlformats.org/officeDocument/2006/relationships/hyperlink" Target="http://dx.doi.org/10.1109/TENCON.2019.8929628" TargetMode="External"/><Relationship Id="rId1463" Type="http://schemas.openxmlformats.org/officeDocument/2006/relationships/hyperlink" Target="https://doi.org/10.1145/3197231.3198444;http:/dx.doi.org/10.1145/3197231.3198444" TargetMode="External"/><Relationship Id="rId1670" Type="http://schemas.openxmlformats.org/officeDocument/2006/relationships/hyperlink" Target="https://www.sciencedirect.com/science/article/pii/B9780128180150000062;http:/dx.doi.org/10.1016/B978-0-12-818015-0.00006-2" TargetMode="External"/><Relationship Id="rId1768" Type="http://schemas.openxmlformats.org/officeDocument/2006/relationships/hyperlink" Target="http://link.springer.com/article/10.1007/s10515-022-00358-6" TargetMode="External"/><Relationship Id="rId900" Type="http://schemas.openxmlformats.org/officeDocument/2006/relationships/hyperlink" Target="https://www.scopus.com/inward/record.uri?eid=2-s2.0-85047970347&amp;doi=10.1016%2fj.jss.2018.05.057&amp;partnerID=40&amp;md5=13247a0e7927890a2a6e02889e25dbc8;http://dx.doi.org/10.1016/j.jss.2018.05.057" TargetMode="External"/><Relationship Id="rId1323" Type="http://schemas.openxmlformats.org/officeDocument/2006/relationships/hyperlink" Target="https://doi.org/10.1109/ICSE43902.2021.00033;http:/dx.doi.org/10.1109/ICSE43902.2021.00033" TargetMode="External"/><Relationship Id="rId1530" Type="http://schemas.openxmlformats.org/officeDocument/2006/relationships/hyperlink" Target="https://doi.org/10.1145/3551624.3555286;http:/dx.doi.org/10.1145/3551624.3555286" TargetMode="External"/><Relationship Id="rId1628" Type="http://schemas.openxmlformats.org/officeDocument/2006/relationships/hyperlink" Target="https://www.sciencedirect.com/science/article/pii/S0950584920301701;http:/dx.doi.org/10.1016/j.infsof.2020.106407" TargetMode="External"/><Relationship Id="rId1975" Type="http://schemas.openxmlformats.org/officeDocument/2006/relationships/hyperlink" Target="http://link.springer.com/chapter/10.1007/978-3-030-12157-0_16" TargetMode="External"/><Relationship Id="rId1835" Type="http://schemas.openxmlformats.org/officeDocument/2006/relationships/hyperlink" Target="http://link.springer.com/book/10.1007/978-3-030-79976-2" TargetMode="External"/><Relationship Id="rId1902" Type="http://schemas.openxmlformats.org/officeDocument/2006/relationships/hyperlink" Target="http://link.springer.com/chapter/10.1007/978-3-030-64148-1_12" TargetMode="External"/><Relationship Id="rId2097" Type="http://schemas.openxmlformats.org/officeDocument/2006/relationships/hyperlink" Target="http://link.springer.com/chapter/10.1007/978-3-030-16142-2_22" TargetMode="External"/><Relationship Id="rId276" Type="http://schemas.openxmlformats.org/officeDocument/2006/relationships/hyperlink" Target="https://www.scopus.com/inward/record.uri?eid=2-s2.0-85135814472&amp;doi=10.1109%2fSANER53432.2022.00039&amp;partnerID=40&amp;md5=8de238549893d91d497d59d5920f5719;http://dx.doi.org/10.1109/SANER53432.2022.00039" TargetMode="External"/><Relationship Id="rId483" Type="http://schemas.openxmlformats.org/officeDocument/2006/relationships/hyperlink" Target="https://www.scopus.com/inward/record.uri?eid=2-s2.0-85101464715&amp;doi=10.1088%2f2632-2153%2fabd614&amp;partnerID=40&amp;md5=0314ae54375d899eecd46cb3ed417ab5;http://dx.doi.org/10.1088/2632-2153/abd614" TargetMode="External"/><Relationship Id="rId690" Type="http://schemas.openxmlformats.org/officeDocument/2006/relationships/hyperlink" Target="https://www.scopus.com/inward/record.uri?eid=2-s2.0-85092712028&amp;doi=10.1145%2f3377815.3381377&amp;partnerID=40&amp;md5=98ed3c4b97ddeac843854ee0c5ca9648;http://dx.doi.org/10.1145/3377815.3381377" TargetMode="External"/><Relationship Id="rId2164" Type="http://schemas.openxmlformats.org/officeDocument/2006/relationships/hyperlink" Target="http://link.springer.com/chapter/10.1007/978-3-030-23570-3_15" TargetMode="External"/><Relationship Id="rId136" Type="http://schemas.openxmlformats.org/officeDocument/2006/relationships/hyperlink" Target="https://www.scopus.com/inward/record.uri?eid=2-s2.0-85140604339&amp;doi=10.3390%2fcomputers11100151&amp;partnerID=40&amp;md5=3b49fdbcd1605c628da34e7a18bf2cf1;http://dx.doi.org/10.3390/computers11100151" TargetMode="External"/><Relationship Id="rId343" Type="http://schemas.openxmlformats.org/officeDocument/2006/relationships/hyperlink" Target="https://www.scopus.com/inward/record.uri?eid=2-s2.0-85134078512&amp;doi=10.1109%2fSANER53432.2022.00022&amp;partnerID=40&amp;md5=83912dd89d5bb13fff0e59bf8748443b;http://dx.doi.org/10.1109/SANER53432.2022.00022" TargetMode="External"/><Relationship Id="rId550" Type="http://schemas.openxmlformats.org/officeDocument/2006/relationships/hyperlink" Target="https://www.scopus.com/inward/record.uri?eid=2-s2.0-85097354714&amp;doi=10.1109%2fISSRE5003.2020.00010&amp;partnerID=40&amp;md5=795fcf5bfbb26fe7892e6069385ad8ee;http://dx.doi.org/10.1109/ISSRE5003.2020.00010" TargetMode="External"/><Relationship Id="rId788" Type="http://schemas.openxmlformats.org/officeDocument/2006/relationships/hyperlink" Target="https://www.scopus.com/inward/record.uri?eid=2-s2.0-85091400625&amp;partnerID=40&amp;md5=f5f3ef9ca14d043c9945715ac9022a3f" TargetMode="External"/><Relationship Id="rId995" Type="http://schemas.openxmlformats.org/officeDocument/2006/relationships/hyperlink" Target="http://dx.doi.org/10.1109/MCSE.2015.113" TargetMode="External"/><Relationship Id="rId1180" Type="http://schemas.openxmlformats.org/officeDocument/2006/relationships/hyperlink" Target="http://dx.doi.org/10.1109/ICSE43902.2021.00125" TargetMode="External"/><Relationship Id="rId2024" Type="http://schemas.openxmlformats.org/officeDocument/2006/relationships/hyperlink" Target="http://link.springer.com/chapter/10.1007/978-3-319-91563-0_36" TargetMode="External"/><Relationship Id="rId203" Type="http://schemas.openxmlformats.org/officeDocument/2006/relationships/hyperlink" Target="https://www.scopus.com/inward/record.uri?eid=2-s2.0-85136567400&amp;doi=10.1155%2f2022%2f8560873&amp;partnerID=40&amp;md5=c00f8c72198b883b144bc0dd914ea843;http://dx.doi.org/10.1155/2022/8560873" TargetMode="External"/><Relationship Id="rId648" Type="http://schemas.openxmlformats.org/officeDocument/2006/relationships/hyperlink" Target="https://www.scopus.com/inward/record.uri?eid=2-s2.0-85075999048&amp;doi=10.1109%2fSEAA.2019.00057&amp;partnerID=40&amp;md5=3a9d32f3dff27ced9892d892d6cc3c7a;http://dx.doi.org/10.1109/SEAA.2019.00057" TargetMode="External"/><Relationship Id="rId855" Type="http://schemas.openxmlformats.org/officeDocument/2006/relationships/hyperlink" Target="https://www.scopus.com/inward/record.uri?eid=2-s2.0-85083954471&amp;partnerID=40&amp;md5=446c71b9443bcdefa6ad28aa652b3d0d" TargetMode="External"/><Relationship Id="rId1040" Type="http://schemas.openxmlformats.org/officeDocument/2006/relationships/hyperlink" Target="http://dx.doi.org/10.1109/JEEIT.2019.8717457" TargetMode="External"/><Relationship Id="rId1278" Type="http://schemas.openxmlformats.org/officeDocument/2006/relationships/hyperlink" Target="https://ieeexplore.ieee.org/document/9519685" TargetMode="External"/><Relationship Id="rId1485" Type="http://schemas.openxmlformats.org/officeDocument/2006/relationships/hyperlink" Target="https://doi.org/10.1145/2950290.2983985;http:/dx.doi.org/10.1145/2950290.2983985" TargetMode="External"/><Relationship Id="rId1692" Type="http://schemas.openxmlformats.org/officeDocument/2006/relationships/hyperlink" Target="https://www.sciencedirect.com/science/article/pii/S0950584918302490;http:/dx.doi.org/10.1016/j.infsof.2018.12.003" TargetMode="External"/><Relationship Id="rId410" Type="http://schemas.openxmlformats.org/officeDocument/2006/relationships/hyperlink" Target="https://www.scopus.com/inward/record.uri?eid=2-s2.0-85126707731&amp;doi=10.1145%2f3510003.3510225&amp;partnerID=40&amp;md5=7973f41823746324aac641424afc9dda;http://dx.doi.org/10.1145/3510003.3510225" TargetMode="External"/><Relationship Id="rId508" Type="http://schemas.openxmlformats.org/officeDocument/2006/relationships/hyperlink" Target="https://www.scopus.com/inward/record.uri?eid=2-s2.0-85090024069&amp;doi=10.1016%2fj.jss.2020.110806&amp;partnerID=40&amp;md5=3fc8497ac55b764c00a741b82889bf76;http://dx.doi.org/10.1016/j.jss.2020.110806" TargetMode="External"/><Relationship Id="rId715" Type="http://schemas.openxmlformats.org/officeDocument/2006/relationships/hyperlink" Target="https://www.scopus.com/inward/record.uri?eid=2-s2.0-85091170915&amp;doi=10.1007%2f978-3-030-58793-2_5&amp;partnerID=40&amp;md5=032c6818c86a80c7184d355953e702e4;http://dx.doi.org/10.1007/978-3-030-58793-2_5" TargetMode="External"/><Relationship Id="rId922" Type="http://schemas.openxmlformats.org/officeDocument/2006/relationships/hyperlink" Target="https://www.scopus.com/inward/record.uri?eid=2-s2.0-85006456778&amp;doi=10.1007%2f978-3-319-50478-0_10&amp;partnerID=40&amp;md5=4c4373897f09d45e54249bb2d656efc0;http://dx.doi.org/10.1007/978-3-319-50478-0_10" TargetMode="External"/><Relationship Id="rId1138" Type="http://schemas.openxmlformats.org/officeDocument/2006/relationships/hyperlink" Target="http://dx.doi.org/10.1109/WAIN52551.2021.00026" TargetMode="External"/><Relationship Id="rId1345" Type="http://schemas.openxmlformats.org/officeDocument/2006/relationships/hyperlink" Target="https://doi.org/10.1145/3382494.3410681;http:/dx.doi.org/10.1145/3382494.3410681" TargetMode="External"/><Relationship Id="rId1552" Type="http://schemas.openxmlformats.org/officeDocument/2006/relationships/hyperlink" Target="https://doi.org/10.1145/2481244.2481247;http:/dx.doi.org/10.1145/2481244.2481247" TargetMode="External"/><Relationship Id="rId1997" Type="http://schemas.openxmlformats.org/officeDocument/2006/relationships/hyperlink" Target="http://link.springer.com/chapter/10.1007/978-1-4842-7226-8_10" TargetMode="External"/><Relationship Id="rId1205" Type="http://schemas.openxmlformats.org/officeDocument/2006/relationships/hyperlink" Target="http://dx.doi.org/10.1109/MSP.2018.2875349" TargetMode="External"/><Relationship Id="rId1857" Type="http://schemas.openxmlformats.org/officeDocument/2006/relationships/hyperlink" Target="http://link.springer.com/book/10.1007/978-3-030-93907-6" TargetMode="External"/><Relationship Id="rId51" Type="http://schemas.openxmlformats.org/officeDocument/2006/relationships/hyperlink" Target="https://www.scopus.com/inward/record.uri?eid=2-s2.0-85143129520&amp;doi=10.1145%2f3549035.3561182&amp;partnerID=40&amp;md5=1788a77586625ba6676d4d45a694b27d;http://dx.doi.org/10.1145/3549035.3561182" TargetMode="External"/><Relationship Id="rId1412" Type="http://schemas.openxmlformats.org/officeDocument/2006/relationships/hyperlink" Target="https://doi.org/10.1145/2896995.2896999;http:/dx.doi.org/10.1145/2896995.2896999" TargetMode="External"/><Relationship Id="rId1717" Type="http://schemas.openxmlformats.org/officeDocument/2006/relationships/hyperlink" Target="http://link.springer.com/book/10.1007/978-3-030-75418-1" TargetMode="External"/><Relationship Id="rId1924" Type="http://schemas.openxmlformats.org/officeDocument/2006/relationships/hyperlink" Target="http://link.springer.com/article/10.1007/s10664-021-09987-z" TargetMode="External"/><Relationship Id="rId298" Type="http://schemas.openxmlformats.org/officeDocument/2006/relationships/hyperlink" Target="https://www.scopus.com/inward/record.uri?eid=2-s2.0-85091426748&amp;doi=10.1080%2f17517575.2020.1824017&amp;partnerID=40&amp;md5=cda4cfb39edc69c3987dbadb2f2f44bf;http://dx.doi.org/10.1080/17517575.2020.1824017" TargetMode="External"/><Relationship Id="rId158" Type="http://schemas.openxmlformats.org/officeDocument/2006/relationships/hyperlink" Target="https://www.scopus.com/inward/record.uri?eid=2-s2.0-85138929045&amp;doi=10.1109%2fICECET55527.2022.9872968&amp;partnerID=40&amp;md5=52ac5a1450f66dbb285066b96f28b923;http://dx.doi.org/10.1109/ICECET55527.2022.9872968" TargetMode="External"/><Relationship Id="rId2186" Type="http://schemas.openxmlformats.org/officeDocument/2006/relationships/hyperlink" Target="http://link.springer.com/book/10.1007/978-3-662-62148-6" TargetMode="External"/><Relationship Id="rId365" Type="http://schemas.openxmlformats.org/officeDocument/2006/relationships/hyperlink" Target="https://www.scopus.com/inward/record.uri?eid=2-s2.0-85133204295&amp;doi=10.53106%2f160792642022052303021&amp;partnerID=40&amp;md5=cf299fe5b610d06f963041f07a5afefb;http://dx.doi.org/10.53106/160792642022052303021" TargetMode="External"/><Relationship Id="rId572" Type="http://schemas.openxmlformats.org/officeDocument/2006/relationships/hyperlink" Target="https://www.scopus.com/inward/record.uri?eid=2-s2.0-85100749826&amp;doi=10.1142%2fS0218194021500017&amp;partnerID=40&amp;md5=f7c76b5b6a6f5e80d5aa3896e874c0d8;http://dx.doi.org/10.1142/S0218194021500017" TargetMode="External"/><Relationship Id="rId2046" Type="http://schemas.openxmlformats.org/officeDocument/2006/relationships/hyperlink" Target="http://link.springer.com/chapter/10.1007/978-3-030-28005-5_57" TargetMode="External"/><Relationship Id="rId225" Type="http://schemas.openxmlformats.org/officeDocument/2006/relationships/hyperlink" Target="https://www.scopus.com/inward/record.uri?eid=2-s2.0-85128143850&amp;doi=10.4018%2f9781799869856&amp;partnerID=40&amp;md5=c68135660fe735db4c9025cfefebddd2;http://dx.doi.org/10.4018/9781799869856" TargetMode="External"/><Relationship Id="rId432" Type="http://schemas.openxmlformats.org/officeDocument/2006/relationships/hyperlink" Target="https://www.scopus.com/inward/record.uri?eid=2-s2.0-85087511768&amp;doi=10.1007%2fs11219-020-09520-3&amp;partnerID=40&amp;md5=3825cb06f748a2af90903823c08d80f6;http://dx.doi.org/10.1007/s11219-020-09520-3" TargetMode="External"/><Relationship Id="rId877" Type="http://schemas.openxmlformats.org/officeDocument/2006/relationships/hyperlink" Target="https://www.scopus.com/inward/record.uri?eid=2-s2.0-85075303052&amp;partnerID=40&amp;md5=9d1bd6760a36387d25b5159c3ca86abd" TargetMode="External"/><Relationship Id="rId1062" Type="http://schemas.openxmlformats.org/officeDocument/2006/relationships/hyperlink" Target="http://dx.doi.org/10.1109/WAIN52551.2021.00008" TargetMode="External"/><Relationship Id="rId2113" Type="http://schemas.openxmlformats.org/officeDocument/2006/relationships/hyperlink" Target="http://link.springer.com/article/10.1007/s42979-020-00405-7" TargetMode="External"/><Relationship Id="rId737" Type="http://schemas.openxmlformats.org/officeDocument/2006/relationships/hyperlink" Target="https://www.scopus.com/inward/record.uri?eid=2-s2.0-85080861178&amp;doi=10.1109%2fISSREW.2019.00035&amp;partnerID=40&amp;md5=dc8eaabf2d5a6ec47bb4b44643a5c3fa;http://dx.doi.org/10.1109/ISSREW.2019.00035" TargetMode="External"/><Relationship Id="rId944" Type="http://schemas.openxmlformats.org/officeDocument/2006/relationships/hyperlink" Target="https://www.scopus.com/inward/record.uri?eid=2-s2.0-85044651549&amp;doi=10.1016%2fj.jss.2017.12.034&amp;partnerID=40&amp;md5=0275655072c9d7072652bb43654908e7;http://dx.doi.org/10.1016/j.jss.2017.12.034" TargetMode="External"/><Relationship Id="rId1367" Type="http://schemas.openxmlformats.org/officeDocument/2006/relationships/hyperlink" Target="https://doi.org/10.1145/3340435.3342718;http:/dx.doi.org/10.1145/3340435.3342718" TargetMode="External"/><Relationship Id="rId1574" Type="http://schemas.openxmlformats.org/officeDocument/2006/relationships/hyperlink" Target="https://www.sciencedirect.com/science/article/pii/S0952197622000616;http:/dx.doi.org/10.1016/j.engappai.2022.104773" TargetMode="External"/><Relationship Id="rId1781" Type="http://schemas.openxmlformats.org/officeDocument/2006/relationships/hyperlink" Target="http://link.springer.com/book/10.1007/978-3-031-15063-0" TargetMode="External"/><Relationship Id="rId73" Type="http://schemas.openxmlformats.org/officeDocument/2006/relationships/hyperlink" Target="https://www.scopus.com/inward/record.uri?eid=2-s2.0-85133116259&amp;doi=10.1007%2fs11219-021-09557-y&amp;partnerID=40&amp;md5=e24fca2c7254408c8ac21156402db9a3;http://dx.doi.org/10.1007/s11219-021-09557-y" TargetMode="External"/><Relationship Id="rId804" Type="http://schemas.openxmlformats.org/officeDocument/2006/relationships/hyperlink" Target="https://www.scopus.com/inward/record.uri?eid=2-s2.0-85077182774&amp;doi=10.1109%2fICSME.2019.00029&amp;partnerID=40&amp;md5=40029e511624cc6ddc05cc0c3e2d2293;http://dx.doi.org/10.1109/ICSME.2019.00029" TargetMode="External"/><Relationship Id="rId1227" Type="http://schemas.openxmlformats.org/officeDocument/2006/relationships/hyperlink" Target="http://dx.doi.org/10.1109/SCAM.2019.00029" TargetMode="External"/><Relationship Id="rId1434" Type="http://schemas.openxmlformats.org/officeDocument/2006/relationships/hyperlink" Target="https://doi.org/10.1145/3522664.3528621;http:/dx.doi.org/10.1145/3522664.3528621" TargetMode="External"/><Relationship Id="rId1641" Type="http://schemas.openxmlformats.org/officeDocument/2006/relationships/hyperlink" Target="https://www.sciencedirect.com/science/article/pii/S0164121222002643;http:/dx.doi.org/10.1016/j.jss.2022.111588" TargetMode="External"/><Relationship Id="rId1879" Type="http://schemas.openxmlformats.org/officeDocument/2006/relationships/hyperlink" Target="http://link.springer.com/book/10.1007/978-3-031-11043-6" TargetMode="External"/><Relationship Id="rId1501" Type="http://schemas.openxmlformats.org/officeDocument/2006/relationships/hyperlink" Target="https://doi.org/10.1145/3377811.3380378;http:/dx.doi.org/10.1145/3377811.3380378" TargetMode="External"/><Relationship Id="rId1739" Type="http://schemas.openxmlformats.org/officeDocument/2006/relationships/hyperlink" Target="http://link.springer.com/book/10.1007/978-3-031-11686-5" TargetMode="External"/><Relationship Id="rId1946" Type="http://schemas.openxmlformats.org/officeDocument/2006/relationships/hyperlink" Target="http://link.springer.com/book/10.1007/978-3-031-22311-2" TargetMode="External"/><Relationship Id="rId1806" Type="http://schemas.openxmlformats.org/officeDocument/2006/relationships/hyperlink" Target="http://link.springer.com/book/10.1007/978-3-662-49275-8" TargetMode="External"/><Relationship Id="rId387" Type="http://schemas.openxmlformats.org/officeDocument/2006/relationships/hyperlink" Target="https://www.scopus.com/inward/record.uri?eid=2-s2.0-85102578152&amp;doi=10.1016%2fj.jss.2021.110941&amp;partnerID=40&amp;md5=dcbc0dc703f07e37f7f5fecc315e151d;http://dx.doi.org/10.1016/j.jss.2021.110941" TargetMode="External"/><Relationship Id="rId594" Type="http://schemas.openxmlformats.org/officeDocument/2006/relationships/hyperlink" Target="https://www.scopus.com/inward/record.uri?eid=2-s2.0-85102359323&amp;doi=10.1109%2fAPSEC51365.2020.00048&amp;partnerID=40&amp;md5=0853303162ddbab2b67c1f89f83f472d;http://dx.doi.org/10.1109/APSEC51365.2020.00048" TargetMode="External"/><Relationship Id="rId2068" Type="http://schemas.openxmlformats.org/officeDocument/2006/relationships/hyperlink" Target="http://link.springer.com/book/10.1007/978-3-662-50263-1" TargetMode="External"/><Relationship Id="rId247" Type="http://schemas.openxmlformats.org/officeDocument/2006/relationships/hyperlink" Target="https://www.scopus.com/inward/record.uri?eid=2-s2.0-85116351574&amp;doi=10.1016%2fj.jss.2021.111096&amp;partnerID=40&amp;md5=8c5aa6e19ea2dc2cba467254b20cb554;http://dx.doi.org/10.1016/j.jss.2021.111096" TargetMode="External"/><Relationship Id="rId899" Type="http://schemas.openxmlformats.org/officeDocument/2006/relationships/hyperlink" Target="https://www.scopus.com/inward/record.uri?eid=2-s2.0-84962499658&amp;doi=10.1142%2fS0218194015400367&amp;partnerID=40&amp;md5=e25c5fcba81f00475ea9f5ab534b450e;http://dx.doi.org/10.1142/S0218194015400367" TargetMode="External"/><Relationship Id="rId1084" Type="http://schemas.openxmlformats.org/officeDocument/2006/relationships/hyperlink" Target="http://dx.doi.org/10.1109/IS.2018.8710521" TargetMode="External"/><Relationship Id="rId107" Type="http://schemas.openxmlformats.org/officeDocument/2006/relationships/hyperlink" Target="https://www.scopus.com/inward/record.uri?eid=2-s2.0-85139960075&amp;partnerID=40&amp;md5=47d94a3671b3bf9cb72e0214142b20a1" TargetMode="External"/><Relationship Id="rId454" Type="http://schemas.openxmlformats.org/officeDocument/2006/relationships/hyperlink" Target="https://www.scopus.com/inward/record.uri?eid=2-s2.0-85105369998&amp;doi=10.1109%2fTASE49443.2020.00012&amp;partnerID=40&amp;md5=4698bb49666119a0b843832b20db9c1c;http://dx.doi.org/10.1109/TASE49443.2020.00012" TargetMode="External"/><Relationship Id="rId661" Type="http://schemas.openxmlformats.org/officeDocument/2006/relationships/hyperlink" Target="https://www.scopus.com/inward/record.uri?eid=2-s2.0-85084979078&amp;partnerID=40&amp;md5=f79ee9b00beaa673b49155e8ec7d7c95" TargetMode="External"/><Relationship Id="rId759" Type="http://schemas.openxmlformats.org/officeDocument/2006/relationships/hyperlink" Target="https://www.scopus.com/inward/record.uri?eid=2-s2.0-85089946122&amp;partnerID=40&amp;md5=1e22d1cc0d8dcb9e4fd79a234ff82d45" TargetMode="External"/><Relationship Id="rId966" Type="http://schemas.openxmlformats.org/officeDocument/2006/relationships/hyperlink" Target="https://www.scopus.com/inward/record.uri?eid=2-s2.0-85054784046&amp;doi=10.1007%2f978-3-030-01042-3_14&amp;partnerID=40&amp;md5=eb8f2bfd96f8220542a4058ba72bf954;http://dx.doi.org/10.1007/978-3-030-01042-3_14" TargetMode="External"/><Relationship Id="rId1291" Type="http://schemas.openxmlformats.org/officeDocument/2006/relationships/hyperlink" Target="https://ieeexplore.ieee.org/document/9822369;http:/dx.doi.org/10.1002/9781119644682.ch27" TargetMode="External"/><Relationship Id="rId1389" Type="http://schemas.openxmlformats.org/officeDocument/2006/relationships/hyperlink" Target="https://doi.org/10.1145/3379597.3387459;http:/dx.doi.org/10.1145/3379597.3387459" TargetMode="External"/><Relationship Id="rId1596" Type="http://schemas.openxmlformats.org/officeDocument/2006/relationships/hyperlink" Target="https://www.sciencedirect.com/science/article/pii/S0950584920300926;http:/dx.doi.org/10.1016/j.infsof.2020.106333" TargetMode="External"/><Relationship Id="rId2135" Type="http://schemas.openxmlformats.org/officeDocument/2006/relationships/hyperlink" Target="http://link.springer.com/chapter/10.1007/978-3-030-67084-9_11" TargetMode="External"/><Relationship Id="rId314" Type="http://schemas.openxmlformats.org/officeDocument/2006/relationships/hyperlink" Target="https://www.scopus.com/inward/record.uri?eid=2-s2.0-85108911065&amp;doi=10.1145%2f3463274.3463333&amp;partnerID=40&amp;md5=4a568f34dc6d1a5a679e650b292eda5c;http://dx.doi.org/10.1145/3463274.3463333" TargetMode="External"/><Relationship Id="rId521" Type="http://schemas.openxmlformats.org/officeDocument/2006/relationships/hyperlink" Target="https://www.scopus.com/inward/record.uri?eid=2-s2.0-85108962461&amp;doi=10.1145%2f3448016.3457566&amp;partnerID=40&amp;md5=5457d9aba01d113608abd8913c746563;http://dx.doi.org/10.1145/3448016.3457566" TargetMode="External"/><Relationship Id="rId619" Type="http://schemas.openxmlformats.org/officeDocument/2006/relationships/hyperlink" Target="https://www.scopus.com/inward/record.uri?eid=2-s2.0-85083433363&amp;doi=10.1007%2f978-3-030-34706-2_5&amp;partnerID=40&amp;md5=6b701d5f3a3678ba7e1b1751e7e676fc;http://dx.doi.org/10.1007/978-3-030-34706-2_5" TargetMode="External"/><Relationship Id="rId1151" Type="http://schemas.openxmlformats.org/officeDocument/2006/relationships/hyperlink" Target="http://dx.doi.org/10.1109/EMBC44109.2020.9175947" TargetMode="External"/><Relationship Id="rId1249" Type="http://schemas.openxmlformats.org/officeDocument/2006/relationships/hyperlink" Target="http://dx.doi.org/10.1109/IWSM-MENSURA.2011.14" TargetMode="External"/><Relationship Id="rId95" Type="http://schemas.openxmlformats.org/officeDocument/2006/relationships/hyperlink" Target="https://www.scopus.com/inward/record.uri?eid=2-s2.0-85139215662&amp;doi=10.1109%2fACCESS.2022.3206382&amp;partnerID=40&amp;md5=f8deba300522a5711553a896b6fe4009;http://dx.doi.org/10.1109/ACCESS.2022.3206382" TargetMode="External"/><Relationship Id="rId826" Type="http://schemas.openxmlformats.org/officeDocument/2006/relationships/hyperlink" Target="https://www.scopus.com/inward/record.uri?eid=2-s2.0-85034592025&amp;doi=10.1007%2f978-3-319-69926-4_13&amp;partnerID=40&amp;md5=6bded589da576075dcada2624dba849f;http://dx.doi.org/10.1007/978-3-319-69926-4_13" TargetMode="External"/><Relationship Id="rId1011" Type="http://schemas.openxmlformats.org/officeDocument/2006/relationships/hyperlink" Target="http://dx.doi.org/10.1109/TR.2021.3087864" TargetMode="External"/><Relationship Id="rId1109" Type="http://schemas.openxmlformats.org/officeDocument/2006/relationships/hyperlink" Target="http://dx.doi.org/10.1109/TPDS.2015.2414943" TargetMode="External"/><Relationship Id="rId1456" Type="http://schemas.openxmlformats.org/officeDocument/2006/relationships/hyperlink" Target="https://doi.org/10.1145/3522664.3528599;http:/dx.doi.org/10.1145/3522664.3528599" TargetMode="External"/><Relationship Id="rId1663" Type="http://schemas.openxmlformats.org/officeDocument/2006/relationships/hyperlink" Target="https://www.sciencedirect.com/science/article/pii/S0065245815000133;http:/dx.doi.org/10.1016/S0065-2458(15)00013-3" TargetMode="External"/><Relationship Id="rId1870" Type="http://schemas.openxmlformats.org/officeDocument/2006/relationships/hyperlink" Target="http://link.springer.com/article/10.1007/s10664-021-10081-7" TargetMode="External"/><Relationship Id="rId1968" Type="http://schemas.openxmlformats.org/officeDocument/2006/relationships/hyperlink" Target="http://link.springer.com/chapter/10.1007/978-1-4842-6228-3_10" TargetMode="External"/><Relationship Id="rId1316" Type="http://schemas.openxmlformats.org/officeDocument/2006/relationships/hyperlink" Target="http://dx.doi.org/10.1109/SANER50967.2021.00004" TargetMode="External"/><Relationship Id="rId1523" Type="http://schemas.openxmlformats.org/officeDocument/2006/relationships/hyperlink" Target="https://doi.org/10.1145/3340433.3342825;http:/dx.doi.org/10.1145/3340433.3342825" TargetMode="External"/><Relationship Id="rId1730" Type="http://schemas.openxmlformats.org/officeDocument/2006/relationships/hyperlink" Target="http://link.springer.com/book/10.1007/978-3-030-21290-2" TargetMode="External"/><Relationship Id="rId22" Type="http://schemas.openxmlformats.org/officeDocument/2006/relationships/hyperlink" Target="https://www.scopus.com/inward/record.uri?eid=2-s2.0-85140988970&amp;doi=10.5220%2f0011039700003176&amp;partnerID=40&amp;md5=a3f710a5b2d6e27fb76a852bc53c36b5;http://dx.doi.org/10.5220/0011039700003176" TargetMode="External"/><Relationship Id="rId1828" Type="http://schemas.openxmlformats.org/officeDocument/2006/relationships/hyperlink" Target="http://link.springer.com/book/10.1007/978-3-030-44999-5" TargetMode="External"/><Relationship Id="rId171" Type="http://schemas.openxmlformats.org/officeDocument/2006/relationships/hyperlink" Target="https://www.scopus.com/inward/record.uri?eid=2-s2.0-85133005994&amp;doi=10.1145%2f3531146.3533158&amp;partnerID=40&amp;md5=205ca6f2e3d8df6d95c6dce290e423f5;http://dx.doi.org/10.1145/3531146.3533158" TargetMode="External"/><Relationship Id="rId269" Type="http://schemas.openxmlformats.org/officeDocument/2006/relationships/hyperlink" Target="https://www.scopus.com/inward/record.uri?eid=2-s2.0-85133482896&amp;doi=10.1145%2f3522664.3528611&amp;partnerID=40&amp;md5=3d7f0333e39bd60db3d1fa94973610a1;http://dx.doi.org/10.1145/3522664.3528611" TargetMode="External"/><Relationship Id="rId476" Type="http://schemas.openxmlformats.org/officeDocument/2006/relationships/hyperlink" Target="https://www.scopus.com/inward/record.uri?eid=2-s2.0-85097157302&amp;doi=10.1145%2f3368089.3417919&amp;partnerID=40&amp;md5=81eae8f84ae4ad1536ef68dbed950e74;http://dx.doi.org/10.1145/3368089.3417919" TargetMode="External"/><Relationship Id="rId683" Type="http://schemas.openxmlformats.org/officeDocument/2006/relationships/hyperlink" Target="https://www.scopus.com/inward/record.uri?eid=2-s2.0-85081158422&amp;doi=10.1109%2fACCESS.2019.2952191&amp;partnerID=40&amp;md5=cb8d4bc14bd2f5ceda66a5fba9dd24f7;http://dx.doi.org/10.1109/ACCESS.2019.2952191" TargetMode="External"/><Relationship Id="rId890" Type="http://schemas.openxmlformats.org/officeDocument/2006/relationships/hyperlink" Target="https://www.scopus.com/inward/record.uri?eid=2-s2.0-85041236239&amp;doi=10.1002%2fspe.2563&amp;partnerID=40&amp;md5=3257b0ac4f4ff1b978bb911d18bb5d23;http://dx.doi.org/10.1002/spe.2563" TargetMode="External"/><Relationship Id="rId2157" Type="http://schemas.openxmlformats.org/officeDocument/2006/relationships/hyperlink" Target="http://link.springer.com/chapter/10.1007/978-3-031-15116-3_4" TargetMode="External"/><Relationship Id="rId129" Type="http://schemas.openxmlformats.org/officeDocument/2006/relationships/hyperlink" Target="https://www.scopus.com/inward/record.uri?eid=2-s2.0-85126361168&amp;doi=10.1002%2fsmr.2449&amp;partnerID=40&amp;md5=3cdc6ecc89f6f54c3fe47a0ab41f7662;http://dx.doi.org/10.1002/smr.2449" TargetMode="External"/><Relationship Id="rId336" Type="http://schemas.openxmlformats.org/officeDocument/2006/relationships/hyperlink" Target="https://www.scopus.com/inward/record.uri?eid=2-s2.0-85121724655&amp;doi=10.1109%2fTSE.2020.2967380&amp;partnerID=40&amp;md5=f4fe5940b6a57963b6a85c641ee0d5fb;http://dx.doi.org/10.1109/TSE.2020.2967380" TargetMode="External"/><Relationship Id="rId543" Type="http://schemas.openxmlformats.org/officeDocument/2006/relationships/hyperlink" Target="https://www.scopus.com/inward/record.uri?eid=2-s2.0-85097843589&amp;doi=10.1007%2f978-3-030-49795-8_31&amp;partnerID=40&amp;md5=601568d9f1b5bda19f7cebe1bee3c2f8;http://dx.doi.org/10.1007/978-3-030-49795-8_31" TargetMode="External"/><Relationship Id="rId988" Type="http://schemas.openxmlformats.org/officeDocument/2006/relationships/hyperlink" Target="http://dx.doi.org/10.1109/MTD.2015.7332619" TargetMode="External"/><Relationship Id="rId1173" Type="http://schemas.openxmlformats.org/officeDocument/2006/relationships/hyperlink" Target="http://dx.doi.org/10.1109/IWoR.2019.00017" TargetMode="External"/><Relationship Id="rId1380" Type="http://schemas.openxmlformats.org/officeDocument/2006/relationships/hyperlink" Target="https://doi.org/10.1109/ICPC.2019.00023;http:/dx.doi.org/10.1109/ICPC.2019.00023" TargetMode="External"/><Relationship Id="rId2017" Type="http://schemas.openxmlformats.org/officeDocument/2006/relationships/hyperlink" Target="http://link.springer.com/article/10.1007/s11219-022-09607-z" TargetMode="External"/><Relationship Id="rId403" Type="http://schemas.openxmlformats.org/officeDocument/2006/relationships/hyperlink" Target="https://www.scopus.com/inward/record.uri?eid=2-s2.0-85102442891&amp;doi=10.1016%2fj.infsof.2021.106566&amp;partnerID=40&amp;md5=e0dd5cce934cdfe03723ba84c01460a0;http://dx.doi.org/10.1016/j.infsof.2021.106566" TargetMode="External"/><Relationship Id="rId750" Type="http://schemas.openxmlformats.org/officeDocument/2006/relationships/hyperlink" Target="https://www.scopus.com/inward/record.uri?eid=2-s2.0-85066035758&amp;doi=10.1145%2f3313151.3313166&amp;partnerID=40&amp;md5=e1cc9ace6353999a630b266e53c92d42;http://dx.doi.org/10.1145/3313151.3313166" TargetMode="External"/><Relationship Id="rId848" Type="http://schemas.openxmlformats.org/officeDocument/2006/relationships/hyperlink" Target="https://www.scopus.com/inward/record.uri?eid=2-s2.0-84978468668&amp;doi=10.1145%2f2915970.2915984&amp;partnerID=40&amp;md5=66656129f0a56049b884530f9336e2ed;http://dx.doi.org/10.1145/2915970.2915984" TargetMode="External"/><Relationship Id="rId1033" Type="http://schemas.openxmlformats.org/officeDocument/2006/relationships/hyperlink" Target="http://dx.doi.org/10.1109/QUATIC.2018.00050" TargetMode="External"/><Relationship Id="rId1478" Type="http://schemas.openxmlformats.org/officeDocument/2006/relationships/hyperlink" Target="https://doi.org/10.1145/3569934;http:/dx.doi.org/10.1145/3569934" TargetMode="External"/><Relationship Id="rId1685" Type="http://schemas.openxmlformats.org/officeDocument/2006/relationships/hyperlink" Target="https://www.sciencedirect.com/science/article/pii/S0065245816300547;http:/dx.doi.org/10.1016/S0065-2458(16)30054-7" TargetMode="External"/><Relationship Id="rId1892" Type="http://schemas.openxmlformats.org/officeDocument/2006/relationships/hyperlink" Target="http://link.springer.com/book/10.1007/978-3-030-78585-7" TargetMode="External"/><Relationship Id="rId610" Type="http://schemas.openxmlformats.org/officeDocument/2006/relationships/hyperlink" Target="https://www.scopus.com/inward/record.uri?eid=2-s2.0-85113586145&amp;doi=10.1109%2fMSR52588.2021.00080&amp;partnerID=40&amp;md5=f73f0ff63831c66174dda79436bafade;http://dx.doi.org/10.1109/MSR52588.2021.00080" TargetMode="External"/><Relationship Id="rId708" Type="http://schemas.openxmlformats.org/officeDocument/2006/relationships/hyperlink" Target="https://www.scopus.com/inward/record.uri?eid=2-s2.0-85094889936&amp;partnerID=40&amp;md5=ed9c3e56fdaf670df68f4f687d9f51fb" TargetMode="External"/><Relationship Id="rId915" Type="http://schemas.openxmlformats.org/officeDocument/2006/relationships/hyperlink" Target="https://www.scopus.com/inward/record.uri?eid=2-s2.0-84997124483&amp;doi=10.1145%2f2950290.2950317&amp;partnerID=40&amp;md5=a398b600201d12b8e78ac14606f33ccb;http://dx.doi.org/10.1145/2950290.2950317" TargetMode="External"/><Relationship Id="rId1240" Type="http://schemas.openxmlformats.org/officeDocument/2006/relationships/hyperlink" Target="http://dx.doi.org/10.1109/JPROC.2022.3175070" TargetMode="External"/><Relationship Id="rId1338" Type="http://schemas.openxmlformats.org/officeDocument/2006/relationships/hyperlink" Target="https://doi.org/10.1145/3194164.3194181;http:/dx.doi.org/10.1145/3194164.3194181" TargetMode="External"/><Relationship Id="rId1545" Type="http://schemas.openxmlformats.org/officeDocument/2006/relationships/hyperlink" Target="https://doi.org/10.1145/3491140.3528278;http:/dx.doi.org/10.1145/3491140.3528278" TargetMode="External"/><Relationship Id="rId1100" Type="http://schemas.openxmlformats.org/officeDocument/2006/relationships/hyperlink" Target="http://dx.doi.org/10.1109/ICGCIoT.2018.8753081" TargetMode="External"/><Relationship Id="rId1405" Type="http://schemas.openxmlformats.org/officeDocument/2006/relationships/hyperlink" Target="https://doi.org/10.1145/3183440.3183460;http:/dx.doi.org/10.1145/3183440.3183460" TargetMode="External"/><Relationship Id="rId1752" Type="http://schemas.openxmlformats.org/officeDocument/2006/relationships/hyperlink" Target="http://link.springer.com/book/10.1007/978-3-031-14179-9" TargetMode="External"/><Relationship Id="rId44" Type="http://schemas.openxmlformats.org/officeDocument/2006/relationships/hyperlink" Target="https://www.scopus.com/inward/record.uri?eid=2-s2.0-85130710048&amp;doi=10.1145%2f3488245&amp;partnerID=40&amp;md5=bfecfcbf1c8e6522cc763a93063351e6;http://dx.doi.org/10.1145/3488245" TargetMode="External"/><Relationship Id="rId1612" Type="http://schemas.openxmlformats.org/officeDocument/2006/relationships/hyperlink" Target="https://www.sciencedirect.com/science/article/pii/S0164121219300536;http:/dx.doi.org/10.1016/j.jss.2019.03.002" TargetMode="External"/><Relationship Id="rId1917" Type="http://schemas.openxmlformats.org/officeDocument/2006/relationships/hyperlink" Target="http://link.springer.com/chapter/10.1007/978-3-030-77283-3_9" TargetMode="External"/><Relationship Id="rId193" Type="http://schemas.openxmlformats.org/officeDocument/2006/relationships/hyperlink" Target="https://www.scopus.com/inward/record.uri?eid=2-s2.0-85137877053&amp;doi=10.1007%2fs00146-022-01545-5&amp;partnerID=40&amp;md5=d8c22f1754387bc87f8704756d6dcd9e;http://dx.doi.org/10.1007/s00146-022-01545-5" TargetMode="External"/><Relationship Id="rId498" Type="http://schemas.openxmlformats.org/officeDocument/2006/relationships/hyperlink" Target="https://www.scopus.com/inward/record.uri?eid=2-s2.0-85112094387&amp;doi=10.1109%2fICSE43902.2021.00033&amp;partnerID=40&amp;md5=7e439b62b2c0f13c230c4bfd4a1f6346;http://dx.doi.org/10.1109/ICSE43902.2021.00033" TargetMode="External"/><Relationship Id="rId2081" Type="http://schemas.openxmlformats.org/officeDocument/2006/relationships/hyperlink" Target="http://link.springer.com/book/10.1007/978-3-030-37464-8" TargetMode="External"/><Relationship Id="rId2179" Type="http://schemas.openxmlformats.org/officeDocument/2006/relationships/hyperlink" Target="http://link.springer.com/article/10.1007/s10664-021-10049-7" TargetMode="External"/><Relationship Id="rId260" Type="http://schemas.openxmlformats.org/officeDocument/2006/relationships/hyperlink" Target="https://www.scopus.com/inward/record.uri?eid=2-s2.0-85098747435&amp;doi=10.1109%2fJIOT.2020.3046441&amp;partnerID=40&amp;md5=2590b03f81218d081d6390b18c6c74c9;http://dx.doi.org/10.1109/JIOT.2020.3046441" TargetMode="External"/><Relationship Id="rId120" Type="http://schemas.openxmlformats.org/officeDocument/2006/relationships/hyperlink" Target="https://www.scopus.com/inward/record.uri?eid=2-s2.0-85143261277&amp;partnerID=40&amp;md5=c1a55cd1bd7f0e35fb6f0a419d867e8f" TargetMode="External"/><Relationship Id="rId358" Type="http://schemas.openxmlformats.org/officeDocument/2006/relationships/hyperlink" Target="https://www.scopus.com/inward/record.uri?eid=2-s2.0-85134339792&amp;doi=10.1145%2f3524843.3528094&amp;partnerID=40&amp;md5=2a8a5e59891f65285d081b654ca70701;http://dx.doi.org/10.1145/3524843.3528094" TargetMode="External"/><Relationship Id="rId565" Type="http://schemas.openxmlformats.org/officeDocument/2006/relationships/hyperlink" Target="https://www.scopus.com/inward/record.uri?eid=2-s2.0-85102646173&amp;doi=10.1145%2f3442188.3445918&amp;partnerID=40&amp;md5=de914614bddc5b2a46bb56fb40e0c3f6;http://dx.doi.org/10.1145/3442188.3445918" TargetMode="External"/><Relationship Id="rId772" Type="http://schemas.openxmlformats.org/officeDocument/2006/relationships/hyperlink" Target="https://www.scopus.com/inward/record.uri?eid=2-s2.0-85085926600&amp;doi=10.1145%2f3358960.3379130&amp;partnerID=40&amp;md5=f4be5d49f90b9acb39fde0931a466cdd;http://dx.doi.org/10.1145/3358960.3379130" TargetMode="External"/><Relationship Id="rId1195" Type="http://schemas.openxmlformats.org/officeDocument/2006/relationships/hyperlink" Target="http://dx.doi.org/10.1145/3510003.3510225" TargetMode="External"/><Relationship Id="rId2039" Type="http://schemas.openxmlformats.org/officeDocument/2006/relationships/hyperlink" Target="http://link.springer.com/article/10.1007/s10664-022-10251-1" TargetMode="External"/><Relationship Id="rId218" Type="http://schemas.openxmlformats.org/officeDocument/2006/relationships/hyperlink" Target="https://www.scopus.com/inward/record.uri?eid=2-s2.0-85135854723&amp;doi=10.1109%2fSANER53432.2022.00094&amp;partnerID=40&amp;md5=4c9da8d1316ef9598988ead9e9825b79;http://dx.doi.org/10.1109/SANER53432.2022.00094" TargetMode="External"/><Relationship Id="rId425" Type="http://schemas.openxmlformats.org/officeDocument/2006/relationships/hyperlink" Target="https://www.scopus.com/inward/record.uri?eid=2-s2.0-85086381665&amp;doi=10.1016%2fj.jss.2020.110684&amp;partnerID=40&amp;md5=992a7eee002a59b3a9df05cff256dfc8;http://dx.doi.org/10.1016/j.jss.2020.110684" TargetMode="External"/><Relationship Id="rId632" Type="http://schemas.openxmlformats.org/officeDocument/2006/relationships/hyperlink" Target="https://www.scopus.com/inward/record.uri?eid=2-s2.0-85082479839&amp;doi=10.3390%2fcomputers9010021&amp;partnerID=40&amp;md5=227fb89c60751629b4e1d6676535bd0f;http://dx.doi.org/10.3390/computers9010021" TargetMode="External"/><Relationship Id="rId1055" Type="http://schemas.openxmlformats.org/officeDocument/2006/relationships/hyperlink" Target="http://dx.doi.org/10.1145/3510454.3517055" TargetMode="External"/><Relationship Id="rId1262" Type="http://schemas.openxmlformats.org/officeDocument/2006/relationships/hyperlink" Target="http://dx.doi.org/10.1109/MS.2019.2933685" TargetMode="External"/><Relationship Id="rId2106" Type="http://schemas.openxmlformats.org/officeDocument/2006/relationships/hyperlink" Target="http://link.springer.com/article/10.1007/s13198-021-01110-1" TargetMode="External"/><Relationship Id="rId937" Type="http://schemas.openxmlformats.org/officeDocument/2006/relationships/hyperlink" Target="https://www.scopus.com/inward/record.uri?eid=2-s2.0-85050071753&amp;partnerID=40&amp;md5=17d3d7bb3e17ad1c4df00eadc261a667" TargetMode="External"/><Relationship Id="rId1122" Type="http://schemas.openxmlformats.org/officeDocument/2006/relationships/hyperlink" Target="http://dx.doi.org/10.1109/ASEW52652.2021.00050" TargetMode="External"/><Relationship Id="rId1567" Type="http://schemas.openxmlformats.org/officeDocument/2006/relationships/hyperlink" Target="https://www.sciencedirect.com/science/article/pii/S0164121222002308;http:/dx.doi.org/10.1016/j.jss.2022.111554" TargetMode="External"/><Relationship Id="rId1774" Type="http://schemas.openxmlformats.org/officeDocument/2006/relationships/hyperlink" Target="http://link.springer.com/book/10.1007/978-1-4842-6228-3" TargetMode="External"/><Relationship Id="rId1981" Type="http://schemas.openxmlformats.org/officeDocument/2006/relationships/hyperlink" Target="http://link.springer.com/chapter/10.1007/978-3-030-39306-9_13" TargetMode="External"/><Relationship Id="rId66" Type="http://schemas.openxmlformats.org/officeDocument/2006/relationships/hyperlink" Target="https://www.scopus.com/inward/record.uri?eid=2-s2.0-85141871666&amp;doi=10.3390%2fapp122110773&amp;partnerID=40&amp;md5=68da77451b330b3c748a87a531f560c2;http://dx.doi.org/10.3390/app122110773" TargetMode="External"/><Relationship Id="rId1427" Type="http://schemas.openxmlformats.org/officeDocument/2006/relationships/hyperlink" Target="https://doi.org/10.1145/3474370.3485659;http:/dx.doi.org/10.1145/3474370.3485659" TargetMode="External"/><Relationship Id="rId1634" Type="http://schemas.openxmlformats.org/officeDocument/2006/relationships/hyperlink" Target="https://www.sciencedirect.com/science/article/pii/S016412122100128X;http:/dx.doi.org/10.1016/j.jss.2021.111031" TargetMode="External"/><Relationship Id="rId1841" Type="http://schemas.openxmlformats.org/officeDocument/2006/relationships/hyperlink" Target="http://link.springer.com/book/10.1007/978-3-030-91279-6" TargetMode="External"/><Relationship Id="rId1939" Type="http://schemas.openxmlformats.org/officeDocument/2006/relationships/hyperlink" Target="http://link.springer.com/chapter/10.1007/978-3-319-91836-5_6" TargetMode="External"/><Relationship Id="rId1701" Type="http://schemas.openxmlformats.org/officeDocument/2006/relationships/hyperlink" Target="https://www.sciencedirect.com/science/article/pii/S0164121221001941;http:/dx.doi.org/10.1016/j.jss.2021.111097" TargetMode="External"/><Relationship Id="rId282" Type="http://schemas.openxmlformats.org/officeDocument/2006/relationships/hyperlink" Target="https://www.scopus.com/inward/record.uri?eid=2-s2.0-85115889625&amp;doi=10.1016%2fj.scico.2021.102693&amp;partnerID=40&amp;md5=5dbc6d48d322c359a08ff5baedd3732b;http://dx.doi.org/10.1016/j.scico.2021.102693" TargetMode="External"/><Relationship Id="rId587" Type="http://schemas.openxmlformats.org/officeDocument/2006/relationships/hyperlink" Target="https://www.scopus.com/inward/record.uri?eid=2-s2.0-85125451472&amp;doi=10.1109%2fASE51524.2021.9678586&amp;partnerID=40&amp;md5=dfed15c08ee21e719233da1b8bf64a94;http://dx.doi.org/10.1109/ASE51524.2021.9678586" TargetMode="External"/><Relationship Id="rId2170" Type="http://schemas.openxmlformats.org/officeDocument/2006/relationships/hyperlink" Target="http://link.springer.com/chapter/10.1007/978-1-4842-1925-6_5" TargetMode="External"/><Relationship Id="rId8" Type="http://schemas.openxmlformats.org/officeDocument/2006/relationships/hyperlink" Target="http://dx.doi.org/10.1016/j.jss.2020.110777" TargetMode="External"/><Relationship Id="rId142" Type="http://schemas.openxmlformats.org/officeDocument/2006/relationships/hyperlink" Target="https://www.scopus.com/inward/record.uri?eid=2-s2.0-85140303949&amp;doi=10.1016%2fj.future.2022.10.008&amp;partnerID=40&amp;md5=ec6643aa4d2b049fb3935341cfd2ccb6;http://dx.doi.org/10.1016/j.future.2022.10.008" TargetMode="External"/><Relationship Id="rId447" Type="http://schemas.openxmlformats.org/officeDocument/2006/relationships/hyperlink" Target="https://www.scopus.com/inward/record.uri?eid=2-s2.0-85106397061&amp;doi=10.1007%2f978-3-030-75418-1_25&amp;partnerID=40&amp;md5=e16bc689de5b2986b70c89a82c3a996f;http://dx.doi.org/10.1007/978-3-030-75418-1_25" TargetMode="External"/><Relationship Id="rId794" Type="http://schemas.openxmlformats.org/officeDocument/2006/relationships/hyperlink" Target="https://www.scopus.com/inward/record.uri?eid=2-s2.0-85101363818&amp;doi=10.1007%2f978-3-030-66834-1_4&amp;partnerID=40&amp;md5=b08785efee355cebfe4950581f0731e5;http://dx.doi.org/10.1007/978-3-030-66834-1_4" TargetMode="External"/><Relationship Id="rId1077" Type="http://schemas.openxmlformats.org/officeDocument/2006/relationships/hyperlink" Target="http://dx.doi.org/10.1109/TSE.2022.3222318" TargetMode="External"/><Relationship Id="rId2030" Type="http://schemas.openxmlformats.org/officeDocument/2006/relationships/hyperlink" Target="http://link.springer.com/chapter/10.1007/978-3-319-69341-5_23" TargetMode="External"/><Relationship Id="rId2128" Type="http://schemas.openxmlformats.org/officeDocument/2006/relationships/hyperlink" Target="http://link.springer.com/article/10.1007/s10664-020-09855-2" TargetMode="External"/><Relationship Id="rId654" Type="http://schemas.openxmlformats.org/officeDocument/2006/relationships/hyperlink" Target="https://www.scopus.com/inward/record.uri?eid=2-s2.0-85069918932&amp;doi=10.1016%2fB978-0-12-818597-1.50023-0&amp;partnerID=40&amp;md5=5f2e5c447e31170b8c42b306097c824d;http://dx.doi.org/10.1016/B978-0-12-818597-1.50023-0" TargetMode="External"/><Relationship Id="rId861" Type="http://schemas.openxmlformats.org/officeDocument/2006/relationships/hyperlink" Target="https://www.scopus.com/inward/record.uri?eid=2-s2.0-85025124144&amp;doi=10.1109%2fICPC.2017.32&amp;partnerID=40&amp;md5=255ec184eb1e7d10028106b58864f2ff;http://dx.doi.org/10.1109/ICPC.2017.32" TargetMode="External"/><Relationship Id="rId959" Type="http://schemas.openxmlformats.org/officeDocument/2006/relationships/hyperlink" Target="https://www.scopus.com/inward/record.uri?eid=2-s2.0-85009812066&amp;doi=10.1109%2fISSREW.2016.43&amp;partnerID=40&amp;md5=ff20df4eca8118cbca210f65f564b65b;http://dx.doi.org/10.1109/ISSREW.2016.43" TargetMode="External"/><Relationship Id="rId1284" Type="http://schemas.openxmlformats.org/officeDocument/2006/relationships/hyperlink" Target="http://dx.doi.org/10.1109/AERO47225.2020.9172613" TargetMode="External"/><Relationship Id="rId1491" Type="http://schemas.openxmlformats.org/officeDocument/2006/relationships/hyperlink" Target="https://doi.org/10.1145/1852786.1852797;http:/dx.doi.org/10.1145/1852786.1852797" TargetMode="External"/><Relationship Id="rId1589" Type="http://schemas.openxmlformats.org/officeDocument/2006/relationships/hyperlink" Target="https://www.sciencedirect.com/science/article/pii/S0164121218302334;http:/dx.doi.org/10.1016/j.jss.2018.10.029" TargetMode="External"/><Relationship Id="rId307" Type="http://schemas.openxmlformats.org/officeDocument/2006/relationships/hyperlink" Target="https://www.scopus.com/inward/record.uri?eid=2-s2.0-85110191786&amp;doi=10.1145%2f3460946.3464315&amp;partnerID=40&amp;md5=7f23c7c0429f797c9fddeefbea178a8c;http://dx.doi.org/10.1145/3460946.3464315" TargetMode="External"/><Relationship Id="rId514" Type="http://schemas.openxmlformats.org/officeDocument/2006/relationships/hyperlink" Target="https://www.scopus.com/inward/record.uri?eid=2-s2.0-85089572287&amp;doi=10.1016%2fj.bushor.2020.08.001&amp;partnerID=40&amp;md5=d90e7f7b16669350bf9cb4325f9efc26;http://dx.doi.org/10.1016/j.bushor.2020.08.001" TargetMode="External"/><Relationship Id="rId721" Type="http://schemas.openxmlformats.org/officeDocument/2006/relationships/hyperlink" Target="https://www.scopus.com/inward/record.uri?eid=2-s2.0-85077200772&amp;doi=10.1109%2fICSME.2019.00039&amp;partnerID=40&amp;md5=bc8feace6ae2a725fd69231f8ae76e07;http://dx.doi.org/10.1109/ICSME.2019.00039" TargetMode="External"/><Relationship Id="rId1144" Type="http://schemas.openxmlformats.org/officeDocument/2006/relationships/hyperlink" Target="http://dx.doi.org/10.1109/IOTM.005.2100196" TargetMode="External"/><Relationship Id="rId1351" Type="http://schemas.openxmlformats.org/officeDocument/2006/relationships/hyperlink" Target="https://doi.org/10.1145/3524843.3528093;http:/dx.doi.org/10.1145/3524843.3528093" TargetMode="External"/><Relationship Id="rId1449" Type="http://schemas.openxmlformats.org/officeDocument/2006/relationships/hyperlink" Target="https://doi.org/10.1145/3375572.3375582;http:/dx.doi.org/10.1145/3375572.3375582" TargetMode="External"/><Relationship Id="rId1796" Type="http://schemas.openxmlformats.org/officeDocument/2006/relationships/hyperlink" Target="http://link.springer.com/book/10.1007/978-3-031-21441-7" TargetMode="External"/><Relationship Id="rId88" Type="http://schemas.openxmlformats.org/officeDocument/2006/relationships/hyperlink" Target="https://www.scopus.com/inward/record.uri?eid=2-s2.0-85141566820&amp;doi=10.1007%2fs11704-022-1541-7&amp;partnerID=40&amp;md5=4a88983a1a39182776f8ffe63ca8a9df;http://dx.doi.org/10.1007/s11704-022-1541-7" TargetMode="External"/><Relationship Id="rId819" Type="http://schemas.openxmlformats.org/officeDocument/2006/relationships/hyperlink" Target="https://www.scopus.com/inward/record.uri?eid=2-s2.0-85132947805&amp;doi=10.1007%2f978-3-319-45145-9_1&amp;partnerID=40&amp;md5=7bc3f9f86d98c42cb33f6c74bb7fa378;http://dx.doi.org/10.1007/978-3-319-45145-9_1" TargetMode="External"/><Relationship Id="rId1004" Type="http://schemas.openxmlformats.org/officeDocument/2006/relationships/hyperlink" Target="http://dx.doi.org/10.1109/MS.2016.114" TargetMode="External"/><Relationship Id="rId1211" Type="http://schemas.openxmlformats.org/officeDocument/2006/relationships/hyperlink" Target="http://dx.doi.org/10.1109/TSE.2023.3234206" TargetMode="External"/><Relationship Id="rId1656" Type="http://schemas.openxmlformats.org/officeDocument/2006/relationships/hyperlink" Target="https://www.sciencedirect.com/science/article/pii/S0164121222001844;http:/dx.doi.org/10.1016/j.jss.2022.111508" TargetMode="External"/><Relationship Id="rId1863" Type="http://schemas.openxmlformats.org/officeDocument/2006/relationships/hyperlink" Target="http://link.springer.com/book/10.1007/978-3-031-21229-1" TargetMode="External"/><Relationship Id="rId1309" Type="http://schemas.openxmlformats.org/officeDocument/2006/relationships/hyperlink" Target="http://dx.doi.org/10.1109/MSR52588.2021.00004" TargetMode="External"/><Relationship Id="rId1516" Type="http://schemas.openxmlformats.org/officeDocument/2006/relationships/hyperlink" Target="https://doi.org/10.1145/3524842.3528455;http:/dx.doi.org/10.1145/3524842.3528455" TargetMode="External"/><Relationship Id="rId1723" Type="http://schemas.openxmlformats.org/officeDocument/2006/relationships/hyperlink" Target="http://link.springer.com/book/10.1007/978-3-031-20322-0" TargetMode="External"/><Relationship Id="rId1930" Type="http://schemas.openxmlformats.org/officeDocument/2006/relationships/hyperlink" Target="http://link.springer.com/book/10.1007/978-3-319-95273-4" TargetMode="External"/><Relationship Id="rId15" Type="http://schemas.openxmlformats.org/officeDocument/2006/relationships/hyperlink" Target="http://dx.doi.org/10.1109/TSE.2020.3031401" TargetMode="External"/><Relationship Id="rId164" Type="http://schemas.openxmlformats.org/officeDocument/2006/relationships/hyperlink" Target="https://www.scopus.com/inward/record.uri?eid=2-s2.0-85143050726&amp;doi=10.1145%2f3540250.3560881&amp;partnerID=40&amp;md5=dc1e8d7ad14a1339e755d34c7a59146e;http://dx.doi.org/10.1145/3540250.3560881" TargetMode="External"/><Relationship Id="rId371" Type="http://schemas.openxmlformats.org/officeDocument/2006/relationships/hyperlink" Target="https://www.scopus.com/inward/record.uri?eid=2-s2.0-85111230657&amp;doi=10.1016%2fj.jss.2021.111046&amp;partnerID=40&amp;md5=208ffc6b7b432ceee6d6017e974e86e9;http://dx.doi.org/10.1016/j.jss.2021.111046" TargetMode="External"/><Relationship Id="rId2052" Type="http://schemas.openxmlformats.org/officeDocument/2006/relationships/hyperlink" Target="http://link.springer.com/article/10.1007/s10664-021-10109-y" TargetMode="External"/><Relationship Id="rId469" Type="http://schemas.openxmlformats.org/officeDocument/2006/relationships/hyperlink" Target="https://www.scopus.com/inward/record.uri?eid=2-s2.0-85113208599&amp;doi=10.1109%2fWAIN52551.2021.00024&amp;partnerID=40&amp;md5=0d73b7c7f817a297726b2293381e833d;http://dx.doi.org/10.1109/WAIN52551.2021.00024" TargetMode="External"/><Relationship Id="rId676" Type="http://schemas.openxmlformats.org/officeDocument/2006/relationships/hyperlink" Target="https://www.scopus.com/inward/record.uri?eid=2-s2.0-85076867877&amp;doi=10.2200%2fS00904ED1V01Y201903ICR066&amp;partnerID=40&amp;md5=222e93a3948848d3fb83104c997b761e;http://dx.doi.org/10.2200/S00904ED1V01Y201903ICR066" TargetMode="External"/><Relationship Id="rId883" Type="http://schemas.openxmlformats.org/officeDocument/2006/relationships/hyperlink" Target="https://www.scopus.com/inward/record.uri?eid=2-s2.0-85040575660&amp;partnerID=40&amp;md5=9976450244a5a118017258d58fd9c23e" TargetMode="External"/><Relationship Id="rId1099" Type="http://schemas.openxmlformats.org/officeDocument/2006/relationships/hyperlink" Target="http://dx.doi.org/10.1109/ESEM.2019.8870159" TargetMode="External"/><Relationship Id="rId231" Type="http://schemas.openxmlformats.org/officeDocument/2006/relationships/hyperlink" Target="https://www.scopus.com/inward/record.uri?eid=2-s2.0-85110459361&amp;doi=10.1145%2f3463934&amp;partnerID=40&amp;md5=385ea0093a63086a0dbc8814e2f74ed6;http://dx.doi.org/10.1145/3463934" TargetMode="External"/><Relationship Id="rId329" Type="http://schemas.openxmlformats.org/officeDocument/2006/relationships/hyperlink" Target="https://www.scopus.com/inward/record.uri?eid=2-s2.0-85134015186&amp;doi=10.1145%2f3524842.3528455&amp;partnerID=40&amp;md5=f99b22ed26c0adaeced649d417ab6848;http://dx.doi.org/10.1145/3524842.3528455" TargetMode="External"/><Relationship Id="rId536" Type="http://schemas.openxmlformats.org/officeDocument/2006/relationships/hyperlink" Target="https://www.scopus.com/inward/record.uri?eid=2-s2.0-85137510970&amp;doi=10.4018%2f978-1-7998-5101-1.ch001&amp;partnerID=40&amp;md5=6240593ae2c7bc36df644c3f008913fc;http://dx.doi.org/10.4018/978-1-7998-5101-1.ch001" TargetMode="External"/><Relationship Id="rId1166" Type="http://schemas.openxmlformats.org/officeDocument/2006/relationships/hyperlink" Target="http://dx.doi.org/10.1109/UKSim.2017.28" TargetMode="External"/><Relationship Id="rId1373" Type="http://schemas.openxmlformats.org/officeDocument/2006/relationships/hyperlink" Target="https://doi.org/10.1109/ICSE-Companion52605.2021.00124;http:/dx.doi.org/10.1109/ICSE-Companion52605.2021.00124" TargetMode="External"/><Relationship Id="rId743" Type="http://schemas.openxmlformats.org/officeDocument/2006/relationships/hyperlink" Target="https://www.scopus.com/inward/record.uri?eid=2-s2.0-85077228353&amp;doi=10.1109%2fMS.2019.2954841&amp;partnerID=40&amp;md5=19daea99cbbb1ac47c6c597b960fbdc5;http://dx.doi.org/10.1109/MS.2019.2954841" TargetMode="External"/><Relationship Id="rId950" Type="http://schemas.openxmlformats.org/officeDocument/2006/relationships/hyperlink" Target="https://www.scopus.com/inward/record.uri?eid=2-s2.0-84971577036&amp;doi=10.1007%2f978-3-319-39225-7_3&amp;partnerID=40&amp;md5=a1bfb946220695530cc6d826730ad804;http://dx.doi.org/10.1007/978-3-319-39225-7_3" TargetMode="External"/><Relationship Id="rId1026" Type="http://schemas.openxmlformats.org/officeDocument/2006/relationships/hyperlink" Target="http://dx.doi.org/10.1109/ASE51524.2021.9678680" TargetMode="External"/><Relationship Id="rId1580" Type="http://schemas.openxmlformats.org/officeDocument/2006/relationships/hyperlink" Target="https://www.sciencedirect.com/science/article/pii/S0167404821000249;http:/dx.doi.org/10.1016/j.cose.2021.102200" TargetMode="External"/><Relationship Id="rId1678" Type="http://schemas.openxmlformats.org/officeDocument/2006/relationships/hyperlink" Target="https://www.sciencedirect.com/science/article/pii/S0164121221002211;http:/dx.doi.org/10.1016/j.jss.2021.111124" TargetMode="External"/><Relationship Id="rId1885" Type="http://schemas.openxmlformats.org/officeDocument/2006/relationships/hyperlink" Target="http://link.springer.com/book/10.1007/978-3-031-07704-3" TargetMode="External"/><Relationship Id="rId603" Type="http://schemas.openxmlformats.org/officeDocument/2006/relationships/hyperlink" Target="https://www.scopus.com/inward/record.uri?eid=2-s2.0-85095828765&amp;doi=10.1145%2f3382494.3422169&amp;partnerID=40&amp;md5=201eb0948742fc5fe6b15371987b312d;http://dx.doi.org/10.1145/3382494.3422169" TargetMode="External"/><Relationship Id="rId810" Type="http://schemas.openxmlformats.org/officeDocument/2006/relationships/hyperlink" Target="https://www.scopus.com/inward/record.uri?eid=2-s2.0-85083565109&amp;doi=10.1109%2fSANER48275.2020.9054821&amp;partnerID=40&amp;md5=b02e9d84c6eb93fb5ccd9db67d59ae6b;http://dx.doi.org/10.1109/SANER48275.2020.9054821" TargetMode="External"/><Relationship Id="rId908" Type="http://schemas.openxmlformats.org/officeDocument/2006/relationships/hyperlink" Target="https://www.scopus.com/inward/record.uri?eid=2-s2.0-85058463945&amp;doi=10.1002%2fsmr.2115&amp;partnerID=40&amp;md5=a3dfe1fadc2b7a37ca9536733b49c84e;http://dx.doi.org/10.1002/smr.2115" TargetMode="External"/><Relationship Id="rId1233" Type="http://schemas.openxmlformats.org/officeDocument/2006/relationships/hyperlink" Target="http://dx.doi.org/10.1109/ICSA51549.2021.00022" TargetMode="External"/><Relationship Id="rId1440" Type="http://schemas.openxmlformats.org/officeDocument/2006/relationships/hyperlink" Target="https://doi.org/10.1145/3474370.3485655;http:/dx.doi.org/10.1145/3474370.3485655" TargetMode="External"/><Relationship Id="rId1538" Type="http://schemas.openxmlformats.org/officeDocument/2006/relationships/hyperlink" Target="https://doi.org/10.1145/3404663.3404665;http:/dx.doi.org/10.1145/3404663.3404665" TargetMode="External"/><Relationship Id="rId1300" Type="http://schemas.openxmlformats.org/officeDocument/2006/relationships/hyperlink" Target="http://dx.doi.org/10.1109/MS.2021.3060552" TargetMode="External"/><Relationship Id="rId1745" Type="http://schemas.openxmlformats.org/officeDocument/2006/relationships/hyperlink" Target="http://link.springer.com/book/10.1007/978-1-4842-7226-8" TargetMode="External"/><Relationship Id="rId1952" Type="http://schemas.openxmlformats.org/officeDocument/2006/relationships/hyperlink" Target="http://link.springer.com/article/10.1007/s00766-022-00395-3" TargetMode="External"/><Relationship Id="rId37" Type="http://schemas.openxmlformats.org/officeDocument/2006/relationships/hyperlink" Target="https://www.scopus.com/inward/record.uri?eid=2-s2.0-85141781984&amp;doi=10.1016%2fj.softx.2022.101237&amp;partnerID=40&amp;md5=09d5a5f60a2912d9eab325b704f61f8a;http://dx.doi.org/10.1016/j.softx.2022.101237" TargetMode="External"/><Relationship Id="rId1605" Type="http://schemas.openxmlformats.org/officeDocument/2006/relationships/hyperlink" Target="https://www.sciencedirect.com/science/article/pii/S0164121222001649;http:/dx.doi.org/10.1016/j.jss.2022.111481" TargetMode="External"/><Relationship Id="rId1812" Type="http://schemas.openxmlformats.org/officeDocument/2006/relationships/hyperlink" Target="http://link.springer.com/book/10.1007/978-3-031-15116-3" TargetMode="External"/><Relationship Id="rId186" Type="http://schemas.openxmlformats.org/officeDocument/2006/relationships/hyperlink" Target="https://www.scopus.com/inward/record.uri?eid=2-s2.0-85143501730&amp;doi=10.1016%2fj.infsof.2022.107112&amp;partnerID=40&amp;md5=9e857fb22bc1228dbbe79b75d3b7a639;http://dx.doi.org/10.1016/j.infsof.2022.107112" TargetMode="External"/><Relationship Id="rId393" Type="http://schemas.openxmlformats.org/officeDocument/2006/relationships/hyperlink" Target="https://www.scopus.com/inward/record.uri?eid=2-s2.0-85117368062&amp;doi=10.1016%2fj.parco.2021.102858&amp;partnerID=40&amp;md5=cd2fc1322467a84cd684103e180284ac;http://dx.doi.org/10.1016/j.parco.2021.102858" TargetMode="External"/><Relationship Id="rId2074" Type="http://schemas.openxmlformats.org/officeDocument/2006/relationships/hyperlink" Target="http://link.springer.com/book/10.1007/978-1-4842-6921-3" TargetMode="External"/><Relationship Id="rId253" Type="http://schemas.openxmlformats.org/officeDocument/2006/relationships/hyperlink" Target="https://www.scopus.com/inward/record.uri?eid=2-s2.0-85117583710&amp;doi=10.3390%2fmake3020020&amp;partnerID=40&amp;md5=2db6c87fe56c2b4551d91e69aa651e69;http://dx.doi.org/10.3390/make3020020" TargetMode="External"/><Relationship Id="rId460" Type="http://schemas.openxmlformats.org/officeDocument/2006/relationships/hyperlink" Target="https://www.scopus.com/inward/record.uri?eid=2-s2.0-85118117926&amp;doi=10.1007%2f978-3-030-86797-3_6&amp;partnerID=40&amp;md5=7d50167056c58c12b24f121cd1a5a9fb;http://dx.doi.org/10.1007/978-3-030-86797-3_6" TargetMode="External"/><Relationship Id="rId698" Type="http://schemas.openxmlformats.org/officeDocument/2006/relationships/hyperlink" Target="https://www.scopus.com/inward/record.uri?eid=2-s2.0-85074980613&amp;doi=10.1016%2fj.jss.2019.110456&amp;partnerID=40&amp;md5=23e143e2efb99dffae256ae090910f7c;http://dx.doi.org/10.1016/j.jss.2019.110456" TargetMode="External"/><Relationship Id="rId1090" Type="http://schemas.openxmlformats.org/officeDocument/2006/relationships/hyperlink" Target="http://dx.doi.org/10.1109/MS.2019.2933681" TargetMode="External"/><Relationship Id="rId2141" Type="http://schemas.openxmlformats.org/officeDocument/2006/relationships/hyperlink" Target="http://link.springer.com/chapter/10.1007/978-3-319-57633-6_2" TargetMode="External"/><Relationship Id="rId113" Type="http://schemas.openxmlformats.org/officeDocument/2006/relationships/hyperlink" Target="https://www.scopus.com/inward/record.uri?eid=2-s2.0-85101745918&amp;doi=10.1109%2fTSE.2021.3060068&amp;partnerID=40&amp;md5=ee66c4a20c1af0b5beffcd87f575d9ad;http://dx.doi.org/10.1109/TSE.2021.3060068" TargetMode="External"/><Relationship Id="rId320" Type="http://schemas.openxmlformats.org/officeDocument/2006/relationships/hyperlink" Target="https://www.scopus.com/inward/record.uri?eid=2-s2.0-85135844683&amp;doi=10.1109%2fSANER53432.2022.00093&amp;partnerID=40&amp;md5=62bde2afe6ae815cd0a60e016081683d;http://dx.doi.org/10.1109/SANER53432.2022.00093" TargetMode="External"/><Relationship Id="rId558" Type="http://schemas.openxmlformats.org/officeDocument/2006/relationships/hyperlink" Target="https://www.scopus.com/inward/record.uri?eid=2-s2.0-85108363730&amp;partnerID=40&amp;md5=b59261f87494715ad245ea9a7431b02c" TargetMode="External"/><Relationship Id="rId765" Type="http://schemas.openxmlformats.org/officeDocument/2006/relationships/hyperlink" Target="https://www.scopus.com/inward/record.uri?eid=2-s2.0-85096587413&amp;doi=10.1007%2f978-3-030-61218-4_5&amp;partnerID=40&amp;md5=c0d7726a063307802b86d128a0f4e489;http://dx.doi.org/10.1007/978-3-030-61218-4_5" TargetMode="External"/><Relationship Id="rId972" Type="http://schemas.openxmlformats.org/officeDocument/2006/relationships/hyperlink" Target="http://dx.doi.org/10.1109/TechDebt.2019.00018" TargetMode="External"/><Relationship Id="rId1188" Type="http://schemas.openxmlformats.org/officeDocument/2006/relationships/hyperlink" Target="http://dx.doi.org/10.1145/3522664.3528599" TargetMode="External"/><Relationship Id="rId1395" Type="http://schemas.openxmlformats.org/officeDocument/2006/relationships/hyperlink" Target="https://doi.org/10.1109/ASE51524.2021.9678532;http:/dx.doi.org/10.1109/ASE51524.2021.9678532" TargetMode="External"/><Relationship Id="rId2001" Type="http://schemas.openxmlformats.org/officeDocument/2006/relationships/hyperlink" Target="http://link.springer.com/chapter/10.1007/978-3-030-20040-4_8" TargetMode="External"/><Relationship Id="rId418" Type="http://schemas.openxmlformats.org/officeDocument/2006/relationships/hyperlink" Target="https://www.scopus.com/inward/record.uri?eid=2-s2.0-85126395572&amp;doi=10.1109%2fISSRE52982.2021.00060&amp;partnerID=40&amp;md5=5661c4850ef1cd8e40447551b32def6a;http://dx.doi.org/10.1109/ISSRE52982.2021.00060" TargetMode="External"/><Relationship Id="rId625" Type="http://schemas.openxmlformats.org/officeDocument/2006/relationships/hyperlink" Target="https://www.scopus.com/inward/record.uri?eid=2-s2.0-85102945976&amp;partnerID=40&amp;md5=b644e0188e4b966d56705452c75dc58a" TargetMode="External"/><Relationship Id="rId832" Type="http://schemas.openxmlformats.org/officeDocument/2006/relationships/hyperlink" Target="https://www.scopus.com/inward/record.uri?eid=2-s2.0-85015808258&amp;doi=10.1016%2fj.asej.2017.03.002&amp;partnerID=40&amp;md5=5c660ecb8b2ded05a6eade8de60650ca;http://dx.doi.org/10.1016/j.asej.2017.03.002" TargetMode="External"/><Relationship Id="rId1048" Type="http://schemas.openxmlformats.org/officeDocument/2006/relationships/hyperlink" Target="http://dx.doi.org/10.1145/3510457.3513036" TargetMode="External"/><Relationship Id="rId1255" Type="http://schemas.openxmlformats.org/officeDocument/2006/relationships/hyperlink" Target="http://dx.doi.org/10.1109/IC2E.2019.00025" TargetMode="External"/><Relationship Id="rId1462" Type="http://schemas.openxmlformats.org/officeDocument/2006/relationships/hyperlink" Target="https://doi.org/10.1145/3472674.3473981;http:/dx.doi.org/10.1145/3472674.3473981" TargetMode="External"/><Relationship Id="rId1115" Type="http://schemas.openxmlformats.org/officeDocument/2006/relationships/hyperlink" Target="http://dx.doi.org/10.1145/3524610.3527874" TargetMode="External"/><Relationship Id="rId1322" Type="http://schemas.openxmlformats.org/officeDocument/2006/relationships/hyperlink" Target="https://doi.org/10.1145/3524843.3528096;http:/dx.doi.org/10.1145/3524843.3528096" TargetMode="External"/><Relationship Id="rId1767" Type="http://schemas.openxmlformats.org/officeDocument/2006/relationships/hyperlink" Target="http://link.springer.com/book/10.1007/978-3-031-19756-7" TargetMode="External"/><Relationship Id="rId1974" Type="http://schemas.openxmlformats.org/officeDocument/2006/relationships/hyperlink" Target="http://link.springer.com/chapter/10.1007/978-3-030-83549-1_3" TargetMode="External"/><Relationship Id="rId59" Type="http://schemas.openxmlformats.org/officeDocument/2006/relationships/hyperlink" Target="https://www.scopus.com/inward/record.uri?eid=2-s2.0-85126326567&amp;doi=10.1016%2fj.infsof.2022.106899&amp;partnerID=40&amp;md5=e579bc75422f866aa090b43a06220ad5;http://dx.doi.org/10.1016/j.infsof.2022.106899" TargetMode="External"/><Relationship Id="rId1627" Type="http://schemas.openxmlformats.org/officeDocument/2006/relationships/hyperlink" Target="https://www.sciencedirect.com/science/article/pii/S0740624X22000399;http:/dx.doi.org/10.1016/j.giq.2022.101706" TargetMode="External"/><Relationship Id="rId1834" Type="http://schemas.openxmlformats.org/officeDocument/2006/relationships/hyperlink" Target="http://link.springer.com/article/10.1007/s10664-020-09869-w" TargetMode="External"/><Relationship Id="rId2096" Type="http://schemas.openxmlformats.org/officeDocument/2006/relationships/hyperlink" Target="http://link.springer.com/chapter/10.1007/978-981-15-7984-4_37" TargetMode="External"/><Relationship Id="rId1901" Type="http://schemas.openxmlformats.org/officeDocument/2006/relationships/hyperlink" Target="http://link.springer.com/chapter/10.1007/978-1-4842-8817-7_7" TargetMode="External"/><Relationship Id="rId275" Type="http://schemas.openxmlformats.org/officeDocument/2006/relationships/hyperlink" Target="https://www.scopus.com/inward/record.uri?eid=2-s2.0-85119201202&amp;doi=10.1109%2fSEAA53835.2021.00050&amp;partnerID=40&amp;md5=14b048530f744c613608b5f7ac8f82cf;http://dx.doi.org/10.1109/SEAA53835.2021.00050" TargetMode="External"/><Relationship Id="rId482" Type="http://schemas.openxmlformats.org/officeDocument/2006/relationships/hyperlink" Target="https://www.scopus.com/inward/record.uri?eid=2-s2.0-85091343972&amp;doi=10.1016%2fj.jss.2020.110821&amp;partnerID=40&amp;md5=6eefc9d5e9eeaf22a131d74e44fe6740;http://dx.doi.org/10.1016/j.jss.2020.110821" TargetMode="External"/><Relationship Id="rId2163" Type="http://schemas.openxmlformats.org/officeDocument/2006/relationships/hyperlink" Target="http://link.springer.com/chapter/10.1007/978-3-662-60304-8_1" TargetMode="External"/><Relationship Id="rId135" Type="http://schemas.openxmlformats.org/officeDocument/2006/relationships/hyperlink" Target="https://www.scopus.com/inward/record.uri?eid=2-s2.0-85135699101&amp;doi=10.1016%2fj.jss.2022.111458&amp;partnerID=40&amp;md5=9290b68aebc2338832c078b171b8b2cc;http://dx.doi.org/10.1016/j.jss.2022.111458" TargetMode="External"/><Relationship Id="rId342" Type="http://schemas.openxmlformats.org/officeDocument/2006/relationships/hyperlink" Target="https://www.scopus.com/inward/record.uri?eid=2-s2.0-85115663250&amp;doi=10.1145%2f3460231.3474616&amp;partnerID=40&amp;md5=711f74c0b36c14623717196a1238efa3;http://dx.doi.org/10.1145/3460231.3474616" TargetMode="External"/><Relationship Id="rId787" Type="http://schemas.openxmlformats.org/officeDocument/2006/relationships/hyperlink" Target="https://www.scopus.com/inward/record.uri?eid=2-s2.0-85067344523&amp;doi=10.1007%2f978-3-030-20040-4_8&amp;partnerID=40&amp;md5=7f2f9c77e0da41f025c69a830f1fd01f;http://dx.doi.org/10.1007/978-3-030-20040-4_8" TargetMode="External"/><Relationship Id="rId994" Type="http://schemas.openxmlformats.org/officeDocument/2006/relationships/hyperlink" Target="http://dx.doi.org/10.1109/ICSE-Companion52605.2021.00124" TargetMode="External"/><Relationship Id="rId2023" Type="http://schemas.openxmlformats.org/officeDocument/2006/relationships/hyperlink" Target="http://link.springer.com/article/10.1007/s12650-020-00647-w" TargetMode="External"/><Relationship Id="rId202" Type="http://schemas.openxmlformats.org/officeDocument/2006/relationships/hyperlink" Target="https://www.scopus.com/inward/record.uri?eid=2-s2.0-85129456347&amp;doi=10.1016%2fj.jss.2022.111324&amp;partnerID=40&amp;md5=d1ee3c4d7db360934c312053a0be1dee;http://dx.doi.org/10.1016/j.jss.2022.111324" TargetMode="External"/><Relationship Id="rId647" Type="http://schemas.openxmlformats.org/officeDocument/2006/relationships/hyperlink" Target="https://www.scopus.com/inward/record.uri?eid=2-s2.0-85076402950&amp;doi=10.1145%2f3340482.3342743&amp;partnerID=40&amp;md5=a79ad55d852c3be8833b7ef2d0d30e38;http://dx.doi.org/10.1145/3340482.3342743" TargetMode="External"/><Relationship Id="rId854" Type="http://schemas.openxmlformats.org/officeDocument/2006/relationships/hyperlink" Target="https://www.scopus.com/inward/record.uri?eid=2-s2.0-85042350972&amp;doi=10.1109%2fESEM.2017.14&amp;partnerID=40&amp;md5=38b9fedcca05dc49202420a20b3f91e0;http://dx.doi.org/10.1109/ESEM.2017.14" TargetMode="External"/><Relationship Id="rId1277" Type="http://schemas.openxmlformats.org/officeDocument/2006/relationships/hyperlink" Target="https://ieeexplore.ieee.org/document/9823032;http:/dx.doi.org/10.1002/9781119513957.acron" TargetMode="External"/><Relationship Id="rId1484" Type="http://schemas.openxmlformats.org/officeDocument/2006/relationships/hyperlink" Target="https://doi.org/10.1145/3576036;http:/dx.doi.org/10.1145/3576036" TargetMode="External"/><Relationship Id="rId1691" Type="http://schemas.openxmlformats.org/officeDocument/2006/relationships/hyperlink" Target="https://www.sciencedirect.com/science/article/pii/S0065245816300225;http:/dx.doi.org/10.1016/S0065-2458(16)30022-5" TargetMode="External"/><Relationship Id="rId507" Type="http://schemas.openxmlformats.org/officeDocument/2006/relationships/hyperlink" Target="https://www.scopus.com/inward/record.uri?eid=2-s2.0-85096542234&amp;doi=10.23919%2fSoftCOM50211.2020.9238323&amp;partnerID=40&amp;md5=6612d13b9513b6b707ab84dc29b3cf68;http://dx.doi.org/10.23919/SoftCOM50211.2020.9238323" TargetMode="External"/><Relationship Id="rId714" Type="http://schemas.openxmlformats.org/officeDocument/2006/relationships/hyperlink" Target="https://www.scopus.com/inward/record.uri?eid=2-s2.0-85084085773&amp;doi=10.1109%2fICCS45141.2019.9065317&amp;partnerID=40&amp;md5=adb39e5d7f87fbbfb1b7e0a34875ace6;http://dx.doi.org/10.1109/ICCS45141.2019.9065317" TargetMode="External"/><Relationship Id="rId921" Type="http://schemas.openxmlformats.org/officeDocument/2006/relationships/hyperlink" Target="https://www.scopus.com/inward/record.uri?eid=2-s2.0-85051635603&amp;doi=10.1145%2f3196398.3196423&amp;partnerID=40&amp;md5=55574cd1b42668435b7df6ea09d91098;http://dx.doi.org/10.1145/3196398.3196423" TargetMode="External"/><Relationship Id="rId1137" Type="http://schemas.openxmlformats.org/officeDocument/2006/relationships/hyperlink" Target="http://dx.doi.org/10.1109/DSAA49011.2020.00068" TargetMode="External"/><Relationship Id="rId1344" Type="http://schemas.openxmlformats.org/officeDocument/2006/relationships/hyperlink" Target="https://doi.org/10.1145/3544902.3546637;http:/dx.doi.org/10.1145/3544902.3546637" TargetMode="External"/><Relationship Id="rId1551" Type="http://schemas.openxmlformats.org/officeDocument/2006/relationships/hyperlink" Target="https://doi.org/10.1145/3551783.3551786;http:/dx.doi.org/10.1145/3551783.3551786" TargetMode="External"/><Relationship Id="rId1789" Type="http://schemas.openxmlformats.org/officeDocument/2006/relationships/hyperlink" Target="http://link.springer.com/book/10.1007/978-1-4842-4221-6" TargetMode="External"/><Relationship Id="rId1996" Type="http://schemas.openxmlformats.org/officeDocument/2006/relationships/hyperlink" Target="http://link.springer.com/book/10.1007/978-1-4842-8867-2" TargetMode="External"/><Relationship Id="rId50" Type="http://schemas.openxmlformats.org/officeDocument/2006/relationships/hyperlink" Target="https://www.scopus.com/inward/record.uri?eid=2-s2.0-85143977206&amp;doi=10.2174%2f2666255816666220609110712&amp;partnerID=40&amp;md5=4d4bca6f178d40ff4531940a93a67f66;http://dx.doi.org/10.2174/2666255816666220609110712" TargetMode="External"/><Relationship Id="rId1204" Type="http://schemas.openxmlformats.org/officeDocument/2006/relationships/hyperlink" Target="http://dx.doi.org/10.1109/TSE.2022.3228739" TargetMode="External"/><Relationship Id="rId1411" Type="http://schemas.openxmlformats.org/officeDocument/2006/relationships/hyperlink" Target="https://doi.org/10.1145/3416505.3423559;http:/dx.doi.org/10.1145/3416505.3423559" TargetMode="External"/><Relationship Id="rId1649" Type="http://schemas.openxmlformats.org/officeDocument/2006/relationships/hyperlink" Target="https://www.sciencedirect.com/science/article/pii/S0164121220300947;http:/dx.doi.org/10.1016/j.jss.2020.110616" TargetMode="External"/><Relationship Id="rId1856" Type="http://schemas.openxmlformats.org/officeDocument/2006/relationships/hyperlink" Target="http://link.springer.com/book/10.1007/978-3-030-26250-1" TargetMode="External"/><Relationship Id="rId1509" Type="http://schemas.openxmlformats.org/officeDocument/2006/relationships/hyperlink" Target="https://doi.org/10.1145/3430665.3456386;http:/dx.doi.org/10.1145/3430665.3456386" TargetMode="External"/><Relationship Id="rId1716" Type="http://schemas.openxmlformats.org/officeDocument/2006/relationships/hyperlink" Target="http://link.springer.com/book/10.1007/978-3-030-35333-9" TargetMode="External"/><Relationship Id="rId1923" Type="http://schemas.openxmlformats.org/officeDocument/2006/relationships/hyperlink" Target="http://link.springer.com/chapter/10.1007/978-3-030-00623-5_2" TargetMode="External"/><Relationship Id="rId297" Type="http://schemas.openxmlformats.org/officeDocument/2006/relationships/hyperlink" Target="https://www.scopus.com/inward/record.uri?eid=2-s2.0-85130778732&amp;doi=10.1109%2fACCESS.2022.3174115&amp;partnerID=40&amp;md5=e36e8ee7999d57a6b18554a0dc5d434f;http://dx.doi.org/10.1109/ACCESS.2022.3174115" TargetMode="External"/><Relationship Id="rId2185" Type="http://schemas.openxmlformats.org/officeDocument/2006/relationships/hyperlink" Target="http://link.springer.com/chapter/10.1007/978-3-031-21388-5_20" TargetMode="External"/><Relationship Id="rId157" Type="http://schemas.openxmlformats.org/officeDocument/2006/relationships/hyperlink" Target="https://www.scopus.com/inward/record.uri?eid=2-s2.0-85130914931&amp;doi=10.1016%2fj.infsof.2022.106939&amp;partnerID=40&amp;md5=aff2dfe1953b66c3deb49d9a8d33cfc2;http://dx.doi.org/10.1016/j.infsof.2022.106939" TargetMode="External"/><Relationship Id="rId364" Type="http://schemas.openxmlformats.org/officeDocument/2006/relationships/hyperlink" Target="https://www.scopus.com/inward/record.uri?eid=2-s2.0-85133479649&amp;doi=10.1145%2f3522664.3528595&amp;partnerID=40&amp;md5=83a1b754243ef30238b6a8f7155dc75a;http://dx.doi.org/10.1145/3522664.3528595" TargetMode="External"/><Relationship Id="rId2045" Type="http://schemas.openxmlformats.org/officeDocument/2006/relationships/hyperlink" Target="http://link.springer.com/article/10.1007/s11334-021-00422-6" TargetMode="External"/><Relationship Id="rId571" Type="http://schemas.openxmlformats.org/officeDocument/2006/relationships/hyperlink" Target="https://www.scopus.com/inward/record.uri?eid=2-s2.0-85087202176&amp;doi=10.1016%2fj.jss.2020.110706&amp;partnerID=40&amp;md5=1ff619129eeb34044e8c0f7464da0e1a;http://dx.doi.org/10.1016/j.jss.2020.110706" TargetMode="External"/><Relationship Id="rId669" Type="http://schemas.openxmlformats.org/officeDocument/2006/relationships/hyperlink" Target="https://www.scopus.com/inward/record.uri?eid=2-s2.0-85073519954&amp;doi=10.1002%2fsmr.2163&amp;partnerID=40&amp;md5=bac60aa852dc276f5e68e8afbf7cd867;http://dx.doi.org/10.1002/smr.2163" TargetMode="External"/><Relationship Id="rId876" Type="http://schemas.openxmlformats.org/officeDocument/2006/relationships/hyperlink" Target="https://www.scopus.com/inward/record.uri?eid=2-s2.0-85021190615&amp;doi=10.1145%2f3035918.3054782&amp;partnerID=40&amp;md5=3eb7a5510fe00e4008182bce3005cbed;http://dx.doi.org/10.1145/3035918.3054782" TargetMode="External"/><Relationship Id="rId1299" Type="http://schemas.openxmlformats.org/officeDocument/2006/relationships/hyperlink" Target="http://dx.doi.org/10.1109/MC.2022.3183705" TargetMode="External"/><Relationship Id="rId224" Type="http://schemas.openxmlformats.org/officeDocument/2006/relationships/hyperlink" Target="https://www.scopus.com/inward/record.uri?eid=2-s2.0-85126722651&amp;doi=10.1145%2f3510003.3510057&amp;partnerID=40&amp;md5=32bc1353c5a30725f17692a86ae682d6;http://dx.doi.org/10.1145/3510003.3510057" TargetMode="External"/><Relationship Id="rId431" Type="http://schemas.openxmlformats.org/officeDocument/2006/relationships/hyperlink" Target="https://www.scopus.com/inward/record.uri?eid=2-s2.0-85106816941&amp;doi=10.1109%2fACCESS.2021.3049823&amp;partnerID=40&amp;md5=bec13ba44e5f67ee6d5e5bfba285ec34;http://dx.doi.org/10.1109/ACCESS.2021.3049823" TargetMode="External"/><Relationship Id="rId529" Type="http://schemas.openxmlformats.org/officeDocument/2006/relationships/hyperlink" Target="https://www.scopus.com/inward/record.uri?eid=2-s2.0-85125435603&amp;doi=10.1109%2fASE51524.2021.9678532&amp;partnerID=40&amp;md5=ae02d33b10018cb18d054d33466e0a23;http://dx.doi.org/10.1109/ASE51524.2021.9678532" TargetMode="External"/><Relationship Id="rId736" Type="http://schemas.openxmlformats.org/officeDocument/2006/relationships/hyperlink" Target="https://www.scopus.com/inward/record.uri?eid=2-s2.0-85054360412&amp;doi=10.1002%2fspe.2639&amp;partnerID=40&amp;md5=f5da700d6e3092b8512328c2b1c4622c;http://dx.doi.org/10.1002/spe.2639" TargetMode="External"/><Relationship Id="rId1061" Type="http://schemas.openxmlformats.org/officeDocument/2006/relationships/hyperlink" Target="http://dx.doi.org/10.1109/ACCESS.2022.3196923" TargetMode="External"/><Relationship Id="rId1159" Type="http://schemas.openxmlformats.org/officeDocument/2006/relationships/hyperlink" Target="http://dx.doi.org/10.1109/MS.2016.149" TargetMode="External"/><Relationship Id="rId1366" Type="http://schemas.openxmlformats.org/officeDocument/2006/relationships/hyperlink" Target="https://doi.org/10.1145/3549034.3561178;http:/dx.doi.org/10.1145/3549034.3561178" TargetMode="External"/><Relationship Id="rId2112" Type="http://schemas.openxmlformats.org/officeDocument/2006/relationships/hyperlink" Target="http://link.springer.com/chapter/10.1007/978-3-319-98149-9_15" TargetMode="External"/><Relationship Id="rId943" Type="http://schemas.openxmlformats.org/officeDocument/2006/relationships/hyperlink" Target="https://www.scopus.com/inward/record.uri?eid=2-s2.0-85046538470&amp;doi=10.1109%2fCNS.2017.8228656&amp;partnerID=40&amp;md5=410698b1599618c640c36c579761578e;http://dx.doi.org/10.1109/CNS.2017.8228656" TargetMode="External"/><Relationship Id="rId1019" Type="http://schemas.openxmlformats.org/officeDocument/2006/relationships/hyperlink" Target="http://dx.doi.org/10.1109/SCAM51674.2020.00011" TargetMode="External"/><Relationship Id="rId1573" Type="http://schemas.openxmlformats.org/officeDocument/2006/relationships/hyperlink" Target="https://www.sciencedirect.com/science/article/pii/S0167404820302406;http:/dx.doi.org/10.1016/j.cose.2020.101967" TargetMode="External"/><Relationship Id="rId1780" Type="http://schemas.openxmlformats.org/officeDocument/2006/relationships/hyperlink" Target="http://link.springer.com/book/10.1007/978-3-030-19034-7" TargetMode="External"/><Relationship Id="rId1878" Type="http://schemas.openxmlformats.org/officeDocument/2006/relationships/hyperlink" Target="http://link.springer.com/book/10.1007/978-3-030-95041-5" TargetMode="External"/><Relationship Id="rId72" Type="http://schemas.openxmlformats.org/officeDocument/2006/relationships/hyperlink" Target="https://www.scopus.com/inward/record.uri?eid=2-s2.0-85130079716&amp;doi=10.1148%2fryai.210127&amp;partnerID=40&amp;md5=d5d22d7e66045d130c3277d01e953a8a;http://dx.doi.org/10.1148/ryai.210127" TargetMode="External"/><Relationship Id="rId803" Type="http://schemas.openxmlformats.org/officeDocument/2006/relationships/hyperlink" Target="https://www.scopus.com/inward/record.uri?eid=2-s2.0-85088402223&amp;partnerID=40&amp;md5=d3d35fc7fbcf1b534574843da34ca293" TargetMode="External"/><Relationship Id="rId1226" Type="http://schemas.openxmlformats.org/officeDocument/2006/relationships/hyperlink" Target="http://dx.doi.org/10.1109/SEAA56994.2022.00062" TargetMode="External"/><Relationship Id="rId1433" Type="http://schemas.openxmlformats.org/officeDocument/2006/relationships/hyperlink" Target="https://doi.org/10.1109/ICSSP.2019.00018;http:/dx.doi.org/10.1109/ICSSP.2019.00018" TargetMode="External"/><Relationship Id="rId1640" Type="http://schemas.openxmlformats.org/officeDocument/2006/relationships/hyperlink" Target="https://www.sciencedirect.com/science/article/pii/S095058491930240X;http:/dx.doi.org/10.1016/j.infsof.2019.106225" TargetMode="External"/><Relationship Id="rId1738" Type="http://schemas.openxmlformats.org/officeDocument/2006/relationships/hyperlink" Target="http://link.springer.com/book/10.1007/978-3-030-90318-3" TargetMode="External"/><Relationship Id="rId1500" Type="http://schemas.openxmlformats.org/officeDocument/2006/relationships/hyperlink" Target="https://doi.org/10.1145/3283812.3283820;http:/dx.doi.org/10.1145/3283812.3283820" TargetMode="External"/><Relationship Id="rId1945" Type="http://schemas.openxmlformats.org/officeDocument/2006/relationships/hyperlink" Target="http://link.springer.com/article/10.1007/s10664-021-10045-x" TargetMode="External"/><Relationship Id="rId1805" Type="http://schemas.openxmlformats.org/officeDocument/2006/relationships/hyperlink" Target="http://link.springer.com/book/10.1007/978-981-16-1927-4" TargetMode="External"/><Relationship Id="rId179" Type="http://schemas.openxmlformats.org/officeDocument/2006/relationships/hyperlink" Target="https://www.scopus.com/inward/record.uri?eid=2-s2.0-85130511823&amp;doi=10.1145%2f3491102.3501968&amp;partnerID=40&amp;md5=7d3739af1735aa4431f7d199c3cfbc40;http://dx.doi.org/10.1145/3491102.3501968" TargetMode="External"/><Relationship Id="rId386" Type="http://schemas.openxmlformats.org/officeDocument/2006/relationships/hyperlink" Target="https://www.scopus.com/inward/record.uri?eid=2-s2.0-85128683583&amp;doi=10.1155%2f2022%2f8725767&amp;partnerID=40&amp;md5=28a45450b886e37b99a760f7549e9e77;http://dx.doi.org/10.1155/2022/8725767" TargetMode="External"/><Relationship Id="rId593" Type="http://schemas.openxmlformats.org/officeDocument/2006/relationships/hyperlink" Target="https://www.scopus.com/inward/record.uri?eid=2-s2.0-85115401194&amp;doi=10.3390%2fA13070168&amp;partnerID=40&amp;md5=a8f01368e1ef5c76a8c1c712dab274e5;http://dx.doi.org/10.3390/A13070168" TargetMode="External"/><Relationship Id="rId2067" Type="http://schemas.openxmlformats.org/officeDocument/2006/relationships/hyperlink" Target="http://link.springer.com/article/10.1007/s10664-021-09969-1" TargetMode="External"/><Relationship Id="rId246" Type="http://schemas.openxmlformats.org/officeDocument/2006/relationships/hyperlink" Target="https://www.scopus.com/inward/record.uri?eid=2-s2.0-85116294210&amp;doi=10.1145%2f3468264.3468555&amp;partnerID=40&amp;md5=2789ae7f809557fa2e4a5b4cd7a7f1ca;http://dx.doi.org/10.1145/3468264.3468555" TargetMode="External"/><Relationship Id="rId453" Type="http://schemas.openxmlformats.org/officeDocument/2006/relationships/hyperlink" Target="https://www.scopus.com/inward/record.uri?eid=2-s2.0-85107013733&amp;doi=10.1109%2fICSA51549.2021.00017&amp;partnerID=40&amp;md5=aee284cea4e0fb4c88be97c22261b155;http://dx.doi.org/10.1109/ICSA51549.2021.00017" TargetMode="External"/><Relationship Id="rId660" Type="http://schemas.openxmlformats.org/officeDocument/2006/relationships/hyperlink" Target="https://www.scopus.com/inward/record.uri?eid=2-s2.0-85069681117&amp;doi=10.1016%2fj.scico.2019.07.003&amp;partnerID=40&amp;md5=86ac2ef03678b1c57070981a2c3f964d;http://dx.doi.org/10.1016/j.scico.2019.07.003" TargetMode="External"/><Relationship Id="rId898" Type="http://schemas.openxmlformats.org/officeDocument/2006/relationships/hyperlink" Target="https://www.scopus.com/inward/record.uri?eid=2-s2.0-85057744680&amp;doi=10.1109%2fBigDataCongress.2018.00030&amp;partnerID=40&amp;md5=0adeb53ccd3c1b524c98d7172ce13d1f;http://dx.doi.org/10.1109/BigDataCongress.2018.00030" TargetMode="External"/><Relationship Id="rId1083" Type="http://schemas.openxmlformats.org/officeDocument/2006/relationships/hyperlink" Target="http://dx.doi.org/10.1145/3510457.3513041" TargetMode="External"/><Relationship Id="rId1290" Type="http://schemas.openxmlformats.org/officeDocument/2006/relationships/hyperlink" Target="http://dx.doi.org/10.1109/ICSA-C.2019.00007" TargetMode="External"/><Relationship Id="rId2134" Type="http://schemas.openxmlformats.org/officeDocument/2006/relationships/hyperlink" Target="http://link.springer.com/book/10.1007/978-1-4842-8575-6" TargetMode="External"/><Relationship Id="rId106" Type="http://schemas.openxmlformats.org/officeDocument/2006/relationships/hyperlink" Target="https://www.scopus.com/inward/record.uri?eid=2-s2.0-85127582313&amp;doi=10.1109%2fTSE.2020.3007722&amp;partnerID=40&amp;md5=6c1d2b43f85bf226ddb7d2c2da6cce3c;http://dx.doi.org/10.1109/TSE.2020.3007722" TargetMode="External"/><Relationship Id="rId313" Type="http://schemas.openxmlformats.org/officeDocument/2006/relationships/hyperlink" Target="https://www.scopus.com/inward/record.uri?eid=2-s2.0-85116015581&amp;doi=10.1145%2f3450356&amp;partnerID=40&amp;md5=7fe6a18118c9d7e10ce3d791abf1e244;http://dx.doi.org/10.1145/3450356" TargetMode="External"/><Relationship Id="rId758" Type="http://schemas.openxmlformats.org/officeDocument/2006/relationships/hyperlink" Target="https://www.scopus.com/inward/record.uri?eid=2-s2.0-85076755704&amp;doi=10.1145%2f3359591.3359739&amp;partnerID=40&amp;md5=a65381c51f81f6139909c2f22fb6b6b6;http://dx.doi.org/10.1145/3359591.3359739" TargetMode="External"/><Relationship Id="rId965" Type="http://schemas.openxmlformats.org/officeDocument/2006/relationships/hyperlink" Target="https://www.scopus.com/inward/record.uri?eid=2-s2.0-85014053590&amp;doi=10.1016%2fj.jss.2017.02.021&amp;partnerID=40&amp;md5=247b29b699e29dbd357cf9dc95e3354c;http://dx.doi.org/10.1016/j.jss.2017.02.021" TargetMode="External"/><Relationship Id="rId1150" Type="http://schemas.openxmlformats.org/officeDocument/2006/relationships/hyperlink" Target="http://dx.doi.org/10.1109/SEAA56994.2022.00018" TargetMode="External"/><Relationship Id="rId1388" Type="http://schemas.openxmlformats.org/officeDocument/2006/relationships/hyperlink" Target="https://doi.org/10.1145/2903220.2903223;http:/dx.doi.org/10.1145/2903220.2903223" TargetMode="External"/><Relationship Id="rId1595" Type="http://schemas.openxmlformats.org/officeDocument/2006/relationships/hyperlink" Target="https://www.sciencedirect.com/science/article/pii/S0164121212003536;http:/dx.doi.org/10.1016/j.jss.2012.12.046" TargetMode="External"/><Relationship Id="rId94" Type="http://schemas.openxmlformats.org/officeDocument/2006/relationships/hyperlink" Target="https://www.scopus.com/inward/record.uri?eid=2-s2.0-85129606574&amp;doi=10.1145%2f3512850.3512861&amp;partnerID=40&amp;md5=343b94b2a5df815aba6e3461091a3697;http://dx.doi.org/10.1145/3512850.3512861" TargetMode="External"/><Relationship Id="rId520" Type="http://schemas.openxmlformats.org/officeDocument/2006/relationships/hyperlink" Target="https://www.scopus.com/inward/record.uri?eid=2-s2.0-85131835438&amp;partnerID=40&amp;md5=40c05d858c50c0800240f633ed3bce18" TargetMode="External"/><Relationship Id="rId618" Type="http://schemas.openxmlformats.org/officeDocument/2006/relationships/hyperlink" Target="https://www.scopus.com/inward/record.uri?eid=2-s2.0-85093683910&amp;doi=10.1145%2f3379597.3387479&amp;partnerID=40&amp;md5=ecc5dad25efffa1c2608f7fc4d7b1a71;http://dx.doi.org/10.1145/3379597.3387479" TargetMode="External"/><Relationship Id="rId825" Type="http://schemas.openxmlformats.org/officeDocument/2006/relationships/hyperlink" Target="https://www.scopus.com/inward/record.uri?eid=2-s2.0-85057164684&amp;doi=10.1109%2fSEAA.2018.00072&amp;partnerID=40&amp;md5=8be0d14b7ad2658573289e24e2e1fd88;http://dx.doi.org/10.1109/SEAA.2018.00072" TargetMode="External"/><Relationship Id="rId1248" Type="http://schemas.openxmlformats.org/officeDocument/2006/relationships/hyperlink" Target="http://dx.doi.org/10.1109/ICSTW50294.2020.00071" TargetMode="External"/><Relationship Id="rId1455" Type="http://schemas.openxmlformats.org/officeDocument/2006/relationships/hyperlink" Target="https://doi.org/10.1145/3545258.3545260;http:/dx.doi.org/10.1145/3545258.3545260" TargetMode="External"/><Relationship Id="rId1662" Type="http://schemas.openxmlformats.org/officeDocument/2006/relationships/hyperlink" Target="https://www.sciencedirect.com/science/article/pii/S0950584920300914;http:/dx.doi.org/10.1016/j.infsof.2020.106332" TargetMode="External"/><Relationship Id="rId1010" Type="http://schemas.openxmlformats.org/officeDocument/2006/relationships/hyperlink" Target="http://dx.doi.org/10.1109/TSE.2021.3129355" TargetMode="External"/><Relationship Id="rId1108" Type="http://schemas.openxmlformats.org/officeDocument/2006/relationships/hyperlink" Target="http://dx.doi.org/10.1109/MS.2022.3195432" TargetMode="External"/><Relationship Id="rId1315" Type="http://schemas.openxmlformats.org/officeDocument/2006/relationships/hyperlink" Target="http://dx.doi.org/10.1109/CyberSecPODS.2019.8885403" TargetMode="External"/><Relationship Id="rId1967" Type="http://schemas.openxmlformats.org/officeDocument/2006/relationships/hyperlink" Target="http://link.springer.com/book/10.1007/978-3-030-49640-1" TargetMode="External"/><Relationship Id="rId1522" Type="http://schemas.openxmlformats.org/officeDocument/2006/relationships/hyperlink" Target="https://doi.org/10.1145/2591062.2591085;http:/dx.doi.org/10.1145/2591062.2591085" TargetMode="External"/><Relationship Id="rId21" Type="http://schemas.openxmlformats.org/officeDocument/2006/relationships/hyperlink" Target="https://www.scopus.com/inward/record.uri?eid=2-s2.0-85143199642&amp;doi=10.1145%2f3549034.3561175&amp;partnerID=40&amp;md5=d7c2c1efa13afe809fb522d39886fcb0;http://dx.doi.org/10.1145/3549034.3561175" TargetMode="External"/><Relationship Id="rId2089" Type="http://schemas.openxmlformats.org/officeDocument/2006/relationships/hyperlink" Target="http://link.springer.com/book/10.1007/978-3-658-25210-6" TargetMode="External"/><Relationship Id="rId268" Type="http://schemas.openxmlformats.org/officeDocument/2006/relationships/hyperlink" Target="https://www.scopus.com/inward/record.uri?eid=2-s2.0-85133240340&amp;doi=10.1109%2fICSTW55395.2022.00035&amp;partnerID=40&amp;md5=01f6e545a8cb5bb23e9c141023fb1a91;http://dx.doi.org/10.1109/ICSTW55395.2022.00035" TargetMode="External"/><Relationship Id="rId475" Type="http://schemas.openxmlformats.org/officeDocument/2006/relationships/hyperlink" Target="https://www.scopus.com/inward/record.uri?eid=2-s2.0-85120538358&amp;doi=10.1109%2fRE51729.2021.00008&amp;partnerID=40&amp;md5=ab0058fcd692cf342f894173230c4e17;http://dx.doi.org/10.1109/RE51729.2021.00008" TargetMode="External"/><Relationship Id="rId682" Type="http://schemas.openxmlformats.org/officeDocument/2006/relationships/hyperlink" Target="https://www.scopus.com/inward/record.uri?eid=2-s2.0-85075020632&amp;doi=10.1145%2f3324916&amp;partnerID=40&amp;md5=999bb85d4d49055dd77ca73552f91fe7;http://dx.doi.org/10.1145/3324916" TargetMode="External"/><Relationship Id="rId2156" Type="http://schemas.openxmlformats.org/officeDocument/2006/relationships/hyperlink" Target="http://link.springer.com/book/10.1007/978-3-658-31001-1" TargetMode="External"/><Relationship Id="rId128" Type="http://schemas.openxmlformats.org/officeDocument/2006/relationships/hyperlink" Target="https://www.scopus.com/inward/record.uri?eid=2-s2.0-85139116318&amp;doi=10.1145%2f3555228.3555249&amp;partnerID=40&amp;md5=6c3e2a2a7ec5b9c84c464e2b7e82c009;http://dx.doi.org/10.1145/3555228.3555249" TargetMode="External"/><Relationship Id="rId335" Type="http://schemas.openxmlformats.org/officeDocument/2006/relationships/hyperlink" Target="https://www.scopus.com/inward/record.uri?eid=2-s2.0-85107653377&amp;doi=10.1016%2fj.jss.2021.110986&amp;partnerID=40&amp;md5=1d4f23a24b8e2a94ef969e4d1bc63859;http://dx.doi.org/10.1016/j.jss.2021.110986" TargetMode="External"/><Relationship Id="rId542" Type="http://schemas.openxmlformats.org/officeDocument/2006/relationships/hyperlink" Target="https://www.scopus.com/inward/record.uri?eid=2-s2.0-85095573146&amp;doi=10.1371%2fjournal.pone.0241286&amp;partnerID=40&amp;md5=8f0531d6cee6d31d274dfcd020c0fb37;http://dx.doi.org/10.1371/journal.pone.0241286" TargetMode="External"/><Relationship Id="rId1172" Type="http://schemas.openxmlformats.org/officeDocument/2006/relationships/hyperlink" Target="http://dx.doi.org/10.1109/ICAICE51518.2020.00102" TargetMode="External"/><Relationship Id="rId2016" Type="http://schemas.openxmlformats.org/officeDocument/2006/relationships/hyperlink" Target="http://link.springer.com/chapter/10.1007/978-3-030-90318-3_24" TargetMode="External"/><Relationship Id="rId402" Type="http://schemas.openxmlformats.org/officeDocument/2006/relationships/hyperlink" Target="https://www.scopus.com/inward/record.uri?eid=2-s2.0-85117733907&amp;doi=10.1007%2fs10664-021-10045-x&amp;partnerID=40&amp;md5=08aa5a74f13d392f5792c4911475ef97;http://dx.doi.org/10.1007/s10664-021-10045-x" TargetMode="External"/><Relationship Id="rId1032" Type="http://schemas.openxmlformats.org/officeDocument/2006/relationships/hyperlink" Target="http://dx.doi.org/10.1109/ICSME.2017.8" TargetMode="External"/><Relationship Id="rId1989" Type="http://schemas.openxmlformats.org/officeDocument/2006/relationships/hyperlink" Target="http://link.springer.com/article/10.1007/s10664-020-09856-1" TargetMode="External"/><Relationship Id="rId1849" Type="http://schemas.openxmlformats.org/officeDocument/2006/relationships/hyperlink" Target="http://link.springer.com/article/10.1007/s10664-021-10031-3" TargetMode="External"/><Relationship Id="rId192" Type="http://schemas.openxmlformats.org/officeDocument/2006/relationships/hyperlink" Target="https://www.scopus.com/inward/record.uri?eid=2-s2.0-85140248769&amp;doi=10.1038%2fs41467-022-33128-9&amp;partnerID=40&amp;md5=7f39ed3a9fe7ceedb33e533a011c142a;http://dx.doi.org/10.1038/s41467-022-33128-9" TargetMode="External"/><Relationship Id="rId1709" Type="http://schemas.openxmlformats.org/officeDocument/2006/relationships/hyperlink" Target="https://www.sciencedirect.com/science/article/pii/B9780128002056000032;http:/dx.doi.org/10.1016/B978-0-12-800205-6.00003-2" TargetMode="External"/><Relationship Id="rId1916" Type="http://schemas.openxmlformats.org/officeDocument/2006/relationships/hyperlink" Target="http://link.springer.com/chapter/10.1007/978-3-658-37182-1_9" TargetMode="External"/><Relationship Id="rId2080" Type="http://schemas.openxmlformats.org/officeDocument/2006/relationships/hyperlink" Target="http://link.springer.com/chapter/10.1007/978-1-4842-5104-1_3" TargetMode="External"/><Relationship Id="rId869" Type="http://schemas.openxmlformats.org/officeDocument/2006/relationships/hyperlink" Target="https://www.scopus.com/inward/record.uri?eid=2-s2.0-85002599816&amp;doi=10.1016%2fj.jss.2016.11.030&amp;partnerID=40&amp;md5=2155c81217c8e4c44668cec1062d12a4;http://dx.doi.org/10.1016/j.jss.2016.11.030" TargetMode="External"/><Relationship Id="rId1499" Type="http://schemas.openxmlformats.org/officeDocument/2006/relationships/hyperlink" Target="https://doi.org/10.1109/ICSE.2019.00032;http:/dx.doi.org/10.1109/ICSE.2019.00032" TargetMode="External"/><Relationship Id="rId729" Type="http://schemas.openxmlformats.org/officeDocument/2006/relationships/hyperlink" Target="https://www.scopus.com/inward/record.uri?eid=2-s2.0-85077525154&amp;doi=10.1007%2fs13369-019-04311-w&amp;partnerID=40&amp;md5=06c8c3007723dae56b5cf5c617175ccc;http://dx.doi.org/10.1007/s13369-019-04311-w" TargetMode="External"/><Relationship Id="rId1359" Type="http://schemas.openxmlformats.org/officeDocument/2006/relationships/hyperlink" Target="https://doi.org/10.1145/3522664.3528620;http:/dx.doi.org/10.1145/3522664.3528620" TargetMode="External"/><Relationship Id="rId936" Type="http://schemas.openxmlformats.org/officeDocument/2006/relationships/hyperlink" Target="https://www.scopus.com/inward/record.uri?eid=2-s2.0-85051073384&amp;partnerID=40&amp;md5=80215b7b99c9566a45d30083140535d7" TargetMode="External"/><Relationship Id="rId1219" Type="http://schemas.openxmlformats.org/officeDocument/2006/relationships/hyperlink" Target="http://dx.doi.org/10.1109/VISSOFT.2018.00009" TargetMode="External"/><Relationship Id="rId1566" Type="http://schemas.openxmlformats.org/officeDocument/2006/relationships/hyperlink" Target="https://www.sciencedirect.com/science/article/pii/S0164121220302375;http:/dx.doi.org/10.1016/j.jss.2020.110847" TargetMode="External"/><Relationship Id="rId1773" Type="http://schemas.openxmlformats.org/officeDocument/2006/relationships/hyperlink" Target="http://link.springer.com/book/10.1007/978-981-15-7984-4" TargetMode="External"/><Relationship Id="rId1980" Type="http://schemas.openxmlformats.org/officeDocument/2006/relationships/hyperlink" Target="http://link.springer.com/article/10.1007/s41064-020-00102-3" TargetMode="External"/><Relationship Id="rId65" Type="http://schemas.openxmlformats.org/officeDocument/2006/relationships/hyperlink" Target="https://www.scopus.com/inward/record.uri?eid=2-s2.0-85143818622&amp;doi=10.1145%2f3568562.3568643&amp;partnerID=40&amp;md5=43139ace24d7194f74ebbc8119f0170f;http://dx.doi.org/10.1145/3568562.3568643" TargetMode="External"/><Relationship Id="rId1426" Type="http://schemas.openxmlformats.org/officeDocument/2006/relationships/hyperlink" Target="https://doi.org/10.1145/3510457.3513041;http:/dx.doi.org/10.1145/3510457.3513041" TargetMode="External"/><Relationship Id="rId1633" Type="http://schemas.openxmlformats.org/officeDocument/2006/relationships/hyperlink" Target="https://www.sciencedirect.com/science/article/pii/S0950584922000258;http:/dx.doi.org/10.1016/j.infsof.2022.106855" TargetMode="External"/><Relationship Id="rId1840" Type="http://schemas.openxmlformats.org/officeDocument/2006/relationships/hyperlink" Target="http://link.springer.com/book/10.1007/978-3-030-49392-9" TargetMode="External"/><Relationship Id="rId1700" Type="http://schemas.openxmlformats.org/officeDocument/2006/relationships/hyperlink" Target="https://www.sciencedirect.com/science/article/pii/S0040162518309594;http:/dx.doi.org/10.1016/j.techfore.2019.119735" TargetMode="External"/><Relationship Id="rId379" Type="http://schemas.openxmlformats.org/officeDocument/2006/relationships/hyperlink" Target="https://www.scopus.com/inward/record.uri?eid=2-s2.0-85127845832&amp;doi=10.1109%2fICSE-NIER55298.2022.9793510&amp;partnerID=40&amp;md5=871da14d743a8a41f434e3db7386dada;http://dx.doi.org/10.1109/ICSE-NIER55298.2022.9793510" TargetMode="External"/><Relationship Id="rId586" Type="http://schemas.openxmlformats.org/officeDocument/2006/relationships/hyperlink" Target="https://www.scopus.com/inward/record.uri?eid=2-s2.0-85100534946&amp;doi=10.1109%2fDSA51864.2020.00019&amp;partnerID=40&amp;md5=1ac523109d4b9a851a92583ee12dfda7;http://dx.doi.org/10.1109/DSA51864.2020.00019" TargetMode="External"/><Relationship Id="rId793" Type="http://schemas.openxmlformats.org/officeDocument/2006/relationships/hyperlink" Target="https://www.scopus.com/inward/record.uri?eid=2-s2.0-85065622242&amp;doi=10.1016%2fj.infsof.2019.05.004&amp;partnerID=40&amp;md5=fbb54ca801215a4397db0a4735bac5b1;http://dx.doi.org/10.1016/j.infsof.2019.05.004" TargetMode="External"/><Relationship Id="rId239" Type="http://schemas.openxmlformats.org/officeDocument/2006/relationships/hyperlink" Target="https://www.scopus.com/inward/record.uri?eid=2-s2.0-85134289823&amp;doi=10.1007%2f978-981-19-1111-8_10&amp;partnerID=40&amp;md5=f6ae2b197b0baa3e83bc80307c825f2d;http://dx.doi.org/10.1007/978-981-19-1111-8_10" TargetMode="External"/><Relationship Id="rId446" Type="http://schemas.openxmlformats.org/officeDocument/2006/relationships/hyperlink" Target="https://www.scopus.com/inward/record.uri?eid=2-s2.0-85091937445&amp;doi=10.1145%2f3387904.3389266&amp;partnerID=40&amp;md5=7a8ca882dca784a107b4c148971c9ccd;http://dx.doi.org/10.1145/3387904.3389266" TargetMode="External"/><Relationship Id="rId653" Type="http://schemas.openxmlformats.org/officeDocument/2006/relationships/hyperlink" Target="https://www.scopus.com/inward/record.uri?eid=2-s2.0-85078871135&amp;doi=10.1016%2fj.infsof.2020.106270&amp;partnerID=40&amp;md5=da9d6aa798dac89600c4c15e6d482606;http://dx.doi.org/10.1016/j.infsof.2020.106270" TargetMode="External"/><Relationship Id="rId1076" Type="http://schemas.openxmlformats.org/officeDocument/2006/relationships/hyperlink" Target="http://dx.doi.org/10.1109/ACCESS.2020.3036037" TargetMode="External"/><Relationship Id="rId1283" Type="http://schemas.openxmlformats.org/officeDocument/2006/relationships/hyperlink" Target="http://dx.doi.org/10.1109/ETFA52439.2022.9921705" TargetMode="External"/><Relationship Id="rId1490" Type="http://schemas.openxmlformats.org/officeDocument/2006/relationships/hyperlink" Target="https://doi.org/10.1145/3434280;http:/dx.doi.org/10.1145/3434280" TargetMode="External"/><Relationship Id="rId2127" Type="http://schemas.openxmlformats.org/officeDocument/2006/relationships/hyperlink" Target="http://link.springer.com/chapter/10.1007/978-3-031-19741-3_3" TargetMode="External"/><Relationship Id="rId306" Type="http://schemas.openxmlformats.org/officeDocument/2006/relationships/hyperlink" Target="https://www.scopus.com/inward/record.uri?eid=2-s2.0-85129589031&amp;doi=10.1080%2f17517575.2021.1973570&amp;partnerID=40&amp;md5=7623b2d60f5b16aa1d32b4fc8e3dbe7b;http://dx.doi.org/10.1080/17517575.2021.1973570" TargetMode="External"/><Relationship Id="rId860" Type="http://schemas.openxmlformats.org/officeDocument/2006/relationships/hyperlink" Target="https://www.scopus.com/inward/record.uri?eid=2-s2.0-85037371130&amp;doi=10.1145%2f3128572.3140445&amp;partnerID=40&amp;md5=c6eda95cfe08816b6178fe6e7bec7716;http://dx.doi.org/10.1145/3128572.3140445" TargetMode="External"/><Relationship Id="rId1143" Type="http://schemas.openxmlformats.org/officeDocument/2006/relationships/hyperlink" Target="http://dx.doi.org/10.1109/ICSE-SEIP.2019.00009" TargetMode="External"/><Relationship Id="rId513" Type="http://schemas.openxmlformats.org/officeDocument/2006/relationships/hyperlink" Target="https://www.scopus.com/inward/record.uri?eid=2-s2.0-85097173443&amp;doi=10.1145%2f3368089.3417063&amp;partnerID=40&amp;md5=aa1b6215912a8d109ab7e22f981e387a;http://dx.doi.org/10.1145/3368089.3417063" TargetMode="External"/><Relationship Id="rId720" Type="http://schemas.openxmlformats.org/officeDocument/2006/relationships/hyperlink" Target="https://www.scopus.com/inward/record.uri?eid=2-s2.0-85088130233&amp;doi=10.3390%2ffi12060102&amp;partnerID=40&amp;md5=7ceb14c14338aef0c67037b4c2731289;http://dx.doi.org/10.3390/fi12060102" TargetMode="External"/><Relationship Id="rId1350" Type="http://schemas.openxmlformats.org/officeDocument/2006/relationships/hyperlink" Target="https://doi.org/10.1145/3524843.3528094;http:/dx.doi.org/10.1145/3524843.3528094" TargetMode="External"/><Relationship Id="rId1003" Type="http://schemas.openxmlformats.org/officeDocument/2006/relationships/hyperlink" Target="http://dx.doi.org/10.1109/IWESEP49350.2019.00017" TargetMode="External"/><Relationship Id="rId1210" Type="http://schemas.openxmlformats.org/officeDocument/2006/relationships/hyperlink" Target="http://dx.doi.org/10.1109/ICPC52881.2021.00029" TargetMode="External"/><Relationship Id="rId163" Type="http://schemas.openxmlformats.org/officeDocument/2006/relationships/hyperlink" Target="https://www.scopus.com/inward/record.uri?eid=2-s2.0-85138474182&amp;doi=10.1007%2fs10664-022-10206-6&amp;partnerID=40&amp;md5=8d0df4e706b91f4276677017bfa1fc25;http://dx.doi.org/10.1007/s10664-022-10206-6" TargetMode="External"/><Relationship Id="rId370" Type="http://schemas.openxmlformats.org/officeDocument/2006/relationships/hyperlink" Target="https://www.scopus.com/inward/record.uri?eid=2-s2.0-85133411277&amp;doi=10.1145%2f3522664.3528590&amp;partnerID=40&amp;md5=4ccc26a1a57379126b4d3150b1f12927;http://dx.doi.org/10.1145/3522664.3528590" TargetMode="External"/><Relationship Id="rId2051" Type="http://schemas.openxmlformats.org/officeDocument/2006/relationships/hyperlink" Target="http://link.springer.com/chapter/10.1007/978-3-031-02063-6_3" TargetMode="External"/><Relationship Id="rId230" Type="http://schemas.openxmlformats.org/officeDocument/2006/relationships/hyperlink" Target="https://www.scopus.com/inward/record.uri?eid=2-s2.0-85134194795&amp;doi=10.1109%2fTEMSCONEUROPE54743.2022.9802054&amp;partnerID=40&amp;md5=d15c6dd83ba2312925aeebe5b4d8cb1a;http://dx.doi.org/10.1109/TEMSCONEUROPE54743.2022.9802054" TargetMode="External"/><Relationship Id="rId1677" Type="http://schemas.openxmlformats.org/officeDocument/2006/relationships/hyperlink" Target="https://www.sciencedirect.com/science/article/pii/S016412122030128X;http:/dx.doi.org/10.1016/j.jss.2020.110671" TargetMode="External"/><Relationship Id="rId1884" Type="http://schemas.openxmlformats.org/officeDocument/2006/relationships/hyperlink" Target="http://link.springer.com/book/10.1007/978-3-662-65116-2" TargetMode="External"/><Relationship Id="rId907" Type="http://schemas.openxmlformats.org/officeDocument/2006/relationships/hyperlink" Target="https://www.scopus.com/inward/record.uri?eid=2-s2.0-85062324873&amp;partnerID=40&amp;md5=362500e663e18919bb737be67017b1ef" TargetMode="External"/><Relationship Id="rId1537" Type="http://schemas.openxmlformats.org/officeDocument/2006/relationships/hyperlink" Target="https://doi.org/10.1145/3411764.3445518;http:/dx.doi.org/10.1145/3411764.3445518" TargetMode="External"/><Relationship Id="rId1744" Type="http://schemas.openxmlformats.org/officeDocument/2006/relationships/hyperlink" Target="http://link.springer.com/book/10.1007/978-3-030-91452-3" TargetMode="External"/><Relationship Id="rId1951" Type="http://schemas.openxmlformats.org/officeDocument/2006/relationships/hyperlink" Target="http://link.springer.com/book/10.1007/978-1-4842-8820-7" TargetMode="External"/><Relationship Id="rId36" Type="http://schemas.openxmlformats.org/officeDocument/2006/relationships/hyperlink" Target="https://www.scopus.com/inward/record.uri?eid=2-s2.0-85132899254&amp;doi=10.1002%2fspe.3117&amp;partnerID=40&amp;md5=990b74421e742e1a74b2402204c48097;http://dx.doi.org/10.1002/spe.3117" TargetMode="External"/><Relationship Id="rId1604" Type="http://schemas.openxmlformats.org/officeDocument/2006/relationships/hyperlink" Target="https://www.sciencedirect.com/science/article/pii/S0164121223000146;http:/dx.doi.org/10.1016/j.jss.2023.111619" TargetMode="External"/><Relationship Id="rId1811" Type="http://schemas.openxmlformats.org/officeDocument/2006/relationships/hyperlink" Target="http://link.springer.com/book/10.1007/978-3-030-59155-7" TargetMode="External"/><Relationship Id="rId697" Type="http://schemas.openxmlformats.org/officeDocument/2006/relationships/hyperlink" Target="https://www.scopus.com/inward/record.uri?eid=2-s2.0-85102034258&amp;partnerID=40&amp;md5=5cfe70c132f0587b2ec367ef0af48bec" TargetMode="External"/><Relationship Id="rId1187" Type="http://schemas.openxmlformats.org/officeDocument/2006/relationships/hyperlink" Target="http://dx.doi.org/10.1109/TSE.2019.2910856" TargetMode="External"/><Relationship Id="rId557" Type="http://schemas.openxmlformats.org/officeDocument/2006/relationships/hyperlink" Target="https://www.scopus.com/inward/record.uri?eid=2-s2.0-85100871955&amp;doi=10.1007%2fs11219-020-09538-7&amp;partnerID=40&amp;md5=db34d14be1d38564e1377bfa7a6c070f;http://dx.doi.org/10.1007/s11219-020-09538-7" TargetMode="External"/><Relationship Id="rId764" Type="http://schemas.openxmlformats.org/officeDocument/2006/relationships/hyperlink" Target="https://www.scopus.com/inward/record.uri?eid=2-s2.0-85097427859&amp;doi=10.1007%2f978-3-030-62144-5_1&amp;partnerID=40&amp;md5=3cc753e5bbf244b2eeddf32777ea406e;http://dx.doi.org/10.1007/978-3-030-62144-5_1" TargetMode="External"/><Relationship Id="rId971" Type="http://schemas.openxmlformats.org/officeDocument/2006/relationships/hyperlink" Target="http://dx.doi.org/10.1145/3524843.3528093" TargetMode="External"/><Relationship Id="rId1394" Type="http://schemas.openxmlformats.org/officeDocument/2006/relationships/hyperlink" Target="https://doi.org/10.1145/3524843.3528099;http:/dx.doi.org/10.1145/3524843.3528099" TargetMode="External"/><Relationship Id="rId417" Type="http://schemas.openxmlformats.org/officeDocument/2006/relationships/hyperlink" Target="https://www.scopus.com/inward/record.uri?eid=2-s2.0-85100077295&amp;doi=10.1007%2fs42979-020-00405-7&amp;partnerID=40&amp;md5=24405d61b18e233b5b027418cfe81865;http://dx.doi.org/10.1007/s42979-020-00405-7" TargetMode="External"/><Relationship Id="rId624" Type="http://schemas.openxmlformats.org/officeDocument/2006/relationships/hyperlink" Target="https://www.scopus.com/inward/record.uri?eid=2-s2.0-85083555688&amp;doi=10.1109%2fSANER48275.2020.9054792&amp;partnerID=40&amp;md5=9dbc463d70f0901b3072e404686ff20e;http://dx.doi.org/10.1109/SANER48275.2020.9054792" TargetMode="External"/><Relationship Id="rId831" Type="http://schemas.openxmlformats.org/officeDocument/2006/relationships/hyperlink" Target="https://www.scopus.com/inward/record.uri?eid=2-s2.0-85047767117&amp;doi=10.1109%2fBigData.2017.8258038&amp;partnerID=40&amp;md5=0b882281e71e8e42326196b28d0e983f;http://dx.doi.org/10.1109/BigData.2017.8258038" TargetMode="External"/><Relationship Id="rId1047" Type="http://schemas.openxmlformats.org/officeDocument/2006/relationships/hyperlink" Target="http://dx.doi.org/10.1109/ICSTW.2018.00061" TargetMode="External"/><Relationship Id="rId1254" Type="http://schemas.openxmlformats.org/officeDocument/2006/relationships/hyperlink" Target="http://dx.doi.org/10.1109/CSMR-WCRE.2014.6747177" TargetMode="External"/><Relationship Id="rId1461" Type="http://schemas.openxmlformats.org/officeDocument/2006/relationships/hyperlink" Target="https://doi.org/10.1145/2889160.2889211;http:/dx.doi.org/10.1145/2889160.2889211"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link.springer.com/chapter/10.1007/978-1-4842-5107-2_8" TargetMode="External"/><Relationship Id="rId170" Type="http://schemas.openxmlformats.org/officeDocument/2006/relationships/hyperlink" Target="https://www.scopus.com/inward/record.uri?eid=2-s2.0-85015808258&amp;doi=10.1016%2fj.asej.2017.03.002&amp;partnerID=40&amp;md5=5c660ecb8b2ded05a6eade8de60650ca;http://dx.doi.org/10.1016/j.asej.2017.03.002" TargetMode="External"/><Relationship Id="rId987" Type="http://schemas.openxmlformats.org/officeDocument/2006/relationships/hyperlink" Target="http://dx.doi.org/10.1109/TSE.2021.3060068" TargetMode="External"/><Relationship Id="rId847" Type="http://schemas.openxmlformats.org/officeDocument/2006/relationships/hyperlink" Target="https://doi.org/10.1145/3468264.3473928;http:/dx.doi.org/10.1145/3468264.3473928" TargetMode="External"/><Relationship Id="rId1477" Type="http://schemas.openxmlformats.org/officeDocument/2006/relationships/hyperlink" Target="https://www.scopus.com/inward/record.uri?eid=2-s2.0-85015243309&amp;doi=10.1109%2fMLHPC.2016.5&amp;partnerID=40&amp;md5=53b01289abb7fa59831d4d91be1eef23;http://dx.doi.org/10.1109/MLHPC.2016.5" TargetMode="External"/><Relationship Id="rId1684" Type="http://schemas.openxmlformats.org/officeDocument/2006/relationships/hyperlink" Target="https://www.scopus.com/inward/record.uri?eid=2-s2.0-85115753395&amp;doi=10.1007%2fs10664-021-10031-3&amp;partnerID=40&amp;md5=8f5452f0b97e1e6b6713650ecbe1a2d5;http://dx.doi.org/10.1007/s10664-021-10031-3" TargetMode="External"/><Relationship Id="rId1891" Type="http://schemas.openxmlformats.org/officeDocument/2006/relationships/hyperlink" Target="http://dx.doi.org/10.1109/MSR52588.2021.00032" TargetMode="External"/><Relationship Id="rId707" Type="http://schemas.openxmlformats.org/officeDocument/2006/relationships/hyperlink" Target="https://www.scopus.com/inward/record.uri?eid=2-s2.0-85102291373&amp;doi=10.1007%2fs12198-021-00230-w&amp;partnerID=40&amp;md5=b63ddf3488fb779f4917217e8731846d;http://dx.doi.org/10.1007/s12198-021-00230-w" TargetMode="External"/><Relationship Id="rId914" Type="http://schemas.openxmlformats.org/officeDocument/2006/relationships/hyperlink" Target="http://dx.doi.org/10.1109/ISTAS50296.2020.9462201" TargetMode="External"/><Relationship Id="rId1337" Type="http://schemas.openxmlformats.org/officeDocument/2006/relationships/hyperlink" Target="https://doi.org/10.1145/3510455.3512773;http:/dx.doi.org/10.1145/3510455.3512773" TargetMode="External"/><Relationship Id="rId1544" Type="http://schemas.openxmlformats.org/officeDocument/2006/relationships/hyperlink" Target="https://www.scopus.com/inward/record.uri?eid=2-s2.0-85143197967&amp;doi=10.1145%2f3558489.3559069&amp;partnerID=40&amp;md5=aa575bcbfb3041317cdc8d2bbdc8cad1;http://dx.doi.org/10.1145/3558489.3559069" TargetMode="External"/><Relationship Id="rId1751" Type="http://schemas.openxmlformats.org/officeDocument/2006/relationships/hyperlink" Target="https://www.sciencedirect.com/science/article/pii/S0950584920301920;http:/dx.doi.org/10.1016/j.infsof.2020.106439" TargetMode="External"/><Relationship Id="rId43" Type="http://schemas.openxmlformats.org/officeDocument/2006/relationships/hyperlink" Target="http://dx.doi.org/10.1109/BigDataCongress.2018.00030" TargetMode="External"/><Relationship Id="rId1404" Type="http://schemas.openxmlformats.org/officeDocument/2006/relationships/hyperlink" Target="https://doi.org/10.1109/ICSE43902.2021.00134;http:/dx.doi.org/10.1109/ICSE43902.2021.00134" TargetMode="External"/><Relationship Id="rId1611" Type="http://schemas.openxmlformats.org/officeDocument/2006/relationships/hyperlink" Target="http://dx.doi.org/10.1109/VISSOFT.2018.00009" TargetMode="External"/><Relationship Id="rId497" Type="http://schemas.openxmlformats.org/officeDocument/2006/relationships/hyperlink" Target="https://www.scopus.com/inward/record.uri?eid=2-s2.0-84985021331&amp;doi=10.1145%2f2939672.2945388&amp;partnerID=40&amp;md5=c72fda8d1d66dc2a09daed6c9e63682b;http://dx.doi.org/10.1145/2939672.2945388" TargetMode="External"/><Relationship Id="rId2178" Type="http://schemas.openxmlformats.org/officeDocument/2006/relationships/hyperlink" Target="https://www.scopus.com/inward/record.uri?eid=2-s2.0-84984985889&amp;doi=10.1145%2f2939672.2939778&amp;partnerID=40&amp;md5=217b33ce367d1ea7001014a5ac694c79;http://dx.doi.org/10.1145/2939672.2939778" TargetMode="External"/><Relationship Id="rId357" Type="http://schemas.openxmlformats.org/officeDocument/2006/relationships/hyperlink" Target="https://doi.org/10.1109/TechDebt.2019.00027;http:/dx.doi.org/10.1109/TechDebt.2019.00027" TargetMode="External"/><Relationship Id="rId1194" Type="http://schemas.openxmlformats.org/officeDocument/2006/relationships/hyperlink" Target="https://www.scopus.com/inward/record.uri?eid=2-s2.0-85071185990&amp;doi=10.1109%2fTechDebt.2019.00029&amp;partnerID=40&amp;md5=787f07eee0f7c1998d5431e12625d2ea;http://dx.doi.org/10.1109/TechDebt.2019.00029" TargetMode="External"/><Relationship Id="rId2038" Type="http://schemas.openxmlformats.org/officeDocument/2006/relationships/hyperlink" Target="https://www.scopus.com/inward/record.uri?eid=2-s2.0-85132359794&amp;doi=10.1145%2f3530019.3530035&amp;partnerID=40&amp;md5=b840f2d862131c038d7b65cf61a475b8;http://dx.doi.org/10.1145/3530019.3530035" TargetMode="External"/><Relationship Id="rId217" Type="http://schemas.openxmlformats.org/officeDocument/2006/relationships/hyperlink" Target="http://dx.doi.org/10.1109/BigData.2017.8258187" TargetMode="External"/><Relationship Id="rId564" Type="http://schemas.openxmlformats.org/officeDocument/2006/relationships/hyperlink" Target="https://doi.org/10.1145/3351095.3372873;http:/dx.doi.org/10.1145/3351095.3372873" TargetMode="External"/><Relationship Id="rId771" Type="http://schemas.openxmlformats.org/officeDocument/2006/relationships/hyperlink" Target="https://www.scopus.com/inward/record.uri?eid=2-s2.0-85102876306&amp;doi=10.1145%2f3439961.3439991&amp;partnerID=40&amp;md5=ddef4fc9d5751caf581e9bf85ad76ca1;http://dx.doi.org/10.1145/3439961.3439991" TargetMode="External"/><Relationship Id="rId424" Type="http://schemas.openxmlformats.org/officeDocument/2006/relationships/hyperlink" Target="https://www.scopus.com/inward/record.uri?eid=2-s2.0-85090507319&amp;doi=10.18293%2fSEKE2020-084&amp;partnerID=40&amp;md5=23ffd13ecb661a485d23117a4e4a8c80;http://dx.doi.org/10.18293/SEKE2020-084" TargetMode="External"/><Relationship Id="rId631" Type="http://schemas.openxmlformats.org/officeDocument/2006/relationships/hyperlink" Target="http://dx.doi.org/10.1145/3524843.3528097" TargetMode="External"/><Relationship Id="rId1054" Type="http://schemas.openxmlformats.org/officeDocument/2006/relationships/hyperlink" Target="http://link.springer.com/article/10.1007/s10664-018-9656-z" TargetMode="External"/><Relationship Id="rId1261" Type="http://schemas.openxmlformats.org/officeDocument/2006/relationships/hyperlink" Target="https://doi.org/10.1145/3382494.3410673;http:/dx.doi.org/10.1145/3382494.3410673" TargetMode="External"/><Relationship Id="rId2105" Type="http://schemas.openxmlformats.org/officeDocument/2006/relationships/hyperlink" Target="https://www.sciencedirect.com/science/article/pii/S0957417420308824;http:/dx.doi.org/10.1016/j.eswa.2020.114134" TargetMode="External"/><Relationship Id="rId1121" Type="http://schemas.openxmlformats.org/officeDocument/2006/relationships/hyperlink" Target="https://www.scopus.com/inward/record.uri?eid=2-s2.0-85096147180&amp;doi=10.1109%2fTSE.2020.3031401&amp;partnerID=40&amp;md5=6ccbd34b4c58d5bca5a9cd37fc2cec63;http://dx.doi.org/10.1109/TSE.2020.3031401" TargetMode="External"/><Relationship Id="rId1938" Type="http://schemas.openxmlformats.org/officeDocument/2006/relationships/hyperlink" Target="http://link.springer.com/article/10.1007/s11219-019-09490-1" TargetMode="External"/><Relationship Id="rId281" Type="http://schemas.openxmlformats.org/officeDocument/2006/relationships/hyperlink" Target="https://doi.org/10.1109/ICSE43902.2021.00033;http:/dx.doi.org/10.1109/ICSE43902.2021.00033" TargetMode="External"/><Relationship Id="rId141" Type="http://schemas.openxmlformats.org/officeDocument/2006/relationships/hyperlink" Target="https://www.sciencedirect.com/science/article/pii/S0164121219300457;http:/dx.doi.org/10.1016/j.jss.2019.02.056" TargetMode="External"/><Relationship Id="rId7" Type="http://schemas.openxmlformats.org/officeDocument/2006/relationships/hyperlink" Target="http://link.springer.com/book/10.1007/978-3-658-37009-1" TargetMode="External"/><Relationship Id="rId958" Type="http://schemas.openxmlformats.org/officeDocument/2006/relationships/hyperlink" Target="http://link.springer.com/article/10.1186/s40537-020-00303-y" TargetMode="External"/><Relationship Id="rId1588" Type="http://schemas.openxmlformats.org/officeDocument/2006/relationships/hyperlink" Target="https://www.scopus.com/inward/record.uri?eid=2-s2.0-85085516355&amp;doi=10.1016%2fj.infsof.2020.106332&amp;partnerID=40&amp;md5=624a9619bc719fefda7c0cd7d78dd001;http://dx.doi.org/10.1016/j.infsof.2020.106332" TargetMode="External"/><Relationship Id="rId1795" Type="http://schemas.openxmlformats.org/officeDocument/2006/relationships/hyperlink" Target="http://link.springer.com/chapter/10.1007/978-981-16-1927-4_15" TargetMode="External"/><Relationship Id="rId87" Type="http://schemas.openxmlformats.org/officeDocument/2006/relationships/hyperlink" Target="https://www.scopus.com/inward/record.uri?eid=2-s2.0-85025432762&amp;doi=10.1145%2f3084226.3084239&amp;partnerID=40&amp;md5=874158b90143a4a1ada5da7df674be31;http://dx.doi.org/10.1145/3084226.3084239" TargetMode="External"/><Relationship Id="rId818" Type="http://schemas.openxmlformats.org/officeDocument/2006/relationships/hyperlink" Target="http://dx.doi.org/10.1109/TSE.2021.3102982" TargetMode="External"/><Relationship Id="rId1448" Type="http://schemas.openxmlformats.org/officeDocument/2006/relationships/hyperlink" Target="https://www.scopus.com/inward/record.uri?eid=2-s2.0-84962708036&amp;doi=10.1145%2f2857218.2857224&amp;partnerID=40&amp;md5=156cfd7aad3578e5f910772fe85ddd91;http://dx.doi.org/10.1145/2857218.2857224" TargetMode="External"/><Relationship Id="rId1655" Type="http://schemas.openxmlformats.org/officeDocument/2006/relationships/hyperlink" Target="http://link.springer.com/book/10.1007/978-3-030-82978-0" TargetMode="External"/><Relationship Id="rId1308" Type="http://schemas.openxmlformats.org/officeDocument/2006/relationships/hyperlink" Target="https://www.scopus.com/inward/record.uri?eid=2-s2.0-84960421324&amp;doi=10.1145%2f2786805.2786848&amp;partnerID=40&amp;md5=fb086ca8c559aa7ca2e20e0bd421c154;http://dx.doi.org/10.1145/2786805.2786848" TargetMode="External"/><Relationship Id="rId1862" Type="http://schemas.openxmlformats.org/officeDocument/2006/relationships/hyperlink" Target="http://dx.doi.org/10.1145/3238147.3238201" TargetMode="External"/><Relationship Id="rId1515" Type="http://schemas.openxmlformats.org/officeDocument/2006/relationships/hyperlink" Target="http://dx.doi.org/10.1109/SEAA51224.2020.00069" TargetMode="External"/><Relationship Id="rId1722" Type="http://schemas.openxmlformats.org/officeDocument/2006/relationships/hyperlink" Target="https://www.scopus.com/inward/record.uri?eid=2-s2.0-85013078209&amp;doi=10.1109%2fICSME.2016.27&amp;partnerID=40&amp;md5=1fa0e20a3c078fea1c2c6ea63b399009;http://dx.doi.org/10.1109/ICSME.2016.27" TargetMode="External"/><Relationship Id="rId14" Type="http://schemas.openxmlformats.org/officeDocument/2006/relationships/hyperlink" Target="http://link.springer.com/chapter/10.1007/978-3-030-14969-7_21" TargetMode="External"/><Relationship Id="rId468" Type="http://schemas.openxmlformats.org/officeDocument/2006/relationships/hyperlink" Target="http://link.springer.com/book/10.1007/978-3-658-32236-6" TargetMode="External"/><Relationship Id="rId675" Type="http://schemas.openxmlformats.org/officeDocument/2006/relationships/hyperlink" Target="https://www.scopus.com/inward/record.uri?eid=2-s2.0-85094889936&amp;partnerID=40&amp;md5=ed9c3e56fdaf670df68f4f687d9f51fb" TargetMode="External"/><Relationship Id="rId882" Type="http://schemas.openxmlformats.org/officeDocument/2006/relationships/hyperlink" Target="http://dx.doi.org/10.1145/3524842.3528032" TargetMode="External"/><Relationship Id="rId1098" Type="http://schemas.openxmlformats.org/officeDocument/2006/relationships/hyperlink" Target="https://www.scopus.com/inward/record.uri?eid=2-s2.0-85136734876&amp;doi=10.1016%2fj.jss.2022.111483&amp;partnerID=40&amp;md5=909b9bd77d3ee232970fab3ecc4ee05c;http://dx.doi.org/10.1016/j.jss.2022.111483" TargetMode="External"/><Relationship Id="rId2149" Type="http://schemas.openxmlformats.org/officeDocument/2006/relationships/hyperlink" Target="https://www.scopus.com/inward/record.uri?eid=2-s2.0-85113340403&amp;doi=10.1007%2f978-3-030-82017-6_11&amp;partnerID=40&amp;md5=5676cb2fab321b8df681c4ab1babd3f3;http://dx.doi.org/10.1007/978-3-030-82017-6_11" TargetMode="External"/><Relationship Id="rId328" Type="http://schemas.openxmlformats.org/officeDocument/2006/relationships/hyperlink" Target="https://www.scopus.com/inward/record.uri?eid=2-s2.0-85086145221&amp;doi=10.1007%2f978-981-15-5827-6_6&amp;partnerID=40&amp;md5=fa314c2777096ade36f95c5553f4d8c3;http://dx.doi.org/10.1007/978-981-15-5827-6_6" TargetMode="External"/><Relationship Id="rId535" Type="http://schemas.openxmlformats.org/officeDocument/2006/relationships/hyperlink" Target="http://dx.doi.org/10.1109/TSE.2018.2874960" TargetMode="External"/><Relationship Id="rId742" Type="http://schemas.openxmlformats.org/officeDocument/2006/relationships/hyperlink" Target="http://dx.doi.org/10.1109/MCSE.2019.2900945" TargetMode="External"/><Relationship Id="rId1165" Type="http://schemas.openxmlformats.org/officeDocument/2006/relationships/hyperlink" Target="http://link.springer.com/book/10.1007/978-3-031-04819-7" TargetMode="External"/><Relationship Id="rId1372" Type="http://schemas.openxmlformats.org/officeDocument/2006/relationships/hyperlink" Target="https://www.scopus.com/inward/record.uri?eid=2-s2.0-85102578152&amp;doi=10.1016%2fj.jss.2021.110941&amp;partnerID=40&amp;md5=dcbc0dc703f07e37f7f5fecc315e151d;http://dx.doi.org/10.1016/j.jss.2021.110941" TargetMode="External"/><Relationship Id="rId2009" Type="http://schemas.openxmlformats.org/officeDocument/2006/relationships/hyperlink" Target="https://ieeexplore.ieee.org/document/9936879" TargetMode="External"/><Relationship Id="rId602" Type="http://schemas.openxmlformats.org/officeDocument/2006/relationships/hyperlink" Target="https://doi.org/10.1145/3524610.3527874;http:/dx.doi.org/10.1145/3524610.3527874" TargetMode="External"/><Relationship Id="rId1025" Type="http://schemas.openxmlformats.org/officeDocument/2006/relationships/hyperlink" Target="https://doi.org/10.1145/3368089.3417066;http:/dx.doi.org/10.1145/3368089.3417066" TargetMode="External"/><Relationship Id="rId1232" Type="http://schemas.openxmlformats.org/officeDocument/2006/relationships/hyperlink" Target="http://link.springer.com/chapter/10.1007/978-1-4842-5104-1_3" TargetMode="External"/><Relationship Id="rId185" Type="http://schemas.openxmlformats.org/officeDocument/2006/relationships/hyperlink" Target="https://www.scopus.com/inward/record.uri?eid=2-s2.0-85024370661&amp;doi=10.1016%2fB978-0-12-805195-5.00008-9&amp;partnerID=40&amp;md5=a2abf57e3e55b52dfd00d506f7b0d93a;http://dx.doi.org/10.1016/B978-0-12-805195-5.00008-9" TargetMode="External"/><Relationship Id="rId1909" Type="http://schemas.openxmlformats.org/officeDocument/2006/relationships/hyperlink" Target="https://www.scopus.com/inward/record.uri?eid=2-s2.0-85054881933&amp;doi=10.1007%2f978-3-030-00623-5_2&amp;partnerID=40&amp;md5=2b8c9a4443e0bc62d0139c404268876f;http://dx.doi.org/10.1007/978-3-030-00623-5_2" TargetMode="External"/><Relationship Id="rId392" Type="http://schemas.openxmlformats.org/officeDocument/2006/relationships/hyperlink" Target="https://www.scopus.com/inward/record.uri?eid=2-s2.0-85050969959&amp;doi=10.1109%2fICSTW.2018.00039&amp;partnerID=40&amp;md5=14265fd8be7c272ad271e9c8f8990221;http://dx.doi.org/10.1109/ICSTW.2018.00039" TargetMode="External"/><Relationship Id="rId2073" Type="http://schemas.openxmlformats.org/officeDocument/2006/relationships/hyperlink" Target="https://www.scopus.com/inward/record.uri?eid=2-s2.0-85076086180&amp;doi=10.1145%2f3340482.3342747&amp;partnerID=40&amp;md5=226757cee7c7d2f7fdaf63be77e79886;http://dx.doi.org/10.1145/3340482.3342747" TargetMode="External"/><Relationship Id="rId252" Type="http://schemas.openxmlformats.org/officeDocument/2006/relationships/hyperlink" Target="https://www.scopus.com/inward/record.uri?eid=2-s2.0-85071087966&amp;doi=10.1109%2fSEAMS.2019.00029&amp;partnerID=40&amp;md5=8e6b24a1794c18335509f5180553c690;http://dx.doi.org/10.1109/SEAMS.2019.00029" TargetMode="External"/><Relationship Id="rId2140" Type="http://schemas.openxmlformats.org/officeDocument/2006/relationships/hyperlink" Target="https://www.scopus.com/inward/record.uri?eid=2-s2.0-85051635603&amp;doi=10.1145%2f3196398.3196423&amp;partnerID=40&amp;md5=55574cd1b42668435b7df6ea09d91098;http://dx.doi.org/10.1145/3196398.3196423" TargetMode="External"/><Relationship Id="rId112" Type="http://schemas.openxmlformats.org/officeDocument/2006/relationships/hyperlink" Target="https://www.sciencedirect.com/science/article/pii/S2212827122014974;http:/dx.doi.org/10.1016/j.procir.2022.10.062" TargetMode="External"/><Relationship Id="rId1699" Type="http://schemas.openxmlformats.org/officeDocument/2006/relationships/hyperlink" Target="https://www.scopus.com/inward/record.uri?eid=2-s2.0-85067076704&amp;doi=10.1109%2fMS.2019.2919573&amp;partnerID=40&amp;md5=80e90f29b5525b146bd5b31d929e8773;http://dx.doi.org/10.1109/MS.2019.2919573" TargetMode="External"/><Relationship Id="rId2000" Type="http://schemas.openxmlformats.org/officeDocument/2006/relationships/hyperlink" Target="http://link.springer.com/book/10.1007/978-3-031-09237-4" TargetMode="External"/><Relationship Id="rId929" Type="http://schemas.openxmlformats.org/officeDocument/2006/relationships/hyperlink" Target="http://link.springer.com/book/10.1007/978-1-4842-3606-2" TargetMode="External"/><Relationship Id="rId1114" Type="http://schemas.openxmlformats.org/officeDocument/2006/relationships/hyperlink" Target="http://link.springer.com/article/10.1007/s10664-022-10128-3" TargetMode="External"/><Relationship Id="rId1321" Type="http://schemas.openxmlformats.org/officeDocument/2006/relationships/hyperlink" Target="https://www.scopus.com/inward/record.uri?eid=2-s2.0-85135055907&amp;doi=10.1007%2f978-3-031-10461-9_44&amp;partnerID=40&amp;md5=f779adfd5f5b27e1a5e2ca6ccd4c50a9;http://dx.doi.org/10.1007/978-3-031-10461-9_44" TargetMode="External"/><Relationship Id="rId1559" Type="http://schemas.openxmlformats.org/officeDocument/2006/relationships/hyperlink" Target="http://dx.doi.org/10.1145/3522664.3528612" TargetMode="External"/><Relationship Id="rId1766" Type="http://schemas.openxmlformats.org/officeDocument/2006/relationships/hyperlink" Target="http://link.springer.com/chapter/10.1007/978-3-031-20875-1_14" TargetMode="External"/><Relationship Id="rId1973" Type="http://schemas.openxmlformats.org/officeDocument/2006/relationships/hyperlink" Target="http://link.springer.com/book/10.1007/978-3-030-91279-6" TargetMode="External"/><Relationship Id="rId58" Type="http://schemas.openxmlformats.org/officeDocument/2006/relationships/hyperlink" Target="https://www.scopus.com/inward/record.uri?eid=2-s2.0-85028532467&amp;doi=10.23919%2fConTEL.2017.8000012&amp;partnerID=40&amp;md5=fc020b3455bc103854a84bf5a68ea689;http://dx.doi.org/10.23919/ConTEL.2017.8000012" TargetMode="External"/><Relationship Id="rId1419" Type="http://schemas.openxmlformats.org/officeDocument/2006/relationships/hyperlink" Target="https://doi.org/10.1145/3372787.3390439;http:/dx.doi.org/10.1145/3372787.3390439" TargetMode="External"/><Relationship Id="rId1626" Type="http://schemas.openxmlformats.org/officeDocument/2006/relationships/hyperlink" Target="https://www.scopus.com/inward/record.uri?eid=2-s2.0-85100411135&amp;doi=10.14778%2f3415478.3415570&amp;partnerID=40&amp;md5=c583d9b06b31d87741789cbf16d1d606;http://dx.doi.org/10.14778/3415478.3415570" TargetMode="External"/><Relationship Id="rId1833" Type="http://schemas.openxmlformats.org/officeDocument/2006/relationships/hyperlink" Target="http://link.springer.com/book/10.1007/978-3-031-02063-6" TargetMode="External"/><Relationship Id="rId1900" Type="http://schemas.openxmlformats.org/officeDocument/2006/relationships/hyperlink" Target="http://dx.doi.org/10.1109/SEAA53835.2021.00034" TargetMode="External"/><Relationship Id="rId2095" Type="http://schemas.openxmlformats.org/officeDocument/2006/relationships/hyperlink" Target="http://dx.doi.org/10.1109/ICSE.2019.00117" TargetMode="External"/><Relationship Id="rId274" Type="http://schemas.openxmlformats.org/officeDocument/2006/relationships/hyperlink" Target="http://link.springer.com/article/10.1007/s10664-020-09847-2" TargetMode="External"/><Relationship Id="rId481" Type="http://schemas.openxmlformats.org/officeDocument/2006/relationships/hyperlink" Target="http://dx.doi.org/10.1109/MS.2017.83" TargetMode="External"/><Relationship Id="rId2162" Type="http://schemas.openxmlformats.org/officeDocument/2006/relationships/hyperlink" Target="https://www.scopus.com/inward/record.uri?eid=2-s2.0-85032825139&amp;doi=10.1109%2fRE.2017.36&amp;partnerID=40&amp;md5=1a0038b42890663de6a1aec409206a91;http://dx.doi.org/10.1109/RE.2017.36" TargetMode="External"/><Relationship Id="rId134" Type="http://schemas.openxmlformats.org/officeDocument/2006/relationships/hyperlink" Target="https://www.scopus.com/inward/record.uri?eid=2-s2.0-85064995774&amp;doi=10.18178%2fijmlc.2019.9.2.793&amp;partnerID=40&amp;md5=89a96da26fda84674bd343ed90000e73;http://dx.doi.org/10.18178/ijmlc.2019.9.2.793" TargetMode="External"/><Relationship Id="rId579" Type="http://schemas.openxmlformats.org/officeDocument/2006/relationships/hyperlink" Target="https://doi.org/10.1145/3524842.3527932;http:/dx.doi.org/10.1145/3524842.3527932" TargetMode="External"/><Relationship Id="rId786" Type="http://schemas.openxmlformats.org/officeDocument/2006/relationships/hyperlink" Target="https://doi.org/10.1145/3387906.3388618;http:/dx.doi.org/10.1145/3387906.3388618" TargetMode="External"/><Relationship Id="rId993" Type="http://schemas.openxmlformats.org/officeDocument/2006/relationships/hyperlink" Target="http://link.springer.com/chapter/10.1007/978-3-031-15559-8_5" TargetMode="External"/><Relationship Id="rId341" Type="http://schemas.openxmlformats.org/officeDocument/2006/relationships/hyperlink" Target="https://www.scopus.com/inward/record.uri?eid=2-s2.0-85091170915&amp;doi=10.1007%2f978-3-030-58793-2_5&amp;partnerID=40&amp;md5=032c6818c86a80c7184d355953e702e4;http://dx.doi.org/10.1007/978-3-030-58793-2_5" TargetMode="External"/><Relationship Id="rId439" Type="http://schemas.openxmlformats.org/officeDocument/2006/relationships/hyperlink" Target="https://www.scopus.com/inward/record.uri?eid=2-s2.0-85046538470&amp;doi=10.1109%2fCNS.2017.8228656&amp;partnerID=40&amp;md5=410698b1599618c640c36c579761578e;http://dx.doi.org/10.1109/CNS.2017.8228656" TargetMode="External"/><Relationship Id="rId646" Type="http://schemas.openxmlformats.org/officeDocument/2006/relationships/hyperlink" Target="https://www.scopus.com/inward/record.uri?eid=2-s2.0-85072898064&amp;doi=10.1007%2f978-3-030-26250-1_30&amp;partnerID=40&amp;md5=ff9e046c42e97d445275b34d7f963329;http://dx.doi.org/10.1007/978-3-030-26250-1_30" TargetMode="External"/><Relationship Id="rId1069" Type="http://schemas.openxmlformats.org/officeDocument/2006/relationships/hyperlink" Target="https://www.scopus.com/inward/record.uri?eid=2-s2.0-85117733907&amp;doi=10.1007%2fs10664-021-10045-x&amp;partnerID=40&amp;md5=08aa5a74f13d392f5792c4911475ef97;http://dx.doi.org/10.1007/s10664-021-10045-x" TargetMode="External"/><Relationship Id="rId1276" Type="http://schemas.openxmlformats.org/officeDocument/2006/relationships/hyperlink" Target="https://www.scopus.com/inward/record.uri?eid=2-s2.0-85099723672&amp;doi=10.5593%2fsgem2020%2f2.1%2fs07.027&amp;partnerID=40&amp;md5=a2c61d7ad9145169efb9c0e826a061dc;http://dx.doi.org/10.5593/sgem2020/2.1/s07.027" TargetMode="External"/><Relationship Id="rId1483" Type="http://schemas.openxmlformats.org/officeDocument/2006/relationships/hyperlink" Target="http://link.springer.com/article/10.1007/s10664-022-10200-y" TargetMode="External"/><Relationship Id="rId2022" Type="http://schemas.openxmlformats.org/officeDocument/2006/relationships/hyperlink" Target="https://www.scopus.com/inward/record.uri?eid=2-s2.0-85142863387&amp;partnerID=40&amp;md5=219aaa958011f40bb75bd6fc1c8444ce" TargetMode="External"/><Relationship Id="rId201" Type="http://schemas.openxmlformats.org/officeDocument/2006/relationships/hyperlink" Target="https://www.scopus.com/inward/record.uri?eid=2-s2.0-85080861178&amp;doi=10.1109%2fISSREW.2019.00035&amp;partnerID=40&amp;md5=dc8eaabf2d5a6ec47bb4b44643a5c3fa;http://dx.doi.org/10.1109/ISSREW.2019.00035" TargetMode="External"/><Relationship Id="rId506" Type="http://schemas.openxmlformats.org/officeDocument/2006/relationships/hyperlink" Target="https://www.scopus.com/inward/record.uri?eid=2-s2.0-85113614854&amp;doi=10.1109%2fMSR52588.2021.00047&amp;partnerID=40&amp;md5=b0f86906236d73ca080cfad3137970b8;http://dx.doi.org/10.1109/MSR52588.2021.00047" TargetMode="External"/><Relationship Id="rId853" Type="http://schemas.openxmlformats.org/officeDocument/2006/relationships/hyperlink" Target="http://link.springer.com/article/10.1007/s41870-022-00905-0" TargetMode="External"/><Relationship Id="rId1136" Type="http://schemas.openxmlformats.org/officeDocument/2006/relationships/hyperlink" Target="http://link.springer.com/article/10.1007/s10664-019-09739-0" TargetMode="External"/><Relationship Id="rId1690" Type="http://schemas.openxmlformats.org/officeDocument/2006/relationships/hyperlink" Target="https://doi.org/10.1145/3195555.3195562;http:/dx.doi.org/10.1145/3195555.3195562" TargetMode="External"/><Relationship Id="rId1788" Type="http://schemas.openxmlformats.org/officeDocument/2006/relationships/hyperlink" Target="https://www.sciencedirect.com/science/article/pii/S0164121219301323;http:/dx.doi.org/10.1016/j.jss.2019.06.003" TargetMode="External"/><Relationship Id="rId1995" Type="http://schemas.openxmlformats.org/officeDocument/2006/relationships/hyperlink" Target="https://www.scopus.com/inward/record.uri?eid=2-s2.0-85100749826&amp;doi=10.1142%2fS0218194021500017&amp;partnerID=40&amp;md5=f7c76b5b6a6f5e80d5aa3896e874c0d8;http://dx.doi.org/10.1142/S0218194021500017" TargetMode="External"/><Relationship Id="rId713" Type="http://schemas.openxmlformats.org/officeDocument/2006/relationships/hyperlink" Target="https://www.scopus.com/inward/record.uri?eid=2-s2.0-85051073384&amp;partnerID=40&amp;md5=80215b7b99c9566a45d30083140535d7" TargetMode="External"/><Relationship Id="rId920" Type="http://schemas.openxmlformats.org/officeDocument/2006/relationships/hyperlink" Target="https://www.scopus.com/inward/record.uri?eid=2-s2.0-85135814472&amp;doi=10.1109%2fSANER53432.2022.00039&amp;partnerID=40&amp;md5=8de238549893d91d497d59d5920f5719;http://dx.doi.org/10.1109/SANER53432.2022.00039" TargetMode="External"/><Relationship Id="rId1343" Type="http://schemas.openxmlformats.org/officeDocument/2006/relationships/hyperlink" Target="https://www.scopus.com/inward/record.uri?eid=2-s2.0-85130755580&amp;doi=10.1145%2f3471907&amp;partnerID=40&amp;md5=f15e997dedf7462b07afecd215b95b6a;http://dx.doi.org/10.1145/3471907" TargetMode="External"/><Relationship Id="rId1550" Type="http://schemas.openxmlformats.org/officeDocument/2006/relationships/hyperlink" Target="http://link.springer.com/article/10.1007/s10664-020-09910-y" TargetMode="External"/><Relationship Id="rId1648" Type="http://schemas.openxmlformats.org/officeDocument/2006/relationships/hyperlink" Target="https://www.scopus.com/inward/record.uri?eid=2-s2.0-85115889625&amp;doi=10.1016%2fj.scico.2021.102693&amp;partnerID=40&amp;md5=5dbc6d48d322c359a08ff5baedd3732b;http://dx.doi.org/10.1016/j.scico.2021.102693" TargetMode="External"/><Relationship Id="rId1203" Type="http://schemas.openxmlformats.org/officeDocument/2006/relationships/hyperlink" Target="http://link.springer.com/chapter/10.1007/978-3-030-58703-1_17" TargetMode="External"/><Relationship Id="rId1410" Type="http://schemas.openxmlformats.org/officeDocument/2006/relationships/hyperlink" Target="https://www.scopus.com/inward/record.uri?eid=2-s2.0-85142686832&amp;doi=10.1007%2f978-3-031-19756-7_17&amp;partnerID=40&amp;md5=e7512dbcb4102e5308e13e7d16800931;http://dx.doi.org/10.1007/978-3-031-19756-7_17" TargetMode="External"/><Relationship Id="rId1508" Type="http://schemas.openxmlformats.org/officeDocument/2006/relationships/hyperlink" Target="http://dx.doi.org/10.1109/ICCSEA49143.2020.9132886" TargetMode="External"/><Relationship Id="rId1855" Type="http://schemas.openxmlformats.org/officeDocument/2006/relationships/hyperlink" Target="http://dx.doi.org/10.1109/MSR52588.2021.00004" TargetMode="External"/><Relationship Id="rId1715" Type="http://schemas.openxmlformats.org/officeDocument/2006/relationships/hyperlink" Target="https://www.scopus.com/inward/record.uri?eid=2-s2.0-85112462721&amp;doi=10.1145%2f3461702.3462564&amp;partnerID=40&amp;md5=671b14c6ba997a948a5be4d1cac6d0ef;http://dx.doi.org/10.1145/3461702.3462564" TargetMode="External"/><Relationship Id="rId1922" Type="http://schemas.openxmlformats.org/officeDocument/2006/relationships/hyperlink" Target="http://dx.doi.org/10.1109/ACCESS.2020.3036037" TargetMode="External"/><Relationship Id="rId296" Type="http://schemas.openxmlformats.org/officeDocument/2006/relationships/hyperlink" Target="https://www.scopus.com/inward/record.uri?eid=2-s2.0-85139844046&amp;doi=10.1145%2f3544902.3546637&amp;partnerID=40&amp;md5=58be2f1b51158cf58cefaaec91658062;http://dx.doi.org/10.1145/3544902.3546637" TargetMode="External"/><Relationship Id="rId2184" Type="http://schemas.openxmlformats.org/officeDocument/2006/relationships/hyperlink" Target="http://dx.doi.org/10.1109/SEAA.2017.15" TargetMode="External"/><Relationship Id="rId156" Type="http://schemas.openxmlformats.org/officeDocument/2006/relationships/hyperlink" Target="https://www.sciencedirect.com/science/article/pii/S0164121221001072;http:/dx.doi.org/10.1016/j.jss.2021.111010" TargetMode="External"/><Relationship Id="rId363" Type="http://schemas.openxmlformats.org/officeDocument/2006/relationships/hyperlink" Target="https://www.sciencedirect.com/science/article/pii/S0164121219301013;http:/dx.doi.org/10.1016/j.jss.2019.04.066" TargetMode="External"/><Relationship Id="rId570" Type="http://schemas.openxmlformats.org/officeDocument/2006/relationships/hyperlink" Target="http://link.springer.com/book/10.1007/978-1-4842-7226-8" TargetMode="External"/><Relationship Id="rId2044" Type="http://schemas.openxmlformats.org/officeDocument/2006/relationships/hyperlink" Target="https://www.scopus.com/inward/record.uri?eid=2-s2.0-85054769455&amp;doi=10.3390%2fapp8101902&amp;partnerID=40&amp;md5=d159a5c90da2427a86371925b4d16b0b;http://dx.doi.org/10.3390/app8101902" TargetMode="External"/><Relationship Id="rId223" Type="http://schemas.openxmlformats.org/officeDocument/2006/relationships/hyperlink" Target="http://link.springer.com/book/10.1007/978-3-319-91602-6" TargetMode="External"/><Relationship Id="rId430" Type="http://schemas.openxmlformats.org/officeDocument/2006/relationships/hyperlink" Target="http://dx.doi.org/10.1109/TSE.2018.2831232" TargetMode="External"/><Relationship Id="rId668" Type="http://schemas.openxmlformats.org/officeDocument/2006/relationships/hyperlink" Target="https://www.sciencedirect.com/science/article/pii/S0065245817300086;http:/dx.doi.org/10.1016/S0065-2458(17)30008-6" TargetMode="External"/><Relationship Id="rId875" Type="http://schemas.openxmlformats.org/officeDocument/2006/relationships/hyperlink" Target="http://dx.doi.org/10.1109/SEmotion52567.2021.00011" TargetMode="External"/><Relationship Id="rId1060" Type="http://schemas.openxmlformats.org/officeDocument/2006/relationships/hyperlink" Target="http://dx.doi.org/10.1109/TSE.2022.3140230" TargetMode="External"/><Relationship Id="rId1298" Type="http://schemas.openxmlformats.org/officeDocument/2006/relationships/hyperlink" Target="http://dx.doi.org/10.1109/MS.2021.3101945" TargetMode="External"/><Relationship Id="rId2111" Type="http://schemas.openxmlformats.org/officeDocument/2006/relationships/hyperlink" Target="http://link.springer.com/article/10.1007/s10664-019-09708-7" TargetMode="External"/><Relationship Id="rId528" Type="http://schemas.openxmlformats.org/officeDocument/2006/relationships/hyperlink" Target="https://doi.org/10.1145/3524842.3528455;http:/dx.doi.org/10.1145/3524842.3528455" TargetMode="External"/><Relationship Id="rId735" Type="http://schemas.openxmlformats.org/officeDocument/2006/relationships/hyperlink" Target="https://www.scopus.com/inward/record.uri?eid=2-s2.0-85089561236&amp;doi=10.1007%2fs10664-020-09856-1&amp;partnerID=40&amp;md5=2b9d55aa0c40e1079c995eea4c93a82f;http://dx.doi.org/10.1007/s10664-020-09856-1" TargetMode="External"/><Relationship Id="rId942" Type="http://schemas.openxmlformats.org/officeDocument/2006/relationships/hyperlink" Target="https://www.sciencedirect.com/science/article/pii/S1568494622000187;http:/dx.doi.org/10.1016/j.asoc.2022.108441" TargetMode="External"/><Relationship Id="rId1158" Type="http://schemas.openxmlformats.org/officeDocument/2006/relationships/hyperlink" Target="http://dx.doi.org/10.1109/MS.2022.3148928" TargetMode="External"/><Relationship Id="rId1365" Type="http://schemas.openxmlformats.org/officeDocument/2006/relationships/hyperlink" Target="http://dx.doi.org/10.1109/ICPC52881.2021.00029" TargetMode="External"/><Relationship Id="rId1572" Type="http://schemas.openxmlformats.org/officeDocument/2006/relationships/hyperlink" Target="https://www.scopus.com/inward/record.uri?eid=2-s2.0-85133467455&amp;doi=10.1145%2f3522664.3528592&amp;partnerID=40&amp;md5=c96498e5deeae9915eb8823bccdbb00d;http://dx.doi.org/10.1145/3522664.3528592" TargetMode="External"/><Relationship Id="rId1018" Type="http://schemas.openxmlformats.org/officeDocument/2006/relationships/hyperlink" Target="http://link.springer.com/article/10.1007/s41064-020-00102-3" TargetMode="External"/><Relationship Id="rId1225" Type="http://schemas.openxmlformats.org/officeDocument/2006/relationships/hyperlink" Target="https://www.scopus.com/inward/record.uri?eid=2-s2.0-85102945976&amp;partnerID=40&amp;md5=b644e0188e4b966d56705452c75dc58a" TargetMode="External"/><Relationship Id="rId1432" Type="http://schemas.openxmlformats.org/officeDocument/2006/relationships/hyperlink" Target="https://www.scopus.com/inward/record.uri?eid=2-s2.0-85117107487&amp;doi=10.1145%2f3474624.3474716&amp;partnerID=40&amp;md5=ac7d1b466b1109700dbed4017e4dd0d8;http://dx.doi.org/10.1145/3474624.3474716" TargetMode="External"/><Relationship Id="rId1877" Type="http://schemas.openxmlformats.org/officeDocument/2006/relationships/hyperlink" Target="http://link.springer.com/chapter/10.1007/978-3-030-87007-2_22" TargetMode="External"/><Relationship Id="rId71" Type="http://schemas.openxmlformats.org/officeDocument/2006/relationships/hyperlink" Target="https://www.scopus.com/inward/record.uri?eid=2-s2.0-85093925437&amp;doi=10.1145%2f3382494.3410680&amp;partnerID=40&amp;md5=c811f43a3e197f225b6bf063c67e0aed;http://dx.doi.org/10.1145/3382494.3410680" TargetMode="External"/><Relationship Id="rId802" Type="http://schemas.openxmlformats.org/officeDocument/2006/relationships/hyperlink" Target="http://dx.doi.org/10.1109/ICRITO48877.2020.9197868" TargetMode="External"/><Relationship Id="rId1737" Type="http://schemas.openxmlformats.org/officeDocument/2006/relationships/hyperlink" Target="http://dx.doi.org/10.1109/3ICT51146.2020.9311978" TargetMode="External"/><Relationship Id="rId1944" Type="http://schemas.openxmlformats.org/officeDocument/2006/relationships/hyperlink" Target="https://www.scopus.com/inward/record.uri?eid=2-s2.0-85034592025&amp;doi=10.1007%2f978-3-319-69926-4_13&amp;partnerID=40&amp;md5=6bded589da576075dcada2624dba849f;http://dx.doi.org/10.1007/978-3-319-69926-4_13" TargetMode="External"/><Relationship Id="rId29" Type="http://schemas.openxmlformats.org/officeDocument/2006/relationships/hyperlink" Target="https://doi.org/10.1145/3377812.3381396;http:/dx.doi.org/10.1145/3377812.3381396" TargetMode="External"/><Relationship Id="rId178" Type="http://schemas.openxmlformats.org/officeDocument/2006/relationships/hyperlink" Target="http://dx.doi.org/10.1109/AERO50100.2021.9438359" TargetMode="External"/><Relationship Id="rId1804" Type="http://schemas.openxmlformats.org/officeDocument/2006/relationships/hyperlink" Target="http://link.springer.com/chapter/10.1007/978-1-4842-6228-3_10" TargetMode="External"/><Relationship Id="rId385" Type="http://schemas.openxmlformats.org/officeDocument/2006/relationships/hyperlink" Target="https://www.scopus.com/inward/record.uri?eid=2-s2.0-85129589031&amp;doi=10.1080%2f17517575.2021.1973570&amp;partnerID=40&amp;md5=7623b2d60f5b16aa1d32b4fc8e3dbe7b;http://dx.doi.org/10.1080/17517575.2021.1973570" TargetMode="External"/><Relationship Id="rId592" Type="http://schemas.openxmlformats.org/officeDocument/2006/relationships/hyperlink" Target="https://www.scopus.com/inward/record.uri?eid=2-s2.0-85047970347&amp;doi=10.1016%2fj.jss.2018.05.057&amp;partnerID=40&amp;md5=13247a0e7927890a2a6e02889e25dbc8;http://dx.doi.org/10.1016/j.jss.2018.05.057" TargetMode="External"/><Relationship Id="rId2066" Type="http://schemas.openxmlformats.org/officeDocument/2006/relationships/hyperlink" Target="http://dx.doi.org/10.1109/SEAA53835.2021.00050" TargetMode="External"/><Relationship Id="rId245" Type="http://schemas.openxmlformats.org/officeDocument/2006/relationships/hyperlink" Target="https://doi.org/10.1145/3379597.3387448;http:/dx.doi.org/10.1145/3379597.3387448" TargetMode="External"/><Relationship Id="rId452" Type="http://schemas.openxmlformats.org/officeDocument/2006/relationships/hyperlink" Target="http://link.springer.com/chapter/10.1007/978-3-030-32489-6_14" TargetMode="External"/><Relationship Id="rId897" Type="http://schemas.openxmlformats.org/officeDocument/2006/relationships/hyperlink" Target="https://www.sciencedirect.com/science/article/pii/S0164121218300918;http:/dx.doi.org/10.1016/j.jss.2018.05.003" TargetMode="External"/><Relationship Id="rId1082" Type="http://schemas.openxmlformats.org/officeDocument/2006/relationships/hyperlink" Target="http://dx.doi.org/10.1109/SEAA.2019.00020" TargetMode="External"/><Relationship Id="rId2133" Type="http://schemas.openxmlformats.org/officeDocument/2006/relationships/hyperlink" Target="https://www.scopus.com/inward/record.uri?eid=2-s2.0-85060256649&amp;doi=10.1186%2fs13173-018-0083-1&amp;partnerID=40&amp;md5=c21c544db4400d0adf9f90a1f2fe7b5a;http://dx.doi.org/10.1186/s13173-018-0083-1" TargetMode="External"/><Relationship Id="rId105" Type="http://schemas.openxmlformats.org/officeDocument/2006/relationships/hyperlink" Target="https://doi.org/10.1109/ICSE-Companion52605.2021.00124;http:/dx.doi.org/10.1109/ICSE-Companion52605.2021.00124" TargetMode="External"/><Relationship Id="rId312" Type="http://schemas.openxmlformats.org/officeDocument/2006/relationships/hyperlink" Target="https://www.scopus.com/inward/record.uri?eid=2-s2.0-84871276203&amp;doi=10.1145%2f2393596.2393670&amp;partnerID=40&amp;md5=3d7818dbab2d05f44d6ad581bbfddebf;http://dx.doi.org/10.1145/2393596.2393670" TargetMode="External"/><Relationship Id="rId757" Type="http://schemas.openxmlformats.org/officeDocument/2006/relationships/hyperlink" Target="https://www.scopus.com/inward/record.uri?eid=2-s2.0-85066781621&amp;doi=10.1109%2fACCESS.2019.2913349&amp;partnerID=40&amp;md5=2431b5a8094d9f30fc3f2c51c6f84480;http://dx.doi.org/10.1109/ACCESS.2019.2913349" TargetMode="External"/><Relationship Id="rId964" Type="http://schemas.openxmlformats.org/officeDocument/2006/relationships/hyperlink" Target="https://www.scopus.com/inward/record.uri?eid=2-s2.0-85092287665&amp;partnerID=40&amp;md5=8238ee074e3e0cb1fbdfe7ca6e7d964e" TargetMode="External"/><Relationship Id="rId1387" Type="http://schemas.openxmlformats.org/officeDocument/2006/relationships/hyperlink" Target="http://link.springer.com/chapter/10.1007/978-3-319-91836-5_7" TargetMode="External"/><Relationship Id="rId1594" Type="http://schemas.openxmlformats.org/officeDocument/2006/relationships/hyperlink" Target="https://www.scopus.com/inward/record.uri?eid=2-s2.0-85102010209&amp;doi=10.1142%2fS021819402150008X&amp;partnerID=40&amp;md5=dbf2dc671d419b196d65a4aa0bb0126e;http://dx.doi.org/10.1142/S021819402150008X" TargetMode="External"/><Relationship Id="rId93" Type="http://schemas.openxmlformats.org/officeDocument/2006/relationships/hyperlink" Target="https://www.scopus.com/inward/record.uri?eid=2-s2.0-85078009996&amp;doi=10.1109%2fREW.2019.00011&amp;partnerID=40&amp;md5=3d9d8ae9758cb2ce8d3fb6bf3347ffc9;http://dx.doi.org/10.1109/REW.2019.00011" TargetMode="External"/><Relationship Id="rId617" Type="http://schemas.openxmlformats.org/officeDocument/2006/relationships/hyperlink" Target="https://www.scopus.com/inward/record.uri?eid=2-s2.0-85072316200&amp;doi=10.1109%2fICPC.2019.00023&amp;partnerID=40&amp;md5=9d90ddc422db8353080db82eb01e152b;http://dx.doi.org/10.1109/ICPC.2019.00023" TargetMode="External"/><Relationship Id="rId824" Type="http://schemas.openxmlformats.org/officeDocument/2006/relationships/hyperlink" Target="http://link.springer.com/book/10.1007/978-3-030-80003-1" TargetMode="External"/><Relationship Id="rId1247" Type="http://schemas.openxmlformats.org/officeDocument/2006/relationships/hyperlink" Target="https://www.scopus.com/inward/record.uri?eid=2-s2.0-85076134349&amp;doi=10.1007%2f978-3-030-33742-1_15&amp;partnerID=40&amp;md5=23cb0d39566949b76e1f6ff3bac7141a;http://dx.doi.org/10.1007/978-3-030-33742-1_15" TargetMode="External"/><Relationship Id="rId1454" Type="http://schemas.openxmlformats.org/officeDocument/2006/relationships/hyperlink" Target="https://www.scopus.com/inward/record.uri?eid=2-s2.0-85142894372&amp;partnerID=40&amp;md5=34601942019f57b92637bce02323ce72" TargetMode="External"/><Relationship Id="rId1661" Type="http://schemas.openxmlformats.org/officeDocument/2006/relationships/hyperlink" Target="http://link.springer.com/article/10.1007/s10664-019-09763-0" TargetMode="External"/><Relationship Id="rId1899" Type="http://schemas.openxmlformats.org/officeDocument/2006/relationships/hyperlink" Target="http://dx.doi.org/10.1145/3524843.3528096" TargetMode="External"/><Relationship Id="rId1107" Type="http://schemas.openxmlformats.org/officeDocument/2006/relationships/hyperlink" Target="https://www.sciencedirect.com/science/article/pii/S0952197622002998;http:/dx.doi.org/10.1016/j.engappai.2022.105209" TargetMode="External"/><Relationship Id="rId1314" Type="http://schemas.openxmlformats.org/officeDocument/2006/relationships/hyperlink" Target="http://link.springer.com/book/10.1007/978-3-476-05604-7" TargetMode="External"/><Relationship Id="rId1521" Type="http://schemas.openxmlformats.org/officeDocument/2006/relationships/hyperlink" Target="https://doi.org/10.1145/3410352.3410730;http:/dx.doi.org/10.1145/3410352.3410730" TargetMode="External"/><Relationship Id="rId1759" Type="http://schemas.openxmlformats.org/officeDocument/2006/relationships/hyperlink" Target="https://www.scopus.com/inward/record.uri?eid=2-s2.0-85083012837&amp;doi=10.1109%2fMS.2020.2985775&amp;partnerID=40&amp;md5=fcede53d450d76d50f966e169687cb51;http://dx.doi.org/10.1109/MS.2020.2985775" TargetMode="External"/><Relationship Id="rId1966" Type="http://schemas.openxmlformats.org/officeDocument/2006/relationships/hyperlink" Target="https://www.sciencedirect.com/science/article/pii/S0925231222006646;http:/dx.doi.org/10.1016/j.neucom.2022.05.081" TargetMode="External"/><Relationship Id="rId1619" Type="http://schemas.openxmlformats.org/officeDocument/2006/relationships/hyperlink" Target="http://link.springer.com/book/10.1007/978-3-031-05760-1" TargetMode="External"/><Relationship Id="rId1826" Type="http://schemas.openxmlformats.org/officeDocument/2006/relationships/hyperlink" Target="http://link.springer.com/book/10.1007/978-981-16-6605-6" TargetMode="External"/><Relationship Id="rId20" Type="http://schemas.openxmlformats.org/officeDocument/2006/relationships/hyperlink" Target="https://doi.org/10.1145/3477314.3507310;http:/dx.doi.org/10.1145/3477314.3507310" TargetMode="External"/><Relationship Id="rId2088" Type="http://schemas.openxmlformats.org/officeDocument/2006/relationships/hyperlink" Target="http://link.springer.com/book/10.1007/978-3-030-88907-4" TargetMode="External"/><Relationship Id="rId267" Type="http://schemas.openxmlformats.org/officeDocument/2006/relationships/hyperlink" Target="https://www.scopus.com/inward/record.uri?eid=2-s2.0-85082878517&amp;doi=10.1109%2fICSESS47205.2019.9040720&amp;partnerID=40&amp;md5=6f81e672dbf9fdeb0dff187b83944786;http://dx.doi.org/10.1109/ICSESS47205.2019.9040720" TargetMode="External"/><Relationship Id="rId474" Type="http://schemas.openxmlformats.org/officeDocument/2006/relationships/hyperlink" Target="https://www.scopus.com/inward/record.uri?eid=2-s2.0-85092453671&amp;doi=10.1016%2fj.cmpb.2020.105782&amp;partnerID=40&amp;md5=c872a54fce7931bff642bdf878096143;http://dx.doi.org/10.1016/j.cmpb.2020.105782" TargetMode="External"/><Relationship Id="rId2155" Type="http://schemas.openxmlformats.org/officeDocument/2006/relationships/hyperlink" Target="http://dx.doi.org/10.1109/MS.2020.2993662" TargetMode="External"/><Relationship Id="rId127" Type="http://schemas.openxmlformats.org/officeDocument/2006/relationships/hyperlink" Target="http://link.springer.com/chapter/10.1007/978-981-33-4859-2_26" TargetMode="External"/><Relationship Id="rId681" Type="http://schemas.openxmlformats.org/officeDocument/2006/relationships/hyperlink" Target="https://www.scopus.com/inward/record.uri?eid=2-s2.0-85054607574&amp;doi=10.1145%2f3183428.3183435&amp;partnerID=40&amp;md5=f010615699455f50b4bd9db5cb2db540;http://dx.doi.org/10.1145/3183428.3183435" TargetMode="External"/><Relationship Id="rId779" Type="http://schemas.openxmlformats.org/officeDocument/2006/relationships/hyperlink" Target="https://www.scopus.com/inward/record.uri?eid=2-s2.0-85109370861&amp;doi=10.1088%2f1742-6596%2f1955%2f1%2f012102&amp;partnerID=40&amp;md5=9fc23f8475fd6669354976ce553fb5c6;http://dx.doi.org/10.1088/1742-6596/1955/1/012102" TargetMode="External"/><Relationship Id="rId986" Type="http://schemas.openxmlformats.org/officeDocument/2006/relationships/hyperlink" Target="https://www.scopus.com/inward/record.uri?eid=2-s2.0-85089946122&amp;partnerID=40&amp;md5=1e22d1cc0d8dcb9e4fd79a234ff82d45" TargetMode="External"/><Relationship Id="rId334" Type="http://schemas.openxmlformats.org/officeDocument/2006/relationships/hyperlink" Target="https://www.scopus.com/inward/record.uri?eid=2-s2.0-85078457936&amp;doi=10.1080%2f19361610.2020.1716511&amp;partnerID=40&amp;md5=74aa5b09d807a4c4775813f724515caf;http://dx.doi.org/10.1080/19361610.2020.1716511" TargetMode="External"/><Relationship Id="rId541" Type="http://schemas.openxmlformats.org/officeDocument/2006/relationships/hyperlink" Target="https://www.sciencedirect.com/science/article/pii/B9780128180150000062;http:/dx.doi.org/10.1016/B978-0-12-818015-0.00006-2" TargetMode="External"/><Relationship Id="rId639" Type="http://schemas.openxmlformats.org/officeDocument/2006/relationships/hyperlink" Target="https://www.sciencedirect.com/science/article/pii/S0164121220302922;http:/dx.doi.org/10.1016/j.jss.2020.110902" TargetMode="External"/><Relationship Id="rId1171" Type="http://schemas.openxmlformats.org/officeDocument/2006/relationships/hyperlink" Target="https://www.scopus.com/inward/record.uri?eid=2-s2.0-85090829243&amp;doi=10.1016%2fj.infsof.2020.106407&amp;partnerID=40&amp;md5=e9b5fb3b887707760b670b7e2f86f52b;http://dx.doi.org/10.1016/j.infsof.2020.106407" TargetMode="External"/><Relationship Id="rId1269" Type="http://schemas.openxmlformats.org/officeDocument/2006/relationships/hyperlink" Target="https://www.scopus.com/inward/record.uri?eid=2-s2.0-85077506321&amp;partnerID=40&amp;md5=43f19863d3fa8f4f7b006576f8398000" TargetMode="External"/><Relationship Id="rId1476" Type="http://schemas.openxmlformats.org/officeDocument/2006/relationships/hyperlink" Target="https://doi.org/10.1145/3236024.3236081;http:/dx.doi.org/10.1145/3236024.3236081" TargetMode="External"/><Relationship Id="rId2015" Type="http://schemas.openxmlformats.org/officeDocument/2006/relationships/hyperlink" Target="http://dx.doi.org/10.1109/IPDPSW55747.2022.00160" TargetMode="External"/><Relationship Id="rId401" Type="http://schemas.openxmlformats.org/officeDocument/2006/relationships/hyperlink" Target="https://www.sciencedirect.com/science/article/pii/S0950584921000495;http:/dx.doi.org/10.1016/j.infsof.2021.106566" TargetMode="External"/><Relationship Id="rId846" Type="http://schemas.openxmlformats.org/officeDocument/2006/relationships/hyperlink" Target="https://www.scopus.com/inward/record.uri?eid=2-s2.0-85092439686&amp;doi=10.1145%2f3404663.3404665&amp;partnerID=40&amp;md5=08b95073fd61b0470975774e26bbd3b6;http://dx.doi.org/10.1145/3404663.3404665" TargetMode="External"/><Relationship Id="rId1031" Type="http://schemas.openxmlformats.org/officeDocument/2006/relationships/hyperlink" Target="https://www.scopus.com/inward/record.uri?eid=2-s2.0-85096006542&amp;doi=10.1142%2fS0218194020400227&amp;partnerID=40&amp;md5=772ec7e1f2201c5251764b201c4a66c6;http://dx.doi.org/10.1142/S0218194020400227" TargetMode="External"/><Relationship Id="rId1129" Type="http://schemas.openxmlformats.org/officeDocument/2006/relationships/hyperlink" Target="https://doi.org/10.1145/3463274.3463360;http:/dx.doi.org/10.1145/3463274.3463360" TargetMode="External"/><Relationship Id="rId1683" Type="http://schemas.openxmlformats.org/officeDocument/2006/relationships/hyperlink" Target="http://link.springer.com/article/10.1007/s10664-021-10031-3" TargetMode="External"/><Relationship Id="rId1890" Type="http://schemas.openxmlformats.org/officeDocument/2006/relationships/hyperlink" Target="http://link.springer.com/chapter/10.1007/978-3-031-21388-5_19" TargetMode="External"/><Relationship Id="rId1988" Type="http://schemas.openxmlformats.org/officeDocument/2006/relationships/hyperlink" Target="https://www.scopus.com/inward/record.uri?eid=2-s2.0-85136864939&amp;doi=10.1080%2f01972243.2022.2100851&amp;partnerID=40&amp;md5=672b21f6c2efd4a2b0b56a786a3812ef;http://dx.doi.org/10.1080/01972243.2022.2100851" TargetMode="External"/><Relationship Id="rId706" Type="http://schemas.openxmlformats.org/officeDocument/2006/relationships/hyperlink" Target="https://www.scopus.com/inward/record.uri?eid=2-s2.0-85113649225&amp;doi=10.1145%2f3475960.3475985&amp;partnerID=40&amp;md5=587cce7d3192fade582f1bfb832c322f;http://dx.doi.org/10.1145/3475960.3475985" TargetMode="External"/><Relationship Id="rId913" Type="http://schemas.openxmlformats.org/officeDocument/2006/relationships/hyperlink" Target="http://dx.doi.org/10.1109/ICSESS.2017.8342885" TargetMode="External"/><Relationship Id="rId1336" Type="http://schemas.openxmlformats.org/officeDocument/2006/relationships/hyperlink" Target="https://www.scopus.com/inward/record.uri?eid=2-s2.0-85133482896&amp;doi=10.1145%2f3522664.3528611&amp;partnerID=40&amp;md5=3d7f0333e39bd60db3d1fa94973610a1;http://dx.doi.org/10.1145/3522664.3528611" TargetMode="External"/><Relationship Id="rId1543" Type="http://schemas.openxmlformats.org/officeDocument/2006/relationships/hyperlink" Target="https://doi.org/10.1145/3558489.3559069;http:/dx.doi.org/10.1145/3558489.3559069" TargetMode="External"/><Relationship Id="rId1750" Type="http://schemas.openxmlformats.org/officeDocument/2006/relationships/hyperlink" Target="https://www.scopus.com/inward/record.uri?eid=2-s2.0-85060056515&amp;doi=10.1007%2f978-3-319-91836-5&amp;partnerID=40&amp;md5=2989aeba549e92a0f3eda6862bc9d072;http://dx.doi.org/10.1007/978-3-319-91836-5" TargetMode="External"/><Relationship Id="rId42" Type="http://schemas.openxmlformats.org/officeDocument/2006/relationships/hyperlink" Target="https://www.sciencedirect.com/science/article/pii/S0950584922000556;http:/dx.doi.org/10.1016/j.infsof.2022.106893" TargetMode="External"/><Relationship Id="rId1403" Type="http://schemas.openxmlformats.org/officeDocument/2006/relationships/hyperlink" Target="https://www.scopus.com/inward/record.uri?eid=2-s2.0-85081054508&amp;doi=10.1007%2f978-3-030-37436-5_24&amp;partnerID=40&amp;md5=89d006a2c8a3d2f0f7912efbf6ef7419;http://dx.doi.org/10.1007/978-3-030-37436-5_24" TargetMode="External"/><Relationship Id="rId1610" Type="http://schemas.openxmlformats.org/officeDocument/2006/relationships/hyperlink" Target="https://www.scopus.com/inward/record.uri?eid=2-s2.0-85081158422&amp;doi=10.1109%2fACCESS.2019.2952191&amp;partnerID=40&amp;md5=cb8d4bc14bd2f5ceda66a5fba9dd24f7;http://dx.doi.org/10.1109/ACCESS.2019.2952191" TargetMode="External"/><Relationship Id="rId1848" Type="http://schemas.openxmlformats.org/officeDocument/2006/relationships/hyperlink" Target="http://link.springer.com/book/10.1007/978-3-319-97925-0" TargetMode="External"/><Relationship Id="rId191" Type="http://schemas.openxmlformats.org/officeDocument/2006/relationships/hyperlink" Target="http://dx.doi.org/10.1109/ASE.2019.00065" TargetMode="External"/><Relationship Id="rId1708" Type="http://schemas.openxmlformats.org/officeDocument/2006/relationships/hyperlink" Target="https://doi.org/10.1145/3338468.3356829;http:/dx.doi.org/10.1145/3338468.3356829" TargetMode="External"/><Relationship Id="rId1915" Type="http://schemas.openxmlformats.org/officeDocument/2006/relationships/hyperlink" Target="https://www.scopus.com/inward/record.uri?eid=2-s2.0-85133240340&amp;doi=10.1109%2fICSTW55395.2022.00035&amp;partnerID=40&amp;md5=01f6e545a8cb5bb23e9c141023fb1a91;http://dx.doi.org/10.1109/ICSTW55395.2022.00035" TargetMode="External"/><Relationship Id="rId289" Type="http://schemas.openxmlformats.org/officeDocument/2006/relationships/hyperlink" Target="https://www.scopus.com/inward/record.uri?eid=2-s2.0-85104701235&amp;doi=10.1016%2fj.jss.2021.110976&amp;partnerID=40&amp;md5=465d320d5df377851f8a956da06c8c8f;http://dx.doi.org/10.1016/j.jss.2021.110976" TargetMode="External"/><Relationship Id="rId496" Type="http://schemas.openxmlformats.org/officeDocument/2006/relationships/hyperlink" Target="http://dx.doi.org/10.1145/3510457.3513082" TargetMode="External"/><Relationship Id="rId2177" Type="http://schemas.openxmlformats.org/officeDocument/2006/relationships/hyperlink" Target="http://link.springer.com/article/10.1007/s10664-021-10109-y" TargetMode="External"/><Relationship Id="rId149" Type="http://schemas.openxmlformats.org/officeDocument/2006/relationships/hyperlink" Target="https://www.sciencedirect.com/science/article/pii/S0164121217303114;http:/dx.doi.org/10.1016/j.jss.2017.12.034" TargetMode="External"/><Relationship Id="rId356" Type="http://schemas.openxmlformats.org/officeDocument/2006/relationships/hyperlink" Target="https://www.scopus.com/inward/record.uri?eid=2-s2.0-85109165765&amp;doi=10.1016%2fj.infsof.2021.106669&amp;partnerID=40&amp;md5=001e083353bc73d6d036bf61af0c72f4;http://dx.doi.org/10.1016/j.infsof.2021.106669" TargetMode="External"/><Relationship Id="rId563" Type="http://schemas.openxmlformats.org/officeDocument/2006/relationships/hyperlink" Target="http://link.springer.com/chapter/10.1007/978-3-031-01761-2_8" TargetMode="External"/><Relationship Id="rId770" Type="http://schemas.openxmlformats.org/officeDocument/2006/relationships/hyperlink" Target="http://link.springer.com/book/10.1007/978-3-030-87839-9" TargetMode="External"/><Relationship Id="rId1193" Type="http://schemas.openxmlformats.org/officeDocument/2006/relationships/hyperlink" Target="https://doi.org/10.1109/TechDebt.2019.00029;http:/dx.doi.org/10.1109/TechDebt.2019.00029" TargetMode="External"/><Relationship Id="rId2037" Type="http://schemas.openxmlformats.org/officeDocument/2006/relationships/hyperlink" Target="https://www.sciencedirect.com/science/article/pii/S0040162521003899;http:/dx.doi.org/10.1016/j.techfore.2021.120957" TargetMode="External"/><Relationship Id="rId216" Type="http://schemas.openxmlformats.org/officeDocument/2006/relationships/hyperlink" Target="http://dx.doi.org/10.1109/ICACCS54159.2022.9785260" TargetMode="External"/><Relationship Id="rId423" Type="http://schemas.openxmlformats.org/officeDocument/2006/relationships/hyperlink" Target="https://www.sciencedirect.com/science/article/pii/S0950584919302058;http:/dx.doi.org/10.1016/j.infsof.2019.106198" TargetMode="External"/><Relationship Id="rId868" Type="http://schemas.openxmlformats.org/officeDocument/2006/relationships/hyperlink" Target="https://doi.org/10.1145/3379177.3388905;http:/dx.doi.org/10.1145/3379177.3388905" TargetMode="External"/><Relationship Id="rId1053" Type="http://schemas.openxmlformats.org/officeDocument/2006/relationships/hyperlink" Target="https://www.scopus.com/inward/record.uri?eid=2-s2.0-84965107309&amp;partnerID=40&amp;md5=18bbc8dc5266339b6dc47a1e9b508dcf" TargetMode="External"/><Relationship Id="rId1260" Type="http://schemas.openxmlformats.org/officeDocument/2006/relationships/hyperlink" Target="https://www.scopus.com/inward/record.uri?eid=2-s2.0-85091400625&amp;partnerID=40&amp;md5=f5f3ef9ca14d043c9945715ac9022a3f" TargetMode="External"/><Relationship Id="rId1498" Type="http://schemas.openxmlformats.org/officeDocument/2006/relationships/hyperlink" Target="https://www.scopus.com/inward/record.uri?eid=2-s2.0-85084928234&amp;doi=10.1145%2f3385187&amp;partnerID=40&amp;md5=2cdbd4ded79597910530cffb23e1df31;http://dx.doi.org/10.1145/3385187" TargetMode="External"/><Relationship Id="rId2104" Type="http://schemas.openxmlformats.org/officeDocument/2006/relationships/hyperlink" Target="https://www.scopus.com/inward/record.uri?eid=2-s2.0-85112100545&amp;doi=10.1145%2f3453478&amp;partnerID=40&amp;md5=280818c136419ff6529d7eff1f603bbf;http://dx.doi.org/10.1145/3453478" TargetMode="External"/><Relationship Id="rId630" Type="http://schemas.openxmlformats.org/officeDocument/2006/relationships/hyperlink" Target="https://doi.org/10.1145/3524843.3528097;http:/dx.doi.org/10.1145/3524843.3528097" TargetMode="External"/><Relationship Id="rId728" Type="http://schemas.openxmlformats.org/officeDocument/2006/relationships/hyperlink" Target="https://www.scopus.com/inward/record.uri?eid=2-s2.0-85133444061&amp;doi=10.1145%2f3522664.3528621&amp;partnerID=40&amp;md5=20b42838920033b3571918d9ccb1ef03;http://dx.doi.org/10.1145/3522664.3528621" TargetMode="External"/><Relationship Id="rId935" Type="http://schemas.openxmlformats.org/officeDocument/2006/relationships/hyperlink" Target="http://link.springer.com/chapter/10.1007/978-3-031-12807-3_7" TargetMode="External"/><Relationship Id="rId1358" Type="http://schemas.openxmlformats.org/officeDocument/2006/relationships/hyperlink" Target="https://www.scopus.com/inward/record.uri?eid=2-s2.0-85081634201&amp;doi=10.1007%2fs10664-019-09788-5&amp;partnerID=40&amp;md5=2cd209ad64b6d45955d9d90dfceaf6c6;http://dx.doi.org/10.1007/s10664-019-09788-5" TargetMode="External"/><Relationship Id="rId1565" Type="http://schemas.openxmlformats.org/officeDocument/2006/relationships/hyperlink" Target="https://www.scopus.com/inward/record.uri?eid=2-s2.0-85113641285&amp;doi=10.1109%2fCHASE52884.2021.00021&amp;partnerID=40&amp;md5=264d946ee693a1ffb5e33eb2946a9490;http://dx.doi.org/10.1109/CHASE52884.2021.00021" TargetMode="External"/><Relationship Id="rId1772" Type="http://schemas.openxmlformats.org/officeDocument/2006/relationships/hyperlink" Target="http://dx.doi.org/10.1109/MS.2018.1661318" TargetMode="External"/><Relationship Id="rId64" Type="http://schemas.openxmlformats.org/officeDocument/2006/relationships/hyperlink" Target="http://link.springer.com/book/10.1007/978-3-031-15629-8" TargetMode="External"/><Relationship Id="rId1120" Type="http://schemas.openxmlformats.org/officeDocument/2006/relationships/hyperlink" Target="http://dx.doi.org/10.1109/TSE.2020.3031401" TargetMode="External"/><Relationship Id="rId1218" Type="http://schemas.openxmlformats.org/officeDocument/2006/relationships/hyperlink" Target="https://www.sciencedirect.com/science/article/pii/S0164121222000437;http:/dx.doi.org/10.1016/j.jss.2022.111283" TargetMode="External"/><Relationship Id="rId1425" Type="http://schemas.openxmlformats.org/officeDocument/2006/relationships/hyperlink" Target="http://link.springer.com/article/10.1007/s10664-022-10203-9" TargetMode="External"/><Relationship Id="rId1632" Type="http://schemas.openxmlformats.org/officeDocument/2006/relationships/hyperlink" Target="https://www.scopus.com/inward/record.uri?eid=2-s2.0-85125461915&amp;doi=10.1109%2fASE51524.2021.9678863&amp;partnerID=40&amp;md5=482ee4f2a1b9b6b73fd2fafd5b384160;http://dx.doi.org/10.1109/ASE51524.2021.9678863" TargetMode="External"/><Relationship Id="rId1937" Type="http://schemas.openxmlformats.org/officeDocument/2006/relationships/hyperlink" Target="http://link.springer.com/book/10.1007/978-3-030-78821-6" TargetMode="External"/><Relationship Id="rId280" Type="http://schemas.openxmlformats.org/officeDocument/2006/relationships/hyperlink" Target="https://www.scopus.com/inward/record.uri?eid=2-s2.0-85091937445&amp;doi=10.1145%2f3387904.3389266&amp;partnerID=40&amp;md5=7a8ca882dca784a107b4c148971c9ccd;http://dx.doi.org/10.1145/3387904.3389266" TargetMode="External"/><Relationship Id="rId140" Type="http://schemas.openxmlformats.org/officeDocument/2006/relationships/hyperlink" Target="http://link.springer.com/article/10.1186/s40411-018-0046-4" TargetMode="External"/><Relationship Id="rId378" Type="http://schemas.openxmlformats.org/officeDocument/2006/relationships/hyperlink" Target="https://www.scopus.com/inward/record.uri?eid=2-s2.0-85107656276&amp;doi=10.3389%2ffdgth.2020.00006&amp;partnerID=40&amp;md5=f5f9b176b6b4749f42ec0333ec53be7e;http://dx.doi.org/10.3389/fdgth.2020.00006" TargetMode="External"/><Relationship Id="rId585" Type="http://schemas.openxmlformats.org/officeDocument/2006/relationships/hyperlink" Target="https://www.sciencedirect.com/science/article/pii/S0164121221000339;http:/dx.doi.org/10.1016/j.jss.2021.110936" TargetMode="External"/><Relationship Id="rId792" Type="http://schemas.openxmlformats.org/officeDocument/2006/relationships/hyperlink" Target="https://www.scopus.com/inward/record.uri?eid=2-s2.0-85049734434&amp;doi=10.1109%2fSANER.2018.8330266&amp;partnerID=40&amp;md5=0f2a02ffd59853212affe7704357ea21;http://dx.doi.org/10.1109/SANER.2018.8330266" TargetMode="External"/><Relationship Id="rId2059" Type="http://schemas.openxmlformats.org/officeDocument/2006/relationships/hyperlink" Target="https://www.scopus.com/inward/record.uri?eid=2-s2.0-85077201449&amp;doi=10.1109%2fICSME.2019.00100&amp;partnerID=40&amp;md5=3ddf747f546566976aa1f2f63a8d9a0b;http://dx.doi.org/10.1109/ICSME.2019.00100" TargetMode="External"/><Relationship Id="rId6" Type="http://schemas.openxmlformats.org/officeDocument/2006/relationships/hyperlink" Target="https://www.scopus.com/inward/record.uri?eid=2-s2.0-85076541990&amp;partnerID=40&amp;md5=ce125964603b630e1543356b5f1858ae" TargetMode="External"/><Relationship Id="rId238" Type="http://schemas.openxmlformats.org/officeDocument/2006/relationships/hyperlink" Target="https://www.sciencedirect.com/science/article/pii/S254266052200018X;http:/dx.doi.org/10.1016/j.iot.2022.100514" TargetMode="External"/><Relationship Id="rId445" Type="http://schemas.openxmlformats.org/officeDocument/2006/relationships/hyperlink" Target="https://ieeexplore.ieee.org/document/9821971;http:/dx.doi.org/10.1002/9781119644682.ch12" TargetMode="External"/><Relationship Id="rId652" Type="http://schemas.openxmlformats.org/officeDocument/2006/relationships/hyperlink" Target="http://dx.doi.org/10.1109/SANER48275.2020.9054810" TargetMode="External"/><Relationship Id="rId1075" Type="http://schemas.openxmlformats.org/officeDocument/2006/relationships/hyperlink" Target="http://dx.doi.org/10.1109/STC.2017.8234462" TargetMode="External"/><Relationship Id="rId1282" Type="http://schemas.openxmlformats.org/officeDocument/2006/relationships/hyperlink" Target="https://www.scopus.com/inward/record.uri?eid=2-s2.0-85098319392&amp;doi=10.1109%2fACCESS.2020.3031966&amp;partnerID=40&amp;md5=4717a4f2a05e5ca9ebe049903e489060;http://dx.doi.org/10.1109/ACCESS.2020.3031966" TargetMode="External"/><Relationship Id="rId2126" Type="http://schemas.openxmlformats.org/officeDocument/2006/relationships/hyperlink" Target="https://www.scopus.com/inward/record.uri?eid=2-s2.0-85143200411&amp;doi=10.1145%2f3549034.3561178&amp;partnerID=40&amp;md5=a66daf76542fd2789255770359375870;http://dx.doi.org/10.1145/3549034.3561178" TargetMode="External"/><Relationship Id="rId305" Type="http://schemas.openxmlformats.org/officeDocument/2006/relationships/hyperlink" Target="https://www.scopus.com/inward/record.uri?eid=2-s2.0-85143129520&amp;doi=10.1145%2f3549035.3561182&amp;partnerID=40&amp;md5=1788a77586625ba6676d4d45a694b27d;http://dx.doi.org/10.1145/3549035.3561182" TargetMode="External"/><Relationship Id="rId512" Type="http://schemas.openxmlformats.org/officeDocument/2006/relationships/hyperlink" Target="http://dx.doi.org/10.1109/MS.2021.3060552" TargetMode="External"/><Relationship Id="rId957" Type="http://schemas.openxmlformats.org/officeDocument/2006/relationships/hyperlink" Target="http://link.springer.com/article/10.1007/s11219-018-9404-z" TargetMode="External"/><Relationship Id="rId1142" Type="http://schemas.openxmlformats.org/officeDocument/2006/relationships/hyperlink" Target="http://dx.doi.org/10.1109/QUATIC.2018.00050" TargetMode="External"/><Relationship Id="rId1587" Type="http://schemas.openxmlformats.org/officeDocument/2006/relationships/hyperlink" Target="https://www.sciencedirect.com/science/article/pii/S0950584920300914;http:/dx.doi.org/10.1016/j.infsof.2020.106332" TargetMode="External"/><Relationship Id="rId1794" Type="http://schemas.openxmlformats.org/officeDocument/2006/relationships/hyperlink" Target="https://www.scopus.com/inward/record.uri?eid=2-s2.0-85087390369&amp;doi=10.1016%2fj.jss.2020.110750&amp;partnerID=40&amp;md5=7d907accd59bcbf3f76304179772122c;http://dx.doi.org/10.1016/j.jss.2020.110750" TargetMode="External"/><Relationship Id="rId86" Type="http://schemas.openxmlformats.org/officeDocument/2006/relationships/hyperlink" Target="https://www.scopus.com/inward/record.uri?eid=2-s2.0-85116891092&amp;doi=10.1016%2fj.infsof.2021.106733&amp;partnerID=40&amp;md5=0b35a193194226616e7512f98d3e32f5;http://dx.doi.org/10.1016/j.infsof.2021.106733" TargetMode="External"/><Relationship Id="rId817" Type="http://schemas.openxmlformats.org/officeDocument/2006/relationships/hyperlink" Target="http://link.springer.com/chapter/10.1007/978-1-4842-5104-1_7" TargetMode="External"/><Relationship Id="rId1002" Type="http://schemas.openxmlformats.org/officeDocument/2006/relationships/hyperlink" Target="http://dx.doi.org/10.1109/ASE51524.2021.9678617" TargetMode="External"/><Relationship Id="rId1447" Type="http://schemas.openxmlformats.org/officeDocument/2006/relationships/hyperlink" Target="https://doi.org/10.1145/2857218.2857224;http:/dx.doi.org/10.1145/2857218.2857224" TargetMode="External"/><Relationship Id="rId1654" Type="http://schemas.openxmlformats.org/officeDocument/2006/relationships/hyperlink" Target="https://www.scopus.com/inward/record.uri?eid=2-s2.0-85140061860&amp;doi=10.1016%2fj.jss.2022.111514&amp;partnerID=40&amp;md5=9329cc3dbfc999f365f92b66463c4b1b;http://dx.doi.org/10.1016/j.jss.2022.111514" TargetMode="External"/><Relationship Id="rId1861" Type="http://schemas.openxmlformats.org/officeDocument/2006/relationships/hyperlink" Target="https://doi.org/10.1145/3238147.3238201;http:/dx.doi.org/10.1145/3238147.3238201" TargetMode="External"/><Relationship Id="rId1307" Type="http://schemas.openxmlformats.org/officeDocument/2006/relationships/hyperlink" Target="http://link.springer.com/book/10.1007/978-981-16-3807-7" TargetMode="External"/><Relationship Id="rId1514" Type="http://schemas.openxmlformats.org/officeDocument/2006/relationships/hyperlink" Target="https://www.scopus.com/inward/record.uri?eid=2-s2.0-85096567372&amp;doi=10.1109%2fSEAA51224.2020.00069&amp;partnerID=40&amp;md5=fa864c8485e6cb62bd4f1b41b258269e;http://dx.doi.org/10.1109/SEAA51224.2020.00069" TargetMode="External"/><Relationship Id="rId1721" Type="http://schemas.openxmlformats.org/officeDocument/2006/relationships/hyperlink" Target="https://www.scopus.com/inward/record.uri?eid=2-s2.0-85144233627&amp;doi=10.1007%2fs10664-022-10251-1&amp;partnerID=40&amp;md5=24193ec1fce17ebbd4c76a8a54956f0c;http://dx.doi.org/10.1007/s10664-022-10251-1" TargetMode="External"/><Relationship Id="rId1959" Type="http://schemas.openxmlformats.org/officeDocument/2006/relationships/hyperlink" Target="https://www.sciencedirect.com/science/article/pii/S0950584920301440;http:/dx.doi.org/10.1016/j.infsof.2020.106375" TargetMode="External"/><Relationship Id="rId13" Type="http://schemas.openxmlformats.org/officeDocument/2006/relationships/hyperlink" Target="https://www.scopus.com/inward/record.uri?eid=2-s2.0-84971577036&amp;doi=10.1007%2f978-3-319-39225-7_3&amp;partnerID=40&amp;md5=a1bfb946220695530cc6d826730ad804;http://dx.doi.org/10.1007/978-3-319-39225-7_3" TargetMode="External"/><Relationship Id="rId1819" Type="http://schemas.openxmlformats.org/officeDocument/2006/relationships/hyperlink" Target="http://dx.doi.org/10.1109/AST.2017.3" TargetMode="External"/><Relationship Id="rId162" Type="http://schemas.openxmlformats.org/officeDocument/2006/relationships/hyperlink" Target="http://link.springer.com/article/10.1007/s11831-019-09348-6" TargetMode="External"/><Relationship Id="rId467" Type="http://schemas.openxmlformats.org/officeDocument/2006/relationships/hyperlink" Target="https://www.scopus.com/inward/record.uri?eid=2-s2.0-85094148542&amp;doi=10.1145%2f3377811.3380342&amp;partnerID=40&amp;md5=9796c59edc482fb9d1ad57190b43c652;http://dx.doi.org/10.1145/3377811.3380342" TargetMode="External"/><Relationship Id="rId1097" Type="http://schemas.openxmlformats.org/officeDocument/2006/relationships/hyperlink" Target="http://link.springer.com/book/10.1007/978-981-16-5655-2" TargetMode="External"/><Relationship Id="rId2050" Type="http://schemas.openxmlformats.org/officeDocument/2006/relationships/hyperlink" Target="https://www.sciencedirect.com/science/article/pii/S2212827122003122;http:/dx.doi.org/10.1016/j.procir.2022.05.028" TargetMode="External"/><Relationship Id="rId2148" Type="http://schemas.openxmlformats.org/officeDocument/2006/relationships/hyperlink" Target="http://link.springer.com/article/10.1007/s10664-020-09819-6" TargetMode="External"/><Relationship Id="rId674" Type="http://schemas.openxmlformats.org/officeDocument/2006/relationships/hyperlink" Target="https://www.scopus.com/inward/record.uri?eid=2-s2.0-85040565901&amp;doi=10.1002%2fsmr.1886&amp;partnerID=40&amp;md5=37cc6894c928a530d03d2ff259537e36;http://dx.doi.org/10.1002/smr.1886" TargetMode="External"/><Relationship Id="rId881" Type="http://schemas.openxmlformats.org/officeDocument/2006/relationships/hyperlink" Target="https://doi.org/10.1145/3524842.3528032;http:/dx.doi.org/10.1145/3524842.3528032" TargetMode="External"/><Relationship Id="rId979" Type="http://schemas.openxmlformats.org/officeDocument/2006/relationships/hyperlink" Target="https://doi.org/10.1145/3464970.3468413;http:/dx.doi.org/10.1145/3464970.3468413" TargetMode="External"/><Relationship Id="rId327" Type="http://schemas.openxmlformats.org/officeDocument/2006/relationships/hyperlink" Target="http://link.springer.com/chapter/10.1007/978-981-15-5827-6_6" TargetMode="External"/><Relationship Id="rId534" Type="http://schemas.openxmlformats.org/officeDocument/2006/relationships/hyperlink" Target="https://www.scopus.com/inward/record.uri?eid=2-s2.0-85025438293&amp;doi=10.1145%2f3084226.3084282&amp;partnerID=40&amp;md5=a13a37742187b19da2199c036aa492eb;http://dx.doi.org/10.1145/3084226.3084282" TargetMode="External"/><Relationship Id="rId741" Type="http://schemas.openxmlformats.org/officeDocument/2006/relationships/hyperlink" Target="https://www.scopus.com/inward/record.uri?eid=2-s2.0-85087529805&amp;doi=10.1145%2f3387939.3391604&amp;partnerID=40&amp;md5=56aec211cbf7287b6c716c28bfd7d048;http://dx.doi.org/10.1145/3387939.3391604" TargetMode="External"/><Relationship Id="rId839" Type="http://schemas.openxmlformats.org/officeDocument/2006/relationships/hyperlink" Target="https://doi.org/10.1145/3484824.3484911;http:/dx.doi.org/10.1145/3484824.3484911" TargetMode="External"/><Relationship Id="rId1164" Type="http://schemas.openxmlformats.org/officeDocument/2006/relationships/hyperlink" Target="http://link.springer.com/book/10.1007/978-3-031-04829-6" TargetMode="External"/><Relationship Id="rId1371" Type="http://schemas.openxmlformats.org/officeDocument/2006/relationships/hyperlink" Target="https://doi.org/10.1145/3524843.3528099;http:/dx.doi.org/10.1145/3524843.3528099" TargetMode="External"/><Relationship Id="rId1469" Type="http://schemas.openxmlformats.org/officeDocument/2006/relationships/hyperlink" Target="http://link.springer.com/chapter/10.1007/978-3-030-84589-6_6" TargetMode="External"/><Relationship Id="rId2008" Type="http://schemas.openxmlformats.org/officeDocument/2006/relationships/hyperlink" Target="http://link.springer.com/chapter/10.1007/978-3-319-98149-9_14" TargetMode="External"/><Relationship Id="rId601" Type="http://schemas.openxmlformats.org/officeDocument/2006/relationships/hyperlink" Target="http://link.springer.com/chapter/10.1007/978-3-030-30701-1_3" TargetMode="External"/><Relationship Id="rId1024" Type="http://schemas.openxmlformats.org/officeDocument/2006/relationships/hyperlink" Target="https://doi.org/10.1145/2901739.2901754;http:/dx.doi.org/10.1145/2901739.2901754" TargetMode="External"/><Relationship Id="rId1231" Type="http://schemas.openxmlformats.org/officeDocument/2006/relationships/hyperlink" Target="http://link.springer.com/book/10.1007/978-3-030-67084-9" TargetMode="External"/><Relationship Id="rId1676" Type="http://schemas.openxmlformats.org/officeDocument/2006/relationships/hyperlink" Target="https://www.scopus.com/inward/record.uri?eid=2-s2.0-85132899254&amp;doi=10.1002%2fspe.3117&amp;partnerID=40&amp;md5=990b74421e742e1a74b2402204c48097;http://dx.doi.org/10.1002/spe.3117" TargetMode="External"/><Relationship Id="rId1883" Type="http://schemas.openxmlformats.org/officeDocument/2006/relationships/hyperlink" Target="https://www.scopus.com/inward/record.uri?eid=2-s2.0-85119188059&amp;doi=10.1109%2fSEAA53835.2021.00032&amp;partnerID=40&amp;md5=aa61a2e188974a7848c87e65473cb369;http://dx.doi.org/10.1109/SEAA53835.2021.00032" TargetMode="External"/><Relationship Id="rId906" Type="http://schemas.openxmlformats.org/officeDocument/2006/relationships/hyperlink" Target="https://www.scopus.com/inward/record.uri?eid=2-s2.0-85124675907&amp;doi=10.1515%2fauto-2021-0138&amp;partnerID=40&amp;md5=b3966aaa27a1c952aae158f73486bc5c;http://dx.doi.org/10.1515/auto-2021-0138" TargetMode="External"/><Relationship Id="rId1329" Type="http://schemas.openxmlformats.org/officeDocument/2006/relationships/hyperlink" Target="https://www.scopus.com/inward/record.uri?eid=2-s2.0-85143818622&amp;doi=10.1145%2f3568562.3568643&amp;partnerID=40&amp;md5=43139ace24d7194f74ebbc8119f0170f;http://dx.doi.org/10.1145/3568562.3568643" TargetMode="External"/><Relationship Id="rId1536" Type="http://schemas.openxmlformats.org/officeDocument/2006/relationships/hyperlink" Target="http://link.springer.com/book/10.1007/978-3-030-03673-7" TargetMode="External"/><Relationship Id="rId1743" Type="http://schemas.openxmlformats.org/officeDocument/2006/relationships/hyperlink" Target="https://www.scopus.com/inward/record.uri?eid=2-s2.0-85124488705&amp;doi=10.1109%2fCONISOFT52520.2021.00028&amp;partnerID=40&amp;md5=ebefa12026a77220dce39f944ef93726;http://dx.doi.org/10.1109/CONISOFT52520.2021.00028" TargetMode="External"/><Relationship Id="rId1950" Type="http://schemas.openxmlformats.org/officeDocument/2006/relationships/hyperlink" Target="https://www.scopus.com/inward/record.uri?eid=2-s2.0-85077228353&amp;doi=10.1109%2fMS.2019.2954841&amp;partnerID=40&amp;md5=19daea99cbbb1ac47c6c597b960fbdc5;http://dx.doi.org/10.1109/MS.2019.2954841" TargetMode="External"/><Relationship Id="rId35" Type="http://schemas.openxmlformats.org/officeDocument/2006/relationships/hyperlink" Target="https://www.scopus.com/inward/record.uri?eid=2-s2.0-85090758196&amp;doi=10.1088%2f1742-6596%2f1587%2f1%2f012020&amp;partnerID=40&amp;md5=9bee82f46c9d3f49ef99493a9ef37493;http://dx.doi.org/10.1088/1742-6596/1587/1/012020" TargetMode="External"/><Relationship Id="rId1603" Type="http://schemas.openxmlformats.org/officeDocument/2006/relationships/hyperlink" Target="https://doi.org/10.1145/2684822.2697045;http:/dx.doi.org/10.1145/2684822.2697045" TargetMode="External"/><Relationship Id="rId1810" Type="http://schemas.openxmlformats.org/officeDocument/2006/relationships/hyperlink" Target="http://link.springer.com/book/10.1007/978-3-030-95775-9" TargetMode="External"/><Relationship Id="rId184" Type="http://schemas.openxmlformats.org/officeDocument/2006/relationships/hyperlink" Target="https://www.scopus.com/inward/record.uri?eid=2-s2.0-85048168263&amp;doi=10.1016%2fj.infsof.2018.05.010&amp;partnerID=40&amp;md5=710823121ee7e1f1408ff5f77ecc912b;http://dx.doi.org/10.1016/j.infsof.2018.05.010" TargetMode="External"/><Relationship Id="rId391" Type="http://schemas.openxmlformats.org/officeDocument/2006/relationships/hyperlink" Target="http://dx.doi.org/10.1109/ICSA-C54293.2022.00023" TargetMode="External"/><Relationship Id="rId1908" Type="http://schemas.openxmlformats.org/officeDocument/2006/relationships/hyperlink" Target="http://link.springer.com/chapter/10.1007/978-3-030-00623-5_2" TargetMode="External"/><Relationship Id="rId2072" Type="http://schemas.openxmlformats.org/officeDocument/2006/relationships/hyperlink" Target="https://doi.org/10.1145/3340482.3342747;http:/dx.doi.org/10.1145/3340482.3342747" TargetMode="External"/><Relationship Id="rId251" Type="http://schemas.openxmlformats.org/officeDocument/2006/relationships/hyperlink" Target="https://www.scopus.com/inward/record.uri?eid=2-s2.0-85135144392&amp;doi=10.23919%2fJSC.2021.0023&amp;partnerID=40&amp;md5=a6efa18907e9c52d0029ad7f44d06b45;http://dx.doi.org/10.23919/JSC.2021.0023" TargetMode="External"/><Relationship Id="rId489" Type="http://schemas.openxmlformats.org/officeDocument/2006/relationships/hyperlink" Target="https://doi.org/10.1145/1852786.1852797;http:/dx.doi.org/10.1145/1852786.1852797" TargetMode="External"/><Relationship Id="rId696" Type="http://schemas.openxmlformats.org/officeDocument/2006/relationships/hyperlink" Target="https://www.scopus.com/inward/record.uri?eid=2-s2.0-85116381167&amp;doi=10.1007%2fs00500-021-06254-7&amp;partnerID=40&amp;md5=743616e25bff5647b6164600c2caca81;http://dx.doi.org/10.1007/s00500-021-06254-7" TargetMode="External"/><Relationship Id="rId349" Type="http://schemas.openxmlformats.org/officeDocument/2006/relationships/hyperlink" Target="http://link.springer.com/book/10.1007/978-3-030-49640-1" TargetMode="External"/><Relationship Id="rId556" Type="http://schemas.openxmlformats.org/officeDocument/2006/relationships/hyperlink" Target="http://dx.doi.org/10.1109/ACCESS.2021.3066348" TargetMode="External"/><Relationship Id="rId763" Type="http://schemas.openxmlformats.org/officeDocument/2006/relationships/hyperlink" Target="https://doi.org/10.1145/2950290.2983985;http:/dx.doi.org/10.1145/2950290.2983985" TargetMode="External"/><Relationship Id="rId1186" Type="http://schemas.openxmlformats.org/officeDocument/2006/relationships/hyperlink" Target="http://link.springer.com/chapter/10.1007/978-1-4842-6228-3_17" TargetMode="External"/><Relationship Id="rId1393" Type="http://schemas.openxmlformats.org/officeDocument/2006/relationships/hyperlink" Target="https://www.sciencedirect.com/science/article/pii/S0164121219300536;http:/dx.doi.org/10.1016/j.jss.2019.03.002" TargetMode="External"/><Relationship Id="rId111" Type="http://schemas.openxmlformats.org/officeDocument/2006/relationships/hyperlink" Target="http://dx.doi.org/10.1109/SEAA.2018.00067" TargetMode="External"/><Relationship Id="rId209" Type="http://schemas.openxmlformats.org/officeDocument/2006/relationships/hyperlink" Target="http://link.springer.com/book/10.1007/978-3-030-49435-3" TargetMode="External"/><Relationship Id="rId416" Type="http://schemas.openxmlformats.org/officeDocument/2006/relationships/hyperlink" Target="http://dx.doi.org/10.1109/APSEC48747.2019.00050" TargetMode="External"/><Relationship Id="rId970" Type="http://schemas.openxmlformats.org/officeDocument/2006/relationships/hyperlink" Target="http://link.springer.com/chapter/10.1007/978-3-319-94135-6_9" TargetMode="External"/><Relationship Id="rId1046" Type="http://schemas.openxmlformats.org/officeDocument/2006/relationships/hyperlink" Target="https://doi.org/10.1145/2995272.2995276;http:/dx.doi.org/10.1145/2995272.2995276" TargetMode="External"/><Relationship Id="rId1253" Type="http://schemas.openxmlformats.org/officeDocument/2006/relationships/hyperlink" Target="https://www.scopus.com/inward/record.uri?eid=2-s2.0-85104571977&amp;doi=10.1109%2fTSE.2019.2903057&amp;partnerID=40&amp;md5=8321a030c9ea5d1072b8bab803cd5df5;http://dx.doi.org/10.1109/TSE.2019.2903057" TargetMode="External"/><Relationship Id="rId1698" Type="http://schemas.openxmlformats.org/officeDocument/2006/relationships/hyperlink" Target="http://dx.doi.org/10.1109/MS.2019.2919573" TargetMode="External"/><Relationship Id="rId623" Type="http://schemas.openxmlformats.org/officeDocument/2006/relationships/hyperlink" Target="https://www.scopus.com/inward/record.uri?eid=2-s2.0-85113825122&amp;doi=10.1145%2f3472674.3473978&amp;partnerID=40&amp;md5=ef08e821bd0aa076a2350dadfe5034f8;http://dx.doi.org/10.1145/3472674.3473978" TargetMode="External"/><Relationship Id="rId830" Type="http://schemas.openxmlformats.org/officeDocument/2006/relationships/hyperlink" Target="https://www.scopus.com/inward/record.uri?eid=2-s2.0-85143050726&amp;doi=10.1145%2f3540250.3560881&amp;partnerID=40&amp;md5=dc1e8d7ad14a1339e755d34c7a59146e;http://dx.doi.org/10.1145/3540250.3560881" TargetMode="External"/><Relationship Id="rId928" Type="http://schemas.openxmlformats.org/officeDocument/2006/relationships/hyperlink" Target="https://www.scopus.com/inward/record.uri?eid=2-s2.0-85139171392&amp;doi=10.1145%2f3546932.3547008&amp;partnerID=40&amp;md5=c85b5e51885c4d9efaa5efa08bc88997;http://dx.doi.org/10.1145/3546932.3547008" TargetMode="External"/><Relationship Id="rId1460" Type="http://schemas.openxmlformats.org/officeDocument/2006/relationships/hyperlink" Target="https://www.scopus.com/inward/record.uri?eid=2-s2.0-85099402946&amp;doi=10.1145%2f3422392.3422415&amp;partnerID=40&amp;md5=b7cd8b2a91002fcb780a0cd33e6d7718;http://dx.doi.org/10.1145/3422392.3422415" TargetMode="External"/><Relationship Id="rId1558" Type="http://schemas.openxmlformats.org/officeDocument/2006/relationships/hyperlink" Target="https://doi.org/10.1145/3522664.3528612;http:/dx.doi.org/10.1145/3522664.3528612" TargetMode="External"/><Relationship Id="rId1765" Type="http://schemas.openxmlformats.org/officeDocument/2006/relationships/hyperlink" Target="http://link.springer.com/book/10.1007/978-3-031-09070-7" TargetMode="External"/><Relationship Id="rId57" Type="http://schemas.openxmlformats.org/officeDocument/2006/relationships/hyperlink" Target="http://dx.doi.org/10.23919/ConTEL.2017.8000012" TargetMode="External"/><Relationship Id="rId1113" Type="http://schemas.openxmlformats.org/officeDocument/2006/relationships/hyperlink" Target="http://dx.doi.org/10.1007/s10664-022-10128-3" TargetMode="External"/><Relationship Id="rId1320" Type="http://schemas.openxmlformats.org/officeDocument/2006/relationships/hyperlink" Target="https://www.scopus.com/inward/record.uri?eid=2-s2.0-85065960484&amp;doi=10.1109%2fIS.2018.8710521&amp;partnerID=40&amp;md5=0a898ef8fbff21aa2cc0f1b7c26b83a7;http://dx.doi.org/10.1109/IS.2018.8710521" TargetMode="External"/><Relationship Id="rId1418" Type="http://schemas.openxmlformats.org/officeDocument/2006/relationships/hyperlink" Target="http://link.springer.com/chapter/10.1007/978-3-031-05760-1_25" TargetMode="External"/><Relationship Id="rId1972" Type="http://schemas.openxmlformats.org/officeDocument/2006/relationships/hyperlink" Target="http://link.springer.com/book/10.1007/978-3-031-02318-7" TargetMode="External"/><Relationship Id="rId1625" Type="http://schemas.openxmlformats.org/officeDocument/2006/relationships/hyperlink" Target="https://doi.org/10.14778/3415478.3415570;http:/dx.doi.org/10.14778/3415478.3415570" TargetMode="External"/><Relationship Id="rId1832" Type="http://schemas.openxmlformats.org/officeDocument/2006/relationships/hyperlink" Target="https://doi.org/10.1145/3555228.3555281;http:/dx.doi.org/10.1145/3555228.3555281" TargetMode="External"/><Relationship Id="rId2094" Type="http://schemas.openxmlformats.org/officeDocument/2006/relationships/hyperlink" Target="https://doi.org/10.1109/ICSE.2019.00117;http:/dx.doi.org/10.1109/ICSE.2019.00117" TargetMode="External"/><Relationship Id="rId273" Type="http://schemas.openxmlformats.org/officeDocument/2006/relationships/hyperlink" Target="https://www.scopus.com/inward/record.uri?eid=2-s2.0-85089908139&amp;doi=10.1007%2fs10664-020-09847-2&amp;partnerID=40&amp;md5=0f29b8351d518306bf042abd9f0efba1;http://dx.doi.org/10.1007/s10664-020-09847-2" TargetMode="External"/><Relationship Id="rId480" Type="http://schemas.openxmlformats.org/officeDocument/2006/relationships/hyperlink" Target="https://www.scopus.com/inward/record.uri?eid=2-s2.0-85096588430&amp;doi=10.1109%2fSEAA51224.2020.00013&amp;partnerID=40&amp;md5=91a0c66839f3e09a22ce76289f2c3d55;http://dx.doi.org/10.1109/SEAA51224.2020.00013" TargetMode="External"/><Relationship Id="rId2161" Type="http://schemas.openxmlformats.org/officeDocument/2006/relationships/hyperlink" Target="http://link.springer.com/article/10.1007/s10664-020-09855-2" TargetMode="External"/><Relationship Id="rId133" Type="http://schemas.openxmlformats.org/officeDocument/2006/relationships/hyperlink" Target="https://www.scopus.com/inward/record.uri?eid=2-s2.0-85056707888&amp;doi=10.1145%2f3275245.3275248&amp;partnerID=40&amp;md5=ccd03972c758e2cc3a71fcd673f39bcd;http://dx.doi.org/10.1145/3275245.3275248" TargetMode="External"/><Relationship Id="rId340" Type="http://schemas.openxmlformats.org/officeDocument/2006/relationships/hyperlink" Target="http://link.springer.com/chapter/10.1007/978-3-030-58793-2_5" TargetMode="External"/><Relationship Id="rId578" Type="http://schemas.openxmlformats.org/officeDocument/2006/relationships/hyperlink" Target="http://dx.doi.org/10.1109/ISSREW55968.2022.00047" TargetMode="External"/><Relationship Id="rId785" Type="http://schemas.openxmlformats.org/officeDocument/2006/relationships/hyperlink" Target="https://www.scopus.com/inward/record.uri?eid=2-s2.0-85083030688&amp;doi=10.1145%2f3341105.3374008&amp;partnerID=40&amp;md5=58046cfff4cab67a56772b0e99cf0b23;http://dx.doi.org/10.1145/3341105.3374008" TargetMode="External"/><Relationship Id="rId992" Type="http://schemas.openxmlformats.org/officeDocument/2006/relationships/hyperlink" Target="http://dx.doi.org/10.1109/TSE.2022.3222318" TargetMode="External"/><Relationship Id="rId2021" Type="http://schemas.openxmlformats.org/officeDocument/2006/relationships/hyperlink" Target="https://www.scopus.com/inward/record.uri?eid=2-s2.0-85116384967&amp;doi=10.3390%2finfo12100396&amp;partnerID=40&amp;md5=f20bbec9a18cd9688ae764449c03d8fd;http://dx.doi.org/10.3390/info12100396" TargetMode="External"/><Relationship Id="rId200" Type="http://schemas.openxmlformats.org/officeDocument/2006/relationships/hyperlink" Target="https://www.scopus.com/inward/record.uri?eid=2-s2.0-85135860484&amp;doi=10.1109%2fSANER53432.2022.00029&amp;partnerID=40&amp;md5=c05b0ee4ebadf35d988ad552d51ac1a3;http://dx.doi.org/10.1109/SANER53432.2022.00029" TargetMode="External"/><Relationship Id="rId438" Type="http://schemas.openxmlformats.org/officeDocument/2006/relationships/hyperlink" Target="http://dx.doi.org/10.1109/ISSRE.2019.00047" TargetMode="External"/><Relationship Id="rId645" Type="http://schemas.openxmlformats.org/officeDocument/2006/relationships/hyperlink" Target="http://dx.doi.org/10.1109/AERO47225.2020.9172613" TargetMode="External"/><Relationship Id="rId852" Type="http://schemas.openxmlformats.org/officeDocument/2006/relationships/hyperlink" Target="https://www.scopus.com/inward/record.uri?eid=2-s2.0-85123212543&amp;doi=10.1109%2fIC2E52221.2021.00034&amp;partnerID=40&amp;md5=c2344d21b8096b68a0886e87a42dff46;http://dx.doi.org/10.1109/IC2E52221.2021.00034" TargetMode="External"/><Relationship Id="rId1068" Type="http://schemas.openxmlformats.org/officeDocument/2006/relationships/hyperlink" Target="http://link.springer.com/article/10.1007/s10664-021-10045-x" TargetMode="External"/><Relationship Id="rId1275" Type="http://schemas.openxmlformats.org/officeDocument/2006/relationships/hyperlink" Target="https://www.scopus.com/inward/record.uri?eid=2-s2.0-85144704030&amp;doi=10.3390%2fmachines10121233&amp;partnerID=40&amp;md5=e5fa100d835fe550ee8f64a2c9407fa0;http://dx.doi.org/10.3390/machines10121233" TargetMode="External"/><Relationship Id="rId1482" Type="http://schemas.openxmlformats.org/officeDocument/2006/relationships/hyperlink" Target="https://www.scopus.com/inward/record.uri?eid=2-s2.0-85134302388&amp;doi=10.1145%2f3524843.3528093&amp;partnerID=40&amp;md5=8d57749be70d4ed3ecd5c51bc6373c9e;http://dx.doi.org/10.1145/3524843.3528093" TargetMode="External"/><Relationship Id="rId2119" Type="http://schemas.openxmlformats.org/officeDocument/2006/relationships/hyperlink" Target="https://www.scopus.com/inward/record.uri?eid=2-s2.0-85055841579&amp;doi=10.1145%2f3266237.3266271&amp;partnerID=40&amp;md5=d0a77956bce2f74082212ed570ec9e70;http://dx.doi.org/10.1145/3266237.3266271" TargetMode="External"/><Relationship Id="rId505" Type="http://schemas.openxmlformats.org/officeDocument/2006/relationships/hyperlink" Target="https://www.scopus.com/inward/record.uri?eid=2-s2.0-85079266062&amp;doi=10.1109%2fASEW.2019.00041&amp;partnerID=40&amp;md5=000515e6207cd935696e69d1d84fb8fb;http://dx.doi.org/10.1109/ASEW.2019.00041" TargetMode="External"/><Relationship Id="rId712" Type="http://schemas.openxmlformats.org/officeDocument/2006/relationships/hyperlink" Target="https://doi.org/10.1145/3236024.3236043;http:/dx.doi.org/10.1145/3236024.3236043" TargetMode="External"/><Relationship Id="rId1135" Type="http://schemas.openxmlformats.org/officeDocument/2006/relationships/hyperlink" Target="https://www.scopus.com/inward/record.uri?eid=2-s2.0-85070076631&amp;doi=10.1007%2fs10664-019-09739-0&amp;partnerID=40&amp;md5=7d5a5da57ef7db65063b149302c323d2;http://dx.doi.org/10.1007/s10664-019-09739-0" TargetMode="External"/><Relationship Id="rId1342" Type="http://schemas.openxmlformats.org/officeDocument/2006/relationships/hyperlink" Target="https://www.scopus.com/inward/record.uri?eid=2-s2.0-85129606574&amp;doi=10.1145%2f3512850.3512861&amp;partnerID=40&amp;md5=343b94b2a5df815aba6e3461091a3697;http://dx.doi.org/10.1145/3512850.3512861" TargetMode="External"/><Relationship Id="rId1787" Type="http://schemas.openxmlformats.org/officeDocument/2006/relationships/hyperlink" Target="https://www.scopus.com/inward/record.uri?eid=2-s2.0-85045187448&amp;doi=10.1016%2fj.jss.2018.03.060&amp;partnerID=40&amp;md5=453e2dd25ab1b7a993df68baef20c80b;http://dx.doi.org/10.1016/j.jss.2018.03.060" TargetMode="External"/><Relationship Id="rId1994" Type="http://schemas.openxmlformats.org/officeDocument/2006/relationships/hyperlink" Target="https://www.scopus.com/inward/record.uri?eid=2-s2.0-85076086059&amp;doi=10.1145%2f3345629.3345630&amp;partnerID=40&amp;md5=bdfaeb0f9a84ed38cc34121b48587893;http://dx.doi.org/10.1145/3345629.3345630" TargetMode="External"/><Relationship Id="rId79" Type="http://schemas.openxmlformats.org/officeDocument/2006/relationships/hyperlink" Target="http://link.springer.com/article/10.1007/s10664-022-10164-z" TargetMode="External"/><Relationship Id="rId1202" Type="http://schemas.openxmlformats.org/officeDocument/2006/relationships/hyperlink" Target="https://www.scopus.com/inward/record.uri?eid=2-s2.0-85064167604&amp;doi=10.1109%2fSANER.2019.8667999&amp;partnerID=40&amp;md5=00e712d60a9c3464eac77d48241f7b48;http://dx.doi.org/10.1109/SANER.2019.8667999" TargetMode="External"/><Relationship Id="rId1647" Type="http://schemas.openxmlformats.org/officeDocument/2006/relationships/hyperlink" Target="https://www.sciencedirect.com/science/article/pii/S0167642321000861;http:/dx.doi.org/10.1016/j.scico.2021.102693" TargetMode="External"/><Relationship Id="rId1854" Type="http://schemas.openxmlformats.org/officeDocument/2006/relationships/hyperlink" Target="http://dx.doi.org/10.1109/SANER53432.2022.00004" TargetMode="External"/><Relationship Id="rId1507" Type="http://schemas.openxmlformats.org/officeDocument/2006/relationships/hyperlink" Target="https://www.scopus.com/inward/record.uri?eid=2-s2.0-85060212333&amp;doi=10.1007%2f978-981-13-5913-2_24&amp;partnerID=40&amp;md5=9d68dfe503ebe0dfdcc2600d7b769c9b;http://dx.doi.org/10.1007/978-981-13-5913-2_24" TargetMode="External"/><Relationship Id="rId1714" Type="http://schemas.openxmlformats.org/officeDocument/2006/relationships/hyperlink" Target="https://www.scopus.com/inward/record.uri?eid=2-s2.0-85114747740&amp;doi=10.1007%2fs10664-021-10015-3&amp;partnerID=40&amp;md5=fe1494adfcb4b48a9a4e62153f695d2f;http://dx.doi.org/10.1007/s10664-021-10015-3" TargetMode="External"/><Relationship Id="rId295" Type="http://schemas.openxmlformats.org/officeDocument/2006/relationships/hyperlink" Target="https://doi.org/10.1145/3544902.3546637;http:/dx.doi.org/10.1145/3544902.3546637" TargetMode="External"/><Relationship Id="rId1921" Type="http://schemas.openxmlformats.org/officeDocument/2006/relationships/hyperlink" Target="http://link.springer.com/chapter/10.1007/978-3-030-65854-0_6" TargetMode="External"/><Relationship Id="rId2183" Type="http://schemas.openxmlformats.org/officeDocument/2006/relationships/hyperlink" Target="https://www.scopus.com/inward/record.uri?eid=2-s2.0-85126020125&amp;doi=10.1007%2fs10796-022-10259-4&amp;partnerID=40&amp;md5=02d7f58fed7b812eb6ee8d66637e9358;http://dx.doi.org/10.1007/s10796-022-10259-4" TargetMode="External"/><Relationship Id="rId155" Type="http://schemas.openxmlformats.org/officeDocument/2006/relationships/hyperlink" Target="https://www.scopus.com/inward/record.uri?eid=2-s2.0-85107766571&amp;doi=10.1016%2fj.jss.2021.111010&amp;partnerID=40&amp;md5=d448645aacc3ff1b088bd1b3a1cb12db;http://dx.doi.org/10.1016/j.jss.2021.111010" TargetMode="External"/><Relationship Id="rId362" Type="http://schemas.openxmlformats.org/officeDocument/2006/relationships/hyperlink" Target="https://www.scopus.com/inward/record.uri?eid=2-s2.0-85112723049&amp;doi=10.1109%2fTASE.2020.3008055&amp;partnerID=40&amp;md5=11892a6eb42133f41293e0499f4be9bf;http://dx.doi.org/10.1109/TASE.2020.3008055" TargetMode="External"/><Relationship Id="rId1297" Type="http://schemas.openxmlformats.org/officeDocument/2006/relationships/hyperlink" Target="https://www.sciencedirect.com/science/article/pii/S095058491930240X;http:/dx.doi.org/10.1016/j.infsof.2019.106225" TargetMode="External"/><Relationship Id="rId2043" Type="http://schemas.openxmlformats.org/officeDocument/2006/relationships/hyperlink" Target="https://www.scopus.com/inward/record.uri?eid=2-s2.0-85097339934&amp;doi=10.1049%2fiet-sen.2019.0246&amp;partnerID=40&amp;md5=f4cccfa58cc27fe4ed906910d0fbf644;http://dx.doi.org/10.1049/iet-sen.2019.0246" TargetMode="External"/><Relationship Id="rId222" Type="http://schemas.openxmlformats.org/officeDocument/2006/relationships/hyperlink" Target="http://link.springer.com/book/10.1007/978-3-319-57633-6" TargetMode="External"/><Relationship Id="rId667" Type="http://schemas.openxmlformats.org/officeDocument/2006/relationships/hyperlink" Target="https://www.sciencedirect.com/science/article/pii/B9780124080911000142;http:/dx.doi.org/10.1016/B978-0-12-408091-1.00014-2" TargetMode="External"/><Relationship Id="rId874" Type="http://schemas.openxmlformats.org/officeDocument/2006/relationships/hyperlink" Target="http://link.springer.com/book/10.1007/978-3-031-08950-3" TargetMode="External"/><Relationship Id="rId2110" Type="http://schemas.openxmlformats.org/officeDocument/2006/relationships/hyperlink" Target="https://www.scopus.com/inward/record.uri?eid=2-s2.0-84962499658&amp;doi=10.1142%2fS0218194015400367&amp;partnerID=40&amp;md5=e25c5fcba81f00475ea9f5ab534b450e;http://dx.doi.org/10.1142/S0218194015400367" TargetMode="External"/><Relationship Id="rId527" Type="http://schemas.openxmlformats.org/officeDocument/2006/relationships/hyperlink" Target="https://www.scopus.com/inward/record.uri?eid=2-s2.0-85134015186&amp;doi=10.1145%2f3524842.3528455&amp;partnerID=40&amp;md5=f99b22ed26c0adaeced649d417ab6848;http://dx.doi.org/10.1145/3524842.3528455" TargetMode="External"/><Relationship Id="rId734" Type="http://schemas.openxmlformats.org/officeDocument/2006/relationships/hyperlink" Target="http://link.springer.com/article/10.1007/s10664-020-09856-1" TargetMode="External"/><Relationship Id="rId941" Type="http://schemas.openxmlformats.org/officeDocument/2006/relationships/hyperlink" Target="https://www.scopus.com/inward/record.uri?eid=2-s2.0-85123200409&amp;doi=10.1016%2fj.jss.2022.111219&amp;partnerID=40&amp;md5=cf75dd4e6f74b76ab89df4be724ddc5c;http://dx.doi.org/10.1016/j.jss.2022.111219" TargetMode="External"/><Relationship Id="rId1157" Type="http://schemas.openxmlformats.org/officeDocument/2006/relationships/hyperlink" Target="http://link.springer.com/book/10.1007/978-981-19-3517-6" TargetMode="External"/><Relationship Id="rId1364" Type="http://schemas.openxmlformats.org/officeDocument/2006/relationships/hyperlink" Target="https://www.scopus.com/inward/record.uri?eid=2-s2.0-85116294210&amp;doi=10.1145%2f3468264.3468555&amp;partnerID=40&amp;md5=2789ae7f809557fa2e4a5b4cd7a7f1ca;http://dx.doi.org/10.1145/3468264.3468555" TargetMode="External"/><Relationship Id="rId1571" Type="http://schemas.openxmlformats.org/officeDocument/2006/relationships/hyperlink" Target="http://dx.doi.org/10.1109/QRS51102.2020.00016" TargetMode="External"/><Relationship Id="rId70" Type="http://schemas.openxmlformats.org/officeDocument/2006/relationships/hyperlink" Target="https://www.sciencedirect.com/science/article/pii/S0950584920300926;http:/dx.doi.org/10.1016/j.infsof.2020.106333" TargetMode="External"/><Relationship Id="rId801" Type="http://schemas.openxmlformats.org/officeDocument/2006/relationships/hyperlink" Target="http://dx.doi.org/10.1109/CBI52690.2021.10064" TargetMode="External"/><Relationship Id="rId1017" Type="http://schemas.openxmlformats.org/officeDocument/2006/relationships/hyperlink" Target="https://www.scopus.com/inward/record.uri?eid=2-s2.0-85119142384&amp;doi=10.3390%2fmath9212822&amp;partnerID=40&amp;md5=76e2181e5894eda78f3d58276e25a967;http://dx.doi.org/10.3390/math9212822" TargetMode="External"/><Relationship Id="rId1224" Type="http://schemas.openxmlformats.org/officeDocument/2006/relationships/hyperlink" Target="https://www.scopus.com/inward/record.uri?eid=2-s2.0-85091922666&amp;doi=10.1145%2f3387904.3389270&amp;partnerID=40&amp;md5=ffc68e239ccf6dfd7170b6e2a40e405c;http://dx.doi.org/10.1145/3387904.3389270" TargetMode="External"/><Relationship Id="rId1431" Type="http://schemas.openxmlformats.org/officeDocument/2006/relationships/hyperlink" Target="https://www.scopus.com/inward/record.uri?eid=2-s2.0-85084979078&amp;partnerID=40&amp;md5=f79ee9b00beaa673b49155e8ec7d7c95" TargetMode="External"/><Relationship Id="rId1669" Type="http://schemas.openxmlformats.org/officeDocument/2006/relationships/hyperlink" Target="https://www.sciencedirect.com/science/article/pii/S0167404821000249;http:/dx.doi.org/10.1016/j.cose.2021.102200" TargetMode="External"/><Relationship Id="rId1876" Type="http://schemas.openxmlformats.org/officeDocument/2006/relationships/hyperlink" Target="http://dx.doi.org/10.1080/17517575.2020.1824017" TargetMode="External"/><Relationship Id="rId1529" Type="http://schemas.openxmlformats.org/officeDocument/2006/relationships/hyperlink" Target="http://link.springer.com/book/10.1007/978-3-031-13181-3" TargetMode="External"/><Relationship Id="rId1736" Type="http://schemas.openxmlformats.org/officeDocument/2006/relationships/hyperlink" Target="https://www.scopus.com/inward/record.uri?eid=2-s2.0-85075447665&amp;doi=10.5277%2fe-Inf190107&amp;partnerID=40&amp;md5=6f92522a5c9f35833238ed1909fae61f;http://dx.doi.org/10.5277/e-Inf190107" TargetMode="External"/><Relationship Id="rId1943" Type="http://schemas.openxmlformats.org/officeDocument/2006/relationships/hyperlink" Target="http://link.springer.com/chapter/10.1007/978-3-030-78585-7_4" TargetMode="External"/><Relationship Id="rId28" Type="http://schemas.openxmlformats.org/officeDocument/2006/relationships/hyperlink" Target="https://www.scopus.com/inward/record.uri?eid=2-s2.0-85136220815&amp;doi=10.1109%2fJCSSE54890.2022.9836311&amp;partnerID=40&amp;md5=7e08ec074e19ea7c325df9850b4d6f97;http://dx.doi.org/10.1109/JCSSE54890.2022.9836311" TargetMode="External"/><Relationship Id="rId1803" Type="http://schemas.openxmlformats.org/officeDocument/2006/relationships/hyperlink" Target="https://www.sciencedirect.com/science/article/pii/S0740624X22000399;http:/dx.doi.org/10.1016/j.giq.2022.101706" TargetMode="External"/><Relationship Id="rId177" Type="http://schemas.openxmlformats.org/officeDocument/2006/relationships/hyperlink" Target="https://doi.org/10.1145/3331447;http:/dx.doi.org/10.1145/3331447" TargetMode="External"/><Relationship Id="rId384" Type="http://schemas.openxmlformats.org/officeDocument/2006/relationships/hyperlink" Target="http://link.springer.com/book/10.1007/978-3-031-21441-7" TargetMode="External"/><Relationship Id="rId591" Type="http://schemas.openxmlformats.org/officeDocument/2006/relationships/hyperlink" Target="https://www.sciencedirect.com/science/article/pii/S0164121218301109;http:/dx.doi.org/10.1016/j.jss.2018.05.057" TargetMode="External"/><Relationship Id="rId2065" Type="http://schemas.openxmlformats.org/officeDocument/2006/relationships/hyperlink" Target="http://dx.doi.org/10.1109/ICAICE51518.2020.00102" TargetMode="External"/><Relationship Id="rId244" Type="http://schemas.openxmlformats.org/officeDocument/2006/relationships/hyperlink" Target="http://dx.doi.org/10.1109/EMBC44109.2020.9175947" TargetMode="External"/><Relationship Id="rId689" Type="http://schemas.openxmlformats.org/officeDocument/2006/relationships/hyperlink" Target="http://link.springer.com/book/10.1007/978-3-031-21920-7" TargetMode="External"/><Relationship Id="rId896" Type="http://schemas.openxmlformats.org/officeDocument/2006/relationships/hyperlink" Target="https://www.scopus.com/inward/record.uri?eid=2-s2.0-85057152167&amp;doi=10.1109%2fSEAA.2018.00045&amp;partnerID=40&amp;md5=2515f9dad60877d3a0677a95c896d60f;http://dx.doi.org/10.1109/SEAA.2018.00045" TargetMode="External"/><Relationship Id="rId1081" Type="http://schemas.openxmlformats.org/officeDocument/2006/relationships/hyperlink" Target="https://www.scopus.com/inward/record.uri?eid=2-s2.0-85095828765&amp;doi=10.1145%2f3382494.3422169&amp;partnerID=40&amp;md5=201eb0948742fc5fe6b15371987b312d;http://dx.doi.org/10.1145/3382494.3422169" TargetMode="External"/><Relationship Id="rId451" Type="http://schemas.openxmlformats.org/officeDocument/2006/relationships/hyperlink" Target="https://www.scopus.com/inward/record.uri?eid=2-s2.0-85118239166&amp;doi=10.1002%2fsmr.2395&amp;partnerID=40&amp;md5=9de955604d3db3070dcb8e03e1eeaa85;http://dx.doi.org/10.1002/smr.2395" TargetMode="External"/><Relationship Id="rId549" Type="http://schemas.openxmlformats.org/officeDocument/2006/relationships/hyperlink" Target="https://www.scopus.com/inward/record.uri?eid=2-s2.0-85082448866&amp;doi=10.24507%2ficicel.14.05.423&amp;partnerID=40&amp;md5=9d3a3fc6034424833899d0a5e186adae;http://dx.doi.org/10.24507/icicel.14.05.423" TargetMode="External"/><Relationship Id="rId756" Type="http://schemas.openxmlformats.org/officeDocument/2006/relationships/hyperlink" Target="https://www.scopus.com/inward/record.uri?eid=2-s2.0-85113620912&amp;partnerID=40&amp;md5=4ec6c60b0a801883da8b533dc84013f2" TargetMode="External"/><Relationship Id="rId1179" Type="http://schemas.openxmlformats.org/officeDocument/2006/relationships/hyperlink" Target="https://www.scopus.com/inward/record.uri?eid=2-s2.0-85096670635&amp;doi=10.1109%2fICSME46990.2020.00065&amp;partnerID=40&amp;md5=71881a84c2c237775c1306f8ee535e96;http://dx.doi.org/10.1109/ICSME46990.2020.00065" TargetMode="External"/><Relationship Id="rId1386" Type="http://schemas.openxmlformats.org/officeDocument/2006/relationships/hyperlink" Target="http://link.springer.com/book/10.1007/978-3-031-20322-0" TargetMode="External"/><Relationship Id="rId1593" Type="http://schemas.openxmlformats.org/officeDocument/2006/relationships/hyperlink" Target="http://dx.doi.org/10.1109/MS.2016.13" TargetMode="External"/><Relationship Id="rId2132" Type="http://schemas.openxmlformats.org/officeDocument/2006/relationships/hyperlink" Target="https://doi.org/10.1109/ASE51524.2021.9678532;http:/dx.doi.org/10.1109/ASE51524.2021.9678532" TargetMode="External"/><Relationship Id="rId104" Type="http://schemas.openxmlformats.org/officeDocument/2006/relationships/hyperlink" Target="https://www.scopus.com/inward/record.uri?eid=2-s2.0-85097308081&amp;doi=10.1145%2f3416505.3423559&amp;partnerID=40&amp;md5=3b7f138612836dbeb7ae45f6e765d686;http://dx.doi.org/10.1145/3416505.3423559" TargetMode="External"/><Relationship Id="rId311" Type="http://schemas.openxmlformats.org/officeDocument/2006/relationships/hyperlink" Target="https://www.sciencedirect.com/science/article/pii/S0164121217301966;http:/dx.doi.org/10.1016/j.jss.2017.09.007" TargetMode="External"/><Relationship Id="rId409" Type="http://schemas.openxmlformats.org/officeDocument/2006/relationships/hyperlink" Target="http://dx.doi.org/10.1109/TSE.2023.3234321" TargetMode="External"/><Relationship Id="rId963" Type="http://schemas.openxmlformats.org/officeDocument/2006/relationships/hyperlink" Target="http://dx.doi.org/10.1109/CSMR-WCRE.2014.6747177" TargetMode="External"/><Relationship Id="rId1039" Type="http://schemas.openxmlformats.org/officeDocument/2006/relationships/hyperlink" Target="http://link.springer.com/book/10.1007/978-1-4842-7505-4" TargetMode="External"/><Relationship Id="rId1246" Type="http://schemas.openxmlformats.org/officeDocument/2006/relationships/hyperlink" Target="http://link.springer.com/book/10.1007/978-3-031-19849-6" TargetMode="External"/><Relationship Id="rId1898" Type="http://schemas.openxmlformats.org/officeDocument/2006/relationships/hyperlink" Target="https://doi.org/10.1145/3524843.3528096;http:/dx.doi.org/10.1145/3524843.3528096" TargetMode="External"/><Relationship Id="rId92" Type="http://schemas.openxmlformats.org/officeDocument/2006/relationships/hyperlink" Target="https://www.scopus.com/inward/record.uri?eid=2-s2.0-85134289823&amp;doi=10.1007%2f978-981-19-1111-8_10&amp;partnerID=40&amp;md5=f6ae2b197b0baa3e83bc80307c825f2d;http://dx.doi.org/10.1007/978-981-19-1111-8_10" TargetMode="External"/><Relationship Id="rId616" Type="http://schemas.openxmlformats.org/officeDocument/2006/relationships/hyperlink" Target="http://dx.doi.org/10.1109/ICPC.2019.00023" TargetMode="External"/><Relationship Id="rId823" Type="http://schemas.openxmlformats.org/officeDocument/2006/relationships/hyperlink" Target="http://link.springer.com/book/10.1007/978-3-319-95273-4" TargetMode="External"/><Relationship Id="rId1453" Type="http://schemas.openxmlformats.org/officeDocument/2006/relationships/hyperlink" Target="https://www.scopus.com/inward/record.uri?eid=2-s2.0-85110456711&amp;doi=10.1007%2fs11229-021-03305-2&amp;partnerID=40&amp;md5=7049dcdbefb9f1ad30a067d78bc0453b;http://dx.doi.org/10.1007/s11229-021-03305-2" TargetMode="External"/><Relationship Id="rId1660" Type="http://schemas.openxmlformats.org/officeDocument/2006/relationships/hyperlink" Target="https://www.scopus.com/inward/record.uri?eid=2-s2.0-85081065732&amp;doi=10.1109%2fCHILECON47746.2019.8987553&amp;partnerID=40&amp;md5=5f4b8fb330a79f95632051f14db39697;http://dx.doi.org/10.1109/CHILECON47746.2019.8987553" TargetMode="External"/><Relationship Id="rId1758" Type="http://schemas.openxmlformats.org/officeDocument/2006/relationships/hyperlink" Target="https://www.scopus.com/inward/record.uri?eid=2-s2.0-85130727000&amp;doi=10.1145%2f3487043&amp;partnerID=40&amp;md5=fbf7ac61842908f81cd945ae6a1009e4;http://dx.doi.org/10.1145/3487043" TargetMode="External"/><Relationship Id="rId1106" Type="http://schemas.openxmlformats.org/officeDocument/2006/relationships/hyperlink" Target="https://www.scopus.com/inward/record.uri?eid=2-s2.0-85063955510&amp;doi=10.1109%2fIWESEP.2018.00010&amp;partnerID=40&amp;md5=877dc7facce6dff853f440412e6187dd;http://dx.doi.org/10.1109/IWESEP.2018.00010" TargetMode="External"/><Relationship Id="rId1313" Type="http://schemas.openxmlformats.org/officeDocument/2006/relationships/hyperlink" Target="http://dx.doi.org/10.1145/2896995.2896999" TargetMode="External"/><Relationship Id="rId1520" Type="http://schemas.openxmlformats.org/officeDocument/2006/relationships/hyperlink" Target="http://link.springer.com/chapter/10.1007/978-981-16-2594-7_9" TargetMode="External"/><Relationship Id="rId1965" Type="http://schemas.openxmlformats.org/officeDocument/2006/relationships/hyperlink" Target="http://link.springer.com/book/10.1007/978-3-030-82405-1" TargetMode="External"/><Relationship Id="rId1618" Type="http://schemas.openxmlformats.org/officeDocument/2006/relationships/hyperlink" Target="https://www.scopus.com/inward/record.uri?eid=2-s2.0-85093964684&amp;doi=10.1109%2fRE48521.2020.00036&amp;partnerID=40&amp;md5=a14be906604d55cdce31df0f8abf399e;http://dx.doi.org/10.1109/RE48521.2020.00036" TargetMode="External"/><Relationship Id="rId1825" Type="http://schemas.openxmlformats.org/officeDocument/2006/relationships/hyperlink" Target="https://www.scopus.com/inward/record.uri?eid=2-s2.0-85141530424&amp;doi=10.7544%2fissn1000-1239.20210221&amp;partnerID=40&amp;md5=35aaf67fcd4f78ddedf070f57389918e;http://dx.doi.org/10.7544/issn1000-1239.20210221" TargetMode="External"/><Relationship Id="rId199" Type="http://schemas.openxmlformats.org/officeDocument/2006/relationships/hyperlink" Target="http://dx.doi.org/10.1109/SANER53432.2022.00029" TargetMode="External"/><Relationship Id="rId2087" Type="http://schemas.openxmlformats.org/officeDocument/2006/relationships/hyperlink" Target="http://dx.doi.org/10.1109/ARGENCON55245.2022.9939935" TargetMode="External"/><Relationship Id="rId266" Type="http://schemas.openxmlformats.org/officeDocument/2006/relationships/hyperlink" Target="https://www.scopus.com/inward/record.uri?eid=2-s2.0-85127609471&amp;doi=10.1109%2fConfluence52989.2022.9734202&amp;partnerID=40&amp;md5=d03f2e99f1499d8ba8307513fee10213;http://dx.doi.org/10.1109/Confluence52989.2022.9734202" TargetMode="External"/><Relationship Id="rId473" Type="http://schemas.openxmlformats.org/officeDocument/2006/relationships/hyperlink" Target="http://link.springer.com/book/10.1007/978-3-031-07802-6" TargetMode="External"/><Relationship Id="rId680" Type="http://schemas.openxmlformats.org/officeDocument/2006/relationships/hyperlink" Target="http://dx.doi.org/10.1109/ACCESS.2019.2917403" TargetMode="External"/><Relationship Id="rId2154" Type="http://schemas.openxmlformats.org/officeDocument/2006/relationships/hyperlink" Target="http://link.springer.com/chapter/10.1007/978-3-662-60304-8_1" TargetMode="External"/><Relationship Id="rId126" Type="http://schemas.openxmlformats.org/officeDocument/2006/relationships/hyperlink" Target="https://www.sciencedirect.com/science/article/pii/S0950584918300922;http:/dx.doi.org/10.1016/j.infsof.2018.05.009" TargetMode="External"/><Relationship Id="rId333" Type="http://schemas.openxmlformats.org/officeDocument/2006/relationships/hyperlink" Target="http://link.springer.com/book/10.1007/978-3-030-88389-8" TargetMode="External"/><Relationship Id="rId540" Type="http://schemas.openxmlformats.org/officeDocument/2006/relationships/hyperlink" Target="https://www.sciencedirect.com/science/article/pii/B9780124115194000197;http:/dx.doi.org/10.1016/B978-0-12-411519-4.00019-7" TargetMode="External"/><Relationship Id="rId778" Type="http://schemas.openxmlformats.org/officeDocument/2006/relationships/hyperlink" Target="https://doi.org/10.1145/3282517.3302397;http:/dx.doi.org/10.1145/3282517.3302397" TargetMode="External"/><Relationship Id="rId985" Type="http://schemas.openxmlformats.org/officeDocument/2006/relationships/hyperlink" Target="https://www.scopus.com/inward/record.uri?eid=2-s2.0-85133655153&amp;doi=10.1007%2fs10664-022-10119-4&amp;partnerID=40&amp;md5=a82bedea7c29214a99502b2e7668e6e3;http://dx.doi.org/10.1007/s10664-022-10119-4" TargetMode="External"/><Relationship Id="rId1170" Type="http://schemas.openxmlformats.org/officeDocument/2006/relationships/hyperlink" Target="https://www.sciencedirect.com/science/article/pii/S0950584920301701;http:/dx.doi.org/10.1016/j.infsof.2020.106407" TargetMode="External"/><Relationship Id="rId2014" Type="http://schemas.openxmlformats.org/officeDocument/2006/relationships/hyperlink" Target="https://www.scopus.com/inward/record.uri?eid=2-s2.0-85138727978&amp;doi=10.3390%2felectronics11182820&amp;partnerID=40&amp;md5=01dcc373fcf1c5021560dfa50bc4a8e7;http://dx.doi.org/10.3390/electronics11182820" TargetMode="External"/><Relationship Id="rId638" Type="http://schemas.openxmlformats.org/officeDocument/2006/relationships/hyperlink" Target="https://doi.org/10.1145/3347092;http:/dx.doi.org/10.1145/3347092" TargetMode="External"/><Relationship Id="rId845" Type="http://schemas.openxmlformats.org/officeDocument/2006/relationships/hyperlink" Target="https://doi.org/10.1145/3404663.3404665;http:/dx.doi.org/10.1145/3404663.3404665" TargetMode="External"/><Relationship Id="rId1030" Type="http://schemas.openxmlformats.org/officeDocument/2006/relationships/hyperlink" Target="https://www.scopus.com/inward/record.uri?eid=2-s2.0-85127790091&amp;doi=10.3233%2fJNR-220002&amp;partnerID=40&amp;md5=b72e14aef3c2df2ce92e245ea0e589c4;http://dx.doi.org/10.3233/JNR-220002" TargetMode="External"/><Relationship Id="rId1268" Type="http://schemas.openxmlformats.org/officeDocument/2006/relationships/hyperlink" Target="http://link.springer.com/book/10.1007/978-3-030-57321-8" TargetMode="External"/><Relationship Id="rId1475" Type="http://schemas.openxmlformats.org/officeDocument/2006/relationships/hyperlink" Target="http://dx.doi.org/10.1109/TSE.2022.3220236" TargetMode="External"/><Relationship Id="rId1682" Type="http://schemas.openxmlformats.org/officeDocument/2006/relationships/hyperlink" Target="http://dx.doi.org/10.1109/TSE.2022.3224378" TargetMode="External"/><Relationship Id="rId400" Type="http://schemas.openxmlformats.org/officeDocument/2006/relationships/hyperlink" Target="https://ieeexplore.ieee.org/document/9823192;http:/dx.doi.org/10.1002/9781119644682.ch28" TargetMode="External"/><Relationship Id="rId705" Type="http://schemas.openxmlformats.org/officeDocument/2006/relationships/hyperlink" Target="https://www.scopus.com/inward/record.uri?eid=2-s2.0-85074980613&amp;doi=10.1016%2fj.jss.2019.110456&amp;partnerID=40&amp;md5=23e143e2efb99dffae256ae090910f7c;http://dx.doi.org/10.1016/j.jss.2019.110456" TargetMode="External"/><Relationship Id="rId1128" Type="http://schemas.openxmlformats.org/officeDocument/2006/relationships/hyperlink" Target="http://dx.doi.org/10.1109/IEEESTD.2021.9404959" TargetMode="External"/><Relationship Id="rId1335" Type="http://schemas.openxmlformats.org/officeDocument/2006/relationships/hyperlink" Target="http://dx.doi.org/10.1145/3522664.3528611" TargetMode="External"/><Relationship Id="rId1542" Type="http://schemas.openxmlformats.org/officeDocument/2006/relationships/hyperlink" Target="http://link.springer.com/book/10.1007/978-1-4842-8817-7" TargetMode="External"/><Relationship Id="rId1987" Type="http://schemas.openxmlformats.org/officeDocument/2006/relationships/hyperlink" Target="http://link.springer.com/article/10.1007/s10664-021-09969-1" TargetMode="External"/><Relationship Id="rId912" Type="http://schemas.openxmlformats.org/officeDocument/2006/relationships/hyperlink" Target="https://www.scopus.com/inward/record.uri?eid=2-s2.0-84991829839&amp;doi=10.1007%2fs10664-016-9460-6&amp;partnerID=40&amp;md5=733a7f1f876e25889ed49650415b2104;http://dx.doi.org/10.1007/s10664-016-9460-6" TargetMode="External"/><Relationship Id="rId1847" Type="http://schemas.openxmlformats.org/officeDocument/2006/relationships/hyperlink" Target="http://link.springer.com/book/10.1007/978-3-030-56441-4" TargetMode="External"/><Relationship Id="rId41" Type="http://schemas.openxmlformats.org/officeDocument/2006/relationships/hyperlink" Target="https://www.scopus.com/inward/record.uri?eid=2-s2.0-85123492277&amp;doi=10.1109%2fDSA52907.2021.00055&amp;partnerID=40&amp;md5=9b1bcf38e138c663e9b343d5a5e75879;http://dx.doi.org/10.1109/DSA52907.2021.00055" TargetMode="External"/><Relationship Id="rId1402" Type="http://schemas.openxmlformats.org/officeDocument/2006/relationships/hyperlink" Target="http://link.springer.com/chapter/10.1007/978-3-030-37436-5_24" TargetMode="External"/><Relationship Id="rId1707" Type="http://schemas.openxmlformats.org/officeDocument/2006/relationships/hyperlink" Target="http://dx.doi.org/10.1145/2896941.2896954" TargetMode="External"/><Relationship Id="rId190" Type="http://schemas.openxmlformats.org/officeDocument/2006/relationships/hyperlink" Target="https://doi.org/10.1109/ASE.2019.00065;http:/dx.doi.org/10.1109/ASE.2019.00065" TargetMode="External"/><Relationship Id="rId288" Type="http://schemas.openxmlformats.org/officeDocument/2006/relationships/hyperlink" Target="https://www.sciencedirect.com/science/article/pii/S0950584922000258;http:/dx.doi.org/10.1016/j.infsof.2022.106855" TargetMode="External"/><Relationship Id="rId1914" Type="http://schemas.openxmlformats.org/officeDocument/2006/relationships/hyperlink" Target="http://link.springer.com/article/10.1007/s11219-020-09533-y" TargetMode="External"/><Relationship Id="rId495" Type="http://schemas.openxmlformats.org/officeDocument/2006/relationships/hyperlink" Target="https://doi.org/10.1145/3510457.3513082;http:/dx.doi.org/10.1145/3510457.3513082" TargetMode="External"/><Relationship Id="rId2176" Type="http://schemas.openxmlformats.org/officeDocument/2006/relationships/hyperlink" Target="https://www.scopus.com/inward/record.uri?eid=2-s2.0-85126790322&amp;doi=10.1007%2fs10664-021-10109-y&amp;partnerID=40&amp;md5=ec6b16f333f2b757f75f6ee5ccf333b5;http://dx.doi.org/10.1007/s10664-021-10109-y" TargetMode="External"/><Relationship Id="rId148" Type="http://schemas.openxmlformats.org/officeDocument/2006/relationships/hyperlink" Target="https://www.scopus.com/inward/record.uri?eid=2-s2.0-85133212644&amp;doi=10.1109%2fICACCS54159.2022.9784981&amp;partnerID=40&amp;md5=9ac32a170b9cfc0d8c93261883ebdf9c;http://dx.doi.org/10.1109/ICACCS54159.2022.9784981" TargetMode="External"/><Relationship Id="rId355" Type="http://schemas.openxmlformats.org/officeDocument/2006/relationships/hyperlink" Target="http://dx.doi.org/10.1109/MC.2021.3134800" TargetMode="External"/><Relationship Id="rId562" Type="http://schemas.openxmlformats.org/officeDocument/2006/relationships/hyperlink" Target="https://www.scopus.com/inward/record.uri?eid=2-s2.0-85128076663&amp;doi=10.1007%2fs10664-021-10099-x&amp;partnerID=40&amp;md5=7d41c487cf4ea704150f95df0048e545;http://dx.doi.org/10.1007/s10664-021-10099-x" TargetMode="External"/><Relationship Id="rId1192" Type="http://schemas.openxmlformats.org/officeDocument/2006/relationships/hyperlink" Target="https://www.scopus.com/inward/record.uri?eid=2-s2.0-85095856937&amp;doi=10.1145%2f3425269.3425281&amp;partnerID=40&amp;md5=3fb2b8566d44c6b71f4aeac85cf65876;http://dx.doi.org/10.1145/3425269.3425281" TargetMode="External"/><Relationship Id="rId2036" Type="http://schemas.openxmlformats.org/officeDocument/2006/relationships/hyperlink" Target="https://doi.org/10.1145/3241403.3241414;http:/dx.doi.org/10.1145/3241403.3241414" TargetMode="External"/><Relationship Id="rId215" Type="http://schemas.openxmlformats.org/officeDocument/2006/relationships/hyperlink" Target="https://www.scopus.com/inward/record.uri?eid=2-s2.0-85099729767&amp;doi=10.1109%2fSPW50608.2020.00028&amp;partnerID=40&amp;md5=131f5e4b40359a78039d7de9b9f2a22d;http://dx.doi.org/10.1109/SPW50608.2020.00028" TargetMode="External"/><Relationship Id="rId422" Type="http://schemas.openxmlformats.org/officeDocument/2006/relationships/hyperlink" Target="https://www.scopus.com/inward/record.uri?eid=2-s2.0-85081967635&amp;doi=10.1145%2f3344948.3344951&amp;partnerID=40&amp;md5=5a48b9bc34d6094cf05bed35c263ad19;http://dx.doi.org/10.1145/3344948.3344951" TargetMode="External"/><Relationship Id="rId867" Type="http://schemas.openxmlformats.org/officeDocument/2006/relationships/hyperlink" Target="http://link.springer.com/book/10.1007/978-1-4842-8279-3" TargetMode="External"/><Relationship Id="rId1052" Type="http://schemas.openxmlformats.org/officeDocument/2006/relationships/hyperlink" Target="https://www.scopus.com/inward/record.uri?eid=2-s2.0-85101548886&amp;doi=10.1007%2f978-3-030-65854-0_5&amp;partnerID=40&amp;md5=ed02229da2891e2e587e82cb76d1a808;http://dx.doi.org/10.1007/978-3-030-65854-0_5" TargetMode="External"/><Relationship Id="rId1497" Type="http://schemas.openxmlformats.org/officeDocument/2006/relationships/hyperlink" Target="https://www.scopus.com/inward/record.uri?eid=2-s2.0-85051654015&amp;doi=10.1145%2f3196398.3196459&amp;partnerID=40&amp;md5=68ae9396be10178693fabb42ae333235;http://dx.doi.org/10.1145/3196398.3196459" TargetMode="External"/><Relationship Id="rId2103" Type="http://schemas.openxmlformats.org/officeDocument/2006/relationships/hyperlink" Target="https://doi.org/10.1145/3453478;http:/dx.doi.org/10.1145/3453478" TargetMode="External"/><Relationship Id="rId727" Type="http://schemas.openxmlformats.org/officeDocument/2006/relationships/hyperlink" Target="http://dx.doi.org/10.1145/3522664.3528621" TargetMode="External"/><Relationship Id="rId934" Type="http://schemas.openxmlformats.org/officeDocument/2006/relationships/hyperlink" Target="https://www.scopus.com/inward/record.uri?eid=2-s2.0-85093120799&amp;doi=10.1145%2f3387906.3388627&amp;partnerID=40&amp;md5=65a27734e8572dcef49f552620f72fda;http://dx.doi.org/10.1145/3387906.3388627" TargetMode="External"/><Relationship Id="rId1357" Type="http://schemas.openxmlformats.org/officeDocument/2006/relationships/hyperlink" Target="http://link.springer.com/chapter/10.1007/978-3-030-89385-9_1" TargetMode="External"/><Relationship Id="rId1564" Type="http://schemas.openxmlformats.org/officeDocument/2006/relationships/hyperlink" Target="https://www.scopus.com/inward/record.uri?eid=2-s2.0-85145215606&amp;doi=10.1016%2fj.procir.2022.10.063&amp;partnerID=40&amp;md5=a1a0ae626adb720c71e03c5c1b65d4ed;http://dx.doi.org/10.1016/j.procir.2022.10.063" TargetMode="External"/><Relationship Id="rId1771" Type="http://schemas.openxmlformats.org/officeDocument/2006/relationships/hyperlink" Target="http://dx.doi.org/10.1109/RCIS.2014.6861083" TargetMode="External"/><Relationship Id="rId63" Type="http://schemas.openxmlformats.org/officeDocument/2006/relationships/hyperlink" Target="https://www.scopus.com/inward/record.uri?eid=2-s2.0-85118117926&amp;doi=10.1007%2f978-3-030-86797-3_6&amp;partnerID=40&amp;md5=7d50167056c58c12b24f121cd1a5a9fb;http://dx.doi.org/10.1007/978-3-030-86797-3_6" TargetMode="External"/><Relationship Id="rId1217" Type="http://schemas.openxmlformats.org/officeDocument/2006/relationships/hyperlink" Target="https://www.scopus.com/inward/record.uri?eid=2-s2.0-85062505759&amp;partnerID=40&amp;md5=636a61064499fcd05da9d69617d70c0d" TargetMode="External"/><Relationship Id="rId1424" Type="http://schemas.openxmlformats.org/officeDocument/2006/relationships/hyperlink" Target="http://link.springer.com/article/10.1007/s10515-021-00314-w" TargetMode="External"/><Relationship Id="rId1631" Type="http://schemas.openxmlformats.org/officeDocument/2006/relationships/hyperlink" Target="http://dx.doi.org/10.1109/ICSM.2013.99" TargetMode="External"/><Relationship Id="rId1869" Type="http://schemas.openxmlformats.org/officeDocument/2006/relationships/hyperlink" Target="https://www.scopus.com/inward/record.uri?eid=2-s2.0-85134339792&amp;doi=10.1145%2f3524843.3528094&amp;partnerID=40&amp;md5=2a8a5e59891f65285d081b654ca70701;http://dx.doi.org/10.1145/3524843.3528094" TargetMode="External"/><Relationship Id="rId1729" Type="http://schemas.openxmlformats.org/officeDocument/2006/relationships/hyperlink" Target="https://www.scopus.com/inward/record.uri?eid=2-s2.0-85127339915&amp;doi=10.18420%2finf2020_16&amp;partnerID=40&amp;md5=165b4d942b7a2e1fffbff3379abd6757;http://dx.doi.org/10.18420/inf2020_16" TargetMode="External"/><Relationship Id="rId1936" Type="http://schemas.openxmlformats.org/officeDocument/2006/relationships/hyperlink" Target="http://link.springer.com/chapter/10.1007/978-3-030-77283-3_9" TargetMode="External"/><Relationship Id="rId377" Type="http://schemas.openxmlformats.org/officeDocument/2006/relationships/hyperlink" Target="http://link.springer.com/book/10.1007/978-3-030-95041-5" TargetMode="External"/><Relationship Id="rId584" Type="http://schemas.openxmlformats.org/officeDocument/2006/relationships/hyperlink" Target="https://www.scopus.com/inward/record.uri?eid=2-s2.0-85090040158&amp;doi=10.1007%2f978-981-15-7984-4_37&amp;partnerID=40&amp;md5=4db31533ec7d63e568a1c1a3afae3eae;http://dx.doi.org/10.1007/978-981-15-7984-4_37" TargetMode="External"/><Relationship Id="rId2058" Type="http://schemas.openxmlformats.org/officeDocument/2006/relationships/hyperlink" Target="https://www.scopus.com/inward/record.uri?eid=2-s2.0-85094116307&amp;doi=10.1145%2f3377812.3381404&amp;partnerID=40&amp;md5=53d6bfa6cbc64787b225d893f8098270;http://dx.doi.org/10.1145/3377812.3381404" TargetMode="External"/><Relationship Id="rId5" Type="http://schemas.openxmlformats.org/officeDocument/2006/relationships/hyperlink" Target="http://dx.doi.org/10.1109/CyberSecPODS.2019.8885403" TargetMode="External"/><Relationship Id="rId237" Type="http://schemas.openxmlformats.org/officeDocument/2006/relationships/hyperlink" Target="http://dx.doi.org/10.1109/MS.2022.3199621" TargetMode="External"/><Relationship Id="rId791" Type="http://schemas.openxmlformats.org/officeDocument/2006/relationships/hyperlink" Target="http://dx.doi.org/10.1109/SANER.2018.8330266" TargetMode="External"/><Relationship Id="rId889" Type="http://schemas.openxmlformats.org/officeDocument/2006/relationships/hyperlink" Target="http://link.springer.com/referencework/10.1007/978-3-319-32010-6" TargetMode="External"/><Relationship Id="rId1074" Type="http://schemas.openxmlformats.org/officeDocument/2006/relationships/hyperlink" Target="http://link.springer.com/article/10.1007/s10664-020-09886-9" TargetMode="External"/><Relationship Id="rId444" Type="http://schemas.openxmlformats.org/officeDocument/2006/relationships/hyperlink" Target="http://link.springer.com/chapter/10.1007/978-981-16-6069-6_12" TargetMode="External"/><Relationship Id="rId651" Type="http://schemas.openxmlformats.org/officeDocument/2006/relationships/hyperlink" Target="http://link.springer.com/chapter/10.1007/978-1-4842-7226-8_16" TargetMode="External"/><Relationship Id="rId749" Type="http://schemas.openxmlformats.org/officeDocument/2006/relationships/hyperlink" Target="http://dx.doi.org/10.1109/COMPSAC54236.2022.00166" TargetMode="External"/><Relationship Id="rId1281" Type="http://schemas.openxmlformats.org/officeDocument/2006/relationships/hyperlink" Target="https://www.scopus.com/inward/record.uri?eid=2-s2.0-85123224381&amp;doi=10.1109%2fTSE.2019.2962027&amp;partnerID=40&amp;md5=6bcb2de3ce3cbcef90ece1cf886dda83;http://dx.doi.org/10.1109/TSE.2019.2962027" TargetMode="External"/><Relationship Id="rId1379" Type="http://schemas.openxmlformats.org/officeDocument/2006/relationships/hyperlink" Target="http://link.springer.com/article/10.1007/s35658-021-0729-1" TargetMode="External"/><Relationship Id="rId1586" Type="http://schemas.openxmlformats.org/officeDocument/2006/relationships/hyperlink" Target="https://www.scopus.com/inward/record.uri?eid=2-s2.0-85057113704&amp;doi=10.1109%2fICDE.2018.00159&amp;partnerID=40&amp;md5=9f84eeae9e2f154f00c81fbded42d099;http://dx.doi.org/10.1109/ICDE.2018.00159" TargetMode="External"/><Relationship Id="rId2125" Type="http://schemas.openxmlformats.org/officeDocument/2006/relationships/hyperlink" Target="https://doi.org/10.1145/3549034.3561178;http:/dx.doi.org/10.1145/3549034.3561178" TargetMode="External"/><Relationship Id="rId304" Type="http://schemas.openxmlformats.org/officeDocument/2006/relationships/hyperlink" Target="https://www.scopus.com/inward/record.uri?eid=2-s2.0-85025172556&amp;doi=10.1109%2fICPC.2017.38&amp;partnerID=40&amp;md5=fd0269655eb20a7347798a4b00286fad;http://dx.doi.org/10.1109/ICPC.2017.38" TargetMode="External"/><Relationship Id="rId511" Type="http://schemas.openxmlformats.org/officeDocument/2006/relationships/hyperlink" Target="https://www.scopus.com/inward/record.uri?eid=2-s2.0-85141711105&amp;doi=10.1007%2fs10664-022-10232-4&amp;partnerID=40&amp;md5=33688bd6b7dc703c2f4e84423900cb6b;http://dx.doi.org/10.1007/s10664-022-10232-4" TargetMode="External"/><Relationship Id="rId609" Type="http://schemas.openxmlformats.org/officeDocument/2006/relationships/hyperlink" Target="http://dx.doi.org/10.1109/ICSME55016.2022.00061" TargetMode="External"/><Relationship Id="rId956" Type="http://schemas.openxmlformats.org/officeDocument/2006/relationships/hyperlink" Target="https://www.scopus.com/inward/record.uri?eid=2-s2.0-85057164684&amp;doi=10.1109%2fSEAA.2018.00072&amp;partnerID=40&amp;md5=8be0d14b7ad2658573289e24e2e1fd88;http://dx.doi.org/10.1109/SEAA.2018.00072" TargetMode="External"/><Relationship Id="rId1141" Type="http://schemas.openxmlformats.org/officeDocument/2006/relationships/hyperlink" Target="https://www.scopus.com/inward/record.uri?eid=2-s2.0-85099608821&amp;doi=10.1016%2fj.infsof.2021.106530&amp;partnerID=40&amp;md5=8e73ebfc3c2c2eac5674687b8bef289f;http://dx.doi.org/10.1016/j.infsof.2021.106530" TargetMode="External"/><Relationship Id="rId1239" Type="http://schemas.openxmlformats.org/officeDocument/2006/relationships/hyperlink" Target="https://www.scopus.com/inward/record.uri?eid=2-s2.0-85016444613&amp;doi=10.1016%2fj.infsof.2017.03.012&amp;partnerID=40&amp;md5=8b759acaa01c5136355d900e55157249;http://dx.doi.org/10.1016/j.infsof.2017.03.012" TargetMode="External"/><Relationship Id="rId1793" Type="http://schemas.openxmlformats.org/officeDocument/2006/relationships/hyperlink" Target="https://www.sciencedirect.com/science/article/pii/S0164121220301734;http:/dx.doi.org/10.1016/j.jss.2020.110750" TargetMode="External"/><Relationship Id="rId85" Type="http://schemas.openxmlformats.org/officeDocument/2006/relationships/hyperlink" Target="https://www.scopus.com/inward/record.uri?eid=2-s2.0-85127155397&amp;partnerID=40&amp;md5=51baded0bda5f7d705bec12e82951857" TargetMode="External"/><Relationship Id="rId816" Type="http://schemas.openxmlformats.org/officeDocument/2006/relationships/hyperlink" Target="http://dx.doi.org/10.23919/SoftCOM50211.2020.9238323" TargetMode="External"/><Relationship Id="rId1001" Type="http://schemas.openxmlformats.org/officeDocument/2006/relationships/hyperlink" Target="https://doi.org/10.1109/ASE51524.2021.9678617;http:/dx.doi.org/10.1109/ASE51524.2021.9678617" TargetMode="External"/><Relationship Id="rId1446" Type="http://schemas.openxmlformats.org/officeDocument/2006/relationships/hyperlink" Target="http://link.springer.com/article/10.1007/s11334-021-00388-5" TargetMode="External"/><Relationship Id="rId1653" Type="http://schemas.openxmlformats.org/officeDocument/2006/relationships/hyperlink" Target="https://www.sciencedirect.com/science/article/pii/S016412122200190X;http:/dx.doi.org/10.1016/j.jss.2022.111514" TargetMode="External"/><Relationship Id="rId1860" Type="http://schemas.openxmlformats.org/officeDocument/2006/relationships/hyperlink" Target="http://dx.doi.org/10.1109/ICSTW.2018.00004" TargetMode="External"/><Relationship Id="rId1306" Type="http://schemas.openxmlformats.org/officeDocument/2006/relationships/hyperlink" Target="http://link.springer.com/book/10.1007/978-3-030-89902-8" TargetMode="External"/><Relationship Id="rId1513" Type="http://schemas.openxmlformats.org/officeDocument/2006/relationships/hyperlink" Target="http://dx.doi.org/10.1109/MSEC.2021.3118561" TargetMode="External"/><Relationship Id="rId1720" Type="http://schemas.openxmlformats.org/officeDocument/2006/relationships/hyperlink" Target="http://link.springer.com/article/10.1007/s10664-022-10251-1" TargetMode="External"/><Relationship Id="rId1958" Type="http://schemas.openxmlformats.org/officeDocument/2006/relationships/hyperlink" Target="https://www.scopus.com/inward/record.uri?eid=2-s2.0-85054784046&amp;doi=10.1007%2f978-3-030-01042-3_14&amp;partnerID=40&amp;md5=eb8f2bfd96f8220542a4058ba72bf954;http://dx.doi.org/10.1007/978-3-030-01042-3_14" TargetMode="External"/><Relationship Id="rId12" Type="http://schemas.openxmlformats.org/officeDocument/2006/relationships/hyperlink" Target="https://www.scopus.com/inward/record.uri?eid=2-s2.0-85142754958&amp;partnerID=40&amp;md5=cd4bf0518dae3491537836c50064e080" TargetMode="External"/><Relationship Id="rId1818" Type="http://schemas.openxmlformats.org/officeDocument/2006/relationships/hyperlink" Target="https://doi.org/10.1109/AST.2017.3;http:/dx.doi.org/10.1109/AST.2017.3" TargetMode="External"/><Relationship Id="rId161" Type="http://schemas.openxmlformats.org/officeDocument/2006/relationships/hyperlink" Target="https://www.sciencedirect.com/science/article/pii/S0164121222001303;http:/dx.doi.org/10.1016/j.jss.2022.111423" TargetMode="External"/><Relationship Id="rId399" Type="http://schemas.openxmlformats.org/officeDocument/2006/relationships/hyperlink" Target="https://www.scopus.com/inward/record.uri?eid=2-s2.0-85123431746&amp;doi=10.1109%2fACSOS-C52956.2021.00038&amp;partnerID=40&amp;md5=f7fda58b9f6586ec5d122899e6cedbae;http://dx.doi.org/10.1109/ACSOS-C52956.2021.00038" TargetMode="External"/><Relationship Id="rId259" Type="http://schemas.openxmlformats.org/officeDocument/2006/relationships/hyperlink" Target="https://www.scopus.com/inward/record.uri?eid=2-s2.0-85083034194&amp;partnerID=40&amp;md5=86a5daa17769e55130d3c7b5a473dbe9" TargetMode="External"/><Relationship Id="rId466" Type="http://schemas.openxmlformats.org/officeDocument/2006/relationships/hyperlink" Target="https://doi.org/10.1145/3377811.3380342;http:/dx.doi.org/10.1145/3377811.3380342" TargetMode="External"/><Relationship Id="rId673" Type="http://schemas.openxmlformats.org/officeDocument/2006/relationships/hyperlink" Target="https://www.scopus.com/inward/record.uri?eid=2-s2.0-85106729716&amp;doi=10.1109%2fTSE.2021.3081171&amp;partnerID=40&amp;md5=67f37fe295058a12ed25afe41c5f8b51;http://dx.doi.org/10.1109/TSE.2021.3081171" TargetMode="External"/><Relationship Id="rId880" Type="http://schemas.openxmlformats.org/officeDocument/2006/relationships/hyperlink" Target="https://www.scopus.com/inward/record.uri?eid=2-s2.0-85129090211&amp;doi=10.23940%2fijpe.22.03.p1.149157&amp;partnerID=40&amp;md5=6eb4ec32913da662e18fb3dc353f6089;http://dx.doi.org/10.23940/ijpe.22.03.p1.149157" TargetMode="External"/><Relationship Id="rId1096" Type="http://schemas.openxmlformats.org/officeDocument/2006/relationships/hyperlink" Target="http://link.springer.com/book/10.1007/978-981-16-3690-5" TargetMode="External"/><Relationship Id="rId2147" Type="http://schemas.openxmlformats.org/officeDocument/2006/relationships/hyperlink" Target="https://www.scopus.com/inward/record.uri?eid=2-s2.0-85076041964&amp;doi=10.1007%2fs10664-019-09773-y&amp;partnerID=40&amp;md5=95f8bcbd18fbbb141eba8daf680739ed;http://dx.doi.org/10.1007/s10664-019-09773-y" TargetMode="External"/><Relationship Id="rId119" Type="http://schemas.openxmlformats.org/officeDocument/2006/relationships/hyperlink" Target="https://www.scopus.com/inward/record.uri?eid=2-s2.0-85015651775&amp;doi=10.1017%2fS1351324917000109&amp;partnerID=40&amp;md5=249ae62e1dad021e42fd1bacfa0876f0;http://dx.doi.org/10.1017/S1351324917000109" TargetMode="External"/><Relationship Id="rId326" Type="http://schemas.openxmlformats.org/officeDocument/2006/relationships/hyperlink" Target="https://www.sciencedirect.com/science/article/pii/S0164121221000613;http:/dx.doi.org/10.1016/j.jss.2021.110964" TargetMode="External"/><Relationship Id="rId533" Type="http://schemas.openxmlformats.org/officeDocument/2006/relationships/hyperlink" Target="https://www.sciencedirect.com/science/article/pii/S016412122030282X;http:/dx.doi.org/10.1016/j.jss.2020.110892" TargetMode="External"/><Relationship Id="rId978" Type="http://schemas.openxmlformats.org/officeDocument/2006/relationships/hyperlink" Target="http://link.springer.com/chapter/10.1007/978-3-030-89385-9_5" TargetMode="External"/><Relationship Id="rId1163" Type="http://schemas.openxmlformats.org/officeDocument/2006/relationships/hyperlink" Target="http://link.springer.com/book/10.1007/978-3-030-95947-0" TargetMode="External"/><Relationship Id="rId1370" Type="http://schemas.openxmlformats.org/officeDocument/2006/relationships/hyperlink" Target="http://dx.doi.org/10.1145/3524843.3528099" TargetMode="External"/><Relationship Id="rId2007" Type="http://schemas.openxmlformats.org/officeDocument/2006/relationships/hyperlink" Target="http://link.springer.com/chapter/10.1007/978-3-319-98149-9_15" TargetMode="External"/><Relationship Id="rId740" Type="http://schemas.openxmlformats.org/officeDocument/2006/relationships/hyperlink" Target="https://www.scopus.com/inward/record.uri?eid=2-s2.0-85116885240&amp;doi=10.1016%2fj.procs.2021.09.112&amp;partnerID=40&amp;md5=03fe11631186a95bbe907a4b5ac0c018;http://dx.doi.org/10.1016/j.procs.2021.09.112" TargetMode="External"/><Relationship Id="rId838" Type="http://schemas.openxmlformats.org/officeDocument/2006/relationships/hyperlink" Target="http://dx.doi.org/10.1109/ICSE.2013.6606583" TargetMode="External"/><Relationship Id="rId1023" Type="http://schemas.openxmlformats.org/officeDocument/2006/relationships/hyperlink" Target="https://www.scopus.com/inward/record.uri?eid=2-s2.0-85142345060&amp;doi=10.13328%2fj.cnki.jos.006373&amp;partnerID=40&amp;md5=e4f797bc24d00de3288ab44afed5ce7f;http://dx.doi.org/10.13328/j.cnki.jos.006373" TargetMode="External"/><Relationship Id="rId1468" Type="http://schemas.openxmlformats.org/officeDocument/2006/relationships/hyperlink" Target="http://link.springer.com/article/10.1007/s00500-022-06908-0" TargetMode="External"/><Relationship Id="rId1675" Type="http://schemas.openxmlformats.org/officeDocument/2006/relationships/hyperlink" Target="https://www.scopus.com/inward/record.uri?eid=2-s2.0-85143850045&amp;doi=10.11591%2fijece.v13i2.pp2142-2155&amp;partnerID=40&amp;md5=9c388e0b9412ec029b31c305d83d2be7;http://dx.doi.org/10.11591/ijece.v13i2.pp2142-2155" TargetMode="External"/><Relationship Id="rId1882" Type="http://schemas.openxmlformats.org/officeDocument/2006/relationships/hyperlink" Target="http://dx.doi.org/10.1016/j.jss.2020.110777" TargetMode="External"/><Relationship Id="rId600" Type="http://schemas.openxmlformats.org/officeDocument/2006/relationships/hyperlink" Target="https://www.scopus.com/inward/record.uri?eid=2-s2.0-85143060620&amp;doi=10.1145%2f3540250.3549132&amp;partnerID=40&amp;md5=b770784d1e8725eee04282384db54881;http://dx.doi.org/10.1145/3540250.3549132" TargetMode="External"/><Relationship Id="rId1230" Type="http://schemas.openxmlformats.org/officeDocument/2006/relationships/hyperlink" Target="http://link.springer.com/book/10.1007/978-3-030-94238-0" TargetMode="External"/><Relationship Id="rId1328" Type="http://schemas.openxmlformats.org/officeDocument/2006/relationships/hyperlink" Target="https://www.sciencedirect.com/science/article/pii/S0164121221000662;http:/dx.doi.org/10.1016/j.jss.2021.110969" TargetMode="External"/><Relationship Id="rId1535" Type="http://schemas.openxmlformats.org/officeDocument/2006/relationships/hyperlink" Target="http://link.springer.com/book/10.1007/978-3-031-21388-5" TargetMode="External"/><Relationship Id="rId905" Type="http://schemas.openxmlformats.org/officeDocument/2006/relationships/hyperlink" Target="http://link.springer.com/chapter/10.1007/978-3-030-20040-4_8" TargetMode="External"/><Relationship Id="rId1742" Type="http://schemas.openxmlformats.org/officeDocument/2006/relationships/hyperlink" Target="https://www.scopus.com/inward/record.uri?eid=2-s2.0-85083433363&amp;doi=10.1007%2f978-3-030-34706-2_5&amp;partnerID=40&amp;md5=6b701d5f3a3678ba7e1b1751e7e676fc;http://dx.doi.org/10.1007/978-3-030-34706-2_5" TargetMode="External"/><Relationship Id="rId34" Type="http://schemas.openxmlformats.org/officeDocument/2006/relationships/hyperlink" Target="https://www.scopus.com/inward/record.uri?eid=2-s2.0-85114853759&amp;doi=10.1109%2fDSN48987.2021.00026&amp;partnerID=40&amp;md5=46781be6fc7a80d455ef9a358f835112;http://dx.doi.org/10.1109/DSN48987.2021.00026" TargetMode="External"/><Relationship Id="rId1602" Type="http://schemas.openxmlformats.org/officeDocument/2006/relationships/hyperlink" Target="https://www.scopus.com/inward/record.uri?eid=2-s2.0-85141605926&amp;doi=10.1109%2fJSTARS.2022.3219897&amp;partnerID=40&amp;md5=8666402555025111c6b3fde9268cef8b;http://dx.doi.org/10.1109/JSTARS.2022.3219897" TargetMode="External"/><Relationship Id="rId183" Type="http://schemas.openxmlformats.org/officeDocument/2006/relationships/hyperlink" Target="https://www.scopus.com/inward/record.uri?eid=2-s2.0-85015151902&amp;doi=10.1109%2fTLA.2017.7867598&amp;partnerID=40&amp;md5=e5c76e09eb8933bbb37c337592a840a7;http://dx.doi.org/10.1109/TLA.2017.7867598" TargetMode="External"/><Relationship Id="rId390" Type="http://schemas.openxmlformats.org/officeDocument/2006/relationships/hyperlink" Target="https://www.scopus.com/inward/record.uri?eid=2-s2.0-85130079716&amp;doi=10.1148%2fryai.210127&amp;partnerID=40&amp;md5=d5d22d7e66045d130c3277d01e953a8a;http://dx.doi.org/10.1148/ryai.210127" TargetMode="External"/><Relationship Id="rId1907" Type="http://schemas.openxmlformats.org/officeDocument/2006/relationships/hyperlink" Target="http://dx.doi.org/10.1109/ICSE43902.2021.00125" TargetMode="External"/><Relationship Id="rId2071" Type="http://schemas.openxmlformats.org/officeDocument/2006/relationships/hyperlink" Target="https://www.scopus.com/inward/record.uri?eid=2-s2.0-85065757709&amp;partnerID=40&amp;md5=b1f61ab9d24c141ce25864f50e8c6468" TargetMode="External"/><Relationship Id="rId250" Type="http://schemas.openxmlformats.org/officeDocument/2006/relationships/hyperlink" Target="http://dx.doi.org/10.23919/JSC.2021.0023" TargetMode="External"/><Relationship Id="rId488" Type="http://schemas.openxmlformats.org/officeDocument/2006/relationships/hyperlink" Target="https://www.scopus.com/inward/record.uri?eid=2-s2.0-85089572287&amp;doi=10.1016%2fj.bushor.2020.08.001&amp;partnerID=40&amp;md5=d90e7f7b16669350bf9cb4325f9efc26;http://dx.doi.org/10.1016/j.bushor.2020.08.001" TargetMode="External"/><Relationship Id="rId695" Type="http://schemas.openxmlformats.org/officeDocument/2006/relationships/hyperlink" Target="http://link.springer.com/article/10.1007/s00500-021-06254-7" TargetMode="External"/><Relationship Id="rId2169" Type="http://schemas.openxmlformats.org/officeDocument/2006/relationships/hyperlink" Target="http://dx.doi.org/10.1109/EDUCON45650.2020.9125363" TargetMode="External"/><Relationship Id="rId110" Type="http://schemas.openxmlformats.org/officeDocument/2006/relationships/hyperlink" Target="https://www.scopus.com/inward/record.uri?eid=2-s2.0-85111779360&amp;doi=10.1515%2fitit-2020-0045&amp;partnerID=40&amp;md5=7bd5e680aee015e6562ce010d11a8a07;http://dx.doi.org/10.1515/itit-2020-0045" TargetMode="External"/><Relationship Id="rId348" Type="http://schemas.openxmlformats.org/officeDocument/2006/relationships/hyperlink" Target="https://www.scopus.com/inward/record.uri?eid=2-s2.0-85101368139&amp;doi=10.1007%2f978-3-030-67292-8_2&amp;partnerID=40&amp;md5=1755610e8f350838212c69c596954cf2;http://dx.doi.org/10.1007/978-3-030-67292-8_2" TargetMode="External"/><Relationship Id="rId555" Type="http://schemas.openxmlformats.org/officeDocument/2006/relationships/hyperlink" Target="https://www.scopus.com/inward/record.uri?eid=2-s2.0-85103148325&amp;doi=10.1109%2fACCESS.2021.3066348&amp;partnerID=40&amp;md5=5c33c615d26804f810a0df3870ace47e;http://dx.doi.org/10.1109/ACCESS.2021.3066348" TargetMode="External"/><Relationship Id="rId762" Type="http://schemas.openxmlformats.org/officeDocument/2006/relationships/hyperlink" Target="https://www.sciencedirect.com/science/article/pii/S0957417422006388;http:/dx.doi.org/10.1016/j.eswa.2022.117267" TargetMode="External"/><Relationship Id="rId1185" Type="http://schemas.openxmlformats.org/officeDocument/2006/relationships/hyperlink" Target="http://dx.doi.org/10.1049/et.2022.0521" TargetMode="External"/><Relationship Id="rId1392" Type="http://schemas.openxmlformats.org/officeDocument/2006/relationships/hyperlink" Target="https://www.scopus.com/inward/record.uri?eid=2-s2.0-85120584694&amp;doi=10.1109%2fRE51729.2021.00009&amp;partnerID=40&amp;md5=42fdedbfc2808f06657b764db70385b7;http://dx.doi.org/10.1109/RE51729.2021.00009" TargetMode="External"/><Relationship Id="rId2029" Type="http://schemas.openxmlformats.org/officeDocument/2006/relationships/hyperlink" Target="http://link.springer.com/article/10.1007/s11219-021-09578-7" TargetMode="External"/><Relationship Id="rId208" Type="http://schemas.openxmlformats.org/officeDocument/2006/relationships/hyperlink" Target="http://link.springer.com/book/10.1007/978-3-030-21290-2" TargetMode="External"/><Relationship Id="rId415" Type="http://schemas.openxmlformats.org/officeDocument/2006/relationships/hyperlink" Target="http://link.springer.com/chapter/10.1007/978-3-030-40223-5_17" TargetMode="External"/><Relationship Id="rId622" Type="http://schemas.openxmlformats.org/officeDocument/2006/relationships/hyperlink" Target="https://doi.org/10.1145/3472674.3473978;http:/dx.doi.org/10.1145/3472674.3473978" TargetMode="External"/><Relationship Id="rId1045" Type="http://schemas.openxmlformats.org/officeDocument/2006/relationships/hyperlink" Target="https://www.scopus.com/inward/record.uri?eid=2-s2.0-85133211210&amp;doi=10.1145%2f3524610.3527901&amp;partnerID=40&amp;md5=66bfdc062ab20d62b4b1d3b78e58fe20;http://dx.doi.org/10.1145/3524610.3527901" TargetMode="External"/><Relationship Id="rId1252" Type="http://schemas.openxmlformats.org/officeDocument/2006/relationships/hyperlink" Target="http://dx.doi.org/10.1109/TSE.2019.2903057" TargetMode="External"/><Relationship Id="rId1697" Type="http://schemas.openxmlformats.org/officeDocument/2006/relationships/hyperlink" Target="https://www.scopus.com/inward/record.uri?eid=2-s2.0-85138607469&amp;doi=10.3390%2fmath10183233&amp;partnerID=40&amp;md5=b48c2401e1e3e2f65556676d01e9f6aa;http://dx.doi.org/10.3390/math10183233" TargetMode="External"/><Relationship Id="rId927" Type="http://schemas.openxmlformats.org/officeDocument/2006/relationships/hyperlink" Target="https://www.sciencedirect.com/science/article/pii/S0164121219301451;http:/dx.doi.org/10.1016/j.jss.2019.07.002" TargetMode="External"/><Relationship Id="rId1112" Type="http://schemas.openxmlformats.org/officeDocument/2006/relationships/hyperlink" Target="https://www.scopus.com/inward/record.uri?eid=2-s2.0-85133665305&amp;doi=10.1007%2fs10664-022-10128-3&amp;partnerID=40&amp;md5=fae815333129347784d1ffe275b716a1;http://dx.doi.org/10.1007/s10664-022-10128-3" TargetMode="External"/><Relationship Id="rId1557" Type="http://schemas.openxmlformats.org/officeDocument/2006/relationships/hyperlink" Target="https://doi.org/10.1145/3426428.3426922;http:/dx.doi.org/10.1145/3426428.3426922" TargetMode="External"/><Relationship Id="rId1764" Type="http://schemas.openxmlformats.org/officeDocument/2006/relationships/hyperlink" Target="https://doi.org/10.1145/3539783;http:/dx.doi.org/10.1145/3539783" TargetMode="External"/><Relationship Id="rId1971" Type="http://schemas.openxmlformats.org/officeDocument/2006/relationships/hyperlink" Target="https://www.scopus.com/inward/record.uri?eid=2-s2.0-85076867877&amp;doi=10.2200%2fS00904ED1V01Y201903ICR066&amp;partnerID=40&amp;md5=222e93a3948848d3fb83104c997b761e;http://dx.doi.org/10.2200/S00904ED1V01Y201903ICR066" TargetMode="External"/><Relationship Id="rId56" Type="http://schemas.openxmlformats.org/officeDocument/2006/relationships/hyperlink" Target="https://www.scopus.com/inward/record.uri?eid=2-s2.0-85071955221&amp;doi=10.1145%2f3338906.3338965&amp;partnerID=40&amp;md5=48df39eece77c1e08a88f2d966221d91;http://dx.doi.org/10.1145/3338906.3338965" TargetMode="External"/><Relationship Id="rId1417" Type="http://schemas.openxmlformats.org/officeDocument/2006/relationships/hyperlink" Target="https://www.scopus.com/inward/record.uri?eid=2-s2.0-85106644733&amp;doi=10.1109%2fSANER50967.2021.00046&amp;partnerID=40&amp;md5=24398e798fb42d6a1cc6b0c74b476dfd;http://dx.doi.org/10.1109/SANER50967.2021.00046" TargetMode="External"/><Relationship Id="rId1624" Type="http://schemas.openxmlformats.org/officeDocument/2006/relationships/hyperlink" Target="https://www.scopus.com/inward/record.uri?eid=2-s2.0-84961328315&amp;doi=10.4018%2f978-1-4666-8225-2&amp;partnerID=40&amp;md5=3da5c6538e7d8e5e1fc1a35adb92992a;http://dx.doi.org/10.4018/978-1-4666-8225-2" TargetMode="External"/><Relationship Id="rId1831" Type="http://schemas.openxmlformats.org/officeDocument/2006/relationships/hyperlink" Target="https://www.scopus.com/inward/record.uri?eid=2-s2.0-85085967138&amp;doi=10.1109%2fJPROC.2020.2985293&amp;partnerID=40&amp;md5=cc8946989ba1be8454524fde5c94ffee;http://dx.doi.org/10.1109/JPROC.2020.2985293" TargetMode="External"/><Relationship Id="rId1929" Type="http://schemas.openxmlformats.org/officeDocument/2006/relationships/hyperlink" Target="https://doi.org/10.1145/3491140.3528278;http:/dx.doi.org/10.1145/3491140.3528278" TargetMode="External"/><Relationship Id="rId2093" Type="http://schemas.openxmlformats.org/officeDocument/2006/relationships/hyperlink" Target="https://www.scopus.com/inward/record.uri?eid=2-s2.0-85117851973&amp;partnerID=40&amp;md5=432dfcd59472a3cd505d933cd50bb82a" TargetMode="External"/><Relationship Id="rId272" Type="http://schemas.openxmlformats.org/officeDocument/2006/relationships/hyperlink" Target="http://link.springer.com/article/10.1007/s10796-022-10253-w" TargetMode="External"/><Relationship Id="rId577" Type="http://schemas.openxmlformats.org/officeDocument/2006/relationships/hyperlink" Target="http://link.springer.com/chapter/10.1007/978-1-4842-1925-6_5" TargetMode="External"/><Relationship Id="rId2160" Type="http://schemas.openxmlformats.org/officeDocument/2006/relationships/hyperlink" Target="http://link.springer.com/article/10.1007/s10664-022-10257-9" TargetMode="External"/><Relationship Id="rId132" Type="http://schemas.openxmlformats.org/officeDocument/2006/relationships/hyperlink" Target="https://doi.org/10.1145/3275245.3275248;http:/dx.doi.org/10.1145/3275245.3275248" TargetMode="External"/><Relationship Id="rId784" Type="http://schemas.openxmlformats.org/officeDocument/2006/relationships/hyperlink" Target="https://doi.org/10.1145/3341105.3374008;http:/dx.doi.org/10.1145/3341105.3374008" TargetMode="External"/><Relationship Id="rId991" Type="http://schemas.openxmlformats.org/officeDocument/2006/relationships/hyperlink" Target="http://link.springer.com/article/10.1007/s11704-022-1541-7" TargetMode="External"/><Relationship Id="rId1067" Type="http://schemas.openxmlformats.org/officeDocument/2006/relationships/hyperlink" Target="https://www.scopus.com/inward/record.uri?eid=2-s2.0-85090848681&amp;doi=10.1145%2f3383219.3383242&amp;partnerID=40&amp;md5=255b95a5553fedbbf3dfe916186b1aa3;http://dx.doi.org/10.1145/3383219.3383242" TargetMode="External"/><Relationship Id="rId2020" Type="http://schemas.openxmlformats.org/officeDocument/2006/relationships/hyperlink" Target="https://www.scopus.com/inward/record.uri?eid=2-s2.0-85074164358&amp;doi=10.7717%2fpeerj-cs.187&amp;partnerID=40&amp;md5=838f694bff45f6fd7a1052348e000a72;http://dx.doi.org/10.7717/peerj-cs.187" TargetMode="External"/><Relationship Id="rId437" Type="http://schemas.openxmlformats.org/officeDocument/2006/relationships/hyperlink" Target="http://dx.doi.org/10.1109/ICECCE49384.2020.9179341" TargetMode="External"/><Relationship Id="rId644" Type="http://schemas.openxmlformats.org/officeDocument/2006/relationships/hyperlink" Target="http://dx.doi.org/10.1109/ICGSEW.2016.16" TargetMode="External"/><Relationship Id="rId851" Type="http://schemas.openxmlformats.org/officeDocument/2006/relationships/hyperlink" Target="http://dx.doi.org/10.1109/ACCESS.2021.3054472" TargetMode="External"/><Relationship Id="rId1274" Type="http://schemas.openxmlformats.org/officeDocument/2006/relationships/hyperlink" Target="http://dx.doi.org/10.1109/TSE.2021.3129355" TargetMode="External"/><Relationship Id="rId1481" Type="http://schemas.openxmlformats.org/officeDocument/2006/relationships/hyperlink" Target="http://dx.doi.org/10.1145/3524843.3528093" TargetMode="External"/><Relationship Id="rId1579" Type="http://schemas.openxmlformats.org/officeDocument/2006/relationships/hyperlink" Target="https://www.scopus.com/inward/record.uri?eid=2-s2.0-85107594454&amp;doi=10.4018%2fIJOSSP.2021040103&amp;partnerID=40&amp;md5=7bba65bb666a08cde582889021508a38;http://dx.doi.org/10.4018/IJOSSP.2021040103" TargetMode="External"/><Relationship Id="rId2118" Type="http://schemas.openxmlformats.org/officeDocument/2006/relationships/hyperlink" Target="https://doi.org/10.1145/3266237.3266271;http:/dx.doi.org/10.1145/3266237.3266271" TargetMode="External"/><Relationship Id="rId504" Type="http://schemas.openxmlformats.org/officeDocument/2006/relationships/hyperlink" Target="http://dx.doi.org/10.1109/UKSim.2017.28" TargetMode="External"/><Relationship Id="rId711" Type="http://schemas.openxmlformats.org/officeDocument/2006/relationships/hyperlink" Target="https://www.scopus.com/inward/record.uri?eid=2-s2.0-85026730806&amp;doi=10.1109%2fICSE-NIER.2017.13&amp;partnerID=40&amp;md5=8b7d2a471beccbb90ba2ad78df2425a8;http://dx.doi.org/10.1109/ICSE-NIER.2017.13" TargetMode="External"/><Relationship Id="rId949" Type="http://schemas.openxmlformats.org/officeDocument/2006/relationships/hyperlink" Target="https://www.scopus.com/inward/record.uri?eid=2-s2.0-85128924924&amp;doi=10.1145%2f3522664.3528596&amp;partnerID=40&amp;md5=b19b71e3e173b3c989c17c49db592374;http://dx.doi.org/10.1145/3522664.3528596" TargetMode="External"/><Relationship Id="rId1134" Type="http://schemas.openxmlformats.org/officeDocument/2006/relationships/hyperlink" Target="http://link.springer.com/chapter/10.1007/978-3-030-67084-9_11" TargetMode="External"/><Relationship Id="rId1341" Type="http://schemas.openxmlformats.org/officeDocument/2006/relationships/hyperlink" Target="https://doi.org/10.1145/3512850.3512861;http:/dx.doi.org/10.1145/3512850.3512861" TargetMode="External"/><Relationship Id="rId1786" Type="http://schemas.openxmlformats.org/officeDocument/2006/relationships/hyperlink" Target="http://link.springer.com/chapter/10.1007/978-3-030-28005-5_57" TargetMode="External"/><Relationship Id="rId1993" Type="http://schemas.openxmlformats.org/officeDocument/2006/relationships/hyperlink" Target="https://doi.org/10.1145/3345629.3345630;http:/dx.doi.org/10.1145/3345629.3345630" TargetMode="External"/><Relationship Id="rId78" Type="http://schemas.openxmlformats.org/officeDocument/2006/relationships/hyperlink" Target="https://www.scopus.com/inward/record.uri?eid=2-s2.0-85091245352&amp;doi=10.1007%2fs10664-020-09880-1&amp;partnerID=40&amp;md5=077dac4a9230c050eb6b28ff2c596d4c;http://dx.doi.org/10.1007/s10664-020-09880-1" TargetMode="External"/><Relationship Id="rId809" Type="http://schemas.openxmlformats.org/officeDocument/2006/relationships/hyperlink" Target="http://link.springer.com/chapter/10.1007/978-3-030-75018-3_14" TargetMode="External"/><Relationship Id="rId1201" Type="http://schemas.openxmlformats.org/officeDocument/2006/relationships/hyperlink" Target="http://dx.doi.org/10.1109/SANER.2019.8667999" TargetMode="External"/><Relationship Id="rId1439" Type="http://schemas.openxmlformats.org/officeDocument/2006/relationships/hyperlink" Target="https://doi.org/10.1145/3477535;http:/dx.doi.org/10.1145/3477535" TargetMode="External"/><Relationship Id="rId1646" Type="http://schemas.openxmlformats.org/officeDocument/2006/relationships/hyperlink" Target="https://www.scopus.com/inward/record.uri?eid=2-s2.0-85049683556&amp;doi=10.1145%2f3183440.3183478&amp;partnerID=40&amp;md5=fc9b4f29011dee78dffc65dcb86362ba;http://dx.doi.org/10.1145/3183440.3183478" TargetMode="External"/><Relationship Id="rId1853" Type="http://schemas.openxmlformats.org/officeDocument/2006/relationships/hyperlink" Target="http://dx.doi.org/10.1109/SEAA56994.2022.00004" TargetMode="External"/><Relationship Id="rId1506" Type="http://schemas.openxmlformats.org/officeDocument/2006/relationships/hyperlink" Target="https://www.scopus.com/inward/record.uri?eid=2-s2.0-85093986587&amp;doi=10.1016%2fj.jss.2020.110847&amp;partnerID=40&amp;md5=0a10ae423a46f93ffb1d25251416e0b9;http://dx.doi.org/10.1016/j.jss.2020.110847" TargetMode="External"/><Relationship Id="rId1713" Type="http://schemas.openxmlformats.org/officeDocument/2006/relationships/hyperlink" Target="https://doi.org/10.1145/3569931;http:/dx.doi.org/10.1145/3569931" TargetMode="External"/><Relationship Id="rId1920" Type="http://schemas.openxmlformats.org/officeDocument/2006/relationships/hyperlink" Target="https://www.scopus.com/inward/record.uri?eid=2-s2.0-85058117217&amp;doi=10.18421%2fTEM74-31&amp;partnerID=40&amp;md5=bdfedb748512a88db98c63aa8972759e;http://dx.doi.org/10.18421/TEM74-31" TargetMode="External"/><Relationship Id="rId294" Type="http://schemas.openxmlformats.org/officeDocument/2006/relationships/hyperlink" Target="http://dx.doi.org/10.1109/ICSME.2017.8" TargetMode="External"/><Relationship Id="rId2182" Type="http://schemas.openxmlformats.org/officeDocument/2006/relationships/hyperlink" Target="https://www.scopus.com/inward/record.uri?eid=2-s2.0-85051661163&amp;doi=10.1145%2f3196398.3196448&amp;partnerID=40&amp;md5=2a7324a25c3c9b2722fec72a8a978fc2;http://dx.doi.org/10.1145/3196398.3196448" TargetMode="External"/><Relationship Id="rId154" Type="http://schemas.openxmlformats.org/officeDocument/2006/relationships/hyperlink" Target="http://dx.doi.org/10.1109/SANER50967.2021.00025" TargetMode="External"/><Relationship Id="rId361" Type="http://schemas.openxmlformats.org/officeDocument/2006/relationships/hyperlink" Target="http://dx.doi.org/10.1109/TASE.2020.3008055" TargetMode="External"/><Relationship Id="rId599" Type="http://schemas.openxmlformats.org/officeDocument/2006/relationships/hyperlink" Target="https://www.sciencedirect.com/science/article/pii/S0164121222000358;http:/dx.doi.org/10.1016/j.jss.2022.111273" TargetMode="External"/><Relationship Id="rId2042" Type="http://schemas.openxmlformats.org/officeDocument/2006/relationships/hyperlink" Target="https://www.scopus.com/inward/record.uri?eid=2-s2.0-84963626757&amp;doi=10.1109%2fMTD.2015.7332620&amp;partnerID=40&amp;md5=38e26e5f7b29899c8ee03a18d5930277;http://dx.doi.org/10.1109/MTD.2015.7332620" TargetMode="External"/><Relationship Id="rId459" Type="http://schemas.openxmlformats.org/officeDocument/2006/relationships/hyperlink" Target="http://dx.doi.org/10.1109/TSE.2018.2883603" TargetMode="External"/><Relationship Id="rId666" Type="http://schemas.openxmlformats.org/officeDocument/2006/relationships/hyperlink" Target="https://www.sciencedirect.com/science/article/pii/S0065245816300225;http:/dx.doi.org/10.1016/S0065-2458(16)30022-5" TargetMode="External"/><Relationship Id="rId873" Type="http://schemas.openxmlformats.org/officeDocument/2006/relationships/hyperlink" Target="https://www.scopus.com/inward/record.uri?eid=2-s2.0-85098132133&amp;doi=10.1007%2f978-3-030-64849-7_6&amp;partnerID=40&amp;md5=27e0ce68de85f1fe0e5b77c572cc69df;http://dx.doi.org/10.1007/978-3-030-64849-7_6" TargetMode="External"/><Relationship Id="rId1089" Type="http://schemas.openxmlformats.org/officeDocument/2006/relationships/hyperlink" Target="http://link.springer.com/article/10.1631/FITEE.2100467" TargetMode="External"/><Relationship Id="rId1296" Type="http://schemas.openxmlformats.org/officeDocument/2006/relationships/hyperlink" Target="https://doi.org/10.1145/3573074.3573099;http:/dx.doi.org/10.1145/3573074.3573099" TargetMode="External"/><Relationship Id="rId221" Type="http://schemas.openxmlformats.org/officeDocument/2006/relationships/hyperlink" Target="http://link.springer.com/book/10.1007/978-3-030-49392-9" TargetMode="External"/><Relationship Id="rId319" Type="http://schemas.openxmlformats.org/officeDocument/2006/relationships/hyperlink" Target="https://www.scopus.com/inward/record.uri?eid=2-s2.0-84944128754&amp;doi=10.1016%2fB978-0-12-411519-4.00019-7&amp;partnerID=40&amp;md5=9b8d4010380d27f42aef6ed21682e4b1;http://dx.doi.org/10.1016/B978-0-12-411519-4.00019-7" TargetMode="External"/><Relationship Id="rId526" Type="http://schemas.openxmlformats.org/officeDocument/2006/relationships/hyperlink" Target="http://dx.doi.org/10.1109/AERO53065.2022.9843840" TargetMode="External"/><Relationship Id="rId1156" Type="http://schemas.openxmlformats.org/officeDocument/2006/relationships/hyperlink" Target="https://www.scopus.com/inward/record.uri?eid=2-s2.0-85117021916&amp;doi=10.1109%2fCASE49439.2021.9551419&amp;partnerID=40&amp;md5=34a2402b07b2e40af452b20905260b9f;http://dx.doi.org/10.1109/CASE49439.2021.9551419" TargetMode="External"/><Relationship Id="rId1363" Type="http://schemas.openxmlformats.org/officeDocument/2006/relationships/hyperlink" Target="https://www.scopus.com/inward/record.uri?eid=2-s2.0-85137169224&amp;doi=10.18293%2fSEKE2022-077&amp;partnerID=40&amp;md5=e695951cfd6d99c0f122334445dc3e2f;http://dx.doi.org/10.18293/SEKE2022-077" TargetMode="External"/><Relationship Id="rId733" Type="http://schemas.openxmlformats.org/officeDocument/2006/relationships/hyperlink" Target="http://link.springer.com/chapter/10.1007/978-3-319-91563-0_36" TargetMode="External"/><Relationship Id="rId940" Type="http://schemas.openxmlformats.org/officeDocument/2006/relationships/hyperlink" Target="https://www.sciencedirect.com/science/article/pii/S0164121222000036;http:/dx.doi.org/10.1016/j.jss.2022.111219" TargetMode="External"/><Relationship Id="rId1016" Type="http://schemas.openxmlformats.org/officeDocument/2006/relationships/hyperlink" Target="http://link.springer.com/article/10.1007/s10664-022-10151-4" TargetMode="External"/><Relationship Id="rId1570" Type="http://schemas.openxmlformats.org/officeDocument/2006/relationships/hyperlink" Target="https://www.scopus.com/inward/record.uri?eid=2-s2.0-85101556271&amp;doi=10.1007%2f978-3-030-65854-0_3&amp;partnerID=40&amp;md5=cbc8930e2218bd056ff8c0f95dfea4c4;http://dx.doi.org/10.1007/978-3-030-65854-0_3" TargetMode="External"/><Relationship Id="rId1668" Type="http://schemas.openxmlformats.org/officeDocument/2006/relationships/hyperlink" Target="http://link.springer.com/book/10.1007/978-3-031-09357-9" TargetMode="External"/><Relationship Id="rId1875" Type="http://schemas.openxmlformats.org/officeDocument/2006/relationships/hyperlink" Target="https://www.scopus.com/inward/record.uri?eid=2-s2.0-85091426748&amp;doi=10.1080%2f17517575.2020.1824017&amp;partnerID=40&amp;md5=cda4cfb39edc69c3987dbadb2f2f44bf;http://dx.doi.org/10.1080/17517575.2020.1824017" TargetMode="External"/><Relationship Id="rId800" Type="http://schemas.openxmlformats.org/officeDocument/2006/relationships/hyperlink" Target="http://link.springer.com/article/10.1007/s40815-022-01248-5" TargetMode="External"/><Relationship Id="rId1223" Type="http://schemas.openxmlformats.org/officeDocument/2006/relationships/hyperlink" Target="https://www.sciencedirect.com/science/article/pii/S0950584922002403;http:/dx.doi.org/10.1016/j.infsof.2022.107131" TargetMode="External"/><Relationship Id="rId1430" Type="http://schemas.openxmlformats.org/officeDocument/2006/relationships/hyperlink" Target="https://www.scopus.com/inward/record.uri?eid=2-s2.0-85135844683&amp;doi=10.1109%2fSANER53432.2022.00093&amp;partnerID=40&amp;md5=62bde2afe6ae815cd0a60e016081683d;http://dx.doi.org/10.1109/SANER53432.2022.00093" TargetMode="External"/><Relationship Id="rId1528" Type="http://schemas.openxmlformats.org/officeDocument/2006/relationships/hyperlink" Target="http://link.springer.com/book/10.1007/978-981-16-2380-6" TargetMode="External"/><Relationship Id="rId1735" Type="http://schemas.openxmlformats.org/officeDocument/2006/relationships/hyperlink" Target="http://link.springer.com/book/10.1007/978-3-030-91983-2" TargetMode="External"/><Relationship Id="rId1942" Type="http://schemas.openxmlformats.org/officeDocument/2006/relationships/hyperlink" Target="http://link.springer.com/article/10.1007/s10664-021-09987-z" TargetMode="External"/><Relationship Id="rId27" Type="http://schemas.openxmlformats.org/officeDocument/2006/relationships/hyperlink" Target="https://www.scopus.com/inward/record.uri?eid=2-s2.0-85086381665&amp;doi=10.1016%2fj.jss.2020.110684&amp;partnerID=40&amp;md5=992a7eee002a59b3a9df05cff256dfc8;http://dx.doi.org/10.1016/j.jss.2020.110684" TargetMode="External"/><Relationship Id="rId1802" Type="http://schemas.openxmlformats.org/officeDocument/2006/relationships/hyperlink" Target="https://www.scopus.com/inward/record.uri?eid=2-s2.0-85130914931&amp;doi=10.1016%2fj.infsof.2022.106939&amp;partnerID=40&amp;md5=aff2dfe1953b66c3deb49d9a8d33cfc2;http://dx.doi.org/10.1016/j.infsof.2022.106939" TargetMode="External"/><Relationship Id="rId176" Type="http://schemas.openxmlformats.org/officeDocument/2006/relationships/hyperlink" Target="https://www.scopus.com/inward/record.uri?eid=2-s2.0-85138929045&amp;doi=10.1109%2fICECET55527.2022.9872968&amp;partnerID=40&amp;md5=52ac5a1450f66dbb285066b96f28b923;http://dx.doi.org/10.1109/ICECET55527.2022.9872968" TargetMode="External"/><Relationship Id="rId383" Type="http://schemas.openxmlformats.org/officeDocument/2006/relationships/hyperlink" Target="https://doi.org/10.1145/3340435.3342718;http:/dx.doi.org/10.1145/3340435.3342718" TargetMode="External"/><Relationship Id="rId590" Type="http://schemas.openxmlformats.org/officeDocument/2006/relationships/hyperlink" Target="https://www.sciencedirect.com/science/article/pii/S0164121220300881;http:/dx.doi.org/10.1016/j.jss.2020.110610" TargetMode="External"/><Relationship Id="rId2064" Type="http://schemas.openxmlformats.org/officeDocument/2006/relationships/hyperlink" Target="https://www.scopus.com/inward/record.uri?eid=2-s2.0-85091160754&amp;doi=10.1007%2f978-3-030-58793-2_2&amp;partnerID=40&amp;md5=9e7a917c890f19f7818464d7a3c8ab1e;http://dx.doi.org/10.1007/978-3-030-58793-2_2" TargetMode="External"/><Relationship Id="rId243" Type="http://schemas.openxmlformats.org/officeDocument/2006/relationships/hyperlink" Target="https://doi.org/10.1145/3542937;http:/dx.doi.org/10.1145/3542937" TargetMode="External"/><Relationship Id="rId450" Type="http://schemas.openxmlformats.org/officeDocument/2006/relationships/hyperlink" Target="https://www.scopus.com/inward/record.uri?eid=2-s2.0-85132434050&amp;doi=10.1109%2fICSE-Companion55297.2022.9793823&amp;partnerID=40&amp;md5=c6a0344b1e5ab02c263e4e5140c2d432;http://dx.doi.org/10.1109/ICSE-Companion55297.2022.9793823" TargetMode="External"/><Relationship Id="rId688" Type="http://schemas.openxmlformats.org/officeDocument/2006/relationships/hyperlink" Target="https://www.scopus.com/inward/record.uri?eid=2-s2.0-85137168457&amp;doi=10.18293%2fSEKE2022-009&amp;partnerID=40&amp;md5=91d9a9e3b89efa403d99868e2a43a0d7;http://dx.doi.org/10.18293/SEKE2022-009" TargetMode="External"/><Relationship Id="rId895" Type="http://schemas.openxmlformats.org/officeDocument/2006/relationships/hyperlink" Target="http://dx.doi.org/10.1109/SEAA.2018.00045" TargetMode="External"/><Relationship Id="rId1080" Type="http://schemas.openxmlformats.org/officeDocument/2006/relationships/hyperlink" Target="https://www.scopus.com/inward/record.uri?eid=2-s2.0-85140313968&amp;doi=10.1016%2fj.jss.2022.111524&amp;partnerID=40&amp;md5=e4388fc3234b17723764df2587024515;http://dx.doi.org/10.1016/j.jss.2022.111524" TargetMode="External"/><Relationship Id="rId2131" Type="http://schemas.openxmlformats.org/officeDocument/2006/relationships/hyperlink" Target="https://www.scopus.com/inward/record.uri?eid=2-s2.0-85125435603&amp;doi=10.1109%2fASE51524.2021.9678532&amp;partnerID=40&amp;md5=ae02d33b10018cb18d054d33466e0a23;http://dx.doi.org/10.1109/ASE51524.2021.9678532" TargetMode="External"/><Relationship Id="rId103" Type="http://schemas.openxmlformats.org/officeDocument/2006/relationships/hyperlink" Target="https://doi.org/10.1145/3416505.3423559;http:/dx.doi.org/10.1145/3416505.3423559" TargetMode="External"/><Relationship Id="rId310" Type="http://schemas.openxmlformats.org/officeDocument/2006/relationships/hyperlink" Target="https://www.scopus.com/inward/record.uri?eid=2-s2.0-85107653377&amp;doi=10.1016%2fj.jss.2021.110986&amp;partnerID=40&amp;md5=1d4f23a24b8e2a94ef969e4d1bc63859;http://dx.doi.org/10.1016/j.jss.2021.110986" TargetMode="External"/><Relationship Id="rId548" Type="http://schemas.openxmlformats.org/officeDocument/2006/relationships/hyperlink" Target="https://www.scopus.com/inward/record.uri?eid=2-s2.0-85139632016&amp;doi=10.1142%2fS0218194022500528&amp;partnerID=40&amp;md5=78a61bc2bc8a02f231d385a13f5a5a0e;http://dx.doi.org/10.1142/S0218194022500528" TargetMode="External"/><Relationship Id="rId755" Type="http://schemas.openxmlformats.org/officeDocument/2006/relationships/hyperlink" Target="https://www.scopus.com/inward/record.uri?eid=2-s2.0-85090125949&amp;partnerID=40&amp;md5=d66bb994a25467f9dcac357d2c9a228a" TargetMode="External"/><Relationship Id="rId962" Type="http://schemas.openxmlformats.org/officeDocument/2006/relationships/hyperlink" Target="https://www.scopus.com/inward/record.uri?eid=2-s2.0-85143443375&amp;doi=10.1109%2fSTC55697.2022.00020&amp;partnerID=40&amp;md5=7bc794e67cd0e17137ca00fd4783c72b;http://dx.doi.org/10.1109/STC55697.2022.00020" TargetMode="External"/><Relationship Id="rId1178" Type="http://schemas.openxmlformats.org/officeDocument/2006/relationships/hyperlink" Target="http://dx.doi.org/10.1109/ICSME46990.2020.00065" TargetMode="External"/><Relationship Id="rId1385" Type="http://schemas.openxmlformats.org/officeDocument/2006/relationships/hyperlink" Target="http://link.springer.com/article/10.1007/s38314-021-0733-5" TargetMode="External"/><Relationship Id="rId1592" Type="http://schemas.openxmlformats.org/officeDocument/2006/relationships/hyperlink" Target="http://dx.doi.org/10.1109/ICSSP.2019.00018" TargetMode="External"/><Relationship Id="rId91" Type="http://schemas.openxmlformats.org/officeDocument/2006/relationships/hyperlink" Target="http://link.springer.com/chapter/10.1007/978-981-19-1111-8_10" TargetMode="External"/><Relationship Id="rId408" Type="http://schemas.openxmlformats.org/officeDocument/2006/relationships/hyperlink" Target="https://www.scopus.com/inward/record.uri?eid=2-s2.0-85097430483&amp;doi=10.1007%2f978-3-030-62144-5_8&amp;partnerID=40&amp;md5=057effcab39470d07e01b230e2511b35;http://dx.doi.org/10.1007/978-3-030-62144-5_8" TargetMode="External"/><Relationship Id="rId615" Type="http://schemas.openxmlformats.org/officeDocument/2006/relationships/hyperlink" Target="https://doi.org/10.1109/ICPC.2019.00023;http:/dx.doi.org/10.1109/ICPC.2019.00023" TargetMode="External"/><Relationship Id="rId822" Type="http://schemas.openxmlformats.org/officeDocument/2006/relationships/hyperlink" Target="https://www.scopus.com/inward/record.uri?eid=2-s2.0-85134470450&amp;doi=10.1080%2f0960085X.2022.2088413&amp;partnerID=40&amp;md5=3a94c12ed8b85afa521143bbf56b05fc;http://dx.doi.org/10.1080/0960085X.2022.2088413" TargetMode="External"/><Relationship Id="rId1038" Type="http://schemas.openxmlformats.org/officeDocument/2006/relationships/hyperlink" Target="https://www.scopus.com/inward/record.uri?eid=2-s2.0-85132947805&amp;doi=10.1007%2f978-3-319-45145-9_1&amp;partnerID=40&amp;md5=7bc3f9f86d98c42cb33f6c74bb7fa378;http://dx.doi.org/10.1007/978-3-319-45145-9_1" TargetMode="External"/><Relationship Id="rId1245" Type="http://schemas.openxmlformats.org/officeDocument/2006/relationships/hyperlink" Target="http://link.springer.com/book/10.1007/978-3-031-19756-7" TargetMode="External"/><Relationship Id="rId1452" Type="http://schemas.openxmlformats.org/officeDocument/2006/relationships/hyperlink" Target="https://doi.org/10.1145/3140549.3140556;http:/dx.doi.org/10.1145/3140549.3140556" TargetMode="External"/><Relationship Id="rId1897" Type="http://schemas.openxmlformats.org/officeDocument/2006/relationships/hyperlink" Target="https://www.scopus.com/inward/record.uri?eid=2-s2.0-85116420916&amp;doi=10.1109%2fIJCNN52387.2021.9534423&amp;partnerID=40&amp;md5=7ca186b49cb61cfb0ead5d3f5c4bfbb5;http://dx.doi.org/10.1109/IJCNN52387.2021.9534423" TargetMode="External"/><Relationship Id="rId1105" Type="http://schemas.openxmlformats.org/officeDocument/2006/relationships/hyperlink" Target="http://dx.doi.org/10.1109/IWESEP.2018.00010" TargetMode="External"/><Relationship Id="rId1312" Type="http://schemas.openxmlformats.org/officeDocument/2006/relationships/hyperlink" Target="https://doi.org/10.1145/2896995.2896999;http:/dx.doi.org/10.1145/2896995.2896999" TargetMode="External"/><Relationship Id="rId1757" Type="http://schemas.openxmlformats.org/officeDocument/2006/relationships/hyperlink" Target="https://doi.org/10.1145/3487043;http:/dx.doi.org/10.1145/3487043" TargetMode="External"/><Relationship Id="rId1964" Type="http://schemas.openxmlformats.org/officeDocument/2006/relationships/hyperlink" Target="https://www.scopus.com/inward/record.uri?eid=2-s2.0-85047767117&amp;doi=10.1109%2fBigData.2017.8258038&amp;partnerID=40&amp;md5=0b882281e71e8e42326196b28d0e983f;http://dx.doi.org/10.1109/BigData.2017.8258038" TargetMode="External"/><Relationship Id="rId49" Type="http://schemas.openxmlformats.org/officeDocument/2006/relationships/hyperlink" Target="http://link.springer.com/article/10.1007/s42979-020-00405-7" TargetMode="External"/><Relationship Id="rId1617" Type="http://schemas.openxmlformats.org/officeDocument/2006/relationships/hyperlink" Target="http://dx.doi.org/10.1109/MS.2019.2933685" TargetMode="External"/><Relationship Id="rId1824" Type="http://schemas.openxmlformats.org/officeDocument/2006/relationships/hyperlink" Target="https://www.scopus.com/inward/record.uri?eid=2-s2.0-85123681647&amp;doi=10.1109%2fTBDATA.2019.2921774&amp;partnerID=40&amp;md5=6e88382f167f730e2264f02d89055666;http://dx.doi.org/10.1109/TBDATA.2019.2921774" TargetMode="External"/><Relationship Id="rId198" Type="http://schemas.openxmlformats.org/officeDocument/2006/relationships/hyperlink" Target="https://www.scopus.com/inward/record.uri?eid=2-s2.0-85070263786&amp;doi=10.23919%2fMIPRO.2019.08757009&amp;partnerID=40&amp;md5=d4b7f9ee8e229027939dd158c6a6fdb5;http://dx.doi.org/10.23919/MIPRO.2019.08757009" TargetMode="External"/><Relationship Id="rId2086" Type="http://schemas.openxmlformats.org/officeDocument/2006/relationships/hyperlink" Target="http://link.springer.com/book/10.1007/978-3-030-72654-6" TargetMode="External"/><Relationship Id="rId265" Type="http://schemas.openxmlformats.org/officeDocument/2006/relationships/hyperlink" Target="https://www.scopus.com/inward/record.uri?eid=2-s2.0-85090415543&amp;doi=10.1145%2f3394486.3403379&amp;partnerID=40&amp;md5=c03835156d04ea2af102deec309a9c91;http://dx.doi.org/10.1145/3394486.3403379" TargetMode="External"/><Relationship Id="rId472" Type="http://schemas.openxmlformats.org/officeDocument/2006/relationships/hyperlink" Target="http://link.springer.com/book/10.1007/978-3-031-07704-3" TargetMode="External"/><Relationship Id="rId2153" Type="http://schemas.openxmlformats.org/officeDocument/2006/relationships/hyperlink" Target="http://link.springer.com/chapter/10.1007/978-3-319-57633-6_2" TargetMode="External"/><Relationship Id="rId125" Type="http://schemas.openxmlformats.org/officeDocument/2006/relationships/hyperlink" Target="https://www.sciencedirect.com/science/article/pii/S016412122100128X;http:/dx.doi.org/10.1016/j.jss.2021.111031" TargetMode="External"/><Relationship Id="rId332" Type="http://schemas.openxmlformats.org/officeDocument/2006/relationships/hyperlink" Target="https://www.scopus.com/inward/record.uri?eid=2-s2.0-85142688414&amp;doi=10.1007%2f978-3-031-21388-5_51&amp;partnerID=40&amp;md5=56790ac98ea4f9733cca41a00bfca010;http://dx.doi.org/10.1007/978-3-031-21388-5_51" TargetMode="External"/><Relationship Id="rId777" Type="http://schemas.openxmlformats.org/officeDocument/2006/relationships/hyperlink" Target="http://link.springer.com/book/10.1007/978-3-319-91797-9" TargetMode="External"/><Relationship Id="rId984" Type="http://schemas.openxmlformats.org/officeDocument/2006/relationships/hyperlink" Target="http://link.springer.com/article/10.1007/s10664-022-10119-4" TargetMode="External"/><Relationship Id="rId2013" Type="http://schemas.openxmlformats.org/officeDocument/2006/relationships/hyperlink" Target="https://www.scopus.com/inward/record.uri?eid=2-s2.0-85097157302&amp;doi=10.1145%2f3368089.3417919&amp;partnerID=40&amp;md5=81eae8f84ae4ad1536ef68dbed950e74;http://dx.doi.org/10.1145/3368089.3417919" TargetMode="External"/><Relationship Id="rId637" Type="http://schemas.openxmlformats.org/officeDocument/2006/relationships/hyperlink" Target="http://link.springer.com/book/10.1007/978-3-030-26250-1" TargetMode="External"/><Relationship Id="rId844" Type="http://schemas.openxmlformats.org/officeDocument/2006/relationships/hyperlink" Target="http://link.springer.com/book/10.1007/978-3-030-73758-0" TargetMode="External"/><Relationship Id="rId1267" Type="http://schemas.openxmlformats.org/officeDocument/2006/relationships/hyperlink" Target="https://www.scopus.com/inward/record.uri?eid=2-s2.0-85006456778&amp;doi=10.1007%2f978-3-319-50478-0_10&amp;partnerID=40&amp;md5=4c4373897f09d45e54249bb2d656efc0;http://dx.doi.org/10.1007/978-3-319-50478-0_10" TargetMode="External"/><Relationship Id="rId1474" Type="http://schemas.openxmlformats.org/officeDocument/2006/relationships/hyperlink" Target="https://www.scopus.com/inward/record.uri?eid=2-s2.0-84989960497&amp;doi=10.1145%2f2910896.2910904&amp;partnerID=40&amp;md5=0fb5f4d318a0d7ba5d6a5a314d6be2f3;http://dx.doi.org/10.1145/2910896.2910904" TargetMode="External"/><Relationship Id="rId1681" Type="http://schemas.openxmlformats.org/officeDocument/2006/relationships/hyperlink" Target="http://dx.doi.org/10.1007/s10515-022-00358-6" TargetMode="External"/><Relationship Id="rId704" Type="http://schemas.openxmlformats.org/officeDocument/2006/relationships/hyperlink" Target="https://www.scopus.com/inward/record.uri?eid=2-s2.0-85141687357&amp;doi=10.1007%2f978-3-031-18461-1_10&amp;partnerID=40&amp;md5=e0dcff8ddb04c6d6c4314b57f711be75;http://dx.doi.org/10.1007/978-3-031-18461-1_10" TargetMode="External"/><Relationship Id="rId911" Type="http://schemas.openxmlformats.org/officeDocument/2006/relationships/hyperlink" Target="http://link.springer.com/article/10.1007/s10664-016-9460-6" TargetMode="External"/><Relationship Id="rId1127" Type="http://schemas.openxmlformats.org/officeDocument/2006/relationships/hyperlink" Target="http://dx.doi.org/10.1109/MC.2022.3183705" TargetMode="External"/><Relationship Id="rId1334" Type="http://schemas.openxmlformats.org/officeDocument/2006/relationships/hyperlink" Target="https://doi.org/10.1145/3522664.3528611;http:/dx.doi.org/10.1145/3522664.3528611" TargetMode="External"/><Relationship Id="rId1541" Type="http://schemas.openxmlformats.org/officeDocument/2006/relationships/hyperlink" Target="https://www.scopus.com/inward/record.uri?eid=2-s2.0-85108962461&amp;doi=10.1145%2f3448016.3457566&amp;partnerID=40&amp;md5=5457d9aba01d113608abd8913c746563;http://dx.doi.org/10.1145/3448016.3457566" TargetMode="External"/><Relationship Id="rId1779" Type="http://schemas.openxmlformats.org/officeDocument/2006/relationships/hyperlink" Target="https://www.scopus.com/inward/record.uri?eid=2-s2.0-85137414123&amp;doi=10.3390%2felectronics11162485&amp;partnerID=40&amp;md5=4d514e3ac1a30021822ef2d6f0b908b2;http://dx.doi.org/10.3390/electronics11162485" TargetMode="External"/><Relationship Id="rId1986" Type="http://schemas.openxmlformats.org/officeDocument/2006/relationships/hyperlink" Target="https://doi.org/10.1145/3387904.3389259;http:/dx.doi.org/10.1145/3387904.3389259" TargetMode="External"/><Relationship Id="rId40" Type="http://schemas.openxmlformats.org/officeDocument/2006/relationships/hyperlink" Target="https://www.scopus.com/inward/record.uri?eid=2-s2.0-85124255974&amp;doi=10.3390%2fmachines10010023&amp;partnerID=40&amp;md5=28d3d472ad035d91998efc6df04c705e;http://dx.doi.org/10.3390/machines10010023" TargetMode="External"/><Relationship Id="rId1401" Type="http://schemas.openxmlformats.org/officeDocument/2006/relationships/hyperlink" Target="https://www.scopus.com/inward/record.uri?eid=2-s2.0-85127693591&amp;doi=10.1109%2fAIKE52691.2021.00010&amp;partnerID=40&amp;md5=ab80be2a0ca9fc311ecc098c76e85efe;http://dx.doi.org/10.1109/AIKE52691.2021.00010" TargetMode="External"/><Relationship Id="rId1639" Type="http://schemas.openxmlformats.org/officeDocument/2006/relationships/hyperlink" Target="http://link.springer.com/article/10.1007/s11219-017-9363-9" TargetMode="External"/><Relationship Id="rId1846" Type="http://schemas.openxmlformats.org/officeDocument/2006/relationships/hyperlink" Target="http://link.springer.com/book/10.1007/978-3-031-15559-8" TargetMode="External"/><Relationship Id="rId1706" Type="http://schemas.openxmlformats.org/officeDocument/2006/relationships/hyperlink" Target="https://doi.org/10.1145/2896941.2896954;http:/dx.doi.org/10.1145/2896941.2896954" TargetMode="External"/><Relationship Id="rId1913" Type="http://schemas.openxmlformats.org/officeDocument/2006/relationships/hyperlink" Target="https://doi.org/10.1145/3463274.3463335;http:/dx.doi.org/10.1145/3463274.3463335" TargetMode="External"/><Relationship Id="rId287" Type="http://schemas.openxmlformats.org/officeDocument/2006/relationships/hyperlink" Target="http://link.springer.com/article/10.1007/s10664-021-10081-7" TargetMode="External"/><Relationship Id="rId494" Type="http://schemas.openxmlformats.org/officeDocument/2006/relationships/hyperlink" Target="https://www.scopus.com/inward/record.uri?eid=2-s2.0-85145552474&amp;doi=10.1016%2fj.infsof.2022.107116&amp;partnerID=40&amp;md5=63fb58b47d0f5d42d267e2dec0fbadd7;http://dx.doi.org/10.1016/j.infsof.2022.107116" TargetMode="External"/><Relationship Id="rId2175" Type="http://schemas.openxmlformats.org/officeDocument/2006/relationships/hyperlink" Target="https://doi.org/10.1145/3434280;http:/dx.doi.org/10.1145/3434280" TargetMode="External"/><Relationship Id="rId147" Type="http://schemas.openxmlformats.org/officeDocument/2006/relationships/hyperlink" Target="https://doi.org/10.1145/3505243;http:/dx.doi.org/10.1145/3505243" TargetMode="External"/><Relationship Id="rId354" Type="http://schemas.openxmlformats.org/officeDocument/2006/relationships/hyperlink" Target="https://www.scopus.com/inward/record.uri?eid=2-s2.0-85132038889&amp;doi=10.1109%2fICSA53651.2022.00017&amp;partnerID=40&amp;md5=f41006061ada3ac78eb59d7d797684be;http://dx.doi.org/10.1109/ICSA53651.2022.00017" TargetMode="External"/><Relationship Id="rId799" Type="http://schemas.openxmlformats.org/officeDocument/2006/relationships/hyperlink" Target="https://www.scopus.com/inward/record.uri?eid=2-s2.0-85125222267&amp;doi=10.1007%2fs40815-022-01248-5&amp;partnerID=40&amp;md5=9f7e9f99ac22a96db4a97550f0f8e2c5;http://dx.doi.org/10.1007/s40815-022-01248-5" TargetMode="External"/><Relationship Id="rId1191" Type="http://schemas.openxmlformats.org/officeDocument/2006/relationships/hyperlink" Target="https://www.scopus.com/inward/record.uri?eid=2-s2.0-85018335521&amp;doi=10.1109%2fMALTESQUE.2017.7882010&amp;partnerID=40&amp;md5=a6a21b4f125c8915806da549565f8ca7;http://dx.doi.org/10.1109/MALTESQUE.2017.7882010" TargetMode="External"/><Relationship Id="rId2035" Type="http://schemas.openxmlformats.org/officeDocument/2006/relationships/hyperlink" Target="https://www.scopus.com/inward/record.uri?eid=2-s2.0-85135840854&amp;doi=10.1109%2fSANER53432.2022.00090&amp;partnerID=40&amp;md5=63f51861cf572d4cbaa31fb89269b825;http://dx.doi.org/10.1109/SANER53432.2022.00090" TargetMode="External"/><Relationship Id="rId561" Type="http://schemas.openxmlformats.org/officeDocument/2006/relationships/hyperlink" Target="http://link.springer.com/article/10.1007/s10664-021-10099-x" TargetMode="External"/><Relationship Id="rId659" Type="http://schemas.openxmlformats.org/officeDocument/2006/relationships/hyperlink" Target="https://www.sciencedirect.com/science/article/pii/S0065245816300717;http:/dx.doi.org/10.1016/S0065-2458(16)30071-7" TargetMode="External"/><Relationship Id="rId866" Type="http://schemas.openxmlformats.org/officeDocument/2006/relationships/hyperlink" Target="http://link.springer.com/book/10.1007/978-3-031-04580-6" TargetMode="External"/><Relationship Id="rId1289" Type="http://schemas.openxmlformats.org/officeDocument/2006/relationships/hyperlink" Target="http://link.springer.com/chapter/10.1007/978-3-662-58485-9_13" TargetMode="External"/><Relationship Id="rId1496" Type="http://schemas.openxmlformats.org/officeDocument/2006/relationships/hyperlink" Target="https://www.scopus.com/inward/record.uri?eid=2-s2.0-85113692154&amp;doi=10.1109%2fMSR52588.2021.00059&amp;partnerID=40&amp;md5=e3b61bb3742bb8a903734d99f7ac9a6f;http://dx.doi.org/10.1109/MSR52588.2021.00059" TargetMode="External"/><Relationship Id="rId214" Type="http://schemas.openxmlformats.org/officeDocument/2006/relationships/hyperlink" Target="http://link.springer.com/book/10.1007/978-3-031-16281-7" TargetMode="External"/><Relationship Id="rId421" Type="http://schemas.openxmlformats.org/officeDocument/2006/relationships/hyperlink" Target="https://www.scopus.com/inward/record.uri?eid=2-s2.0-85135854723&amp;doi=10.1109%2fSANER53432.2022.00094&amp;partnerID=40&amp;md5=4c9da8d1316ef9598988ead9e9825b79;http://dx.doi.org/10.1109/SANER53432.2022.00094" TargetMode="External"/><Relationship Id="rId519" Type="http://schemas.openxmlformats.org/officeDocument/2006/relationships/hyperlink" Target="https://www.scopus.com/inward/record.uri?eid=2-s2.0-85051376098&amp;doi=10.1109%2fTSE.2018.2864217&amp;partnerID=40&amp;md5=a3523e1e2bc2dc31efb5d92f98a36d08;http://dx.doi.org/10.1109/TSE.2018.2864217" TargetMode="External"/><Relationship Id="rId1051" Type="http://schemas.openxmlformats.org/officeDocument/2006/relationships/hyperlink" Target="http://link.springer.com/chapter/10.1007/978-3-030-65854-0_5" TargetMode="External"/><Relationship Id="rId1149" Type="http://schemas.openxmlformats.org/officeDocument/2006/relationships/hyperlink" Target="http://dx.doi.org/10.1109/TSE.2019.2949275" TargetMode="External"/><Relationship Id="rId1356" Type="http://schemas.openxmlformats.org/officeDocument/2006/relationships/hyperlink" Target="https://www.scopus.com/inward/record.uri?eid=2-s2.0-85138821813&amp;doi=10.1016%2fj.dsm.2022.07.004&amp;partnerID=40&amp;md5=348c88078d7989ba95bacfb5871756d6;http://dx.doi.org/10.1016/j.dsm.2022.07.004" TargetMode="External"/><Relationship Id="rId2102" Type="http://schemas.openxmlformats.org/officeDocument/2006/relationships/hyperlink" Target="http://link.springer.com/article/10.1007/s00766-016-0253-7" TargetMode="External"/><Relationship Id="rId726" Type="http://schemas.openxmlformats.org/officeDocument/2006/relationships/hyperlink" Target="https://doi.org/10.1145/3522664.3528621;http:/dx.doi.org/10.1145/3522664.3528621" TargetMode="External"/><Relationship Id="rId933" Type="http://schemas.openxmlformats.org/officeDocument/2006/relationships/hyperlink" Target="https://www.scopus.com/inward/record.uri?eid=2-s2.0-85040782895&amp;doi=10.1109%2fISSRE.2017.43&amp;partnerID=40&amp;md5=56b04acac5fa471e025030e5aa70d5fb;http://dx.doi.org/10.1109/ISSRE.2017.43" TargetMode="External"/><Relationship Id="rId1009" Type="http://schemas.openxmlformats.org/officeDocument/2006/relationships/hyperlink" Target="https://doi.org/10.1145/3474370.3485656;http:/dx.doi.org/10.1145/3474370.3485656" TargetMode="External"/><Relationship Id="rId1563" Type="http://schemas.openxmlformats.org/officeDocument/2006/relationships/hyperlink" Target="https://www.sciencedirect.com/science/article/pii/S2212827122014986;http:/dx.doi.org/10.1016/j.procir.2022.10.063" TargetMode="External"/><Relationship Id="rId1770" Type="http://schemas.openxmlformats.org/officeDocument/2006/relationships/hyperlink" Target="https://www.scopus.com/inward/record.uri?eid=2-s2.0-85101612111&amp;doi=10.7717%2fPEERJ-CS.372&amp;partnerID=40&amp;md5=3689250207ed4ea47f652e14926515df;http://dx.doi.org/10.7717/PEERJ-CS.372" TargetMode="External"/><Relationship Id="rId1868" Type="http://schemas.openxmlformats.org/officeDocument/2006/relationships/hyperlink" Target="http://dx.doi.org/10.1145/3524843.3528094" TargetMode="External"/><Relationship Id="rId62" Type="http://schemas.openxmlformats.org/officeDocument/2006/relationships/hyperlink" Target="https://www.scopus.com/inward/record.uri?eid=2-s2.0-85106207514&amp;doi=10.1007%2fs11219-021-09555-0&amp;partnerID=40&amp;md5=b0ecf71985d4ef4c10438eabe73da349;http://dx.doi.org/10.1007/s11219-021-09555-0" TargetMode="External"/><Relationship Id="rId1216" Type="http://schemas.openxmlformats.org/officeDocument/2006/relationships/hyperlink" Target="http://link.springer.com/chapter/10.1007/978-1-4302-6599-3_9" TargetMode="External"/><Relationship Id="rId1423" Type="http://schemas.openxmlformats.org/officeDocument/2006/relationships/hyperlink" Target="http://dx.doi.org/10.1007/s10515-021-00314-w" TargetMode="External"/><Relationship Id="rId1630" Type="http://schemas.openxmlformats.org/officeDocument/2006/relationships/hyperlink" Target="http://dx.doi.org/10.1109/Cluster48925.2021.00053" TargetMode="External"/><Relationship Id="rId1728" Type="http://schemas.openxmlformats.org/officeDocument/2006/relationships/hyperlink" Target="http://link.springer.com/book/10.1007/978-3-030-86044-8" TargetMode="External"/><Relationship Id="rId1935" Type="http://schemas.openxmlformats.org/officeDocument/2006/relationships/hyperlink" Target="http://link.springer.com/book/10.1007/978-3-031-01761-2" TargetMode="External"/><Relationship Id="rId169" Type="http://schemas.openxmlformats.org/officeDocument/2006/relationships/hyperlink" Target="https://www.scopus.com/inward/record.uri?eid=2-s2.0-85089026459&amp;doi=10.1155%2f2020%2f8830683&amp;partnerID=40&amp;md5=e03293835a3c5c6a7fa7ff50fa182fad;http://dx.doi.org/10.1155/2020/8830683" TargetMode="External"/><Relationship Id="rId376" Type="http://schemas.openxmlformats.org/officeDocument/2006/relationships/hyperlink" Target="http://link.springer.com/chapter/10.1007/978-3-030-95041-5_2" TargetMode="External"/><Relationship Id="rId583" Type="http://schemas.openxmlformats.org/officeDocument/2006/relationships/hyperlink" Target="http://link.springer.com/chapter/10.1007/978-981-15-7984-4_37" TargetMode="External"/><Relationship Id="rId790" Type="http://schemas.openxmlformats.org/officeDocument/2006/relationships/hyperlink" Target="https://www.scopus.com/inward/record.uri?eid=2-s2.0-85143501730&amp;doi=10.1016%2fj.infsof.2022.107112&amp;partnerID=40&amp;md5=9e857fb22bc1228dbbe79b75d3b7a639;http://dx.doi.org/10.1016/j.infsof.2022.107112" TargetMode="External"/><Relationship Id="rId2057" Type="http://schemas.openxmlformats.org/officeDocument/2006/relationships/hyperlink" Target="https://www.scopus.com/inward/record.uri?eid=2-s2.0-85098553455&amp;doi=10.1145%2f3377812.3381404&amp;partnerID=40&amp;md5=49bd90bdd795d70e30576d4806605075;http://dx.doi.org/10.1145/3377812.3381404" TargetMode="External"/><Relationship Id="rId4" Type="http://schemas.openxmlformats.org/officeDocument/2006/relationships/hyperlink" Target="http://dx.doi.org/10.1109/TSE.2019.2960169" TargetMode="External"/><Relationship Id="rId236" Type="http://schemas.openxmlformats.org/officeDocument/2006/relationships/hyperlink" Target="http://dx.doi.org/10.1109/MS.2022.3196208" TargetMode="External"/><Relationship Id="rId443" Type="http://schemas.openxmlformats.org/officeDocument/2006/relationships/hyperlink" Target="http://link.springer.com/book/10.1007/978-981-16-6069-6" TargetMode="External"/><Relationship Id="rId650" Type="http://schemas.openxmlformats.org/officeDocument/2006/relationships/hyperlink" Target="https://www.scopus.com/inward/record.uri?eid=2-s2.0-85133116259&amp;doi=10.1007%2fs11219-021-09557-y&amp;partnerID=40&amp;md5=e24fca2c7254408c8ac21156402db9a3;http://dx.doi.org/10.1007/s11219-021-09557-y" TargetMode="External"/><Relationship Id="rId888" Type="http://schemas.openxmlformats.org/officeDocument/2006/relationships/hyperlink" Target="http://dx.doi.org/10.1109/ACCESS.2020.2996951" TargetMode="External"/><Relationship Id="rId1073" Type="http://schemas.openxmlformats.org/officeDocument/2006/relationships/hyperlink" Target="https://doi.org/10.1145/3377813.3381358;http:/dx.doi.org/10.1145/3377813.3381358" TargetMode="External"/><Relationship Id="rId1280" Type="http://schemas.openxmlformats.org/officeDocument/2006/relationships/hyperlink" Target="https://www.scopus.com/inward/record.uri?eid=2-s2.0-85059611960&amp;doi=10.1016%2fj.infsof.2018.12.009&amp;partnerID=40&amp;md5=ddf6879e8500278d15f295f277320b23;http://dx.doi.org/10.1016/j.infsof.2018.12.009" TargetMode="External"/><Relationship Id="rId2124" Type="http://schemas.openxmlformats.org/officeDocument/2006/relationships/hyperlink" Target="http://link.springer.com/chapter/10.1007/978-3-030-91279-6_4" TargetMode="External"/><Relationship Id="rId303" Type="http://schemas.openxmlformats.org/officeDocument/2006/relationships/hyperlink" Target="https://doi.org/10.1109/ICPC.2017.38;http:/dx.doi.org/10.1109/ICPC.2017.38" TargetMode="External"/><Relationship Id="rId748" Type="http://schemas.openxmlformats.org/officeDocument/2006/relationships/hyperlink" Target="https://www.scopus.com/inward/record.uri?eid=2-s2.0-85108905885&amp;doi=10.1145%2f3463274.3464455&amp;partnerID=40&amp;md5=72d95961bb20e726db887900f1cb3f6d;http://dx.doi.org/10.1145/3463274.3464455" TargetMode="External"/><Relationship Id="rId955" Type="http://schemas.openxmlformats.org/officeDocument/2006/relationships/hyperlink" Target="http://link.springer.com/article/10.1007/s10664-022-10224-4" TargetMode="External"/><Relationship Id="rId1140" Type="http://schemas.openxmlformats.org/officeDocument/2006/relationships/hyperlink" Target="https://www.scopus.com/inward/record.uri?eid=2-s2.0-85067631360&amp;doi=10.1145%2f3290605.3300830&amp;partnerID=40&amp;md5=f1365b81c262fe8ade9bfc485ab8ae11;http://dx.doi.org/10.1145/3290605.3300830" TargetMode="External"/><Relationship Id="rId1378" Type="http://schemas.openxmlformats.org/officeDocument/2006/relationships/hyperlink" Target="http://link.springer.com/article/10.1007/s10609-023-09451-1" TargetMode="External"/><Relationship Id="rId1585" Type="http://schemas.openxmlformats.org/officeDocument/2006/relationships/hyperlink" Target="https://www.scopus.com/inward/record.uri?eid=2-s2.0-85127505809&amp;doi=10.1109%2fACCESS.2022.3162863&amp;partnerID=40&amp;md5=0728d4f1754264db03e8492a6dee1ef2;http://dx.doi.org/10.1109/ACCESS.2022.3162863" TargetMode="External"/><Relationship Id="rId1792" Type="http://schemas.openxmlformats.org/officeDocument/2006/relationships/hyperlink" Target="https://www.scopus.com/inward/record.uri?eid=2-s2.0-85130578634&amp;doi=10.1145%2f3491102.3517537&amp;partnerID=40&amp;md5=1b63920694e882a66ec29dccf3453ef9;http://dx.doi.org/10.1145/3491102.3517537" TargetMode="External"/><Relationship Id="rId84" Type="http://schemas.openxmlformats.org/officeDocument/2006/relationships/hyperlink" Target="https://www.scopus.com/inward/record.uri?eid=2-s2.0-85108908952&amp;doi=10.1145%2f3463274.3463325&amp;partnerID=40&amp;md5=60491fb66bd1538f1f429e96ba5627cd;http://dx.doi.org/10.1145/3463274.3463325" TargetMode="External"/><Relationship Id="rId510" Type="http://schemas.openxmlformats.org/officeDocument/2006/relationships/hyperlink" Target="https://www.scopus.com/inward/record.uri?eid=2-s2.0-85137987405&amp;doi=10.1007%2f978-3-031-14179-9_11&amp;partnerID=40&amp;md5=3310f3bcde2403572c5a9cfda7ee46d0;http://dx.doi.org/10.1007/978-3-031-14179-9_11" TargetMode="External"/><Relationship Id="rId608" Type="http://schemas.openxmlformats.org/officeDocument/2006/relationships/hyperlink" Target="https://www.scopus.com/inward/record.uri?eid=2-s2.0-85088924536&amp;doi=10.1016%2fj.jss.2020.110754&amp;partnerID=40&amp;md5=bafd6729f307832361257c34cbdf8685;http://dx.doi.org/10.1016/j.jss.2020.110754" TargetMode="External"/><Relationship Id="rId815" Type="http://schemas.openxmlformats.org/officeDocument/2006/relationships/hyperlink" Target="https://www.scopus.com/inward/record.uri?eid=2-s2.0-85096542234&amp;doi=10.23919%2fSoftCOM50211.2020.9238323&amp;partnerID=40&amp;md5=6612d13b9513b6b707ab84dc29b3cf68;http://dx.doi.org/10.23919/SoftCOM50211.2020.9238323" TargetMode="External"/><Relationship Id="rId1238" Type="http://schemas.openxmlformats.org/officeDocument/2006/relationships/hyperlink" Target="http://dx.doi.org/10.1109/SCAM.2019.00029" TargetMode="External"/><Relationship Id="rId1445" Type="http://schemas.openxmlformats.org/officeDocument/2006/relationships/hyperlink" Target="https://www.scopus.com/inward/record.uri?eid=2-s2.0-85136467284&amp;doi=10.1016%2fj.jss.2022.111475&amp;partnerID=40&amp;md5=9e3462d0a71d4fe859f0ab8331727169;http://dx.doi.org/10.1016/j.jss.2022.111475" TargetMode="External"/><Relationship Id="rId1652" Type="http://schemas.openxmlformats.org/officeDocument/2006/relationships/hyperlink" Target="https://www.scopus.com/inward/record.uri?eid=2-s2.0-85115663250&amp;doi=10.1145%2f3460231.3474616&amp;partnerID=40&amp;md5=711f74c0b36c14623717196a1238efa3;http://dx.doi.org/10.1145/3460231.3474616" TargetMode="External"/><Relationship Id="rId1000" Type="http://schemas.openxmlformats.org/officeDocument/2006/relationships/hyperlink" Target="https://ieeexplore.ieee.org/document/9821778;http:/dx.doi.org/10.1002/9781119513957.fmatter" TargetMode="External"/><Relationship Id="rId1305" Type="http://schemas.openxmlformats.org/officeDocument/2006/relationships/hyperlink" Target="http://dx.doi.org/10.1109/JPROC.2022.3175070" TargetMode="External"/><Relationship Id="rId1957" Type="http://schemas.openxmlformats.org/officeDocument/2006/relationships/hyperlink" Target="http://link.springer.com/chapter/10.1007/978-3-030-69970-3_12" TargetMode="External"/><Relationship Id="rId1512" Type="http://schemas.openxmlformats.org/officeDocument/2006/relationships/hyperlink" Target="https://www.scopus.com/inward/record.uri?eid=2-s2.0-85129765694&amp;doi=10.1145%2f3491101.3519724&amp;partnerID=40&amp;md5=78845bac017e1f1e34591118a2c1221c;http://dx.doi.org/10.1145/3491101.3519724" TargetMode="External"/><Relationship Id="rId1817" Type="http://schemas.openxmlformats.org/officeDocument/2006/relationships/hyperlink" Target="http://link.springer.com/book/10.1007/978-3-031-22941-1" TargetMode="External"/><Relationship Id="rId11" Type="http://schemas.openxmlformats.org/officeDocument/2006/relationships/hyperlink" Target="https://www.scopus.com/inward/record.uri?eid=2-s2.0-85143052180&amp;doi=10.1145%2f3540250.3549088&amp;partnerID=40&amp;md5=221e967fa43a46b13ca4902687512b64;http://dx.doi.org/10.1145/3540250.3549088" TargetMode="External"/><Relationship Id="rId398" Type="http://schemas.openxmlformats.org/officeDocument/2006/relationships/hyperlink" Target="https://www.scopus.com/inward/record.uri?eid=2-s2.0-85132395661&amp;doi=10.1109%2fICSE-Companion55297.2022.9793798&amp;partnerID=40&amp;md5=8340ae7a93b28121554e6125d6f393e4;http://dx.doi.org/10.1109/ICSE-Companion55297.2022.9793798" TargetMode="External"/><Relationship Id="rId2079" Type="http://schemas.openxmlformats.org/officeDocument/2006/relationships/hyperlink" Target="http://link.springer.com/chapter/10.1007/978-3-031-04819-7_40" TargetMode="External"/><Relationship Id="rId160" Type="http://schemas.openxmlformats.org/officeDocument/2006/relationships/hyperlink" Target="http://dx.doi.org/10.1109/TSE.2018.2880977" TargetMode="External"/><Relationship Id="rId258" Type="http://schemas.openxmlformats.org/officeDocument/2006/relationships/hyperlink" Target="https://www.scopus.com/inward/record.uri?eid=2-s2.0-85081550029&amp;doi=10.1007%2f978-3-030-40783-4_12&amp;partnerID=40&amp;md5=cb94fa62fd9b58db70b77925477cb13d;http://dx.doi.org/10.1007/978-3-030-40783-4_12" TargetMode="External"/><Relationship Id="rId465" Type="http://schemas.openxmlformats.org/officeDocument/2006/relationships/hyperlink" Target="https://www.scopus.com/inward/record.uri?eid=2-s2.0-85072781929&amp;doi=10.1109%2fBigDataCongress.2019.00025&amp;partnerID=40&amp;md5=d55f5a5347b43aa35291b1b926b0f294;http://dx.doi.org/10.1109/BigDataCongress.2019.00025" TargetMode="External"/><Relationship Id="rId672" Type="http://schemas.openxmlformats.org/officeDocument/2006/relationships/hyperlink" Target="https://www.scopus.com/inward/record.uri?eid=2-s2.0-85130682205&amp;doi=10.1145%2f3487571&amp;partnerID=40&amp;md5=24c28b573faab1626d25d89feb28de3b;http://dx.doi.org/10.1145/3487571" TargetMode="External"/><Relationship Id="rId1095" Type="http://schemas.openxmlformats.org/officeDocument/2006/relationships/hyperlink" Target="https://www.scopus.com/inward/record.uri?eid=2-s2.0-85144500788&amp;doi=10.1142%2fS0218194022500723&amp;partnerID=40&amp;md5=713fe1c3accb07320e0e1949420b2092;http://dx.doi.org/10.1142/S0218194022500723" TargetMode="External"/><Relationship Id="rId2146" Type="http://schemas.openxmlformats.org/officeDocument/2006/relationships/hyperlink" Target="https://www.scopus.com/inward/record.uri?eid=2-s2.0-85144557305&amp;doi=10.1016%2fj.jss.2022.111588&amp;partnerID=40&amp;md5=dabb3f2bf70e7b634ad2697de0abcf44;http://dx.doi.org/10.1016/j.jss.2022.111588" TargetMode="External"/><Relationship Id="rId118" Type="http://schemas.openxmlformats.org/officeDocument/2006/relationships/hyperlink" Target="https://www.scopus.com/inward/record.uri?eid=2-s2.0-84978468668&amp;doi=10.1145%2f2915970.2915984&amp;partnerID=40&amp;md5=66656129f0a56049b884530f9336e2ed;http://dx.doi.org/10.1145/2915970.2915984" TargetMode="External"/><Relationship Id="rId325" Type="http://schemas.openxmlformats.org/officeDocument/2006/relationships/hyperlink" Target="https://www.scopus.com/inward/record.uri?eid=2-s2.0-85055776066&amp;partnerID=40&amp;md5=048d0c1b42d42d95c277869704fdf551" TargetMode="External"/><Relationship Id="rId532" Type="http://schemas.openxmlformats.org/officeDocument/2006/relationships/hyperlink" Target="https://www.scopus.com/inward/record.uri?eid=2-s2.0-85117224711&amp;doi=10.1109%2fACCESS.2021.3117989&amp;partnerID=40&amp;md5=b0289930b94ea07486813c1cd5d909e5;http://dx.doi.org/10.1109/ACCESS.2021.3117989" TargetMode="External"/><Relationship Id="rId977" Type="http://schemas.openxmlformats.org/officeDocument/2006/relationships/hyperlink" Target="https://www.scopus.com/inward/record.uri?eid=2-s2.0-85106705949&amp;doi=10.1145%2f3411764.3445281&amp;partnerID=40&amp;md5=b0e7d32419277366862b05c59eabf106;http://dx.doi.org/10.1145/3411764.3445281" TargetMode="External"/><Relationship Id="rId1162" Type="http://schemas.openxmlformats.org/officeDocument/2006/relationships/hyperlink" Target="http://link.springer.com/article/10.1007/s11219-013-9225-z" TargetMode="External"/><Relationship Id="rId2006" Type="http://schemas.openxmlformats.org/officeDocument/2006/relationships/hyperlink" Target="https://www.scopus.com/inward/record.uri?eid=2-s2.0-85086144211&amp;doi=10.1007%2f978-3-030-49392-9_13&amp;partnerID=40&amp;md5=3b403cac917fe2ea2f03e4255dcb9087;http://dx.doi.org/10.1007/978-3-030-49392-9_13" TargetMode="External"/><Relationship Id="rId837" Type="http://schemas.openxmlformats.org/officeDocument/2006/relationships/hyperlink" Target="http://link.springer.com/book/10.1007/978-1-4842-7217-6" TargetMode="External"/><Relationship Id="rId1022" Type="http://schemas.openxmlformats.org/officeDocument/2006/relationships/hyperlink" Target="https://www.scopus.com/inward/record.uri?eid=2-s2.0-85134029487&amp;doi=10.1145%2f3524842.3528519&amp;partnerID=40&amp;md5=09d08d5a25188bca9d93d6035c878653;http://dx.doi.org/10.1145/3524842.3528519" TargetMode="External"/><Relationship Id="rId1467" Type="http://schemas.openxmlformats.org/officeDocument/2006/relationships/hyperlink" Target="https://www.sciencedirect.com/science/article/pii/B9780128002056000032;http:/dx.doi.org/10.1016/B978-0-12-800205-6.00003-2" TargetMode="External"/><Relationship Id="rId1674" Type="http://schemas.openxmlformats.org/officeDocument/2006/relationships/hyperlink" Target="https://www.scopus.com/inward/record.uri?eid=2-s2.0-85085726790&amp;doi=10.1007%2f978-3-030-43020-7_93&amp;partnerID=40&amp;md5=0275fc6a4cad37548d71c148f023c80e;http://dx.doi.org/10.1007/978-3-030-43020-7_93" TargetMode="External"/><Relationship Id="rId1881" Type="http://schemas.openxmlformats.org/officeDocument/2006/relationships/hyperlink" Target="https://www.scopus.com/inward/record.uri?eid=2-s2.0-85089668454&amp;doi=10.1016%2fj.jss.2020.110777&amp;partnerID=40&amp;md5=c5865fd97e7d4d15984d4e88ce60aad3;http://dx.doi.org/10.1016/j.jss.2020.110777" TargetMode="External"/><Relationship Id="rId904" Type="http://schemas.openxmlformats.org/officeDocument/2006/relationships/hyperlink" Target="https://www.scopus.com/inward/record.uri?eid=2-s2.0-85067344523&amp;doi=10.1007%2f978-3-030-20040-4_8&amp;partnerID=40&amp;md5=7f2f9c77e0da41f025c69a830f1fd01f;http://dx.doi.org/10.1007/978-3-030-20040-4_8" TargetMode="External"/><Relationship Id="rId1327" Type="http://schemas.openxmlformats.org/officeDocument/2006/relationships/hyperlink" Target="https://www.sciencedirect.com/science/article/pii/S2666827022000354;http:/dx.doi.org/10.1016/j.mlwa.2022.100316" TargetMode="External"/><Relationship Id="rId1534" Type="http://schemas.openxmlformats.org/officeDocument/2006/relationships/hyperlink" Target="http://link.springer.com/chapter/10.1007/978-3-031-15559-8_7" TargetMode="External"/><Relationship Id="rId1741" Type="http://schemas.openxmlformats.org/officeDocument/2006/relationships/hyperlink" Target="http://link.springer.com/chapter/10.1007/978-3-030-34706-2_5" TargetMode="External"/><Relationship Id="rId1979" Type="http://schemas.openxmlformats.org/officeDocument/2006/relationships/hyperlink" Target="http://link.springer.com/book/10.1007/978-1-4842-5729-6" TargetMode="External"/><Relationship Id="rId33" Type="http://schemas.openxmlformats.org/officeDocument/2006/relationships/hyperlink" Target="http://dx.doi.org/10.1109/DSN48987.2021.00026" TargetMode="External"/><Relationship Id="rId1601" Type="http://schemas.openxmlformats.org/officeDocument/2006/relationships/hyperlink" Target="https://www.scopus.com/inward/record.uri?eid=2-s2.0-85127582313&amp;doi=10.1109%2fTSE.2020.3007722&amp;partnerID=40&amp;md5=6c1d2b43f85bf226ddb7d2c2da6cce3c;http://dx.doi.org/10.1109/TSE.2020.3007722" TargetMode="External"/><Relationship Id="rId1839" Type="http://schemas.openxmlformats.org/officeDocument/2006/relationships/hyperlink" Target="https://www.scopus.com/inward/record.uri?eid=2-s2.0-85143977206&amp;doi=10.2174%2f2666255816666220609110712&amp;partnerID=40&amp;md5=4d4bca6f178d40ff4531940a93a67f66;http://dx.doi.org/10.2174/2666255816666220609110712" TargetMode="External"/><Relationship Id="rId182" Type="http://schemas.openxmlformats.org/officeDocument/2006/relationships/hyperlink" Target="https://www.scopus.com/inward/record.uri?eid=2-s2.0-85065870747&amp;doi=10.1007%2f978-3-030-19034-7_14&amp;partnerID=40&amp;md5=48c12ad7eda47dc0614198471e67b363;http://dx.doi.org/10.1007/978-3-030-19034-7_14" TargetMode="External"/><Relationship Id="rId1906" Type="http://schemas.openxmlformats.org/officeDocument/2006/relationships/hyperlink" Target="https://doi.org/10.1109/ICSE43902.2021.00125;http:/dx.doi.org/10.1109/ICSE43902.2021.00125" TargetMode="External"/><Relationship Id="rId487" Type="http://schemas.openxmlformats.org/officeDocument/2006/relationships/hyperlink" Target="http://dx.doi.org/10.1109/ICOSEC54921.2022.9951895" TargetMode="External"/><Relationship Id="rId694" Type="http://schemas.openxmlformats.org/officeDocument/2006/relationships/hyperlink" Target="https://www.scopus.com/inward/record.uri?eid=2-s2.0-85055440637&amp;doi=10.1109%2fCOMPSAC.2018.00017&amp;partnerID=40&amp;md5=f2c8270b95c3b4f3c7bf885ce6cb48fe;http://dx.doi.org/10.1109/COMPSAC.2018.00017" TargetMode="External"/><Relationship Id="rId2070" Type="http://schemas.openxmlformats.org/officeDocument/2006/relationships/hyperlink" Target="https://www.scopus.com/inward/record.uri?eid=2-s2.0-85121619577&amp;doi=10.1007%2fs42979-021-00726-1&amp;partnerID=40&amp;md5=47ff107c34d146132fcdcef8d8912562;http://dx.doi.org/10.1007/s42979-021-00726-1" TargetMode="External"/><Relationship Id="rId2168" Type="http://schemas.openxmlformats.org/officeDocument/2006/relationships/hyperlink" Target="https://www.scopus.com/inward/record.uri?eid=2-s2.0-85103217766&amp;doi=10.1109%2fTSE.2019.2897300&amp;partnerID=40&amp;md5=17aa466ad61386ef9b07e43639b8c62b;http://dx.doi.org/10.1109/TSE.2019.2897300" TargetMode="External"/><Relationship Id="rId347" Type="http://schemas.openxmlformats.org/officeDocument/2006/relationships/hyperlink" Target="https://www.sciencedirect.com/science/article/pii/S0950584920301907;http:/dx.doi.org/10.1016/j.infsof.2020.106435" TargetMode="External"/><Relationship Id="rId999" Type="http://schemas.openxmlformats.org/officeDocument/2006/relationships/hyperlink" Target="https://ieeexplore.ieee.org/document/9822939;http:/dx.doi.org/10.1002/9781119602477.fmatter" TargetMode="External"/><Relationship Id="rId1184" Type="http://schemas.openxmlformats.org/officeDocument/2006/relationships/hyperlink" Target="https://www.scopus.com/inward/record.uri?eid=2-s2.0-85097841067&amp;doi=10.1109%2fCCCI49893.2020.9256507&amp;partnerID=40&amp;md5=3df520df1ae1119f3d35f5962b8a3923;http://dx.doi.org/10.1109/CCCI49893.2020.9256507" TargetMode="External"/><Relationship Id="rId2028" Type="http://schemas.openxmlformats.org/officeDocument/2006/relationships/hyperlink" Target="https://www.scopus.com/inward/record.uri?eid=2-s2.0-85051672122&amp;doi=10.1145%2f3196398.3196440&amp;partnerID=40&amp;md5=e0eab957a50dd87034aaca6069769b30;http://dx.doi.org/10.1145/3196398.3196440" TargetMode="External"/><Relationship Id="rId554" Type="http://schemas.openxmlformats.org/officeDocument/2006/relationships/hyperlink" Target="https://www.scopus.com/inward/record.uri?eid=2-s2.0-85135091651&amp;doi=10.1145%2f3528228.3528404&amp;partnerID=40&amp;md5=610513b0ee0578d8cf88054fd74bfd26;http://dx.doi.org/10.1145/3528228.3528404" TargetMode="External"/><Relationship Id="rId761" Type="http://schemas.openxmlformats.org/officeDocument/2006/relationships/hyperlink" Target="https://www.scopus.com/inward/record.uri?eid=2-s2.0-85131722859&amp;doi=10.3233%2fJIFS-211273&amp;partnerID=40&amp;md5=b652457a51f3b4ed24a912c23cde3af3;http://dx.doi.org/10.3233/JIFS-211273" TargetMode="External"/><Relationship Id="rId859" Type="http://schemas.openxmlformats.org/officeDocument/2006/relationships/hyperlink" Target="https://www.scopus.com/inward/record.uri?eid=2-s2.0-85100490591&amp;doi=10.3390%2fs21041133&amp;partnerID=40&amp;md5=63a8b7be9a761303be22a297e15bd4a3;http://dx.doi.org/10.3390/s21041133" TargetMode="External"/><Relationship Id="rId1391" Type="http://schemas.openxmlformats.org/officeDocument/2006/relationships/hyperlink" Target="http://dx.doi.org/10.1109/RE51729.2021.00009" TargetMode="External"/><Relationship Id="rId1489" Type="http://schemas.openxmlformats.org/officeDocument/2006/relationships/hyperlink" Target="http://link.springer.com/book/10.1007/978-3-658-35626-2" TargetMode="External"/><Relationship Id="rId1696" Type="http://schemas.openxmlformats.org/officeDocument/2006/relationships/hyperlink" Target="http://dx.doi.org/10.1109/ICSA-C.2019.00007" TargetMode="External"/><Relationship Id="rId207" Type="http://schemas.openxmlformats.org/officeDocument/2006/relationships/hyperlink" Target="http://link.springer.com/book/10.1007/978-3-030-79382-1" TargetMode="External"/><Relationship Id="rId414" Type="http://schemas.openxmlformats.org/officeDocument/2006/relationships/hyperlink" Target="https://www.scopus.com/inward/record.uri?eid=2-s2.0-85111230657&amp;doi=10.1016%2fj.jss.2021.111046&amp;partnerID=40&amp;md5=208ffc6b7b432ceee6d6017e974e86e9;http://dx.doi.org/10.1016/j.jss.2021.111046" TargetMode="External"/><Relationship Id="rId621" Type="http://schemas.openxmlformats.org/officeDocument/2006/relationships/hyperlink" Target="http://link.springer.com/chapter/10.1007/978-3-031-10542-5_5" TargetMode="External"/><Relationship Id="rId1044" Type="http://schemas.openxmlformats.org/officeDocument/2006/relationships/hyperlink" Target="http://dx.doi.org/10.1145/3524610.3527901" TargetMode="External"/><Relationship Id="rId1251" Type="http://schemas.openxmlformats.org/officeDocument/2006/relationships/hyperlink" Target="https://www.scopus.com/inward/record.uri?eid=2-s2.0-85084229748&amp;partnerID=40&amp;md5=083c4b246ba4671ff93e574d57b0692d" TargetMode="External"/><Relationship Id="rId1349" Type="http://schemas.openxmlformats.org/officeDocument/2006/relationships/hyperlink" Target="https://www.scopus.com/inward/record.uri?eid=2-s2.0-85098171792&amp;doi=10.1007%2f978-3-030-63322-6_4&amp;partnerID=40&amp;md5=bcb4cba359711f76a867d3f48e411765;http://dx.doi.org/10.1007/978-3-030-63322-6_4" TargetMode="External"/><Relationship Id="rId719" Type="http://schemas.openxmlformats.org/officeDocument/2006/relationships/hyperlink" Target="https://doi.org/10.1145/3551349.3556918;http:/dx.doi.org/10.1145/3551349.3556918" TargetMode="External"/><Relationship Id="rId926" Type="http://schemas.openxmlformats.org/officeDocument/2006/relationships/hyperlink" Target="https://www.sciencedirect.com/science/article/pii/S0164121215001818;http:/dx.doi.org/10.1016/j.jss.2015.08.026" TargetMode="External"/><Relationship Id="rId1111" Type="http://schemas.openxmlformats.org/officeDocument/2006/relationships/hyperlink" Target="https://doi.org/10.1109/MSR.2019.00054;http:/dx.doi.org/10.1109/MSR.2019.00054" TargetMode="External"/><Relationship Id="rId1556" Type="http://schemas.openxmlformats.org/officeDocument/2006/relationships/hyperlink" Target="http://link.springer.com/chapter/10.1007/978-3-031-02318-7_6" TargetMode="External"/><Relationship Id="rId1763" Type="http://schemas.openxmlformats.org/officeDocument/2006/relationships/hyperlink" Target="https://www.sciencedirect.com/science/article/pii/S0164121222000693;http:/dx.doi.org/10.1016/j.jss.2022.111326" TargetMode="External"/><Relationship Id="rId1970" Type="http://schemas.openxmlformats.org/officeDocument/2006/relationships/hyperlink" Target="http://link.springer.com/book/10.1007/978-3-030-94837-5" TargetMode="External"/><Relationship Id="rId55" Type="http://schemas.openxmlformats.org/officeDocument/2006/relationships/hyperlink" Target="https://doi.org/10.1145/3338906.3338965;http:/dx.doi.org/10.1145/3338906.3338965" TargetMode="External"/><Relationship Id="rId1209" Type="http://schemas.openxmlformats.org/officeDocument/2006/relationships/hyperlink" Target="https://www.scopus.com/inward/record.uri?eid=2-s2.0-85092712028&amp;doi=10.1145%2f3377815.3381377&amp;partnerID=40&amp;md5=98ed3c4b97ddeac843854ee0c5ca9648;http://dx.doi.org/10.1145/3377815.3381377" TargetMode="External"/><Relationship Id="rId1416" Type="http://schemas.openxmlformats.org/officeDocument/2006/relationships/hyperlink" Target="https://www.scopus.com/inward/record.uri?eid=2-s2.0-85040565964&amp;doi=10.18653%2fv1%2fP17-2015&amp;partnerID=40&amp;md5=9e60a9624e4d86031cf60ec90c63360e;http://dx.doi.org/10.18653/v1/P17-2015" TargetMode="External"/><Relationship Id="rId1623" Type="http://schemas.openxmlformats.org/officeDocument/2006/relationships/hyperlink" Target="https://www.scopus.com/inward/record.uri?eid=2-s2.0-85136567400&amp;doi=10.1155%2f2022%2f8560873&amp;partnerID=40&amp;md5=c00f8c72198b883b144bc0dd914ea843;http://dx.doi.org/10.1155/2022/8560873" TargetMode="External"/><Relationship Id="rId1830" Type="http://schemas.openxmlformats.org/officeDocument/2006/relationships/hyperlink" Target="http://dx.doi.org/10.1109/JPROC.2020.2985293" TargetMode="External"/><Relationship Id="rId1928" Type="http://schemas.openxmlformats.org/officeDocument/2006/relationships/hyperlink" Target="https://doi.org/10.1145/3471930;http:/dx.doi.org/10.1145/3471930" TargetMode="External"/><Relationship Id="rId2092" Type="http://schemas.openxmlformats.org/officeDocument/2006/relationships/hyperlink" Target="http://link.springer.com/article/10.1007/s00607-020-00895-6" TargetMode="External"/><Relationship Id="rId271" Type="http://schemas.openxmlformats.org/officeDocument/2006/relationships/hyperlink" Target="https://www.scopus.com/inward/record.uri?eid=2-s2.0-85125253380&amp;doi=10.1007%2f978-3-030-95947-0_40&amp;partnerID=40&amp;md5=cea67de019236d3eb4b5bc679e072624;http://dx.doi.org/10.1007/978-3-030-95947-0_40" TargetMode="External"/><Relationship Id="rId131" Type="http://schemas.openxmlformats.org/officeDocument/2006/relationships/hyperlink" Target="https://www.sciencedirect.com/science/article/pii/S0164121221000819;http:/dx.doi.org/10.1016/j.jss.2021.110984" TargetMode="External"/><Relationship Id="rId369" Type="http://schemas.openxmlformats.org/officeDocument/2006/relationships/hyperlink" Target="https://doi.org/10.1145/3540250.3549145;http:/dx.doi.org/10.1145/3540250.3549145" TargetMode="External"/><Relationship Id="rId576" Type="http://schemas.openxmlformats.org/officeDocument/2006/relationships/hyperlink" Target="http://dx.doi.org/10.1109/VL/HCC50065.2020.9127202" TargetMode="External"/><Relationship Id="rId783" Type="http://schemas.openxmlformats.org/officeDocument/2006/relationships/hyperlink" Target="http://dx.doi.org/10.1109/MTD.2015.7332619" TargetMode="External"/><Relationship Id="rId990" Type="http://schemas.openxmlformats.org/officeDocument/2006/relationships/hyperlink" Target="http://dx.doi.org/10.1007/s11704-022-1541-7" TargetMode="External"/><Relationship Id="rId229" Type="http://schemas.openxmlformats.org/officeDocument/2006/relationships/hyperlink" Target="https://www.sciencedirect.com/science/article/pii/S0164121212003536;http:/dx.doi.org/10.1016/j.jss.2012.12.046" TargetMode="External"/><Relationship Id="rId436" Type="http://schemas.openxmlformats.org/officeDocument/2006/relationships/hyperlink" Target="http://link.springer.com/chapter/10.1007/978-3-030-12157-0_16" TargetMode="External"/><Relationship Id="rId643" Type="http://schemas.openxmlformats.org/officeDocument/2006/relationships/hyperlink" Target="https://www.scopus.com/inward/record.uri?eid=2-s2.0-85117726027&amp;doi=10.1007%2fs10664-021-10009-1&amp;partnerID=40&amp;md5=6fb1cafc8822987601a714d4a6249c9e;http://dx.doi.org/10.1007/s10664-021-10009-1" TargetMode="External"/><Relationship Id="rId1066" Type="http://schemas.openxmlformats.org/officeDocument/2006/relationships/hyperlink" Target="https://www.scopus.com/inward/record.uri?eid=2-s2.0-85073437829&amp;doi=10.1109%2fCESSER-IP.2019.00009&amp;partnerID=40&amp;md5=6ee4c8ddefaa6d61ea7f840450700a0c;http://dx.doi.org/10.1109/CESSER-IP.2019.00009" TargetMode="External"/><Relationship Id="rId1273" Type="http://schemas.openxmlformats.org/officeDocument/2006/relationships/hyperlink" Target="https://www.scopus.com/inward/record.uri?eid=2-s2.0-85120086359&amp;doi=10.1109%2fTSE.2021.3129355&amp;partnerID=40&amp;md5=30dc3dec9e0bfb49943f97c2e25285d5;http://dx.doi.org/10.1109/TSE.2021.3129355" TargetMode="External"/><Relationship Id="rId1480" Type="http://schemas.openxmlformats.org/officeDocument/2006/relationships/hyperlink" Target="https://doi.org/10.1145/3524843.3528093;http:/dx.doi.org/10.1145/3524843.3528093" TargetMode="External"/><Relationship Id="rId2117" Type="http://schemas.openxmlformats.org/officeDocument/2006/relationships/hyperlink" Target="http://dx.doi.org/10.1007/s11704-020-9281-z" TargetMode="External"/><Relationship Id="rId850" Type="http://schemas.openxmlformats.org/officeDocument/2006/relationships/hyperlink" Target="http://link.springer.com/chapter/10.1007/978-3-030-96734-5_4" TargetMode="External"/><Relationship Id="rId948" Type="http://schemas.openxmlformats.org/officeDocument/2006/relationships/hyperlink" Target="https://www.scopus.com/inward/record.uri?eid=2-s2.0-85135175342&amp;doi=10.1016%2fj.engappai.2022.105240&amp;partnerID=40&amp;md5=5919f74f3f5bfdcd53d6a92b4525d83d;http://dx.doi.org/10.1016/j.engappai.2022.105240" TargetMode="External"/><Relationship Id="rId1133" Type="http://schemas.openxmlformats.org/officeDocument/2006/relationships/hyperlink" Target="https://www.scopus.com/inward/record.uri?eid=2-s2.0-85118479420&amp;doi=10.1002%2fsmr.2399&amp;partnerID=40&amp;md5=8b23b60c3e7565eb74045937f71d58cd;http://dx.doi.org/10.1002/smr.2399" TargetMode="External"/><Relationship Id="rId1578" Type="http://schemas.openxmlformats.org/officeDocument/2006/relationships/hyperlink" Target="http://link.springer.com/chapter/10.1007/978-3-030-29852-4_32" TargetMode="External"/><Relationship Id="rId1785" Type="http://schemas.openxmlformats.org/officeDocument/2006/relationships/hyperlink" Target="http://link.springer.com/book/10.1007/978-3-031-11513-4" TargetMode="External"/><Relationship Id="rId1992" Type="http://schemas.openxmlformats.org/officeDocument/2006/relationships/hyperlink" Target="https://www.scopus.com/inward/record.uri?eid=2-s2.0-85132402735&amp;doi=10.1109%2fICSE-Companion55297.2022.9793745&amp;partnerID=40&amp;md5=b6feeaf27e1792837f5a4c5eb2480562;http://dx.doi.org/10.1109/ICSE-Companion55297.2022.9793745" TargetMode="External"/><Relationship Id="rId77" Type="http://schemas.openxmlformats.org/officeDocument/2006/relationships/hyperlink" Target="http://link.springer.com/article/10.1007/s10664-020-09880-1" TargetMode="External"/><Relationship Id="rId503" Type="http://schemas.openxmlformats.org/officeDocument/2006/relationships/hyperlink" Target="http://link.springer.com/book/10.1007/978-3-030-85867-4" TargetMode="External"/><Relationship Id="rId710" Type="http://schemas.openxmlformats.org/officeDocument/2006/relationships/hyperlink" Target="https://www.sciencedirect.com/science/article/pii/S0167404821000821;http:/dx.doi.org/10.1016/j.cose.2021.102258" TargetMode="External"/><Relationship Id="rId808" Type="http://schemas.openxmlformats.org/officeDocument/2006/relationships/hyperlink" Target="https://www.scopus.com/inward/record.uri?eid=2-s2.0-85111105153&amp;doi=10.1007%2f978-3-030-75018-3_14&amp;partnerID=40&amp;md5=7ca0cbe943c7be74e910dfa0dd15c35d;http://dx.doi.org/10.1007/978-3-030-75018-3_14" TargetMode="External"/><Relationship Id="rId1340" Type="http://schemas.openxmlformats.org/officeDocument/2006/relationships/hyperlink" Target="http://link.springer.com/book/10.1007/978-3-030-93907-6" TargetMode="External"/><Relationship Id="rId1438" Type="http://schemas.openxmlformats.org/officeDocument/2006/relationships/hyperlink" Target="https://www.sciencedirect.com/science/article/pii/S0164121223000146;http:/dx.doi.org/10.1016/j.jss.2023.111619" TargetMode="External"/><Relationship Id="rId1645" Type="http://schemas.openxmlformats.org/officeDocument/2006/relationships/hyperlink" Target="https://doi.org/10.1145/3183440.3183478;http:/dx.doi.org/10.1145/3183440.3183478" TargetMode="External"/><Relationship Id="rId1200" Type="http://schemas.openxmlformats.org/officeDocument/2006/relationships/hyperlink" Target="http://link.springer.com/chapter/10.1007/978-981-16-6069-6_3" TargetMode="External"/><Relationship Id="rId1852" Type="http://schemas.openxmlformats.org/officeDocument/2006/relationships/hyperlink" Target="http://dx.doi.org/10.1109/SEAA51224.2020.00004" TargetMode="External"/><Relationship Id="rId1505" Type="http://schemas.openxmlformats.org/officeDocument/2006/relationships/hyperlink" Target="https://www.sciencedirect.com/science/article/pii/S0164121220302375;http:/dx.doi.org/10.1016/j.jss.2020.110847" TargetMode="External"/><Relationship Id="rId1712" Type="http://schemas.openxmlformats.org/officeDocument/2006/relationships/hyperlink" Target="https://doi.org/10.1145/3533767.3534375;http:/dx.doi.org/10.1145/3533767.3534375" TargetMode="External"/><Relationship Id="rId293" Type="http://schemas.openxmlformats.org/officeDocument/2006/relationships/hyperlink" Target="https://www.scopus.com/inward/record.uri?eid=2-s2.0-85040559968&amp;doi=10.1109%2fICSME.2017.8&amp;partnerID=40&amp;md5=87314b2704eb01c637755bc6b19462bc;http://dx.doi.org/10.1109/ICSME.2017.8" TargetMode="External"/><Relationship Id="rId2181" Type="http://schemas.openxmlformats.org/officeDocument/2006/relationships/hyperlink" Target="https://doi.org/10.1145/3196398.3196448;http:/dx.doi.org/10.1145/3196398.3196448" TargetMode="External"/><Relationship Id="rId153" Type="http://schemas.openxmlformats.org/officeDocument/2006/relationships/hyperlink" Target="https://www.sciencedirect.com/science/article/pii/S0950584918302490;http:/dx.doi.org/10.1016/j.infsof.2018.12.003" TargetMode="External"/><Relationship Id="rId360" Type="http://schemas.openxmlformats.org/officeDocument/2006/relationships/hyperlink" Target="http://link.springer.com/article/10.1007/s10664-017-9515-3" TargetMode="External"/><Relationship Id="rId598" Type="http://schemas.openxmlformats.org/officeDocument/2006/relationships/hyperlink" Target="https://www.scopus.com/inward/record.uri?eid=2-s2.0-85135499146&amp;partnerID=40&amp;md5=ce9546da3091cf7f7fac3b2be289837c" TargetMode="External"/><Relationship Id="rId2041" Type="http://schemas.openxmlformats.org/officeDocument/2006/relationships/hyperlink" Target="https://www.scopus.com/inward/record.uri?eid=2-s2.0-85096810527&amp;doi=10.1145%2f3417990.3420196&amp;partnerID=40&amp;md5=734bb34bd97d5b82326506bf0e316734;http://dx.doi.org/10.1145/3417990.3420196" TargetMode="External"/><Relationship Id="rId220" Type="http://schemas.openxmlformats.org/officeDocument/2006/relationships/hyperlink" Target="http://link.springer.com/chapter/10.1007/978-3-030-86152-0_2" TargetMode="External"/><Relationship Id="rId458" Type="http://schemas.openxmlformats.org/officeDocument/2006/relationships/hyperlink" Target="http://link.springer.com/book/10.1007/978-3-030-37464-8" TargetMode="External"/><Relationship Id="rId665" Type="http://schemas.openxmlformats.org/officeDocument/2006/relationships/hyperlink" Target="https://www.sciencedirect.com/science/article/pii/S0065245816300420;http:/dx.doi.org/10.1016/S0065-2458(16)30042-0" TargetMode="External"/><Relationship Id="rId872" Type="http://schemas.openxmlformats.org/officeDocument/2006/relationships/hyperlink" Target="https://www.scopus.com/inward/record.uri?eid=2-s2.0-85122936707&amp;doi=10.1109%2fETFA45728.2021.9613538&amp;partnerID=40&amp;md5=d05e631efef840c64a487c7fc4697803;http://dx.doi.org/10.1109/ETFA45728.2021.9613538" TargetMode="External"/><Relationship Id="rId1088" Type="http://schemas.openxmlformats.org/officeDocument/2006/relationships/hyperlink" Target="https://www.scopus.com/inward/record.uri?eid=2-s2.0-85130705823&amp;doi=10.1631%2fFITEE.2100467&amp;partnerID=40&amp;md5=5dd77d10e1754a20c5cce0c213fd2adc;http://dx.doi.org/10.1631/FITEE.2100467" TargetMode="External"/><Relationship Id="rId1295" Type="http://schemas.openxmlformats.org/officeDocument/2006/relationships/hyperlink" Target="https://doi.org/10.1145/3375572.3375582;http:/dx.doi.org/10.1145/3375572.3375582" TargetMode="External"/><Relationship Id="rId2139" Type="http://schemas.openxmlformats.org/officeDocument/2006/relationships/hyperlink" Target="https://doi.org/10.1145/3196398.3196423;http:/dx.doi.org/10.1145/3196398.3196423" TargetMode="External"/><Relationship Id="rId318" Type="http://schemas.openxmlformats.org/officeDocument/2006/relationships/hyperlink" Target="https://www.scopus.com/inward/record.uri?eid=2-s2.0-85139215662&amp;doi=10.1109%2fACCESS.2022.3206382&amp;partnerID=40&amp;md5=f8deba300522a5711553a896b6fe4009;http://dx.doi.org/10.1109/ACCESS.2022.3206382" TargetMode="External"/><Relationship Id="rId525" Type="http://schemas.openxmlformats.org/officeDocument/2006/relationships/hyperlink" Target="https://www.scopus.com/inward/record.uri?eid=2-s2.0-85115870987&amp;doi=10.1109%2fINDUSCON51756.2021.9529843&amp;partnerID=40&amp;md5=e4fac09ccf2456adaa5032fe72649e8d;http://dx.doi.org/10.1109/INDUSCON51756.2021.9529843" TargetMode="External"/><Relationship Id="rId732" Type="http://schemas.openxmlformats.org/officeDocument/2006/relationships/hyperlink" Target="http://link.springer.com/book/10.1007/978-1-4842-6228-3" TargetMode="External"/><Relationship Id="rId1155" Type="http://schemas.openxmlformats.org/officeDocument/2006/relationships/hyperlink" Target="http://link.springer.com/article/10.1186/s13173-021-00107-9" TargetMode="External"/><Relationship Id="rId1362" Type="http://schemas.openxmlformats.org/officeDocument/2006/relationships/hyperlink" Target="https://www.scopus.com/inward/record.uri?eid=2-s2.0-85114279916&amp;doi=10.18293%2fSEKE2021-014&amp;partnerID=40&amp;md5=4f914c5ed0bbf6d673686baa9098b413;http://dx.doi.org/10.18293/SEKE2021-014" TargetMode="External"/><Relationship Id="rId99" Type="http://schemas.openxmlformats.org/officeDocument/2006/relationships/hyperlink" Target="http://link.springer.com/article/10.1007/s11219-020-09502-5" TargetMode="External"/><Relationship Id="rId1015" Type="http://schemas.openxmlformats.org/officeDocument/2006/relationships/hyperlink" Target="http://dx.doi.org/10.1109/ASEW52652.2021.00050" TargetMode="External"/><Relationship Id="rId1222" Type="http://schemas.openxmlformats.org/officeDocument/2006/relationships/hyperlink" Target="https://www.scopus.com/inward/record.uri?eid=2-s2.0-85077200772&amp;doi=10.1109%2fICSME.2019.00039&amp;partnerID=40&amp;md5=bc8feace6ae2a725fd69231f8ae76e07;http://dx.doi.org/10.1109/ICSME.2019.00039" TargetMode="External"/><Relationship Id="rId1667" Type="http://schemas.openxmlformats.org/officeDocument/2006/relationships/hyperlink" Target="https://www.scopus.com/inward/record.uri?eid=2-s2.0-85114808598&amp;doi=10.1109%2fTechDebt52882.2021.00009&amp;partnerID=40&amp;md5=760ad1ec91e35a2653864031ab66b940;http://dx.doi.org/10.1109/TechDebt52882.2021.00009" TargetMode="External"/><Relationship Id="rId1874" Type="http://schemas.openxmlformats.org/officeDocument/2006/relationships/hyperlink" Target="https://www.scopus.com/inward/record.uri?eid=2-s2.0-85051472599&amp;doi=10.1145%2f3194164.3194168&amp;partnerID=40&amp;md5=ec28c7706adeead70d2d5f88117da531;http://dx.doi.org/10.1145/3194164.3194168" TargetMode="External"/><Relationship Id="rId1527" Type="http://schemas.openxmlformats.org/officeDocument/2006/relationships/hyperlink" Target="http://link.springer.com/book/10.1007/978-981-16-2102-4" TargetMode="External"/><Relationship Id="rId1734" Type="http://schemas.openxmlformats.org/officeDocument/2006/relationships/hyperlink" Target="http://link.springer.com/chapter/10.1007/978-3-030-00761-4_20" TargetMode="External"/><Relationship Id="rId1941" Type="http://schemas.openxmlformats.org/officeDocument/2006/relationships/hyperlink" Target="http://link.springer.com/chapter/10.1007/978-3-030-88583-0_5" TargetMode="External"/><Relationship Id="rId26" Type="http://schemas.openxmlformats.org/officeDocument/2006/relationships/hyperlink" Target="https://www.scopus.com/inward/record.uri?eid=2-s2.0-85118546577&amp;doi=10.1109%2fTR.2021.3118026&amp;partnerID=40&amp;md5=2043476395f77f48777326e7f72bdf05;http://dx.doi.org/10.1109/TR.2021.3118026" TargetMode="External"/><Relationship Id="rId175" Type="http://schemas.openxmlformats.org/officeDocument/2006/relationships/hyperlink" Target="https://doi.org/10.1145/2851613.2851786;http:/dx.doi.org/10.1145/2851613.2851786" TargetMode="External"/><Relationship Id="rId1801" Type="http://schemas.openxmlformats.org/officeDocument/2006/relationships/hyperlink" Target="https://www.sciencedirect.com/science/article/pii/S095058492200088X;http:/dx.doi.org/10.1016/j.infsof.2022.106939" TargetMode="External"/><Relationship Id="rId382" Type="http://schemas.openxmlformats.org/officeDocument/2006/relationships/hyperlink" Target="https://www.scopus.com/inward/record.uri?eid=2-s2.0-84986567908&amp;doi=10.1145%2f2903220.2903223&amp;partnerID=40&amp;md5=abf8f9677f7f6a30d956f24886c14aeb;http://dx.doi.org/10.1145/2903220.2903223" TargetMode="External"/><Relationship Id="rId687" Type="http://schemas.openxmlformats.org/officeDocument/2006/relationships/hyperlink" Target="http://link.springer.com/article/10.1007/s11219-021-09564-z" TargetMode="External"/><Relationship Id="rId2063" Type="http://schemas.openxmlformats.org/officeDocument/2006/relationships/hyperlink" Target="https://www.sciencedirect.com/science/article/pii/S0950584919300321;http:/dx.doi.org/10.1016/j.infsof.2019.02.004" TargetMode="External"/><Relationship Id="rId242" Type="http://schemas.openxmlformats.org/officeDocument/2006/relationships/hyperlink" Target="https://www.scopus.com/inward/record.uri?eid=2-s2.0-85123838162&amp;doi=10.1109%2fVizSec53666.2021.00006&amp;partnerID=40&amp;md5=c8a648eb6cc297caa631247a6f9422ee;http://dx.doi.org/10.1109/VizSec53666.2021.00006" TargetMode="External"/><Relationship Id="rId894" Type="http://schemas.openxmlformats.org/officeDocument/2006/relationships/hyperlink" Target="https://www.scopus.com/inward/record.uri?eid=2-s2.0-85084143742&amp;doi=10.1007%2fs10994-020-05872-w&amp;partnerID=40&amp;md5=e46222c40ec929bdf26b6ed2b83abd05;http://dx.doi.org/10.1007/s10994-020-05872-w" TargetMode="External"/><Relationship Id="rId1177" Type="http://schemas.openxmlformats.org/officeDocument/2006/relationships/hyperlink" Target="https://www.scopus.com/inward/record.uri?eid=2-s2.0-84997124483&amp;doi=10.1145%2f2950290.2950317&amp;partnerID=40&amp;md5=a398b600201d12b8e78ac14606f33ccb;http://dx.doi.org/10.1145/2950290.2950317" TargetMode="External"/><Relationship Id="rId2130" Type="http://schemas.openxmlformats.org/officeDocument/2006/relationships/hyperlink" Target="http://dx.doi.org/10.1109/ASE51524.2021.9678532" TargetMode="External"/><Relationship Id="rId102" Type="http://schemas.openxmlformats.org/officeDocument/2006/relationships/hyperlink" Target="https://www.scopus.com/inward/record.uri?eid=2-s2.0-85056883561&amp;doi=10.18293%2fSEKE2018-081&amp;partnerID=40&amp;md5=58e6161dc9a55d903b889ce41da3d294;http://dx.doi.org/10.18293/SEKE2018-081" TargetMode="External"/><Relationship Id="rId547" Type="http://schemas.openxmlformats.org/officeDocument/2006/relationships/hyperlink" Target="http://link.springer.com/book/10.1007/978-3-031-15644-1" TargetMode="External"/><Relationship Id="rId754" Type="http://schemas.openxmlformats.org/officeDocument/2006/relationships/hyperlink" Target="http://dx.doi.org/10.1145/2884781.2884825" TargetMode="External"/><Relationship Id="rId961" Type="http://schemas.openxmlformats.org/officeDocument/2006/relationships/hyperlink" Target="https://www.scopus.com/inward/record.uri?eid=2-s2.0-85138474182&amp;doi=10.1007%2fs10664-022-10206-6&amp;partnerID=40&amp;md5=8d0df4e706b91f4276677017bfa1fc25;http://dx.doi.org/10.1007/s10664-022-10206-6" TargetMode="External"/><Relationship Id="rId1384" Type="http://schemas.openxmlformats.org/officeDocument/2006/relationships/hyperlink" Target="https://www.scopus.com/inward/record.uri?eid=2-s2.0-85137070907&amp;doi=10.1016%2fj.neuron.2022.06.018&amp;partnerID=40&amp;md5=d95ad5c90342b00988ae7c7d5d9a9ea8;http://dx.doi.org/10.1016/j.neuron.2022.06.018" TargetMode="External"/><Relationship Id="rId1591" Type="http://schemas.openxmlformats.org/officeDocument/2006/relationships/hyperlink" Target="https://doi.org/10.1109/ICSSP.2019.00018;http:/dx.doi.org/10.1109/ICSSP.2019.00018" TargetMode="External"/><Relationship Id="rId1689" Type="http://schemas.openxmlformats.org/officeDocument/2006/relationships/hyperlink" Target="https://www.scopus.com/inward/record.uri?eid=2-s2.0-85108911065&amp;doi=10.1145%2f3463274.3463333&amp;partnerID=40&amp;md5=4a568f34dc6d1a5a679e650b292eda5c;http://dx.doi.org/10.1145/3463274.3463333" TargetMode="External"/><Relationship Id="rId90" Type="http://schemas.openxmlformats.org/officeDocument/2006/relationships/hyperlink" Target="https://www.sciencedirect.com/science/article/pii/S095058491930028X;http:/dx.doi.org/10.1016/j.infsof.2019.02.001" TargetMode="External"/><Relationship Id="rId407" Type="http://schemas.openxmlformats.org/officeDocument/2006/relationships/hyperlink" Target="http://dx.doi.org/10.1109/ICPC52881.2021.00013" TargetMode="External"/><Relationship Id="rId614" Type="http://schemas.openxmlformats.org/officeDocument/2006/relationships/hyperlink" Target="http://link.springer.com/article/10.1007/s13198-021-01110-1" TargetMode="External"/><Relationship Id="rId821" Type="http://schemas.openxmlformats.org/officeDocument/2006/relationships/hyperlink" Target="https://www.scopus.com/inward/record.uri?eid=2-s2.0-85101363818&amp;doi=10.1007%2f978-3-030-66834-1_4&amp;partnerID=40&amp;md5=b08785efee355cebfe4950581f0731e5;http://dx.doi.org/10.1007/978-3-030-66834-1_4" TargetMode="External"/><Relationship Id="rId1037" Type="http://schemas.openxmlformats.org/officeDocument/2006/relationships/hyperlink" Target="http://link.springer.com/book/10.1007/978-3-031-08202-3" TargetMode="External"/><Relationship Id="rId1244" Type="http://schemas.openxmlformats.org/officeDocument/2006/relationships/hyperlink" Target="http://link.springer.com/book/10.1007/978-3-030-89159-6" TargetMode="External"/><Relationship Id="rId1451" Type="http://schemas.openxmlformats.org/officeDocument/2006/relationships/hyperlink" Target="https://www.scopus.com/inward/record.uri?eid=2-s2.0-85126395572&amp;doi=10.1109%2fISSRE52982.2021.00060&amp;partnerID=40&amp;md5=5661c4850ef1cd8e40447551b32def6a;http://dx.doi.org/10.1109/ISSRE52982.2021.00060" TargetMode="External"/><Relationship Id="rId1896" Type="http://schemas.openxmlformats.org/officeDocument/2006/relationships/hyperlink" Target="http://dx.doi.org/10.1109/IJCNN52387.2021.9534423" TargetMode="External"/><Relationship Id="rId919" Type="http://schemas.openxmlformats.org/officeDocument/2006/relationships/hyperlink" Target="http://link.springer.com/article/10.1007/s10664-020-09869-w" TargetMode="External"/><Relationship Id="rId1104" Type="http://schemas.openxmlformats.org/officeDocument/2006/relationships/hyperlink" Target="https://www.scopus.com/inward/record.uri?eid=2-s2.0-85097975943&amp;doi=10.1109%2fITMS51158.2020.9259303&amp;partnerID=40&amp;md5=fb2031fe726dd2ad1a466cb0dddff442;http://dx.doi.org/10.1109/ITMS51158.2020.9259303" TargetMode="External"/><Relationship Id="rId1311" Type="http://schemas.openxmlformats.org/officeDocument/2006/relationships/hyperlink" Target="https://www.scopus.com/inward/record.uri?eid=2-s2.0-85032433166&amp;doi=10.1109%2fTSE.2017.2671865&amp;partnerID=40&amp;md5=4db7eb5764a6022a18ba1a99cf9ec1bb;http://dx.doi.org/10.1109/TSE.2017.2671865" TargetMode="External"/><Relationship Id="rId1549" Type="http://schemas.openxmlformats.org/officeDocument/2006/relationships/hyperlink" Target="http://dx.doi.org/10.1145/3510457.3513041" TargetMode="External"/><Relationship Id="rId1756" Type="http://schemas.openxmlformats.org/officeDocument/2006/relationships/hyperlink" Target="https://www.scopus.com/inward/record.uri?eid=2-s2.0-85057169222&amp;doi=10.1109%2fSEAA.2018.00018&amp;partnerID=40&amp;md5=4f67fe396baebb02964c19140b99a05d;http://dx.doi.org/10.1109/SEAA.2018.00018" TargetMode="External"/><Relationship Id="rId1963" Type="http://schemas.openxmlformats.org/officeDocument/2006/relationships/hyperlink" Target="http://dx.doi.org/10.1109/BigData.2017.8258038" TargetMode="External"/><Relationship Id="rId48" Type="http://schemas.openxmlformats.org/officeDocument/2006/relationships/hyperlink" Target="https://www.scopus.com/inward/record.uri?eid=2-s2.0-85097173443&amp;doi=10.1145%2f3368089.3417063&amp;partnerID=40&amp;md5=aa1b6215912a8d109ab7e22f981e387a;http://dx.doi.org/10.1145/3368089.3417063" TargetMode="External"/><Relationship Id="rId1409" Type="http://schemas.openxmlformats.org/officeDocument/2006/relationships/hyperlink" Target="https://www.scopus.com/inward/record.uri?eid=2-s2.0-85135494534&amp;doi=10.1007%2fs12532-022-00225-1&amp;partnerID=40&amp;md5=1e4c72f3a4ebd7dbef859d32d04d3331;http://dx.doi.org/10.1007/s12532-022-00225-1" TargetMode="External"/><Relationship Id="rId1616" Type="http://schemas.openxmlformats.org/officeDocument/2006/relationships/hyperlink" Target="http://link.springer.com/book/10.1007/978-3-030-83549-1" TargetMode="External"/><Relationship Id="rId1823" Type="http://schemas.openxmlformats.org/officeDocument/2006/relationships/hyperlink" Target="http://dx.doi.org/10.1109/TBDATA.2019.2921774" TargetMode="External"/><Relationship Id="rId197" Type="http://schemas.openxmlformats.org/officeDocument/2006/relationships/hyperlink" Target="https://www.scopus.com/inward/record.uri?eid=2-s2.0-85100534946&amp;doi=10.1109%2fDSA51864.2020.00019&amp;partnerID=40&amp;md5=1ac523109d4b9a851a92583ee12dfda7;http://dx.doi.org/10.1109/DSA51864.2020.00019" TargetMode="External"/><Relationship Id="rId2085" Type="http://schemas.openxmlformats.org/officeDocument/2006/relationships/hyperlink" Target="https://www.scopus.com/inward/record.uri?eid=2-s2.0-85133153613&amp;doi=10.1007%2f978-3-031-07802-6_30&amp;partnerID=40&amp;md5=bb38e6afb779e1d9ea89781395994d79;http://dx.doi.org/10.1007/978-3-031-07802-6_30" TargetMode="External"/><Relationship Id="rId264" Type="http://schemas.openxmlformats.org/officeDocument/2006/relationships/hyperlink" Target="https://www.scopus.com/inward/record.uri?eid=2-s2.0-85075303052&amp;partnerID=40&amp;md5=9d1bd6760a36387d25b5159c3ca86abd" TargetMode="External"/><Relationship Id="rId471" Type="http://schemas.openxmlformats.org/officeDocument/2006/relationships/hyperlink" Target="http://link.springer.com/book/10.1007/978-3-030-24405-7" TargetMode="External"/><Relationship Id="rId2152" Type="http://schemas.openxmlformats.org/officeDocument/2006/relationships/hyperlink" Target="https://www.scopus.com/inward/record.uri?eid=2-s2.0-85042350972&amp;doi=10.1109%2fESEM.2017.14&amp;partnerID=40&amp;md5=38b9fedcca05dc49202420a20b3f91e0;http://dx.doi.org/10.1109/ESEM.2017.14" TargetMode="External"/><Relationship Id="rId124" Type="http://schemas.openxmlformats.org/officeDocument/2006/relationships/hyperlink" Target="https://www.scopus.com/inward/record.uri?eid=2-s2.0-85113229165&amp;doi=10.4018%2f978-1-7998-6985-6.ch002&amp;partnerID=40&amp;md5=0c2583157b8c5dc3f4a9a18b611d9b1d;http://dx.doi.org/10.4018/978-1-7998-6985-6.ch002" TargetMode="External"/><Relationship Id="rId569" Type="http://schemas.openxmlformats.org/officeDocument/2006/relationships/hyperlink" Target="http://link.springer.com/chapter/10.1007/978-1-4842-7252-7_2" TargetMode="External"/><Relationship Id="rId776" Type="http://schemas.openxmlformats.org/officeDocument/2006/relationships/hyperlink" Target="https://www.scopus.com/inward/record.uri?eid=2-s2.0-85077221156&amp;doi=10.1109%2fICSME.2019.00104&amp;partnerID=40&amp;md5=3eb16b13510268612b5061a5c90aedcf;http://dx.doi.org/10.1109/ICSME.2019.00104" TargetMode="External"/><Relationship Id="rId983" Type="http://schemas.openxmlformats.org/officeDocument/2006/relationships/hyperlink" Target="https://www.scopus.com/inward/record.uri?eid=2-s2.0-85125454605&amp;doi=10.1109%2fASE51524.2021.9678680&amp;partnerID=40&amp;md5=4f33c0638d19063ae52d47689a64f5b4;http://dx.doi.org/10.1109/ASE51524.2021.9678680" TargetMode="External"/><Relationship Id="rId1199" Type="http://schemas.openxmlformats.org/officeDocument/2006/relationships/hyperlink" Target="https://www.scopus.com/inward/record.uri?eid=2-s2.0-85049555118&amp;doi=10.13328%2fj.cnki.jos.005520&amp;partnerID=40&amp;md5=02111ae26bb140f11169d60139a11bd7;http://dx.doi.org/10.13328/j.cnki.jos.005520" TargetMode="External"/><Relationship Id="rId331" Type="http://schemas.openxmlformats.org/officeDocument/2006/relationships/hyperlink" Target="http://dx.doi.org/10.1109/MSR52588.2021.00081" TargetMode="External"/><Relationship Id="rId429" Type="http://schemas.openxmlformats.org/officeDocument/2006/relationships/hyperlink" Target="https://www.scopus.com/inward/record.uri?eid=2-s2.0-85083573289&amp;doi=10.1109%2fSANER48275.2020.9054868&amp;partnerID=40&amp;md5=be52c240156dc6649a1e234304ccee7b;http://dx.doi.org/10.1109/SANER48275.2020.9054868" TargetMode="External"/><Relationship Id="rId636" Type="http://schemas.openxmlformats.org/officeDocument/2006/relationships/hyperlink" Target="http://link.springer.com/book/10.1007/978-3-031-10548-7" TargetMode="External"/><Relationship Id="rId1059" Type="http://schemas.openxmlformats.org/officeDocument/2006/relationships/hyperlink" Target="https://www.scopus.com/inward/record.uri?eid=2-s2.0-85085926600&amp;doi=10.1145%2f3358960.3379130&amp;partnerID=40&amp;md5=f4be5d49f90b9acb39fde0931a466cdd;http://dx.doi.org/10.1145/3358960.3379130" TargetMode="External"/><Relationship Id="rId1266" Type="http://schemas.openxmlformats.org/officeDocument/2006/relationships/hyperlink" Target="http://dx.doi.org/10.1109/MS.2016.114" TargetMode="External"/><Relationship Id="rId1473" Type="http://schemas.openxmlformats.org/officeDocument/2006/relationships/hyperlink" Target="http://dx.doi.org/10.1109/MS.2021.3118906" TargetMode="External"/><Relationship Id="rId2012" Type="http://schemas.openxmlformats.org/officeDocument/2006/relationships/hyperlink" Target="https://doi.org/10.1109/ICSE-SEIP.2019.00009;http:/dx.doi.org/10.1109/ICSE-SEIP.2019.00009" TargetMode="External"/><Relationship Id="rId843" Type="http://schemas.openxmlformats.org/officeDocument/2006/relationships/hyperlink" Target="https://www.sciencedirect.com/science/article/pii/S0164121220301539;http:/dx.doi.org/10.1016/j.jss.2020.110710" TargetMode="External"/><Relationship Id="rId1126" Type="http://schemas.openxmlformats.org/officeDocument/2006/relationships/hyperlink" Target="http://dx.doi.org/10.1109/MC.2021.3094960" TargetMode="External"/><Relationship Id="rId1680" Type="http://schemas.openxmlformats.org/officeDocument/2006/relationships/hyperlink" Target="https://www.scopus.com/inward/record.uri?eid=2-s2.0-85137115700&amp;doi=10.1007%2fs10515-022-00358-6&amp;partnerID=40&amp;md5=60e9bbb2d585fef5ef2c8b29353bb634;http://dx.doi.org/10.1007/s10515-022-00358-6" TargetMode="External"/><Relationship Id="rId1778" Type="http://schemas.openxmlformats.org/officeDocument/2006/relationships/hyperlink" Target="https://doi.org/10.1145/3194095.3194096;http:/dx.doi.org/10.1145/3194095.3194096" TargetMode="External"/><Relationship Id="rId1985" Type="http://schemas.openxmlformats.org/officeDocument/2006/relationships/hyperlink" Target="https://www.scopus.com/inward/record.uri?eid=2-s2.0-85092234625&amp;doi=10.1007%2f978-3-030-58811-3_73&amp;partnerID=40&amp;md5=5869cd3d767df9c2edac6039a5407bd2;http://dx.doi.org/10.1007/978-3-030-58811-3_73" TargetMode="External"/><Relationship Id="rId703" Type="http://schemas.openxmlformats.org/officeDocument/2006/relationships/hyperlink" Target="https://doi.org/10.1109/ICSE-NIER.2019.00037;http:/dx.doi.org/10.1109/ICSE-NIER.2019.00037" TargetMode="External"/><Relationship Id="rId910" Type="http://schemas.openxmlformats.org/officeDocument/2006/relationships/hyperlink" Target="https://doi.org/10.1145/2972958.2972959;http:/dx.doi.org/10.1145/2972958.2972959" TargetMode="External"/><Relationship Id="rId1333" Type="http://schemas.openxmlformats.org/officeDocument/2006/relationships/hyperlink" Target="https://www.scopus.com/inward/record.uri?eid=2-s2.0-85132730765&amp;doi=10.1109%2fACCESS.2022.3181730&amp;partnerID=40&amp;md5=a3eef8516db1852a0c7a8230031a8fa1;http://dx.doi.org/10.1109/ACCESS.2022.3181730" TargetMode="External"/><Relationship Id="rId1540" Type="http://schemas.openxmlformats.org/officeDocument/2006/relationships/hyperlink" Target="http://link.springer.com/book/10.1007/978-3-030-35333-9" TargetMode="External"/><Relationship Id="rId1638" Type="http://schemas.openxmlformats.org/officeDocument/2006/relationships/hyperlink" Target="https://www.scopus.com/inward/record.uri?eid=2-s2.0-85076402950&amp;doi=10.1145%2f3340482.3342743&amp;partnerID=40&amp;md5=a79ad55d852c3be8833b7ef2d0d30e38;http://dx.doi.org/10.1145/3340482.3342743" TargetMode="External"/><Relationship Id="rId1400" Type="http://schemas.openxmlformats.org/officeDocument/2006/relationships/hyperlink" Target="http://dx.doi.org/10.1109/TSE.2019.2919305" TargetMode="External"/><Relationship Id="rId1845" Type="http://schemas.openxmlformats.org/officeDocument/2006/relationships/hyperlink" Target="http://link.springer.com/book/10.1007/978-3-030-85521-5" TargetMode="External"/><Relationship Id="rId1705" Type="http://schemas.openxmlformats.org/officeDocument/2006/relationships/hyperlink" Target="https://www.scopus.com/inward/record.uri?eid=2-s2.0-85134657563&amp;doi=10.1016%2fj.jsis.2022.101734&amp;partnerID=40&amp;md5=175971429ebb05ca7fbb20449d1f19bd;http://dx.doi.org/10.1016/j.jsis.2022.101734" TargetMode="External"/><Relationship Id="rId1912" Type="http://schemas.openxmlformats.org/officeDocument/2006/relationships/hyperlink" Target="https://www.scopus.com/inward/record.uri?eid=2-s2.0-85114013884&amp;doi=10.1016%2fj.neucom.2021.08.010&amp;partnerID=40&amp;md5=26e9153ed73c29aac86c53e23f208994;http://dx.doi.org/10.1016/j.neucom.2021.08.010" TargetMode="External"/><Relationship Id="rId286" Type="http://schemas.openxmlformats.org/officeDocument/2006/relationships/hyperlink" Target="https://www.scopus.com/inward/record.uri?eid=2-s2.0-85124006010&amp;doi=10.1007%2fs10664-021-10081-7&amp;partnerID=40&amp;md5=d27f46fbd645e3b250241cfaa84d2245;http://dx.doi.org/10.1007/s10664-021-10081-7" TargetMode="External"/><Relationship Id="rId493" Type="http://schemas.openxmlformats.org/officeDocument/2006/relationships/hyperlink" Target="https://www.sciencedirect.com/science/article/pii/S0950584922002257;http:/dx.doi.org/10.1016/j.infsof.2022.107116" TargetMode="External"/><Relationship Id="rId2174" Type="http://schemas.openxmlformats.org/officeDocument/2006/relationships/hyperlink" Target="https://www.scopus.com/inward/record.uri?eid=2-s2.0-85130710048&amp;doi=10.1145%2f3488245&amp;partnerID=40&amp;md5=bfecfcbf1c8e6522cc763a93063351e6;http://dx.doi.org/10.1145/3488245" TargetMode="External"/><Relationship Id="rId146" Type="http://schemas.openxmlformats.org/officeDocument/2006/relationships/hyperlink" Target="http://link.springer.com/chapter/10.1007/978-3-030-87839-9_6" TargetMode="External"/><Relationship Id="rId353" Type="http://schemas.openxmlformats.org/officeDocument/2006/relationships/hyperlink" Target="http://dx.doi.org/10.1109/ICSA53651.2022.00017" TargetMode="External"/><Relationship Id="rId560" Type="http://schemas.openxmlformats.org/officeDocument/2006/relationships/hyperlink" Target="https://www.scopus.com/inward/record.uri?eid=2-s2.0-85137825739&amp;doi=10.3389%2ffdgth.2022.939292&amp;partnerID=40&amp;md5=19debbf63d58827dc80975cfcbb37474;http://dx.doi.org/10.3389/fdgth.2022.939292" TargetMode="External"/><Relationship Id="rId798" Type="http://schemas.openxmlformats.org/officeDocument/2006/relationships/hyperlink" Target="https://www.scopus.com/inward/record.uri?eid=2-s2.0-85112159655&amp;doi=10.1109%2fTSE.2021.3102221&amp;partnerID=40&amp;md5=943b8bd3c53f068d0d969a19676ec455;http://dx.doi.org/10.1109/TSE.2021.3102221" TargetMode="External"/><Relationship Id="rId1190" Type="http://schemas.openxmlformats.org/officeDocument/2006/relationships/hyperlink" Target="https://www.scopus.com/inward/record.uri?eid=2-s2.0-85138138017&amp;doi=10.1007%2f978-3-031-05347-4_4&amp;partnerID=40&amp;md5=f9e68a6614f02b4b28c0c540c19fa754;http://dx.doi.org/10.1007/978-3-031-05347-4_4" TargetMode="External"/><Relationship Id="rId2034" Type="http://schemas.openxmlformats.org/officeDocument/2006/relationships/hyperlink" Target="https://www.scopus.com/inward/record.uri?eid=2-s2.0-85091343972&amp;doi=10.1016%2fj.jss.2020.110821&amp;partnerID=40&amp;md5=6eefc9d5e9eeaf22a131d74e44fe6740;http://dx.doi.org/10.1016/j.jss.2020.110821" TargetMode="External"/><Relationship Id="rId213" Type="http://schemas.openxmlformats.org/officeDocument/2006/relationships/hyperlink" Target="http://link.springer.com/book/10.1007/978-3-030-70873-3" TargetMode="External"/><Relationship Id="rId420" Type="http://schemas.openxmlformats.org/officeDocument/2006/relationships/hyperlink" Target="http://dx.doi.org/10.1109/SANER53432.2022.00094" TargetMode="External"/><Relationship Id="rId658" Type="http://schemas.openxmlformats.org/officeDocument/2006/relationships/hyperlink" Target="https://www.sciencedirect.com/science/article/pii/B9780128001608099927;http:/dx.doi.org/10.1016/B978-0-12-800160-8.09992-7" TargetMode="External"/><Relationship Id="rId865" Type="http://schemas.openxmlformats.org/officeDocument/2006/relationships/hyperlink" Target="https://doi.org/10.1145/3512934;http:/dx.doi.org/10.1145/3512934" TargetMode="External"/><Relationship Id="rId1050" Type="http://schemas.openxmlformats.org/officeDocument/2006/relationships/hyperlink" Target="https://www.scopus.com/inward/record.uri?eid=2-s2.0-85050071753&amp;partnerID=40&amp;md5=17d3d7bb3e17ad1c4df00eadc261a667" TargetMode="External"/><Relationship Id="rId1288" Type="http://schemas.openxmlformats.org/officeDocument/2006/relationships/hyperlink" Target="http://link.springer.com/article/10.1007/s10664-021-10018-0" TargetMode="External"/><Relationship Id="rId1495" Type="http://schemas.openxmlformats.org/officeDocument/2006/relationships/hyperlink" Target="http://dx.doi.org/10.1109/ICPC52881.2021.00030" TargetMode="External"/><Relationship Id="rId2101" Type="http://schemas.openxmlformats.org/officeDocument/2006/relationships/hyperlink" Target="http://link.springer.com/article/10.1007/s41870-020-00487-9" TargetMode="External"/><Relationship Id="rId518" Type="http://schemas.openxmlformats.org/officeDocument/2006/relationships/hyperlink" Target="https://www.scopus.com/inward/record.uri?eid=2-s2.0-85119001557&amp;doi=10.1007%2f978-981-16-2102-4_18&amp;partnerID=40&amp;md5=e51eeb954228c26f5fba46011638644a;http://dx.doi.org/10.1007/978-981-16-2102-4_18" TargetMode="External"/><Relationship Id="rId725" Type="http://schemas.openxmlformats.org/officeDocument/2006/relationships/hyperlink" Target="http://dx.doi.org/10.1109/MS.2019.2933681" TargetMode="External"/><Relationship Id="rId932" Type="http://schemas.openxmlformats.org/officeDocument/2006/relationships/hyperlink" Target="http://link.springer.com/chapter/10.1007/978-3-319-91836-5_6" TargetMode="External"/><Relationship Id="rId1148" Type="http://schemas.openxmlformats.org/officeDocument/2006/relationships/hyperlink" Target="http://dx.doi.org/10.1109/ACCESS.2022.3181630" TargetMode="External"/><Relationship Id="rId1355" Type="http://schemas.openxmlformats.org/officeDocument/2006/relationships/hyperlink" Target="http://link.springer.com/chapter/10.1007/978-1-4842-7226-8_10" TargetMode="External"/><Relationship Id="rId1562" Type="http://schemas.openxmlformats.org/officeDocument/2006/relationships/hyperlink" Target="https://www.scopus.com/inward/record.uri?eid=2-s2.0-85113586145&amp;doi=10.1109%2fMSR52588.2021.00080&amp;partnerID=40&amp;md5=f73f0ff63831c66174dda79436bafade;http://dx.doi.org/10.1109/MSR52588.2021.00080" TargetMode="External"/><Relationship Id="rId1008" Type="http://schemas.openxmlformats.org/officeDocument/2006/relationships/hyperlink" Target="https://www.scopus.com/inward/record.uri?eid=2-s2.0-85084275412&amp;doi=10.1007%2f978-3-658-19938-8&amp;partnerID=40&amp;md5=71c21093dadb63d6cee4c5bd55f82028;http://dx.doi.org/10.1007/978-3-658-19938-8" TargetMode="External"/><Relationship Id="rId1215" Type="http://schemas.openxmlformats.org/officeDocument/2006/relationships/hyperlink" Target="https://www.scopus.com/inward/record.uri?eid=2-s2.0-85135860301&amp;doi=10.1007%2fs11280-022-01087-2&amp;partnerID=40&amp;md5=5746eca924cd50933c0b438f7a8f8bae;http://dx.doi.org/10.1007/s11280-022-01087-2" TargetMode="External"/><Relationship Id="rId1422" Type="http://schemas.openxmlformats.org/officeDocument/2006/relationships/hyperlink" Target="https://www.scopus.com/inward/record.uri?eid=2-s2.0-85122086312&amp;doi=10.1007%2fs10515-021-00314-w&amp;partnerID=40&amp;md5=21ab1e846b58b044f8c0976ad0d90046;http://dx.doi.org/10.1007/s10515-021-00314-w" TargetMode="External"/><Relationship Id="rId1867" Type="http://schemas.openxmlformats.org/officeDocument/2006/relationships/hyperlink" Target="https://doi.org/10.1145/3524843.3528094;http:/dx.doi.org/10.1145/3524843.3528094" TargetMode="External"/><Relationship Id="rId61" Type="http://schemas.openxmlformats.org/officeDocument/2006/relationships/hyperlink" Target="http://link.springer.com/article/10.1007/s11219-021-09555-0" TargetMode="External"/><Relationship Id="rId1727" Type="http://schemas.openxmlformats.org/officeDocument/2006/relationships/hyperlink" Target="http://link.springer.com/book/10.1007/978-3-031-15116-3" TargetMode="External"/><Relationship Id="rId1934" Type="http://schemas.openxmlformats.org/officeDocument/2006/relationships/hyperlink" Target="http://link.springer.com/book/10.1007/978-3-319-55444-0" TargetMode="External"/><Relationship Id="rId19" Type="http://schemas.openxmlformats.org/officeDocument/2006/relationships/hyperlink" Target="https://www.scopus.com/inward/record.uri?eid=2-s2.0-85139115973&amp;doi=10.1145%2f3555228.3555243&amp;partnerID=40&amp;md5=6cff46e7f5d2ebd3a471c921ec449c46;http://dx.doi.org/10.1145/3555228.3555243" TargetMode="External"/><Relationship Id="rId168" Type="http://schemas.openxmlformats.org/officeDocument/2006/relationships/hyperlink" Target="https://www.scopus.com/inward/record.uri?eid=2-s2.0-85054360412&amp;doi=10.1002%2fspe.2639&amp;partnerID=40&amp;md5=f5da700d6e3092b8512328c2b1c4622c;http://dx.doi.org/10.1002/spe.2639" TargetMode="External"/><Relationship Id="rId375" Type="http://schemas.openxmlformats.org/officeDocument/2006/relationships/hyperlink" Target="https://www.scopus.com/inward/record.uri?eid=2-s2.0-85062622797&amp;doi=10.1109%2fBigData.2018.8622357&amp;partnerID=40&amp;md5=8a85487e246f1342bb32bd1a63e9383b;http://dx.doi.org/10.1109/BigData.2018.8622357" TargetMode="External"/><Relationship Id="rId582" Type="http://schemas.openxmlformats.org/officeDocument/2006/relationships/hyperlink" Target="https://www.sciencedirect.com/science/article/pii/S0957417420308356;http:/dx.doi.org/10.1016/j.eswa.2020.114076" TargetMode="External"/><Relationship Id="rId2056" Type="http://schemas.openxmlformats.org/officeDocument/2006/relationships/hyperlink" Target="https://doi.org/10.1145/3377812.3381404;http:/dx.doi.org/10.1145/3377812.3381404" TargetMode="External"/><Relationship Id="rId3" Type="http://schemas.openxmlformats.org/officeDocument/2006/relationships/hyperlink" Target="http://link.springer.com/book/10.1007/978-3-658-30995-4" TargetMode="External"/><Relationship Id="rId235" Type="http://schemas.openxmlformats.org/officeDocument/2006/relationships/hyperlink" Target="https://www.scopus.com/inward/record.uri?eid=2-s2.0-85102359323&amp;doi=10.1109%2fAPSEC51365.2020.00048&amp;partnerID=40&amp;md5=0853303162ddbab2b67c1f89f83f472d;http://dx.doi.org/10.1109/APSEC51365.2020.00048" TargetMode="External"/><Relationship Id="rId442" Type="http://schemas.openxmlformats.org/officeDocument/2006/relationships/hyperlink" Target="https://www.scopus.com/inward/record.uri?eid=2-s2.0-85115170584&amp;doi=10.3390%2fsu131810256&amp;partnerID=40&amp;md5=4fb2fc036cbe512bcde25df6c544d84e;http://dx.doi.org/10.3390/su131810256" TargetMode="External"/><Relationship Id="rId887" Type="http://schemas.openxmlformats.org/officeDocument/2006/relationships/hyperlink" Target="https://www.scopus.com/inward/record.uri?eid=2-s2.0-85130746978&amp;doi=10.1109%2fTSE.2020.3024814&amp;partnerID=40&amp;md5=034fb9df203b827551ffe9dfd4e2a737;http://dx.doi.org/10.1109/TSE.2020.3024814" TargetMode="External"/><Relationship Id="rId1072" Type="http://schemas.openxmlformats.org/officeDocument/2006/relationships/hyperlink" Target="https://www.scopus.com/inward/record.uri?eid=2-s2.0-85139956051&amp;doi=10.1145%2f3559712.3559720&amp;partnerID=40&amp;md5=817a2c79ae9bb6d217a57efcd944f25f;http://dx.doi.org/10.1145/3559712.3559720" TargetMode="External"/><Relationship Id="rId2123" Type="http://schemas.openxmlformats.org/officeDocument/2006/relationships/hyperlink" Target="https://www.scopus.com/inward/record.uri?eid=2-s2.0-85139960075&amp;partnerID=40&amp;md5=47d94a3671b3bf9cb72e0214142b20a1" TargetMode="External"/><Relationship Id="rId302" Type="http://schemas.openxmlformats.org/officeDocument/2006/relationships/hyperlink" Target="https://www.scopus.com/inward/record.uri?eid=2-s2.0-85100924329&amp;doi=10.1007%2fs10664-020-09917-5&amp;partnerID=40&amp;md5=3e7ce79f3c6bc5ed55165ba876d31c97;http://dx.doi.org/10.1007/s10664-020-09917-5" TargetMode="External"/><Relationship Id="rId747" Type="http://schemas.openxmlformats.org/officeDocument/2006/relationships/hyperlink" Target="https://doi.org/10.1145/3463274.3464455;http:/dx.doi.org/10.1145/3463274.3464455" TargetMode="External"/><Relationship Id="rId954" Type="http://schemas.openxmlformats.org/officeDocument/2006/relationships/hyperlink" Target="https://www.scopus.com/inward/record.uri?eid=2-s2.0-85140988970&amp;doi=10.5220%2f0011039700003176&amp;partnerID=40&amp;md5=a3f710a5b2d6e27fb76a852bc53c36b5;http://dx.doi.org/10.5220/0011039700003176" TargetMode="External"/><Relationship Id="rId1377" Type="http://schemas.openxmlformats.org/officeDocument/2006/relationships/hyperlink" Target="https://www.scopus.com/inward/record.uri?eid=2-s2.0-85141871666&amp;doi=10.3390%2fapp122110773&amp;partnerID=40&amp;md5=68da77451b330b3c748a87a531f560c2;http://dx.doi.org/10.3390/app122110773" TargetMode="External"/><Relationship Id="rId1584" Type="http://schemas.openxmlformats.org/officeDocument/2006/relationships/hyperlink" Target="https://www.sciencedirect.com/science/article/pii/S0164121216000789;http:/dx.doi.org/10.1016/j.jss.2016.02.047" TargetMode="External"/><Relationship Id="rId1791" Type="http://schemas.openxmlformats.org/officeDocument/2006/relationships/hyperlink" Target="https://www.scopus.com/inward/record.uri?eid=2-s2.0-85067357790&amp;doi=10.1007%2f978-3-030-21290-2_39&amp;partnerID=40&amp;md5=84b52947fbd4ff3d7df1a1600fdbd3ba;http://dx.doi.org/10.1007/978-3-030-21290-2_39" TargetMode="External"/><Relationship Id="rId83" Type="http://schemas.openxmlformats.org/officeDocument/2006/relationships/hyperlink" Target="https://doi.org/10.1145/3463274.3463325;http:/dx.doi.org/10.1145/3463274.3463325" TargetMode="External"/><Relationship Id="rId607" Type="http://schemas.openxmlformats.org/officeDocument/2006/relationships/hyperlink" Target="https://doi.org/10.1145/3474370.3485661;http:/dx.doi.org/10.1145/3474370.3485661" TargetMode="External"/><Relationship Id="rId814" Type="http://schemas.openxmlformats.org/officeDocument/2006/relationships/hyperlink" Target="https://www.scopus.com/inward/record.uri?eid=2-s2.0-85098747435&amp;doi=10.1109%2fJIOT.2020.3046441&amp;partnerID=40&amp;md5=2590b03f81218d081d6390b18c6c74c9;http://dx.doi.org/10.1109/JIOT.2020.3046441" TargetMode="External"/><Relationship Id="rId1237" Type="http://schemas.openxmlformats.org/officeDocument/2006/relationships/hyperlink" Target="http://link.springer.com/book/10.1007/978-3-030-78585-7" TargetMode="External"/><Relationship Id="rId1444" Type="http://schemas.openxmlformats.org/officeDocument/2006/relationships/hyperlink" Target="http://link.springer.com/article/10.1007/s10664-022-10221-7" TargetMode="External"/><Relationship Id="rId1651" Type="http://schemas.openxmlformats.org/officeDocument/2006/relationships/hyperlink" Target="https://doi.org/10.1145/3460231.3474616;http:/dx.doi.org/10.1145/3460231.3474616" TargetMode="External"/><Relationship Id="rId1889" Type="http://schemas.openxmlformats.org/officeDocument/2006/relationships/hyperlink" Target="https://www.scopus.com/inward/record.uri?eid=2-s2.0-85142683338&amp;doi=10.1007%2f978-3-031-21388-5_19&amp;partnerID=40&amp;md5=c3af08459cf0233cd5db9d511d5918d9;http://dx.doi.org/10.1007/978-3-031-21388-5_19" TargetMode="External"/><Relationship Id="rId1304" Type="http://schemas.openxmlformats.org/officeDocument/2006/relationships/hyperlink" Target="http://link.springer.com/chapter/10.1007/978-3-031-15116-3_4" TargetMode="External"/><Relationship Id="rId1511" Type="http://schemas.openxmlformats.org/officeDocument/2006/relationships/hyperlink" Target="https://www.scopus.com/inward/record.uri?eid=2-s2.0-85130759581&amp;doi=10.1145%2f3503509&amp;partnerID=40&amp;md5=9fe3adb7cd22469cc37df72481195af2;http://dx.doi.org/10.1145/3503509" TargetMode="External"/><Relationship Id="rId1749" Type="http://schemas.openxmlformats.org/officeDocument/2006/relationships/hyperlink" Target="http://link.springer.com/article/10.1007/s11831-022-09864-y" TargetMode="External"/><Relationship Id="rId1956" Type="http://schemas.openxmlformats.org/officeDocument/2006/relationships/hyperlink" Target="http://dx.doi.org/10.1109/TSE.2019.2912113" TargetMode="External"/><Relationship Id="rId1609" Type="http://schemas.openxmlformats.org/officeDocument/2006/relationships/hyperlink" Target="https://www.scopus.com/inward/record.uri?eid=2-s2.0-85094317336&amp;doi=10.1145%2f3377811.3380378&amp;partnerID=40&amp;md5=04f2a8fe22d46c9728e273be0636e07b;http://dx.doi.org/10.1145/3377811.3380378" TargetMode="External"/><Relationship Id="rId1816" Type="http://schemas.openxmlformats.org/officeDocument/2006/relationships/hyperlink" Target="http://dx.doi.org/10.1109/ICSE.2012.6227212" TargetMode="External"/><Relationship Id="rId10" Type="http://schemas.openxmlformats.org/officeDocument/2006/relationships/hyperlink" Target="https://doi.org/10.1145/3540250.3549088;http:/dx.doi.org/10.1145/3540250.3549088" TargetMode="External"/><Relationship Id="rId397" Type="http://schemas.openxmlformats.org/officeDocument/2006/relationships/hyperlink" Target="http://dx.doi.org/10.1145/3510454.3517055" TargetMode="External"/><Relationship Id="rId2078" Type="http://schemas.openxmlformats.org/officeDocument/2006/relationships/hyperlink" Target="https://www.scopus.com/inward/record.uri?eid=2-s2.0-85123287454&amp;doi=10.1109%2fSCAM52516.2021.00016&amp;partnerID=40&amp;md5=d5aad7dfa0e6c1715bf45f4c5f3c99b5;http://dx.doi.org/10.1109/SCAM52516.2021.00016" TargetMode="External"/><Relationship Id="rId257" Type="http://schemas.openxmlformats.org/officeDocument/2006/relationships/hyperlink" Target="http://link.springer.com/chapter/10.1007/978-3-030-40783-4_12" TargetMode="External"/><Relationship Id="rId464" Type="http://schemas.openxmlformats.org/officeDocument/2006/relationships/hyperlink" Target="https://www.scopus.com/inward/record.uri?eid=2-s2.0-85103296998&amp;doi=10.1007%2f978-3-030-70006-5_5&amp;partnerID=40&amp;md5=56b6dc1ba648e4b4ab2b3fe83883ebc3;http://dx.doi.org/10.1007/978-3-030-70006-5_5" TargetMode="External"/><Relationship Id="rId1094" Type="http://schemas.openxmlformats.org/officeDocument/2006/relationships/hyperlink" Target="https://www.sciencedirect.com/science/article/pii/S0164121221002211;http:/dx.doi.org/10.1016/j.jss.2021.111124" TargetMode="External"/><Relationship Id="rId2145" Type="http://schemas.openxmlformats.org/officeDocument/2006/relationships/hyperlink" Target="https://www.sciencedirect.com/science/article/pii/S0164121222002643;http:/dx.doi.org/10.1016/j.jss.2022.111588" TargetMode="External"/><Relationship Id="rId117" Type="http://schemas.openxmlformats.org/officeDocument/2006/relationships/hyperlink" Target="https://www.scopus.com/inward/record.uri?eid=2-s2.0-85053250705&amp;doi=10.1007%2f978-981-13-0761-4_86&amp;partnerID=40&amp;md5=83df076c0c8371cc0f82cc2139fc4ad1;http://dx.doi.org/10.1007/978-981-13-0761-4_86" TargetMode="External"/><Relationship Id="rId671" Type="http://schemas.openxmlformats.org/officeDocument/2006/relationships/hyperlink" Target="https://www.sciencedirect.com/science/article/pii/S0920548921000362;http:/dx.doi.org/10.1016/j.csi.2021.103541" TargetMode="External"/><Relationship Id="rId769" Type="http://schemas.openxmlformats.org/officeDocument/2006/relationships/hyperlink" Target="https://www.scopus.com/inward/record.uri?eid=2-s2.0-85128603213&amp;doi=10.1109%2fTR.2022.3159851&amp;partnerID=40&amp;md5=34f70bed258ee2f6c67413470fb980d1;http://dx.doi.org/10.1109/TR.2022.3159851" TargetMode="External"/><Relationship Id="rId976" Type="http://schemas.openxmlformats.org/officeDocument/2006/relationships/hyperlink" Target="https://www.sciencedirect.com/science/article/pii/S0164121219301943;http:/dx.doi.org/10.1016/j.jss.2019.110420" TargetMode="External"/><Relationship Id="rId1399" Type="http://schemas.openxmlformats.org/officeDocument/2006/relationships/hyperlink" Target="https://www.scopus.com/inward/record.uri?eid=2-s2.0-85118631068&amp;partnerID=40&amp;md5=2195f60fd0617a0087df6aa8fcb55489" TargetMode="External"/><Relationship Id="rId324" Type="http://schemas.openxmlformats.org/officeDocument/2006/relationships/hyperlink" Target="https://doi.org/10.1145/3196398.3196410;http:/dx.doi.org/10.1145/3196398.3196410" TargetMode="External"/><Relationship Id="rId531" Type="http://schemas.openxmlformats.org/officeDocument/2006/relationships/hyperlink" Target="https://www.scopus.com/inward/record.uri?eid=2-s2.0-85128067243&amp;doi=10.4271%2f2022-01-0109&amp;partnerID=40&amp;md5=4db7822e205f435db6a5d96d164cbbef;http://dx.doi.org/10.4271/2022-01-0109" TargetMode="External"/><Relationship Id="rId629" Type="http://schemas.openxmlformats.org/officeDocument/2006/relationships/hyperlink" Target="https://www.scopus.com/inward/record.uri?eid=2-s2.0-85145966825&amp;doi=10.1016%2fj.infsof.2022.107134&amp;partnerID=40&amp;md5=581350936b5b9365cc7476ca1738340b;http://dx.doi.org/10.1016/j.infsof.2022.107134" TargetMode="External"/><Relationship Id="rId1161" Type="http://schemas.openxmlformats.org/officeDocument/2006/relationships/hyperlink" Target="https://www.scopus.com/inward/record.uri?eid=2-s2.0-85129512886&amp;doi=10.1016%2fj.jss.2022.111336&amp;partnerID=40&amp;md5=2b6bf85134c2819dcdba1c0f1bf045e0;http://dx.doi.org/10.1016/j.jss.2022.111336" TargetMode="External"/><Relationship Id="rId1259" Type="http://schemas.openxmlformats.org/officeDocument/2006/relationships/hyperlink" Target="https://www.scopus.com/inward/record.uri?eid=2-s2.0-85015176462&amp;doi=10.1109%2fBigData.2016.7840748&amp;partnerID=40&amp;md5=1561150575893c76c3a51217a41d1ab3;http://dx.doi.org/10.1109/BigData.2016.7840748" TargetMode="External"/><Relationship Id="rId1466" Type="http://schemas.openxmlformats.org/officeDocument/2006/relationships/hyperlink" Target="https://doi.org/10.1145/3196321.3196322;http:/dx.doi.org/10.1145/3196321.3196322" TargetMode="External"/><Relationship Id="rId2005" Type="http://schemas.openxmlformats.org/officeDocument/2006/relationships/hyperlink" Target="http://link.springer.com/article/10.1007/s10664-019-09754-1" TargetMode="External"/><Relationship Id="rId836" Type="http://schemas.openxmlformats.org/officeDocument/2006/relationships/hyperlink" Target="https://www.scopus.com/inward/record.uri?eid=2-s2.0-85133288451&amp;doi=10.1080%2f09540091.2022.2067125&amp;partnerID=40&amp;md5=73770d01b2a5a6366da4aa4f93d906c2;http://dx.doi.org/10.1080/09540091.2022.2067125" TargetMode="External"/><Relationship Id="rId1021" Type="http://schemas.openxmlformats.org/officeDocument/2006/relationships/hyperlink" Target="http://dx.doi.org/10.1109/MS.2017.51" TargetMode="External"/><Relationship Id="rId1119" Type="http://schemas.openxmlformats.org/officeDocument/2006/relationships/hyperlink" Target="https://www.scopus.com/inward/record.uri?eid=2-s2.0-85078871135&amp;doi=10.1016%2fj.infsof.2020.106270&amp;partnerID=40&amp;md5=da9d6aa798dac89600c4c15e6d482606;http://dx.doi.org/10.1016/j.infsof.2020.106270" TargetMode="External"/><Relationship Id="rId1673" Type="http://schemas.openxmlformats.org/officeDocument/2006/relationships/hyperlink" Target="http://link.springer.com/chapter/10.1007/978-3-030-43020-7_93" TargetMode="External"/><Relationship Id="rId1880" Type="http://schemas.openxmlformats.org/officeDocument/2006/relationships/hyperlink" Target="https://www.sciencedirect.com/science/article/pii/S0164121220301904;http:/dx.doi.org/10.1016/j.jss.2020.110777" TargetMode="External"/><Relationship Id="rId1978" Type="http://schemas.openxmlformats.org/officeDocument/2006/relationships/hyperlink" Target="https://www.scopus.com/inward/record.uri?eid=2-s2.0-85072343120&amp;doi=10.1109%2fMSR.2019.00071&amp;partnerID=40&amp;md5=47ccc563239187220923d9959cc82e19;http://dx.doi.org/10.1109/MSR.2019.00071" TargetMode="External"/><Relationship Id="rId903" Type="http://schemas.openxmlformats.org/officeDocument/2006/relationships/hyperlink" Target="https://www.scopus.com/inward/record.uri?eid=2-s2.0-85092763520&amp;doi=10.3390%2fe22101122&amp;partnerID=40&amp;md5=d5d13f826d30dab82eb00f8a82bf76e4;http://dx.doi.org/10.3390/e22101122" TargetMode="External"/><Relationship Id="rId1326" Type="http://schemas.openxmlformats.org/officeDocument/2006/relationships/hyperlink" Target="http://dx.doi.org/10.1109/MS.2017.56" TargetMode="External"/><Relationship Id="rId1533" Type="http://schemas.openxmlformats.org/officeDocument/2006/relationships/hyperlink" Target="http://link.springer.com/book/10.1007/978-3-031-08848-3" TargetMode="External"/><Relationship Id="rId1740" Type="http://schemas.openxmlformats.org/officeDocument/2006/relationships/hyperlink" Target="https://www.scopus.com/inward/record.uri?eid=2-s2.0-85093114739&amp;doi=10.1007%2f978-3-030-58802-1_25&amp;partnerID=40&amp;md5=a4a82ab6c1acec6090121239c85255c0;http://dx.doi.org/10.1007/978-3-030-58802-1_25" TargetMode="External"/><Relationship Id="rId32" Type="http://schemas.openxmlformats.org/officeDocument/2006/relationships/hyperlink" Target="https://www.sciencedirect.com/science/article/pii/S0164121222002801;http:/dx.doi.org/10.1016/j.jss.2022.111604" TargetMode="External"/><Relationship Id="rId1600" Type="http://schemas.openxmlformats.org/officeDocument/2006/relationships/hyperlink" Target="http://dx.doi.org/10.1109/TSE.2020.3007722" TargetMode="External"/><Relationship Id="rId1838" Type="http://schemas.openxmlformats.org/officeDocument/2006/relationships/hyperlink" Target="https://www.scopus.com/inward/record.uri?eid=2-s2.0-85130778732&amp;doi=10.1109%2fACCESS.2022.3174115&amp;partnerID=40&amp;md5=e36e8ee7999d57a6b18554a0dc5d434f;http://dx.doi.org/10.1109/ACCESS.2022.3174115" TargetMode="External"/><Relationship Id="rId181" Type="http://schemas.openxmlformats.org/officeDocument/2006/relationships/hyperlink" Target="http://link.springer.com/chapter/10.1007/978-3-030-19034-7_14" TargetMode="External"/><Relationship Id="rId1905" Type="http://schemas.openxmlformats.org/officeDocument/2006/relationships/hyperlink" Target="https://www.scopus.com/inward/record.uri?eid=2-s2.0-85135699101&amp;doi=10.1016%2fj.jss.2022.111458&amp;partnerID=40&amp;md5=9290b68aebc2338832c078b171b8b2cc;http://dx.doi.org/10.1016/j.jss.2022.111458" TargetMode="External"/><Relationship Id="rId279" Type="http://schemas.openxmlformats.org/officeDocument/2006/relationships/hyperlink" Target="https://www.scopus.com/inward/record.uri?eid=2-s2.0-85133287701&amp;doi=10.1109%2fICST53961.2022.00024&amp;partnerID=40&amp;md5=e33a6bc1b5ab5fd6a473bf68ee6e214b;http://dx.doi.org/10.1109/ICST53961.2022.00024" TargetMode="External"/><Relationship Id="rId486" Type="http://schemas.openxmlformats.org/officeDocument/2006/relationships/hyperlink" Target="https://www.scopus.com/inward/record.uri?eid=2-s2.0-85145750026&amp;doi=10.1007%2fs40031-022-00836-1&amp;partnerID=40&amp;md5=c3c27b4e2e6e93adc2285c0b4897029b;http://dx.doi.org/10.1007/s40031-022-00836-1" TargetMode="External"/><Relationship Id="rId693" Type="http://schemas.openxmlformats.org/officeDocument/2006/relationships/hyperlink" Target="https://www.scopus.com/inward/record.uri?eid=2-s2.0-85083555688&amp;doi=10.1109%2fSANER48275.2020.9054792&amp;partnerID=40&amp;md5=9dbc463d70f0901b3072e404686ff20e;http://dx.doi.org/10.1109/SANER48275.2020.9054792" TargetMode="External"/><Relationship Id="rId2167" Type="http://schemas.openxmlformats.org/officeDocument/2006/relationships/hyperlink" Target="https://www.sciencedirect.com/science/article/pii/S0164121222001091;http:/dx.doi.org/10.1016/j.jss.2022.111389" TargetMode="External"/><Relationship Id="rId139" Type="http://schemas.openxmlformats.org/officeDocument/2006/relationships/hyperlink" Target="http://dx.doi.org/10.1109/BigDataCongress.2018.00013" TargetMode="External"/><Relationship Id="rId346" Type="http://schemas.openxmlformats.org/officeDocument/2006/relationships/hyperlink" Target="http://dx.doi.org/10.1109/ICSAW.2017.16" TargetMode="External"/><Relationship Id="rId553" Type="http://schemas.openxmlformats.org/officeDocument/2006/relationships/hyperlink" Target="https://doi.org/10.1145/3197231.3198444;http:/dx.doi.org/10.1145/3197231.3198444" TargetMode="External"/><Relationship Id="rId760" Type="http://schemas.openxmlformats.org/officeDocument/2006/relationships/hyperlink" Target="http://dx.doi.org/10.1109/SCAM55253.2022.00018" TargetMode="External"/><Relationship Id="rId998" Type="http://schemas.openxmlformats.org/officeDocument/2006/relationships/hyperlink" Target="https://www.scopus.com/inward/record.uri?eid=2-s2.0-85143589507&amp;doi=10.1142%2fS0218194022500693&amp;partnerID=40&amp;md5=f52a0e9b1784a7b8fc61fc1a9aefadcb;http://dx.doi.org/10.1142/S0218194022500693" TargetMode="External"/><Relationship Id="rId1183" Type="http://schemas.openxmlformats.org/officeDocument/2006/relationships/hyperlink" Target="http://dx.doi.org/10.1109/CCCI49893.2020.9256507" TargetMode="External"/><Relationship Id="rId1390" Type="http://schemas.openxmlformats.org/officeDocument/2006/relationships/hyperlink" Target="http://link.springer.com/article/10.1007/s00766-022-00395-3" TargetMode="External"/><Relationship Id="rId2027" Type="http://schemas.openxmlformats.org/officeDocument/2006/relationships/hyperlink" Target="https://doi.org/10.1145/3196398.3196440;http:/dx.doi.org/10.1145/3196398.3196440" TargetMode="External"/><Relationship Id="rId206" Type="http://schemas.openxmlformats.org/officeDocument/2006/relationships/hyperlink" Target="https://www.scopus.com/inward/record.uri?eid=2-s2.0-85095814265&amp;doi=10.1145%2f3382494.3410681&amp;partnerID=40&amp;md5=8c9d5d6c0962fe371bc4bcd6588e28d7;http://dx.doi.org/10.1145/3382494.3410681" TargetMode="External"/><Relationship Id="rId413" Type="http://schemas.openxmlformats.org/officeDocument/2006/relationships/hyperlink" Target="https://www.scopus.com/inward/record.uri?eid=2-s2.0-85097642624&amp;doi=10.1109%2fSCAM51674.2020.00011&amp;partnerID=40&amp;md5=546e6224a37a8c2f83e5f1025cdcc7d1;http://dx.doi.org/10.1109/SCAM51674.2020.00011" TargetMode="External"/><Relationship Id="rId858" Type="http://schemas.openxmlformats.org/officeDocument/2006/relationships/hyperlink" Target="http://link.springer.com/article/10.1007/s11334-022-00457-3" TargetMode="External"/><Relationship Id="rId1043" Type="http://schemas.openxmlformats.org/officeDocument/2006/relationships/hyperlink" Target="https://doi.org/10.1145/3524610.3527901;http:/dx.doi.org/10.1145/3524610.3527901" TargetMode="External"/><Relationship Id="rId1488" Type="http://schemas.openxmlformats.org/officeDocument/2006/relationships/hyperlink" Target="https://www.scopus.com/inward/record.uri?eid=2-s2.0-85112118148&amp;doi=10.1109%2fWAIN52551.2021.00021&amp;partnerID=40&amp;md5=bef0767bd5dd2ab693e846ac4e0988d8;http://dx.doi.org/10.1109/WAIN52551.2021.00021" TargetMode="External"/><Relationship Id="rId1695" Type="http://schemas.openxmlformats.org/officeDocument/2006/relationships/hyperlink" Target="http://dx.doi.org/10.1109/IWSM-MENSURA.2011.14" TargetMode="External"/><Relationship Id="rId620" Type="http://schemas.openxmlformats.org/officeDocument/2006/relationships/hyperlink" Target="https://www.scopus.com/inward/record.uri?eid=2-s2.0-85135922174&amp;doi=10.1007%2f978-3-031-10542-5_5&amp;partnerID=40&amp;md5=10c18f25a4197f7c8479fc1e4acf8cd7;http://dx.doi.org/10.1007/978-3-031-10542-5_5" TargetMode="External"/><Relationship Id="rId718" Type="http://schemas.openxmlformats.org/officeDocument/2006/relationships/hyperlink" Target="http://link.springer.com/book/10.1007/978-981-16-3583-0" TargetMode="External"/><Relationship Id="rId925" Type="http://schemas.openxmlformats.org/officeDocument/2006/relationships/hyperlink" Target="https://www.scopus.com/inward/record.uri?eid=2-s2.0-85101223219&amp;doi=10.1609%2faimag.v41i4.5309&amp;partnerID=40&amp;md5=a9ed703a7b5f5832914788a47107f701;http://dx.doi.org/10.1609/aimag.v41i4.5309" TargetMode="External"/><Relationship Id="rId1250" Type="http://schemas.openxmlformats.org/officeDocument/2006/relationships/hyperlink" Target="https://www.scopus.com/inward/record.uri?eid=2-s2.0-85134078512&amp;doi=10.1109%2fSANER53432.2022.00022&amp;partnerID=40&amp;md5=83912dd89d5bb13fff0e59bf8748443b;http://dx.doi.org/10.1109/SANER53432.2022.00022" TargetMode="External"/><Relationship Id="rId1348" Type="http://schemas.openxmlformats.org/officeDocument/2006/relationships/hyperlink" Target="https://www.sciencedirect.com/science/article/pii/S0167404820302406;http:/dx.doi.org/10.1016/j.cose.2020.101967" TargetMode="External"/><Relationship Id="rId1555" Type="http://schemas.openxmlformats.org/officeDocument/2006/relationships/hyperlink" Target="https://www.scopus.com/inward/record.uri?eid=2-s2.0-85126671710&amp;doi=10.1109%2fTSE.2021.3128356&amp;partnerID=40&amp;md5=2373adee78cf4a2e38c603d43371032a;http://dx.doi.org/10.1109/TSE.2021.3128356" TargetMode="External"/><Relationship Id="rId1762" Type="http://schemas.openxmlformats.org/officeDocument/2006/relationships/hyperlink" Target="https://www.scopus.com/inward/record.uri?eid=2-s2.0-85072111655&amp;doi=10.1109%2fICSE-SEIP.2019.00042&amp;partnerID=40&amp;md5=8c03592773800ea1ac1b5a71f9fae249;http://dx.doi.org/10.1109/ICSE-SEIP.2019.00042" TargetMode="External"/><Relationship Id="rId1110" Type="http://schemas.openxmlformats.org/officeDocument/2006/relationships/hyperlink" Target="https://www.scopus.com/inward/record.uri?eid=2-s2.0-85072316214&amp;doi=10.1109%2fMSR.2019.00054&amp;partnerID=40&amp;md5=19878e711266006c188cc4411ce4cf11;http://dx.doi.org/10.1109/MSR.2019.00054" TargetMode="External"/><Relationship Id="rId1208" Type="http://schemas.openxmlformats.org/officeDocument/2006/relationships/hyperlink" Target="https://www.scopus.com/inward/record.uri?eid=2-s2.0-85099127778&amp;partnerID=40&amp;md5=dac34d4ff4a9a1fc3ce75d4ecefd5799" TargetMode="External"/><Relationship Id="rId1415" Type="http://schemas.openxmlformats.org/officeDocument/2006/relationships/hyperlink" Target="https://www.sciencedirect.com/science/article/pii/S0166361522000987;http:/dx.doi.org/10.1016/j.compind.2022.103701" TargetMode="External"/><Relationship Id="rId54" Type="http://schemas.openxmlformats.org/officeDocument/2006/relationships/hyperlink" Target="https://www.scopus.com/inward/record.uri?eid=2-s2.0-85097032199&amp;doi=10.1002%2fcpe.6129&amp;partnerID=40&amp;md5=35021be6327c7408aa2e08f0431f2531;http://dx.doi.org/10.1002/cpe.6129" TargetMode="External"/><Relationship Id="rId1622" Type="http://schemas.openxmlformats.org/officeDocument/2006/relationships/hyperlink" Target="https://www.scopus.com/inward/record.uri?eid=2-s2.0-85077510435&amp;partnerID=40&amp;md5=70bfd4c4b4d7d9d7a5a883c200ea9df0" TargetMode="External"/><Relationship Id="rId1927" Type="http://schemas.openxmlformats.org/officeDocument/2006/relationships/hyperlink" Target="http://link.springer.com/book/10.1007/978-1-4842-8704-0" TargetMode="External"/><Relationship Id="rId2091" Type="http://schemas.openxmlformats.org/officeDocument/2006/relationships/hyperlink" Target="https://doi.org/10.1145/3555803;http:/dx.doi.org/10.1145/3555803" TargetMode="External"/><Relationship Id="rId270" Type="http://schemas.openxmlformats.org/officeDocument/2006/relationships/hyperlink" Target="https://www.scopus.com/inward/record.uri?eid=2-s2.0-85042390923&amp;doi=10.1109%2fESEM.2017.12&amp;partnerID=40&amp;md5=9ab6c329033b57a845b80a8fde98a836;http://dx.doi.org/10.1109/ESEM.2017.12" TargetMode="External"/><Relationship Id="rId130" Type="http://schemas.openxmlformats.org/officeDocument/2006/relationships/hyperlink" Target="https://www.scopus.com/inward/record.uri?eid=2-s2.0-85075999048&amp;doi=10.1109%2fSEAA.2019.00057&amp;partnerID=40&amp;md5=3a9d32f3dff27ced9892d892d6cc3c7a;http://dx.doi.org/10.1109/SEAA.2019.00057" TargetMode="External"/><Relationship Id="rId368" Type="http://schemas.openxmlformats.org/officeDocument/2006/relationships/hyperlink" Target="https://www.scopus.com/inward/record.uri?eid=2-s2.0-85083565109&amp;doi=10.1109%2fSANER48275.2020.9054821&amp;partnerID=40&amp;md5=b02e9d84c6eb93fb5ccd9db67d59ae6b;http://dx.doi.org/10.1109/SANER48275.2020.9054821" TargetMode="External"/><Relationship Id="rId575" Type="http://schemas.openxmlformats.org/officeDocument/2006/relationships/hyperlink" Target="https://doi.org/10.1145/2889160.2889211;http:/dx.doi.org/10.1145/2889160.2889211" TargetMode="External"/><Relationship Id="rId782" Type="http://schemas.openxmlformats.org/officeDocument/2006/relationships/hyperlink" Target="https://doi.org/10.1145/3183440.3183460;http:/dx.doi.org/10.1145/3183440.3183460" TargetMode="External"/><Relationship Id="rId2049" Type="http://schemas.openxmlformats.org/officeDocument/2006/relationships/hyperlink" Target="https://www.scopus.com/inward/record.uri?eid=2-s2.0-85102646173&amp;doi=10.1145%2f3442188.3445918&amp;partnerID=40&amp;md5=de914614bddc5b2a46bb56fb40e0c3f6;http://dx.doi.org/10.1145/3442188.3445918" TargetMode="External"/><Relationship Id="rId228" Type="http://schemas.openxmlformats.org/officeDocument/2006/relationships/hyperlink" Target="http://link.springer.com/book/10.1007/978-1-4842-8200-7" TargetMode="External"/><Relationship Id="rId435" Type="http://schemas.openxmlformats.org/officeDocument/2006/relationships/hyperlink" Target="https://www.scopus.com/inward/record.uri?eid=2-s2.0-85092325634&amp;doi=10.1002%2fspe.2908&amp;partnerID=40&amp;md5=1a51724d241ac77820dd5996e6211400;http://dx.doi.org/10.1002/spe.2908" TargetMode="External"/><Relationship Id="rId642" Type="http://schemas.openxmlformats.org/officeDocument/2006/relationships/hyperlink" Target="https://www.scopus.com/inward/record.uri?eid=2-s2.0-85125742096&amp;doi=10.1109%2fSNPD51163.2021.9705010&amp;partnerID=40&amp;md5=7bf149931457e25b959f4e77cf6c2d7e;http://dx.doi.org/10.1109/SNPD51163.2021.9705010" TargetMode="External"/><Relationship Id="rId1065" Type="http://schemas.openxmlformats.org/officeDocument/2006/relationships/hyperlink" Target="https://www.scopus.com/inward/record.uri?eid=2-s2.0-85049674778&amp;doi=10.1145%2f3183440.3194950&amp;partnerID=40&amp;md5=e3304807d2353cd906e4c925fd57549b;http://dx.doi.org/10.1145/3183440.3194950" TargetMode="External"/><Relationship Id="rId1272" Type="http://schemas.openxmlformats.org/officeDocument/2006/relationships/hyperlink" Target="http://dx.doi.org/10.1109/TSE.2021.3129355" TargetMode="External"/><Relationship Id="rId2116" Type="http://schemas.openxmlformats.org/officeDocument/2006/relationships/hyperlink" Target="https://www.scopus.com/inward/record.uri?eid=2-s2.0-85106961235&amp;doi=10.1007%2fs11704-020-9281-z&amp;partnerID=40&amp;md5=002b16d30c3111a8288dbd251d14acba;http://dx.doi.org/10.1007/s11704-020-9281-z" TargetMode="External"/><Relationship Id="rId502" Type="http://schemas.openxmlformats.org/officeDocument/2006/relationships/hyperlink" Target="http://link.springer.com/book/10.1007/978-3-031-08313-6" TargetMode="External"/><Relationship Id="rId947" Type="http://schemas.openxmlformats.org/officeDocument/2006/relationships/hyperlink" Target="https://www.sciencedirect.com/science/article/pii/S095219762200313X;http:/dx.doi.org/10.1016/j.engappai.2022.105240" TargetMode="External"/><Relationship Id="rId1132" Type="http://schemas.openxmlformats.org/officeDocument/2006/relationships/hyperlink" Target="https://www.scopus.com/inward/record.uri?eid=2-s2.0-85135893425&amp;doi=10.1002%2fspe.3138&amp;partnerID=40&amp;md5=81d2a407816f0eee2cee3b48947ce001;http://dx.doi.org/10.1002/spe.3138" TargetMode="External"/><Relationship Id="rId1577" Type="http://schemas.openxmlformats.org/officeDocument/2006/relationships/hyperlink" Target="http://link.springer.com/book/10.1007/978-3-030-85347-1" TargetMode="External"/><Relationship Id="rId1784" Type="http://schemas.openxmlformats.org/officeDocument/2006/relationships/hyperlink" Target="https://www.scopus.com/inward/record.uri?eid=2-s2.0-85122898212&amp;doi=10.1155%2f2021%2f8522839&amp;partnerID=40&amp;md5=f0bb3c564264a93cba7fbfbf11b611d0;http://dx.doi.org/10.1155/2021/8522839" TargetMode="External"/><Relationship Id="rId1991" Type="http://schemas.openxmlformats.org/officeDocument/2006/relationships/hyperlink" Target="http://link.springer.com/chapter/10.1007/978-1-4842-6228-3_11" TargetMode="External"/><Relationship Id="rId76" Type="http://schemas.openxmlformats.org/officeDocument/2006/relationships/hyperlink" Target="https://www.scopus.com/inward/record.uri?eid=2-s2.0-85113593339&amp;doi=10.1007%2fs11219-021-09567-w&amp;partnerID=40&amp;md5=4b23a0a229f5fbf8f3608c82dcc0182b;http://dx.doi.org/10.1007/s11219-021-09567-w" TargetMode="External"/><Relationship Id="rId807" Type="http://schemas.openxmlformats.org/officeDocument/2006/relationships/hyperlink" Target="https://www.scopus.com/inward/record.uri?eid=2-s2.0-85093670806&amp;doi=10.1145%2f3379597.3387457&amp;partnerID=40&amp;md5=06ac9f34cf0961cfebc0e045c781d4da;http://dx.doi.org/10.1145/3379597.3387457" TargetMode="External"/><Relationship Id="rId1437" Type="http://schemas.openxmlformats.org/officeDocument/2006/relationships/hyperlink" Target="https://www.scopus.com/inward/record.uri?eid=2-s2.0-85115401194&amp;doi=10.3390%2fA13070168&amp;partnerID=40&amp;md5=a8f01368e1ef5c76a8c1c712dab274e5;http://dx.doi.org/10.3390/A13070168" TargetMode="External"/><Relationship Id="rId1644" Type="http://schemas.openxmlformats.org/officeDocument/2006/relationships/hyperlink" Target="https://www.scopus.com/inward/record.uri?eid=2-s2.0-85088402223&amp;partnerID=40&amp;md5=d3d35fc7fbcf1b534574843da34ca293" TargetMode="External"/><Relationship Id="rId1851" Type="http://schemas.openxmlformats.org/officeDocument/2006/relationships/hyperlink" Target="http://dx.doi.org/10.1109/SEAA.2019.00004" TargetMode="External"/><Relationship Id="rId1504" Type="http://schemas.openxmlformats.org/officeDocument/2006/relationships/hyperlink" Target="https://www.scopus.com/inward/record.uri?eid=2-s2.0-85087511768&amp;doi=10.1007%2fs11219-020-09520-3&amp;partnerID=40&amp;md5=3825cb06f748a2af90903823c08d80f6;http://dx.doi.org/10.1007/s11219-020-09520-3" TargetMode="External"/><Relationship Id="rId1711" Type="http://schemas.openxmlformats.org/officeDocument/2006/relationships/hyperlink" Target="https://www.scopus.com/inward/record.uri?eid=2-s2.0-85137988427&amp;doi=10.1007%2f978-3-031-16281-7_8&amp;partnerID=40&amp;md5=dad7cafe9c434552e9314e6bd36641f5;http://dx.doi.org/10.1007/978-3-031-16281-7_8" TargetMode="External"/><Relationship Id="rId1949" Type="http://schemas.openxmlformats.org/officeDocument/2006/relationships/hyperlink" Target="http://dx.doi.org/10.1109/MS.2019.2954841" TargetMode="External"/><Relationship Id="rId292" Type="http://schemas.openxmlformats.org/officeDocument/2006/relationships/hyperlink" Target="http://dx.doi.org/10.1109/MobileSoft52590.2021.00010" TargetMode="External"/><Relationship Id="rId1809" Type="http://schemas.openxmlformats.org/officeDocument/2006/relationships/hyperlink" Target="https://www.scopus.com/inward/record.uri?eid=2-s2.0-85142316239&amp;doi=10.1515%2f9783110703399&amp;partnerID=40&amp;md5=a1580858a1f07b858e4d2a9754471528;http://dx.doi.org/10.1515/9783110703399" TargetMode="External"/><Relationship Id="rId597" Type="http://schemas.openxmlformats.org/officeDocument/2006/relationships/hyperlink" Target="https://www.scopus.com/inward/record.uri?eid=2-s2.0-85099505282&amp;partnerID=40&amp;md5=4f38fe9eaaab4c7a623c4c2129a8237c" TargetMode="External"/><Relationship Id="rId2180" Type="http://schemas.openxmlformats.org/officeDocument/2006/relationships/hyperlink" Target="https://www.scopus.com/inward/record.uri?eid=2-s2.0-85087734994&amp;doi=10.1049%2fiet-sen.2019.0278&amp;partnerID=40&amp;md5=509ae309532d980eadff266de8bb29d3;http://dx.doi.org/10.1049/iet-sen.2019.0278" TargetMode="External"/><Relationship Id="rId152" Type="http://schemas.openxmlformats.org/officeDocument/2006/relationships/hyperlink" Target="https://www.scopus.com/inward/record.uri?eid=2-s2.0-85121707446&amp;doi=10.1177%2f18479790211062044&amp;partnerID=40&amp;md5=b785de8c083927f7e9836909f1e58fd5;http://dx.doi.org/10.1177/18479790211062044" TargetMode="External"/><Relationship Id="rId457" Type="http://schemas.openxmlformats.org/officeDocument/2006/relationships/hyperlink" Target="https://www.scopus.com/inward/record.uri?eid=2-s2.0-85101476335&amp;doi=10.1080%2f01605682.2020.1865848&amp;partnerID=40&amp;md5=3cc10e6956c3732df5ec17d90661da5c;http://dx.doi.org/10.1080/01605682.2020.1865848" TargetMode="External"/><Relationship Id="rId1087" Type="http://schemas.openxmlformats.org/officeDocument/2006/relationships/hyperlink" Target="https://doi.org/10.1145/3524842.3528458;http:/dx.doi.org/10.1145/3524842.3528458" TargetMode="External"/><Relationship Id="rId1294" Type="http://schemas.openxmlformats.org/officeDocument/2006/relationships/hyperlink" Target="http://link.springer.com/chapter/10.1007/978-1-4842-5814-9_12" TargetMode="External"/><Relationship Id="rId2040" Type="http://schemas.openxmlformats.org/officeDocument/2006/relationships/hyperlink" Target="http://dx.doi.org/10.1109/ESEM.2019.8870159" TargetMode="External"/><Relationship Id="rId2138" Type="http://schemas.openxmlformats.org/officeDocument/2006/relationships/hyperlink" Target="https://www.scopus.com/inward/record.uri?eid=2-s2.0-85113677128&amp;doi=10.1109%2fMSR52588.2021.00052&amp;partnerID=40&amp;md5=f978cf4c05eeb8a3053e953ff502b973;http://dx.doi.org/10.1109/MSR52588.2021.00052" TargetMode="External"/><Relationship Id="rId664" Type="http://schemas.openxmlformats.org/officeDocument/2006/relationships/hyperlink" Target="https://www.sciencedirect.com/science/article/pii/B978012800161509993X;http:/dx.doi.org/10.1016/B978-0-12-800161-5.09993-X" TargetMode="External"/><Relationship Id="rId871" Type="http://schemas.openxmlformats.org/officeDocument/2006/relationships/hyperlink" Target="http://dx.doi.org/10.1109/ETFA45728.2021.9613538" TargetMode="External"/><Relationship Id="rId969" Type="http://schemas.openxmlformats.org/officeDocument/2006/relationships/hyperlink" Target="https://www.scopus.com/inward/record.uri?eid=2-s2.0-85129358472&amp;doi=10.3390%2ffi14050124&amp;partnerID=40&amp;md5=b0c1e797271729e90fce836dbd73bd5d;http://dx.doi.org/10.3390/fi14050124" TargetMode="External"/><Relationship Id="rId1599" Type="http://schemas.openxmlformats.org/officeDocument/2006/relationships/hyperlink" Target="https://doi.org/10.1145/3576036;http:/dx.doi.org/10.1145/3576036" TargetMode="External"/><Relationship Id="rId317" Type="http://schemas.openxmlformats.org/officeDocument/2006/relationships/hyperlink" Target="https://www.scopus.com/inward/record.uri?eid=2-s2.0-85089994347&amp;doi=10.1109%2fICOEI48184.2020.9142886&amp;partnerID=40&amp;md5=8c216c6ca9b924188acefe4dceab0709;http://dx.doi.org/10.1109/ICOEI48184.2020.9142886" TargetMode="External"/><Relationship Id="rId524" Type="http://schemas.openxmlformats.org/officeDocument/2006/relationships/hyperlink" Target="http://dx.doi.org/10.1109/CCWC54503.2022.9720900" TargetMode="External"/><Relationship Id="rId731" Type="http://schemas.openxmlformats.org/officeDocument/2006/relationships/hyperlink" Target="https://www.scopus.com/inward/record.uri?eid=2-s2.0-85133411277&amp;doi=10.1145%2f3522664.3528590&amp;partnerID=40&amp;md5=4ccc26a1a57379126b4d3150b1f12927;http://dx.doi.org/10.1145/3522664.3528590" TargetMode="External"/><Relationship Id="rId1154" Type="http://schemas.openxmlformats.org/officeDocument/2006/relationships/hyperlink" Target="https://ieeexplore.ieee.org/document/9823094;http:/dx.doi.org/10.1002/9781119513957.index" TargetMode="External"/><Relationship Id="rId1361" Type="http://schemas.openxmlformats.org/officeDocument/2006/relationships/hyperlink" Target="https://www.scopus.com/inward/record.uri?eid=2-s2.0-85065622242&amp;doi=10.1016%2fj.infsof.2019.05.004&amp;partnerID=40&amp;md5=fbb54ca801215a4397db0a4735bac5b1;http://dx.doi.org/10.1016/j.infsof.2019.05.004" TargetMode="External"/><Relationship Id="rId1459" Type="http://schemas.openxmlformats.org/officeDocument/2006/relationships/hyperlink" Target="https://www.scopus.com/inward/record.uri?eid=2-s2.0-85135082967&amp;doi=10.1145%2f3526073.3527584&amp;partnerID=40&amp;md5=9ba43681c42e6c48a85436e54df633b1;http://dx.doi.org/10.1145/3526073.3527584" TargetMode="External"/><Relationship Id="rId98" Type="http://schemas.openxmlformats.org/officeDocument/2006/relationships/hyperlink" Target="https://doi.org/10.1145/3340433.3342825;http:/dx.doi.org/10.1145/3340433.3342825" TargetMode="External"/><Relationship Id="rId829" Type="http://schemas.openxmlformats.org/officeDocument/2006/relationships/hyperlink" Target="https://www.scopus.com/inward/record.uri?eid=2-s2.0-85126707731&amp;doi=10.1145%2f3510003.3510225&amp;partnerID=40&amp;md5=7973f41823746324aac641424afc9dda;http://dx.doi.org/10.1145/3510003.3510225" TargetMode="External"/><Relationship Id="rId1014" Type="http://schemas.openxmlformats.org/officeDocument/2006/relationships/hyperlink" Target="http://link.springer.com/chapter/10.1007/978-3-658-37182-1_9" TargetMode="External"/><Relationship Id="rId1221" Type="http://schemas.openxmlformats.org/officeDocument/2006/relationships/hyperlink" Target="https://www.scopus.com/inward/record.uri?eid=2-s2.0-85139069929&amp;doi=10.1515%2fauto-2022-0076&amp;partnerID=40&amp;md5=9320f12cb22195680926acd268700a72;http://dx.doi.org/10.1515/auto-2022-0076" TargetMode="External"/><Relationship Id="rId1666" Type="http://schemas.openxmlformats.org/officeDocument/2006/relationships/hyperlink" Target="http://link.springer.com/book/10.1007/978-3-658-37665-9" TargetMode="External"/><Relationship Id="rId1873" Type="http://schemas.openxmlformats.org/officeDocument/2006/relationships/hyperlink" Target="https://doi.org/10.1145/3194164.3194168;http:/dx.doi.org/10.1145/3194164.3194168" TargetMode="External"/><Relationship Id="rId1319" Type="http://schemas.openxmlformats.org/officeDocument/2006/relationships/hyperlink" Target="http://dx.doi.org/10.1109/IS.2018.8710521" TargetMode="External"/><Relationship Id="rId1526" Type="http://schemas.openxmlformats.org/officeDocument/2006/relationships/hyperlink" Target="http://link.springer.com/book/10.1007/978-1-4842-8867-2" TargetMode="External"/><Relationship Id="rId1733" Type="http://schemas.openxmlformats.org/officeDocument/2006/relationships/hyperlink" Target="http://dx.doi.org/10.1109/MS.2016.149" TargetMode="External"/><Relationship Id="rId1940" Type="http://schemas.openxmlformats.org/officeDocument/2006/relationships/hyperlink" Target="https://www.scopus.com/inward/record.uri?eid=2-s2.0-85128856166&amp;doi=10.1109%2fTSE.2020.3021736&amp;partnerID=40&amp;md5=f794a4fd06e73f135cc1d917dcb23a74;http://dx.doi.org/10.1109/TSE.2020.3021736" TargetMode="External"/><Relationship Id="rId25" Type="http://schemas.openxmlformats.org/officeDocument/2006/relationships/hyperlink" Target="http://dx.doi.org/10.1109/IWSC55060.2022.00011" TargetMode="External"/><Relationship Id="rId1800" Type="http://schemas.openxmlformats.org/officeDocument/2006/relationships/hyperlink" Target="http://link.springer.com/book/10.1007/978-3-030-53125-6" TargetMode="External"/><Relationship Id="rId174" Type="http://schemas.openxmlformats.org/officeDocument/2006/relationships/hyperlink" Target="https://www.scopus.com/inward/record.uri?eid=2-s2.0-85098698807&amp;doi=10.1016%2fj.jss.2020.110885&amp;partnerID=40&amp;md5=79bcce91325598c5ba71753a900109f3;http://dx.doi.org/10.1016/j.jss.2020.110885" TargetMode="External"/><Relationship Id="rId381" Type="http://schemas.openxmlformats.org/officeDocument/2006/relationships/hyperlink" Target="https://doi.org/10.1145/2903220.2903223;http:/dx.doi.org/10.1145/2903220.2903223" TargetMode="External"/><Relationship Id="rId2062" Type="http://schemas.openxmlformats.org/officeDocument/2006/relationships/hyperlink" Target="http://link.springer.com/chapter/10.1007/978-3-319-69341-5_23" TargetMode="External"/><Relationship Id="rId241" Type="http://schemas.openxmlformats.org/officeDocument/2006/relationships/hyperlink" Target="https://www.scopus.com/inward/record.uri?eid=2-s2.0-85103524094&amp;doi=10.3390%2fmake3010004&amp;partnerID=40&amp;md5=5f59ecb11b411871a7fcc5b9818a1e37;http://dx.doi.org/10.3390/make3010004" TargetMode="External"/><Relationship Id="rId479" Type="http://schemas.openxmlformats.org/officeDocument/2006/relationships/hyperlink" Target="https://www.scopus.com/inward/record.uri?eid=2-s2.0-85119991290&amp;doi=10.1016%2fj.jss.2021.111135&amp;partnerID=40&amp;md5=89a7ed2b6b11a2e95db84791e2ba8bdc;http://dx.doi.org/10.1016/j.jss.2021.111135" TargetMode="External"/><Relationship Id="rId686" Type="http://schemas.openxmlformats.org/officeDocument/2006/relationships/hyperlink" Target="https://www.scopus.com/inward/record.uri?eid=2-s2.0-85111879543&amp;doi=10.1007%2fs11219-021-09564-z&amp;partnerID=40&amp;md5=203eb1056e8d2fefbf0be9f538add891;http://dx.doi.org/10.1007/s11219-021-09564-z" TargetMode="External"/><Relationship Id="rId893" Type="http://schemas.openxmlformats.org/officeDocument/2006/relationships/hyperlink" Target="http://link.springer.com/book/10.1007/978-3-030-89385-9" TargetMode="External"/><Relationship Id="rId339" Type="http://schemas.openxmlformats.org/officeDocument/2006/relationships/hyperlink" Target="https://doi.org/10.1145/3469440;http:/dx.doi.org/10.1145/3469440" TargetMode="External"/><Relationship Id="rId546" Type="http://schemas.openxmlformats.org/officeDocument/2006/relationships/hyperlink" Target="https://www.scopus.com/inward/record.uri?eid=2-s2.0-85114832074&amp;doi=10.1109%2fTechDebt52882.2021.00016&amp;partnerID=40&amp;md5=d2a18c8a42af690521e2a1a5b47df62c;http://dx.doi.org/10.1109/TechDebt52882.2021.00016" TargetMode="External"/><Relationship Id="rId753" Type="http://schemas.openxmlformats.org/officeDocument/2006/relationships/hyperlink" Target="https://doi.org/10.1145/2884781.2884825;http:/dx.doi.org/10.1145/2884781.2884825" TargetMode="External"/><Relationship Id="rId1176" Type="http://schemas.openxmlformats.org/officeDocument/2006/relationships/hyperlink" Target="https://www.scopus.com/inward/record.uri?eid=2-s2.0-84961661955&amp;doi=10.1109%2fICSM.2015.7332458&amp;partnerID=40&amp;md5=f08ced87b7c6be23d92ee0cde4fda468;http://dx.doi.org/10.1109/ICSM.2015.7332458" TargetMode="External"/><Relationship Id="rId1383" Type="http://schemas.openxmlformats.org/officeDocument/2006/relationships/hyperlink" Target="https://www.scopus.com/inward/record.uri?eid=2-s2.0-85131034061&amp;doi=10.1109%2fSANER53432.2022.00128&amp;partnerID=40&amp;md5=347a90f993aa9b818a9cd39394d80740;http://dx.doi.org/10.1109/SANER53432.2022.00128" TargetMode="External"/><Relationship Id="rId101" Type="http://schemas.openxmlformats.org/officeDocument/2006/relationships/hyperlink" Target="http://dx.doi.org/10.1109/QRS54544.2021.00103" TargetMode="External"/><Relationship Id="rId406" Type="http://schemas.openxmlformats.org/officeDocument/2006/relationships/hyperlink" Target="https://www.scopus.com/inward/record.uri?eid=2-s2.0-85113231448&amp;doi=10.1109%2fICPC52881.2021.00013&amp;partnerID=40&amp;md5=20346bedd01823c0775782424717eece;http://dx.doi.org/10.1109/ICPC52881.2021.00013" TargetMode="External"/><Relationship Id="rId960" Type="http://schemas.openxmlformats.org/officeDocument/2006/relationships/hyperlink" Target="http://link.springer.com/article/10.1007/s10664-022-10206-6" TargetMode="External"/><Relationship Id="rId1036" Type="http://schemas.openxmlformats.org/officeDocument/2006/relationships/hyperlink" Target="https://www.scopus.com/inward/record.uri?eid=2-s2.0-85128143850&amp;doi=10.4018%2f9781799869856&amp;partnerID=40&amp;md5=c68135660fe735db4c9025cfefebddd2;http://dx.doi.org/10.4018/9781799869856" TargetMode="External"/><Relationship Id="rId1243" Type="http://schemas.openxmlformats.org/officeDocument/2006/relationships/hyperlink" Target="http://link.springer.com/chapter/10.1007/978-3-319-69926-4_42" TargetMode="External"/><Relationship Id="rId1590" Type="http://schemas.openxmlformats.org/officeDocument/2006/relationships/hyperlink" Target="https://www.scopus.com/inward/record.uri?eid=2-s2.0-85040591802&amp;doi=10.1109%2fICSME.2017.44&amp;partnerID=40&amp;md5=c6b4d39f711b62ac322cc93b626dc5a0;http://dx.doi.org/10.1109/ICSME.2017.44" TargetMode="External"/><Relationship Id="rId1688" Type="http://schemas.openxmlformats.org/officeDocument/2006/relationships/hyperlink" Target="https://doi.org/10.1145/3463274.3463333;http:/dx.doi.org/10.1145/3463274.3463333" TargetMode="External"/><Relationship Id="rId1895" Type="http://schemas.openxmlformats.org/officeDocument/2006/relationships/hyperlink" Target="https://www.scopus.com/inward/record.uri?eid=2-s2.0-85133418548&amp;doi=10.1109%2fJoCICI54528.2021.9794341&amp;partnerID=40&amp;md5=7d286e6571bbed24361a35a1cf02f7a8;http://dx.doi.org/10.1109/JoCICI54528.2021.9794341" TargetMode="External"/><Relationship Id="rId613" Type="http://schemas.openxmlformats.org/officeDocument/2006/relationships/hyperlink" Target="https://www.scopus.com/inward/record.uri?eid=2-s2.0-85139314025&amp;doi=10.1016%2fj.infsof.2022.107078&amp;partnerID=40&amp;md5=9dd3c67e43d6488ea5af6fd53225439c;http://dx.doi.org/10.1016/j.infsof.2022.107078" TargetMode="External"/><Relationship Id="rId820" Type="http://schemas.openxmlformats.org/officeDocument/2006/relationships/hyperlink" Target="http://link.springer.com/book/10.1007/978-3-662-49275-8" TargetMode="External"/><Relationship Id="rId918" Type="http://schemas.openxmlformats.org/officeDocument/2006/relationships/hyperlink" Target="https://www.scopus.com/inward/record.uri?eid=2-s2.0-85115698007&amp;doi=10.1109%2fICSE43902.2021.00049&amp;partnerID=40&amp;md5=1681c7698bd596159fdedcea721b1357;http://dx.doi.org/10.1109/ICSE43902.2021.00049" TargetMode="External"/><Relationship Id="rId1450" Type="http://schemas.openxmlformats.org/officeDocument/2006/relationships/hyperlink" Target="https://www.scopus.com/inward/record.uri?eid=2-s2.0-85134042003&amp;doi=10.1145%2f3524842.3527937&amp;partnerID=40&amp;md5=d5aa7d9cefbac729dd7cd036b97d408a;http://dx.doi.org/10.1145/3524842.3527937" TargetMode="External"/><Relationship Id="rId1548" Type="http://schemas.openxmlformats.org/officeDocument/2006/relationships/hyperlink" Target="https://www.scopus.com/inward/record.uri?eid=2-s2.0-85132828703&amp;doi=10.1109%2fICSE-SEIP55303.2022.9794115&amp;partnerID=40&amp;md5=e98012d4d684cd76149215af71dc8b4a;http://dx.doi.org/10.1109/ICSE-SEIP55303.2022.9794115" TargetMode="External"/><Relationship Id="rId1755" Type="http://schemas.openxmlformats.org/officeDocument/2006/relationships/hyperlink" Target="http://dx.doi.org/10.1109/SEAA.2018.00018" TargetMode="External"/><Relationship Id="rId1103" Type="http://schemas.openxmlformats.org/officeDocument/2006/relationships/hyperlink" Target="http://dx.doi.org/10.1109/BigData52589.2021.9671930" TargetMode="External"/><Relationship Id="rId1310" Type="http://schemas.openxmlformats.org/officeDocument/2006/relationships/hyperlink" Target="https://www.scopus.com/inward/record.uri?eid=2-s2.0-85115682958&amp;doi=10.1109%2fICSE43902.2021.00045&amp;partnerID=40&amp;md5=b8cf36a834806fa4c837a5593efc5b27;http://dx.doi.org/10.1109/ICSE43902.2021.00045" TargetMode="External"/><Relationship Id="rId1408" Type="http://schemas.openxmlformats.org/officeDocument/2006/relationships/hyperlink" Target="https://www.scopus.com/inward/record.uri?eid=2-s2.0-85117368062&amp;doi=10.1016%2fj.parco.2021.102858&amp;partnerID=40&amp;md5=cd2fc1322467a84cd684103e180284ac;http://dx.doi.org/10.1016/j.parco.2021.102858" TargetMode="External"/><Relationship Id="rId1962" Type="http://schemas.openxmlformats.org/officeDocument/2006/relationships/hyperlink" Target="https://www.scopus.com/inward/record.uri?eid=2-s2.0-85118802542&amp;doi=10.1002%2fcite.202100134&amp;partnerID=40&amp;md5=aa4fe2396d451ce1717a73069e7d063b;http://dx.doi.org/10.1002/cite.202100134" TargetMode="External"/><Relationship Id="rId47" Type="http://schemas.openxmlformats.org/officeDocument/2006/relationships/hyperlink" Target="http://dx.doi.org/10.1145/3524610.3528387" TargetMode="External"/><Relationship Id="rId1615" Type="http://schemas.openxmlformats.org/officeDocument/2006/relationships/hyperlink" Target="https://www.scopus.com/inward/record.uri?eid=2-s2.0-85078017230&amp;doi=10.1109%2fREW.2019.00050&amp;partnerID=40&amp;md5=c2916cebb3a8b28029bcbed06ca0a357;http://dx.doi.org/10.1109/REW.2019.00050" TargetMode="External"/><Relationship Id="rId1822" Type="http://schemas.openxmlformats.org/officeDocument/2006/relationships/hyperlink" Target="https://www.scopus.com/inward/record.uri?eid=2-s2.0-85077219386&amp;doi=10.1109%2fICSME.2019.00060&amp;partnerID=40&amp;md5=b1adedf1f74f6e14b3982f32cc7ffcde;http://dx.doi.org/10.1109/ICSME.2019.00060" TargetMode="External"/><Relationship Id="rId196" Type="http://schemas.openxmlformats.org/officeDocument/2006/relationships/hyperlink" Target="http://dx.doi.org/10.1109/DSA51864.2020.00019" TargetMode="External"/><Relationship Id="rId2084" Type="http://schemas.openxmlformats.org/officeDocument/2006/relationships/hyperlink" Target="http://link.springer.com/chapter/10.1007/978-3-030-40907-4_14" TargetMode="External"/><Relationship Id="rId263" Type="http://schemas.openxmlformats.org/officeDocument/2006/relationships/hyperlink" Target="http://dx.doi.org/10.1109/ICSME.2016.19" TargetMode="External"/><Relationship Id="rId470" Type="http://schemas.openxmlformats.org/officeDocument/2006/relationships/hyperlink" Target="https://www.scopus.com/inward/record.uri?eid=2-s2.0-85048500823&amp;doi=10.1007%2fs13740-018-0086-2&amp;partnerID=40&amp;md5=384d40e6b2ccb7b40f3745f3a7e7881f;http://dx.doi.org/10.1007/s13740-018-0086-2" TargetMode="External"/><Relationship Id="rId2151" Type="http://schemas.openxmlformats.org/officeDocument/2006/relationships/hyperlink" Target="http://dx.doi.org/10.1109/ESEM.2017.14" TargetMode="External"/><Relationship Id="rId123" Type="http://schemas.openxmlformats.org/officeDocument/2006/relationships/hyperlink" Target="https://www.scopus.com/inward/record.uri?eid=2-s2.0-85113951811&amp;doi=10.1007%2fs13369-021-06077-6&amp;partnerID=40&amp;md5=aa0e8c52cc8e9051c96d2ad449e5a171;http://dx.doi.org/10.1007/s13369-021-06077-6" TargetMode="External"/><Relationship Id="rId330" Type="http://schemas.openxmlformats.org/officeDocument/2006/relationships/hyperlink" Target="https://www.scopus.com/inward/record.uri?eid=2-s2.0-84991000274&amp;doi=10.1109%2fSANER.2016.84&amp;partnerID=40&amp;md5=ba372f42bf0c3a1b468fbfa8760e6a84;http://dx.doi.org/10.1109/SANER.2016.84" TargetMode="External"/><Relationship Id="rId568" Type="http://schemas.openxmlformats.org/officeDocument/2006/relationships/hyperlink" Target="http://link.springer.com/chapter/10.1007/978-1-4842-7252-7_1" TargetMode="External"/><Relationship Id="rId775" Type="http://schemas.openxmlformats.org/officeDocument/2006/relationships/hyperlink" Target="https://www.scopus.com/inward/record.uri?eid=2-s2.0-85041003076&amp;doi=10.1109%2fTSE.2018.2797899&amp;partnerID=40&amp;md5=c5f7749b1b18ab26318fd64962a96e67;http://dx.doi.org/10.1109/TSE.2018.2797899" TargetMode="External"/><Relationship Id="rId982" Type="http://schemas.openxmlformats.org/officeDocument/2006/relationships/hyperlink" Target="http://dx.doi.org/10.1109/ASE51524.2021.9678680" TargetMode="External"/><Relationship Id="rId1198" Type="http://schemas.openxmlformats.org/officeDocument/2006/relationships/hyperlink" Target="http://dx.doi.org/10.1109/SEAA51224.2020.00082" TargetMode="External"/><Relationship Id="rId2011" Type="http://schemas.openxmlformats.org/officeDocument/2006/relationships/hyperlink" Target="http://dx.doi.org/10.1109/ICSE-SEIP.2019.00009" TargetMode="External"/><Relationship Id="rId428" Type="http://schemas.openxmlformats.org/officeDocument/2006/relationships/hyperlink" Target="http://dx.doi.org/10.1109/SANER48275.2020.9054868" TargetMode="External"/><Relationship Id="rId635" Type="http://schemas.openxmlformats.org/officeDocument/2006/relationships/hyperlink" Target="http://link.springer.com/book/10.1007/978-3-031-10542-5" TargetMode="External"/><Relationship Id="rId842" Type="http://schemas.openxmlformats.org/officeDocument/2006/relationships/hyperlink" Target="https://www.scopus.com/inward/record.uri?eid=2-s2.0-85134065747&amp;doi=10.1145%2f3524842.3528431&amp;partnerID=40&amp;md5=a0abf95d46544d32bfc42882d4d48bcf;http://dx.doi.org/10.1145/3524842.3528431" TargetMode="External"/><Relationship Id="rId1058" Type="http://schemas.openxmlformats.org/officeDocument/2006/relationships/hyperlink" Target="https://www.scopus.com/inward/record.uri?eid=2-s2.0-85141781984&amp;doi=10.1016%2fj.softx.2022.101237&amp;partnerID=40&amp;md5=09d5a5f60a2912d9eab325b704f61f8a;http://dx.doi.org/10.1016/j.softx.2022.101237" TargetMode="External"/><Relationship Id="rId1265" Type="http://schemas.openxmlformats.org/officeDocument/2006/relationships/hyperlink" Target="https://www.scopus.com/inward/record.uri?eid=2-s2.0-85066256743&amp;doi=10.1016%2fj.infsof.2019.05.009&amp;partnerID=40&amp;md5=a1ed98175a61323ea9e37c48e98e3b5d;http://dx.doi.org/10.1016/j.infsof.2019.05.009" TargetMode="External"/><Relationship Id="rId1472" Type="http://schemas.openxmlformats.org/officeDocument/2006/relationships/hyperlink" Target="http://link.springer.com/article/10.1007/s00766-014-0205-z" TargetMode="External"/><Relationship Id="rId2109" Type="http://schemas.openxmlformats.org/officeDocument/2006/relationships/hyperlink" Target="https://www.scopus.com/inward/record.uri?eid=2-s2.0-85055590546&amp;doi=10.1145%2f3131151.3131164&amp;partnerID=40&amp;md5=4579cd77eb8cf835cacb499c4388c170;http://dx.doi.org/10.1145/3131151.3131164" TargetMode="External"/><Relationship Id="rId702" Type="http://schemas.openxmlformats.org/officeDocument/2006/relationships/hyperlink" Target="http://dx.doi.org/10.1109/ICSE-NIER.2019.00037" TargetMode="External"/><Relationship Id="rId1125" Type="http://schemas.openxmlformats.org/officeDocument/2006/relationships/hyperlink" Target="http://dx.doi.org/10.1109/SEAA.2018.00077" TargetMode="External"/><Relationship Id="rId1332" Type="http://schemas.openxmlformats.org/officeDocument/2006/relationships/hyperlink" Target="https://www.scopus.com/inward/record.uri?eid=2-s2.0-85135059663&amp;doi=10.1145%2f3526073.3527591&amp;partnerID=40&amp;md5=3e69d49eaecd420d1a03d09b2da925b1;http://dx.doi.org/10.1145/3526073.3527591" TargetMode="External"/><Relationship Id="rId1777" Type="http://schemas.openxmlformats.org/officeDocument/2006/relationships/hyperlink" Target="http://link.springer.com/chapter/10.1007/978-3-030-65854-0_4" TargetMode="External"/><Relationship Id="rId1984" Type="http://schemas.openxmlformats.org/officeDocument/2006/relationships/hyperlink" Target="http://link.springer.com/chapter/10.1007/978-3-030-58811-3_73" TargetMode="External"/><Relationship Id="rId69" Type="http://schemas.openxmlformats.org/officeDocument/2006/relationships/hyperlink" Target="https://www.scopus.com/inward/record.uri?eid=2-s2.0-85067069426&amp;doi=10.1109%2fTSE.2019.2918536&amp;partnerID=40&amp;md5=a2151994a7598589135bd21ee5ac5251;http://dx.doi.org/10.1109/TSE.2019.2918536" TargetMode="External"/><Relationship Id="rId1637" Type="http://schemas.openxmlformats.org/officeDocument/2006/relationships/hyperlink" Target="https://www.scopus.com/inward/record.uri?eid=2-s2.0-85095573146&amp;doi=10.1371%2fjournal.pone.0241286&amp;partnerID=40&amp;md5=8f0531d6cee6d31d274dfcd020c0fb37;http://dx.doi.org/10.1371/journal.pone.0241286" TargetMode="External"/><Relationship Id="rId1844" Type="http://schemas.openxmlformats.org/officeDocument/2006/relationships/hyperlink" Target="http://link.springer.com/book/10.1007/978-3-319-64218-5" TargetMode="External"/><Relationship Id="rId1704" Type="http://schemas.openxmlformats.org/officeDocument/2006/relationships/hyperlink" Target="https://www.scopus.com/inward/record.uri?eid=2-s2.0-85136993161&amp;doi=10.1109%2fCOMPSAC54236.2022.00130&amp;partnerID=40&amp;md5=aa780049b7b7c1157c4879595abc7b7b;http://dx.doi.org/10.1109/COMPSAC54236.2022.00130" TargetMode="External"/><Relationship Id="rId285" Type="http://schemas.openxmlformats.org/officeDocument/2006/relationships/hyperlink" Target="https://www.scopus.com/inward/record.uri?eid=2-s2.0-85058463945&amp;doi=10.1002%2fsmr.2115&amp;partnerID=40&amp;md5=a3dfe1fadc2b7a37ca9536733b49c84e;http://dx.doi.org/10.1002/smr.2115" TargetMode="External"/><Relationship Id="rId1911" Type="http://schemas.openxmlformats.org/officeDocument/2006/relationships/hyperlink" Target="https://www.scopus.com/inward/record.uri?eid=2-s2.0-85140248769&amp;doi=10.1038%2fs41467-022-33128-9&amp;partnerID=40&amp;md5=7f39ed3a9fe7ceedb33e533a011c142a;http://dx.doi.org/10.1038/s41467-022-33128-9" TargetMode="External"/><Relationship Id="rId492" Type="http://schemas.openxmlformats.org/officeDocument/2006/relationships/hyperlink" Target="https://www.scopus.com/inward/record.uri?eid=2-s2.0-85088861187&amp;doi=10.1109%2fACCESS.2020.3006711&amp;partnerID=40&amp;md5=9ea2c26302aefb28b429868eac48f273;http://dx.doi.org/10.1109/ACCESS.2020.3006711" TargetMode="External"/><Relationship Id="rId797" Type="http://schemas.openxmlformats.org/officeDocument/2006/relationships/hyperlink" Target="http://dx.doi.org/10.1109/TSE.2021.3102221" TargetMode="External"/><Relationship Id="rId2173" Type="http://schemas.openxmlformats.org/officeDocument/2006/relationships/hyperlink" Target="https://www.scopus.com/inward/record.uri?eid=2-s2.0-85103128877&amp;doi=10.1016%2fj.jss.2021.110939&amp;partnerID=40&amp;md5=6ed68dadf7b14600f001be29c403e444;http://dx.doi.org/10.1016/j.jss.2021.110939" TargetMode="External"/><Relationship Id="rId145" Type="http://schemas.openxmlformats.org/officeDocument/2006/relationships/hyperlink" Target="https://www.scopus.com/inward/record.uri?eid=2-s2.0-85050978697&amp;doi=10.1109%2fICSTW.2018.00061&amp;partnerID=40&amp;md5=8aa733b622c72d534b6786eaad52b095;http://dx.doi.org/10.1109/ICSTW.2018.00061" TargetMode="External"/><Relationship Id="rId352" Type="http://schemas.openxmlformats.org/officeDocument/2006/relationships/hyperlink" Target="https://www.scopus.com/inward/record.uri?eid=2-s2.0-85096587413&amp;doi=10.1007%2f978-3-030-61218-4_5&amp;partnerID=40&amp;md5=c0d7726a063307802b86d128a0f4e489;http://dx.doi.org/10.1007/978-3-030-61218-4_5" TargetMode="External"/><Relationship Id="rId1287" Type="http://schemas.openxmlformats.org/officeDocument/2006/relationships/hyperlink" Target="https://www.scopus.com/inward/record.uri?eid=2-s2.0-85113474504&amp;doi=10.1007%2fs10664-021-10018-0&amp;partnerID=40&amp;md5=6de027a2a0fa35df19a60344cfcc598e;http://dx.doi.org/10.1007/s10664-021-10018-0" TargetMode="External"/><Relationship Id="rId2033" Type="http://schemas.openxmlformats.org/officeDocument/2006/relationships/hyperlink" Target="https://www.sciencedirect.com/science/article/pii/S016412122030217X;http:/dx.doi.org/10.1016/j.jss.2020.110821" TargetMode="External"/><Relationship Id="rId212" Type="http://schemas.openxmlformats.org/officeDocument/2006/relationships/hyperlink" Target="http://link.springer.com/book/10.1007/978-981-19-1111-8" TargetMode="External"/><Relationship Id="rId657" Type="http://schemas.openxmlformats.org/officeDocument/2006/relationships/hyperlink" Target="https://www.sciencedirect.com/science/article/pii/S0065245815000248;http:/dx.doi.org/10.1016/S0065-2458(15)00024-8" TargetMode="External"/><Relationship Id="rId864" Type="http://schemas.openxmlformats.org/officeDocument/2006/relationships/hyperlink" Target="https://www.scopus.com/inward/record.uri?eid=2-s2.0-85139550283&amp;doi=10.1145%2f3545258.3545260&amp;partnerID=40&amp;md5=9aba7f032c2458e08bd7b45e065c9fa2;http://dx.doi.org/10.1145/3545258.3545260" TargetMode="External"/><Relationship Id="rId1494" Type="http://schemas.openxmlformats.org/officeDocument/2006/relationships/hyperlink" Target="https://www.scopus.com/inward/record.uri?eid=2-s2.0-85113249384&amp;doi=10.1109%2fICPC52881.2021.00030&amp;partnerID=40&amp;md5=4b077e0808597059c1a86172d30efe7a;http://dx.doi.org/10.1109/ICPC52881.2021.00030" TargetMode="External"/><Relationship Id="rId1799" Type="http://schemas.openxmlformats.org/officeDocument/2006/relationships/hyperlink" Target="https://www.sciencedirect.com/science/article/pii/S016412122030128X;http:/dx.doi.org/10.1016/j.jss.2020.110671" TargetMode="External"/><Relationship Id="rId2100" Type="http://schemas.openxmlformats.org/officeDocument/2006/relationships/hyperlink" Target="https://www.scopus.com/inward/record.uri?eid=2-s2.0-85104222736&amp;doi=10.1109%2fICSE-SEIS52602.2021.00017&amp;partnerID=40&amp;md5=9a3fdb6d1db053f3407fbf943bc8ff05;http://dx.doi.org/10.1109/ICSE-SEIS52602.2021.00017" TargetMode="External"/><Relationship Id="rId517" Type="http://schemas.openxmlformats.org/officeDocument/2006/relationships/hyperlink" Target="https://www.scopus.com/inward/record.uri?eid=2-s2.0-85066781873&amp;doi=10.1109%2fAPSEC.2018.00049&amp;partnerID=40&amp;md5=84a850623f59387322cab3f4d7430dac;http://dx.doi.org/10.1109/APSEC.2018.00049" TargetMode="External"/><Relationship Id="rId724" Type="http://schemas.openxmlformats.org/officeDocument/2006/relationships/hyperlink" Target="http://dx.doi.org/10.1109/TEMSCONEUROPE54743.2022.9802054" TargetMode="External"/><Relationship Id="rId931" Type="http://schemas.openxmlformats.org/officeDocument/2006/relationships/hyperlink" Target="https://www.scopus.com/inward/record.uri?eid=2-s2.0-85087202176&amp;doi=10.1016%2fj.jss.2020.110706&amp;partnerID=40&amp;md5=1ff619129eeb34044e8c0f7464da0e1a;http://dx.doi.org/10.1016/j.jss.2020.110706" TargetMode="External"/><Relationship Id="rId1147" Type="http://schemas.openxmlformats.org/officeDocument/2006/relationships/hyperlink" Target="https://www.sciencedirect.com/science/article/pii/S0950584917305104;http:/dx.doi.org/10.1016/j.infsof.2018.06.006" TargetMode="External"/><Relationship Id="rId1354" Type="http://schemas.openxmlformats.org/officeDocument/2006/relationships/hyperlink" Target="http://link.springer.com/book/10.1007/978-1-4842-7452-1" TargetMode="External"/><Relationship Id="rId1561" Type="http://schemas.openxmlformats.org/officeDocument/2006/relationships/hyperlink" Target="http://dx.doi.org/10.1109/MSR52588.2021.00080" TargetMode="External"/><Relationship Id="rId60" Type="http://schemas.openxmlformats.org/officeDocument/2006/relationships/hyperlink" Target="https://www.scopus.com/inward/record.uri?eid=2-s2.0-85124777462&amp;doi=10.1055%2fs-0041-1740923&amp;partnerID=40&amp;md5=cd97edd7ad4de13122a0f02c60dd31a6;http://dx.doi.org/10.1055/s-0041-1740923" TargetMode="External"/><Relationship Id="rId1007" Type="http://schemas.openxmlformats.org/officeDocument/2006/relationships/hyperlink" Target="http://link.springer.com/book/10.1007/978-3-030-96734-5" TargetMode="External"/><Relationship Id="rId1214" Type="http://schemas.openxmlformats.org/officeDocument/2006/relationships/hyperlink" Target="https://www.scopus.com/inward/record.uri?eid=2-s2.0-85132727772&amp;doi=10.1109%2fACCESS.2022.3182703&amp;partnerID=40&amp;md5=4c206ee666c5630048f6865e57257856;http://dx.doi.org/10.1109/ACCESS.2022.3182703" TargetMode="External"/><Relationship Id="rId1421" Type="http://schemas.openxmlformats.org/officeDocument/2006/relationships/hyperlink" Target="https://www.scopus.com/inward/record.uri?eid=2-s2.0-85088664918&amp;doi=10.1016%2fj.infsof.2020.106377&amp;partnerID=40&amp;md5=4df408d610ac5bacdaf9baf6816d7607;http://dx.doi.org/10.1016/j.infsof.2020.106377" TargetMode="External"/><Relationship Id="rId1659" Type="http://schemas.openxmlformats.org/officeDocument/2006/relationships/hyperlink" Target="https://doi.org/10.1145/2995272.2995274;http:/dx.doi.org/10.1145/2995272.2995274" TargetMode="External"/><Relationship Id="rId1866" Type="http://schemas.openxmlformats.org/officeDocument/2006/relationships/hyperlink" Target="https://www.scopus.com/inward/record.uri?eid=2-s2.0-85110356731&amp;doi=10.1007%2fs10664-021-10006-4&amp;partnerID=40&amp;md5=a859d2636665b7971e10581368126272;http://dx.doi.org/10.1007/s10664-021-10006-4" TargetMode="External"/><Relationship Id="rId1519" Type="http://schemas.openxmlformats.org/officeDocument/2006/relationships/hyperlink" Target="https://doi.org/10.1145/3178315.3178326;http:/dx.doi.org/10.1145/3178315.3178326" TargetMode="External"/><Relationship Id="rId1726" Type="http://schemas.openxmlformats.org/officeDocument/2006/relationships/hyperlink" Target="http://link.springer.com/book/10.1007/978-3-031-16697-6" TargetMode="External"/><Relationship Id="rId1933" Type="http://schemas.openxmlformats.org/officeDocument/2006/relationships/hyperlink" Target="https://doi.org/10.1145/3411496.3421225;http:/dx.doi.org/10.1145/3411496.3421225" TargetMode="External"/><Relationship Id="rId18" Type="http://schemas.openxmlformats.org/officeDocument/2006/relationships/hyperlink" Target="https://doi.org/10.1145/3511430.3511436;http:/dx.doi.org/10.1145/3511430.3511436" TargetMode="External"/><Relationship Id="rId167" Type="http://schemas.openxmlformats.org/officeDocument/2006/relationships/hyperlink" Target="http://dx.doi.org/10.1109/ACCESS.2021.3126681" TargetMode="External"/><Relationship Id="rId374" Type="http://schemas.openxmlformats.org/officeDocument/2006/relationships/hyperlink" Target="http://dx.doi.org/10.1109/BigData.2018.8622357" TargetMode="External"/><Relationship Id="rId581" Type="http://schemas.openxmlformats.org/officeDocument/2006/relationships/hyperlink" Target="https://www.scopus.com/inward/record.uri?eid=2-s2.0-85134017734&amp;doi=10.1145%2f3524842.3527932&amp;partnerID=40&amp;md5=d76520c15800fb0c50b62825238e040a;http://dx.doi.org/10.1145/3524842.3527932" TargetMode="External"/><Relationship Id="rId2055" Type="http://schemas.openxmlformats.org/officeDocument/2006/relationships/hyperlink" Target="https://www.scopus.com/inward/record.uri?eid=2-s2.0-85087525711&amp;doi=10.1016%2fj.infsof.2020.106373&amp;partnerID=40&amp;md5=c87929cfbb4a609e979a565c45f26afd;http://dx.doi.org/10.1016/j.infsof.2020.106373" TargetMode="External"/><Relationship Id="rId234" Type="http://schemas.openxmlformats.org/officeDocument/2006/relationships/hyperlink" Target="http://dx.doi.org/10.1109/ETFA52439.2022.9921705" TargetMode="External"/><Relationship Id="rId679" Type="http://schemas.openxmlformats.org/officeDocument/2006/relationships/hyperlink" Target="http://link.springer.com/chapter/10.1007/978-3-031-08421-8_41" TargetMode="External"/><Relationship Id="rId886" Type="http://schemas.openxmlformats.org/officeDocument/2006/relationships/hyperlink" Target="http://dx.doi.org/10.1109/TSE.2020.3024814" TargetMode="External"/><Relationship Id="rId2" Type="http://schemas.openxmlformats.org/officeDocument/2006/relationships/hyperlink" Target="http://link.springer.com/book/10.1007/978-3-658-21194-3" TargetMode="External"/><Relationship Id="rId441" Type="http://schemas.openxmlformats.org/officeDocument/2006/relationships/hyperlink" Target="https://www.scopus.com/inward/record.uri?eid=2-s2.0-85077525154&amp;doi=10.1007%2fs13369-019-04311-w&amp;partnerID=40&amp;md5=06c8c3007723dae56b5cf5c617175ccc;http://dx.doi.org/10.1007/s13369-019-04311-w" TargetMode="External"/><Relationship Id="rId539" Type="http://schemas.openxmlformats.org/officeDocument/2006/relationships/hyperlink" Target="https://www.sciencedirect.com/science/article/pii/B9780128002186000163;http:/dx.doi.org/10.1016/B978-0-12-800218-6.00016-3" TargetMode="External"/><Relationship Id="rId746" Type="http://schemas.openxmlformats.org/officeDocument/2006/relationships/hyperlink" Target="http://dx.doi.org/10.1007/s10664-022-10121-w" TargetMode="External"/><Relationship Id="rId1071" Type="http://schemas.openxmlformats.org/officeDocument/2006/relationships/hyperlink" Target="https://doi.org/10.1145/3559712.3559720;http:/dx.doi.org/10.1145/3559712.3559720" TargetMode="External"/><Relationship Id="rId1169" Type="http://schemas.openxmlformats.org/officeDocument/2006/relationships/hyperlink" Target="https://www.scopus.com/inward/record.uri?eid=2-s2.0-85099346050&amp;doi=10.1145%2f3422392.3422507&amp;partnerID=40&amp;md5=22b2f8671798677cb15537abdf48fd57;http://dx.doi.org/10.1145/3422392.3422507" TargetMode="External"/><Relationship Id="rId1376" Type="http://schemas.openxmlformats.org/officeDocument/2006/relationships/hyperlink" Target="http://link.springer.com/book/10.1007/978-3-030-84614-5" TargetMode="External"/><Relationship Id="rId1583" Type="http://schemas.openxmlformats.org/officeDocument/2006/relationships/hyperlink" Target="https://www.scopus.com/inward/record.uri?eid=2-s2.0-85069681117&amp;doi=10.1016%2fj.scico.2019.07.003&amp;partnerID=40&amp;md5=86ac2ef03678b1c57070981a2c3f964d;http://dx.doi.org/10.1016/j.scico.2019.07.003" TargetMode="External"/><Relationship Id="rId2122" Type="http://schemas.openxmlformats.org/officeDocument/2006/relationships/hyperlink" Target="https://doi.org/10.1145/3474370.3485655;http:/dx.doi.org/10.1145/3474370.3485655" TargetMode="External"/><Relationship Id="rId301" Type="http://schemas.openxmlformats.org/officeDocument/2006/relationships/hyperlink" Target="http://link.springer.com/article/10.1007/s10664-020-09917-5" TargetMode="External"/><Relationship Id="rId953" Type="http://schemas.openxmlformats.org/officeDocument/2006/relationships/hyperlink" Target="https://www.scopus.com/inward/record.uri?eid=2-s2.0-85104600619&amp;doi=10.1109%2fICCQ51190.2021.9392959&amp;partnerID=40&amp;md5=488439458514e49604b255ec09237b41;http://dx.doi.org/10.1109/ICCQ51190.2021.9392959" TargetMode="External"/><Relationship Id="rId1029" Type="http://schemas.openxmlformats.org/officeDocument/2006/relationships/hyperlink" Target="https://www.scopus.com/inward/record.uri?eid=2-s2.0-85122738619&amp;doi=10.1038%2fs41746-021-00549-7&amp;partnerID=40&amp;md5=0d7d18844b4bdc7089ecaf87c2457fb6;http://dx.doi.org/10.1038/s41746-021-00549-7" TargetMode="External"/><Relationship Id="rId1236" Type="http://schemas.openxmlformats.org/officeDocument/2006/relationships/hyperlink" Target="https://www.scopus.com/inward/record.uri?eid=2-s2.0-85090834563&amp;doi=10.1016%2fj.asoc.2020.106667&amp;partnerID=40&amp;md5=5be5bbaf90cecc5dfebc12710d37aed8;http://dx.doi.org/10.1016/j.asoc.2020.106667" TargetMode="External"/><Relationship Id="rId1790" Type="http://schemas.openxmlformats.org/officeDocument/2006/relationships/hyperlink" Target="https://www.scopus.com/inward/record.uri?eid=2-s2.0-85126392549&amp;doi=10.1145%2f3503222.3507704&amp;partnerID=40&amp;md5=c53d349ec86b82dc3288d33fcf766aac;http://dx.doi.org/10.1145/3503222.3507704" TargetMode="External"/><Relationship Id="rId1888" Type="http://schemas.openxmlformats.org/officeDocument/2006/relationships/hyperlink" Target="https://www.scopus.com/inward/record.uri?eid=2-s2.0-85111389737&amp;doi=10.1109%2fAERO50100.2021.9438332&amp;partnerID=40&amp;md5=795ec34083622a90acb3a26c720febaa;http://dx.doi.org/10.1109/AERO50100.2021.9438332" TargetMode="External"/><Relationship Id="rId82" Type="http://schemas.openxmlformats.org/officeDocument/2006/relationships/hyperlink" Target="https://www.scopus.com/inward/record.uri?eid=2-s2.0-85121724655&amp;doi=10.1109%2fTSE.2020.2967380&amp;partnerID=40&amp;md5=f4fe5940b6a57963b6a85c641ee0d5fb;http://dx.doi.org/10.1109/TSE.2020.2967380" TargetMode="External"/><Relationship Id="rId606" Type="http://schemas.openxmlformats.org/officeDocument/2006/relationships/hyperlink" Target="http://link.springer.com/book/10.1007/978-3-030-28464-0" TargetMode="External"/><Relationship Id="rId813" Type="http://schemas.openxmlformats.org/officeDocument/2006/relationships/hyperlink" Target="http://dx.doi.org/10.1109/JIOT.2020.3046441" TargetMode="External"/><Relationship Id="rId1443" Type="http://schemas.openxmlformats.org/officeDocument/2006/relationships/hyperlink" Target="http://link.springer.com/chapter/10.1007/978-3-030-97947-8_40" TargetMode="External"/><Relationship Id="rId1650" Type="http://schemas.openxmlformats.org/officeDocument/2006/relationships/hyperlink" Target="https://doi.org/10.1145/2481244.2481247;http:/dx.doi.org/10.1145/2481244.2481247" TargetMode="External"/><Relationship Id="rId1748" Type="http://schemas.openxmlformats.org/officeDocument/2006/relationships/hyperlink" Target="http://link.springer.com/article/10.1007/s11219-018-9424-8" TargetMode="External"/><Relationship Id="rId1303" Type="http://schemas.openxmlformats.org/officeDocument/2006/relationships/hyperlink" Target="https://www.scopus.com/inward/record.uri?eid=2-s2.0-85117838230&amp;partnerID=40&amp;md5=4caf4199307476abec5f7e1dc08e661e" TargetMode="External"/><Relationship Id="rId1510" Type="http://schemas.openxmlformats.org/officeDocument/2006/relationships/hyperlink" Target="https://doi.org/10.1145/3503509;http:/dx.doi.org/10.1145/3503509" TargetMode="External"/><Relationship Id="rId1955" Type="http://schemas.openxmlformats.org/officeDocument/2006/relationships/hyperlink" Target="https://doi.org/10.1145/3551783.3551786;http:/dx.doi.org/10.1145/3551783.3551786" TargetMode="External"/><Relationship Id="rId1608" Type="http://schemas.openxmlformats.org/officeDocument/2006/relationships/hyperlink" Target="https://doi.org/10.1145/3377811.3380378;http:/dx.doi.org/10.1145/3377811.3380378" TargetMode="External"/><Relationship Id="rId1815" Type="http://schemas.openxmlformats.org/officeDocument/2006/relationships/hyperlink" Target="http://dx.doi.org/10.1109/IWESEP49350.2019.00017" TargetMode="External"/><Relationship Id="rId189" Type="http://schemas.openxmlformats.org/officeDocument/2006/relationships/hyperlink" Target="https://www.scopus.com/inward/record.uri?eid=2-s2.0-85078911241&amp;doi=10.1109%2fASE.2019.00065&amp;partnerID=40&amp;md5=ed17e5d010919355e0d572e5484ea7bb;http://dx.doi.org/10.1109/ASE.2019.00065" TargetMode="External"/><Relationship Id="rId396" Type="http://schemas.openxmlformats.org/officeDocument/2006/relationships/hyperlink" Target="https://doi.org/10.1145/3510454.3517055;http:/dx.doi.org/10.1145/3510454.3517055" TargetMode="External"/><Relationship Id="rId2077" Type="http://schemas.openxmlformats.org/officeDocument/2006/relationships/hyperlink" Target="https://www.scopus.com/inward/record.uri?eid=2-s2.0-85061820119&amp;doi=10.1145%2f3283812.3283820&amp;partnerID=40&amp;md5=7bb0b78d489818aa147e2c7e2bcc0a46;http://dx.doi.org/10.1145/3283812.3283820" TargetMode="External"/><Relationship Id="rId256" Type="http://schemas.openxmlformats.org/officeDocument/2006/relationships/hyperlink" Target="https://www.scopus.com/inward/record.uri?eid=2-s2.0-85060304273&amp;doi=10.1109%2fICCSS.2018.8572304&amp;partnerID=40&amp;md5=321d9814261515dcc8c381a05cb91445;http://dx.doi.org/10.1109/ICCSS.2018.8572304" TargetMode="External"/><Relationship Id="rId463" Type="http://schemas.openxmlformats.org/officeDocument/2006/relationships/hyperlink" Target="https://ieeexplore.ieee.org/document/9821663;http:/dx.doi.org/10.1002/9781119644682.biblio" TargetMode="External"/><Relationship Id="rId670" Type="http://schemas.openxmlformats.org/officeDocument/2006/relationships/hyperlink" Target="https://www.sciencedirect.com/science/article/pii/B9780123965288000134;http:/dx.doi.org/10.1016/B978-0-12-396528-8.00013-4" TargetMode="External"/><Relationship Id="rId1093" Type="http://schemas.openxmlformats.org/officeDocument/2006/relationships/hyperlink" Target="https://www.scopus.com/inward/record.uri?eid=2-s2.0-85137870233&amp;doi=10.17226%2f26355&amp;partnerID=40&amp;md5=ef286727f97093c5b272d45d400b6d87;http://dx.doi.org/10.17226/26355" TargetMode="External"/><Relationship Id="rId2144" Type="http://schemas.openxmlformats.org/officeDocument/2006/relationships/hyperlink" Target="https://www.scopus.com/inward/record.uri?eid=2-s2.0-85013104749&amp;doi=10.1109%2fREW.2016.46&amp;partnerID=40&amp;md5=5355ed17d60270738edb09f2c591cfba;http://dx.doi.org/10.1109/REW.2016.46" TargetMode="External"/><Relationship Id="rId116" Type="http://schemas.openxmlformats.org/officeDocument/2006/relationships/hyperlink" Target="http://dx.doi.org/10.1109/ICGCIoT.2018.8753081" TargetMode="External"/><Relationship Id="rId323" Type="http://schemas.openxmlformats.org/officeDocument/2006/relationships/hyperlink" Target="https://www.scopus.com/inward/record.uri?eid=2-s2.0-85130736612&amp;doi=10.1145%2f3490487&amp;partnerID=40&amp;md5=daec68db4ef0fa69ebb519aa3c85d1ae;http://dx.doi.org/10.1145/3490487" TargetMode="External"/><Relationship Id="rId530" Type="http://schemas.openxmlformats.org/officeDocument/2006/relationships/hyperlink" Target="https://www.scopus.com/inward/record.uri?eid=2-s2.0-85087106418&amp;partnerID=40&amp;md5=c049d9f5b1da9bd02f2b43af04474747" TargetMode="External"/><Relationship Id="rId768" Type="http://schemas.openxmlformats.org/officeDocument/2006/relationships/hyperlink" Target="http://dx.doi.org/10.1109/TSE.2021.3106247" TargetMode="External"/><Relationship Id="rId975" Type="http://schemas.openxmlformats.org/officeDocument/2006/relationships/hyperlink" Target="https://www.scopus.com/inward/record.uri?eid=2-s2.0-85029294314&amp;doi=10.1145%2f3025453.3025808&amp;partnerID=40&amp;md5=6b6f18103bfea70467cb27429216107e;http://dx.doi.org/10.1145/3025453.3025808" TargetMode="External"/><Relationship Id="rId1160" Type="http://schemas.openxmlformats.org/officeDocument/2006/relationships/hyperlink" Target="https://www.sciencedirect.com/science/article/pii/S0164121222000772;http:/dx.doi.org/10.1016/j.jss.2022.111336" TargetMode="External"/><Relationship Id="rId1398" Type="http://schemas.openxmlformats.org/officeDocument/2006/relationships/hyperlink" Target="https://www.scopus.com/inward/record.uri?eid=2-s2.0-85091896955&amp;doi=10.1145%2f3387904.3389280&amp;partnerID=40&amp;md5=6204af3174fc76b9c958ade4f579c3a6;http://dx.doi.org/10.1145/3387904.3389280" TargetMode="External"/><Relationship Id="rId2004" Type="http://schemas.openxmlformats.org/officeDocument/2006/relationships/hyperlink" Target="https://www.sciencedirect.com/science/article/pii/S0164121220300753;http:/dx.doi.org/10.1016/j.jss.2020.110596" TargetMode="External"/><Relationship Id="rId628" Type="http://schemas.openxmlformats.org/officeDocument/2006/relationships/hyperlink" Target="http://link.springer.com/book/10.1007/978-3-030-81915-6" TargetMode="External"/><Relationship Id="rId835" Type="http://schemas.openxmlformats.org/officeDocument/2006/relationships/hyperlink" Target="https://www.scopus.com/inward/record.uri?eid=2-s2.0-85123382930&amp;doi=10.1109%2fICSME52107.2021.00029&amp;partnerID=40&amp;md5=90ce760007a85816b5575adb0ed3fb4e;http://dx.doi.org/10.1109/ICSME52107.2021.00029" TargetMode="External"/><Relationship Id="rId1258" Type="http://schemas.openxmlformats.org/officeDocument/2006/relationships/hyperlink" Target="https://www.scopus.com/inward/record.uri?eid=2-s2.0-85126326567&amp;doi=10.1016%2fj.infsof.2022.106899&amp;partnerID=40&amp;md5=e579bc75422f866aa090b43a06220ad5;http://dx.doi.org/10.1016/j.infsof.2022.106899" TargetMode="External"/><Relationship Id="rId1465" Type="http://schemas.openxmlformats.org/officeDocument/2006/relationships/hyperlink" Target="http://link.springer.com/chapter/10.1007/978-1-4842-5104-1_8" TargetMode="External"/><Relationship Id="rId1672" Type="http://schemas.openxmlformats.org/officeDocument/2006/relationships/hyperlink" Target="http://link.springer.com/article/10.1007/s10664-022-10183-w" TargetMode="External"/><Relationship Id="rId1020" Type="http://schemas.openxmlformats.org/officeDocument/2006/relationships/hyperlink" Target="http://link.springer.com/article/10.1007/s10664-021-10058-6" TargetMode="External"/><Relationship Id="rId1118" Type="http://schemas.openxmlformats.org/officeDocument/2006/relationships/hyperlink" Target="https://www.sciencedirect.com/science/article/pii/S0950584920300203;http:/dx.doi.org/10.1016/j.infsof.2020.106270" TargetMode="External"/><Relationship Id="rId1325" Type="http://schemas.openxmlformats.org/officeDocument/2006/relationships/hyperlink" Target="http://link.springer.com/chapter/10.1007/978-1-4842-7226-8_5" TargetMode="External"/><Relationship Id="rId1532" Type="http://schemas.openxmlformats.org/officeDocument/2006/relationships/hyperlink" Target="http://link.springer.com/book/10.1007/978-3-030-97947-8" TargetMode="External"/><Relationship Id="rId1977" Type="http://schemas.openxmlformats.org/officeDocument/2006/relationships/hyperlink" Target="https://www.scopus.com/inward/record.uri?eid=2-s2.0-84961144203&amp;doi=10.1016%2fj.infsof.2016.02.003&amp;partnerID=40&amp;md5=39d31d9a944d5e67c10ac63568c00a64;http://dx.doi.org/10.1016/j.infsof.2016.02.003" TargetMode="External"/><Relationship Id="rId902" Type="http://schemas.openxmlformats.org/officeDocument/2006/relationships/hyperlink" Target="http://link.springer.com/chapter/10.1007/978-1-4842-7226-8_11" TargetMode="External"/><Relationship Id="rId1837" Type="http://schemas.openxmlformats.org/officeDocument/2006/relationships/hyperlink" Target="https://www.scopus.com/inward/record.uri?eid=2-s2.0-85126524793&amp;doi=10.1007%2fs10664-021-10105-2&amp;partnerID=40&amp;md5=94d980b399bb6b673a9d2fb6da4c952f;http://dx.doi.org/10.1007/s10664-021-10105-2" TargetMode="External"/><Relationship Id="rId31" Type="http://schemas.openxmlformats.org/officeDocument/2006/relationships/hyperlink" Target="https://www.scopus.com/inward/record.uri?eid=2-s2.0-85094115702&amp;doi=10.1145%2f3377812.3381396&amp;partnerID=40&amp;md5=aeda611a5bc4028469ffe12e6ddb4aa4;http://dx.doi.org/10.1145/3377812.3381396" TargetMode="External"/><Relationship Id="rId2099" Type="http://schemas.openxmlformats.org/officeDocument/2006/relationships/hyperlink" Target="https://www.scopus.com/inward/record.uri?eid=2-s2.0-85091323640&amp;doi=10.1145%2f3313831.3376177&amp;partnerID=40&amp;md5=f480d2d33d50e924a8d3971b4b377538;http://dx.doi.org/10.1145/3313831.3376177" TargetMode="External"/><Relationship Id="rId180" Type="http://schemas.openxmlformats.org/officeDocument/2006/relationships/hyperlink" Target="http://dx.doi.org/10.1109/SEAA51224.2020.00075" TargetMode="External"/><Relationship Id="rId278" Type="http://schemas.openxmlformats.org/officeDocument/2006/relationships/hyperlink" Target="https://www.scopus.com/inward/record.uri?eid=2-s2.0-85133204295&amp;doi=10.53106%2f160792642022052303021&amp;partnerID=40&amp;md5=cf299fe5b610d06f963041f07a5afefb;http://dx.doi.org/10.53106/160792642022052303021" TargetMode="External"/><Relationship Id="rId1904" Type="http://schemas.openxmlformats.org/officeDocument/2006/relationships/hyperlink" Target="https://doi.org/10.1145/2894784.2894800;http:/dx.doi.org/10.1145/2894784.2894800" TargetMode="External"/><Relationship Id="rId485" Type="http://schemas.openxmlformats.org/officeDocument/2006/relationships/hyperlink" Target="https://doi.org/10.1145/3430665.3456386;http:/dx.doi.org/10.1145/3430665.3456386" TargetMode="External"/><Relationship Id="rId692" Type="http://schemas.openxmlformats.org/officeDocument/2006/relationships/hyperlink" Target="https://www.scopus.com/inward/record.uri?eid=2-s2.0-85105431598&amp;doi=10.1145%2f3452383.3452401&amp;partnerID=40&amp;md5=1cf9b181978ca527ff100ba7af53d688;http://dx.doi.org/10.1145/3452383.3452401" TargetMode="External"/><Relationship Id="rId2166" Type="http://schemas.openxmlformats.org/officeDocument/2006/relationships/hyperlink" Target="http://dx.doi.org/10.1109/ICSME55016.2022.00055" TargetMode="External"/><Relationship Id="rId138" Type="http://schemas.openxmlformats.org/officeDocument/2006/relationships/hyperlink" Target="http://link.springer.com/chapter/10.1007/978-3-319-96193-4_6" TargetMode="External"/><Relationship Id="rId345" Type="http://schemas.openxmlformats.org/officeDocument/2006/relationships/hyperlink" Target="https://doi.org/10.1145/3368089.3417941;http:/dx.doi.org/10.1145/3368089.3417941" TargetMode="External"/><Relationship Id="rId552" Type="http://schemas.openxmlformats.org/officeDocument/2006/relationships/hyperlink" Target="http://link.springer.com/chapter/10.1007/978-3-030-49795-8_31" TargetMode="External"/><Relationship Id="rId997" Type="http://schemas.openxmlformats.org/officeDocument/2006/relationships/hyperlink" Target="https://www.scopus.com/inward/record.uri?eid=2-s2.0-85139914234&amp;doi=10.3390%2fapp12199851&amp;partnerID=40&amp;md5=bb511d78b795e3322d6f03596b346bed;http://dx.doi.org/10.3390/app12199851" TargetMode="External"/><Relationship Id="rId1182" Type="http://schemas.openxmlformats.org/officeDocument/2006/relationships/hyperlink" Target="https://doi.org/10.1145/3512945;http:/dx.doi.org/10.1145/3512945" TargetMode="External"/><Relationship Id="rId2026" Type="http://schemas.openxmlformats.org/officeDocument/2006/relationships/hyperlink" Target="https://www.scopus.com/inward/record.uri?eid=2-s2.0-85073418102&amp;doi=10.1109%2fEMIP.2019.00013&amp;partnerID=40&amp;md5=01a6a02b94840a40d2f95bc9565be2a2;http://dx.doi.org/10.1109/EMIP.2019.00013" TargetMode="External"/><Relationship Id="rId205" Type="http://schemas.openxmlformats.org/officeDocument/2006/relationships/hyperlink" Target="https://doi.org/10.1145/3382494.3410681;http:/dx.doi.org/10.1145/3382494.3410681" TargetMode="External"/><Relationship Id="rId412" Type="http://schemas.openxmlformats.org/officeDocument/2006/relationships/hyperlink" Target="http://dx.doi.org/10.1109/SCAM51674.2020.00011" TargetMode="External"/><Relationship Id="rId857" Type="http://schemas.openxmlformats.org/officeDocument/2006/relationships/hyperlink" Target="https://www.scopus.com/inward/record.uri?eid=2-s2.0-85051544507&amp;doi=10.1145%2f3196369.3196391&amp;partnerID=40&amp;md5=1db0914241bc8c746677c681d387b301;http://dx.doi.org/10.1145/3196369.3196391" TargetMode="External"/><Relationship Id="rId1042" Type="http://schemas.openxmlformats.org/officeDocument/2006/relationships/hyperlink" Target="https://www.scopus.com/inward/record.uri?eid=2-s2.0-85041192388&amp;doi=10.1145%2f3152434.3152435&amp;partnerID=40&amp;md5=daf459839c3d00af85fa9318af5ebab2;http://dx.doi.org/10.1145/3152434.3152435" TargetMode="External"/><Relationship Id="rId1487" Type="http://schemas.openxmlformats.org/officeDocument/2006/relationships/hyperlink" Target="http://link.springer.com/article/10.1007/s10664-020-09803-0" TargetMode="External"/><Relationship Id="rId1694" Type="http://schemas.openxmlformats.org/officeDocument/2006/relationships/hyperlink" Target="https://www.scopus.com/inward/record.uri?eid=2-s2.0-85084133224&amp;doi=10.1109%2fACCESS.2020.2985098&amp;partnerID=40&amp;md5=f9bfb7ad46c35adfc3d60bde09cba2ec;http://dx.doi.org/10.1109/ACCESS.2020.2985098" TargetMode="External"/><Relationship Id="rId717" Type="http://schemas.openxmlformats.org/officeDocument/2006/relationships/hyperlink" Target="https://www.scopus.com/inward/record.uri?eid=2-s2.0-85145500796&amp;doi=10.1007%2fs00778-022-00775-9&amp;partnerID=40&amp;md5=740b7669cfff7a156276cfc294feb9a5;http://dx.doi.org/10.1007/s00778-022-00775-9" TargetMode="External"/><Relationship Id="rId924" Type="http://schemas.openxmlformats.org/officeDocument/2006/relationships/hyperlink" Target="https://www.scopus.com/inward/record.uri?eid=2-s2.0-85140993400&amp;doi=10.1109%2fRE54965.2022.00027&amp;partnerID=40&amp;md5=088e3e57c27f23bdf34af1a739a65a79;http://dx.doi.org/10.1109/RE54965.2022.00027" TargetMode="External"/><Relationship Id="rId1347" Type="http://schemas.openxmlformats.org/officeDocument/2006/relationships/hyperlink" Target="http://link.springer.com/chapter/10.1007/978-3-030-49435-3_3" TargetMode="External"/><Relationship Id="rId1554" Type="http://schemas.openxmlformats.org/officeDocument/2006/relationships/hyperlink" Target="https://www.scopus.com/inward/record.uri?eid=2-s2.0-85139714305&amp;doi=10.1007%2fs00146-022-01572-2&amp;partnerID=40&amp;md5=79f4bcde3e95971b7b4e890873c722cc;http://dx.doi.org/10.1007/s00146-022-01572-2" TargetMode="External"/><Relationship Id="rId1761" Type="http://schemas.openxmlformats.org/officeDocument/2006/relationships/hyperlink" Target="http://dx.doi.org/10.1109/ICSE-SEIP.2019.00042" TargetMode="External"/><Relationship Id="rId1999" Type="http://schemas.openxmlformats.org/officeDocument/2006/relationships/hyperlink" Target="http://link.springer.com/chapter/10.1007/978-981-16-6795-4_7" TargetMode="External"/><Relationship Id="rId53" Type="http://schemas.openxmlformats.org/officeDocument/2006/relationships/hyperlink" Target="http://dx.doi.org/10.1007/s10515-022-00364-8" TargetMode="External"/><Relationship Id="rId1207" Type="http://schemas.openxmlformats.org/officeDocument/2006/relationships/hyperlink" Target="https://doi.org/10.1145/3377815.3381377;http:/dx.doi.org/10.1145/3377815.3381377" TargetMode="External"/><Relationship Id="rId1414" Type="http://schemas.openxmlformats.org/officeDocument/2006/relationships/hyperlink" Target="https://www.scopus.com/inward/record.uri?eid=2-s2.0-85126520334&amp;doi=10.1007%2fs10664-022-10126-5&amp;partnerID=40&amp;md5=e40c0e839e1f2ff67ac13072e9c4ed3c;http://dx.doi.org/10.1007/s10664-022-10126-5" TargetMode="External"/><Relationship Id="rId1621" Type="http://schemas.openxmlformats.org/officeDocument/2006/relationships/hyperlink" Target="https://www.scopus.com/inward/record.uri?eid=2-s2.0-85108729050&amp;doi=10.3772%2fj.issn.1006-6748.2021.02.012&amp;partnerID=40&amp;md5=e7497e1fd7258da8b532a4783feea21e;http://dx.doi.org/10.3772/j.issn.1006-6748.2021.02.012" TargetMode="External"/><Relationship Id="rId1859" Type="http://schemas.openxmlformats.org/officeDocument/2006/relationships/hyperlink" Target="http://dx.doi.org/10.1109/SANER50967.2021.00004" TargetMode="External"/><Relationship Id="rId1719" Type="http://schemas.openxmlformats.org/officeDocument/2006/relationships/hyperlink" Target="https://www.scopus.com/inward/record.uri?eid=2-s2.0-85025124144&amp;doi=10.1109%2fICPC.2017.32&amp;partnerID=40&amp;md5=255ec184eb1e7d10028106b58864f2ff;http://dx.doi.org/10.1109/ICPC.2017.32" TargetMode="External"/><Relationship Id="rId1926" Type="http://schemas.openxmlformats.org/officeDocument/2006/relationships/hyperlink" Target="https://www.scopus.com/inward/record.uri?eid=2-s2.0-85126722651&amp;doi=10.1145%2f3510003.3510057&amp;partnerID=40&amp;md5=32bc1353c5a30725f17692a86ae682d6;http://dx.doi.org/10.1145/3510003.3510057" TargetMode="External"/><Relationship Id="rId2090" Type="http://schemas.openxmlformats.org/officeDocument/2006/relationships/hyperlink" Target="https://www.scopus.com/inward/record.uri?eid=2-s2.0-85091976602&amp;doi=10.1109%2fPerComWorkshops48775.2020.9156127&amp;partnerID=40&amp;md5=8eba2d5f57ae2645dda1e0282e26196f;http://dx.doi.org/10.1109/PerComWorkshops48775.2020.9156127" TargetMode="External"/><Relationship Id="rId2188" Type="http://schemas.openxmlformats.org/officeDocument/2006/relationships/hyperlink" Target="https://ieeexplore.ieee.org/document/9380243" TargetMode="External"/><Relationship Id="rId367" Type="http://schemas.openxmlformats.org/officeDocument/2006/relationships/hyperlink" Target="https://www.scopus.com/inward/record.uri?eid=2-s2.0-85143196742&amp;doi=10.1145%2f3549034.3561176&amp;partnerID=40&amp;md5=01ede058d4a352799db0aba344a26716;http://dx.doi.org/10.1145/3549034.3561176" TargetMode="External"/><Relationship Id="rId574" Type="http://schemas.openxmlformats.org/officeDocument/2006/relationships/hyperlink" Target="http://link.springer.com/book/10.1007/978-981-16-1927-4" TargetMode="External"/><Relationship Id="rId2048" Type="http://schemas.openxmlformats.org/officeDocument/2006/relationships/hyperlink" Target="https://doi.org/10.1145/3442188.3445918;http:/dx.doi.org/10.1145/3442188.3445918" TargetMode="External"/><Relationship Id="rId227" Type="http://schemas.openxmlformats.org/officeDocument/2006/relationships/hyperlink" Target="http://link.springer.com/book/10.1007/978-3-030-88583-0" TargetMode="External"/><Relationship Id="rId781" Type="http://schemas.openxmlformats.org/officeDocument/2006/relationships/hyperlink" Target="https://www.scopus.com/inward/record.uri?eid=2-s2.0-85099183000&amp;doi=10.1145%2f3324884.3416583&amp;partnerID=40&amp;md5=2489e9e83a6d8c5749c20581aec0ce51;http://dx.doi.org/10.1145/3324884.3416583" TargetMode="External"/><Relationship Id="rId879" Type="http://schemas.openxmlformats.org/officeDocument/2006/relationships/hyperlink" Target="https://www.scopus.com/inward/record.uri?eid=2-s2.0-85099769397&amp;doi=10.1109%2fICACSIS51025.2020.9263167&amp;partnerID=40&amp;md5=41ae4ea995eeed640a5197a7f9a907c3;http://dx.doi.org/10.1109/ICACSIS51025.2020.9263167" TargetMode="External"/><Relationship Id="rId434" Type="http://schemas.openxmlformats.org/officeDocument/2006/relationships/hyperlink" Target="https://www.scopus.com/inward/record.uri?eid=2-s2.0-85108363730&amp;partnerID=40&amp;md5=b59261f87494715ad245ea9a7431b02c" TargetMode="External"/><Relationship Id="rId641" Type="http://schemas.openxmlformats.org/officeDocument/2006/relationships/hyperlink" Target="http://dx.doi.org/10.1109/SNPD51163.2021.9705010" TargetMode="External"/><Relationship Id="rId739" Type="http://schemas.openxmlformats.org/officeDocument/2006/relationships/hyperlink" Target="https://www.sciencedirect.com/science/article/pii/S1877050921018512;http:/dx.doi.org/10.1016/j.procs.2021.09.112" TargetMode="External"/><Relationship Id="rId1064" Type="http://schemas.openxmlformats.org/officeDocument/2006/relationships/hyperlink" Target="http://dx.doi.org/10.1109/ICSA.2019.00018" TargetMode="External"/><Relationship Id="rId1271" Type="http://schemas.openxmlformats.org/officeDocument/2006/relationships/hyperlink" Target="https://www.scopus.com/inward/record.uri?eid=2-s2.0-85128221731&amp;doi=10.1038%2fs41746-022-00592-y&amp;partnerID=40&amp;md5=505a4e8bb93249a2eebe325bbce17005;http://dx.doi.org/10.1038/s41746-022-00592-y" TargetMode="External"/><Relationship Id="rId1369" Type="http://schemas.openxmlformats.org/officeDocument/2006/relationships/hyperlink" Target="http://dx.doi.org/10.1109/TR.2021.3087864" TargetMode="External"/><Relationship Id="rId1576" Type="http://schemas.openxmlformats.org/officeDocument/2006/relationships/hyperlink" Target="http://link.springer.com/book/10.1007/978-3-031-14179-9" TargetMode="External"/><Relationship Id="rId2115" Type="http://schemas.openxmlformats.org/officeDocument/2006/relationships/hyperlink" Target="http://link.springer.com/article/10.1007/s11704-020-9281-z" TargetMode="External"/><Relationship Id="rId501" Type="http://schemas.openxmlformats.org/officeDocument/2006/relationships/hyperlink" Target="http://link.springer.com/book/10.1007/978-3-031-11510-3" TargetMode="External"/><Relationship Id="rId946" Type="http://schemas.openxmlformats.org/officeDocument/2006/relationships/hyperlink" Target="http://dx.doi.org/10.1109/TSE.2019.2901490" TargetMode="External"/><Relationship Id="rId1131" Type="http://schemas.openxmlformats.org/officeDocument/2006/relationships/hyperlink" Target="https://www.scopus.com/inward/record.uri?eid=2-s2.0-85114827039&amp;doi=10.1109%2fTechDebt52882.2021.00011&amp;partnerID=40&amp;md5=934d9d466016810c9acf88a4b0612b8d;http://dx.doi.org/10.1109/TechDebt52882.2021.00011" TargetMode="External"/><Relationship Id="rId1229" Type="http://schemas.openxmlformats.org/officeDocument/2006/relationships/hyperlink" Target="https://www.scopus.com/inward/record.uri?eid=2-s2.0-85087690796&amp;doi=10.1016%2fj.infsof.2020.106368&amp;partnerID=40&amp;md5=39ff261482f573a45f895642acbd9059;http://dx.doi.org/10.1016/j.infsof.2020.106368" TargetMode="External"/><Relationship Id="rId1783" Type="http://schemas.openxmlformats.org/officeDocument/2006/relationships/hyperlink" Target="http://link.springer.com/article/10.1007/s10664-022-10122-9" TargetMode="External"/><Relationship Id="rId1990" Type="http://schemas.openxmlformats.org/officeDocument/2006/relationships/hyperlink" Target="https://www.scopus.com/inward/record.uri?eid=2-s2.0-85002599816&amp;doi=10.1016%2fj.jss.2016.11.030&amp;partnerID=40&amp;md5=2155c81217c8e4c44668cec1062d12a4;http://dx.doi.org/10.1016/j.jss.2016.11.030" TargetMode="External"/><Relationship Id="rId75" Type="http://schemas.openxmlformats.org/officeDocument/2006/relationships/hyperlink" Target="http://dx.doi.org/10.1109/ACCESS.2021.3119746" TargetMode="External"/><Relationship Id="rId806" Type="http://schemas.openxmlformats.org/officeDocument/2006/relationships/hyperlink" Target="https://doi.org/10.1145/3379597.3387457;http:/dx.doi.org/10.1145/3379597.3387457" TargetMode="External"/><Relationship Id="rId1436" Type="http://schemas.openxmlformats.org/officeDocument/2006/relationships/hyperlink" Target="https://www.sciencedirect.com/science/article/pii/S0950584921000264;http:/dx.doi.org/10.1016/j.infsof.2021.106539" TargetMode="External"/><Relationship Id="rId1643" Type="http://schemas.openxmlformats.org/officeDocument/2006/relationships/hyperlink" Target="http://link.springer.com/book/10.1007/978-1-4842-8575-6" TargetMode="External"/><Relationship Id="rId1850" Type="http://schemas.openxmlformats.org/officeDocument/2006/relationships/hyperlink" Target="http://dx.doi.org/10.1109/CONISOFT50191.2020.00004" TargetMode="External"/><Relationship Id="rId1503" Type="http://schemas.openxmlformats.org/officeDocument/2006/relationships/hyperlink" Target="http://link.springer.com/article/10.1007/s11219-020-09520-3" TargetMode="External"/><Relationship Id="rId1710" Type="http://schemas.openxmlformats.org/officeDocument/2006/relationships/hyperlink" Target="http://link.springer.com/book/10.1007/978-3-662-63956-6" TargetMode="External"/><Relationship Id="rId1948" Type="http://schemas.openxmlformats.org/officeDocument/2006/relationships/hyperlink" Target="https://www.scopus.com/inward/record.uri?eid=2-s2.0-85133005994&amp;doi=10.1145%2f3531146.3533158&amp;partnerID=40&amp;md5=205ca6f2e3d8df6d95c6dce290e423f5;http://dx.doi.org/10.1145/3531146.3533158" TargetMode="External"/><Relationship Id="rId291" Type="http://schemas.openxmlformats.org/officeDocument/2006/relationships/hyperlink" Target="https://www.scopus.com/inward/record.uri?eid=2-s2.0-85100871955&amp;doi=10.1007%2fs11219-020-09538-7&amp;partnerID=40&amp;md5=db34d14be1d38564e1377bfa7a6c070f;http://dx.doi.org/10.1007/s11219-020-09538-7" TargetMode="External"/><Relationship Id="rId1808" Type="http://schemas.openxmlformats.org/officeDocument/2006/relationships/hyperlink" Target="http://link.springer.com/article/10.1007/s10664-022-10227-1" TargetMode="External"/><Relationship Id="rId151" Type="http://schemas.openxmlformats.org/officeDocument/2006/relationships/hyperlink" Target="http://dx.doi.org/10.1016/j.jss.2017.12.034" TargetMode="External"/><Relationship Id="rId389" Type="http://schemas.openxmlformats.org/officeDocument/2006/relationships/hyperlink" Target="https://www.scopus.com/inward/record.uri?eid=2-s2.0-85139832258&amp;doi=10.1145%2f3544902.3546245&amp;partnerID=40&amp;md5=edbb24b01f3bad71665e5dd0778fd6e1;http://dx.doi.org/10.1145/3544902.3546245" TargetMode="External"/><Relationship Id="rId596" Type="http://schemas.openxmlformats.org/officeDocument/2006/relationships/hyperlink" Target="https://www.scopus.com/inward/record.uri?eid=2-s2.0-85133459974&amp;doi=10.1145%2f3522664.3528620&amp;partnerID=40&amp;md5=97b0c303caa510a842490a1ceaec5ad5;http://dx.doi.org/10.1145/3522664.3528620" TargetMode="External"/><Relationship Id="rId249" Type="http://schemas.openxmlformats.org/officeDocument/2006/relationships/hyperlink" Target="https://doi.org/10.1145/3442188.3445935;http:/dx.doi.org/10.1145/3442188.3445935" TargetMode="External"/><Relationship Id="rId456" Type="http://schemas.openxmlformats.org/officeDocument/2006/relationships/hyperlink" Target="https://www.scopus.com/inward/record.uri?eid=2-s2.0-85095508614&amp;doi=10.1145%2f3368089.3409688&amp;partnerID=40&amp;md5=1a789e8c27a01344f0c422a4b1ff6f53;http://dx.doi.org/10.1145/3368089.3409688" TargetMode="External"/><Relationship Id="rId663" Type="http://schemas.openxmlformats.org/officeDocument/2006/relationships/hyperlink" Target="https://www.sciencedirect.com/science/article/pii/B9780124077256000125;http:/dx.doi.org/10.1016/B978-0-12-407725-6.00012-5" TargetMode="External"/><Relationship Id="rId870" Type="http://schemas.openxmlformats.org/officeDocument/2006/relationships/hyperlink" Target="http://link.springer.com/book/10.1007/978-981-19-5482-5" TargetMode="External"/><Relationship Id="rId1086" Type="http://schemas.openxmlformats.org/officeDocument/2006/relationships/hyperlink" Target="https://www.scopus.com/inward/record.uri?eid=2-s2.0-85134010393&amp;doi=10.1145%2f3524842.3528458&amp;partnerID=40&amp;md5=d8401c36c5326b84dda8e37b616b2012;http://dx.doi.org/10.1145/3524842.3528458" TargetMode="External"/><Relationship Id="rId1293" Type="http://schemas.openxmlformats.org/officeDocument/2006/relationships/hyperlink" Target="https://www.scopus.com/inward/record.uri?eid=2-s2.0-85121844776&amp;doi=10.1109%2fTSE.2021.3135465&amp;partnerID=40&amp;md5=1410d9efd8f71992be0a957c0c044f54;http://dx.doi.org/10.1109/TSE.2021.3135465" TargetMode="External"/><Relationship Id="rId2137" Type="http://schemas.openxmlformats.org/officeDocument/2006/relationships/hyperlink" Target="http://link.springer.com/article/10.1007/s10664-020-09854-3" TargetMode="External"/><Relationship Id="rId109" Type="http://schemas.openxmlformats.org/officeDocument/2006/relationships/hyperlink" Target="https://www.scopus.com/inward/record.uri?eid=2-s2.0-85079738831&amp;doi=10.1007%2fs11023-020-09519-6&amp;partnerID=40&amp;md5=63f43e272d732d100e4a5d83ec52f810;http://dx.doi.org/10.1007/s11023-020-09519-6" TargetMode="External"/><Relationship Id="rId316" Type="http://schemas.openxmlformats.org/officeDocument/2006/relationships/hyperlink" Target="http://link.springer.com/article/10.1007/s10664-021-10049-7" TargetMode="External"/><Relationship Id="rId523" Type="http://schemas.openxmlformats.org/officeDocument/2006/relationships/hyperlink" Target="https://www.scopus.com/inward/record.uri?eid=2-s2.0-85089179553&amp;doi=10.1109%2fICWR49608.2020.9122271&amp;partnerID=40&amp;md5=2442c0ca34498882123cecd68803985c;http://dx.doi.org/10.1109/ICWR49608.2020.9122271" TargetMode="External"/><Relationship Id="rId968" Type="http://schemas.openxmlformats.org/officeDocument/2006/relationships/hyperlink" Target="http://dx.doi.org/10.1109/APSECW53869.2021.00010" TargetMode="External"/><Relationship Id="rId1153" Type="http://schemas.openxmlformats.org/officeDocument/2006/relationships/hyperlink" Target="https://ieeexplore.ieee.org/document/9822330;http:/dx.doi.org/10.1002/9781119644682.index" TargetMode="External"/><Relationship Id="rId1598" Type="http://schemas.openxmlformats.org/officeDocument/2006/relationships/hyperlink" Target="http://link.springer.com/article/10.1007/s11334-021-00422-6" TargetMode="External"/><Relationship Id="rId97" Type="http://schemas.openxmlformats.org/officeDocument/2006/relationships/hyperlink" Target="https://www.scopus.com/inward/record.uri?eid=2-s2.0-85128300131&amp;doi=10.1016%2fj.eswa.2022.117094&amp;partnerID=40&amp;md5=8abd4d36f0b2f01984d190f731d23a5a;http://dx.doi.org/10.1016/j.eswa.2022.117094" TargetMode="External"/><Relationship Id="rId730" Type="http://schemas.openxmlformats.org/officeDocument/2006/relationships/hyperlink" Target="http://dx.doi.org/10.1145/3522664.3528590" TargetMode="External"/><Relationship Id="rId828" Type="http://schemas.openxmlformats.org/officeDocument/2006/relationships/hyperlink" Target="http://dx.doi.org/10.1145/3510003.3510225" TargetMode="External"/><Relationship Id="rId1013" Type="http://schemas.openxmlformats.org/officeDocument/2006/relationships/hyperlink" Target="https://www.scopus.com/inward/record.uri?eid=2-s2.0-85133692894&amp;doi=10.1109%2fSANER53432.2022.00043&amp;partnerID=40&amp;md5=e7fabf15f8c5c0dc44830467eb9dd6fd;http://dx.doi.org/10.1109/SANER53432.2022.00043" TargetMode="External"/><Relationship Id="rId1360" Type="http://schemas.openxmlformats.org/officeDocument/2006/relationships/hyperlink" Target="http://link.springer.com/chapter/10.1007/978-3-030-90318-3_24" TargetMode="External"/><Relationship Id="rId1458" Type="http://schemas.openxmlformats.org/officeDocument/2006/relationships/hyperlink" Target="http://dx.doi.org/10.1145/3526073.3527584" TargetMode="External"/><Relationship Id="rId1665" Type="http://schemas.openxmlformats.org/officeDocument/2006/relationships/hyperlink" Target="http://link.springer.com/book/10.1007/978-3-662-62917-8" TargetMode="External"/><Relationship Id="rId1872" Type="http://schemas.openxmlformats.org/officeDocument/2006/relationships/hyperlink" Target="http://dx.doi.org/10.1109/ICSA47634.2020.00013" TargetMode="External"/><Relationship Id="rId1220" Type="http://schemas.openxmlformats.org/officeDocument/2006/relationships/hyperlink" Target="http://link.springer.com/book/10.1007/978-3-658-31519-1" TargetMode="External"/><Relationship Id="rId1318" Type="http://schemas.openxmlformats.org/officeDocument/2006/relationships/hyperlink" Target="https://www.sciencedirect.com/science/article/pii/S2666546822000544;http:/dx.doi.org/10.1016/j.egyai.2022.100208" TargetMode="External"/><Relationship Id="rId1525" Type="http://schemas.openxmlformats.org/officeDocument/2006/relationships/hyperlink" Target="http://link.springer.com/book/10.1007/978-1-4842-7833-8" TargetMode="External"/><Relationship Id="rId1732" Type="http://schemas.openxmlformats.org/officeDocument/2006/relationships/hyperlink" Target="http://dx.doi.org/10.1109/WAIN52551.2021.00026" TargetMode="External"/><Relationship Id="rId24" Type="http://schemas.openxmlformats.org/officeDocument/2006/relationships/hyperlink" Target="https://doi.org/10.1145/3338468.3356828;http:/dx.doi.org/10.1145/3338468.3356828" TargetMode="External"/><Relationship Id="rId173" Type="http://schemas.openxmlformats.org/officeDocument/2006/relationships/hyperlink" Target="https://www.scopus.com/inward/record.uri?eid=2-s2.0-85112267816&amp;doi=10.15388%2f21-INFOR454&amp;partnerID=40&amp;md5=8bd149a1f3f0de62a234c35f84b10d05;http://dx.doi.org/10.15388/21-INFOR454" TargetMode="External"/><Relationship Id="rId380" Type="http://schemas.openxmlformats.org/officeDocument/2006/relationships/hyperlink" Target="http://link.springer.com/article/10.1007/s40264-022-01156-5" TargetMode="External"/><Relationship Id="rId2061" Type="http://schemas.openxmlformats.org/officeDocument/2006/relationships/hyperlink" Target="https://www.scopus.com/inward/record.uri?eid=2-s2.0-85117583710&amp;doi=10.3390%2fmake3020020&amp;partnerID=40&amp;md5=2db6c87fe56c2b4551d91e69aa651e69;http://dx.doi.org/10.3390/make3020020" TargetMode="External"/><Relationship Id="rId240" Type="http://schemas.openxmlformats.org/officeDocument/2006/relationships/hyperlink" Target="http://link.springer.com/article/10.1007/s10664-021-09993-1" TargetMode="External"/><Relationship Id="rId478" Type="http://schemas.openxmlformats.org/officeDocument/2006/relationships/hyperlink" Target="http://dx.doi.org/10.1109/MS.2022.3180906" TargetMode="External"/><Relationship Id="rId685" Type="http://schemas.openxmlformats.org/officeDocument/2006/relationships/hyperlink" Target="https://www.scopus.com/inward/record.uri?eid=2-s2.0-85114697629&amp;doi=10.25300%2fMISQ%2f2021%2f16543&amp;partnerID=40&amp;md5=b53e4d8014ae591404107447c5e1ced1;http://dx.doi.org/10.25300/MISQ/2021/16543" TargetMode="External"/><Relationship Id="rId892" Type="http://schemas.openxmlformats.org/officeDocument/2006/relationships/hyperlink" Target="https://www.scopus.com/inward/record.uri?eid=2-s2.0-85137510970&amp;doi=10.4018%2f978-1-7998-5101-1.ch001&amp;partnerID=40&amp;md5=6240593ae2c7bc36df644c3f008913fc;http://dx.doi.org/10.4018/978-1-7998-5101-1.ch001" TargetMode="External"/><Relationship Id="rId2159" Type="http://schemas.openxmlformats.org/officeDocument/2006/relationships/hyperlink" Target="https://www.scopus.com/inward/record.uri?eid=2-s2.0-85099091771&amp;doi=10.1007%2fs10664-020-09916-6&amp;partnerID=40&amp;md5=fb931cfc409ee456e24ad533e80416a4;http://dx.doi.org/10.1007/s10664-020-09916-6" TargetMode="External"/><Relationship Id="rId100" Type="http://schemas.openxmlformats.org/officeDocument/2006/relationships/hyperlink" Target="https://www.scopus.com/inward/record.uri?eid=2-s2.0-85141430282&amp;doi=10.1109%2fQRS54544.2021.00103&amp;partnerID=40&amp;md5=b6d0f6795eecbed78733249832cfaa95;http://dx.doi.org/10.1109/QRS54544.2021.00103" TargetMode="External"/><Relationship Id="rId338" Type="http://schemas.openxmlformats.org/officeDocument/2006/relationships/hyperlink" Target="https://www.scopus.com/inward/record.uri?eid=2-s2.0-85113807787&amp;doi=10.1145%2f3469440&amp;partnerID=40&amp;md5=ac2ec772179d5bb925bf67779e557769;http://dx.doi.org/10.1145/3469440" TargetMode="External"/><Relationship Id="rId545" Type="http://schemas.openxmlformats.org/officeDocument/2006/relationships/hyperlink" Target="http://dx.doi.org/10.1109/TechDebt52882.2021.00016" TargetMode="External"/><Relationship Id="rId752" Type="http://schemas.openxmlformats.org/officeDocument/2006/relationships/hyperlink" Target="https://doi.org/10.1145/3475965.3479315;http:/dx.doi.org/10.1145/3475965.3479315" TargetMode="External"/><Relationship Id="rId1175" Type="http://schemas.openxmlformats.org/officeDocument/2006/relationships/hyperlink" Target="http://link.springer.com/book/10.1007/978-3-031-10461-9" TargetMode="External"/><Relationship Id="rId1382" Type="http://schemas.openxmlformats.org/officeDocument/2006/relationships/hyperlink" Target="https://www.scopus.com/inward/record.uri?eid=2-s2.0-85075020632&amp;doi=10.1145%2f3324916&amp;partnerID=40&amp;md5=999bb85d4d49055dd77ca73552f91fe7;http://dx.doi.org/10.1145/3324916" TargetMode="External"/><Relationship Id="rId2019" Type="http://schemas.openxmlformats.org/officeDocument/2006/relationships/hyperlink" Target="https://doi.org/10.1145/3317287.3325792;http:/dx.doi.org/10.1145/3317287.3325792" TargetMode="External"/><Relationship Id="rId405" Type="http://schemas.openxmlformats.org/officeDocument/2006/relationships/hyperlink" Target="http://link.springer.com/chapter/10.1007/978-3-031-04115-0_3" TargetMode="External"/><Relationship Id="rId612" Type="http://schemas.openxmlformats.org/officeDocument/2006/relationships/hyperlink" Target="https://www.sciencedirect.com/science/article/pii/S0950584922001872;http:/dx.doi.org/10.1016/j.infsof.2022.107078" TargetMode="External"/><Relationship Id="rId1035" Type="http://schemas.openxmlformats.org/officeDocument/2006/relationships/hyperlink" Target="http://link.springer.com/book/10.1007/978-3-031-11686-5" TargetMode="External"/><Relationship Id="rId1242" Type="http://schemas.openxmlformats.org/officeDocument/2006/relationships/hyperlink" Target="https://www.scopus.com/inward/record.uri?eid=2-s2.0-85034592026&amp;doi=10.1007%2f978-3-319-69926-4_42&amp;partnerID=40&amp;md5=facb84db639c6abe9bc241c2381f3668;http://dx.doi.org/10.1007/978-3-319-69926-4_42" TargetMode="External"/><Relationship Id="rId1687" Type="http://schemas.openxmlformats.org/officeDocument/2006/relationships/hyperlink" Target="https://doi.org/10.1145/3347269;http:/dx.doi.org/10.1145/3347269" TargetMode="External"/><Relationship Id="rId1894" Type="http://schemas.openxmlformats.org/officeDocument/2006/relationships/hyperlink" Target="https://www.scopus.com/inward/record.uri?eid=2-s2.0-85093825859&amp;doi=10.1007%2f978-3-030-60939-9_25&amp;partnerID=40&amp;md5=afd17d4c8dd83c794dfe8408efac9243;http://dx.doi.org/10.1007/978-3-030-60939-9_25" TargetMode="External"/><Relationship Id="rId917" Type="http://schemas.openxmlformats.org/officeDocument/2006/relationships/hyperlink" Target="https://www.scopus.com/inward/record.uri?eid=2-s2.0-85051486330&amp;doi=10.1145%2f3194164.3194173&amp;partnerID=40&amp;md5=4dc45a9f967364a60204d0d376da94bd;http://dx.doi.org/10.1145/3194164.3194173" TargetMode="External"/><Relationship Id="rId1102" Type="http://schemas.openxmlformats.org/officeDocument/2006/relationships/hyperlink" Target="https://www.scopus.com/inward/record.uri?eid=2-s2.0-85071142564&amp;doi=10.1109%2fACCESS.2019.2933318&amp;partnerID=40&amp;md5=07d8d7c4cdc5cdb07cce1aa595c35180;http://dx.doi.org/10.1109/ACCESS.2019.2933318" TargetMode="External"/><Relationship Id="rId1547" Type="http://schemas.openxmlformats.org/officeDocument/2006/relationships/hyperlink" Target="https://doi.org/10.1145/3510457.3513041;http:/dx.doi.org/10.1145/3510457.3513041" TargetMode="External"/><Relationship Id="rId1754" Type="http://schemas.openxmlformats.org/officeDocument/2006/relationships/hyperlink" Target="http://link.springer.com/book/10.1007/978-3-030-90318-3" TargetMode="External"/><Relationship Id="rId1961" Type="http://schemas.openxmlformats.org/officeDocument/2006/relationships/hyperlink" Target="https://www.scopus.com/inward/record.uri?eid=2-s2.0-85086278009&amp;doi=10.1145%2f3318464.3386146&amp;partnerID=40&amp;md5=6b9d0d875d873387855ce10ad97643b0;http://dx.doi.org/10.1145/3318464.3386146" TargetMode="External"/><Relationship Id="rId46" Type="http://schemas.openxmlformats.org/officeDocument/2006/relationships/hyperlink" Target="https://doi.org/10.1145/3524610.3528387;http:/dx.doi.org/10.1145/3524610.3528387" TargetMode="External"/><Relationship Id="rId1407" Type="http://schemas.openxmlformats.org/officeDocument/2006/relationships/hyperlink" Target="https://www.scopus.com/inward/record.uri?eid=2-s2.0-85116351574&amp;doi=10.1016%2fj.jss.2021.111096&amp;partnerID=40&amp;md5=8c5aa6e19ea2dc2cba467254b20cb554;http://dx.doi.org/10.1016/j.jss.2021.111096" TargetMode="External"/><Relationship Id="rId1614" Type="http://schemas.openxmlformats.org/officeDocument/2006/relationships/hyperlink" Target="http://dx.doi.org/10.1109/REW.2019.00051" TargetMode="External"/><Relationship Id="rId1821" Type="http://schemas.openxmlformats.org/officeDocument/2006/relationships/hyperlink" Target="http://dx.doi.org/10.1109/ICSME.2019.00060" TargetMode="External"/><Relationship Id="rId195" Type="http://schemas.openxmlformats.org/officeDocument/2006/relationships/hyperlink" Target="https://ieeexplore.ieee.org/document/9823032;http:/dx.doi.org/10.1002/9781119513957.acron" TargetMode="External"/><Relationship Id="rId1919" Type="http://schemas.openxmlformats.org/officeDocument/2006/relationships/hyperlink" Target="http://dx.doi.org/10.1145/3510457.3513036" TargetMode="External"/><Relationship Id="rId2083" Type="http://schemas.openxmlformats.org/officeDocument/2006/relationships/hyperlink" Target="https://www.scopus.com/inward/record.uri?eid=2-s2.0-85128683583&amp;doi=10.1155%2f2022%2f8725767&amp;partnerID=40&amp;md5=28a45450b886e37b99a760f7549e9e77;http://dx.doi.org/10.1155/2022/8725767" TargetMode="External"/><Relationship Id="rId262" Type="http://schemas.openxmlformats.org/officeDocument/2006/relationships/hyperlink" Target="https://www.sciencedirect.com/science/article/pii/S0164121220300947;http:/dx.doi.org/10.1016/j.jss.2020.110616" TargetMode="External"/><Relationship Id="rId567" Type="http://schemas.openxmlformats.org/officeDocument/2006/relationships/hyperlink" Target="http://link.springer.com/book/10.1007/978-1-4842-6921-3" TargetMode="External"/><Relationship Id="rId1197" Type="http://schemas.openxmlformats.org/officeDocument/2006/relationships/hyperlink" Target="http://link.springer.com/article/10.1007/s11219-016-9318-6" TargetMode="External"/><Relationship Id="rId2150" Type="http://schemas.openxmlformats.org/officeDocument/2006/relationships/hyperlink" Target="https://doi.org/10.1109/ESEM.2017.14;http:/dx.doi.org/10.1109/ESEM.2017.14" TargetMode="External"/><Relationship Id="rId122" Type="http://schemas.openxmlformats.org/officeDocument/2006/relationships/hyperlink" Target="http://link.springer.com/article/10.1007/s13369-021-06077-6" TargetMode="External"/><Relationship Id="rId774" Type="http://schemas.openxmlformats.org/officeDocument/2006/relationships/hyperlink" Target="http://dx.doi.org/10.1109/TSE.2018.2797899" TargetMode="External"/><Relationship Id="rId981" Type="http://schemas.openxmlformats.org/officeDocument/2006/relationships/hyperlink" Target="https://doi.org/10.1109/ASE51524.2021.9678680;http:/dx.doi.org/10.1109/ASE51524.2021.9678680" TargetMode="External"/><Relationship Id="rId1057" Type="http://schemas.openxmlformats.org/officeDocument/2006/relationships/hyperlink" Target="https://www.scopus.com/inward/record.uri?eid=2-s2.0-85099151643&amp;doi=10.14778%2f3436905.3436925&amp;partnerID=40&amp;md5=ad8619d7d14b0b32820b1a17e1a8c6aa;http://dx.doi.org/10.14778/3436905.3436925" TargetMode="External"/><Relationship Id="rId2010" Type="http://schemas.openxmlformats.org/officeDocument/2006/relationships/hyperlink" Target="http://link.springer.com/chapter/10.1007/978-3-658-19938-8_3" TargetMode="External"/><Relationship Id="rId427" Type="http://schemas.openxmlformats.org/officeDocument/2006/relationships/hyperlink" Target="https://doi.org/10.1145/3520312.3534868;http:/dx.doi.org/10.1145/3520312.3534868" TargetMode="External"/><Relationship Id="rId634" Type="http://schemas.openxmlformats.org/officeDocument/2006/relationships/hyperlink" Target="http://link.springer.com/book/10.1007/978-3-030-87007-2" TargetMode="External"/><Relationship Id="rId841" Type="http://schemas.openxmlformats.org/officeDocument/2006/relationships/hyperlink" Target="https://www.scopus.com/inward/record.uri?eid=2-s2.0-85090024069&amp;doi=10.1016%2fj.jss.2020.110806&amp;partnerID=40&amp;md5=3fc8497ac55b764c00a741b82889bf76;http://dx.doi.org/10.1016/j.jss.2020.110806" TargetMode="External"/><Relationship Id="rId1264" Type="http://schemas.openxmlformats.org/officeDocument/2006/relationships/hyperlink" Target="http://link.springer.com/chapter/10.1007/978-3-030-89159-6_14" TargetMode="External"/><Relationship Id="rId1471" Type="http://schemas.openxmlformats.org/officeDocument/2006/relationships/hyperlink" Target="http://link.springer.com/book/10.1007/978-3-031-09282-4" TargetMode="External"/><Relationship Id="rId1569" Type="http://schemas.openxmlformats.org/officeDocument/2006/relationships/hyperlink" Target="https://www.scopus.com/inward/record.uri?eid=2-s2.0-85117528533&amp;doi=10.1109%2fICAS49788.2021.9551151&amp;partnerID=40&amp;md5=034597a94dab459da2f9c12133a67165;http://dx.doi.org/10.1109/ICAS49788.2021.9551151" TargetMode="External"/><Relationship Id="rId2108" Type="http://schemas.openxmlformats.org/officeDocument/2006/relationships/hyperlink" Target="https://doi.org/10.1145/3131151.3131164;http:/dx.doi.org/10.1145/3131151.3131164" TargetMode="External"/><Relationship Id="rId701" Type="http://schemas.openxmlformats.org/officeDocument/2006/relationships/hyperlink" Target="https://www.scopus.com/inward/record.uri?eid=2-s2.0-85130511823&amp;doi=10.1145%2f3491102.3501968&amp;partnerID=40&amp;md5=7d3739af1735aa4431f7d199c3cfbc40;http://dx.doi.org/10.1145/3491102.3501968" TargetMode="External"/><Relationship Id="rId939" Type="http://schemas.openxmlformats.org/officeDocument/2006/relationships/hyperlink" Target="https://www.scopus.com/inward/record.uri?eid=2-s2.0-85119363874&amp;doi=10.1007%2fs10462-021-10088-y&amp;partnerID=40&amp;md5=b0350e42829fc11e87c2b049ced10642;http://dx.doi.org/10.1007/s10462-021-10088-y" TargetMode="External"/><Relationship Id="rId1124" Type="http://schemas.openxmlformats.org/officeDocument/2006/relationships/hyperlink" Target="https://www.scopus.com/inward/record.uri?eid=2-s2.0-85028690345&amp;partnerID=40&amp;md5=25f6e03953d7bf7041456caba1e2d45c" TargetMode="External"/><Relationship Id="rId1331" Type="http://schemas.openxmlformats.org/officeDocument/2006/relationships/hyperlink" Target="http://dx.doi.org/10.1145/3526073.3527591" TargetMode="External"/><Relationship Id="rId1776" Type="http://schemas.openxmlformats.org/officeDocument/2006/relationships/hyperlink" Target="http://link.springer.com/book/10.1007/978-3-662-65116-2" TargetMode="External"/><Relationship Id="rId1983" Type="http://schemas.openxmlformats.org/officeDocument/2006/relationships/hyperlink" Target="https://www.scopus.com/inward/record.uri?eid=2-s2.0-85093683910&amp;doi=10.1145%2f3379597.3387479&amp;partnerID=40&amp;md5=ecc5dad25efffa1c2608f7fc4d7b1a71;http://dx.doi.org/10.1145/3379597.3387479" TargetMode="External"/><Relationship Id="rId68" Type="http://schemas.openxmlformats.org/officeDocument/2006/relationships/hyperlink" Target="https://www.scopus.com/inward/record.uri?eid=2-s2.0-85086465273&amp;doi=10.1016%2fj.jss.2020.110693&amp;partnerID=40&amp;md5=c52d1386d8458354f2e436c3ae9006dc;http://dx.doi.org/10.1016/j.jss.2020.110693" TargetMode="External"/><Relationship Id="rId1429" Type="http://schemas.openxmlformats.org/officeDocument/2006/relationships/hyperlink" Target="https://www.scopus.com/inward/record.uri?eid=2-s2.0-85126188892&amp;doi=10.1109%2fAPSEC53868.2021.00053&amp;partnerID=40&amp;md5=4b0fa57084bd877975395b330124edde;http://dx.doi.org/10.1109/APSEC53868.2021.00053" TargetMode="External"/><Relationship Id="rId1636" Type="http://schemas.openxmlformats.org/officeDocument/2006/relationships/hyperlink" Target="https://doi.org/10.1145/3579643;http:/dx.doi.org/10.1145/3579643" TargetMode="External"/><Relationship Id="rId1843" Type="http://schemas.openxmlformats.org/officeDocument/2006/relationships/hyperlink" Target="http://link.springer.com/book/10.1007/978-3-030-28005-5" TargetMode="External"/><Relationship Id="rId1703" Type="http://schemas.openxmlformats.org/officeDocument/2006/relationships/hyperlink" Target="http://link.springer.com/book/10.1007/978-3-031-20984-0" TargetMode="External"/><Relationship Id="rId1910" Type="http://schemas.openxmlformats.org/officeDocument/2006/relationships/hyperlink" Target="https://www.scopus.com/inward/record.uri?eid=2-s2.0-85098933960&amp;doi=10.1016%2fj.compag.2020.105922&amp;partnerID=40&amp;md5=72d041552aa067501c1bde57ead189f8;http://dx.doi.org/10.1016/j.compag.2020.105922" TargetMode="External"/><Relationship Id="rId284" Type="http://schemas.openxmlformats.org/officeDocument/2006/relationships/hyperlink" Target="https://www.sciencedirect.com/science/article/pii/S0164121222002394;http:/dx.doi.org/10.1016/j.jss.2022.111563" TargetMode="External"/><Relationship Id="rId491" Type="http://schemas.openxmlformats.org/officeDocument/2006/relationships/hyperlink" Target="http://link.springer.com/chapter/10.1007/978-3-031-15116-3_6" TargetMode="External"/><Relationship Id="rId2172" Type="http://schemas.openxmlformats.org/officeDocument/2006/relationships/hyperlink" Target="https://www.sciencedirect.com/science/article/pii/S0164121221000364;http:/dx.doi.org/10.1016/j.jss.2021.110939" TargetMode="External"/><Relationship Id="rId144" Type="http://schemas.openxmlformats.org/officeDocument/2006/relationships/hyperlink" Target="http://dx.doi.org/10.1109/ICSTW.2018.00061" TargetMode="External"/><Relationship Id="rId589" Type="http://schemas.openxmlformats.org/officeDocument/2006/relationships/hyperlink" Target="http://dx.doi.org/10.1109/JEEIT.2019.8717457" TargetMode="External"/><Relationship Id="rId796" Type="http://schemas.openxmlformats.org/officeDocument/2006/relationships/hyperlink" Target="https://www.scopus.com/inward/record.uri?eid=2-s2.0-85073675359&amp;doi=10.1127%2fmetz%2f2019%2f0934&amp;partnerID=40&amp;md5=33bed54e7cebeb47fc1c700e4a4a537d;http://dx.doi.org/10.1127/metz/2019/0934" TargetMode="External"/><Relationship Id="rId351" Type="http://schemas.openxmlformats.org/officeDocument/2006/relationships/hyperlink" Target="https://www.scopus.com/inward/record.uri?eid=2-s2.0-85107013733&amp;doi=10.1109%2fICSA51549.2021.00017&amp;partnerID=40&amp;md5=aee284cea4e0fb4c88be97c22261b155;http://dx.doi.org/10.1109/ICSA51549.2021.00017" TargetMode="External"/><Relationship Id="rId449" Type="http://schemas.openxmlformats.org/officeDocument/2006/relationships/hyperlink" Target="http://link.springer.com/book/10.1007/978-1-4842-8832-0" TargetMode="External"/><Relationship Id="rId656" Type="http://schemas.openxmlformats.org/officeDocument/2006/relationships/hyperlink" Target="https://www.sciencedirect.com/science/article/pii/S0065245815000571;http:/dx.doi.org/10.1016/S0065-2458(15)00057-1" TargetMode="External"/><Relationship Id="rId863" Type="http://schemas.openxmlformats.org/officeDocument/2006/relationships/hyperlink" Target="https://doi.org/10.1145/3545258.3545260;http:/dx.doi.org/10.1145/3545258.3545260" TargetMode="External"/><Relationship Id="rId1079" Type="http://schemas.openxmlformats.org/officeDocument/2006/relationships/hyperlink" Target="https://www.scopus.com/inward/record.uri?eid=2-s2.0-85112052871&amp;doi=10.1145%2f3447247&amp;partnerID=40&amp;md5=64e9a5d0a33bf2cdbda8593b4b2d2ac4;http://dx.doi.org/10.1145/3447247" TargetMode="External"/><Relationship Id="rId1286" Type="http://schemas.openxmlformats.org/officeDocument/2006/relationships/hyperlink" Target="https://www.scopus.com/inward/record.uri?eid=2-s2.0-85073519954&amp;doi=10.1002%2fsmr.2163&amp;partnerID=40&amp;md5=bac60aa852dc276f5e68e8afbf7cd867;http://dx.doi.org/10.1002/smr.2163" TargetMode="External"/><Relationship Id="rId1493" Type="http://schemas.openxmlformats.org/officeDocument/2006/relationships/hyperlink" Target="http://link.springer.com/article/10.1007/s11390-020-0323-7" TargetMode="External"/><Relationship Id="rId2032" Type="http://schemas.openxmlformats.org/officeDocument/2006/relationships/hyperlink" Target="https://doi.org/10.1145/3472674.3473981;http:/dx.doi.org/10.1145/3472674.3473981" TargetMode="External"/><Relationship Id="rId211" Type="http://schemas.openxmlformats.org/officeDocument/2006/relationships/hyperlink" Target="http://link.springer.com/book/10.1007/978-3-031-22311-2" TargetMode="External"/><Relationship Id="rId309" Type="http://schemas.openxmlformats.org/officeDocument/2006/relationships/hyperlink" Target="http://link.springer.com/article/10.1007/s10664-021-10103-4" TargetMode="External"/><Relationship Id="rId516" Type="http://schemas.openxmlformats.org/officeDocument/2006/relationships/hyperlink" Target="https://www.scopus.com/inward/record.uri?eid=2-s2.0-85095611801&amp;doi=10.1109%2fICONC345789.2020.9117485&amp;partnerID=40&amp;md5=02ee1e9e849c70a11bf100bfca39e590;http://dx.doi.org/10.1109/ICONC345789.2020.9117485" TargetMode="External"/><Relationship Id="rId1146" Type="http://schemas.openxmlformats.org/officeDocument/2006/relationships/hyperlink" Target="https://www.scopus.com/inward/record.uri?eid=2-s2.0-85073790433&amp;doi=10.1109%2fQRS.2019.00041&amp;partnerID=40&amp;md5=554197f3cd3a269d57bda010e33880de;http://dx.doi.org/10.1109/QRS.2019.00041" TargetMode="External"/><Relationship Id="rId1798" Type="http://schemas.openxmlformats.org/officeDocument/2006/relationships/hyperlink" Target="https://www.scopus.com/inward/record.uri?eid=2-s2.0-85134315914&amp;doi=10.1145%2f3524843.3528098&amp;partnerID=40&amp;md5=1a201b18e5d31dd3e44aa186650d9338;http://dx.doi.org/10.1145/3524843.3528098" TargetMode="External"/><Relationship Id="rId723" Type="http://schemas.openxmlformats.org/officeDocument/2006/relationships/hyperlink" Target="https://www.scopus.com/inward/record.uri?eid=2-s2.0-85134194795&amp;doi=10.1109%2fTEMSCONEUROPE54743.2022.9802054&amp;partnerID=40&amp;md5=d15c6dd83ba2312925aeebe5b4d8cb1a;http://dx.doi.org/10.1109/TEMSCONEUROPE54743.2022.9802054" TargetMode="External"/><Relationship Id="rId930" Type="http://schemas.openxmlformats.org/officeDocument/2006/relationships/hyperlink" Target="https://www.scopus.com/inward/record.uri?eid=2-s2.0-84961375653&amp;doi=10.1007%2f978-3-642-45398-4&amp;partnerID=40&amp;md5=749625357b37e006de267556d48c57e6;http://dx.doi.org/10.1007/978-3-642-45398-4" TargetMode="External"/><Relationship Id="rId1006" Type="http://schemas.openxmlformats.org/officeDocument/2006/relationships/hyperlink" Target="https://www.scopus.com/inward/record.uri?eid=2-s2.0-85061993669&amp;doi=10.3389%2ffict.2016.00002&amp;partnerID=40&amp;md5=2c17672af2cd3970e22753ec24c43c7b;http://dx.doi.org/10.3389/fict.2016.00002" TargetMode="External"/><Relationship Id="rId1353" Type="http://schemas.openxmlformats.org/officeDocument/2006/relationships/hyperlink" Target="http://link.springer.com/chapter/10.1007/978-3-031-11686-5_9" TargetMode="External"/><Relationship Id="rId1560" Type="http://schemas.openxmlformats.org/officeDocument/2006/relationships/hyperlink" Target="https://www.sciencedirect.com/science/article/pii/S0957417417303883;http:/dx.doi.org/10.1016/j.eswa.2017.05.060" TargetMode="External"/><Relationship Id="rId1658" Type="http://schemas.openxmlformats.org/officeDocument/2006/relationships/hyperlink" Target="http://dx.doi.org/10.23919/DATE54114.2022.9774586" TargetMode="External"/><Relationship Id="rId1865" Type="http://schemas.openxmlformats.org/officeDocument/2006/relationships/hyperlink" Target="http://link.springer.com/chapter/10.1007/978-1-4302-4918-4_2" TargetMode="External"/><Relationship Id="rId1213" Type="http://schemas.openxmlformats.org/officeDocument/2006/relationships/hyperlink" Target="http://link.springer.com/book/10.1007/978-3-658-37324-5" TargetMode="External"/><Relationship Id="rId1420" Type="http://schemas.openxmlformats.org/officeDocument/2006/relationships/hyperlink" Target="https://doi.org/10.1109/TechDebt.2019.00028;http:/dx.doi.org/10.1109/TechDebt.2019.00028" TargetMode="External"/><Relationship Id="rId1518" Type="http://schemas.openxmlformats.org/officeDocument/2006/relationships/hyperlink" Target="https://doi.org/10.1145/3194164.3194187;http:/dx.doi.org/10.1145/3194164.3194187" TargetMode="External"/><Relationship Id="rId1725" Type="http://schemas.openxmlformats.org/officeDocument/2006/relationships/hyperlink" Target="http://link.springer.com/book/10.1007/978-3-030-59155-7" TargetMode="External"/><Relationship Id="rId1932" Type="http://schemas.openxmlformats.org/officeDocument/2006/relationships/hyperlink" Target="https://www.scopus.com/inward/record.uri?eid=2-s2.0-85083006137&amp;doi=10.1109%2fMS.2020.2985621&amp;partnerID=40&amp;md5=aaba6981f5c34875848add2db6ccf5a7;http://dx.doi.org/10.1109/MS.2020.2985621" TargetMode="External"/><Relationship Id="rId17" Type="http://schemas.openxmlformats.org/officeDocument/2006/relationships/hyperlink" Target="http://dx.doi.org/10.1109/AERO47225.2020.9172526" TargetMode="External"/><Relationship Id="rId166" Type="http://schemas.openxmlformats.org/officeDocument/2006/relationships/hyperlink" Target="https://www.sciencedirect.com/science/article/pii/S0952197622000616;http:/dx.doi.org/10.1016/j.engappai.2022.104773" TargetMode="External"/><Relationship Id="rId373" Type="http://schemas.openxmlformats.org/officeDocument/2006/relationships/hyperlink" Target="https://www.scopus.com/inward/record.uri?eid=2-s2.0-85120851738&amp;doi=10.1145%2f3486609.3487199&amp;partnerID=40&amp;md5=27f2355ad1f01d8ae15538d7647a3068;http://dx.doi.org/10.1145/3486609.3487199" TargetMode="External"/><Relationship Id="rId580" Type="http://schemas.openxmlformats.org/officeDocument/2006/relationships/hyperlink" Target="http://dx.doi.org/10.1145/3524842.3527932" TargetMode="External"/><Relationship Id="rId2054" Type="http://schemas.openxmlformats.org/officeDocument/2006/relationships/hyperlink" Target="https://www.scopus.com/inward/record.uri?eid=2-s2.0-85058275146&amp;doi=10.1109%2fSCAM.2018.00015&amp;partnerID=40&amp;md5=735f0c987e0c433b10f67a72f9f2a97b;http://dx.doi.org/10.1109/SCAM.2018.00015" TargetMode="External"/><Relationship Id="rId1" Type="http://schemas.openxmlformats.org/officeDocument/2006/relationships/hyperlink" Target="http://dx.doi.org/10.1109/MS.2021.3105625" TargetMode="External"/><Relationship Id="rId233" Type="http://schemas.openxmlformats.org/officeDocument/2006/relationships/hyperlink" Target="https://www.scopus.com/inward/record.uri?eid=2-s2.0-85137877053&amp;doi=10.1007%2fs00146-022-01545-5&amp;partnerID=40&amp;md5=d8c22f1754387bc87f8704756d6dcd9e;http://dx.doi.org/10.1007/s00146-022-01545-5" TargetMode="External"/><Relationship Id="rId440" Type="http://schemas.openxmlformats.org/officeDocument/2006/relationships/hyperlink" Target="https://www.scopus.com/inward/record.uri?eid=2-s2.0-85133199215&amp;doi=10.1145%2f3524610.3527920&amp;partnerID=40&amp;md5=84721a129c81e53aaef1e0fec395a65e;http://dx.doi.org/10.1145/3524610.3527920" TargetMode="External"/><Relationship Id="rId678" Type="http://schemas.openxmlformats.org/officeDocument/2006/relationships/hyperlink" Target="https://www.scopus.com/inward/record.uri?eid=2-s2.0-85135020559&amp;doi=10.1007%2f978-3-031-08421-8_41&amp;partnerID=40&amp;md5=8fba1eb478d33077040752bd1c7f76b7;http://dx.doi.org/10.1007/978-3-031-08421-8_41" TargetMode="External"/><Relationship Id="rId885" Type="http://schemas.openxmlformats.org/officeDocument/2006/relationships/hyperlink" Target="https://www.scopus.com/inward/record.uri?eid=2-s2.0-85117899094&amp;doi=10.1145%2f3479575&amp;partnerID=40&amp;md5=2588531cb9eb7a52ed8be8a66ae0167a;http://dx.doi.org/10.1145/3479575" TargetMode="External"/><Relationship Id="rId1070" Type="http://schemas.openxmlformats.org/officeDocument/2006/relationships/hyperlink" Target="http://dx.doi.org/10.22360/SpringSim.2020.HSAA.007" TargetMode="External"/><Relationship Id="rId2121" Type="http://schemas.openxmlformats.org/officeDocument/2006/relationships/hyperlink" Target="https://www.scopus.com/inward/record.uri?eid=2-s2.0-85136614376&amp;doi=10.1016%2fj.jss.2022.111481&amp;partnerID=40&amp;md5=6c676d95e43f78692316b4691625146c;http://dx.doi.org/10.1016/j.jss.2022.111481" TargetMode="External"/><Relationship Id="rId300" Type="http://schemas.openxmlformats.org/officeDocument/2006/relationships/hyperlink" Target="https://doi.org/10.1145/3194164.3194165;http:/dx.doi.org/10.1145/3194164.3194165" TargetMode="External"/><Relationship Id="rId538" Type="http://schemas.openxmlformats.org/officeDocument/2006/relationships/hyperlink" Target="https://www.sciencedirect.com/science/article/pii/B9780128023013000132;http:/dx.doi.org/10.1016/B978-0-12-802301-3.00013-2" TargetMode="External"/><Relationship Id="rId745" Type="http://schemas.openxmlformats.org/officeDocument/2006/relationships/hyperlink" Target="https://www.scopus.com/inward/record.uri?eid=2-s2.0-85127825250&amp;doi=10.1007%2fs10664-022-10121-w&amp;partnerID=40&amp;md5=6b976295e4a0ab64440d5bea832c353d;http://dx.doi.org/10.1007/s10664-022-10121-w" TargetMode="External"/><Relationship Id="rId952" Type="http://schemas.openxmlformats.org/officeDocument/2006/relationships/hyperlink" Target="https://www.scopus.com/inward/record.uri?eid=2-s2.0-85113233819&amp;doi=10.1109%2fSEthics52569.2021.00009&amp;partnerID=40&amp;md5=381ee8f9de4f0758d6a3d1c57c6e76ff;http://dx.doi.org/10.1109/SEthics52569.2021.00009" TargetMode="External"/><Relationship Id="rId1168" Type="http://schemas.openxmlformats.org/officeDocument/2006/relationships/hyperlink" Target="http://link.springer.com/book/10.1007/978-3-030-86797-3" TargetMode="External"/><Relationship Id="rId1375" Type="http://schemas.openxmlformats.org/officeDocument/2006/relationships/hyperlink" Target="https://doi.org/10.1145/3140549.3140553;http:/dx.doi.org/10.1145/3140549.3140553" TargetMode="External"/><Relationship Id="rId1582" Type="http://schemas.openxmlformats.org/officeDocument/2006/relationships/hyperlink" Target="https://www.scopus.com/inward/record.uri?eid=2-s2.0-85061759520&amp;doi=10.14778%2f3282495.3282499&amp;partnerID=40&amp;md5=a22d5fef39e21569f72e25db07226865;http://dx.doi.org/10.14778/3282495.3282499" TargetMode="External"/><Relationship Id="rId81" Type="http://schemas.openxmlformats.org/officeDocument/2006/relationships/hyperlink" Target="http://dx.doi.org/10.1109/TSE.2020.2967380" TargetMode="External"/><Relationship Id="rId605" Type="http://schemas.openxmlformats.org/officeDocument/2006/relationships/hyperlink" Target="http://link.springer.com/book/10.1007/978-3-031-20218-6" TargetMode="External"/><Relationship Id="rId812" Type="http://schemas.openxmlformats.org/officeDocument/2006/relationships/hyperlink" Target="https://www.scopus.com/inward/record.uri?eid=2-s2.0-85117548541&amp;doi=10.7202%2f1081515ar&amp;partnerID=40&amp;md5=b77c80bd2db3795d75821b89f797cda0;http://dx.doi.org/10.7202/1081515ar" TargetMode="External"/><Relationship Id="rId1028" Type="http://schemas.openxmlformats.org/officeDocument/2006/relationships/hyperlink" Target="http://link.springer.com/article/10.1007/s10664-019-09724-7" TargetMode="External"/><Relationship Id="rId1235" Type="http://schemas.openxmlformats.org/officeDocument/2006/relationships/hyperlink" Target="https://www.sciencedirect.com/science/article/pii/S0950705120304226;http:/dx.doi.org/10.1016/j.knosys.2020.106201" TargetMode="External"/><Relationship Id="rId1442" Type="http://schemas.openxmlformats.org/officeDocument/2006/relationships/hyperlink" Target="https://www.scopus.com/inward/record.uri?eid=2-s2.0-85076433758&amp;doi=10.1145%2f3340482.3342744&amp;partnerID=40&amp;md5=79d9362df2ed37b4e2ea352f860ef181;http://dx.doi.org/10.1145/3340482.3342744" TargetMode="External"/><Relationship Id="rId1887" Type="http://schemas.openxmlformats.org/officeDocument/2006/relationships/hyperlink" Target="https://www.scopus.com/inward/record.uri?eid=2-s2.0-85076023455&amp;doi=10.1109%2fSEAA.2019.00058&amp;partnerID=40&amp;md5=8782bcadfa91c73f243bfa205aabfbdb;http://dx.doi.org/10.1109/SEAA.2019.00058" TargetMode="External"/><Relationship Id="rId1302" Type="http://schemas.openxmlformats.org/officeDocument/2006/relationships/hyperlink" Target="https://www.scopus.com/inward/record.uri?eid=2-s2.0-84885962628&amp;doi=10.1109%2fMTD.2013.6608677&amp;partnerID=40&amp;md5=fa46f0fcd5bcf77cd1b7fce630f12b53;http://dx.doi.org/10.1109/MTD.2013.6608677" TargetMode="External"/><Relationship Id="rId1747" Type="http://schemas.openxmlformats.org/officeDocument/2006/relationships/hyperlink" Target="https://www.scopus.com/inward/record.uri?eid=2-s2.0-85106966534&amp;partnerID=40&amp;md5=b4f7c335dfe07bf1d0678ef9cf7d8f42" TargetMode="External"/><Relationship Id="rId1954" Type="http://schemas.openxmlformats.org/officeDocument/2006/relationships/hyperlink" Target="https://www.scopus.com/inward/record.uri?eid=2-s2.0-85133479649&amp;doi=10.1145%2f3522664.3528595&amp;partnerID=40&amp;md5=83a1b754243ef30238b6a8f7155dc75a;http://dx.doi.org/10.1145/3522664.3528595" TargetMode="External"/><Relationship Id="rId39" Type="http://schemas.openxmlformats.org/officeDocument/2006/relationships/hyperlink" Target="http://dx.doi.org/10.1109/IJCNN48605.2020.9207116" TargetMode="External"/><Relationship Id="rId1607" Type="http://schemas.openxmlformats.org/officeDocument/2006/relationships/hyperlink" Target="https://www.sciencedirect.com/science/article/pii/S0950584921001580;http:/dx.doi.org/10.1016/j.infsof.2021.106705" TargetMode="External"/><Relationship Id="rId1814" Type="http://schemas.openxmlformats.org/officeDocument/2006/relationships/hyperlink" Target="http://dx.doi.org/10.1109/TSE.2021.3060918" TargetMode="External"/><Relationship Id="rId188" Type="http://schemas.openxmlformats.org/officeDocument/2006/relationships/hyperlink" Target="https://www.scopus.com/inward/record.uri?eid=2-s2.0-85042186206&amp;doi=10.1680%2fjmapl.17.00040&amp;partnerID=40&amp;md5=4a426a7fec4fc7a4b3d1200face6faf7;http://dx.doi.org/10.1680/jmapl.17.00040" TargetMode="External"/><Relationship Id="rId395" Type="http://schemas.openxmlformats.org/officeDocument/2006/relationships/hyperlink" Target="https://www.sciencedirect.com/science/article/pii/S0164121222000954;http:/dx.doi.org/10.1016/j.jss.2022.111369" TargetMode="External"/><Relationship Id="rId2076" Type="http://schemas.openxmlformats.org/officeDocument/2006/relationships/hyperlink" Target="https://doi.org/10.1145/3283812.3283820;http:/dx.doi.org/10.1145/3283812.3283820" TargetMode="External"/><Relationship Id="rId255" Type="http://schemas.openxmlformats.org/officeDocument/2006/relationships/hyperlink" Target="http://dx.doi.org/10.1109/SLAAI-ICAI54477.2021.9664736" TargetMode="External"/><Relationship Id="rId462" Type="http://schemas.openxmlformats.org/officeDocument/2006/relationships/hyperlink" Target="https://www.scopus.com/inward/record.uri?eid=2-s2.0-85093696448&amp;doi=10.1145%2f3379597.3387459&amp;partnerID=40&amp;md5=d83a2d14a56f14fc61a614034a5d039b;http://dx.doi.org/10.1145/3379597.3387459" TargetMode="External"/><Relationship Id="rId1092" Type="http://schemas.openxmlformats.org/officeDocument/2006/relationships/hyperlink" Target="http://link.springer.com/article/10.1007/s10515-022-00359-5" TargetMode="External"/><Relationship Id="rId1397" Type="http://schemas.openxmlformats.org/officeDocument/2006/relationships/hyperlink" Target="https://doi.org/10.1145/3387904.3389280;http:/dx.doi.org/10.1145/3387904.3389280" TargetMode="External"/><Relationship Id="rId2143" Type="http://schemas.openxmlformats.org/officeDocument/2006/relationships/hyperlink" Target="http://link.springer.com/chapter/10.1007/978-3-319-27033-3_12" TargetMode="External"/><Relationship Id="rId115" Type="http://schemas.openxmlformats.org/officeDocument/2006/relationships/hyperlink" Target="https://doi.org/10.1145/3419604.3419809;http:/dx.doi.org/10.1145/3419604.3419809" TargetMode="External"/><Relationship Id="rId322" Type="http://schemas.openxmlformats.org/officeDocument/2006/relationships/hyperlink" Target="https://www.scopus.com/inward/record.uri?eid=2-s2.0-85139866098&amp;doi=10.1145%2f3544902.3546249&amp;partnerID=40&amp;md5=309fc549aa1c9db1d05b461fff95f0c4;http://dx.doi.org/10.1145/3544902.3546249" TargetMode="External"/><Relationship Id="rId767" Type="http://schemas.openxmlformats.org/officeDocument/2006/relationships/hyperlink" Target="https://www.scopus.com/inward/record.uri?eid=2-s2.0-85097644879&amp;doi=10.1007%2f978-3-030-64148-1_10&amp;partnerID=40&amp;md5=3b7d291d1dbc27d47773d40d60fdbd7e;http://dx.doi.org/10.1007/978-3-030-64148-1_10" TargetMode="External"/><Relationship Id="rId974" Type="http://schemas.openxmlformats.org/officeDocument/2006/relationships/hyperlink" Target="https://www.scopus.com/inward/record.uri?eid=2-s2.0-85102034258&amp;partnerID=40&amp;md5=5cfe70c132f0587b2ec367ef0af48bec" TargetMode="External"/><Relationship Id="rId2003" Type="http://schemas.openxmlformats.org/officeDocument/2006/relationships/hyperlink" Target="https://doi.org/10.1145/3474370.3485669;http:/dx.doi.org/10.1145/3474370.3485669" TargetMode="External"/><Relationship Id="rId627" Type="http://schemas.openxmlformats.org/officeDocument/2006/relationships/hyperlink" Target="http://dx.doi.org/10.1109/ICSA-C.2019.00023" TargetMode="External"/><Relationship Id="rId834" Type="http://schemas.openxmlformats.org/officeDocument/2006/relationships/hyperlink" Target="https://www.scopus.com/inward/record.uri?eid=2-s2.0-85117904176&amp;doi=10.1145%2f3476058&amp;partnerID=40&amp;md5=6a7e3da439d4d71574bbbd8bbb0f7ee1;http://dx.doi.org/10.1145/3476058" TargetMode="External"/><Relationship Id="rId1257" Type="http://schemas.openxmlformats.org/officeDocument/2006/relationships/hyperlink" Target="https://www.scopus.com/inward/record.uri?eid=2-s2.0-85115089502&amp;doi=10.1109%2fCCICT53244.2021.00077&amp;partnerID=40&amp;md5=666b322f865fa7a27f1a09da66caf7f4;http://dx.doi.org/10.1109/CCICT53244.2021.00077" TargetMode="External"/><Relationship Id="rId1464" Type="http://schemas.openxmlformats.org/officeDocument/2006/relationships/hyperlink" Target="http://link.springer.com/book/10.1007/978-3-030-63034-8" TargetMode="External"/><Relationship Id="rId1671" Type="http://schemas.openxmlformats.org/officeDocument/2006/relationships/hyperlink" Target="https://www.scopus.com/inward/record.uri?eid=2-s2.0-85134807777&amp;doi=10.1007%2fs10664-022-10183-w&amp;partnerID=40&amp;md5=22c2a50f714a7297aea9be72975aa4a7;http://dx.doi.org/10.1007/s10664-022-10183-w" TargetMode="External"/><Relationship Id="rId901" Type="http://schemas.openxmlformats.org/officeDocument/2006/relationships/hyperlink" Target="http://link.springer.com/book/10.1007/978-3-031-08965-7" TargetMode="External"/><Relationship Id="rId1117" Type="http://schemas.openxmlformats.org/officeDocument/2006/relationships/hyperlink" Target="http://link.springer.com/article/10.1007/s10664-017-9522-4" TargetMode="External"/><Relationship Id="rId1324" Type="http://schemas.openxmlformats.org/officeDocument/2006/relationships/hyperlink" Target="https://www.scopus.com/inward/record.uri?eid=2-s2.0-85124010553&amp;doi=10.7717%2fPEERJ-CS.779&amp;partnerID=40&amp;md5=2da6ad89b2502afe108635947f601ea9;http://dx.doi.org/10.7717/PEERJ-CS.779" TargetMode="External"/><Relationship Id="rId1531" Type="http://schemas.openxmlformats.org/officeDocument/2006/relationships/hyperlink" Target="http://link.springer.com/book/10.1007/978-3-031-18461-1" TargetMode="External"/><Relationship Id="rId1769" Type="http://schemas.openxmlformats.org/officeDocument/2006/relationships/hyperlink" Target="http://link.springer.com/chapter/10.1007/978-3-030-00262-6_6" TargetMode="External"/><Relationship Id="rId1976" Type="http://schemas.openxmlformats.org/officeDocument/2006/relationships/hyperlink" Target="https://www.scopus.com/inward/record.uri?eid=2-s2.0-85113265853&amp;doi=10.1109%2fWAIN52551.2021.00011&amp;partnerID=40&amp;md5=6d05e74896e5f302e30e0d11c8938d7a;http://dx.doi.org/10.1109/WAIN52551.2021.00011" TargetMode="External"/><Relationship Id="rId30" Type="http://schemas.openxmlformats.org/officeDocument/2006/relationships/hyperlink" Target="https://www.scopus.com/inward/record.uri?eid=2-s2.0-85098550296&amp;doi=10.1145%2f3377812.3381396&amp;partnerID=40&amp;md5=0eb1b6c877ef8f74621ed6fa10a0bb17;http://dx.doi.org/10.1145/3377812.3381396" TargetMode="External"/><Relationship Id="rId1629" Type="http://schemas.openxmlformats.org/officeDocument/2006/relationships/hyperlink" Target="https://www.scopus.com/inward/record.uri?eid=2-s2.0-85099170614&amp;doi=10.2478%2ffcds-2020-0015&amp;partnerID=40&amp;md5=e38f34481aed9f762337849dd379eb01;http://dx.doi.org/10.2478/fcds-2020-0015" TargetMode="External"/><Relationship Id="rId1836" Type="http://schemas.openxmlformats.org/officeDocument/2006/relationships/hyperlink" Target="http://link.springer.com/article/10.1007/s10664-021-10105-2" TargetMode="External"/><Relationship Id="rId1903" Type="http://schemas.openxmlformats.org/officeDocument/2006/relationships/hyperlink" Target="https://doi.org/10.1145/3041765.3041774;http:/dx.doi.org/10.1145/3041765.3041774" TargetMode="External"/><Relationship Id="rId2098" Type="http://schemas.openxmlformats.org/officeDocument/2006/relationships/hyperlink" Target="http://dx.doi.org/10.1109/SANER50967.2021.00043" TargetMode="External"/><Relationship Id="rId277" Type="http://schemas.openxmlformats.org/officeDocument/2006/relationships/hyperlink" Target="https://www.scopus.com/inward/record.uri?eid=2-s2.0-85143077577&amp;doi=10.1145%2f3540250.3558967&amp;partnerID=40&amp;md5=b10423b7968eeb52f2424d3966d2e3c6;http://dx.doi.org/10.1145/3540250.3558967" TargetMode="External"/><Relationship Id="rId484" Type="http://schemas.openxmlformats.org/officeDocument/2006/relationships/hyperlink" Target="http://link.springer.com/chapter/10.1007/978-3-030-16142-2_22" TargetMode="External"/><Relationship Id="rId2165" Type="http://schemas.openxmlformats.org/officeDocument/2006/relationships/hyperlink" Target="https://doi.org/10.1145/3180155.3180192;http:/dx.doi.org/10.1145/3180155.3180192" TargetMode="External"/><Relationship Id="rId137" Type="http://schemas.openxmlformats.org/officeDocument/2006/relationships/hyperlink" Target="https://www.scopus.com/inward/record.uri?eid=2-s2.0-85126778720&amp;doi=10.3390%2fsmartcities5010019&amp;partnerID=40&amp;md5=ad99304296a8cd15d699ce60c751b19a;http://dx.doi.org/10.3390/smartcities5010019" TargetMode="External"/><Relationship Id="rId344" Type="http://schemas.openxmlformats.org/officeDocument/2006/relationships/hyperlink" Target="http://dx.doi.org/10.1109/CogMI48466.2019.00030" TargetMode="External"/><Relationship Id="rId691" Type="http://schemas.openxmlformats.org/officeDocument/2006/relationships/hyperlink" Target="https://www.scopus.com/inward/record.uri?eid=2-s2.0-85077198759&amp;doi=10.1145%2f3339985.3358491&amp;partnerID=40&amp;md5=6876a62a41ea06cd1ac41acde7702cdd;http://dx.doi.org/10.1145/3339985.3358491" TargetMode="External"/><Relationship Id="rId789" Type="http://schemas.openxmlformats.org/officeDocument/2006/relationships/hyperlink" Target="https://www.scopus.com/inward/record.uri?eid=2-s2.0-85077682252&amp;doi=10.1109%2fTENCON.2019.8929628&amp;partnerID=40&amp;md5=43b2527dc20284f9b5b10e24b25d5df3;http://dx.doi.org/10.1109/TENCON.2019.8929628" TargetMode="External"/><Relationship Id="rId996" Type="http://schemas.openxmlformats.org/officeDocument/2006/relationships/hyperlink" Target="http://link.springer.com/chapter/10.1007/978-3-030-64148-1_12" TargetMode="External"/><Relationship Id="rId2025" Type="http://schemas.openxmlformats.org/officeDocument/2006/relationships/hyperlink" Target="http://link.springer.com/article/10.1007/s11306-019-1588-0" TargetMode="External"/><Relationship Id="rId551" Type="http://schemas.openxmlformats.org/officeDocument/2006/relationships/hyperlink" Target="https://www.scopus.com/inward/record.uri?eid=2-s2.0-85097843589&amp;doi=10.1007%2f978-3-030-49795-8_31&amp;partnerID=40&amp;md5=601568d9f1b5bda19f7cebe1bee3c2f8;http://dx.doi.org/10.1007/978-3-030-49795-8_31" TargetMode="External"/><Relationship Id="rId649" Type="http://schemas.openxmlformats.org/officeDocument/2006/relationships/hyperlink" Target="http://dx.doi.org/10.1109/ICSA51549.2021.00022" TargetMode="External"/><Relationship Id="rId856" Type="http://schemas.openxmlformats.org/officeDocument/2006/relationships/hyperlink" Target="https://doi.org/10.1145/3196369.3196391;http:/dx.doi.org/10.1145/3196369.3196391" TargetMode="External"/><Relationship Id="rId1181" Type="http://schemas.openxmlformats.org/officeDocument/2006/relationships/hyperlink" Target="http://link.springer.com/book/10.1007/978-981-16-2594-7" TargetMode="External"/><Relationship Id="rId1279" Type="http://schemas.openxmlformats.org/officeDocument/2006/relationships/hyperlink" Target="https://www.sciencedirect.com/science/article/pii/S0950584918302623;http:/dx.doi.org/10.1016/j.infsof.2018.12.009" TargetMode="External"/><Relationship Id="rId1486" Type="http://schemas.openxmlformats.org/officeDocument/2006/relationships/hyperlink" Target="https://www.scopus.com/inward/record.uri?eid=2-s2.0-85037371130&amp;doi=10.1145%2f3128572.3140445&amp;partnerID=40&amp;md5=c6eda95cfe08816b6178fe6e7bec7716;http://dx.doi.org/10.1145/3128572.3140445" TargetMode="External"/><Relationship Id="rId204" Type="http://schemas.openxmlformats.org/officeDocument/2006/relationships/hyperlink" Target="https://www.scopus.com/inward/record.uri?eid=2-s2.0-85120074268&amp;doi=10.1016%2fj.asoc.2021.108066&amp;partnerID=40&amp;md5=f763137e4a225eda091073e6034c1beb;http://dx.doi.org/10.1016/j.asoc.2021.108066" TargetMode="External"/><Relationship Id="rId411" Type="http://schemas.openxmlformats.org/officeDocument/2006/relationships/hyperlink" Target="http://dx.doi.org/10.1109/TLA.2021.9447690" TargetMode="External"/><Relationship Id="rId509" Type="http://schemas.openxmlformats.org/officeDocument/2006/relationships/hyperlink" Target="https://www.scopus.com/inward/record.uri?eid=2-s2.0-85073409904&amp;doi=10.1109%2fIWoR.2019.00017&amp;partnerID=40&amp;md5=7b843d164db9bbed15b53fc663521848;http://dx.doi.org/10.1109/IWoR.2019.00017" TargetMode="External"/><Relationship Id="rId1041" Type="http://schemas.openxmlformats.org/officeDocument/2006/relationships/hyperlink" Target="https://www.scopus.com/inward/record.uri?eid=2-s2.0-85096991614&amp;doi=10.12928%2fTELKOMNIKA.v18i6.16743&amp;partnerID=40&amp;md5=e25a8960dcb879ace126590d1115a319;http://dx.doi.org/10.12928/TELKOMNIKA.v18i6.16743" TargetMode="External"/><Relationship Id="rId1139" Type="http://schemas.openxmlformats.org/officeDocument/2006/relationships/hyperlink" Target="https://www.scopus.com/inward/record.uri?eid=2-s2.0-84903641089&amp;doi=10.1145%2f2591062.2591085&amp;partnerID=40&amp;md5=b1018435ab0a9634720e47e219964737;http://dx.doi.org/10.1145/2591062.2591085" TargetMode="External"/><Relationship Id="rId1346" Type="http://schemas.openxmlformats.org/officeDocument/2006/relationships/hyperlink" Target="https://www.scopus.com/inward/record.uri?eid=2-s2.0-85056902261&amp;doi=10.1145%2f3243734.3243757&amp;partnerID=40&amp;md5=587121a954035999afcb6db28834402e;http://dx.doi.org/10.1145/3243734.3243757" TargetMode="External"/><Relationship Id="rId1693" Type="http://schemas.openxmlformats.org/officeDocument/2006/relationships/hyperlink" Target="https://www.scopus.com/inward/record.uri?eid=2-s2.0-85117924888&amp;doi=10.1145%2f3475716.3484487&amp;partnerID=40&amp;md5=7477753012d271fbd0106804685ba436;http://dx.doi.org/10.1145/3475716.3484487" TargetMode="External"/><Relationship Id="rId1998" Type="http://schemas.openxmlformats.org/officeDocument/2006/relationships/hyperlink" Target="https://www.scopus.com/inward/record.uri?eid=2-s2.0-85069918932&amp;doi=10.1016%2fB978-0-12-818597-1.50023-0&amp;partnerID=40&amp;md5=5f2e5c447e31170b8c42b306097c824d;http://dx.doi.org/10.1016/B978-0-12-818597-1.50023-0" TargetMode="External"/><Relationship Id="rId716" Type="http://schemas.openxmlformats.org/officeDocument/2006/relationships/hyperlink" Target="https://www.scopus.com/inward/record.uri?eid=2-s2.0-85113608396&amp;doi=10.1109%2fMSR52588.2021.00048&amp;partnerID=40&amp;md5=8372a320829643fa3dbaaf4903e3d57e;http://dx.doi.org/10.1109/MSR52588.2021.00048" TargetMode="External"/><Relationship Id="rId923" Type="http://schemas.openxmlformats.org/officeDocument/2006/relationships/hyperlink" Target="https://www.scopus.com/inward/record.uri?eid=2-s2.0-85104619239&amp;doi=10.1145%2f3411764.3445518&amp;partnerID=40&amp;md5=fb2bed912073ee7b2dadc6eb1b068427;http://dx.doi.org/10.1145/3411764.3445518" TargetMode="External"/><Relationship Id="rId1553" Type="http://schemas.openxmlformats.org/officeDocument/2006/relationships/hyperlink" Target="https://www.scopus.com/inward/record.uri?eid=2-s2.0-85116431854&amp;doi=10.3390%2fmachines9100221&amp;partnerID=40&amp;md5=a71bf41a66e5e3a04601d285a26887b1;http://dx.doi.org/10.3390/machines9100221" TargetMode="External"/><Relationship Id="rId1760" Type="http://schemas.openxmlformats.org/officeDocument/2006/relationships/hyperlink" Target="https://doi.org/10.1109/ICSE-SEIP.2019.00042;http:/dx.doi.org/10.1109/ICSE-SEIP.2019.00042" TargetMode="External"/><Relationship Id="rId1858" Type="http://schemas.openxmlformats.org/officeDocument/2006/relationships/hyperlink" Target="http://dx.doi.org/10.1109/ICSME.2018.00004" TargetMode="External"/><Relationship Id="rId52" Type="http://schemas.openxmlformats.org/officeDocument/2006/relationships/hyperlink" Target="https://www.scopus.com/inward/record.uri?eid=2-s2.0-85139266625&amp;doi=10.1007%2fs10515-022-00364-8&amp;partnerID=40&amp;md5=5594a1cab0fa5dcfebf980c07c055d4e;http://dx.doi.org/10.1007/s10515-022-00364-8" TargetMode="External"/><Relationship Id="rId1206" Type="http://schemas.openxmlformats.org/officeDocument/2006/relationships/hyperlink" Target="https://www.scopus.com/inward/record.uri?eid=2-s2.0-85079378944&amp;doi=10.1016%2fj.infsof.2020.106274&amp;partnerID=40&amp;md5=6f22bb95c1daf557005d2cd3a19f65eb;http://dx.doi.org/10.1016/j.infsof.2020.106274" TargetMode="External"/><Relationship Id="rId1413" Type="http://schemas.openxmlformats.org/officeDocument/2006/relationships/hyperlink" Target="http://link.springer.com/article/10.1007/s10664-022-10126-5" TargetMode="External"/><Relationship Id="rId1620" Type="http://schemas.openxmlformats.org/officeDocument/2006/relationships/hyperlink" Target="https://www.sciencedirect.com/science/article/pii/S2405896322014239;http:/dx.doi.org/10.1016/j.ifacol.2022.09.206" TargetMode="External"/><Relationship Id="rId1718" Type="http://schemas.openxmlformats.org/officeDocument/2006/relationships/hyperlink" Target="https://www.scopus.com/inward/record.uri?eid=2-s2.0-85073781599&amp;doi=10.1109%2fQRS.2019.00026&amp;partnerID=40&amp;md5=697f3e53a7776f335a18730f364fa238;http://dx.doi.org/10.1109/QRS.2019.00026" TargetMode="External"/><Relationship Id="rId1925" Type="http://schemas.openxmlformats.org/officeDocument/2006/relationships/hyperlink" Target="http://dx.doi.org/10.1145/3510003.3510057" TargetMode="External"/><Relationship Id="rId299" Type="http://schemas.openxmlformats.org/officeDocument/2006/relationships/hyperlink" Target="https://www.scopus.com/inward/record.uri?eid=2-s2.0-85104962334&amp;doi=10.1145%2f3412841.3442003&amp;partnerID=40&amp;md5=4192ef558506abaff3ff57accf6c54f2;http://dx.doi.org/10.1145/3412841.3442003" TargetMode="External"/><Relationship Id="rId2187" Type="http://schemas.openxmlformats.org/officeDocument/2006/relationships/hyperlink" Target="https://ieeexplore.ieee.org/document/9519685" TargetMode="External"/><Relationship Id="rId159" Type="http://schemas.openxmlformats.org/officeDocument/2006/relationships/hyperlink" Target="https://www.scopus.com/inward/record.uri?eid=2-s2.0-85056326860&amp;doi=10.1109%2fTSE.2018.2880977&amp;partnerID=40&amp;md5=3145ed3c974b5ddd75547497935ef7e4;http://dx.doi.org/10.1109/TSE.2018.2880977" TargetMode="External"/><Relationship Id="rId366" Type="http://schemas.openxmlformats.org/officeDocument/2006/relationships/hyperlink" Target="https://www.scopus.com/inward/record.uri?eid=2-s2.0-85049422618&amp;doi=10.14778%2f3157794.3157804&amp;partnerID=40&amp;md5=57f4ef15de69da4d16c276b1eb7715b4;http://dx.doi.org/10.14778/3157794.3157804" TargetMode="External"/><Relationship Id="rId573" Type="http://schemas.openxmlformats.org/officeDocument/2006/relationships/hyperlink" Target="https://www.scopus.com/inward/record.uri?eid=2-s2.0-84971476736&amp;doi=10.1145%2f2884781.2884868&amp;partnerID=40&amp;md5=03e5793c8326bf6cab19f855de7d35af;http://dx.doi.org/10.1145/2884781.2884868" TargetMode="External"/><Relationship Id="rId780" Type="http://schemas.openxmlformats.org/officeDocument/2006/relationships/hyperlink" Target="https://doi.org/10.1145/3324884.3416583;http:/dx.doi.org/10.1145/3324884.3416583" TargetMode="External"/><Relationship Id="rId2047" Type="http://schemas.openxmlformats.org/officeDocument/2006/relationships/hyperlink" Target="http://dx.doi.org/10.1109/ICSTW50294.2020.00071" TargetMode="External"/><Relationship Id="rId226" Type="http://schemas.openxmlformats.org/officeDocument/2006/relationships/hyperlink" Target="http://link.springer.com/book/10.1007/978-3-030-30126-2" TargetMode="External"/><Relationship Id="rId433" Type="http://schemas.openxmlformats.org/officeDocument/2006/relationships/hyperlink" Target="https://www.scopus.com/inward/record.uri?eid=2-s2.0-85116210160&amp;doi=10.1145%2f3468264.3468553&amp;partnerID=40&amp;md5=6ce12a520cb3da739efe05874cbde11d;http://dx.doi.org/10.1145/3468264.3468553" TargetMode="External"/><Relationship Id="rId878" Type="http://schemas.openxmlformats.org/officeDocument/2006/relationships/hyperlink" Target="http://link.springer.com/article/10.1007/s10270-022-01011-2" TargetMode="External"/><Relationship Id="rId1063" Type="http://schemas.openxmlformats.org/officeDocument/2006/relationships/hyperlink" Target="http://dx.doi.org/10.1109/TechDebt.2019.00018" TargetMode="External"/><Relationship Id="rId1270" Type="http://schemas.openxmlformats.org/officeDocument/2006/relationships/hyperlink" Target="https://www.scopus.com/inward/record.uri?eid=2-s2.0-85139116318&amp;doi=10.1145%2f3555228.3555249&amp;partnerID=40&amp;md5=6c3e2a2a7ec5b9c84c464e2b7e82c009;http://dx.doi.org/10.1145/3555228.3555249" TargetMode="External"/><Relationship Id="rId2114" Type="http://schemas.openxmlformats.org/officeDocument/2006/relationships/hyperlink" Target="https://www.scopus.com/inward/record.uri?eid=2-s2.0-85064835658&amp;doi=10.1016%2fj.infsof.2019.04.009&amp;partnerID=40&amp;md5=708a9904e9560028415d0c6eb446b77d;http://dx.doi.org/10.1016/j.infsof.2019.04.009" TargetMode="External"/><Relationship Id="rId640" Type="http://schemas.openxmlformats.org/officeDocument/2006/relationships/hyperlink" Target="https://www.scopus.com/inward/record.uri?eid=2-s2.0-85099198559&amp;doi=10.1016%2fj.jss.2020.110902&amp;partnerID=40&amp;md5=53256e07016c7b3e27f1a78be1e20811;http://dx.doi.org/10.1016/j.jss.2020.110902" TargetMode="External"/><Relationship Id="rId738" Type="http://schemas.openxmlformats.org/officeDocument/2006/relationships/hyperlink" Target="http://link.springer.com/chapter/10.1007/978-1-4842-5104-1_9" TargetMode="External"/><Relationship Id="rId945" Type="http://schemas.openxmlformats.org/officeDocument/2006/relationships/hyperlink" Target="https://www.scopus.com/inward/record.uri?eid=2-s2.0-85041236239&amp;doi=10.1002%2fspe.2563&amp;partnerID=40&amp;md5=3257b0ac4f4ff1b978bb911d18bb5d23;http://dx.doi.org/10.1002/spe.2563" TargetMode="External"/><Relationship Id="rId1368" Type="http://schemas.openxmlformats.org/officeDocument/2006/relationships/hyperlink" Target="https://www.scopus.com/inward/record.uri?eid=2-s2.0-85112213035&amp;doi=10.1109%2fTR.2021.3087864&amp;partnerID=40&amp;md5=0f63845850e3cdcaee3de5471d5bb511;http://dx.doi.org/10.1109/TR.2021.3087864" TargetMode="External"/><Relationship Id="rId1575" Type="http://schemas.openxmlformats.org/officeDocument/2006/relationships/hyperlink" Target="https://www.scopus.com/inward/record.uri?eid=2-s2.0-85097427859&amp;doi=10.1007%2f978-3-030-62144-5_1&amp;partnerID=40&amp;md5=3cc753e5bbf244b2eeddf32777ea406e;http://dx.doi.org/10.1007/978-3-030-62144-5_1" TargetMode="External"/><Relationship Id="rId1782" Type="http://schemas.openxmlformats.org/officeDocument/2006/relationships/hyperlink" Target="http://link.springer.com/book/10.1007/978-3-030-69970-3" TargetMode="External"/><Relationship Id="rId74" Type="http://schemas.openxmlformats.org/officeDocument/2006/relationships/hyperlink" Target="https://www.scopus.com/inward/record.uri?eid=2-s2.0-85042941931&amp;doi=10.1016%2fj.infsof.2018.02.004&amp;partnerID=40&amp;md5=abf547bf7f9e4706c230c761b0260b81;http://dx.doi.org/10.1016/j.infsof.2018.02.004" TargetMode="External"/><Relationship Id="rId500" Type="http://schemas.openxmlformats.org/officeDocument/2006/relationships/hyperlink" Target="http://link.springer.com/book/10.1007/978-3-030-79976-2" TargetMode="External"/><Relationship Id="rId805" Type="http://schemas.openxmlformats.org/officeDocument/2006/relationships/hyperlink" Target="http://link.springer.com/book/10.1007/978-1-4842-7164-3" TargetMode="External"/><Relationship Id="rId1130" Type="http://schemas.openxmlformats.org/officeDocument/2006/relationships/hyperlink" Target="https://www.scopus.com/inward/record.uri?eid=2-s2.0-85087877670&amp;doi=10.3390%2fapp10134624&amp;partnerID=40&amp;md5=d62cc02ee8ba36134b4fb32172584ec1;http://dx.doi.org/10.3390/app10134624" TargetMode="External"/><Relationship Id="rId1228" Type="http://schemas.openxmlformats.org/officeDocument/2006/relationships/hyperlink" Target="https://www.sciencedirect.com/science/article/pii/S0950584920301373;http:/dx.doi.org/10.1016/j.infsof.2020.106368" TargetMode="External"/><Relationship Id="rId1435" Type="http://schemas.openxmlformats.org/officeDocument/2006/relationships/hyperlink" Target="https://www.scopus.com/inward/record.uri?eid=2-s2.0-85108903083&amp;doi=10.1145%2f3463274.3463337&amp;partnerID=40&amp;md5=43cbb812acb1d1ca47f4aba0f2e52851;http://dx.doi.org/10.1145/3463274.3463337" TargetMode="External"/><Relationship Id="rId1642" Type="http://schemas.openxmlformats.org/officeDocument/2006/relationships/hyperlink" Target="http://link.springer.com/book/10.1007/978-3-658-37182-1" TargetMode="External"/><Relationship Id="rId1947" Type="http://schemas.openxmlformats.org/officeDocument/2006/relationships/hyperlink" Target="https://doi.org/10.1145/3531146.3533158;http:/dx.doi.org/10.1145/3531146.3533158" TargetMode="External"/><Relationship Id="rId1502" Type="http://schemas.openxmlformats.org/officeDocument/2006/relationships/hyperlink" Target="https://www.scopus.com/inward/record.uri?eid=2-s2.0-85102859382&amp;doi=10.1145%2f3439961.3439979&amp;partnerID=40&amp;md5=2f0fed42c9599c582f1ea1cf29dfafa1;http://dx.doi.org/10.1145/3439961.3439979" TargetMode="External"/><Relationship Id="rId1807" Type="http://schemas.openxmlformats.org/officeDocument/2006/relationships/hyperlink" Target="https://www.scopus.com/inward/record.uri?eid=2-s2.0-85130831259&amp;doi=10.1109%2fACCESS.2022.3176865&amp;partnerID=40&amp;md5=076fec26a06a409dfca74a915e07acae;http://dx.doi.org/10.1109/ACCESS.2022.3176865" TargetMode="External"/><Relationship Id="rId290" Type="http://schemas.openxmlformats.org/officeDocument/2006/relationships/hyperlink" Target="http://link.springer.com/article/10.1007/s11219-020-09538-7" TargetMode="External"/><Relationship Id="rId388" Type="http://schemas.openxmlformats.org/officeDocument/2006/relationships/hyperlink" Target="https://doi.org/10.1145/3544902.3546245;http:/dx.doi.org/10.1145/3544902.3546245" TargetMode="External"/><Relationship Id="rId2069" Type="http://schemas.openxmlformats.org/officeDocument/2006/relationships/hyperlink" Target="https://www.scopus.com/inward/record.uri?eid=2-s2.0-85140604339&amp;doi=10.3390%2fcomputers11100151&amp;partnerID=40&amp;md5=3b49fdbcd1605c628da34e7a18bf2cf1;http://dx.doi.org/10.3390/computers11100151" TargetMode="External"/><Relationship Id="rId150" Type="http://schemas.openxmlformats.org/officeDocument/2006/relationships/hyperlink" Target="https://www.scopus.com/inward/record.uri?eid=2-s2.0-85044651549&amp;doi=10.1016%2fj.jss.2017.12.034&amp;partnerID=40&amp;md5=0275655072c9d7072652bb43654908e7;http://dx.doi.org/10.1016/j.jss.2017.12.034" TargetMode="External"/><Relationship Id="rId595" Type="http://schemas.openxmlformats.org/officeDocument/2006/relationships/hyperlink" Target="http://dx.doi.org/10.1145/3522664.3528620" TargetMode="External"/><Relationship Id="rId248" Type="http://schemas.openxmlformats.org/officeDocument/2006/relationships/hyperlink" Target="https://www.scopus.com/inward/record.uri?eid=2-s2.0-85127828513&amp;doi=10.1145%2f3479008&amp;partnerID=40&amp;md5=7d5197acbbe6613fa26c33417326f668;http://dx.doi.org/10.1145/3479008" TargetMode="External"/><Relationship Id="rId455" Type="http://schemas.openxmlformats.org/officeDocument/2006/relationships/hyperlink" Target="https://www.scopus.com/inward/record.uri?eid=2-s2.0-85098414166&amp;doi=10.1109%2fTSE.2020.2986415&amp;partnerID=40&amp;md5=638abf74d76cd60698871916833f90ae;http://dx.doi.org/10.1109/TSE.2020.2986415" TargetMode="External"/><Relationship Id="rId662" Type="http://schemas.openxmlformats.org/officeDocument/2006/relationships/hyperlink" Target="https://www.sciencedirect.com/science/article/pii/S0065245816300109;http:/dx.doi.org/10.1016/S0065-2458(16)30010-9" TargetMode="External"/><Relationship Id="rId1085" Type="http://schemas.openxmlformats.org/officeDocument/2006/relationships/hyperlink" Target="http://dx.doi.org/10.1145/3524842.3528458" TargetMode="External"/><Relationship Id="rId1292" Type="http://schemas.openxmlformats.org/officeDocument/2006/relationships/hyperlink" Target="http://dx.doi.org/10.1109/TSE.2021.3135465" TargetMode="External"/><Relationship Id="rId2136" Type="http://schemas.openxmlformats.org/officeDocument/2006/relationships/hyperlink" Target="https://www.scopus.com/inward/record.uri?eid=2-s2.0-85088872515&amp;doi=10.1007%2fs10664-020-09854-3&amp;partnerID=40&amp;md5=ae5042b46318c93de239aa4213d83d1f;http://dx.doi.org/10.1007/s10664-020-09854-3" TargetMode="External"/><Relationship Id="rId108" Type="http://schemas.openxmlformats.org/officeDocument/2006/relationships/hyperlink" Target="https://doi.org/10.1109/TechDebt.2019.00025;http:/dx.doi.org/10.1109/TechDebt.2019.00025" TargetMode="External"/><Relationship Id="rId315" Type="http://schemas.openxmlformats.org/officeDocument/2006/relationships/hyperlink" Target="https://www.sciencedirect.com/science/article/pii/S1877050920308267;http:/dx.doi.org/10.1016/j.procs.2020.03.360" TargetMode="External"/><Relationship Id="rId522" Type="http://schemas.openxmlformats.org/officeDocument/2006/relationships/hyperlink" Target="https://www.scopus.com/inward/record.uri?eid=2-s2.0-85048052155&amp;doi=10.1007%2f978-3-319-91602-6_20&amp;partnerID=40&amp;md5=4cd490b5b3146b473727c373bbd28e51;http://dx.doi.org/10.1007/978-3-319-91602-6_20" TargetMode="External"/><Relationship Id="rId967" Type="http://schemas.openxmlformats.org/officeDocument/2006/relationships/hyperlink" Target="https://www.scopus.com/inward/record.uri?eid=2-s2.0-85079822741&amp;partnerID=40&amp;md5=11065b562157e9e73ceb897b5b03d5cf" TargetMode="External"/><Relationship Id="rId1152" Type="http://schemas.openxmlformats.org/officeDocument/2006/relationships/hyperlink" Target="https://www.scopus.com/inward/record.uri?eid=2-s2.0-85139564518&amp;doi=10.1145%2f3545258.3545273&amp;partnerID=40&amp;md5=db5b95948075f89c5c9f286542a97339;http://dx.doi.org/10.1145/3545258.3545273" TargetMode="External"/><Relationship Id="rId1597" Type="http://schemas.openxmlformats.org/officeDocument/2006/relationships/hyperlink" Target="https://www.scopus.com/inward/record.uri?eid=2-s2.0-85123066032&amp;doi=10.1007%2fs11334-021-00422-6&amp;partnerID=40&amp;md5=3fff891353aeee11ee10e74f82f79508;http://dx.doi.org/10.1007/s11334-021-00422-6" TargetMode="External"/><Relationship Id="rId96" Type="http://schemas.openxmlformats.org/officeDocument/2006/relationships/hyperlink" Target="https://www.scopus.com/inward/record.uri?eid=2-s2.0-85121394933&amp;doi=10.1080%2f08839514.2021.2009222&amp;partnerID=40&amp;md5=bae762ff03709aaf0fe7fc2212394421;http://dx.doi.org/10.1080/08839514.2021.2009222" TargetMode="External"/><Relationship Id="rId827" Type="http://schemas.openxmlformats.org/officeDocument/2006/relationships/hyperlink" Target="https://doi.org/10.1145/3510003.3510225;http:/dx.doi.org/10.1145/3510003.3510225" TargetMode="External"/><Relationship Id="rId1012" Type="http://schemas.openxmlformats.org/officeDocument/2006/relationships/hyperlink" Target="http://dx.doi.org/10.1109/SANER53432.2022.00043" TargetMode="External"/><Relationship Id="rId1457" Type="http://schemas.openxmlformats.org/officeDocument/2006/relationships/hyperlink" Target="https://www.scopus.com/inward/record.uri?eid=2-s2.0-85091933740&amp;doi=10.1145%2f3387904.3389295&amp;partnerID=40&amp;md5=ed9f3b769b9b0983eb421776bb759588;http://dx.doi.org/10.1145/3387904.3389295" TargetMode="External"/><Relationship Id="rId1664" Type="http://schemas.openxmlformats.org/officeDocument/2006/relationships/hyperlink" Target="https://www.scopus.com/inward/record.uri?eid=2-s2.0-85110191786&amp;doi=10.1145%2f3460946.3464315&amp;partnerID=40&amp;md5=7f23c7c0429f797c9fddeefbea178a8c;http://dx.doi.org/10.1145/3460946.3464315" TargetMode="External"/><Relationship Id="rId1871" Type="http://schemas.openxmlformats.org/officeDocument/2006/relationships/hyperlink" Target="https://www.scopus.com/inward/record.uri?eid=2-s2.0-85093667883&amp;doi=10.1145%2f3377814.3381714&amp;partnerID=40&amp;md5=d0d68a6cfb33a9d23ddc92c746defdf5;http://dx.doi.org/10.1145/3377814.3381714" TargetMode="External"/><Relationship Id="rId1317" Type="http://schemas.openxmlformats.org/officeDocument/2006/relationships/hyperlink" Target="https://www.scopus.com/inward/record.uri?eid=2-s2.0-85098050873&amp;doi=10.1088%2f1742-6596%2f1691%2f1%2f012009&amp;partnerID=40&amp;md5=ee73dc404e9a94a2a5ca8cafa13b1d9d;http://dx.doi.org/10.1088/1742-6596/1691/1/012009" TargetMode="External"/><Relationship Id="rId1524" Type="http://schemas.openxmlformats.org/officeDocument/2006/relationships/hyperlink" Target="http://link.springer.com/book/10.1007/978-1-4842-7202-2" TargetMode="External"/><Relationship Id="rId1731" Type="http://schemas.openxmlformats.org/officeDocument/2006/relationships/hyperlink" Target="http://dx.doi.org/10.1109/ACCESS.2020.3024671" TargetMode="External"/><Relationship Id="rId1969" Type="http://schemas.openxmlformats.org/officeDocument/2006/relationships/hyperlink" Target="https://www.sciencedirect.com/science/article/pii/S0164121223000109;http:/dx.doi.org/10.1016/j.jss.2023.111615" TargetMode="External"/><Relationship Id="rId23" Type="http://schemas.openxmlformats.org/officeDocument/2006/relationships/hyperlink" Target="https://www.scopus.com/inward/record.uri?eid=2-s2.0-85116053383&amp;doi=10.1007%2fs42979-020-00408-4&amp;partnerID=40&amp;md5=37cb9755720cbe70011b0bfa7bfcc0c2;http://dx.doi.org/10.1007/s42979-020-00408-4" TargetMode="External"/><Relationship Id="rId1829" Type="http://schemas.openxmlformats.org/officeDocument/2006/relationships/hyperlink" Target="http://link.springer.com/chapter/10.1007/978-3-031-08202-3_2" TargetMode="External"/><Relationship Id="rId172" Type="http://schemas.openxmlformats.org/officeDocument/2006/relationships/hyperlink" Target="https://www.sciencedirect.com/science/article/pii/S016412122100251X;http:/dx.doi.org/10.1016/j.jss.2021.111166" TargetMode="External"/><Relationship Id="rId477" Type="http://schemas.openxmlformats.org/officeDocument/2006/relationships/hyperlink" Target="http://link.springer.com/book/10.1007/978-3-030-55746-1" TargetMode="External"/><Relationship Id="rId684" Type="http://schemas.openxmlformats.org/officeDocument/2006/relationships/hyperlink" Target="https://www.sciencedirect.com/science/article/pii/S0950584921000367;http:/dx.doi.org/10.1016/j.infsof.2021.106551" TargetMode="External"/><Relationship Id="rId2060" Type="http://schemas.openxmlformats.org/officeDocument/2006/relationships/hyperlink" Target="http://link.springer.com/chapter/10.1007/978-3-030-39306-9_13" TargetMode="External"/><Relationship Id="rId2158" Type="http://schemas.openxmlformats.org/officeDocument/2006/relationships/hyperlink" Target="https://doi.org/10.1145/3569934;http:/dx.doi.org/10.1145/3569934" TargetMode="External"/><Relationship Id="rId337" Type="http://schemas.openxmlformats.org/officeDocument/2006/relationships/hyperlink" Target="https://www.scopus.com/inward/record.uri?eid=2-s2.0-85130710474&amp;doi=10.1145%2f3490953&amp;partnerID=40&amp;md5=f51af049efd96e1b1de161be45f7c130;http://dx.doi.org/10.1145/3490953" TargetMode="External"/><Relationship Id="rId891" Type="http://schemas.openxmlformats.org/officeDocument/2006/relationships/hyperlink" Target="http://dx.doi.org/10.1109/IOTM.005.2100196" TargetMode="External"/><Relationship Id="rId989" Type="http://schemas.openxmlformats.org/officeDocument/2006/relationships/hyperlink" Target="https://www.scopus.com/inward/record.uri?eid=2-s2.0-85141566820&amp;doi=10.1007%2fs11704-022-1541-7&amp;partnerID=40&amp;md5=4a88983a1a39182776f8ffe63ca8a9df;http://dx.doi.org/10.1007/s11704-022-1541-7" TargetMode="External"/><Relationship Id="rId2018" Type="http://schemas.openxmlformats.org/officeDocument/2006/relationships/hyperlink" Target="https://www.scopus.com/inward/record.uri?eid=2-s2.0-85051087850&amp;doi=10.1145%2f3184407.3184413&amp;partnerID=40&amp;md5=c4b0153bcd017d224774532305d422fa;http://dx.doi.org/10.1145/3184407.3184413" TargetMode="External"/><Relationship Id="rId544" Type="http://schemas.openxmlformats.org/officeDocument/2006/relationships/hyperlink" Target="https://www.scopus.com/inward/record.uri?eid=2-s2.0-85140801792&amp;doi=10.1109%2fTSE.2021.3115772&amp;partnerID=40&amp;md5=3a9de7995a8751a8ec08017658d9927e;http://dx.doi.org/10.1109/TSE.2021.3115772" TargetMode="External"/><Relationship Id="rId751" Type="http://schemas.openxmlformats.org/officeDocument/2006/relationships/hyperlink" Target="https://doi.org/10.1145/3475167;http:/dx.doi.org/10.1145/3475167" TargetMode="External"/><Relationship Id="rId849" Type="http://schemas.openxmlformats.org/officeDocument/2006/relationships/hyperlink" Target="https://doi.org/10.1145/3502724;http:/dx.doi.org/10.1145/3502724" TargetMode="External"/><Relationship Id="rId1174" Type="http://schemas.openxmlformats.org/officeDocument/2006/relationships/hyperlink" Target="http://link.springer.com/book/10.1007/978-3-030-80119-9" TargetMode="External"/><Relationship Id="rId1381" Type="http://schemas.openxmlformats.org/officeDocument/2006/relationships/hyperlink" Target="https://doi.org/10.1145/3324916;http:/dx.doi.org/10.1145/3324916" TargetMode="External"/><Relationship Id="rId1479" Type="http://schemas.openxmlformats.org/officeDocument/2006/relationships/hyperlink" Target="http://link.springer.com/chapter/10.1007/978-3-030-89902-8_4" TargetMode="External"/><Relationship Id="rId1686" Type="http://schemas.openxmlformats.org/officeDocument/2006/relationships/hyperlink" Target="https://www.scopus.com/inward/record.uri?eid=2-s2.0-85125390377&amp;doi=10.13328%2fj.cnki.jos.006292&amp;partnerID=40&amp;md5=f48287fa35af4f748f998426e742f354;http://dx.doi.org/10.13328/j.cnki.jos.006292" TargetMode="External"/><Relationship Id="rId404" Type="http://schemas.openxmlformats.org/officeDocument/2006/relationships/hyperlink" Target="https://www.scopus.com/inward/record.uri?eid=2-s2.0-85128925243&amp;doi=10.1007%2f978-3-031-04115-0_3&amp;partnerID=40&amp;md5=7cebbd7dddbf4281addae297ccc02fa3;http://dx.doi.org/10.1007/978-3-031-04115-0_3" TargetMode="External"/><Relationship Id="rId611" Type="http://schemas.openxmlformats.org/officeDocument/2006/relationships/hyperlink" Target="http://link.springer.com/article/10.1007/s11390-021-1596-1" TargetMode="External"/><Relationship Id="rId1034" Type="http://schemas.openxmlformats.org/officeDocument/2006/relationships/hyperlink" Target="http://link.springer.com/referencework/10.1007/978-981-16-4318-7" TargetMode="External"/><Relationship Id="rId1241" Type="http://schemas.openxmlformats.org/officeDocument/2006/relationships/hyperlink" Target="http://dx.doi.org/10.1109/ASE51524.2021.9678704" TargetMode="External"/><Relationship Id="rId1339" Type="http://schemas.openxmlformats.org/officeDocument/2006/relationships/hyperlink" Target="https://www.scopus.com/inward/record.uri?eid=2-s2.0-85127845832&amp;doi=10.1109%2fICSE-NIER55298.2022.9793510&amp;partnerID=40&amp;md5=871da14d743a8a41f434e3db7386dada;http://dx.doi.org/10.1109/ICSE-NIER55298.2022.9793510" TargetMode="External"/><Relationship Id="rId1893" Type="http://schemas.openxmlformats.org/officeDocument/2006/relationships/hyperlink" Target="http://link.springer.com/chapter/10.1007/978-3-030-60939-9_25" TargetMode="External"/><Relationship Id="rId709" Type="http://schemas.openxmlformats.org/officeDocument/2006/relationships/hyperlink" Target="http://link.springer.com/book/10.1007/978-3-031-20875-1" TargetMode="External"/><Relationship Id="rId916" Type="http://schemas.openxmlformats.org/officeDocument/2006/relationships/hyperlink" Target="https://www.scopus.com/inward/record.uri?eid=2-s2.0-85106397061&amp;doi=10.1007%2f978-3-030-75418-1_25&amp;partnerID=40&amp;md5=e16bc689de5b2986b70c89a82c3a996f;http://dx.doi.org/10.1007/978-3-030-75418-1_25" TargetMode="External"/><Relationship Id="rId1101" Type="http://schemas.openxmlformats.org/officeDocument/2006/relationships/hyperlink" Target="http://dx.doi.org/10.1109/ACCESS.2019.2933318" TargetMode="External"/><Relationship Id="rId1546" Type="http://schemas.openxmlformats.org/officeDocument/2006/relationships/hyperlink" Target="https://www.scopus.com/inward/record.uri?eid=2-s2.0-85119054640&amp;doi=10.1145%2f3486607.3486748&amp;partnerID=40&amp;md5=e0fd265593d5f7ba6d534bc11202e392;http://dx.doi.org/10.1145/3486607.3486748" TargetMode="External"/><Relationship Id="rId1753" Type="http://schemas.openxmlformats.org/officeDocument/2006/relationships/hyperlink" Target="http://dx.doi.org/10.1109/MS.2018.227105530" TargetMode="External"/><Relationship Id="rId1960" Type="http://schemas.openxmlformats.org/officeDocument/2006/relationships/hyperlink" Target="https://www.scopus.com/inward/record.uri?eid=2-s2.0-85138213545&amp;doi=10.1007%2f978-3-031-15629-8_28&amp;partnerID=40&amp;md5=b4f4521ec4954fb96f487eb1571ac4be;http://dx.doi.org/10.1007/978-3-031-15629-8_28" TargetMode="External"/><Relationship Id="rId45" Type="http://schemas.openxmlformats.org/officeDocument/2006/relationships/hyperlink" Target="http://link.springer.com/article/10.1007/s10664-021-10083-5" TargetMode="External"/><Relationship Id="rId1406" Type="http://schemas.openxmlformats.org/officeDocument/2006/relationships/hyperlink" Target="https://www.scopus.com/inward/record.uri?eid=2-s2.0-85114092290&amp;doi=10.3390%2fapp11177856&amp;partnerID=40&amp;md5=79ee91293fdde1ec01f229442d4c5e8d;http://dx.doi.org/10.3390/app11177856" TargetMode="External"/><Relationship Id="rId1613" Type="http://schemas.openxmlformats.org/officeDocument/2006/relationships/hyperlink" Target="https://www.scopus.com/inward/record.uri?eid=2-s2.0-85078014264&amp;doi=10.1109%2fREW.2019.00051&amp;partnerID=40&amp;md5=c2d8478e36cff3758d045a4abd5180ba;http://dx.doi.org/10.1109/REW.2019.00051" TargetMode="External"/><Relationship Id="rId1820" Type="http://schemas.openxmlformats.org/officeDocument/2006/relationships/hyperlink" Target="https://www.scopus.com/inward/record.uri?eid=2-s2.0-85116556448&amp;doi=10.1587%2ftransinf.2020EDP7255&amp;partnerID=40&amp;md5=4a32a900ee950e280de93550f1b5b228;http://dx.doi.org/10.1587/transinf.2020EDP7255" TargetMode="External"/><Relationship Id="rId194" Type="http://schemas.openxmlformats.org/officeDocument/2006/relationships/hyperlink" Target="https://www.sciencedirect.com/science/article/pii/S0950584915001676;http:/dx.doi.org/10.1016/j.infsof.2015.10.001" TargetMode="External"/><Relationship Id="rId1918" Type="http://schemas.openxmlformats.org/officeDocument/2006/relationships/hyperlink" Target="https://doi.org/10.1145/3510457.3513036;http:/dx.doi.org/10.1145/3510457.3513036" TargetMode="External"/><Relationship Id="rId2082" Type="http://schemas.openxmlformats.org/officeDocument/2006/relationships/hyperlink" Target="https://www.scopus.com/inward/record.uri?eid=2-s2.0-85111710917&amp;doi=10.5220%2f0010602203100317&amp;partnerID=40&amp;md5=59b5b34f7c4b07b20ca7796e39fab919;http://dx.doi.org/10.5220/0010602203100317" TargetMode="External"/><Relationship Id="rId261" Type="http://schemas.openxmlformats.org/officeDocument/2006/relationships/hyperlink" Target="https://www.scopus.com/inward/record.uri?eid=2-s2.0-85123722465&amp;doi=10.1016%2fj.jss.2022.111221&amp;partnerID=40&amp;md5=4217939de66ecf1ec4cf865419c65124;http://dx.doi.org/10.1016/j.jss.2022.111221" TargetMode="External"/><Relationship Id="rId499" Type="http://schemas.openxmlformats.org/officeDocument/2006/relationships/hyperlink" Target="http://link.springer.com/book/10.1007/978-3-030-67032-0" TargetMode="External"/><Relationship Id="rId359" Type="http://schemas.openxmlformats.org/officeDocument/2006/relationships/hyperlink" Target="http://dx.doi.org/10.1109/TSE.2019.2910856" TargetMode="External"/><Relationship Id="rId566" Type="http://schemas.openxmlformats.org/officeDocument/2006/relationships/hyperlink" Target="http://link.springer.com/book/10.1007/978-1-4842-8236-6" TargetMode="External"/><Relationship Id="rId773" Type="http://schemas.openxmlformats.org/officeDocument/2006/relationships/hyperlink" Target="https://www.scopus.com/inward/record.uri?eid=2-s2.0-85117760287&amp;partnerID=40&amp;md5=81955a0a280b9878ff39973f036d6744" TargetMode="External"/><Relationship Id="rId1196" Type="http://schemas.openxmlformats.org/officeDocument/2006/relationships/hyperlink" Target="https://www.scopus.com/inward/record.uri?eid=2-s2.0-84966659039&amp;doi=10.1007%2fs11219-016-9318-6&amp;partnerID=40&amp;md5=679f8af0dbafcf53bdea72619405f042;http://dx.doi.org/10.1007/s11219-016-9318-6" TargetMode="External"/><Relationship Id="rId121" Type="http://schemas.openxmlformats.org/officeDocument/2006/relationships/hyperlink" Target="http://dx.doi.org/10.4018/IJSI.297993" TargetMode="External"/><Relationship Id="rId219" Type="http://schemas.openxmlformats.org/officeDocument/2006/relationships/hyperlink" Target="http://dx.doi.org/10.1109/TSE.2022.3228739" TargetMode="External"/><Relationship Id="rId426" Type="http://schemas.openxmlformats.org/officeDocument/2006/relationships/hyperlink" Target="https://www.scopus.com/inward/record.uri?eid=2-s2.0-85115706103&amp;doi=10.1109%2fICSE-SEIP52600.2021.00049&amp;partnerID=40&amp;md5=1da4f8d366b90f2be0662d4fcc36661b;http://dx.doi.org/10.1109/ICSE-SEIP52600.2021.00049" TargetMode="External"/><Relationship Id="rId633" Type="http://schemas.openxmlformats.org/officeDocument/2006/relationships/hyperlink" Target="http://link.springer.com/book/10.1007/978-3-031-20837-9" TargetMode="External"/><Relationship Id="rId980" Type="http://schemas.openxmlformats.org/officeDocument/2006/relationships/hyperlink" Target="https://www.scopus.com/inward/record.uri?eid=2-s2.0-85131835438&amp;partnerID=40&amp;md5=40c05d858c50c0800240f633ed3bce18" TargetMode="External"/><Relationship Id="rId1056" Type="http://schemas.openxmlformats.org/officeDocument/2006/relationships/hyperlink" Target="https://doi.org/10.14778/3436905.3436925;http:/dx.doi.org/10.14778/3436905.3436925" TargetMode="External"/><Relationship Id="rId1263" Type="http://schemas.openxmlformats.org/officeDocument/2006/relationships/hyperlink" Target="https://www.scopus.com/inward/record.uri?eid=2-s2.0-85137148155&amp;doi=10.1145%2f3534678.3539059&amp;partnerID=40&amp;md5=720a53193bc867a210bfe5d306148f35;http://dx.doi.org/10.1145/3534678.3539059" TargetMode="External"/><Relationship Id="rId2107" Type="http://schemas.openxmlformats.org/officeDocument/2006/relationships/hyperlink" Target="http://dx.doi.org/10.1109/SER-IP.2017..5" TargetMode="External"/><Relationship Id="rId840" Type="http://schemas.openxmlformats.org/officeDocument/2006/relationships/hyperlink" Target="https://www.sciencedirect.com/science/article/pii/S0164121220302090;http:/dx.doi.org/10.1016/j.jss.2020.110806" TargetMode="External"/><Relationship Id="rId938" Type="http://schemas.openxmlformats.org/officeDocument/2006/relationships/hyperlink" Target="https://www.scopus.com/inward/record.uri?eid=2-s2.0-85106463739&amp;doi=10.1109%2fISR50024.2021.9419498&amp;partnerID=40&amp;md5=ec2a8dfb34997476917eda005a1cd794;http://dx.doi.org/10.1109/ISR50024.2021.9419498" TargetMode="External"/><Relationship Id="rId1470" Type="http://schemas.openxmlformats.org/officeDocument/2006/relationships/hyperlink" Target="http://link.springer.com/chapter/10.1007/978-3-031-15644-1_34" TargetMode="External"/><Relationship Id="rId1568" Type="http://schemas.openxmlformats.org/officeDocument/2006/relationships/hyperlink" Target="http://dx.doi.org/10.1109/ICAS49788.2021.9551151" TargetMode="External"/><Relationship Id="rId1775" Type="http://schemas.openxmlformats.org/officeDocument/2006/relationships/hyperlink" Target="https://www.sciencedirect.com/science/article/pii/S0164121222002308;http:/dx.doi.org/10.1016/j.jss.2022.111554" TargetMode="External"/><Relationship Id="rId67" Type="http://schemas.openxmlformats.org/officeDocument/2006/relationships/hyperlink" Target="https://www.sciencedirect.com/science/article/pii/S0164121220301448;http:/dx.doi.org/10.1016/j.jss.2020.110693" TargetMode="External"/><Relationship Id="rId700" Type="http://schemas.openxmlformats.org/officeDocument/2006/relationships/hyperlink" Target="https://www.scopus.com/inward/record.uri?eid=2-s2.0-85126535966&amp;doi=10.1007%2fs10664-021-10110-5&amp;partnerID=40&amp;md5=4532d1f2c2f16aac1c17a49eb93c0e31;http://dx.doi.org/10.1007/s10664-021-10110-5" TargetMode="External"/><Relationship Id="rId1123" Type="http://schemas.openxmlformats.org/officeDocument/2006/relationships/hyperlink" Target="https://doi.org/10.1145/3324884.3416573;http:/dx.doi.org/10.1145/3324884.3416573" TargetMode="External"/><Relationship Id="rId1330" Type="http://schemas.openxmlformats.org/officeDocument/2006/relationships/hyperlink" Target="https://www.scopus.com/inward/record.uri?eid=2-s2.0-85090854076&amp;doi=10.1145%2f3383219.3383264&amp;partnerID=40&amp;md5=5fbde590102722aa1df44b3e8fb10504;http://dx.doi.org/10.1145/3383219.3383264" TargetMode="External"/><Relationship Id="rId1428" Type="http://schemas.openxmlformats.org/officeDocument/2006/relationships/hyperlink" Target="https://www.scopus.com/inward/record.uri?eid=2-s2.0-85135795681&amp;doi=10.1109%2fSANER53432.2022.00113&amp;partnerID=40&amp;md5=adfadeb536fc69a0106a71907100f942;http://dx.doi.org/10.1109/SANER53432.2022.00113" TargetMode="External"/><Relationship Id="rId1635" Type="http://schemas.openxmlformats.org/officeDocument/2006/relationships/hyperlink" Target="http://dx.doi.org/10.1109/SEAA56994.2022.00062" TargetMode="External"/><Relationship Id="rId1982" Type="http://schemas.openxmlformats.org/officeDocument/2006/relationships/hyperlink" Target="https://www.scopus.com/inward/record.uri?eid=2-s2.0-85030217493&amp;doi=10.1109%2fTSE.2017.2752171&amp;partnerID=40&amp;md5=08076642c9fa25afdcc104371b29f29e;http://dx.doi.org/10.1109/TSE.2017.2752171" TargetMode="External"/><Relationship Id="rId1842" Type="http://schemas.openxmlformats.org/officeDocument/2006/relationships/hyperlink" Target="http://link.springer.com/chapter/10.1007/978-3-030-77283-3_6" TargetMode="External"/><Relationship Id="rId1702" Type="http://schemas.openxmlformats.org/officeDocument/2006/relationships/hyperlink" Target="http://link.springer.com/book/10.1007/978-3-030-91431-8" TargetMode="External"/><Relationship Id="rId283" Type="http://schemas.openxmlformats.org/officeDocument/2006/relationships/hyperlink" Target="https://www.scopus.com/inward/record.uri?eid=2-s2.0-85112094387&amp;doi=10.1109%2fICSE43902.2021.00033&amp;partnerID=40&amp;md5=7e439b62b2c0f13c230c4bfd4a1f6346;http://dx.doi.org/10.1109/ICSE43902.2021.00033" TargetMode="External"/><Relationship Id="rId490" Type="http://schemas.openxmlformats.org/officeDocument/2006/relationships/hyperlink" Target="http://link.springer.com/book/10.1007/978-1-4842-8593-0" TargetMode="External"/><Relationship Id="rId2171" Type="http://schemas.openxmlformats.org/officeDocument/2006/relationships/hyperlink" Target="https://www.scopus.com/inward/record.uri?eid=2-s2.0-85113208599&amp;doi=10.1109%2fWAIN52551.2021.00024&amp;partnerID=40&amp;md5=0d73b7c7f817a297726b2293381e833d;http://dx.doi.org/10.1109/WAIN52551.2021.00024" TargetMode="External"/><Relationship Id="rId143" Type="http://schemas.openxmlformats.org/officeDocument/2006/relationships/hyperlink" Target="https://www.scopus.com/inward/record.uri?eid=2-s2.0-85138322340&amp;doi=10.1016%2fj.jss.2022.111505&amp;partnerID=40&amp;md5=dee1d5a976361fa08e28cbf9d03dbdc6;http://dx.doi.org/10.1016/j.jss.2022.111505" TargetMode="External"/><Relationship Id="rId350" Type="http://schemas.openxmlformats.org/officeDocument/2006/relationships/hyperlink" Target="http://dx.doi.org/10.1109/ICSA51549.2021.00017" TargetMode="External"/><Relationship Id="rId588" Type="http://schemas.openxmlformats.org/officeDocument/2006/relationships/hyperlink" Target="https://www.scopus.com/inward/record.uri?eid=2-s2.0-85018955129&amp;doi=10.1016%2fj.knosys.2017.04.014&amp;partnerID=40&amp;md5=ddd40ba8ea4c21f038d1933c04f4d698;http://dx.doi.org/10.1016/j.knosys.2017.04.014" TargetMode="External"/><Relationship Id="rId795" Type="http://schemas.openxmlformats.org/officeDocument/2006/relationships/hyperlink" Target="https://www.scopus.com/inward/record.uri?eid=2-s2.0-85040575660&amp;partnerID=40&amp;md5=9976450244a5a118017258d58fd9c23e" TargetMode="External"/><Relationship Id="rId2031" Type="http://schemas.openxmlformats.org/officeDocument/2006/relationships/hyperlink" Target="https://www.scopus.com/inward/record.uri?eid=2-s2.0-85073435706&amp;doi=10.1109%2fIWoR.2019.00015&amp;partnerID=40&amp;md5=e10e2a5c9022551b1016cdc78d9b9a95;http://dx.doi.org/10.1109/IWoR.2019.00015" TargetMode="External"/><Relationship Id="rId9" Type="http://schemas.openxmlformats.org/officeDocument/2006/relationships/hyperlink" Target="https://www.scopus.com/inward/record.uri?eid=2-s2.0-85121599547&amp;partnerID=40&amp;md5=ee015f1d0da14b1242f0f173d2ecc680" TargetMode="External"/><Relationship Id="rId210" Type="http://schemas.openxmlformats.org/officeDocument/2006/relationships/hyperlink" Target="http://link.springer.com/book/10.1007/978-3-030-88063-7" TargetMode="External"/><Relationship Id="rId448" Type="http://schemas.openxmlformats.org/officeDocument/2006/relationships/hyperlink" Target="http://link.springer.com/book/10.1007/978-1-4842-7383-8" TargetMode="External"/><Relationship Id="rId655" Type="http://schemas.openxmlformats.org/officeDocument/2006/relationships/hyperlink" Target="https://www.sciencedirect.com/science/article/pii/S0065245815000455;http:/dx.doi.org/10.1016/S0065-2458(15)00045-5" TargetMode="External"/><Relationship Id="rId862" Type="http://schemas.openxmlformats.org/officeDocument/2006/relationships/hyperlink" Target="http://link.springer.com/book/10.1007/978-3-662-50263-1" TargetMode="External"/><Relationship Id="rId1078" Type="http://schemas.openxmlformats.org/officeDocument/2006/relationships/hyperlink" Target="https://doi.org/10.1145/3447247;http:/dx.doi.org/10.1145/3447247" TargetMode="External"/><Relationship Id="rId1285" Type="http://schemas.openxmlformats.org/officeDocument/2006/relationships/hyperlink" Target="http://dx.doi.org/10.1109/SEAA56994.2022.00018" TargetMode="External"/><Relationship Id="rId1492" Type="http://schemas.openxmlformats.org/officeDocument/2006/relationships/hyperlink" Target="https://www.scopus.com/inward/record.uri?eid=2-s2.0-85097228042&amp;doi=10.1007%2fs11390-020-0323-7&amp;partnerID=40&amp;md5=610a2545ea68c1e95fc2dd2c2c6d9fab;http://dx.doi.org/10.1007/s11390-020-0323-7" TargetMode="External"/><Relationship Id="rId2129" Type="http://schemas.openxmlformats.org/officeDocument/2006/relationships/hyperlink" Target="http://dx.doi.org/10.1109/TSE.2017.2654244" TargetMode="External"/><Relationship Id="rId308" Type="http://schemas.openxmlformats.org/officeDocument/2006/relationships/hyperlink" Target="https://www.scopus.com/inward/record.uri?eid=2-s2.0-85123756783&amp;doi=10.1007%2fs10664-021-10103-4&amp;partnerID=40&amp;md5=5e8365fd313b1a1216d95a2ee5e12f65;http://dx.doi.org/10.1007/s10664-021-10103-4" TargetMode="External"/><Relationship Id="rId515" Type="http://schemas.openxmlformats.org/officeDocument/2006/relationships/hyperlink" Target="http://link.springer.com/chapter/10.1007/978-1-4842-6186-6_8" TargetMode="External"/><Relationship Id="rId722" Type="http://schemas.openxmlformats.org/officeDocument/2006/relationships/hyperlink" Target="http://link.springer.com/book/10.1007/978-981-15-7984-4" TargetMode="External"/><Relationship Id="rId1145" Type="http://schemas.openxmlformats.org/officeDocument/2006/relationships/hyperlink" Target="http://dx.doi.org/10.1109/QRS.2019.00041" TargetMode="External"/><Relationship Id="rId1352" Type="http://schemas.openxmlformats.org/officeDocument/2006/relationships/hyperlink" Target="https://www.scopus.com/inward/record.uri?eid=2-s2.0-85117576971&amp;doi=10.1007%2fs10270-021-00929-3&amp;partnerID=40&amp;md5=4dfe6f4506c21606c462b383c383b789;http://dx.doi.org/10.1007/s10270-021-00929-3" TargetMode="External"/><Relationship Id="rId1797" Type="http://schemas.openxmlformats.org/officeDocument/2006/relationships/hyperlink" Target="http://dx.doi.org/10.1145/3524843.3528098" TargetMode="External"/><Relationship Id="rId89" Type="http://schemas.openxmlformats.org/officeDocument/2006/relationships/hyperlink" Target="http://link.springer.com/article/10.1007/s11219-021-09581-y" TargetMode="External"/><Relationship Id="rId1005" Type="http://schemas.openxmlformats.org/officeDocument/2006/relationships/hyperlink" Target="http://link.springer.com/book/10.1007/978-3-030-86152-0" TargetMode="External"/><Relationship Id="rId1212" Type="http://schemas.openxmlformats.org/officeDocument/2006/relationships/hyperlink" Target="http://dx.doi.org/10.1109/SEAA53835.2021.00023" TargetMode="External"/><Relationship Id="rId1657" Type="http://schemas.openxmlformats.org/officeDocument/2006/relationships/hyperlink" Target="https://www.scopus.com/inward/record.uri?eid=2-s2.0-85130851259&amp;doi=10.23919%2fDATE54114.2022.9774586&amp;partnerID=40&amp;md5=19eb0ccd49d048c84328829fffa2c2d5;http://dx.doi.org/10.23919/DATE54114.2022.9774586" TargetMode="External"/><Relationship Id="rId1864" Type="http://schemas.openxmlformats.org/officeDocument/2006/relationships/hyperlink" Target="https://www.scopus.com/inward/record.uri?eid=2-s2.0-85124089577&amp;doi=10.3390%2fmath10030446&amp;partnerID=40&amp;md5=edba7034083e27c3edb9e300c1ca7fac;http://dx.doi.org/10.3390/math10030446" TargetMode="External"/><Relationship Id="rId1517" Type="http://schemas.openxmlformats.org/officeDocument/2006/relationships/hyperlink" Target="https://www.scopus.com/inward/record.uri?eid=2-s2.0-85139724292&amp;doi=10.1016%2fj.jksuci.2022.09.011&amp;partnerID=40&amp;md5=8e0853d562e8df7a8e1c751e9bebddee;http://dx.doi.org/10.1016/j.jksuci.2022.09.011" TargetMode="External"/><Relationship Id="rId1724" Type="http://schemas.openxmlformats.org/officeDocument/2006/relationships/hyperlink" Target="https://www.scopus.com/inward/record.uri?eid=2-s2.0-85134628533&amp;doi=10.1016%2fj.simpa.2022.100352&amp;partnerID=40&amp;md5=fda78d822c21fe568d2eb9b5aa5a1fc6;http://dx.doi.org/10.1016/j.simpa.2022.100352" TargetMode="External"/><Relationship Id="rId16" Type="http://schemas.openxmlformats.org/officeDocument/2006/relationships/hyperlink" Target="https://www.sciencedirect.com/science/article/pii/S0164121221001266;http:/dx.doi.org/10.1016/j.jss.2021.111029" TargetMode="External"/><Relationship Id="rId1931" Type="http://schemas.openxmlformats.org/officeDocument/2006/relationships/hyperlink" Target="https://ieeexplore.ieee.org/document/9953517" TargetMode="External"/><Relationship Id="rId165" Type="http://schemas.openxmlformats.org/officeDocument/2006/relationships/hyperlink" Target="https://www.sciencedirect.com/science/article/pii/S0920548919300789;http:/dx.doi.org/10.1016/j.csi.2019.103389" TargetMode="External"/><Relationship Id="rId372" Type="http://schemas.openxmlformats.org/officeDocument/2006/relationships/hyperlink" Target="http://link.springer.com/book/10.1007/978-3-031-11043-6" TargetMode="External"/><Relationship Id="rId677" Type="http://schemas.openxmlformats.org/officeDocument/2006/relationships/hyperlink" Target="https://www.scopus.com/inward/record.uri?eid=2-s2.0-85053938962&amp;doi=10.1007%2f978-3-319-99229-7_2&amp;partnerID=40&amp;md5=40296950fa8540b1aeef2aec10412d25;http://dx.doi.org/10.1007/978-3-319-99229-7_2" TargetMode="External"/><Relationship Id="rId2053" Type="http://schemas.openxmlformats.org/officeDocument/2006/relationships/hyperlink" Target="https://www.scopus.com/inward/record.uri?eid=2-s2.0-84963624234&amp;doi=10.1109%2fMTD.2015.7332618&amp;partnerID=40&amp;md5=89d81ad9d7d2146b53990a627c01b7ea;http://dx.doi.org/10.1109/MTD.2015.7332618" TargetMode="External"/><Relationship Id="rId232" Type="http://schemas.openxmlformats.org/officeDocument/2006/relationships/hyperlink" Target="http://link.springer.com/book/10.1007/978-3-658-31001-1" TargetMode="External"/><Relationship Id="rId884" Type="http://schemas.openxmlformats.org/officeDocument/2006/relationships/hyperlink" Target="https://doi.org/10.1109/SEmotion.2019.00014;http:/dx.doi.org/10.1109/SEmotion.2019.00014" TargetMode="External"/><Relationship Id="rId2120" Type="http://schemas.openxmlformats.org/officeDocument/2006/relationships/hyperlink" Target="https://www.sciencedirect.com/science/article/pii/S0164121222001649;http:/dx.doi.org/10.1016/j.jss.2022.111481" TargetMode="External"/><Relationship Id="rId537" Type="http://schemas.openxmlformats.org/officeDocument/2006/relationships/hyperlink" Target="https://www.sciencedirect.com/science/article/pii/B9780128002186000126;http:/dx.doi.org/10.1016/B978-0-12-800218-6.00012-6" TargetMode="External"/><Relationship Id="rId744" Type="http://schemas.openxmlformats.org/officeDocument/2006/relationships/hyperlink" Target="http://link.springer.com/article/10.1007/s10664-022-10121-w" TargetMode="External"/><Relationship Id="rId951" Type="http://schemas.openxmlformats.org/officeDocument/2006/relationships/hyperlink" Target="https://www.scopus.com/inward/record.uri?eid=2-s2.0-85138185453&amp;doi=10.1016%2fj.jss.2022.111508&amp;partnerID=40&amp;md5=4973a97ef53382eb1abfa96c96ec2362;http://dx.doi.org/10.1016/j.jss.2022.111508" TargetMode="External"/><Relationship Id="rId1167" Type="http://schemas.openxmlformats.org/officeDocument/2006/relationships/hyperlink" Target="http://link.springer.com/book/10.1007/978-3-031-19741-3" TargetMode="External"/><Relationship Id="rId1374" Type="http://schemas.openxmlformats.org/officeDocument/2006/relationships/hyperlink" Target="https://www.scopus.com/inward/record.uri?eid=2-s2.0-85071777875&amp;doi=10.1002%2fsmr.2203&amp;partnerID=40&amp;md5=d35f88df732c6388924b13ceafe7b8d0;http://dx.doi.org/10.1002/smr.2203" TargetMode="External"/><Relationship Id="rId1581" Type="http://schemas.openxmlformats.org/officeDocument/2006/relationships/hyperlink" Target="http://link.springer.com/article/10.1007/s00450-019-00413-w" TargetMode="External"/><Relationship Id="rId1679" Type="http://schemas.openxmlformats.org/officeDocument/2006/relationships/hyperlink" Target="http://link.springer.com/article/10.1007/s10515-022-00358-6" TargetMode="External"/><Relationship Id="rId80" Type="http://schemas.openxmlformats.org/officeDocument/2006/relationships/hyperlink" Target="https://www.scopus.com/inward/record.uri?eid=2-s2.0-85139207178&amp;doi=10.1007%2fs10664-022-10164-z&amp;partnerID=40&amp;md5=5bd679506e1ae15182248eea4ea994f4;http://dx.doi.org/10.1007/s10664-022-10164-z" TargetMode="External"/><Relationship Id="rId604" Type="http://schemas.openxmlformats.org/officeDocument/2006/relationships/hyperlink" Target="https://www.scopus.com/inward/record.uri?eid=2-s2.0-85132607290&amp;doi=10.1145%2f3510003.3510209&amp;partnerID=40&amp;md5=3676e6f20f4bf446710a797ff34465e5;http://dx.doi.org/10.1145/3510003.3510209" TargetMode="External"/><Relationship Id="rId811" Type="http://schemas.openxmlformats.org/officeDocument/2006/relationships/hyperlink" Target="https://www.scopus.com/inward/record.uri?eid=2-s2.0-85092522299&amp;doi=10.1145%2f3379177.3388892&amp;partnerID=40&amp;md5=5ce22f7d386295c4b7f02eb069e7d6be;http://dx.doi.org/10.1145/3379177.3388892" TargetMode="External"/><Relationship Id="rId1027" Type="http://schemas.openxmlformats.org/officeDocument/2006/relationships/hyperlink" Target="https://www.scopus.com/inward/record.uri?eid=2-s2.0-85136031948&amp;doi=10.1007%2fs10009-022-00662-2&amp;partnerID=40&amp;md5=62b6771758aa2c39164fa2130570b45d;http://dx.doi.org/10.1007/s10009-022-00662-2" TargetMode="External"/><Relationship Id="rId1234" Type="http://schemas.openxmlformats.org/officeDocument/2006/relationships/hyperlink" Target="http://link.springer.com/book/10.1007/978-3-030-92934-3" TargetMode="External"/><Relationship Id="rId1441" Type="http://schemas.openxmlformats.org/officeDocument/2006/relationships/hyperlink" Target="https://doi.org/10.1145/3340482.3342744;http:/dx.doi.org/10.1145/3340482.3342744" TargetMode="External"/><Relationship Id="rId1886" Type="http://schemas.openxmlformats.org/officeDocument/2006/relationships/hyperlink" Target="http://dx.doi.org/10.1109/MCSE.2015.113" TargetMode="External"/><Relationship Id="rId909" Type="http://schemas.openxmlformats.org/officeDocument/2006/relationships/hyperlink" Target="https://www.scopus.com/inward/record.uri?eid=2-s2.0-85135744097&amp;doi=10.1109%2fACCESS.2022.3196923&amp;partnerID=40&amp;md5=7d3a77dd28b2f0fd1e8ec1cfda510d1a;http://dx.doi.org/10.1109/ACCESS.2022.3196923" TargetMode="External"/><Relationship Id="rId1301" Type="http://schemas.openxmlformats.org/officeDocument/2006/relationships/hyperlink" Target="http://link.springer.com/chapter/10.1007/978-1-4842-7383-8_9" TargetMode="External"/><Relationship Id="rId1539" Type="http://schemas.openxmlformats.org/officeDocument/2006/relationships/hyperlink" Target="http://link.springer.com/book/10.1007/978-3-319-49094-6" TargetMode="External"/><Relationship Id="rId1746" Type="http://schemas.openxmlformats.org/officeDocument/2006/relationships/hyperlink" Target="https://www.scopus.com/inward/record.uri?eid=2-s2.0-85097715141&amp;doi=10.1145%2f3426428.3426925&amp;partnerID=40&amp;md5=999e87da168ab83f34157c02f50642ab;http://dx.doi.org/10.1145/3426428.3426925" TargetMode="External"/><Relationship Id="rId1953" Type="http://schemas.openxmlformats.org/officeDocument/2006/relationships/hyperlink" Target="http://dx.doi.org/10.1109/TSE.2021.3087419" TargetMode="External"/><Relationship Id="rId38" Type="http://schemas.openxmlformats.org/officeDocument/2006/relationships/hyperlink" Target="https://www.scopus.com/inward/record.uri?eid=2-s2.0-85144817300&amp;doi=10.1016%2fj.future.2022.12.024&amp;partnerID=40&amp;md5=7a875bbeb1eb88634bca573c15c8da9d;http://dx.doi.org/10.1016/j.future.2022.12.024" TargetMode="External"/><Relationship Id="rId1606" Type="http://schemas.openxmlformats.org/officeDocument/2006/relationships/hyperlink" Target="http://dx.doi.org/10.1109/SEAA56994.2022.00049" TargetMode="External"/><Relationship Id="rId1813" Type="http://schemas.openxmlformats.org/officeDocument/2006/relationships/hyperlink" Target="http://link.springer.com/article/10.1007/s10664-018-9603-z" TargetMode="External"/><Relationship Id="rId187" Type="http://schemas.openxmlformats.org/officeDocument/2006/relationships/hyperlink" Target="http://link.springer.com/book/10.1007/978-3-031-10873-0" TargetMode="External"/><Relationship Id="rId394" Type="http://schemas.openxmlformats.org/officeDocument/2006/relationships/hyperlink" Target="https://www.scopus.com/inward/record.uri?eid=2-s2.0-85139132343&amp;doi=10.1145%2f3555228.3555250&amp;partnerID=40&amp;md5=b1d72504567443cd4c6e5fb61825895e;http://dx.doi.org/10.1145/3555228.3555250" TargetMode="External"/><Relationship Id="rId2075" Type="http://schemas.openxmlformats.org/officeDocument/2006/relationships/hyperlink" Target="https://www.scopus.com/inward/record.uri?eid=2-s2.0-85125441263&amp;doi=10.1109%2fASE51524.2021.9678592&amp;partnerID=40&amp;md5=aec529ae74edbde13c5e9566de28f835;http://dx.doi.org/10.1109/ASE51524.2021.9678592" TargetMode="External"/><Relationship Id="rId254" Type="http://schemas.openxmlformats.org/officeDocument/2006/relationships/hyperlink" Target="https://doi.org/10.1145/3358502.3361270;http:/dx.doi.org/10.1145/3358502.3361270" TargetMode="External"/><Relationship Id="rId699" Type="http://schemas.openxmlformats.org/officeDocument/2006/relationships/hyperlink" Target="http://link.springer.com/article/10.1007/s10664-021-10110-5" TargetMode="External"/><Relationship Id="rId1091" Type="http://schemas.openxmlformats.org/officeDocument/2006/relationships/hyperlink" Target="https://www.scopus.com/inward/record.uri?eid=2-s2.0-85095827518&amp;doi=10.1016%2fj.eswa.2020.114176&amp;partnerID=40&amp;md5=6688d24e2ef4500ad1adffdce45c40f8;http://dx.doi.org/10.1016/j.eswa.2020.114176" TargetMode="External"/><Relationship Id="rId114" Type="http://schemas.openxmlformats.org/officeDocument/2006/relationships/hyperlink" Target="http://link.springer.com/chapter/10.1007/978-3-319-51472-7_2" TargetMode="External"/><Relationship Id="rId461" Type="http://schemas.openxmlformats.org/officeDocument/2006/relationships/hyperlink" Target="https://doi.org/10.1145/3379597.3387459;http:/dx.doi.org/10.1145/3379597.3387459" TargetMode="External"/><Relationship Id="rId559" Type="http://schemas.openxmlformats.org/officeDocument/2006/relationships/hyperlink" Target="https://www.scopus.com/inward/record.uri?eid=2-s2.0-85131510401&amp;doi=10.1038%2fs41746-022-00611-y&amp;partnerID=40&amp;md5=09f7394d60d732fda84bd5dc1c8a133e;http://dx.doi.org/10.1038/s41746-022-00611-y" TargetMode="External"/><Relationship Id="rId766" Type="http://schemas.openxmlformats.org/officeDocument/2006/relationships/hyperlink" Target="http://link.springer.com/chapter/10.1007/978-981-16-6069-6_5" TargetMode="External"/><Relationship Id="rId1189" Type="http://schemas.openxmlformats.org/officeDocument/2006/relationships/hyperlink" Target="http://link.springer.com/chapter/10.1007/978-3-030-77283-3_1" TargetMode="External"/><Relationship Id="rId1396" Type="http://schemas.openxmlformats.org/officeDocument/2006/relationships/hyperlink" Target="http://link.springer.com/article/10.1007/s11219-022-09607-z" TargetMode="External"/><Relationship Id="rId2142" Type="http://schemas.openxmlformats.org/officeDocument/2006/relationships/hyperlink" Target="http://dx.doi.org/10.1145/3524842.3528469" TargetMode="External"/><Relationship Id="rId321" Type="http://schemas.openxmlformats.org/officeDocument/2006/relationships/hyperlink" Target="https://www.scopus.com/inward/record.uri?eid=2-s2.0-85099357131&amp;doi=10.1145%2f3422392.3422408&amp;partnerID=40&amp;md5=1671dddabb530b925d585c39cb56ac24;http://dx.doi.org/10.1145/3422392.3422408" TargetMode="External"/><Relationship Id="rId419" Type="http://schemas.openxmlformats.org/officeDocument/2006/relationships/hyperlink" Target="https://www.scopus.com/inward/record.uri?eid=2-s2.0-85028058482&amp;doi=10.1016%2fj.jss.2017.08.017&amp;partnerID=40&amp;md5=85d44fc2bba91f523de7e2c6d5d47736;http://dx.doi.org/10.1016/j.jss.2017.08.017" TargetMode="External"/><Relationship Id="rId626" Type="http://schemas.openxmlformats.org/officeDocument/2006/relationships/hyperlink" Target="http://link.springer.com/article/10.1007/s11219-019-09465-2" TargetMode="External"/><Relationship Id="rId973" Type="http://schemas.openxmlformats.org/officeDocument/2006/relationships/hyperlink" Target="http://dx.doi.org/10.1109/ICOCO53166.2021.9673561" TargetMode="External"/><Relationship Id="rId1049" Type="http://schemas.openxmlformats.org/officeDocument/2006/relationships/hyperlink" Target="https://www.scopus.com/inward/record.uri?eid=2-s2.0-85135904165&amp;doi=10.1016%2fj.infsof.2022.107034&amp;partnerID=40&amp;md5=3170cbda783c04eee3e6131155efdb50;http://dx.doi.org/10.1016/j.infsof.2022.107034" TargetMode="External"/><Relationship Id="rId1256" Type="http://schemas.openxmlformats.org/officeDocument/2006/relationships/hyperlink" Target="https://www.scopus.com/inward/record.uri?eid=2-s2.0-85113217257&amp;doi=10.1109%2fWAIN52551.2021.00008&amp;partnerID=40&amp;md5=8007c6523e47f344bdf125475ab72681;http://dx.doi.org/10.1109/WAIN52551.2021.00008" TargetMode="External"/><Relationship Id="rId2002" Type="http://schemas.openxmlformats.org/officeDocument/2006/relationships/hyperlink" Target="http://link.springer.com/article/10.1007/s10664-020-09858-z" TargetMode="External"/><Relationship Id="rId833" Type="http://schemas.openxmlformats.org/officeDocument/2006/relationships/hyperlink" Target="http://dx.doi.org/10.1109/ICSE.2019.00032" TargetMode="External"/><Relationship Id="rId1116" Type="http://schemas.openxmlformats.org/officeDocument/2006/relationships/hyperlink" Target="http://dx.doi.org/10.1007/s10664-017-9522-4" TargetMode="External"/><Relationship Id="rId1463" Type="http://schemas.openxmlformats.org/officeDocument/2006/relationships/hyperlink" Target="https://www.scopus.com/inward/record.uri?eid=2-s2.0-85140303949&amp;doi=10.1016%2fj.future.2022.10.008&amp;partnerID=40&amp;md5=ec6643aa4d2b049fb3935341cfd2ccb6;http://dx.doi.org/10.1016/j.future.2022.10.008" TargetMode="External"/><Relationship Id="rId1670" Type="http://schemas.openxmlformats.org/officeDocument/2006/relationships/hyperlink" Target="https://www.sciencedirect.com/science/article/pii/S0950584922002294;http:/dx.doi.org/10.1016/j.infsof.2022.107120" TargetMode="External"/><Relationship Id="rId1768" Type="http://schemas.openxmlformats.org/officeDocument/2006/relationships/hyperlink" Target="http://link.springer.com/article/10.1186/s13174-021-00134-x" TargetMode="External"/><Relationship Id="rId900" Type="http://schemas.openxmlformats.org/officeDocument/2006/relationships/hyperlink" Target="http://link.springer.com/book/10.1007/978-3-030-75418-1" TargetMode="External"/><Relationship Id="rId1323" Type="http://schemas.openxmlformats.org/officeDocument/2006/relationships/hyperlink" Target="https://doi.org/10.1145/3467896;http:/dx.doi.org/10.1145/3467896" TargetMode="External"/><Relationship Id="rId1530" Type="http://schemas.openxmlformats.org/officeDocument/2006/relationships/hyperlink" Target="http://link.springer.com/book/10.1007/978-981-16-1045-5" TargetMode="External"/><Relationship Id="rId1628" Type="http://schemas.openxmlformats.org/officeDocument/2006/relationships/hyperlink" Target="http://link.springer.com/book/10.1007/978-1-4842-4221-6" TargetMode="External"/><Relationship Id="rId1975" Type="http://schemas.openxmlformats.org/officeDocument/2006/relationships/hyperlink" Target="http://dx.doi.org/10.1109/WAIN52551.2021.00011" TargetMode="External"/><Relationship Id="rId1835" Type="http://schemas.openxmlformats.org/officeDocument/2006/relationships/hyperlink" Target="https://www.scopus.com/inward/record.uri?eid=2-s2.0-85126811133&amp;doi=10.14569%2fIJACSA.2022.0130289&amp;partnerID=40&amp;md5=a89502cbb254764652288a5a824a481e;http://dx.doi.org/10.14569/IJACSA.2022.0130289" TargetMode="External"/><Relationship Id="rId1902" Type="http://schemas.openxmlformats.org/officeDocument/2006/relationships/hyperlink" Target="https://doi.org/10.1145/3512753.3512755;http:/dx.doi.org/10.1145/3512753.3512755" TargetMode="External"/><Relationship Id="rId2097" Type="http://schemas.openxmlformats.org/officeDocument/2006/relationships/hyperlink" Target="https://www.sciencedirect.com/science/article/pii/S156849462200669X;http:/dx.doi.org/10.1016/j.asoc.2022.109620" TargetMode="External"/><Relationship Id="rId276" Type="http://schemas.openxmlformats.org/officeDocument/2006/relationships/hyperlink" Target="http://dx.doi.org/10.1109/SCAM55253.2022.00014" TargetMode="External"/><Relationship Id="rId483" Type="http://schemas.openxmlformats.org/officeDocument/2006/relationships/hyperlink" Target="https://www.scopus.com/inward/record.uri?eid=2-s2.0-85071939298&amp;doi=10.1145%2f3338906.3340442&amp;partnerID=40&amp;md5=d0d611ca989e40d9cc00d308c1d892fe;http://dx.doi.org/10.1145/3338906.3340442" TargetMode="External"/><Relationship Id="rId690" Type="http://schemas.openxmlformats.org/officeDocument/2006/relationships/hyperlink" Target="https://doi.org/10.1145/3339985.3358491;http:/dx.doi.org/10.1145/3339985.3358491" TargetMode="External"/><Relationship Id="rId2164" Type="http://schemas.openxmlformats.org/officeDocument/2006/relationships/hyperlink" Target="https://www.scopus.com/inward/record.uri?eid=2-s2.0-85120538358&amp;doi=10.1109%2fRE51729.2021.00008&amp;partnerID=40&amp;md5=ab0058fcd692cf342f894173230c4e17;http://dx.doi.org/10.1109/RE51729.2021.00008" TargetMode="External"/><Relationship Id="rId136" Type="http://schemas.openxmlformats.org/officeDocument/2006/relationships/hyperlink" Target="https://www.scopus.com/inward/record.uri?eid=2-s2.0-85047325550&amp;doi=10.1145%2f3190507&amp;partnerID=40&amp;md5=2fdd4ae61cb25dd5f7421228ce8cbc2c;http://dx.doi.org/10.1145/3190507" TargetMode="External"/><Relationship Id="rId343" Type="http://schemas.openxmlformats.org/officeDocument/2006/relationships/hyperlink" Target="https://www.scopus.com/inward/record.uri?eid=2-s2.0-85066501193&amp;doi=10.1109%2fICSA-C.2019.00053&amp;partnerID=40&amp;md5=a34e08bd8e80ebe987ae44f49dc7895a;http://dx.doi.org/10.1109/ICSA-C.2019.00053" TargetMode="External"/><Relationship Id="rId550" Type="http://schemas.openxmlformats.org/officeDocument/2006/relationships/hyperlink" Target="https://www.scopus.com/inward/record.uri?eid=2-s2.0-85145953212&amp;doi=10.30630%2fjoiv.6.4.982&amp;partnerID=40&amp;md5=200d0cc812ef636961a286a488f7df5a;http://dx.doi.org/10.30630/joiv.6.4.982" TargetMode="External"/><Relationship Id="rId788" Type="http://schemas.openxmlformats.org/officeDocument/2006/relationships/hyperlink" Target="http://dx.doi.org/10.1109/TENCON.2019.8929628" TargetMode="External"/><Relationship Id="rId995" Type="http://schemas.openxmlformats.org/officeDocument/2006/relationships/hyperlink" Target="http://link.springer.com/chapter/10.1007/978-3-031-19741-3_3" TargetMode="External"/><Relationship Id="rId1180" Type="http://schemas.openxmlformats.org/officeDocument/2006/relationships/hyperlink" Target="http://dx.doi.org/10.1109/SEAA51224.2020.00061" TargetMode="External"/><Relationship Id="rId2024" Type="http://schemas.openxmlformats.org/officeDocument/2006/relationships/hyperlink" Target="https://www.scopus.com/inward/record.uri?eid=2-s2.0-85107476543&amp;doi=10.1007%2fs13369-021-05766-6&amp;partnerID=40&amp;md5=7c6d14a531632b154462eeb447c74a7c;http://dx.doi.org/10.1007/s13369-021-05766-6" TargetMode="External"/><Relationship Id="rId203" Type="http://schemas.openxmlformats.org/officeDocument/2006/relationships/hyperlink" Target="https://www.sciencedirect.com/science/article/pii/S1568494621009741;http:/dx.doi.org/10.1016/j.asoc.2021.108066" TargetMode="External"/><Relationship Id="rId648" Type="http://schemas.openxmlformats.org/officeDocument/2006/relationships/hyperlink" Target="https://www.scopus.com/inward/record.uri?eid=2-s2.0-85107005908&amp;doi=10.1109%2fICSA51549.2021.00022&amp;partnerID=40&amp;md5=10c7ac8a6b8200093065cc3af2c060e8;http://dx.doi.org/10.1109/ICSA51549.2021.00022" TargetMode="External"/><Relationship Id="rId855" Type="http://schemas.openxmlformats.org/officeDocument/2006/relationships/hyperlink" Target="http://link.springer.com/chapter/10.1007/978-3-030-98876-0_19" TargetMode="External"/><Relationship Id="rId1040" Type="http://schemas.openxmlformats.org/officeDocument/2006/relationships/hyperlink" Target="https://doi.org/10.1145/3560828.3564010;http:/dx.doi.org/10.1145/3560828.3564010" TargetMode="External"/><Relationship Id="rId1278" Type="http://schemas.openxmlformats.org/officeDocument/2006/relationships/hyperlink" Target="https://www.scopus.com/inward/record.uri?eid=2-s2.0-85100622799&amp;doi=10.1109%2fCogMI50398.2020.00030&amp;partnerID=40&amp;md5=c2b9239b0c65551bbc9d33aebe3d0d86;http://dx.doi.org/10.1109/CogMI50398.2020.00030" TargetMode="External"/><Relationship Id="rId1485" Type="http://schemas.openxmlformats.org/officeDocument/2006/relationships/hyperlink" Target="http://link.springer.com/book/10.1007/978-1-4842-4859-1" TargetMode="External"/><Relationship Id="rId1692" Type="http://schemas.openxmlformats.org/officeDocument/2006/relationships/hyperlink" Target="https://www.scopus.com/inward/record.uri?eid=2-s2.0-85077502999&amp;partnerID=40&amp;md5=3765a7c62ef722a011bea06b9d3b39a8" TargetMode="External"/><Relationship Id="rId410" Type="http://schemas.openxmlformats.org/officeDocument/2006/relationships/hyperlink" Target="https://www.scopus.com/inward/record.uri?eid=2-s2.0-85101321601&amp;doi=10.1007%2fs10664-020-09894-9&amp;partnerID=40&amp;md5=e08470aa6b9653a16a05ff82f96fc8ff;http://dx.doi.org/10.1007/s10664-020-09894-9" TargetMode="External"/><Relationship Id="rId508" Type="http://schemas.openxmlformats.org/officeDocument/2006/relationships/hyperlink" Target="https://doi.org/10.1109/IWoR.2019.00017;http:/dx.doi.org/10.1109/IWoR.2019.00017" TargetMode="External"/><Relationship Id="rId715" Type="http://schemas.openxmlformats.org/officeDocument/2006/relationships/hyperlink" Target="http://dx.doi.org/10.1109/MSR52588.2021.00048" TargetMode="External"/><Relationship Id="rId922" Type="http://schemas.openxmlformats.org/officeDocument/2006/relationships/hyperlink" Target="https://doi.org/10.1145/3411764.3445518;http:/dx.doi.org/10.1145/3411764.3445518" TargetMode="External"/><Relationship Id="rId1138" Type="http://schemas.openxmlformats.org/officeDocument/2006/relationships/hyperlink" Target="https://doi.org/10.1145/2591062.2591085;http:/dx.doi.org/10.1145/2591062.2591085" TargetMode="External"/><Relationship Id="rId1345" Type="http://schemas.openxmlformats.org/officeDocument/2006/relationships/hyperlink" Target="https://www.scopus.com/inward/record.uri?eid=2-s2.0-85066035758&amp;doi=10.1145%2f3313151.3313166&amp;partnerID=40&amp;md5=e1cc9ace6353999a630b266e53c92d42;http://dx.doi.org/10.1145/3313151.3313166" TargetMode="External"/><Relationship Id="rId1552" Type="http://schemas.openxmlformats.org/officeDocument/2006/relationships/hyperlink" Target="http://link.springer.com/article/10.1007/s10489-021-02911-4" TargetMode="External"/><Relationship Id="rId1997" Type="http://schemas.openxmlformats.org/officeDocument/2006/relationships/hyperlink" Target="https://www.sciencedirect.com/science/article/pii/B9780128185971500230;http:/dx.doi.org/10.1016/B978-0-12-818597-1.50023-0" TargetMode="External"/><Relationship Id="rId1205" Type="http://schemas.openxmlformats.org/officeDocument/2006/relationships/hyperlink" Target="https://www.sciencedirect.com/science/article/pii/S0950584920300240;http:/dx.doi.org/10.1016/j.infsof.2020.106274" TargetMode="External"/><Relationship Id="rId1857" Type="http://schemas.openxmlformats.org/officeDocument/2006/relationships/hyperlink" Target="http://dx.doi.org/10.1109/ICSME46990.2020.00004" TargetMode="External"/><Relationship Id="rId51" Type="http://schemas.openxmlformats.org/officeDocument/2006/relationships/hyperlink" Target="http://link.springer.com/article/10.1007/s10515-022-00364-8" TargetMode="External"/><Relationship Id="rId1412" Type="http://schemas.openxmlformats.org/officeDocument/2006/relationships/hyperlink" Target="https://www.scopus.com/inward/record.uri?eid=2-s2.0-85081030171&amp;doi=10.1016%2fj.jss.2020.110542&amp;partnerID=40&amp;md5=0019441a753439c6d2a0513d3a102029;http://dx.doi.org/10.1016/j.jss.2020.110542" TargetMode="External"/><Relationship Id="rId1717" Type="http://schemas.openxmlformats.org/officeDocument/2006/relationships/hyperlink" Target="http://dx.doi.org/10.1109/QRS.2019.00026" TargetMode="External"/><Relationship Id="rId1924" Type="http://schemas.openxmlformats.org/officeDocument/2006/relationships/hyperlink" Target="https://doi.org/10.1145/3510003.3510057;http:/dx.doi.org/10.1145/3510003.3510057" TargetMode="External"/><Relationship Id="rId298" Type="http://schemas.openxmlformats.org/officeDocument/2006/relationships/hyperlink" Target="http://dx.doi.org/10.1109/ICSME.2014.31" TargetMode="External"/><Relationship Id="rId158" Type="http://schemas.openxmlformats.org/officeDocument/2006/relationships/hyperlink" Target="https://doi.org/10.1145/3387906.3388630;http:/dx.doi.org/10.1145/3387906.3388630" TargetMode="External"/><Relationship Id="rId2186" Type="http://schemas.openxmlformats.org/officeDocument/2006/relationships/hyperlink" Target="http://link.springer.com/book/10.1007/978-3-662-62148-6" TargetMode="External"/><Relationship Id="rId365" Type="http://schemas.openxmlformats.org/officeDocument/2006/relationships/hyperlink" Target="https://doi.org/10.1145/3234152.3234153;http:/dx.doi.org/10.1145/3234152.3234153" TargetMode="External"/><Relationship Id="rId572" Type="http://schemas.openxmlformats.org/officeDocument/2006/relationships/hyperlink" Target="https://www.scopus.com/inward/record.uri?eid=2-s2.0-85088130233&amp;doi=10.3390%2ffi12060102&amp;partnerID=40&amp;md5=7ceb14c14338aef0c67037b4c2731289;http://dx.doi.org/10.3390/fi12060102" TargetMode="External"/><Relationship Id="rId2046" Type="http://schemas.openxmlformats.org/officeDocument/2006/relationships/hyperlink" Target="https://doi.org/10.1145/2663474.2663479;http:/dx.doi.org/10.1145/2663474.2663479" TargetMode="External"/><Relationship Id="rId225" Type="http://schemas.openxmlformats.org/officeDocument/2006/relationships/hyperlink" Target="http://link.springer.com/book/10.1007/978-3-030-58858-8" TargetMode="External"/><Relationship Id="rId432" Type="http://schemas.openxmlformats.org/officeDocument/2006/relationships/hyperlink" Target="https://doi.org/10.1145/3468264.3468553;http:/dx.doi.org/10.1145/3468264.3468553" TargetMode="External"/><Relationship Id="rId877" Type="http://schemas.openxmlformats.org/officeDocument/2006/relationships/hyperlink" Target="http://link.springer.com/chapter/10.1007/978-3-030-35333-9_14" TargetMode="External"/><Relationship Id="rId1062" Type="http://schemas.openxmlformats.org/officeDocument/2006/relationships/hyperlink" Target="https://doi.org/10.1109/TechDebt.2019.00018;http:/dx.doi.org/10.1109/TechDebt.2019.00018" TargetMode="External"/><Relationship Id="rId2113" Type="http://schemas.openxmlformats.org/officeDocument/2006/relationships/hyperlink" Target="http://link.springer.com/chapter/10.1007/978-3-030-23570-3_15" TargetMode="External"/><Relationship Id="rId737" Type="http://schemas.openxmlformats.org/officeDocument/2006/relationships/hyperlink" Target="http://link.springer.com/book/10.1007/978-3-030-87101-7" TargetMode="External"/><Relationship Id="rId944" Type="http://schemas.openxmlformats.org/officeDocument/2006/relationships/hyperlink" Target="https://www.scopus.com/inward/record.uri?eid=2-s2.0-85103939999&amp;doi=10.1007%2fs11219-021-09550-5&amp;partnerID=40&amp;md5=0be53989d7e7b85b8a4e9cea53262e26;http://dx.doi.org/10.1007/s11219-021-09550-5" TargetMode="External"/><Relationship Id="rId1367" Type="http://schemas.openxmlformats.org/officeDocument/2006/relationships/hyperlink" Target="http://dx.doi.org/10.1109/TR.2021.3087864" TargetMode="External"/><Relationship Id="rId1574" Type="http://schemas.openxmlformats.org/officeDocument/2006/relationships/hyperlink" Target="http://link.springer.com/article/10.1007/s11219-019-09478-x" TargetMode="External"/><Relationship Id="rId1781" Type="http://schemas.openxmlformats.org/officeDocument/2006/relationships/hyperlink" Target="https://www.scopus.com/inward/record.uri?eid=2-s2.0-85092460016&amp;doi=10.1002%2fsmr.2320&amp;partnerID=40&amp;md5=186368c65dae9987e861d3e50da2566f;http://dx.doi.org/10.1002/smr.2320" TargetMode="External"/><Relationship Id="rId73" Type="http://schemas.openxmlformats.org/officeDocument/2006/relationships/hyperlink" Target="https://doi.org/10.1109/ICPC.2019.00019;http:/dx.doi.org/10.1109/ICPC.2019.00019" TargetMode="External"/><Relationship Id="rId804" Type="http://schemas.openxmlformats.org/officeDocument/2006/relationships/hyperlink" Target="http://dx.doi.org/10.1109/TSE.2016.2550458" TargetMode="External"/><Relationship Id="rId1227" Type="http://schemas.openxmlformats.org/officeDocument/2006/relationships/hyperlink" Target="https://www.scopus.com/inward/record.uri?eid=2-s2.0-85083954471&amp;partnerID=40&amp;md5=446c71b9443bcdefa6ad28aa652b3d0d" TargetMode="External"/><Relationship Id="rId1434" Type="http://schemas.openxmlformats.org/officeDocument/2006/relationships/hyperlink" Target="https://www.scopus.com/inward/record.uri?eid=2-s2.0-85111796535&amp;doi=10.1007%2fs41060-021-00265-1&amp;partnerID=40&amp;md5=e331f62f57ae194d27d91ea3dea0744b;http://dx.doi.org/10.1007/s41060-021-00265-1" TargetMode="External"/><Relationship Id="rId1641" Type="http://schemas.openxmlformats.org/officeDocument/2006/relationships/hyperlink" Target="https://www.scopus.com/inward/record.uri?eid=2-s2.0-85074631958&amp;doi=10.1007%2fs00502-019-00746-z&amp;partnerID=40&amp;md5=5f2382ad1806e16c0c0b15ecd449df90;http://dx.doi.org/10.1007/s00502-019-00746-z" TargetMode="External"/><Relationship Id="rId1879" Type="http://schemas.openxmlformats.org/officeDocument/2006/relationships/hyperlink" Target="http://link.springer.com/chapter/10.1007/978-3-031-21388-5_43" TargetMode="External"/><Relationship Id="rId1501" Type="http://schemas.openxmlformats.org/officeDocument/2006/relationships/hyperlink" Target="https://www.scopus.com/inward/record.uri?eid=2-s2.0-85114787941&amp;doi=10.1109%2fTechDebt52882.2021.00015&amp;partnerID=40&amp;md5=07e01d870b606471858b7d8d55d4f1f8;http://dx.doi.org/10.1109/TechDebt52882.2021.00015" TargetMode="External"/><Relationship Id="rId1739" Type="http://schemas.openxmlformats.org/officeDocument/2006/relationships/hyperlink" Target="http://dx.doi.org/10.1109/TSE.2018.2867847" TargetMode="External"/><Relationship Id="rId1946" Type="http://schemas.openxmlformats.org/officeDocument/2006/relationships/hyperlink" Target="https://www.scopus.com/inward/record.uri?eid=2-s2.0-85117941875&amp;doi=10.1145%2f3475716.3475784&amp;partnerID=40&amp;md5=c3b61f80b0379b628da92c73b6136b0e;http://dx.doi.org/10.1145/3475716.3475784" TargetMode="External"/><Relationship Id="rId1806" Type="http://schemas.openxmlformats.org/officeDocument/2006/relationships/hyperlink" Target="https://www.scopus.com/inward/record.uri?eid=2-s2.0-85058033875&amp;doi=10.1016%2fj.jss.2018.12.006&amp;partnerID=40&amp;md5=30541230bb21209a8e5ec87df56ba5f0;http://dx.doi.org/10.1016/j.jss.2018.12.006" TargetMode="External"/><Relationship Id="rId387" Type="http://schemas.openxmlformats.org/officeDocument/2006/relationships/hyperlink" Target="http://link.springer.com/book/10.1007/978-3-031-15919-0" TargetMode="External"/><Relationship Id="rId594" Type="http://schemas.openxmlformats.org/officeDocument/2006/relationships/hyperlink" Target="https://doi.org/10.1145/3522664.3528620;http:/dx.doi.org/10.1145/3522664.3528620" TargetMode="External"/><Relationship Id="rId2068" Type="http://schemas.openxmlformats.org/officeDocument/2006/relationships/hyperlink" Target="https://www.scopus.com/inward/record.uri?eid=2-s2.0-85124423330&amp;doi=10.1109%2fCIMPS54606.2021.9652693&amp;partnerID=40&amp;md5=a37e94e0429e7681a1701a4ea483670e;http://dx.doi.org/10.1109/CIMPS54606.2021.9652693" TargetMode="External"/><Relationship Id="rId247" Type="http://schemas.openxmlformats.org/officeDocument/2006/relationships/hyperlink" Target="http://link.springer.com/book/10.1007/978-3-031-08421-8" TargetMode="External"/><Relationship Id="rId899" Type="http://schemas.openxmlformats.org/officeDocument/2006/relationships/hyperlink" Target="http://link.springer.com/book/10.1007/978-3-031-17604-3" TargetMode="External"/><Relationship Id="rId1084" Type="http://schemas.openxmlformats.org/officeDocument/2006/relationships/hyperlink" Target="http://dx.doi.org/10.1109/TSE.2023.3234206" TargetMode="External"/><Relationship Id="rId107" Type="http://schemas.openxmlformats.org/officeDocument/2006/relationships/hyperlink" Target="https://www.scopus.com/inward/record.uri?eid=2-s2.0-85071146151&amp;doi=10.1109%2fTechDebt.2019.00025&amp;partnerID=40&amp;md5=a6bf5dc2c6baf5b49904d2b7fb3432d3;http://dx.doi.org/10.1109/TechDebt.2019.00025" TargetMode="External"/><Relationship Id="rId454" Type="http://schemas.openxmlformats.org/officeDocument/2006/relationships/hyperlink" Target="http://dx.doi.org/10.1109/TSE.2020.2986415" TargetMode="External"/><Relationship Id="rId661" Type="http://schemas.openxmlformats.org/officeDocument/2006/relationships/hyperlink" Target="https://www.sciencedirect.com/science/article/pii/S0065245816300547;http:/dx.doi.org/10.1016/S0065-2458(16)30054-7" TargetMode="External"/><Relationship Id="rId759" Type="http://schemas.openxmlformats.org/officeDocument/2006/relationships/hyperlink" Target="https://www.scopus.com/inward/record.uri?eid=2-s2.0-85083668952&amp;doi=10.1109%2fCCEM48484.2019.00014&amp;partnerID=40&amp;md5=37e0fe2cda2f2eab98accce36ebc9767;http://dx.doi.org/10.1109/CCEM48484.2019.00014" TargetMode="External"/><Relationship Id="rId966" Type="http://schemas.openxmlformats.org/officeDocument/2006/relationships/hyperlink" Target="https://www.scopus.com/inward/record.uri?eid=2-s2.0-85058401948&amp;doi=10.1145%2f3278142.3278147&amp;partnerID=40&amp;md5=98783821aa4f6c3fb6f220b9ef0773df;http://dx.doi.org/10.1145/3278142.3278147" TargetMode="External"/><Relationship Id="rId1291" Type="http://schemas.openxmlformats.org/officeDocument/2006/relationships/hyperlink" Target="https://www.scopus.com/inward/record.uri?eid=2-s2.0-85029515113&amp;doi=10.1007%2f978-3-319-66284-8_1&amp;partnerID=40&amp;md5=32d5292a0e6d26b3a4fb181066229bd3;http://dx.doi.org/10.1007/978-3-319-66284-8_1" TargetMode="External"/><Relationship Id="rId1389" Type="http://schemas.openxmlformats.org/officeDocument/2006/relationships/hyperlink" Target="https://www.scopus.com/inward/record.uri?eid=2-s2.0-85145825727&amp;doi=10.1007%2fs00766-022-00395-3&amp;partnerID=40&amp;md5=4a5638f6e5bce046053ffbabdadcdb06;http://dx.doi.org/10.1007/s00766-022-00395-3" TargetMode="External"/><Relationship Id="rId1596" Type="http://schemas.openxmlformats.org/officeDocument/2006/relationships/hyperlink" Target="https://www.scopus.com/inward/record.uri?eid=2-s2.0-85134067292&amp;doi=10.1145%2f3524842.3528527&amp;partnerID=40&amp;md5=2f1e84d0830061e07690e5dc2defc3c2;http://dx.doi.org/10.1145/3524842.3528527" TargetMode="External"/><Relationship Id="rId2135" Type="http://schemas.openxmlformats.org/officeDocument/2006/relationships/hyperlink" Target="http://dx.doi.org/10.1109/ACCESS.2022.3221130" TargetMode="External"/><Relationship Id="rId314" Type="http://schemas.openxmlformats.org/officeDocument/2006/relationships/hyperlink" Target="https://www.scopus.com/inward/record.uri?eid=2-s2.0-85076222064&amp;doi=10.1007%2f978-981-15-1377-0_32&amp;partnerID=40&amp;md5=26cc99b4c728022bb9757ce8339fde8d;http://dx.doi.org/10.1007/978-981-15-1377-0_32" TargetMode="External"/><Relationship Id="rId521" Type="http://schemas.openxmlformats.org/officeDocument/2006/relationships/hyperlink" Target="http://link.springer.com/chapter/10.1007/978-3-319-91602-6_20" TargetMode="External"/><Relationship Id="rId619" Type="http://schemas.openxmlformats.org/officeDocument/2006/relationships/hyperlink" Target="https://www.scopus.com/inward/record.uri?eid=2-s2.0-85106148361&amp;doi=10.1007%2f978-3-030-75251-4_1&amp;partnerID=40&amp;md5=db22e5d3804b44fd6c2ede9e3007f0cc;http://dx.doi.org/10.1007/978-3-030-75251-4_1" TargetMode="External"/><Relationship Id="rId1151" Type="http://schemas.openxmlformats.org/officeDocument/2006/relationships/hyperlink" Target="https://www.scopus.com/inward/record.uri?eid=2-s2.0-85132368307&amp;doi=10.1145%2f3530019.3530038&amp;partnerID=40&amp;md5=c3ec9d53f1a5f1f12c0265314c2709a9;http://dx.doi.org/10.1145/3530019.3530038" TargetMode="External"/><Relationship Id="rId1249" Type="http://schemas.openxmlformats.org/officeDocument/2006/relationships/hyperlink" Target="https://www.scopus.com/inward/record.uri?eid=2-s2.0-85050982730&amp;doi=10.1109%2fTSE.2018.2861735&amp;partnerID=40&amp;md5=2b87da1a7ab6367353d6b97d8b67b4ba;http://dx.doi.org/10.1109/TSE.2018.2861735" TargetMode="External"/><Relationship Id="rId95" Type="http://schemas.openxmlformats.org/officeDocument/2006/relationships/hyperlink" Target="https://www.scopus.com/inward/record.uri?eid=2-s2.0-85106816941&amp;doi=10.1109%2fACCESS.2021.3049823&amp;partnerID=40&amp;md5=bec13ba44e5f67ee6d5e5bfba285ec34;http://dx.doi.org/10.1109/ACCESS.2021.3049823" TargetMode="External"/><Relationship Id="rId826" Type="http://schemas.openxmlformats.org/officeDocument/2006/relationships/hyperlink" Target="https://www.scopus.com/inward/record.uri?eid=2-s2.0-85116304893&amp;doi=10.1145%2f3468264.3473493&amp;partnerID=40&amp;md5=c6582bf8e064e1baf52f02043f2e8b99;http://dx.doi.org/10.1145/3468264.3473493" TargetMode="External"/><Relationship Id="rId1011" Type="http://schemas.openxmlformats.org/officeDocument/2006/relationships/hyperlink" Target="https://www.scopus.com/inward/record.uri?eid=2-s2.0-85088377053&amp;partnerID=40&amp;md5=680d2c47b68278e24eac605a0e70c204" TargetMode="External"/><Relationship Id="rId1109" Type="http://schemas.openxmlformats.org/officeDocument/2006/relationships/hyperlink" Target="http://dx.doi.org/10.1109/MSR.2019.00054" TargetMode="External"/><Relationship Id="rId1456" Type="http://schemas.openxmlformats.org/officeDocument/2006/relationships/hyperlink" Target="https://www.scopus.com/inward/record.uri?eid=2-s2.0-85090901906&amp;partnerID=40&amp;md5=053ba6b4c8911ffab65c6cb88fe8c0ac" TargetMode="External"/><Relationship Id="rId1663" Type="http://schemas.openxmlformats.org/officeDocument/2006/relationships/hyperlink" Target="https://ieeexplore.ieee.org/document/9822369;http:/dx.doi.org/10.1002/9781119644682.ch27" TargetMode="External"/><Relationship Id="rId1870" Type="http://schemas.openxmlformats.org/officeDocument/2006/relationships/hyperlink" Target="https://doi.org/10.1145/3377814.3381714;http:/dx.doi.org/10.1145/3377814.3381714" TargetMode="External"/><Relationship Id="rId1968" Type="http://schemas.openxmlformats.org/officeDocument/2006/relationships/hyperlink" Target="https://doi.org/10.1145/3194164.3194181;http:/dx.doi.org/10.1145/3194164.3194181" TargetMode="External"/><Relationship Id="rId1316" Type="http://schemas.openxmlformats.org/officeDocument/2006/relationships/hyperlink" Target="https://www.scopus.com/inward/record.uri?eid=2-s2.0-85133432739&amp;doi=10.1145%2f3522664.3528600&amp;partnerID=40&amp;md5=46e2f7c7db65fa8a996456de137f238d;http://dx.doi.org/10.1145/3522664.3528600" TargetMode="External"/><Relationship Id="rId1523" Type="http://schemas.openxmlformats.org/officeDocument/2006/relationships/hyperlink" Target="http://link.springer.com/book/10.1007/978-3-030-42504-3" TargetMode="External"/><Relationship Id="rId1730" Type="http://schemas.openxmlformats.org/officeDocument/2006/relationships/hyperlink" Target="https://www.scopus.com/inward/record.uri?eid=2-s2.0-85119830809&amp;doi=10.1109%2fICSME52107.2021.00071&amp;partnerID=40&amp;md5=206be4f3a7e99e5773a8fa9606804b6f;http://dx.doi.org/10.1109/ICSME52107.2021.00071" TargetMode="External"/><Relationship Id="rId22" Type="http://schemas.openxmlformats.org/officeDocument/2006/relationships/hyperlink" Target="http://link.springer.com/article/10.1007/s42979-020-00408-4" TargetMode="External"/><Relationship Id="rId1828" Type="http://schemas.openxmlformats.org/officeDocument/2006/relationships/hyperlink" Target="https://www.scopus.com/inward/record.uri?eid=2-s2.0-85127056188&amp;doi=10.1109%2fICSA53651.2022.00011&amp;partnerID=40&amp;md5=406bfae4f78486cdbc0ad4efd1370589;http://dx.doi.org/10.1109/ICSA53651.2022.00011" TargetMode="External"/><Relationship Id="rId171" Type="http://schemas.openxmlformats.org/officeDocument/2006/relationships/hyperlink" Target="https://www.scopus.com/inward/record.uri?eid=2-s2.0-85137790866&amp;doi=10.3390%2fapp12178700&amp;partnerID=40&amp;md5=fe8697202d4e7ca0e3253705da5e022c;http://dx.doi.org/10.3390/app12178700" TargetMode="External"/><Relationship Id="rId269" Type="http://schemas.openxmlformats.org/officeDocument/2006/relationships/hyperlink" Target="http://dx.doi.org/10.1109/ESEM.2017.12" TargetMode="External"/><Relationship Id="rId476" Type="http://schemas.openxmlformats.org/officeDocument/2006/relationships/hyperlink" Target="http://link.springer.com/book/10.1007/978-3-031-21229-1" TargetMode="External"/><Relationship Id="rId683" Type="http://schemas.openxmlformats.org/officeDocument/2006/relationships/hyperlink" Target="https://doi.org/10.1145/3400302.3415737;http:/dx.doi.org/10.1145/3400302.3415737" TargetMode="External"/><Relationship Id="rId890" Type="http://schemas.openxmlformats.org/officeDocument/2006/relationships/hyperlink" Target="http://link.springer.com/referencework/10.1007/978-3-030-10576-1" TargetMode="External"/><Relationship Id="rId2157" Type="http://schemas.openxmlformats.org/officeDocument/2006/relationships/hyperlink" Target="http://dx.doi.org/10.1145/3522664.3528599" TargetMode="External"/><Relationship Id="rId129" Type="http://schemas.openxmlformats.org/officeDocument/2006/relationships/hyperlink" Target="http://dx.doi.org/10.1109/SEAA.2019.00057" TargetMode="External"/><Relationship Id="rId336" Type="http://schemas.openxmlformats.org/officeDocument/2006/relationships/hyperlink" Target="http://link.springer.com/chapter/10.1007/978-3-030-57321-8_25" TargetMode="External"/><Relationship Id="rId543" Type="http://schemas.openxmlformats.org/officeDocument/2006/relationships/hyperlink" Target="http://dx.doi.org/10.1109/TSE.2021.3115772" TargetMode="External"/><Relationship Id="rId988" Type="http://schemas.openxmlformats.org/officeDocument/2006/relationships/hyperlink" Target="https://www.scopus.com/inward/record.uri?eid=2-s2.0-85101745918&amp;doi=10.1109%2fTSE.2021.3060068&amp;partnerID=40&amp;md5=ee66c4a20c1af0b5beffcd87f575d9ad;http://dx.doi.org/10.1109/TSE.2021.3060068" TargetMode="External"/><Relationship Id="rId1173" Type="http://schemas.openxmlformats.org/officeDocument/2006/relationships/hyperlink" Target="http://link.springer.com/book/10.1007/978-3-031-15063-0" TargetMode="External"/><Relationship Id="rId1380" Type="http://schemas.openxmlformats.org/officeDocument/2006/relationships/hyperlink" Target="https://www.scopus.com/inward/record.uri?eid=2-s2.0-85143199642&amp;doi=10.1145%2f3549034.3561175&amp;partnerID=40&amp;md5=d7c2c1efa13afe809fb522d39886fcb0;http://dx.doi.org/10.1145/3549034.3561175" TargetMode="External"/><Relationship Id="rId2017" Type="http://schemas.openxmlformats.org/officeDocument/2006/relationships/hyperlink" Target="https://doi.org/10.1145/3184407.3184413;http:/dx.doi.org/10.1145/3184407.3184413" TargetMode="External"/><Relationship Id="rId403" Type="http://schemas.openxmlformats.org/officeDocument/2006/relationships/hyperlink" Target="https://www.scopus.com/inward/record.uri?eid=2-s2.0-85125305120&amp;doi=10.1109%2fICCC54389.2021.9674263&amp;partnerID=40&amp;md5=2574ac649ab5d0971955cc5c7b7bcecf;http://dx.doi.org/10.1109/ICCC54389.2021.9674263" TargetMode="External"/><Relationship Id="rId750" Type="http://schemas.openxmlformats.org/officeDocument/2006/relationships/hyperlink" Target="https://www.scopus.com/inward/record.uri?eid=2-s2.0-85136974177&amp;doi=10.1109%2fCOMPSAC54236.2022.00166&amp;partnerID=40&amp;md5=286130a29f16628da067387c615dbb24;http://dx.doi.org/10.1109/COMPSAC54236.2022.00166" TargetMode="External"/><Relationship Id="rId848" Type="http://schemas.openxmlformats.org/officeDocument/2006/relationships/hyperlink" Target="https://doi.org/10.1109/TechDebt.2019.00015;http:/dx.doi.org/10.1109/TechDebt.2019.00015" TargetMode="External"/><Relationship Id="rId1033" Type="http://schemas.openxmlformats.org/officeDocument/2006/relationships/hyperlink" Target="http://dx.doi.org/10.1109/eScience55777.2022.00095" TargetMode="External"/><Relationship Id="rId1478" Type="http://schemas.openxmlformats.org/officeDocument/2006/relationships/hyperlink" Target="https://www.scopus.com/inward/record.uri?eid=2-s2.0-85085562707&amp;doi=10.1002%2fper.2257&amp;partnerID=40&amp;md5=3bc73dab710dc511252df487e134dc05;http://dx.doi.org/10.1002/per.2257" TargetMode="External"/><Relationship Id="rId1685" Type="http://schemas.openxmlformats.org/officeDocument/2006/relationships/hyperlink" Target="https://www.scopus.com/inward/record.uri?eid=2-s2.0-85077182774&amp;doi=10.1109%2fICSME.2019.00029&amp;partnerID=40&amp;md5=40029e511624cc6ddc05cc0c3e2d2293;http://dx.doi.org/10.1109/ICSME.2019.00029" TargetMode="External"/><Relationship Id="rId1892" Type="http://schemas.openxmlformats.org/officeDocument/2006/relationships/hyperlink" Target="https://www.scopus.com/inward/record.uri?eid=2-s2.0-85113671827&amp;doi=10.1109%2fMSR52588.2021.00032&amp;partnerID=40&amp;md5=19746d77c9346e359d7189aeefbb7e36;http://dx.doi.org/10.1109/MSR52588.2021.00032" TargetMode="External"/><Relationship Id="rId610" Type="http://schemas.openxmlformats.org/officeDocument/2006/relationships/hyperlink" Target="https://www.scopus.com/inward/record.uri?eid=2-s2.0-85125323743&amp;doi=10.1007%2fs11390-021-1596-1&amp;partnerID=40&amp;md5=8e4c15f6f3181100378d973e884107f4;http://dx.doi.org/10.1007/s11390-021-1596-1" TargetMode="External"/><Relationship Id="rId708" Type="http://schemas.openxmlformats.org/officeDocument/2006/relationships/hyperlink" Target="http://link.springer.com/chapter/10.1007/978-3-658-37182-1_2" TargetMode="External"/><Relationship Id="rId915" Type="http://schemas.openxmlformats.org/officeDocument/2006/relationships/hyperlink" Target="http://link.springer.com/chapter/10.1007/978-3-030-75418-1_25" TargetMode="External"/><Relationship Id="rId1240" Type="http://schemas.openxmlformats.org/officeDocument/2006/relationships/hyperlink" Target="https://doi.org/10.1109/ASE51524.2021.9678704;http:/dx.doi.org/10.1109/ASE51524.2021.9678704" TargetMode="External"/><Relationship Id="rId1338" Type="http://schemas.openxmlformats.org/officeDocument/2006/relationships/hyperlink" Target="http://dx.doi.org/10.1145/3510455.3512773" TargetMode="External"/><Relationship Id="rId1545" Type="http://schemas.openxmlformats.org/officeDocument/2006/relationships/hyperlink" Target="https://www.sciencedirect.com/science/article/pii/S2212827120314347;http:/dx.doi.org/10.1016/j.procir.2020.05.213" TargetMode="External"/><Relationship Id="rId1100" Type="http://schemas.openxmlformats.org/officeDocument/2006/relationships/hyperlink" Target="https://www.scopus.com/inward/record.uri?eid=2-s2.0-85084085773&amp;doi=10.1109%2fICCS45141.2019.9065317&amp;partnerID=40&amp;md5=adb39e5d7f87fbbfb1b7e0a34875ace6;http://dx.doi.org/10.1109/ICCS45141.2019.9065317" TargetMode="External"/><Relationship Id="rId1405" Type="http://schemas.openxmlformats.org/officeDocument/2006/relationships/hyperlink" Target="http://dx.doi.org/10.1109/ICSE43902.2021.00134" TargetMode="External"/><Relationship Id="rId1752" Type="http://schemas.openxmlformats.org/officeDocument/2006/relationships/hyperlink" Target="http://link.springer.com/book/10.1007/978-3-030-77442-4" TargetMode="External"/><Relationship Id="rId44" Type="http://schemas.openxmlformats.org/officeDocument/2006/relationships/hyperlink" Target="https://www.scopus.com/inward/record.uri?eid=2-s2.0-85057744680&amp;doi=10.1109%2fBigDataCongress.2018.00030&amp;partnerID=40&amp;md5=0adeb53ccd3c1b524c98d7172ce13d1f;http://dx.doi.org/10.1109/BigDataCongress.2018.00030" TargetMode="External"/><Relationship Id="rId1612" Type="http://schemas.openxmlformats.org/officeDocument/2006/relationships/hyperlink" Target="http://link.springer.com/chapter/10.1007/978-3-030-83549-1_3" TargetMode="External"/><Relationship Id="rId1917" Type="http://schemas.openxmlformats.org/officeDocument/2006/relationships/hyperlink" Target="https://doi.org/10.1145/3529318;http:/dx.doi.org/10.1145/3529318" TargetMode="External"/><Relationship Id="rId193" Type="http://schemas.openxmlformats.org/officeDocument/2006/relationships/hyperlink" Target="https://www.scopus.com/inward/record.uri?eid=2-s2.0-84949443224&amp;doi=10.1016%2fj.infsof.2015.10.001&amp;partnerID=40&amp;md5=5386a36ceb20ab1b93fbb827e474b62a;http://dx.doi.org/10.1016/j.infsof.2015.10.001" TargetMode="External"/><Relationship Id="rId498" Type="http://schemas.openxmlformats.org/officeDocument/2006/relationships/hyperlink" Target="http://link.springer.com/book/10.1007/978-3-030-53337-3" TargetMode="External"/><Relationship Id="rId2081" Type="http://schemas.openxmlformats.org/officeDocument/2006/relationships/hyperlink" Target="https://www.scopus.com/inward/record.uri?eid=2-s2.0-84951124061&amp;doi=10.1109%2fIJCNN.2015.7280772&amp;partnerID=40&amp;md5=2507d93bdf31d6f7c1ff8967bcebd26d;http://dx.doi.org/10.1109/IJCNN.2015.7280772" TargetMode="External"/><Relationship Id="rId2179" Type="http://schemas.openxmlformats.org/officeDocument/2006/relationships/hyperlink" Target="https://www.scopus.com/inward/record.uri?eid=2-s2.0-85077973878&amp;doi=10.1016%2fj.ins.2019.12.075&amp;partnerID=40&amp;md5=8fdb7b1e8502ecf7847b9a4f4c70cc02;http://dx.doi.org/10.1016/j.ins.2019.12.075" TargetMode="External"/><Relationship Id="rId260" Type="http://schemas.openxmlformats.org/officeDocument/2006/relationships/hyperlink" Target="https://www.scopus.com/inward/record.uri?eid=2-s2.0-84954120914&amp;doi=10.1145%2f2783258.2788628&amp;partnerID=40&amp;md5=b43ba396032467f35be3fe986179b1d9;http://dx.doi.org/10.1145/2783258.2788628" TargetMode="External"/><Relationship Id="rId120" Type="http://schemas.openxmlformats.org/officeDocument/2006/relationships/hyperlink" Target="http://link.springer.com/chapter/10.1007/978-3-030-59155-7_1" TargetMode="External"/><Relationship Id="rId358" Type="http://schemas.openxmlformats.org/officeDocument/2006/relationships/hyperlink" Target="https://www.scopus.com/inward/record.uri?eid=2-s2.0-85116898427&amp;partnerID=40&amp;md5=040f1845b6770ddecad9feac2bc6ea4b" TargetMode="External"/><Relationship Id="rId565" Type="http://schemas.openxmlformats.org/officeDocument/2006/relationships/hyperlink" Target="https://www.scopus.com/inward/record.uri?eid=2-s2.0-85079680598&amp;doi=10.1145%2f3351095.3372873&amp;partnerID=40&amp;md5=138ba67c88aa7cabfc034e3d75664dc5;http://dx.doi.org/10.1145/3351095.3372873" TargetMode="External"/><Relationship Id="rId772" Type="http://schemas.openxmlformats.org/officeDocument/2006/relationships/hyperlink" Target="https://www.scopus.com/inward/record.uri?eid=2-s2.0-85126361168&amp;doi=10.1002%2fsmr.2449&amp;partnerID=40&amp;md5=3cdc6ecc89f6f54c3fe47a0ab41f7662;http://dx.doi.org/10.1002/smr.2449" TargetMode="External"/><Relationship Id="rId1195" Type="http://schemas.openxmlformats.org/officeDocument/2006/relationships/hyperlink" Target="http://link.springer.com/article/10.1007/s42979-020-00404-8" TargetMode="External"/><Relationship Id="rId2039" Type="http://schemas.openxmlformats.org/officeDocument/2006/relationships/hyperlink" Target="https://www.scopus.com/inward/record.uri?eid=2-s2.0-85092742482&amp;doi=10.1109%2fACSOS-C51401.2020.00048&amp;partnerID=40&amp;md5=795fa76009b0b5c46ad117f886187237;http://dx.doi.org/10.1109/ACSOS-C51401.2020.00048" TargetMode="External"/><Relationship Id="rId218" Type="http://schemas.openxmlformats.org/officeDocument/2006/relationships/hyperlink" Target="https://www.scopus.com/inward/record.uri?eid=2-s2.0-85144734803&amp;doi=10.3390%2fcomputers11120179&amp;partnerID=40&amp;md5=8e7462afaf721f217f380c5e66ef3c0e;http://dx.doi.org/10.3390/computers11120179" TargetMode="External"/><Relationship Id="rId425" Type="http://schemas.openxmlformats.org/officeDocument/2006/relationships/hyperlink" Target="https://www.scopus.com/inward/record.uri?eid=2-s2.0-85133877682&amp;doi=10.1142%2fS021819402250036X&amp;partnerID=40&amp;md5=e4bb8c9eedf8a89d47d6d2c367c02f4f;http://dx.doi.org/10.1142/S021819402250036X" TargetMode="External"/><Relationship Id="rId632" Type="http://schemas.openxmlformats.org/officeDocument/2006/relationships/hyperlink" Target="https://www.scopus.com/inward/record.uri?eid=2-s2.0-85134350727&amp;doi=10.1145%2f3524843.3528097&amp;partnerID=40&amp;md5=86e75b074cd4cf95c5ea49d4efd8310a;http://dx.doi.org/10.1145/3524843.3528097" TargetMode="External"/><Relationship Id="rId1055" Type="http://schemas.openxmlformats.org/officeDocument/2006/relationships/hyperlink" Target="https://www.scopus.com/inward/record.uri?eid=2-s2.0-85091770310&amp;doi=10.1007%2fs00521-020-05379-4&amp;partnerID=40&amp;md5=17baedb91c4a7ae3379bb063b065662b;http://dx.doi.org/10.1007/s00521-020-05379-4" TargetMode="External"/><Relationship Id="rId1262" Type="http://schemas.openxmlformats.org/officeDocument/2006/relationships/hyperlink" Target="https://doi.org/10.1145/3534678.3539059;http:/dx.doi.org/10.1145/3534678.3539059" TargetMode="External"/><Relationship Id="rId2106" Type="http://schemas.openxmlformats.org/officeDocument/2006/relationships/hyperlink" Target="https://doi.org/10.1109/SER-IP.2017..5;http:/dx.doi.org/10.1109/SER-IP.2017..5" TargetMode="External"/><Relationship Id="rId937" Type="http://schemas.openxmlformats.org/officeDocument/2006/relationships/hyperlink" Target="http://link.springer.com/book/10.1007/978-3-030-82017-6" TargetMode="External"/><Relationship Id="rId1122" Type="http://schemas.openxmlformats.org/officeDocument/2006/relationships/hyperlink" Target="http://dx.doi.org/10.1109/TSE.2020.3031401" TargetMode="External"/><Relationship Id="rId1567" Type="http://schemas.openxmlformats.org/officeDocument/2006/relationships/hyperlink" Target="http://dx.doi.org/10.1109/ISPRAS53967.2021.00027" TargetMode="External"/><Relationship Id="rId1774" Type="http://schemas.openxmlformats.org/officeDocument/2006/relationships/hyperlink" Target="https://www.scopus.com/inward/record.uri?eid=2-s2.0-85101567368&amp;doi=10.1109%2fINDICON49873.2020.9342579&amp;partnerID=40&amp;md5=70d266f18a400ee242fcb4af32e3f28e;http://dx.doi.org/10.1109/INDICON49873.2020.9342579" TargetMode="External"/><Relationship Id="rId1981" Type="http://schemas.openxmlformats.org/officeDocument/2006/relationships/hyperlink" Target="http://dx.doi.org/10.1109/TSE.2017.2752171" TargetMode="External"/><Relationship Id="rId66" Type="http://schemas.openxmlformats.org/officeDocument/2006/relationships/hyperlink" Target="http://link.springer.com/article/10.1007/s00766-022-00385-5" TargetMode="External"/><Relationship Id="rId1427" Type="http://schemas.openxmlformats.org/officeDocument/2006/relationships/hyperlink" Target="http://link.springer.com/article/10.1007/s10664-022-10132-7" TargetMode="External"/><Relationship Id="rId1634" Type="http://schemas.openxmlformats.org/officeDocument/2006/relationships/hyperlink" Target="https://www.scopus.com/inward/record.uri?eid=2-s2.0-85009513487&amp;partnerID=40&amp;md5=10de414f1ac383281bd9932dc8e1f757" TargetMode="External"/><Relationship Id="rId1841" Type="http://schemas.openxmlformats.org/officeDocument/2006/relationships/hyperlink" Target="http://link.springer.com/book/10.1007/978-3-030-77283-3" TargetMode="External"/><Relationship Id="rId1939" Type="http://schemas.openxmlformats.org/officeDocument/2006/relationships/hyperlink" Target="http://dx.doi.org/10.1109/TSE.2020.3021736" TargetMode="External"/><Relationship Id="rId1701" Type="http://schemas.openxmlformats.org/officeDocument/2006/relationships/hyperlink" Target="https://www.scopus.com/inward/record.uri?eid=2-s2.0-85143261277&amp;partnerID=40&amp;md5=c1a55cd1bd7f0e35fb6f0a419d867e8f" TargetMode="External"/><Relationship Id="rId282" Type="http://schemas.openxmlformats.org/officeDocument/2006/relationships/hyperlink" Target="http://dx.doi.org/10.1109/ICSE43902.2021.00033" TargetMode="External"/><Relationship Id="rId587" Type="http://schemas.openxmlformats.org/officeDocument/2006/relationships/hyperlink" Target="https://www.scopus.com/inward/record.uri?eid=2-s2.0-84891688656&amp;doi=10.1109%2fICSM.2013.56&amp;partnerID=40&amp;md5=1580015a515cb7c8d67933935648c03a;http://dx.doi.org/10.1109/ICSM.2013.56" TargetMode="External"/><Relationship Id="rId2170" Type="http://schemas.openxmlformats.org/officeDocument/2006/relationships/hyperlink" Target="https://www.scopus.com/inward/record.uri?eid=2-s2.0-85102615736&amp;doi=10.1136%2fmedethics-2020-106820&amp;partnerID=40&amp;md5=1c247440ebd3e00e8e186d01492a6541;http://dx.doi.org/10.1136/medethics-2020-106820" TargetMode="External"/><Relationship Id="rId8" Type="http://schemas.openxmlformats.org/officeDocument/2006/relationships/hyperlink" Target="https://www.scopus.com/inward/record.uri?eid=2-s2.0-85106414853&amp;partnerID=40&amp;md5=dd55c969141da37da7cf192f0fcca10a" TargetMode="External"/><Relationship Id="rId142" Type="http://schemas.openxmlformats.org/officeDocument/2006/relationships/hyperlink" Target="https://www.scopus.com/inward/record.uri?eid=2-s2.0-85062242630&amp;doi=10.1016%2fj.jss.2019.02.056&amp;partnerID=40&amp;md5=1ca0e6aa1b30f6f08732682d2002d46e;http://dx.doi.org/10.1016/j.jss.2019.02.056" TargetMode="External"/><Relationship Id="rId447" Type="http://schemas.openxmlformats.org/officeDocument/2006/relationships/hyperlink" Target="http://link.springer.com/book/10.1007/978-1-4842-6361-7" TargetMode="External"/><Relationship Id="rId794" Type="http://schemas.openxmlformats.org/officeDocument/2006/relationships/hyperlink" Target="https://www.scopus.com/inward/record.uri?eid=2-s2.0-85133951759&amp;doi=10.23919%2fMIPRO55190.2022.9803727&amp;partnerID=40&amp;md5=26707e38b212fa540ee51b729c81f95d;http://dx.doi.org/10.23919/MIPRO55190.2022.9803727" TargetMode="External"/><Relationship Id="rId1077" Type="http://schemas.openxmlformats.org/officeDocument/2006/relationships/hyperlink" Target="https://www.scopus.com/inward/record.uri?eid=2-s2.0-85128418414&amp;doi=10.1145%2f3512905&amp;partnerID=40&amp;md5=5ddea5edbb7cda4f0fc36e84feef1893;http://dx.doi.org/10.1145/3512905" TargetMode="External"/><Relationship Id="rId2030" Type="http://schemas.openxmlformats.org/officeDocument/2006/relationships/hyperlink" Target="https://www.scopus.com/inward/record.uri?eid=2-s2.0-85123247050&amp;doi=10.1007%2fs11219-021-09578-7&amp;partnerID=40&amp;md5=f8da8fe1b0e0b26ae3df1d4da5e4e904;http://dx.doi.org/10.1007/s11219-021-09578-7" TargetMode="External"/><Relationship Id="rId2128" Type="http://schemas.openxmlformats.org/officeDocument/2006/relationships/hyperlink" Target="https://www.scopus.com/inward/record.uri?eid=2-s2.0-85025122019&amp;doi=10.1109%2fTSE.2017.2654244&amp;partnerID=40&amp;md5=e451cac637cd2b608649b22ace9a2b41;http://dx.doi.org/10.1109/TSE.2017.2654244" TargetMode="External"/><Relationship Id="rId654" Type="http://schemas.openxmlformats.org/officeDocument/2006/relationships/hyperlink" Target="https://www.sciencedirect.com/science/article/pii/S0065245815000133;http:/dx.doi.org/10.1016/S0065-2458(15)00013-3" TargetMode="External"/><Relationship Id="rId861" Type="http://schemas.openxmlformats.org/officeDocument/2006/relationships/hyperlink" Target="https://www.scopus.com/inward/record.uri?eid=2-s2.0-85097138978&amp;doi=10.1145%2f3368089.3417048&amp;partnerID=40&amp;md5=41973787b54adf14d6e036bde1855eeb;http://dx.doi.org/10.1145/3368089.3417048" TargetMode="External"/><Relationship Id="rId959" Type="http://schemas.openxmlformats.org/officeDocument/2006/relationships/hyperlink" Target="https://www.scopus.com/inward/record.uri?eid=2-s2.0-85083265040&amp;doi=10.1186%2fs40537-020-00303-y&amp;partnerID=40&amp;md5=5de2ce72902813337438c54aa7189742;http://dx.doi.org/10.1186/s40537-020-00303-y" TargetMode="External"/><Relationship Id="rId1284" Type="http://schemas.openxmlformats.org/officeDocument/2006/relationships/hyperlink" Target="http://dx.doi.org/10.1109/REW53955.2021.00022" TargetMode="External"/><Relationship Id="rId1491" Type="http://schemas.openxmlformats.org/officeDocument/2006/relationships/hyperlink" Target="https://www.scopus.com/inward/record.uri?eid=2-s2.0-85044588917&amp;doi=10.1142%2fS0218194018500110&amp;partnerID=40&amp;md5=335e5d58beca7a7c80f3679e24738fad;http://dx.doi.org/10.1142/S0218194018500110" TargetMode="External"/><Relationship Id="rId1589" Type="http://schemas.openxmlformats.org/officeDocument/2006/relationships/hyperlink" Target="http://dx.doi.org/10.1109/ICSME.2017.44" TargetMode="External"/><Relationship Id="rId307" Type="http://schemas.openxmlformats.org/officeDocument/2006/relationships/hyperlink" Target="http://dx.doi.org/10.1109/CHASE.2019.00013" TargetMode="External"/><Relationship Id="rId514" Type="http://schemas.openxmlformats.org/officeDocument/2006/relationships/hyperlink" Target="http://dx.doi.org/10.1109/DSAA49011.2020.00068" TargetMode="External"/><Relationship Id="rId721" Type="http://schemas.openxmlformats.org/officeDocument/2006/relationships/hyperlink" Target="https://www.scopus.com/inward/record.uri?eid=2-s2.0-85102303730&amp;doi=10.1109%2fTSE.2021.3063727&amp;partnerID=40&amp;md5=a8493f3a2190202e1859e9c7701469b0;http://dx.doi.org/10.1109/TSE.2021.3063727" TargetMode="External"/><Relationship Id="rId1144" Type="http://schemas.openxmlformats.org/officeDocument/2006/relationships/hyperlink" Target="https://www.scopus.com/inward/record.uri?eid=2-s2.0-85125451472&amp;doi=10.1109%2fASE51524.2021.9678586&amp;partnerID=40&amp;md5=dfed15c08ee21e719233da1b8bf64a94;http://dx.doi.org/10.1109/ASE51524.2021.9678586" TargetMode="External"/><Relationship Id="rId1351" Type="http://schemas.openxmlformats.org/officeDocument/2006/relationships/hyperlink" Target="http://link.springer.com/article/10.1007/s10270-021-00929-3" TargetMode="External"/><Relationship Id="rId1449" Type="http://schemas.openxmlformats.org/officeDocument/2006/relationships/hyperlink" Target="https://www.scopus.com/inward/record.uri?eid=2-s2.0-85031008685&amp;doi=10.1016%2fj.jss.2017.09.026&amp;partnerID=40&amp;md5=38bde174d903e196f4c42505e21c36f7;http://dx.doi.org/10.1016/j.jss.2017.09.026" TargetMode="External"/><Relationship Id="rId1796" Type="http://schemas.openxmlformats.org/officeDocument/2006/relationships/hyperlink" Target="https://doi.org/10.1145/3524843.3528098;http:/dx.doi.org/10.1145/3524843.3528098" TargetMode="External"/><Relationship Id="rId88" Type="http://schemas.openxmlformats.org/officeDocument/2006/relationships/hyperlink" Target="http://dx.doi.org/10.1109/BigData47090.2019.9005503" TargetMode="External"/><Relationship Id="rId819" Type="http://schemas.openxmlformats.org/officeDocument/2006/relationships/hyperlink" Target="https://www.sciencedirect.com/science/article/pii/S0040162518309594;http:/dx.doi.org/10.1016/j.techfore.2019.119735" TargetMode="External"/><Relationship Id="rId1004" Type="http://schemas.openxmlformats.org/officeDocument/2006/relationships/hyperlink" Target="http://dx.doi.org/10.1109/ICICT52872.2021.00031" TargetMode="External"/><Relationship Id="rId1211" Type="http://schemas.openxmlformats.org/officeDocument/2006/relationships/hyperlink" Target="https://www.scopus.com/inward/record.uri?eid=2-s2.0-85143878845&amp;doi=10.14569%2fIJACSA.2022.0131132&amp;partnerID=40&amp;md5=3559f9562be7ac2b9c30930c49fe73bc;http://dx.doi.org/10.14569/IJACSA.2022.0131132" TargetMode="External"/><Relationship Id="rId1656" Type="http://schemas.openxmlformats.org/officeDocument/2006/relationships/hyperlink" Target="https://www.scopus.com/inward/record.uri?eid=2-s2.0-85129838215&amp;doi=10.1002%2fspe.3093&amp;partnerID=40&amp;md5=e22cde9c69e6b91c1c529527fdfe7b10;http://dx.doi.org/10.1002/spe.3093" TargetMode="External"/><Relationship Id="rId1863" Type="http://schemas.openxmlformats.org/officeDocument/2006/relationships/hyperlink" Target="https://doi.org/10.1145/3551624.3555286;http:/dx.doi.org/10.1145/3551624.3555286" TargetMode="External"/><Relationship Id="rId1309" Type="http://schemas.openxmlformats.org/officeDocument/2006/relationships/hyperlink" Target="http://dx.doi.org/10.1109/ICSE.2013.6606638" TargetMode="External"/><Relationship Id="rId1516" Type="http://schemas.openxmlformats.org/officeDocument/2006/relationships/hyperlink" Target="http://link.springer.com/chapter/10.1007/978-3-658-37182-1_11" TargetMode="External"/><Relationship Id="rId1723" Type="http://schemas.openxmlformats.org/officeDocument/2006/relationships/hyperlink" Target="https://doi.org/10.1145/3183519.3183529;http:/dx.doi.org/10.1145/3183519.3183529" TargetMode="External"/><Relationship Id="rId1930" Type="http://schemas.openxmlformats.org/officeDocument/2006/relationships/hyperlink" Target="https://www.scopus.com/inward/record.uri?eid=2-s2.0-85104202907&amp;doi=10.3389%2ffcomp.2020.00036&amp;partnerID=40&amp;md5=f312b89ba0ff921d5b56e2bb2dfcb5eb;http://dx.doi.org/10.3389/fcomp.2020.00036" TargetMode="External"/><Relationship Id="rId15" Type="http://schemas.openxmlformats.org/officeDocument/2006/relationships/hyperlink" Target="https://www.sciencedirect.com/science/article/pii/S0164121218302334;http:/dx.doi.org/10.1016/j.jss.2018.10.029" TargetMode="External"/><Relationship Id="rId164" Type="http://schemas.openxmlformats.org/officeDocument/2006/relationships/hyperlink" Target="http://link.springer.com/article/10.1007/s11219-016-9336-4" TargetMode="External"/><Relationship Id="rId371" Type="http://schemas.openxmlformats.org/officeDocument/2006/relationships/hyperlink" Target="https://www.scopus.com/inward/record.uri?eid=2-s2.0-85029407321&amp;doi=10.1016%2fj.infsof.2017.09.002&amp;partnerID=40&amp;md5=23f8be5aca5b325a3bf15eff80767dcb;http://dx.doi.org/10.1016/j.infsof.2017.09.002" TargetMode="External"/><Relationship Id="rId2052" Type="http://schemas.openxmlformats.org/officeDocument/2006/relationships/hyperlink" Target="https://www.scopus.com/inward/record.uri?eid=2-s2.0-84983238335&amp;doi=10.1109%2fWICSA.2016.41&amp;partnerID=40&amp;md5=8758a2e935627411a84d692025434931;http://dx.doi.org/10.1109/WICSA.2016.41" TargetMode="External"/><Relationship Id="rId469" Type="http://schemas.openxmlformats.org/officeDocument/2006/relationships/hyperlink" Target="https://www.sciencedirect.com/science/article/pii/S0950584920301981;http:/dx.doi.org/10.1016/j.infsof.2020.106448" TargetMode="External"/><Relationship Id="rId676" Type="http://schemas.openxmlformats.org/officeDocument/2006/relationships/hyperlink" Target="http://link.springer.com/chapter/10.1007/978-3-319-99229-7_2" TargetMode="External"/><Relationship Id="rId883" Type="http://schemas.openxmlformats.org/officeDocument/2006/relationships/hyperlink" Target="http://dx.doi.org/10.1109/SEmotion.2019.00014" TargetMode="External"/><Relationship Id="rId1099" Type="http://schemas.openxmlformats.org/officeDocument/2006/relationships/hyperlink" Target="http://dx.doi.org/10.1109/SEAA51224.2020.00083" TargetMode="External"/><Relationship Id="rId231" Type="http://schemas.openxmlformats.org/officeDocument/2006/relationships/hyperlink" Target="http://dx.doi.org/10.1109/MS.2022.3195432" TargetMode="External"/><Relationship Id="rId329" Type="http://schemas.openxmlformats.org/officeDocument/2006/relationships/hyperlink" Target="https://ieeexplore.ieee.org/document/9822652;http:/dx.doi.org/10.1002/9781119602477.bapp" TargetMode="External"/><Relationship Id="rId536" Type="http://schemas.openxmlformats.org/officeDocument/2006/relationships/hyperlink" Target="https://www.sciencedirect.com/science/article/pii/B9780128028551000113;http:/dx.doi.org/10.1016/B978-0-12-802855-1.00011-3" TargetMode="External"/><Relationship Id="rId1166" Type="http://schemas.openxmlformats.org/officeDocument/2006/relationships/hyperlink" Target="http://link.springer.com/book/10.1007/978-1-4842-8820-7" TargetMode="External"/><Relationship Id="rId1373" Type="http://schemas.openxmlformats.org/officeDocument/2006/relationships/hyperlink" Target="https://www.scopus.com/inward/record.uri?eid=2-s2.0-85102310792&amp;doi=10.1109%2fTIM.2021.3062414&amp;partnerID=40&amp;md5=e930b65b37ee8b67476c6350c271f4b2;http://dx.doi.org/10.1109/TIM.2021.3062414" TargetMode="External"/><Relationship Id="rId743" Type="http://schemas.openxmlformats.org/officeDocument/2006/relationships/hyperlink" Target="https://www.scopus.com/inward/record.uri?eid=2-s2.0-84868595858&amp;doi=10.4156%2fijact.vol4.issue19.54&amp;partnerID=40&amp;md5=589e4bf791bb7d217ea6027ffbf741b4;http://dx.doi.org/10.4156/ijact.vol4.issue19.54" TargetMode="External"/><Relationship Id="rId950" Type="http://schemas.openxmlformats.org/officeDocument/2006/relationships/hyperlink" Target="https://www.sciencedirect.com/science/article/pii/S0164121222001844;http:/dx.doi.org/10.1016/j.jss.2022.111508" TargetMode="External"/><Relationship Id="rId1026" Type="http://schemas.openxmlformats.org/officeDocument/2006/relationships/hyperlink" Target="https://www.scopus.com/inward/record.uri?eid=2-s2.0-85129456347&amp;doi=10.1016%2fj.jss.2022.111324&amp;partnerID=40&amp;md5=d1ee3c4d7db360934c312053a0be1dee;http://dx.doi.org/10.1016/j.jss.2022.111324" TargetMode="External"/><Relationship Id="rId1580" Type="http://schemas.openxmlformats.org/officeDocument/2006/relationships/hyperlink" Target="https://www.scopus.com/inward/record.uri?eid=2-s2.0-85118233931&amp;doi=10.1007%2fs10664-021-10051-z&amp;partnerID=40&amp;md5=60ee8216c8d94a47bf71be4b24839ff1;http://dx.doi.org/10.1007/s10664-021-10051-z" TargetMode="External"/><Relationship Id="rId1678" Type="http://schemas.openxmlformats.org/officeDocument/2006/relationships/hyperlink" Target="https://www.scopus.com/inward/record.uri?eid=2-s2.0-85113676757&amp;doi=10.1109%2fMSR52588.2021.00030&amp;partnerID=40&amp;md5=89bd6587de88862245793e28edbd5fcb;http://dx.doi.org/10.1109/MSR52588.2021.00030" TargetMode="External"/><Relationship Id="rId1885" Type="http://schemas.openxmlformats.org/officeDocument/2006/relationships/hyperlink" Target="https://doi.org/10.1145/3127360.3127372;http:/dx.doi.org/10.1145/3127360.3127372" TargetMode="External"/><Relationship Id="rId603" Type="http://schemas.openxmlformats.org/officeDocument/2006/relationships/hyperlink" Target="http://dx.doi.org/10.1145/3524610.3527874" TargetMode="External"/><Relationship Id="rId810" Type="http://schemas.openxmlformats.org/officeDocument/2006/relationships/hyperlink" Target="https://doi.org/10.1145/3379177.3388892;http:/dx.doi.org/10.1145/3379177.3388892" TargetMode="External"/><Relationship Id="rId908" Type="http://schemas.openxmlformats.org/officeDocument/2006/relationships/hyperlink" Target="http://dx.doi.org/10.1109/ACCESS.2022.3196923" TargetMode="External"/><Relationship Id="rId1233" Type="http://schemas.openxmlformats.org/officeDocument/2006/relationships/hyperlink" Target="https://www.scopus.com/inward/record.uri?eid=2-s2.0-85027940986&amp;doi=10.1016%2fj.infsof.2014.07.015&amp;partnerID=40&amp;md5=d8607dcf354e5e19c2159057eb8c9b80;http://dx.doi.org/10.1016/j.infsof.2014.07.015" TargetMode="External"/><Relationship Id="rId1440" Type="http://schemas.openxmlformats.org/officeDocument/2006/relationships/hyperlink" Target="https://doi.org/10.1145/3338468.3356825;http:/dx.doi.org/10.1145/3338468.3356825" TargetMode="External"/><Relationship Id="rId1538" Type="http://schemas.openxmlformats.org/officeDocument/2006/relationships/hyperlink" Target="http://link.springer.com/book/10.1007/978-3-030-91452-3" TargetMode="External"/><Relationship Id="rId1300" Type="http://schemas.openxmlformats.org/officeDocument/2006/relationships/hyperlink" Target="http://dx.doi.org/10.1109/TSE.2022.3214764" TargetMode="External"/><Relationship Id="rId1745" Type="http://schemas.openxmlformats.org/officeDocument/2006/relationships/hyperlink" Target="https://doi.org/10.1145/3426428.3426925;http:/dx.doi.org/10.1145/3426428.3426925" TargetMode="External"/><Relationship Id="rId1952" Type="http://schemas.openxmlformats.org/officeDocument/2006/relationships/hyperlink" Target="https://www.scopus.com/inward/record.uri?eid=2-s2.0-85136925659&amp;doi=10.3390%2fapp12157482&amp;partnerID=40&amp;md5=4c43ef6cf54db27bed12247567f76c4c;http://dx.doi.org/10.3390/app12157482" TargetMode="External"/><Relationship Id="rId37" Type="http://schemas.openxmlformats.org/officeDocument/2006/relationships/hyperlink" Target="https://www.scopus.com/inward/record.uri?eid=2-s2.0-85144822206&amp;doi=10.1016%2fj.jss.2022.111575&amp;partnerID=40&amp;md5=7d40feaac35c2f25b5c56707c0cf4c5a;http://dx.doi.org/10.1016/j.jss.2022.111575" TargetMode="External"/><Relationship Id="rId1605" Type="http://schemas.openxmlformats.org/officeDocument/2006/relationships/hyperlink" Target="http://dx.doi.org/10.1109/CONISOFT52520.2021.00019" TargetMode="External"/><Relationship Id="rId1812" Type="http://schemas.openxmlformats.org/officeDocument/2006/relationships/hyperlink" Target="https://www.scopus.com/inward/record.uri?eid=2-s2.0-85061740114&amp;partnerID=40&amp;md5=3e3623ffe598569020b4ca67f8637c28" TargetMode="External"/><Relationship Id="rId186" Type="http://schemas.openxmlformats.org/officeDocument/2006/relationships/hyperlink" Target="https://www.scopus.com/inward/record.uri?eid=2-s2.0-85111809296&amp;doi=10.1016%2fj.amc.2021.126539&amp;partnerID=40&amp;md5=1f8edde4745d0e3326d461b07ef7e5f0;http://dx.doi.org/10.1016/j.amc.2021.126539" TargetMode="External"/><Relationship Id="rId393" Type="http://schemas.openxmlformats.org/officeDocument/2006/relationships/hyperlink" Target="http://dx.doi.org/10.1109/ICGSE.2015.18" TargetMode="External"/><Relationship Id="rId2074" Type="http://schemas.openxmlformats.org/officeDocument/2006/relationships/hyperlink" Target="http://dx.doi.org/10.1109/TSE.2022.3216279" TargetMode="External"/><Relationship Id="rId253" Type="http://schemas.openxmlformats.org/officeDocument/2006/relationships/hyperlink" Target="https://www.scopus.com/inward/record.uri?eid=2-s2.0-85134882117&amp;doi=10.1109%2fICDEW55742.2022.00010&amp;partnerID=40&amp;md5=ce6e09b887565f27864ec5d52fda846b;http://dx.doi.org/10.1109/ICDEW55742.2022.00010" TargetMode="External"/><Relationship Id="rId460" Type="http://schemas.openxmlformats.org/officeDocument/2006/relationships/hyperlink" Target="https://www.scopus.com/inward/record.uri?eid=2-s2.0-85057852491&amp;doi=10.1109%2fTSE.2018.2883603&amp;partnerID=40&amp;md5=1dd8327aba9f59450939b8afa8282ab7;http://dx.doi.org/10.1109/TSE.2018.2883603" TargetMode="External"/><Relationship Id="rId698" Type="http://schemas.openxmlformats.org/officeDocument/2006/relationships/hyperlink" Target="http://dx.doi.org/10.1007/s10664-021-10110-5" TargetMode="External"/><Relationship Id="rId1090" Type="http://schemas.openxmlformats.org/officeDocument/2006/relationships/hyperlink" Target="https://www.sciencedirect.com/science/article/pii/S095741742030912X;http:/dx.doi.org/10.1016/j.eswa.2020.114176" TargetMode="External"/><Relationship Id="rId2141" Type="http://schemas.openxmlformats.org/officeDocument/2006/relationships/hyperlink" Target="https://doi.org/10.1145/3524842.3528469;http:/dx.doi.org/10.1145/3524842.3528469" TargetMode="External"/><Relationship Id="rId113" Type="http://schemas.openxmlformats.org/officeDocument/2006/relationships/hyperlink" Target="https://www.scopus.com/inward/record.uri?eid=2-s2.0-85145195886&amp;doi=10.1016%2fj.procir.2022.10.062&amp;partnerID=40&amp;md5=b113cca22bbc100c5dce5c2f1ab856ea;http://dx.doi.org/10.1016/j.procir.2022.10.062" TargetMode="External"/><Relationship Id="rId320" Type="http://schemas.openxmlformats.org/officeDocument/2006/relationships/hyperlink" Target="https://www.scopus.com/inward/record.uri?eid=2-s2.0-85131438314&amp;doi=10.1016%2fj.softx.2022.101113&amp;partnerID=40&amp;md5=3743d4c140bc0b123ee54ada82f7f857;http://dx.doi.org/10.1016/j.softx.2022.101113" TargetMode="External"/><Relationship Id="rId558" Type="http://schemas.openxmlformats.org/officeDocument/2006/relationships/hyperlink" Target="https://www.scopus.com/inward/record.uri?eid=2-s2.0-85136171774&amp;doi=10.5220%2f0010800900003182&amp;partnerID=40&amp;md5=ebcae109f6d28a22e099817431223138;http://dx.doi.org/10.5220/0010800900003182" TargetMode="External"/><Relationship Id="rId765" Type="http://schemas.openxmlformats.org/officeDocument/2006/relationships/hyperlink" Target="https://www.scopus.com/inward/record.uri?eid=2-s2.0-85105369998&amp;doi=10.1109%2fTASE49443.2020.00012&amp;partnerID=40&amp;md5=4698bb49666119a0b843832b20db9c1c;http://dx.doi.org/10.1109/TASE49443.2020.00012" TargetMode="External"/><Relationship Id="rId972" Type="http://schemas.openxmlformats.org/officeDocument/2006/relationships/hyperlink" Target="https://www.scopus.com/inward/record.uri?eid=2-s2.0-85108027397&amp;doi=10.1109%2fISPA-BDCloud-SocialCom-SustainCom51426.2020.00082&amp;partnerID=40&amp;md5=d0b56a02fc3e4e08a430cbb9dd28cbd1;http://dx.doi.org/10.1109/ISPA-BDCloud-SocialCom-SustainCom51426.2020.00082" TargetMode="External"/><Relationship Id="rId1188" Type="http://schemas.openxmlformats.org/officeDocument/2006/relationships/hyperlink" Target="http://link.springer.com/chapter/10.1007/978-3-319-23850-0_6" TargetMode="External"/><Relationship Id="rId1395" Type="http://schemas.openxmlformats.org/officeDocument/2006/relationships/hyperlink" Target="https://www.scopus.com/inward/record.uri?eid=2-s2.0-85009812066&amp;doi=10.1109%2fISSREW.2016.43&amp;partnerID=40&amp;md5=ff20df4eca8118cbca210f65f564b65b;http://dx.doi.org/10.1109/ISSREW.2016.43" TargetMode="External"/><Relationship Id="rId2001" Type="http://schemas.openxmlformats.org/officeDocument/2006/relationships/hyperlink" Target="https://www.scopus.com/inward/record.uri?eid=2-s2.0-85087660549&amp;doi=10.1007%2f978-3-030-36918-7&amp;partnerID=40&amp;md5=ecc55b8840417906879aad2b721c5cd7;http://dx.doi.org/10.1007/978-3-030-36918-7" TargetMode="External"/><Relationship Id="rId418" Type="http://schemas.openxmlformats.org/officeDocument/2006/relationships/hyperlink" Target="https://www.sciencedirect.com/science/article/pii/S0164121217301772;http:/dx.doi.org/10.1016/j.jss.2017.08.017" TargetMode="External"/><Relationship Id="rId625" Type="http://schemas.openxmlformats.org/officeDocument/2006/relationships/hyperlink" Target="http://link.springer.com/book/10.1007/978-3-030-93856-7" TargetMode="External"/><Relationship Id="rId832" Type="http://schemas.openxmlformats.org/officeDocument/2006/relationships/hyperlink" Target="https://doi.org/10.1109/ICSE.2019.00032;http:/dx.doi.org/10.1109/ICSE.2019.00032" TargetMode="External"/><Relationship Id="rId1048" Type="http://schemas.openxmlformats.org/officeDocument/2006/relationships/hyperlink" Target="https://www.sciencedirect.com/science/article/pii/S0950584922001513;http:/dx.doi.org/10.1016/j.infsof.2022.107034" TargetMode="External"/><Relationship Id="rId1255" Type="http://schemas.openxmlformats.org/officeDocument/2006/relationships/hyperlink" Target="http://dx.doi.org/10.1109/WAIN52551.2021.00008" TargetMode="External"/><Relationship Id="rId1462" Type="http://schemas.openxmlformats.org/officeDocument/2006/relationships/hyperlink" Target="https://www.sciencedirect.com/science/article/pii/S0167739X22003223;http:/dx.doi.org/10.1016/j.future.2022.10.008" TargetMode="External"/><Relationship Id="rId1115" Type="http://schemas.openxmlformats.org/officeDocument/2006/relationships/hyperlink" Target="https://www.scopus.com/inward/record.uri?eid=2-s2.0-85019111869&amp;doi=10.1007%2fs10664-017-9522-4&amp;partnerID=40&amp;md5=bf81dd210ee56c037ad5dcc46f13b901;http://dx.doi.org/10.1007/s10664-017-9522-4" TargetMode="External"/><Relationship Id="rId1322" Type="http://schemas.openxmlformats.org/officeDocument/2006/relationships/hyperlink" Target="https://www.scopus.com/inward/record.uri?eid=2-s2.0-85105952800&amp;doi=10.1007%2f978-3-030-73103-8_9&amp;partnerID=40&amp;md5=cf09c02673d92fba921d1d138ff9e0b9;http://dx.doi.org/10.1007/978-3-030-73103-8_9" TargetMode="External"/><Relationship Id="rId1767" Type="http://schemas.openxmlformats.org/officeDocument/2006/relationships/hyperlink" Target="https://www.scopus.com/inward/record.uri?eid=2-s2.0-85111259233&amp;doi=10.1186%2fs13174-021-00134-x&amp;partnerID=40&amp;md5=5c136ceacd6b205d6983203370b97239;http://dx.doi.org/10.1186/s13174-021-00134-x" TargetMode="External"/><Relationship Id="rId1974" Type="http://schemas.openxmlformats.org/officeDocument/2006/relationships/hyperlink" Target="http://dx.doi.org/10.1109/MS.2018.4321235" TargetMode="External"/><Relationship Id="rId59" Type="http://schemas.openxmlformats.org/officeDocument/2006/relationships/hyperlink" Target="https://www.sciencedirect.com/science/article/pii/S0950584919302289;http:/dx.doi.org/10.1016/j.infsof.2019.106218" TargetMode="External"/><Relationship Id="rId1627" Type="http://schemas.openxmlformats.org/officeDocument/2006/relationships/hyperlink" Target="http://link.springer.com/book/10.1007/978-3-030-44999-5" TargetMode="External"/><Relationship Id="rId1834" Type="http://schemas.openxmlformats.org/officeDocument/2006/relationships/hyperlink" Target="http://link.springer.com/book/10.1007/978-1-4842-7252-7" TargetMode="External"/><Relationship Id="rId2096" Type="http://schemas.openxmlformats.org/officeDocument/2006/relationships/hyperlink" Target="https://www.scopus.com/inward/record.uri?eid=2-s2.0-85133424746&amp;doi=10.1145%2f3522664.3528603&amp;partnerID=40&amp;md5=58190cd0bd430f7525b822fd40c4f058;http://dx.doi.org/10.1145/3522664.3528603" TargetMode="External"/><Relationship Id="rId1901" Type="http://schemas.openxmlformats.org/officeDocument/2006/relationships/hyperlink" Target="http://dx.doi.org/10.1109/MS.2021.3133734" TargetMode="External"/><Relationship Id="rId275" Type="http://schemas.openxmlformats.org/officeDocument/2006/relationships/hyperlink" Target="http://link.springer.com/article/10.1007/s10664-018-9615-8" TargetMode="External"/><Relationship Id="rId482" Type="http://schemas.openxmlformats.org/officeDocument/2006/relationships/hyperlink" Target="https://www.scopus.com/inward/record.uri?eid=2-s2.0-85142676326&amp;doi=10.1109%2fWiMob55322.2022.9941679&amp;partnerID=40&amp;md5=ffeebd57cd963a1cd94ec48e1e7c56b7;http://dx.doi.org/10.1109/WiMob55322.2022.9941679" TargetMode="External"/><Relationship Id="rId2163" Type="http://schemas.openxmlformats.org/officeDocument/2006/relationships/hyperlink" Target="https://doi.org/10.1145/3474370.3485659;http:/dx.doi.org/10.1145/3474370.3485659" TargetMode="External"/><Relationship Id="rId135" Type="http://schemas.openxmlformats.org/officeDocument/2006/relationships/hyperlink" Target="https://www.sciencedirect.com/science/article/pii/B9780128042069000179;http:/dx.doi.org/10.1016/B978-0-12-804206-9.00017-9" TargetMode="External"/><Relationship Id="rId342" Type="http://schemas.openxmlformats.org/officeDocument/2006/relationships/hyperlink" Target="http://dx.doi.org/10.1109/ICSA-C.2019.00053" TargetMode="External"/><Relationship Id="rId787" Type="http://schemas.openxmlformats.org/officeDocument/2006/relationships/hyperlink" Target="https://www.scopus.com/inward/record.uri?eid=2-s2.0-85093119961&amp;doi=10.1145%2f3387906.3388618&amp;partnerID=40&amp;md5=7504ccfec1b9932ac98031ae9df71572;http://dx.doi.org/10.1145/3387906.3388618" TargetMode="External"/><Relationship Id="rId994" Type="http://schemas.openxmlformats.org/officeDocument/2006/relationships/hyperlink" Target="http://link.springer.com/book/10.1007/978-3-031-19429-0" TargetMode="External"/><Relationship Id="rId2023" Type="http://schemas.openxmlformats.org/officeDocument/2006/relationships/hyperlink" Target="https://www.scopus.com/inward/record.uri?eid=2-s2.0-85034272704&amp;doi=10.1109%2fTSE.2017.2770122&amp;partnerID=40&amp;md5=6c8be47eecf246e1d0d4970438460843;http://dx.doi.org/10.1109/TSE.2017.2770122" TargetMode="External"/><Relationship Id="rId202" Type="http://schemas.openxmlformats.org/officeDocument/2006/relationships/hyperlink" Target="https://www.scopus.com/inward/record.uri?eid=2-s2.0-85096208082&amp;partnerID=40&amp;md5=9aadf7cfafe4bc00404f44bf0de4db4c" TargetMode="External"/><Relationship Id="rId647" Type="http://schemas.openxmlformats.org/officeDocument/2006/relationships/hyperlink" Target="https://doi.org/10.1145/3368089.3409709;http:/dx.doi.org/10.1145/3368089.3409709" TargetMode="External"/><Relationship Id="rId854" Type="http://schemas.openxmlformats.org/officeDocument/2006/relationships/hyperlink" Target="http://link.springer.com/book/10.1007/978-981-16-8866-9" TargetMode="External"/><Relationship Id="rId1277" Type="http://schemas.openxmlformats.org/officeDocument/2006/relationships/hyperlink" Target="https://www.scopus.com/inward/record.uri?eid=2-s2.0-85066469510&amp;doi=10.1109%2fICSA-C.2019.00055&amp;partnerID=40&amp;md5=c7a340258c4698a2627f1d507069d861;http://dx.doi.org/10.1109/ICSA-C.2019.00055" TargetMode="External"/><Relationship Id="rId1484" Type="http://schemas.openxmlformats.org/officeDocument/2006/relationships/hyperlink" Target="https://www.scopus.com/inward/record.uri?eid=2-s2.0-85060254810&amp;partnerID=40&amp;md5=01ebbc18f8a113b3506a1517367862f0" TargetMode="External"/><Relationship Id="rId1691" Type="http://schemas.openxmlformats.org/officeDocument/2006/relationships/hyperlink" Target="https://www.scopus.com/inward/record.uri?eid=2-s2.0-85051677013&amp;doi=10.1145%2f3195555.3195562&amp;partnerID=40&amp;md5=399ade8ebe06d485719a7dd517c847ef;http://dx.doi.org/10.1145/3195555.3195562" TargetMode="External"/><Relationship Id="rId507" Type="http://schemas.openxmlformats.org/officeDocument/2006/relationships/hyperlink" Target="http://dx.doi.org/10.1109/IWoR.2019.00017" TargetMode="External"/><Relationship Id="rId714" Type="http://schemas.openxmlformats.org/officeDocument/2006/relationships/hyperlink" Target="http://link.springer.com/chapter/10.1007/978-3-031-02063-6_3" TargetMode="External"/><Relationship Id="rId921" Type="http://schemas.openxmlformats.org/officeDocument/2006/relationships/hyperlink" Target="https://www.scopus.com/inward/record.uri?eid=2-s2.0-85132973032&amp;doi=10.1145%2f3531146.3533233&amp;partnerID=40&amp;md5=9e21497ca3771ba71cf57ac1ea6e5296;http://dx.doi.org/10.1145/3531146.3533233" TargetMode="External"/><Relationship Id="rId1137" Type="http://schemas.openxmlformats.org/officeDocument/2006/relationships/hyperlink" Target="http://dx.doi.org/10.1109/CSIT.2018.8486180" TargetMode="External"/><Relationship Id="rId1344" Type="http://schemas.openxmlformats.org/officeDocument/2006/relationships/hyperlink" Target="https://doi.org/10.1145/3313151.3313166;http:/dx.doi.org/10.1145/3313151.3313166" TargetMode="External"/><Relationship Id="rId1551" Type="http://schemas.openxmlformats.org/officeDocument/2006/relationships/hyperlink" Target="https://www.scopus.com/inward/record.uri?eid=2-s2.0-85017153682&amp;partnerID=40&amp;md5=d9d0a2a0f0bf6a407ddf95fc0b47c9ac" TargetMode="External"/><Relationship Id="rId1789" Type="http://schemas.openxmlformats.org/officeDocument/2006/relationships/hyperlink" Target="https://www.scopus.com/inward/record.uri?eid=2-s2.0-85127556940&amp;doi=10.1109%2fMC.2021.3137227&amp;partnerID=40&amp;md5=3eb34e179a76702bdadd740d865d7ff6;http://dx.doi.org/10.1109/MC.2021.3137227" TargetMode="External"/><Relationship Id="rId1996" Type="http://schemas.openxmlformats.org/officeDocument/2006/relationships/hyperlink" Target="https://doi.org/10.1145/3316776;http:/dx.doi.org/10.1145/3316776" TargetMode="External"/><Relationship Id="rId50" Type="http://schemas.openxmlformats.org/officeDocument/2006/relationships/hyperlink" Target="https://www.scopus.com/inward/record.uri?eid=2-s2.0-85100077295&amp;doi=10.1007%2fs42979-020-00405-7&amp;partnerID=40&amp;md5=24405d61b18e233b5b027418cfe81865;http://dx.doi.org/10.1007/s42979-020-00405-7" TargetMode="External"/><Relationship Id="rId1204" Type="http://schemas.openxmlformats.org/officeDocument/2006/relationships/hyperlink" Target="https://www.scopus.com/inward/record.uri?eid=2-s2.0-85091330297&amp;doi=10.1007%2f978-3-030-58703-1_17&amp;partnerID=40&amp;md5=8a2ee228a80752d0dc465ea71eb0bb88;http://dx.doi.org/10.1007/978-3-030-58703-1_17" TargetMode="External"/><Relationship Id="rId1411" Type="http://schemas.openxmlformats.org/officeDocument/2006/relationships/hyperlink" Target="http://link.springer.com/chapter/10.1007/978-3-031-19756-7_17" TargetMode="External"/><Relationship Id="rId1649" Type="http://schemas.openxmlformats.org/officeDocument/2006/relationships/hyperlink" Target="http://dx.doi.org/10.1109/TSE.2022.3184842" TargetMode="External"/><Relationship Id="rId1856" Type="http://schemas.openxmlformats.org/officeDocument/2006/relationships/hyperlink" Target="http://dx.doi.org/10.1109/MS.2020.3028678" TargetMode="External"/><Relationship Id="rId1509" Type="http://schemas.openxmlformats.org/officeDocument/2006/relationships/hyperlink" Target="http://link.springer.com/book/10.1007/978-3-031-05347-4" TargetMode="External"/><Relationship Id="rId1716" Type="http://schemas.openxmlformats.org/officeDocument/2006/relationships/hyperlink" Target="http://link.springer.com/book/10.1007/978-3-658-25210-6" TargetMode="External"/><Relationship Id="rId1923" Type="http://schemas.openxmlformats.org/officeDocument/2006/relationships/hyperlink" Target="https://www.scopus.com/inward/record.uri?eid=2-s2.0-85101002659&amp;doi=10.1109%2fACCESS.2020.3036037&amp;partnerID=40&amp;md5=f441f8f89999a4f9baeab92fa891d63d;http://dx.doi.org/10.1109/ACCESS.2020.3036037" TargetMode="External"/><Relationship Id="rId297" Type="http://schemas.openxmlformats.org/officeDocument/2006/relationships/hyperlink" Target="http://link.springer.com/chapter/10.1007/978-3-030-86044-8_8" TargetMode="External"/><Relationship Id="rId2185" Type="http://schemas.openxmlformats.org/officeDocument/2006/relationships/hyperlink" Target="https://www.scopus.com/inward/record.uri?eid=2-s2.0-85034432549&amp;doi=10.1109%2fSEAA.2017.15&amp;partnerID=40&amp;md5=45c23c07014a9deea0ed21eebd3ec72a;http://dx.doi.org/10.1109/SEAA.2017.15" TargetMode="External"/><Relationship Id="rId157" Type="http://schemas.openxmlformats.org/officeDocument/2006/relationships/hyperlink" Target="http://link.springer.com/article/10.1007/s12650-020-00647-w" TargetMode="External"/><Relationship Id="rId364" Type="http://schemas.openxmlformats.org/officeDocument/2006/relationships/hyperlink" Target="https://www.scopus.com/inward/record.uri?eid=2-s2.0-85064869442&amp;doi=10.1016%2fj.jss.2019.04.066&amp;partnerID=40&amp;md5=8334052a5794276a00b59c0c89ab5a37;http://dx.doi.org/10.1016/j.jss.2019.04.066" TargetMode="External"/><Relationship Id="rId2045" Type="http://schemas.openxmlformats.org/officeDocument/2006/relationships/hyperlink" Target="https://www.sciencedirect.com/science/article/pii/S1877050919307203;http:/dx.doi.org/10.1016/j.procs.2019.05.061" TargetMode="External"/><Relationship Id="rId571" Type="http://schemas.openxmlformats.org/officeDocument/2006/relationships/hyperlink" Target="https://doi.org/10.1145/2666581.2666583;http:/dx.doi.org/10.1145/2666581.2666583" TargetMode="External"/><Relationship Id="rId669" Type="http://schemas.openxmlformats.org/officeDocument/2006/relationships/hyperlink" Target="https://www.sciencedirect.com/science/article/pii/B9780124080898000124;http:/dx.doi.org/10.1016/B978-0-12-408089-8.00012-4" TargetMode="External"/><Relationship Id="rId876" Type="http://schemas.openxmlformats.org/officeDocument/2006/relationships/hyperlink" Target="https://www.scopus.com/inward/record.uri?eid=2-s2.0-85112863573&amp;doi=10.1109%2fSEmotion52567.2021.00011&amp;partnerID=40&amp;md5=1ca98f10116a190c60bb7418d3f9f333;http://dx.doi.org/10.1109/SEmotion52567.2021.00011" TargetMode="External"/><Relationship Id="rId1299" Type="http://schemas.openxmlformats.org/officeDocument/2006/relationships/hyperlink" Target="https://www.scopus.com/inward/record.uri?eid=2-s2.0-85140768355&amp;doi=10.1109%2fTSE.2022.3214764&amp;partnerID=40&amp;md5=9fce7275e531f9a22b02c8a6c8590670;http://dx.doi.org/10.1109/TSE.2022.3214764" TargetMode="External"/><Relationship Id="rId224" Type="http://schemas.openxmlformats.org/officeDocument/2006/relationships/hyperlink" Target="http://link.springer.com/book/10.1007/978-3-030-19034-7" TargetMode="External"/><Relationship Id="rId431" Type="http://schemas.openxmlformats.org/officeDocument/2006/relationships/hyperlink" Target="https://www.scopus.com/inward/record.uri?eid=2-s2.0-85046362904&amp;doi=10.1109%2fTSE.2018.2831232&amp;partnerID=40&amp;md5=333fc3e9214c2d64801569958528ab9c;http://dx.doi.org/10.1109/TSE.2018.2831232" TargetMode="External"/><Relationship Id="rId529" Type="http://schemas.openxmlformats.org/officeDocument/2006/relationships/hyperlink" Target="http://dx.doi.org/10.1145/3524842.3528455" TargetMode="External"/><Relationship Id="rId736" Type="http://schemas.openxmlformats.org/officeDocument/2006/relationships/hyperlink" Target="http://dx.doi.org/10.1109/MS.2021.3103326" TargetMode="External"/><Relationship Id="rId1061" Type="http://schemas.openxmlformats.org/officeDocument/2006/relationships/hyperlink" Target="https://www.scopus.com/inward/record.uri?eid=2-s2.0-85116297167&amp;doi=10.1145%2f3468264.3473922&amp;partnerID=40&amp;md5=7621c921868ff843237b2ef5213e0e7c;http://dx.doi.org/10.1145/3468264.3473922" TargetMode="External"/><Relationship Id="rId1159" Type="http://schemas.openxmlformats.org/officeDocument/2006/relationships/hyperlink" Target="https://doi.org/10.1145/3494519;http:/dx.doi.org/10.1145/3494519" TargetMode="External"/><Relationship Id="rId1366" Type="http://schemas.openxmlformats.org/officeDocument/2006/relationships/hyperlink" Target="https://www.scopus.com/inward/record.uri?eid=2-s2.0-85113265376&amp;doi=10.1109%2fICPC52881.2021.00029&amp;partnerID=40&amp;md5=4841a5fce6ad58c21a93e016bb2a095b;http://dx.doi.org/10.1109/ICPC52881.2021.00029" TargetMode="External"/><Relationship Id="rId2112" Type="http://schemas.openxmlformats.org/officeDocument/2006/relationships/hyperlink" Target="https://www.scopus.com/inward/record.uri?eid=2-s2.0-85116222356&amp;doi=10.1145%2f3468264.3473099&amp;partnerID=40&amp;md5=244f6b3170ba17eda024d2ade7a25a58;http://dx.doi.org/10.1145/3468264.3473099" TargetMode="External"/><Relationship Id="rId943" Type="http://schemas.openxmlformats.org/officeDocument/2006/relationships/hyperlink" Target="https://doi.org/10.1145/3173574.3173606;http:/dx.doi.org/10.1145/3173574.3173606" TargetMode="External"/><Relationship Id="rId1019" Type="http://schemas.openxmlformats.org/officeDocument/2006/relationships/hyperlink" Target="http://link.springer.com/book/10.1007/978-3-662-57611-3" TargetMode="External"/><Relationship Id="rId1573" Type="http://schemas.openxmlformats.org/officeDocument/2006/relationships/hyperlink" Target="http://link.springer.com/chapter/10.1007/978-1-4842-3751-9_9" TargetMode="External"/><Relationship Id="rId1780" Type="http://schemas.openxmlformats.org/officeDocument/2006/relationships/hyperlink" Target="http://link.springer.com/book/10.1007/978-3-031-04115-0" TargetMode="External"/><Relationship Id="rId1878" Type="http://schemas.openxmlformats.org/officeDocument/2006/relationships/hyperlink" Target="https://www.scopus.com/inward/record.uri?eid=2-s2.0-85116010167&amp;doi=10.1007%2f978-3-030-87007-2_22&amp;partnerID=40&amp;md5=006267f393429147a4517f2b43d3299c;http://dx.doi.org/10.1007/978-3-030-87007-2_22" TargetMode="External"/><Relationship Id="rId72" Type="http://schemas.openxmlformats.org/officeDocument/2006/relationships/hyperlink" Target="https://www.scopus.com/inward/record.uri?eid=2-s2.0-85065542163&amp;doi=10.1016%2fj.scico.2019.05.002&amp;partnerID=40&amp;md5=0aa675929b8fce697b1de4ff272bb33b;http://dx.doi.org/10.1016/j.scico.2019.05.002" TargetMode="External"/><Relationship Id="rId803" Type="http://schemas.openxmlformats.org/officeDocument/2006/relationships/hyperlink" Target="https://www.scopus.com/inward/record.uri?eid=2-s2.0-85093084744&amp;doi=10.1109%2fICRITO48877.2020.9197868&amp;partnerID=40&amp;md5=01de343202350ecdf1747a86eded5cba;http://dx.doi.org/10.1109/ICRITO48877.2020.9197868" TargetMode="External"/><Relationship Id="rId1226" Type="http://schemas.openxmlformats.org/officeDocument/2006/relationships/hyperlink" Target="https://www.scopus.com/inward/record.uri?eid=2-s2.0-85130230261&amp;doi=10.1007%2f978-3-031-04829-6_13&amp;partnerID=40&amp;md5=fa7d3f8c0353bd6e3bfe56c6fcee07df;http://dx.doi.org/10.1007/978-3-031-04829-6_13" TargetMode="External"/><Relationship Id="rId1433" Type="http://schemas.openxmlformats.org/officeDocument/2006/relationships/hyperlink" Target="https://www.scopus.com/inward/record.uri?eid=2-s2.0-85097139899&amp;doi=10.1145%2f3368089.3409692&amp;partnerID=40&amp;md5=cb82bb570d4a68ad5d6e39d28086f867;http://dx.doi.org/10.1145/3368089.3409692" TargetMode="External"/><Relationship Id="rId1640" Type="http://schemas.openxmlformats.org/officeDocument/2006/relationships/hyperlink" Target="https://www.sciencedirect.com/science/article/pii/S016412121930202X;http:/dx.doi.org/10.1016/j.jss.2019.110428" TargetMode="External"/><Relationship Id="rId1738" Type="http://schemas.openxmlformats.org/officeDocument/2006/relationships/hyperlink" Target="https://www.scopus.com/inward/record.uri?eid=2-s2.0-85100249613&amp;doi=10.1109%2f3ICT51146.2020.9311978&amp;partnerID=40&amp;md5=1832d73521c6f12bc9c848a1637b63b5;http://dx.doi.org/10.1109/3ICT51146.2020.9311978" TargetMode="External"/><Relationship Id="rId1500" Type="http://schemas.openxmlformats.org/officeDocument/2006/relationships/hyperlink" Target="https://www.scopus.com/inward/record.uri?eid=2-s2.0-85062324873&amp;partnerID=40&amp;md5=362500e663e18919bb737be67017b1ef" TargetMode="External"/><Relationship Id="rId1945" Type="http://schemas.openxmlformats.org/officeDocument/2006/relationships/hyperlink" Target="https://doi.org/10.1145/3475716.3475784;http:/dx.doi.org/10.1145/3475716.3475784" TargetMode="External"/><Relationship Id="rId1805" Type="http://schemas.openxmlformats.org/officeDocument/2006/relationships/hyperlink" Target="https://www.sciencedirect.com/science/article/pii/S0164121218302681;http:/dx.doi.org/10.1016/j.jss.2018.12.006" TargetMode="External"/><Relationship Id="rId179" Type="http://schemas.openxmlformats.org/officeDocument/2006/relationships/hyperlink" Target="https://www.scopus.com/inward/record.uri?eid=2-s2.0-85111378880&amp;doi=10.1109%2fAERO50100.2021.9438359&amp;partnerID=40&amp;md5=74af6a9138336b3c7ff7cab6918360d2;http://dx.doi.org/10.1109/AERO50100.2021.9438359" TargetMode="External"/><Relationship Id="rId386" Type="http://schemas.openxmlformats.org/officeDocument/2006/relationships/hyperlink" Target="https://www.scopus.com/inward/record.uri?eid=2-s2.0-85100941930&amp;doi=10.1007%2fs10462-020-09942-2&amp;partnerID=40&amp;md5=7830d08c29f6505be6357f6ef3a80856;http://dx.doi.org/10.1007/s10462-020-09942-2" TargetMode="External"/><Relationship Id="rId593" Type="http://schemas.openxmlformats.org/officeDocument/2006/relationships/hyperlink" Target="http://link.springer.com/article/10.1007/s11831-021-09566-x" TargetMode="External"/><Relationship Id="rId2067" Type="http://schemas.openxmlformats.org/officeDocument/2006/relationships/hyperlink" Target="https://www.scopus.com/inward/record.uri?eid=2-s2.0-85119201202&amp;doi=10.1109%2fSEAA53835.2021.00050&amp;partnerID=40&amp;md5=14b048530f744c613608b5f7ac8f82cf;http://dx.doi.org/10.1109/SEAA53835.2021.00050" TargetMode="External"/><Relationship Id="rId246" Type="http://schemas.openxmlformats.org/officeDocument/2006/relationships/hyperlink" Target="https://www.scopus.com/inward/record.uri?eid=2-s2.0-85093646767&amp;doi=10.1145%2f3379597.3387448&amp;partnerID=40&amp;md5=6d778f6e5b3f863f5617638a54f2f921;http://dx.doi.org/10.1145/3379597.3387448" TargetMode="External"/><Relationship Id="rId453" Type="http://schemas.openxmlformats.org/officeDocument/2006/relationships/hyperlink" Target="https://www.scopus.com/inward/record.uri?eid=2-s2.0-85075945842&amp;doi=10.1109%2fMODELS-C.2019.00047&amp;partnerID=40&amp;md5=83cafd09cf7d406df4e10484612a43e4;http://dx.doi.org/10.1109/MODELS-C.2019.00047" TargetMode="External"/><Relationship Id="rId660" Type="http://schemas.openxmlformats.org/officeDocument/2006/relationships/hyperlink" Target="https://www.sciencedirect.com/science/article/pii/B9780124080942000138;http:/dx.doi.org/10.1016/B978-0-12-408094-2.00013-8" TargetMode="External"/><Relationship Id="rId898" Type="http://schemas.openxmlformats.org/officeDocument/2006/relationships/hyperlink" Target="http://link.springer.com/book/10.1007/978-3-030-84589-6" TargetMode="External"/><Relationship Id="rId1083" Type="http://schemas.openxmlformats.org/officeDocument/2006/relationships/hyperlink" Target="https://www.scopus.com/inward/record.uri?eid=2-s2.0-85110459361&amp;doi=10.1145%2f3463934&amp;partnerID=40&amp;md5=385ea0093a63086a0dbc8814e2f74ed6;http://dx.doi.org/10.1145/3463934" TargetMode="External"/><Relationship Id="rId1290" Type="http://schemas.openxmlformats.org/officeDocument/2006/relationships/hyperlink" Target="http://link.springer.com/chapter/10.1007/978-3-030-03673-7_33" TargetMode="External"/><Relationship Id="rId2134" Type="http://schemas.openxmlformats.org/officeDocument/2006/relationships/hyperlink" Target="http://dx.doi.org/10.1109/VISSOFT52517.2021.00018" TargetMode="External"/><Relationship Id="rId106" Type="http://schemas.openxmlformats.org/officeDocument/2006/relationships/hyperlink" Target="http://dx.doi.org/10.1109/ICSE-Companion52605.2021.00124" TargetMode="External"/><Relationship Id="rId313" Type="http://schemas.openxmlformats.org/officeDocument/2006/relationships/hyperlink" Target="http://link.springer.com/chapter/10.1007/978-3-031-21388-5_20" TargetMode="External"/><Relationship Id="rId758" Type="http://schemas.openxmlformats.org/officeDocument/2006/relationships/hyperlink" Target="https://www.scopus.com/inward/record.uri?eid=2-s2.0-85101464715&amp;doi=10.1088%2f2632-2153%2fabd614&amp;partnerID=40&amp;md5=0314ae54375d899eecd46cb3ed417ab5;http://dx.doi.org/10.1088/2632-2153/abd614" TargetMode="External"/><Relationship Id="rId965" Type="http://schemas.openxmlformats.org/officeDocument/2006/relationships/hyperlink" Target="http://dx.doi.org/10.1109/eScience55777.2022.00090" TargetMode="External"/><Relationship Id="rId1150" Type="http://schemas.openxmlformats.org/officeDocument/2006/relationships/hyperlink" Target="http://link.springer.com/article/10.1007/s11219-020-09540-z" TargetMode="External"/><Relationship Id="rId1388" Type="http://schemas.openxmlformats.org/officeDocument/2006/relationships/hyperlink" Target="https://www.scopus.com/inward/record.uri?eid=2-s2.0-85076755704&amp;doi=10.1145%2f3359591.3359739&amp;partnerID=40&amp;md5=a65381c51f81f6139909c2f22fb6b6b6;http://dx.doi.org/10.1145/3359591.3359739" TargetMode="External"/><Relationship Id="rId1595" Type="http://schemas.openxmlformats.org/officeDocument/2006/relationships/hyperlink" Target="http://dx.doi.org/10.1142/S021819402150008X" TargetMode="External"/><Relationship Id="rId94" Type="http://schemas.openxmlformats.org/officeDocument/2006/relationships/hyperlink" Target="http://dx.doi.org/10.1109/REW.2019.00011" TargetMode="External"/><Relationship Id="rId520" Type="http://schemas.openxmlformats.org/officeDocument/2006/relationships/hyperlink" Target="https://www.scopus.com/inward/record.uri?eid=2-s2.0-84904626790&amp;doi=10.1002%2fsmr.1639&amp;partnerID=40&amp;md5=669ee13b2e7dc7b4bb3b934501674ad7;http://dx.doi.org/10.1002/smr.1639" TargetMode="External"/><Relationship Id="rId618" Type="http://schemas.openxmlformats.org/officeDocument/2006/relationships/hyperlink" Target="https://www.scopus.com/inward/record.uri?eid=2-s2.0-85089306504&amp;doi=10.1155%2f2020%2f2976564&amp;partnerID=40&amp;md5=3edcf276fefc59def5d9c64479ece8f5;http://dx.doi.org/10.1155/2020/2976564" TargetMode="External"/><Relationship Id="rId825" Type="http://schemas.openxmlformats.org/officeDocument/2006/relationships/hyperlink" Target="http://link.springer.com/chapter/10.1007/978-3-030-78821-6_2" TargetMode="External"/><Relationship Id="rId1248" Type="http://schemas.openxmlformats.org/officeDocument/2006/relationships/hyperlink" Target="https://www.scopus.com/inward/record.uri?eid=2-s2.0-85090135552&amp;doi=10.1109%2fCVPRW50498.2020.00170&amp;partnerID=40&amp;md5=2402f64426e6e27cd11c23610714661a;http://dx.doi.org/10.1109/CVPRW50498.2020.00170" TargetMode="External"/><Relationship Id="rId1455" Type="http://schemas.openxmlformats.org/officeDocument/2006/relationships/hyperlink" Target="http://dx.doi.org/10.1109/MSP.2018.2875349" TargetMode="External"/><Relationship Id="rId1662" Type="http://schemas.openxmlformats.org/officeDocument/2006/relationships/hyperlink" Target="http://link.springer.com/chapter/10.1007/978-3-030-59155-7_8" TargetMode="External"/><Relationship Id="rId1010" Type="http://schemas.openxmlformats.org/officeDocument/2006/relationships/hyperlink" Target="https://www.sciencedirect.com/science/article/pii/S0164121219301980;http:/dx.doi.org/10.1016/j.jss.2019.110424" TargetMode="External"/><Relationship Id="rId1108" Type="http://schemas.openxmlformats.org/officeDocument/2006/relationships/hyperlink" Target="https://www.scopus.com/inward/record.uri?eid=2-s2.0-85135130833&amp;doi=10.1016%2fj.engappai.2022.105209&amp;partnerID=40&amp;md5=dfeac6767cd0654f1ee0925e2fe7c8ef;http://dx.doi.org/10.1016/j.engappai.2022.105209" TargetMode="External"/><Relationship Id="rId1315" Type="http://schemas.openxmlformats.org/officeDocument/2006/relationships/hyperlink" Target="http://link.springer.com/book/10.1007/978-3-030-98876-0" TargetMode="External"/><Relationship Id="rId1967" Type="http://schemas.openxmlformats.org/officeDocument/2006/relationships/hyperlink" Target="http://link.springer.com/referencework/10.1007/978-3-030-29980-4" TargetMode="External"/><Relationship Id="rId1522" Type="http://schemas.openxmlformats.org/officeDocument/2006/relationships/hyperlink" Target="https://www.scopus.com/inward/record.uri?eid=2-s2.0-85090886014&amp;doi=10.1145%2f3410352.3410730&amp;partnerID=40&amp;md5=0cbecc85be120b365b021150c17e1f4b;http://dx.doi.org/10.1145/3410352.3410730" TargetMode="External"/><Relationship Id="rId21" Type="http://schemas.openxmlformats.org/officeDocument/2006/relationships/hyperlink" Target="https://www.scopus.com/inward/record.uri?eid=2-s2.0-85079817562&amp;doi=10.1109%2fACCESS.2020.2964386&amp;partnerID=40&amp;md5=0083a9ea8c0405cf0392007bf1b89a6e;http://dx.doi.org/10.1109/ACCESS.2020.2964386" TargetMode="External"/><Relationship Id="rId2089" Type="http://schemas.openxmlformats.org/officeDocument/2006/relationships/hyperlink" Target="http://dx.doi.org/10.1109/VLHCC.2016.7739680" TargetMode="External"/><Relationship Id="rId268" Type="http://schemas.openxmlformats.org/officeDocument/2006/relationships/hyperlink" Target="https://doi.org/10.1109/ESEM.2017.12;http:/dx.doi.org/10.1109/ESEM.2017.12" TargetMode="External"/><Relationship Id="rId475" Type="http://schemas.openxmlformats.org/officeDocument/2006/relationships/hyperlink" Target="http://link.springer.com/chapter/10.1007/978-3-030-32489-6_6" TargetMode="External"/><Relationship Id="rId682" Type="http://schemas.openxmlformats.org/officeDocument/2006/relationships/hyperlink" Target="https://www.scopus.com/inward/record.uri?eid=2-s2.0-85053913046&amp;doi=10.1145%2f3183428.3183435&amp;partnerID=40&amp;md5=4b8869fff7f56e549d660a454148a02e;http://dx.doi.org/10.1145/3183428.3183435" TargetMode="External"/><Relationship Id="rId2156" Type="http://schemas.openxmlformats.org/officeDocument/2006/relationships/hyperlink" Target="https://doi.org/10.1145/3522664.3528599;http:/dx.doi.org/10.1145/3522664.3528599" TargetMode="External"/><Relationship Id="rId128" Type="http://schemas.openxmlformats.org/officeDocument/2006/relationships/hyperlink" Target="https://www.scopus.com/inward/record.uri?eid=2-s2.0-85132017814&amp;doi=10.24138%2fjcomss-2021-0124&amp;partnerID=40&amp;md5=433ca07519e588d0f73779fdd74a311c;http://dx.doi.org/10.24138/jcomss-2021-0124" TargetMode="External"/><Relationship Id="rId335" Type="http://schemas.openxmlformats.org/officeDocument/2006/relationships/hyperlink" Target="https://www.scopus.com/inward/record.uri?eid=2-s2.0-85090177992&amp;doi=10.1007%2f978-3-030-57321-8_25&amp;partnerID=40&amp;md5=91084d2ddcf15d354de3a3f429b02b0d;http://dx.doi.org/10.1007/978-3-030-57321-8_25" TargetMode="External"/><Relationship Id="rId542" Type="http://schemas.openxmlformats.org/officeDocument/2006/relationships/hyperlink" Target="https://www.scopus.com/inward/record.uri?eid=2-s2.0-85062728420&amp;doi=10.1007%2fs10664-019-09688-8&amp;partnerID=40&amp;md5=cef3bfaa22528f155edd9d07f11a437d;http://dx.doi.org/10.1007/s10664-019-09688-8" TargetMode="External"/><Relationship Id="rId1172" Type="http://schemas.openxmlformats.org/officeDocument/2006/relationships/hyperlink" Target="http://link.springer.com/book/10.1007/978-981-16-6795-4" TargetMode="External"/><Relationship Id="rId2016" Type="http://schemas.openxmlformats.org/officeDocument/2006/relationships/hyperlink" Target="https://www.scopus.com/inward/record.uri?eid=2-s2.0-85082479839&amp;doi=10.3390%2fcomputers9010021&amp;partnerID=40&amp;md5=227fb89c60751629b4e1d6676535bd0f;http://dx.doi.org/10.3390/computers9010021" TargetMode="External"/><Relationship Id="rId402" Type="http://schemas.openxmlformats.org/officeDocument/2006/relationships/hyperlink" Target="https://www.scopus.com/inward/record.uri?eid=2-s2.0-85102442891&amp;doi=10.1016%2fj.infsof.2021.106566&amp;partnerID=40&amp;md5=e0dd5cce934cdfe03723ba84c01460a0;http://dx.doi.org/10.1016/j.infsof.2021.106566" TargetMode="External"/><Relationship Id="rId1032" Type="http://schemas.openxmlformats.org/officeDocument/2006/relationships/hyperlink" Target="http://dx.doi.org/10.1109/TPDS.2015.2414943" TargetMode="External"/><Relationship Id="rId1989" Type="http://schemas.openxmlformats.org/officeDocument/2006/relationships/hyperlink" Target="https://www.sciencedirect.com/science/article/pii/S0164121216302321;http:/dx.doi.org/10.1016/j.jss.2016.11.030" TargetMode="External"/><Relationship Id="rId1849" Type="http://schemas.openxmlformats.org/officeDocument/2006/relationships/hyperlink" Target="http://dx.doi.org/10.1109/ICSE-SEIP52600.2021.00004" TargetMode="External"/><Relationship Id="rId192" Type="http://schemas.openxmlformats.org/officeDocument/2006/relationships/hyperlink" Target="https://www.scopus.com/inward/record.uri?eid=2-s2.0-85123043342&amp;partnerID=40&amp;md5=68470ed13b4aa7d6c28ef0e465cfb0f4" TargetMode="External"/><Relationship Id="rId1709" Type="http://schemas.openxmlformats.org/officeDocument/2006/relationships/hyperlink" Target="http://dx.doi.org/10.1147/JRD.2019.2961069" TargetMode="External"/><Relationship Id="rId1916" Type="http://schemas.openxmlformats.org/officeDocument/2006/relationships/hyperlink" Target="https://www.scopus.com/inward/record.uri?eid=2-s2.0-85116015581&amp;doi=10.1145%2f3450356&amp;partnerID=40&amp;md5=7fe6a18118c9d7e10ce3d791abf1e244;http://dx.doi.org/10.1145/3450356" TargetMode="External"/><Relationship Id="rId2080" Type="http://schemas.openxmlformats.org/officeDocument/2006/relationships/hyperlink" Target="https://doi.org/10.1145/3387906.3388623;http:/dx.doi.org/10.1145/3387906.3388623" TargetMode="External"/><Relationship Id="rId869" Type="http://schemas.openxmlformats.org/officeDocument/2006/relationships/hyperlink" Target="https://www.scopus.com/inward/record.uri?eid=2-s2.0-85092446639&amp;doi=10.1145%2f3379177.3388905&amp;partnerID=40&amp;md5=ae75579ef8db6ccdf0c715c3943eb7a6;http://dx.doi.org/10.1145/3379177.3388905" TargetMode="External"/><Relationship Id="rId1499" Type="http://schemas.openxmlformats.org/officeDocument/2006/relationships/hyperlink" Target="https://www.scopus.com/inward/record.uri?eid=2-s2.0-84995404176&amp;doi=10.1016%2fj.future.2016.07.001&amp;partnerID=40&amp;md5=6e519449c0dce7eb03fba5233bd1cb0e;http://dx.doi.org/10.1016/j.future.2016.07.001" TargetMode="External"/><Relationship Id="rId729" Type="http://schemas.openxmlformats.org/officeDocument/2006/relationships/hyperlink" Target="https://doi.org/10.1145/3522664.3528590;http:/dx.doi.org/10.1145/3522664.3528590" TargetMode="External"/><Relationship Id="rId1359" Type="http://schemas.openxmlformats.org/officeDocument/2006/relationships/hyperlink" Target="http://link.springer.com/article/10.1007/s10664-019-09788-5" TargetMode="External"/><Relationship Id="rId936" Type="http://schemas.openxmlformats.org/officeDocument/2006/relationships/hyperlink" Target="http://link.springer.com/book/10.1007/978-3-031-12807-3" TargetMode="External"/><Relationship Id="rId1219" Type="http://schemas.openxmlformats.org/officeDocument/2006/relationships/hyperlink" Target="https://www.scopus.com/inward/record.uri?eid=2-s2.0-85021234082&amp;doi=10.1109%2fICDE.2017.109&amp;partnerID=40&amp;md5=1e7891b987436b8db39d3d8fb42b9c70;http://dx.doi.org/10.1109/ICDE.2017.109" TargetMode="External"/><Relationship Id="rId1566" Type="http://schemas.openxmlformats.org/officeDocument/2006/relationships/hyperlink" Target="https://www.scopus.com/inward/record.uri?eid=2-s2.0-85118863045&amp;doi=10.3390%2finfo12110437&amp;partnerID=40&amp;md5=e38a833f0d268ecacdb0bc53af1c48d4;http://dx.doi.org/10.3390/info12110437" TargetMode="External"/><Relationship Id="rId1773" Type="http://schemas.openxmlformats.org/officeDocument/2006/relationships/hyperlink" Target="https://www.scopus.com/inward/record.uri?eid=2-s2.0-85047663116&amp;doi=10.1002%2fsys.21446&amp;partnerID=40&amp;md5=9f64869ad5c8051e78e7b90916fd443b;http://dx.doi.org/10.1002/sys.21446" TargetMode="External"/><Relationship Id="rId1980" Type="http://schemas.openxmlformats.org/officeDocument/2006/relationships/hyperlink" Target="https://doi.org/10.1145/3560828.3564001;http:/dx.doi.org/10.1145/3560828.3564001" TargetMode="External"/><Relationship Id="rId65" Type="http://schemas.openxmlformats.org/officeDocument/2006/relationships/hyperlink" Target="https://www.scopus.com/inward/record.uri?eid=2-s2.0-85136515962&amp;doi=10.1007%2fs00766-022-00385-5&amp;partnerID=40&amp;md5=0f37b786a6059be379f420cf0d54e1f2;http://dx.doi.org/10.1007/s00766-022-00385-5" TargetMode="External"/><Relationship Id="rId1426" Type="http://schemas.openxmlformats.org/officeDocument/2006/relationships/hyperlink" Target="https://www.scopus.com/inward/record.uri?eid=2-s2.0-85138419041&amp;doi=10.1007%2fs10664-022-10203-9&amp;partnerID=40&amp;md5=d16c0df54ae10ff190933b33b98e4b1a;http://dx.doi.org/10.1007/s10664-022-10203-9" TargetMode="External"/><Relationship Id="rId1633" Type="http://schemas.openxmlformats.org/officeDocument/2006/relationships/hyperlink" Target="https://www.sciencedirect.com/science/article/pii/S0164121222001972;http:/dx.doi.org/10.1016/j.jss.2022.111521" TargetMode="External"/><Relationship Id="rId1840" Type="http://schemas.openxmlformats.org/officeDocument/2006/relationships/hyperlink" Target="https://www.scopus.com/inward/record.uri?eid=2-s2.0-85114194059&amp;doi=10.1007%2fs10462-021-09973-3&amp;partnerID=40&amp;md5=49449a0bcf1838604f6936491dbf7dcf;http://dx.doi.org/10.1007/s10462-021-09973-3" TargetMode="External"/><Relationship Id="rId1700" Type="http://schemas.openxmlformats.org/officeDocument/2006/relationships/hyperlink" Target="https://doi.org/10.1145/3540250.3558908;http:/dx.doi.org/10.1145/3540250.3558908" TargetMode="External"/><Relationship Id="rId379" Type="http://schemas.openxmlformats.org/officeDocument/2006/relationships/hyperlink" Target="https://www.sciencedirect.com/science/article/pii/S2153353922001353;http:/dx.doi.org/10.4103/jpi.jpi_84_20" TargetMode="External"/><Relationship Id="rId586" Type="http://schemas.openxmlformats.org/officeDocument/2006/relationships/hyperlink" Target="https://www.scopus.com/inward/record.uri?eid=2-s2.0-85102119719&amp;doi=10.1016%2fj.jss.2021.110936&amp;partnerID=40&amp;md5=802a1c364cae9feb102101198284bab7;http://dx.doi.org/10.1016/j.jss.2021.110936" TargetMode="External"/><Relationship Id="rId793" Type="http://schemas.openxmlformats.org/officeDocument/2006/relationships/hyperlink" Target="http://dx.doi.org/10.23919/MIPRO55190.2022.9803727" TargetMode="External"/><Relationship Id="rId239" Type="http://schemas.openxmlformats.org/officeDocument/2006/relationships/hyperlink" Target="http://link.springer.com/chapter/10.1007/978-1-4842-8817-7_7" TargetMode="External"/><Relationship Id="rId446" Type="http://schemas.openxmlformats.org/officeDocument/2006/relationships/hyperlink" Target="https://www.scopus.com/inward/record.uri?eid=2-s2.0-85093832705&amp;doi=10.1109%2fIJCNN48605.2020.9207356&amp;partnerID=40&amp;md5=49ec179bf6889688add0b6da0c0e6f58;http://dx.doi.org/10.1109/IJCNN48605.2020.9207356" TargetMode="External"/><Relationship Id="rId653" Type="http://schemas.openxmlformats.org/officeDocument/2006/relationships/hyperlink" Target="https://www.sciencedirect.com/science/article/pii/B9780128001622000142;http:/dx.doi.org/10.1016/B978-0-12-800162-2.00014-2" TargetMode="External"/><Relationship Id="rId1076" Type="http://schemas.openxmlformats.org/officeDocument/2006/relationships/hyperlink" Target="http://dx.doi.org/10.1109/TSE.2019.2937083" TargetMode="External"/><Relationship Id="rId1283" Type="http://schemas.openxmlformats.org/officeDocument/2006/relationships/hyperlink" Target="https://www.scopus.com/inward/record.uri?eid=2-s2.0-85052334218&amp;doi=10.1109%2fQRS.2018.00022&amp;partnerID=40&amp;md5=23f508f0a35d3d0723c974f99d1a5d48;http://dx.doi.org/10.1109/QRS.2018.00022" TargetMode="External"/><Relationship Id="rId1490" Type="http://schemas.openxmlformats.org/officeDocument/2006/relationships/hyperlink" Target="https://www.scopus.com/inward/record.uri?eid=2-s2.0-85014053590&amp;doi=10.1016%2fj.jss.2017.02.021&amp;partnerID=40&amp;md5=247b29b699e29dbd357cf9dc95e3354c;http://dx.doi.org/10.1016/j.jss.2017.02.021" TargetMode="External"/><Relationship Id="rId2127" Type="http://schemas.openxmlformats.org/officeDocument/2006/relationships/hyperlink" Target="http://dx.doi.org/10.1109/TSE.2017.2654244" TargetMode="External"/><Relationship Id="rId306" Type="http://schemas.openxmlformats.org/officeDocument/2006/relationships/hyperlink" Target="https://doi.org/10.1109/CHASE.2019.00013;http:/dx.doi.org/10.1109/CHASE.2019.00013" TargetMode="External"/><Relationship Id="rId860" Type="http://schemas.openxmlformats.org/officeDocument/2006/relationships/hyperlink" Target="https://www.sciencedirect.com/science/article/pii/S0167642320301301;http:/dx.doi.org/10.1016/j.scico.2020.102522" TargetMode="External"/><Relationship Id="rId1143" Type="http://schemas.openxmlformats.org/officeDocument/2006/relationships/hyperlink" Target="http://link.springer.com/article/10.1007/s11704-019-9023-2" TargetMode="External"/><Relationship Id="rId513" Type="http://schemas.openxmlformats.org/officeDocument/2006/relationships/hyperlink" Target="https://www.sciencedirect.com/science/article/pii/S0164121221001941;http:/dx.doi.org/10.1016/j.jss.2021.111097" TargetMode="External"/><Relationship Id="rId720" Type="http://schemas.openxmlformats.org/officeDocument/2006/relationships/hyperlink" Target="https://www.scopus.com/inward/record.uri?eid=2-s2.0-85021190615&amp;doi=10.1145%2f3035918.3054782&amp;partnerID=40&amp;md5=3eb7a5510fe00e4008182bce3005cbed;http://dx.doi.org/10.1145/3035918.3054782" TargetMode="External"/><Relationship Id="rId1350" Type="http://schemas.openxmlformats.org/officeDocument/2006/relationships/hyperlink" Target="http://dx.doi.org/10.1109/IC2E.2019.00025" TargetMode="External"/><Relationship Id="rId1003" Type="http://schemas.openxmlformats.org/officeDocument/2006/relationships/hyperlink" Target="https://www.scopus.com/inward/record.uri?eid=2-s2.0-85125470611&amp;doi=10.1109%2fASE51524.2021.9678617&amp;partnerID=40&amp;md5=33179c29372e750880332088711cc195;http://dx.doi.org/10.1109/ASE51524.2021.9678617" TargetMode="External"/><Relationship Id="rId1210" Type="http://schemas.openxmlformats.org/officeDocument/2006/relationships/hyperlink" Target="http://dx.doi.org/10.1109/IEEESTD.2017.8016712" TargetMode="External"/><Relationship Id="rId163" Type="http://schemas.openxmlformats.org/officeDocument/2006/relationships/hyperlink" Target="http://link.springer.com/chapter/10.1007/978-3-030-67084-9_6" TargetMode="External"/><Relationship Id="rId370" Type="http://schemas.openxmlformats.org/officeDocument/2006/relationships/hyperlink" Target="https://www.scopus.com/inward/record.uri?eid=2-s2.0-85143083037&amp;doi=10.1145%2f3540250.3549145&amp;partnerID=40&amp;md5=755c48f934db8d98a8616912ddebd634;http://dx.doi.org/10.1145/3540250.3549145" TargetMode="External"/><Relationship Id="rId2051" Type="http://schemas.openxmlformats.org/officeDocument/2006/relationships/hyperlink" Target="https://www.scopus.com/inward/record.uri?eid=2-s2.0-85125909057&amp;doi=10.1002%2fsmr.2432&amp;partnerID=40&amp;md5=81497923d97888427d6200fc1d3459cf;http://dx.doi.org/10.1002/smr.2432" TargetMode="External"/><Relationship Id="rId230" Type="http://schemas.openxmlformats.org/officeDocument/2006/relationships/hyperlink" Target="http://dx.doi.org/10.1109/MS.2021.3071806" TargetMode="External"/><Relationship Id="rId1677" Type="http://schemas.openxmlformats.org/officeDocument/2006/relationships/hyperlink" Target="http://dx.doi.org/10.1109/MSR52588.2021.00030" TargetMode="External"/><Relationship Id="rId1884" Type="http://schemas.openxmlformats.org/officeDocument/2006/relationships/hyperlink" Target="http://dx.doi.org/10.1109/SEAA53835.2021.00032" TargetMode="External"/><Relationship Id="rId907" Type="http://schemas.openxmlformats.org/officeDocument/2006/relationships/hyperlink" Target="http://dx.doi.org/10.1109/ESEM.2019.8870145" TargetMode="External"/><Relationship Id="rId1537" Type="http://schemas.openxmlformats.org/officeDocument/2006/relationships/hyperlink" Target="http://link.springer.com/book/10.1007/978-3-030-64148-1" TargetMode="External"/><Relationship Id="rId1744" Type="http://schemas.openxmlformats.org/officeDocument/2006/relationships/hyperlink" Target="http://dx.doi.org/10.1109/CONISOFT52520.2021.00028" TargetMode="External"/><Relationship Id="rId1951" Type="http://schemas.openxmlformats.org/officeDocument/2006/relationships/hyperlink" Target="http://link.springer.com/chapter/10.1007/978-1-4842-8575-6_9" TargetMode="External"/><Relationship Id="rId36" Type="http://schemas.openxmlformats.org/officeDocument/2006/relationships/hyperlink" Target="http://dx.doi.org/10.1109/MTD.2015.7332621" TargetMode="External"/><Relationship Id="rId1604" Type="http://schemas.openxmlformats.org/officeDocument/2006/relationships/hyperlink" Target="https://www.scopus.com/inward/record.uri?eid=2-s2.0-85124486693&amp;doi=10.1109%2fCONISOFT52520.2021.00019&amp;partnerID=40&amp;md5=02d7704db1cf13e7541b254e7543afb6;http://dx.doi.org/10.1109/CONISOFT52520.2021.00019" TargetMode="External"/><Relationship Id="rId1811" Type="http://schemas.openxmlformats.org/officeDocument/2006/relationships/hyperlink" Target="http://link.springer.com/book/10.1007/978-3-031-18322-5" TargetMode="External"/><Relationship Id="rId697" Type="http://schemas.openxmlformats.org/officeDocument/2006/relationships/hyperlink" Target="https://www.scopus.com/inward/record.uri?eid=2-s2.0-85130738070&amp;doi=10.4018%2fIJOSSP.300756&amp;partnerID=40&amp;md5=242b5facb6672ebf14f1465c699beb8f;http://dx.doi.org/10.4018/IJOSSP.300756" TargetMode="External"/><Relationship Id="rId1187" Type="http://schemas.openxmlformats.org/officeDocument/2006/relationships/hyperlink" Target="http://link.springer.com/book/10.1007/978-1-4842-7416-3" TargetMode="External"/><Relationship Id="rId557" Type="http://schemas.openxmlformats.org/officeDocument/2006/relationships/hyperlink" Target="https://www.scopus.com/inward/record.uri?eid=2-s2.0-85139548360&amp;doi=10.1007%2fs00521-022-07877-z&amp;partnerID=40&amp;md5=47a63c70a0c87e77eb2c6c16544d405d;http://dx.doi.org/10.1007/s00521-022-07877-z" TargetMode="External"/><Relationship Id="rId764" Type="http://schemas.openxmlformats.org/officeDocument/2006/relationships/hyperlink" Target="https://www.scopus.com/inward/record.uri?eid=2-s2.0-85069772253&amp;doi=10.1145%2f3180155.3180220&amp;partnerID=40&amp;md5=bd81c43f9e437a21d2524b38678cb67f;http://dx.doi.org/10.1145/3180155.3180220" TargetMode="External"/><Relationship Id="rId971" Type="http://schemas.openxmlformats.org/officeDocument/2006/relationships/hyperlink" Target="https://www.scopus.com/inward/record.uri?eid=2-s2.0-85097354714&amp;doi=10.1109%2fISSRE5003.2020.00010&amp;partnerID=40&amp;md5=795fcf5bfbb26fe7892e6069385ad8ee;http://dx.doi.org/10.1109/ISSRE5003.2020.00010" TargetMode="External"/><Relationship Id="rId1394" Type="http://schemas.openxmlformats.org/officeDocument/2006/relationships/hyperlink" Target="https://www.scopus.com/inward/record.uri?eid=2-s2.0-85061105307&amp;doi=10.1007%2f978-3-030-06019-0_4&amp;partnerID=40&amp;md5=fe967be5b739bd55d54da635437930df;http://dx.doi.org/10.1007/978-3-030-06019-0_4" TargetMode="External"/><Relationship Id="rId417" Type="http://schemas.openxmlformats.org/officeDocument/2006/relationships/hyperlink" Target="https://www.scopus.com/inward/record.uri?eid=2-s2.0-85078087442&amp;doi=10.1109%2fAPSEC48747.2019.00050&amp;partnerID=40&amp;md5=c9b36f217cbe918e926ea52fb8e3529f;http://dx.doi.org/10.1109/APSEC48747.2019.00050" TargetMode="External"/><Relationship Id="rId624" Type="http://schemas.openxmlformats.org/officeDocument/2006/relationships/hyperlink" Target="http://dx.doi.org/10.1109/ICIEA49774.2020.9101913" TargetMode="External"/><Relationship Id="rId831" Type="http://schemas.openxmlformats.org/officeDocument/2006/relationships/hyperlink" Target="https://doi.org/10.1145/2950290.2983989;http:/dx.doi.org/10.1145/2950290.2983989" TargetMode="External"/><Relationship Id="rId1047" Type="http://schemas.openxmlformats.org/officeDocument/2006/relationships/hyperlink" Target="http://link.springer.com/book/10.1007/978-3-030-90963-5" TargetMode="External"/><Relationship Id="rId1254" Type="http://schemas.openxmlformats.org/officeDocument/2006/relationships/hyperlink" Target="https://www.scopus.com/inward/record.uri?eid=2-s2.0-85124087646&amp;doi=10.3390%2fs22031252&amp;partnerID=40&amp;md5=3a859bf853571991698e1468de6a64d8;http://dx.doi.org/10.3390/s22031252" TargetMode="External"/><Relationship Id="rId1461" Type="http://schemas.openxmlformats.org/officeDocument/2006/relationships/hyperlink" Target="http://link.springer.com/chapter/10.1007/978-3-030-85521-5_7"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maldonado/tse.satd.data%20%0aMaldonado%20SATD%20Dataset%20(from%20projects%20:%20Ant,%20ArgoUML,%20Columba,%20EMF,%20Hibernate,%20JEdit,%20JFreeChart,%20JMeter,%20JRuby%20and%20SQuirrel%20SQL)%0aIn%20our%20previous%20work%20%5b15%5d,%20we%20manually%20classified%2033,093%20comments%20extracted%20from%20the%20following%20projects:%20Ant,%20ArgoUML,%20Columba,%20JFreeChart%20and%20JMeter.%20%0aIn%20the%20current%20study%20we%20manually%20classified%20an%20additional%2029,473%20comments%20from%20EMF,%20Hibernate,%20JEdit,%20JRuby%20and%20SQuirrel,%20which%20means%20that%20we%20extended%20our%20dataset%20of%20classified%20comments%20by%2089.06%25.%0aIn%20total,%20we%20manually%20classified%2062,566%20comments%20into%20the%20five%20different%20types%20of%20self-admitted%20technical%20debt%20mentioned%20abov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19"/>
  <sheetViews>
    <sheetView workbookViewId="0">
      <selection activeCell="C31" sqref="C31"/>
    </sheetView>
  </sheetViews>
  <sheetFormatPr defaultColWidth="12.5703125" defaultRowHeight="15.75" customHeight="1" x14ac:dyDescent="0.2"/>
  <cols>
    <col min="3" max="3" width="100.42578125" customWidth="1"/>
    <col min="4" max="4" width="38" customWidth="1"/>
  </cols>
  <sheetData>
    <row r="1" spans="1:13" ht="15.75" customHeight="1"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75" customHeight="1" x14ac:dyDescent="0.25">
      <c r="A2" s="1" t="s">
        <v>13</v>
      </c>
      <c r="B2" s="1" t="s">
        <v>14</v>
      </c>
      <c r="C2" s="1" t="s">
        <v>15</v>
      </c>
      <c r="D2" s="1" t="s">
        <v>16</v>
      </c>
      <c r="E2" s="1">
        <v>2017</v>
      </c>
      <c r="F2" s="1">
        <v>43</v>
      </c>
      <c r="G2" s="1">
        <v>11</v>
      </c>
      <c r="H2" s="1" t="s">
        <v>17</v>
      </c>
      <c r="I2" s="2">
        <v>43040</v>
      </c>
      <c r="J2" s="1" t="s">
        <v>18</v>
      </c>
      <c r="K2" s="3" t="s">
        <v>19</v>
      </c>
      <c r="L2" s="1" t="s">
        <v>20</v>
      </c>
      <c r="M2" s="1" t="s">
        <v>21</v>
      </c>
    </row>
    <row r="3" spans="1:13" ht="15.75" customHeight="1" x14ac:dyDescent="0.25">
      <c r="A3" s="1" t="s">
        <v>13</v>
      </c>
      <c r="B3" s="1" t="s">
        <v>22</v>
      </c>
      <c r="C3" s="1" t="s">
        <v>23</v>
      </c>
      <c r="D3" s="1" t="s">
        <v>24</v>
      </c>
      <c r="E3" s="1">
        <v>2022</v>
      </c>
      <c r="F3" s="1">
        <v>16</v>
      </c>
      <c r="G3" s="1" t="s">
        <v>25</v>
      </c>
      <c r="H3" s="4"/>
      <c r="I3" s="5">
        <v>44685</v>
      </c>
      <c r="J3" s="1" t="s">
        <v>26</v>
      </c>
      <c r="K3" s="3" t="s">
        <v>27</v>
      </c>
      <c r="L3" s="1" t="s">
        <v>28</v>
      </c>
      <c r="M3" s="1" t="s">
        <v>29</v>
      </c>
    </row>
    <row r="4" spans="1:13" ht="15.75" customHeight="1" x14ac:dyDescent="0.25">
      <c r="A4" s="1" t="s">
        <v>13</v>
      </c>
      <c r="B4" s="1" t="s">
        <v>30</v>
      </c>
      <c r="C4" s="1" t="s">
        <v>31</v>
      </c>
      <c r="D4" s="1" t="s">
        <v>32</v>
      </c>
      <c r="E4" s="1">
        <v>2022</v>
      </c>
      <c r="F4" s="1">
        <v>27</v>
      </c>
      <c r="G4" s="1">
        <v>6</v>
      </c>
      <c r="H4" s="4"/>
      <c r="I4" s="2">
        <v>44866</v>
      </c>
      <c r="J4" s="1" t="s">
        <v>33</v>
      </c>
      <c r="K4" s="3" t="s">
        <v>34</v>
      </c>
      <c r="L4" s="1" t="s">
        <v>35</v>
      </c>
      <c r="M4" s="1" t="s">
        <v>36</v>
      </c>
    </row>
    <row r="5" spans="1:13" ht="15.75" customHeight="1" x14ac:dyDescent="0.25">
      <c r="A5" s="1" t="s">
        <v>13</v>
      </c>
      <c r="B5" s="1" t="s">
        <v>37</v>
      </c>
      <c r="C5" s="1" t="s">
        <v>38</v>
      </c>
      <c r="D5" s="1" t="s">
        <v>16</v>
      </c>
      <c r="E5" s="1">
        <v>2022</v>
      </c>
      <c r="F5" s="1">
        <v>48</v>
      </c>
      <c r="G5" s="1">
        <v>12</v>
      </c>
      <c r="H5" s="1" t="s">
        <v>39</v>
      </c>
      <c r="I5" s="5">
        <v>44896</v>
      </c>
      <c r="J5" s="1" t="s">
        <v>18</v>
      </c>
      <c r="K5" s="3" t="s">
        <v>40</v>
      </c>
      <c r="L5" s="1" t="s">
        <v>41</v>
      </c>
      <c r="M5" s="1" t="s">
        <v>42</v>
      </c>
    </row>
    <row r="6" spans="1:13" ht="15.75" customHeight="1" x14ac:dyDescent="0.25">
      <c r="A6" s="1" t="s">
        <v>13</v>
      </c>
      <c r="B6" s="1" t="s">
        <v>43</v>
      </c>
      <c r="C6" s="1" t="s">
        <v>44</v>
      </c>
      <c r="D6" s="1" t="s">
        <v>45</v>
      </c>
      <c r="E6" s="1">
        <v>2023</v>
      </c>
      <c r="F6" s="1">
        <v>17</v>
      </c>
      <c r="G6" s="1">
        <v>3</v>
      </c>
      <c r="H6" s="4"/>
      <c r="I6" s="6">
        <v>45078</v>
      </c>
      <c r="J6" s="1" t="s">
        <v>46</v>
      </c>
      <c r="K6" s="3" t="s">
        <v>47</v>
      </c>
      <c r="L6" s="1" t="s">
        <v>48</v>
      </c>
      <c r="M6" s="1" t="s">
        <v>49</v>
      </c>
    </row>
    <row r="7" spans="1:13" ht="15.75" customHeight="1" x14ac:dyDescent="0.25">
      <c r="A7" s="1" t="s">
        <v>13</v>
      </c>
      <c r="B7" s="1" t="s">
        <v>50</v>
      </c>
      <c r="C7" s="1" t="s">
        <v>51</v>
      </c>
      <c r="D7" s="1" t="s">
        <v>45</v>
      </c>
      <c r="E7" s="1">
        <v>2021</v>
      </c>
      <c r="F7" s="1">
        <v>15</v>
      </c>
      <c r="G7" s="1">
        <v>4</v>
      </c>
      <c r="H7" s="4"/>
      <c r="I7" s="6">
        <v>44409</v>
      </c>
      <c r="J7" s="1" t="s">
        <v>46</v>
      </c>
      <c r="K7" s="3" t="s">
        <v>52</v>
      </c>
      <c r="L7" s="1" t="s">
        <v>53</v>
      </c>
      <c r="M7" s="1" t="s">
        <v>54</v>
      </c>
    </row>
    <row r="8" spans="1:13" ht="15.75" customHeight="1" x14ac:dyDescent="0.25">
      <c r="A8" s="1" t="s">
        <v>13</v>
      </c>
      <c r="B8" s="1" t="s">
        <v>55</v>
      </c>
      <c r="C8" s="1" t="s">
        <v>56</v>
      </c>
      <c r="D8" s="1" t="s">
        <v>57</v>
      </c>
      <c r="E8" s="1">
        <v>2022</v>
      </c>
      <c r="F8" s="1">
        <v>29</v>
      </c>
      <c r="G8" s="1">
        <v>2</v>
      </c>
      <c r="H8" s="4"/>
      <c r="I8" s="2">
        <v>44866</v>
      </c>
      <c r="J8" s="1" t="s">
        <v>58</v>
      </c>
      <c r="K8" s="3" t="s">
        <v>59</v>
      </c>
      <c r="L8" s="1" t="s">
        <v>60</v>
      </c>
      <c r="M8" s="1" t="s">
        <v>61</v>
      </c>
    </row>
    <row r="9" spans="1:13" ht="15.75" customHeight="1" x14ac:dyDescent="0.25">
      <c r="A9" s="1" t="s">
        <v>13</v>
      </c>
      <c r="B9" s="1" t="s">
        <v>62</v>
      </c>
      <c r="C9" s="1" t="s">
        <v>63</v>
      </c>
      <c r="D9" s="1" t="s">
        <v>64</v>
      </c>
      <c r="E9" s="1">
        <v>2020</v>
      </c>
      <c r="F9" s="1">
        <v>170</v>
      </c>
      <c r="G9" s="4"/>
      <c r="H9" s="4"/>
      <c r="I9" s="2">
        <v>44166</v>
      </c>
      <c r="J9" s="1" t="s">
        <v>65</v>
      </c>
      <c r="K9" s="3" t="s">
        <v>66</v>
      </c>
      <c r="L9" s="1" t="s">
        <v>67</v>
      </c>
      <c r="M9" s="1" t="s">
        <v>68</v>
      </c>
    </row>
    <row r="10" spans="1:13" ht="15.75" customHeight="1" x14ac:dyDescent="0.25">
      <c r="A10" s="1" t="s">
        <v>13</v>
      </c>
      <c r="B10" s="1" t="s">
        <v>69</v>
      </c>
      <c r="C10" s="1" t="s">
        <v>70</v>
      </c>
      <c r="D10" s="1" t="s">
        <v>71</v>
      </c>
      <c r="E10" s="1">
        <v>2021</v>
      </c>
      <c r="F10" s="1">
        <v>31</v>
      </c>
      <c r="G10" s="1">
        <v>2</v>
      </c>
      <c r="H10" s="1" t="s">
        <v>72</v>
      </c>
      <c r="I10" s="6">
        <v>44228</v>
      </c>
      <c r="J10" s="1" t="s">
        <v>73</v>
      </c>
      <c r="K10" s="3" t="s">
        <v>74</v>
      </c>
      <c r="L10" s="1" t="s">
        <v>75</v>
      </c>
      <c r="M10" s="1" t="s">
        <v>76</v>
      </c>
    </row>
    <row r="11" spans="1:13" ht="15.75" customHeight="1" x14ac:dyDescent="0.25">
      <c r="A11" s="1" t="s">
        <v>13</v>
      </c>
      <c r="B11" s="1" t="s">
        <v>77</v>
      </c>
      <c r="C11" s="1" t="s">
        <v>78</v>
      </c>
      <c r="D11" s="1" t="s">
        <v>57</v>
      </c>
      <c r="E11" s="1">
        <v>2022</v>
      </c>
      <c r="F11" s="1">
        <v>29</v>
      </c>
      <c r="G11" s="1">
        <v>2</v>
      </c>
      <c r="H11" s="4"/>
      <c r="I11" s="2">
        <v>44866</v>
      </c>
      <c r="J11" s="1" t="s">
        <v>58</v>
      </c>
      <c r="K11" s="3" t="s">
        <v>79</v>
      </c>
      <c r="L11" s="1" t="s">
        <v>80</v>
      </c>
      <c r="M11" s="1" t="s">
        <v>81</v>
      </c>
    </row>
    <row r="12" spans="1:13" ht="15.75" customHeight="1" x14ac:dyDescent="0.25">
      <c r="A12" s="1" t="s">
        <v>13</v>
      </c>
      <c r="B12" s="1" t="s">
        <v>82</v>
      </c>
      <c r="C12" s="1" t="s">
        <v>83</v>
      </c>
      <c r="D12" s="1" t="s">
        <v>32</v>
      </c>
      <c r="E12" s="1">
        <v>2018</v>
      </c>
      <c r="F12" s="1">
        <v>23</v>
      </c>
      <c r="G12" s="1">
        <v>1</v>
      </c>
      <c r="H12" s="1" t="s">
        <v>84</v>
      </c>
      <c r="I12" s="6">
        <v>43132</v>
      </c>
      <c r="J12" s="1" t="s">
        <v>33</v>
      </c>
      <c r="K12" s="3" t="s">
        <v>85</v>
      </c>
      <c r="L12" s="1" t="s">
        <v>86</v>
      </c>
      <c r="M12" s="1" t="s">
        <v>87</v>
      </c>
    </row>
    <row r="13" spans="1:13" ht="15.75" customHeight="1" x14ac:dyDescent="0.25">
      <c r="A13" s="1" t="s">
        <v>13</v>
      </c>
      <c r="B13" s="1" t="s">
        <v>88</v>
      </c>
      <c r="C13" s="1" t="s">
        <v>89</v>
      </c>
      <c r="D13" s="1" t="s">
        <v>90</v>
      </c>
      <c r="E13" s="1">
        <v>2022</v>
      </c>
      <c r="F13" s="1">
        <v>71</v>
      </c>
      <c r="G13" s="1">
        <v>3</v>
      </c>
      <c r="H13" s="1" t="s">
        <v>91</v>
      </c>
      <c r="I13" s="6">
        <v>44805</v>
      </c>
      <c r="J13" s="1" t="s">
        <v>92</v>
      </c>
      <c r="K13" s="3" t="s">
        <v>93</v>
      </c>
      <c r="L13" s="1" t="s">
        <v>94</v>
      </c>
      <c r="M13" s="1" t="s">
        <v>95</v>
      </c>
    </row>
    <row r="14" spans="1:13" ht="15.75" customHeight="1" x14ac:dyDescent="0.25">
      <c r="A14" s="1" t="s">
        <v>13</v>
      </c>
      <c r="B14" s="1" t="s">
        <v>96</v>
      </c>
      <c r="C14" s="1" t="s">
        <v>97</v>
      </c>
      <c r="D14" s="1" t="s">
        <v>32</v>
      </c>
      <c r="E14" s="1">
        <v>2022</v>
      </c>
      <c r="F14" s="1">
        <v>27</v>
      </c>
      <c r="G14" s="1">
        <v>4</v>
      </c>
      <c r="H14" s="4"/>
      <c r="I14" s="6">
        <v>44743</v>
      </c>
      <c r="J14" s="1" t="s">
        <v>33</v>
      </c>
      <c r="K14" s="3" t="s">
        <v>98</v>
      </c>
      <c r="L14" s="1" t="s">
        <v>99</v>
      </c>
      <c r="M14" s="1" t="s">
        <v>100</v>
      </c>
    </row>
    <row r="15" spans="1:13" ht="15.75" customHeight="1" x14ac:dyDescent="0.25">
      <c r="A15" s="1" t="s">
        <v>13</v>
      </c>
      <c r="B15" s="1" t="s">
        <v>101</v>
      </c>
      <c r="C15" s="1" t="s">
        <v>102</v>
      </c>
      <c r="D15" s="1" t="s">
        <v>103</v>
      </c>
      <c r="E15" s="1">
        <v>2022</v>
      </c>
      <c r="F15" s="1">
        <v>10</v>
      </c>
      <c r="G15" s="1">
        <v>1</v>
      </c>
      <c r="H15" s="4"/>
      <c r="I15" s="1" t="s">
        <v>104</v>
      </c>
      <c r="J15" s="1" t="s">
        <v>105</v>
      </c>
      <c r="K15" s="3" t="s">
        <v>106</v>
      </c>
      <c r="L15" s="1" t="s">
        <v>107</v>
      </c>
      <c r="M15" s="1" t="s">
        <v>108</v>
      </c>
    </row>
    <row r="16" spans="1:13" ht="15.75" customHeight="1" x14ac:dyDescent="0.25">
      <c r="A16" s="1" t="s">
        <v>13</v>
      </c>
      <c r="B16" s="1" t="s">
        <v>109</v>
      </c>
      <c r="C16" s="1" t="s">
        <v>110</v>
      </c>
      <c r="D16" s="1" t="s">
        <v>16</v>
      </c>
      <c r="E16" s="1">
        <v>2022</v>
      </c>
      <c r="F16" s="1">
        <v>48</v>
      </c>
      <c r="G16" s="1">
        <v>5</v>
      </c>
      <c r="H16" s="1" t="s">
        <v>111</v>
      </c>
      <c r="I16" s="5">
        <v>44682</v>
      </c>
      <c r="J16" s="1" t="s">
        <v>18</v>
      </c>
      <c r="K16" s="3" t="s">
        <v>112</v>
      </c>
      <c r="L16" s="1" t="s">
        <v>113</v>
      </c>
      <c r="M16" s="1" t="s">
        <v>114</v>
      </c>
    </row>
    <row r="17" spans="1:13" ht="15.75" customHeight="1" x14ac:dyDescent="0.25">
      <c r="A17" s="1" t="s">
        <v>13</v>
      </c>
      <c r="B17" s="1" t="s">
        <v>115</v>
      </c>
      <c r="C17" s="1" t="s">
        <v>116</v>
      </c>
      <c r="D17" s="1" t="s">
        <v>32</v>
      </c>
      <c r="E17" s="1">
        <v>2022</v>
      </c>
      <c r="F17" s="1">
        <v>27</v>
      </c>
      <c r="G17" s="1">
        <v>3</v>
      </c>
      <c r="H17" s="4"/>
      <c r="I17" s="6">
        <v>44682</v>
      </c>
      <c r="J17" s="1" t="s">
        <v>33</v>
      </c>
      <c r="K17" s="3" t="s">
        <v>117</v>
      </c>
      <c r="L17" s="1" t="s">
        <v>118</v>
      </c>
      <c r="M17" s="1" t="s">
        <v>119</v>
      </c>
    </row>
    <row r="18" spans="1:13" ht="15.75" customHeight="1" x14ac:dyDescent="0.25">
      <c r="A18" s="1" t="s">
        <v>13</v>
      </c>
      <c r="B18" s="1" t="s">
        <v>120</v>
      </c>
      <c r="C18" s="1" t="s">
        <v>121</v>
      </c>
      <c r="D18" s="1" t="s">
        <v>57</v>
      </c>
      <c r="E18" s="1">
        <v>2022</v>
      </c>
      <c r="F18" s="1">
        <v>29</v>
      </c>
      <c r="G18" s="1">
        <v>1</v>
      </c>
      <c r="H18" s="4"/>
      <c r="I18" s="6">
        <v>44682</v>
      </c>
      <c r="J18" s="1" t="s">
        <v>58</v>
      </c>
      <c r="K18" s="3" t="s">
        <v>122</v>
      </c>
      <c r="L18" s="1" t="s">
        <v>123</v>
      </c>
      <c r="M18" s="1" t="s">
        <v>124</v>
      </c>
    </row>
    <row r="19" spans="1:13" ht="15.75" customHeight="1" x14ac:dyDescent="0.25">
      <c r="A19" s="1" t="s">
        <v>13</v>
      </c>
      <c r="B19" s="1" t="s">
        <v>125</v>
      </c>
      <c r="C19" s="1" t="s">
        <v>126</v>
      </c>
      <c r="D19" s="1" t="s">
        <v>64</v>
      </c>
      <c r="E19" s="1">
        <v>2018</v>
      </c>
      <c r="F19" s="1">
        <v>138</v>
      </c>
      <c r="G19" s="4"/>
      <c r="H19" s="1" t="s">
        <v>127</v>
      </c>
      <c r="I19" s="6">
        <v>43191</v>
      </c>
      <c r="J19" s="1" t="s">
        <v>65</v>
      </c>
      <c r="K19" s="3" t="s">
        <v>128</v>
      </c>
      <c r="L19" s="1" t="s">
        <v>129</v>
      </c>
      <c r="M19" s="1" t="s">
        <v>130</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R952"/>
  <sheetViews>
    <sheetView workbookViewId="0"/>
  </sheetViews>
  <sheetFormatPr defaultColWidth="12.5703125" defaultRowHeight="15.75" customHeight="1" x14ac:dyDescent="0.2"/>
  <sheetData>
    <row r="1" spans="1:18" ht="15.75" customHeight="1" x14ac:dyDescent="0.25">
      <c r="A1" s="1" t="s">
        <v>0</v>
      </c>
      <c r="B1" s="1" t="s">
        <v>1</v>
      </c>
      <c r="C1" s="1" t="s">
        <v>2</v>
      </c>
      <c r="D1" s="1" t="s">
        <v>3</v>
      </c>
      <c r="E1" s="1" t="s">
        <v>4</v>
      </c>
      <c r="F1" s="1" t="s">
        <v>5</v>
      </c>
      <c r="G1" s="1" t="s">
        <v>6</v>
      </c>
      <c r="H1" s="1" t="s">
        <v>7</v>
      </c>
      <c r="I1" s="1" t="s">
        <v>131</v>
      </c>
      <c r="J1" s="1" t="s">
        <v>8</v>
      </c>
      <c r="K1" s="1" t="s">
        <v>132</v>
      </c>
      <c r="L1" s="1" t="s">
        <v>133</v>
      </c>
      <c r="M1" s="1" t="s">
        <v>9</v>
      </c>
      <c r="N1" s="1" t="s">
        <v>10</v>
      </c>
      <c r="O1" s="1" t="s">
        <v>11</v>
      </c>
      <c r="P1" s="1" t="s">
        <v>12</v>
      </c>
      <c r="Q1" s="1" t="s">
        <v>134</v>
      </c>
      <c r="R1" s="1" t="s">
        <v>135</v>
      </c>
    </row>
    <row r="2" spans="1:18" ht="15.75" customHeight="1" x14ac:dyDescent="0.25">
      <c r="A2" s="1" t="s">
        <v>13</v>
      </c>
      <c r="B2" s="1" t="s">
        <v>30</v>
      </c>
      <c r="C2" s="1" t="s">
        <v>31</v>
      </c>
      <c r="D2" s="1" t="s">
        <v>136</v>
      </c>
      <c r="E2" s="1">
        <v>2022</v>
      </c>
      <c r="F2" s="1">
        <v>27</v>
      </c>
      <c r="G2" s="1">
        <v>6</v>
      </c>
      <c r="H2" s="4"/>
      <c r="I2" s="1" t="s">
        <v>137</v>
      </c>
      <c r="J2" s="1">
        <v>2022</v>
      </c>
      <c r="K2" s="4"/>
      <c r="L2" s="4"/>
      <c r="M2" s="1" t="s">
        <v>33</v>
      </c>
      <c r="N2" s="3" t="s">
        <v>138</v>
      </c>
      <c r="O2" s="1" t="s">
        <v>35</v>
      </c>
      <c r="P2" s="1" t="s">
        <v>139</v>
      </c>
      <c r="Q2" s="1" t="s">
        <v>140</v>
      </c>
      <c r="R2" s="4"/>
    </row>
    <row r="3" spans="1:18" ht="15.75" customHeight="1" x14ac:dyDescent="0.25">
      <c r="A3" s="1" t="s">
        <v>141</v>
      </c>
      <c r="B3" s="1" t="s">
        <v>142</v>
      </c>
      <c r="C3" s="1" t="s">
        <v>143</v>
      </c>
      <c r="D3" s="4"/>
      <c r="E3" s="1">
        <v>2022</v>
      </c>
      <c r="F3" s="4"/>
      <c r="G3" s="4"/>
      <c r="H3" s="1" t="s">
        <v>144</v>
      </c>
      <c r="I3" s="1" t="s">
        <v>145</v>
      </c>
      <c r="J3" s="1">
        <v>2022</v>
      </c>
      <c r="K3" s="1">
        <v>9781450396134</v>
      </c>
      <c r="L3" s="4"/>
      <c r="M3" s="4"/>
      <c r="N3" s="3" t="s">
        <v>146</v>
      </c>
      <c r="O3" s="1" t="s">
        <v>147</v>
      </c>
      <c r="P3" s="1" t="s">
        <v>148</v>
      </c>
      <c r="Q3" s="1" t="s">
        <v>149</v>
      </c>
      <c r="R3" s="4"/>
    </row>
    <row r="4" spans="1:18" ht="15.75" customHeight="1" x14ac:dyDescent="0.25">
      <c r="A4" s="1" t="s">
        <v>141</v>
      </c>
      <c r="B4" s="1" t="s">
        <v>150</v>
      </c>
      <c r="C4" s="1" t="s">
        <v>151</v>
      </c>
      <c r="D4" s="4"/>
      <c r="E4" s="1">
        <v>2022</v>
      </c>
      <c r="F4" s="4"/>
      <c r="G4" s="4"/>
      <c r="H4" s="1" t="s">
        <v>152</v>
      </c>
      <c r="I4" s="1" t="s">
        <v>153</v>
      </c>
      <c r="J4" s="1">
        <v>2022</v>
      </c>
      <c r="K4" s="1">
        <v>9781450394567</v>
      </c>
      <c r="L4" s="4"/>
      <c r="M4" s="4"/>
      <c r="N4" s="3" t="s">
        <v>154</v>
      </c>
      <c r="O4" s="1" t="s">
        <v>155</v>
      </c>
      <c r="P4" s="1" t="s">
        <v>156</v>
      </c>
      <c r="Q4" s="1" t="s">
        <v>157</v>
      </c>
      <c r="R4" s="4"/>
    </row>
    <row r="5" spans="1:18" ht="15.75" customHeight="1" x14ac:dyDescent="0.25">
      <c r="A5" s="1" t="s">
        <v>141</v>
      </c>
      <c r="B5" s="1" t="s">
        <v>158</v>
      </c>
      <c r="C5" s="1" t="s">
        <v>159</v>
      </c>
      <c r="D5" s="4"/>
      <c r="E5" s="1">
        <v>2022</v>
      </c>
      <c r="F5" s="4"/>
      <c r="G5" s="4"/>
      <c r="H5" s="1" t="s">
        <v>160</v>
      </c>
      <c r="I5" s="1" t="s">
        <v>161</v>
      </c>
      <c r="J5" s="1">
        <v>2022</v>
      </c>
      <c r="K5" s="1">
        <v>9789897585685</v>
      </c>
      <c r="L5" s="4"/>
      <c r="M5" s="1" t="s">
        <v>162</v>
      </c>
      <c r="N5" s="3" t="s">
        <v>163</v>
      </c>
      <c r="O5" s="1" t="s">
        <v>164</v>
      </c>
      <c r="P5" s="1" t="s">
        <v>165</v>
      </c>
      <c r="Q5" s="1" t="s">
        <v>166</v>
      </c>
      <c r="R5" s="4"/>
    </row>
    <row r="6" spans="1:18" ht="15.75" customHeight="1" x14ac:dyDescent="0.25">
      <c r="A6" s="1" t="s">
        <v>13</v>
      </c>
      <c r="B6" s="1" t="s">
        <v>167</v>
      </c>
      <c r="C6" s="1" t="s">
        <v>168</v>
      </c>
      <c r="D6" s="1" t="s">
        <v>169</v>
      </c>
      <c r="E6" s="1">
        <v>2022</v>
      </c>
      <c r="F6" s="1">
        <v>110</v>
      </c>
      <c r="G6" s="1">
        <v>17</v>
      </c>
      <c r="H6" s="1" t="s">
        <v>170</v>
      </c>
      <c r="I6" s="1" t="s">
        <v>171</v>
      </c>
      <c r="J6" s="1">
        <v>2022</v>
      </c>
      <c r="K6" s="4"/>
      <c r="L6" s="4"/>
      <c r="M6" s="1" t="s">
        <v>172</v>
      </c>
      <c r="N6" s="3" t="s">
        <v>173</v>
      </c>
      <c r="O6" s="1" t="s">
        <v>174</v>
      </c>
      <c r="P6" s="1" t="s">
        <v>175</v>
      </c>
      <c r="Q6" s="1" t="s">
        <v>176</v>
      </c>
      <c r="R6" s="4"/>
    </row>
    <row r="7" spans="1:18" ht="15.75" customHeight="1" x14ac:dyDescent="0.25">
      <c r="A7" s="1" t="s">
        <v>13</v>
      </c>
      <c r="B7" s="1" t="s">
        <v>177</v>
      </c>
      <c r="C7" s="1" t="s">
        <v>178</v>
      </c>
      <c r="D7" s="1" t="s">
        <v>179</v>
      </c>
      <c r="E7" s="1">
        <v>2022</v>
      </c>
      <c r="F7" s="1">
        <v>37</v>
      </c>
      <c r="G7" s="1">
        <v>1</v>
      </c>
      <c r="H7" s="1" t="s">
        <v>180</v>
      </c>
      <c r="I7" s="1" t="s">
        <v>137</v>
      </c>
      <c r="J7" s="1">
        <v>2022</v>
      </c>
      <c r="K7" s="4"/>
      <c r="L7" s="4"/>
      <c r="M7" s="1" t="s">
        <v>181</v>
      </c>
      <c r="N7" s="3" t="s">
        <v>182</v>
      </c>
      <c r="O7" s="1" t="s">
        <v>183</v>
      </c>
      <c r="P7" s="1" t="s">
        <v>184</v>
      </c>
      <c r="Q7" s="1" t="s">
        <v>185</v>
      </c>
      <c r="R7" s="4"/>
    </row>
    <row r="8" spans="1:18" ht="15.75" customHeight="1" x14ac:dyDescent="0.25">
      <c r="A8" s="1" t="s">
        <v>13</v>
      </c>
      <c r="B8" s="1" t="s">
        <v>186</v>
      </c>
      <c r="C8" s="1" t="s">
        <v>187</v>
      </c>
      <c r="D8" s="1" t="s">
        <v>188</v>
      </c>
      <c r="E8" s="1">
        <v>2022</v>
      </c>
      <c r="F8" s="4"/>
      <c r="G8" s="4"/>
      <c r="H8" s="4"/>
      <c r="I8" s="1" t="s">
        <v>189</v>
      </c>
      <c r="J8" s="1">
        <v>2022</v>
      </c>
      <c r="K8" s="4"/>
      <c r="L8" s="4"/>
      <c r="M8" s="1" t="s">
        <v>73</v>
      </c>
      <c r="N8" s="3" t="s">
        <v>190</v>
      </c>
      <c r="O8" s="1" t="s">
        <v>191</v>
      </c>
      <c r="P8" s="1" t="s">
        <v>192</v>
      </c>
      <c r="Q8" s="1" t="s">
        <v>157</v>
      </c>
      <c r="R8" s="4"/>
    </row>
    <row r="9" spans="1:18" ht="15.75" customHeight="1" x14ac:dyDescent="0.25">
      <c r="A9" s="1" t="s">
        <v>141</v>
      </c>
      <c r="B9" s="1" t="s">
        <v>193</v>
      </c>
      <c r="C9" s="1" t="s">
        <v>194</v>
      </c>
      <c r="D9" s="4"/>
      <c r="E9" s="1">
        <v>2022</v>
      </c>
      <c r="F9" s="4"/>
      <c r="G9" s="4"/>
      <c r="H9" s="1" t="s">
        <v>195</v>
      </c>
      <c r="I9" s="1" t="s">
        <v>196</v>
      </c>
      <c r="J9" s="1">
        <v>2022</v>
      </c>
      <c r="K9" s="1">
        <v>9781450394277</v>
      </c>
      <c r="L9" s="4"/>
      <c r="M9" s="1" t="s">
        <v>197</v>
      </c>
      <c r="N9" s="3" t="s">
        <v>198</v>
      </c>
      <c r="O9" s="1" t="s">
        <v>199</v>
      </c>
      <c r="P9" s="1" t="s">
        <v>200</v>
      </c>
      <c r="Q9" s="1" t="s">
        <v>157</v>
      </c>
      <c r="R9" s="4"/>
    </row>
    <row r="10" spans="1:18" ht="15.75" customHeight="1" x14ac:dyDescent="0.25">
      <c r="A10" s="1" t="s">
        <v>13</v>
      </c>
      <c r="B10" s="1" t="s">
        <v>201</v>
      </c>
      <c r="C10" s="1" t="s">
        <v>202</v>
      </c>
      <c r="D10" s="1" t="s">
        <v>136</v>
      </c>
      <c r="E10" s="1">
        <v>2022</v>
      </c>
      <c r="F10" s="1">
        <v>27</v>
      </c>
      <c r="G10" s="1">
        <v>6</v>
      </c>
      <c r="H10" s="4"/>
      <c r="I10" s="1" t="s">
        <v>137</v>
      </c>
      <c r="J10" s="1">
        <v>2022</v>
      </c>
      <c r="K10" s="4"/>
      <c r="L10" s="4"/>
      <c r="M10" s="1" t="s">
        <v>33</v>
      </c>
      <c r="N10" s="3" t="s">
        <v>203</v>
      </c>
      <c r="O10" s="1" t="s">
        <v>204</v>
      </c>
      <c r="P10" s="1" t="s">
        <v>205</v>
      </c>
      <c r="Q10" s="1" t="s">
        <v>206</v>
      </c>
      <c r="R10" s="4"/>
    </row>
    <row r="11" spans="1:18" ht="15.75" customHeight="1" x14ac:dyDescent="0.25">
      <c r="A11" s="1" t="s">
        <v>13</v>
      </c>
      <c r="B11" s="1" t="s">
        <v>207</v>
      </c>
      <c r="C11" s="1" t="s">
        <v>208</v>
      </c>
      <c r="D11" s="1" t="s">
        <v>209</v>
      </c>
      <c r="E11" s="1">
        <v>2022</v>
      </c>
      <c r="F11" s="1" t="s">
        <v>210</v>
      </c>
      <c r="G11" s="4"/>
      <c r="H11" s="1" t="s">
        <v>211</v>
      </c>
      <c r="I11" s="1" t="s">
        <v>212</v>
      </c>
      <c r="J11" s="1">
        <v>2022</v>
      </c>
      <c r="K11" s="4"/>
      <c r="L11" s="4"/>
      <c r="M11" s="1" t="s">
        <v>213</v>
      </c>
      <c r="N11" s="3" t="s">
        <v>214</v>
      </c>
      <c r="O11" s="1" t="s">
        <v>215</v>
      </c>
      <c r="P11" s="1" t="s">
        <v>216</v>
      </c>
      <c r="Q11" s="1" t="s">
        <v>157</v>
      </c>
      <c r="R11" s="4"/>
    </row>
    <row r="12" spans="1:18" ht="15.75" customHeight="1" x14ac:dyDescent="0.25">
      <c r="A12" s="1" t="s">
        <v>13</v>
      </c>
      <c r="B12" s="1" t="s">
        <v>217</v>
      </c>
      <c r="C12" s="1" t="s">
        <v>218</v>
      </c>
      <c r="D12" s="1" t="s">
        <v>219</v>
      </c>
      <c r="E12" s="1">
        <v>2022</v>
      </c>
      <c r="F12" s="1">
        <v>24</v>
      </c>
      <c r="G12" s="1">
        <v>4</v>
      </c>
      <c r="H12" s="1" t="s">
        <v>220</v>
      </c>
      <c r="I12" s="1" t="s">
        <v>212</v>
      </c>
      <c r="J12" s="1">
        <v>2022</v>
      </c>
      <c r="K12" s="4"/>
      <c r="L12" s="4"/>
      <c r="M12" s="1" t="s">
        <v>221</v>
      </c>
      <c r="N12" s="3" t="s">
        <v>222</v>
      </c>
      <c r="O12" s="1" t="s">
        <v>223</v>
      </c>
      <c r="P12" s="1" t="s">
        <v>224</v>
      </c>
      <c r="Q12" s="1" t="s">
        <v>176</v>
      </c>
      <c r="R12" s="4"/>
    </row>
    <row r="13" spans="1:18" ht="15.75" customHeight="1" x14ac:dyDescent="0.25">
      <c r="A13" s="1" t="s">
        <v>13</v>
      </c>
      <c r="B13" s="1" t="s">
        <v>225</v>
      </c>
      <c r="C13" s="1" t="s">
        <v>226</v>
      </c>
      <c r="D13" s="1" t="s">
        <v>227</v>
      </c>
      <c r="E13" s="1">
        <v>2022</v>
      </c>
      <c r="F13" s="1">
        <v>12</v>
      </c>
      <c r="G13" s="1">
        <v>19</v>
      </c>
      <c r="H13" s="4"/>
      <c r="I13" s="1" t="s">
        <v>228</v>
      </c>
      <c r="J13" s="1">
        <v>2022</v>
      </c>
      <c r="K13" s="4"/>
      <c r="L13" s="4"/>
      <c r="M13" s="1" t="s">
        <v>229</v>
      </c>
      <c r="N13" s="3" t="s">
        <v>230</v>
      </c>
      <c r="O13" s="1" t="s">
        <v>231</v>
      </c>
      <c r="P13" s="1" t="s">
        <v>232</v>
      </c>
      <c r="Q13" s="1" t="s">
        <v>233</v>
      </c>
      <c r="R13" s="4"/>
    </row>
    <row r="14" spans="1:18" ht="15.75" customHeight="1" x14ac:dyDescent="0.25">
      <c r="A14" s="1" t="s">
        <v>13</v>
      </c>
      <c r="B14" s="1" t="s">
        <v>234</v>
      </c>
      <c r="C14" s="1" t="s">
        <v>235</v>
      </c>
      <c r="D14" s="1" t="s">
        <v>136</v>
      </c>
      <c r="E14" s="1">
        <v>2022</v>
      </c>
      <c r="F14" s="1">
        <v>27</v>
      </c>
      <c r="G14" s="1">
        <v>7</v>
      </c>
      <c r="H14" s="4"/>
      <c r="I14" s="1" t="s">
        <v>137</v>
      </c>
      <c r="J14" s="1">
        <v>2022</v>
      </c>
      <c r="K14" s="4"/>
      <c r="L14" s="4"/>
      <c r="M14" s="1" t="s">
        <v>33</v>
      </c>
      <c r="N14" s="3" t="s">
        <v>236</v>
      </c>
      <c r="O14" s="1" t="s">
        <v>237</v>
      </c>
      <c r="P14" s="1" t="s">
        <v>238</v>
      </c>
      <c r="Q14" s="1" t="s">
        <v>166</v>
      </c>
      <c r="R14" s="4"/>
    </row>
    <row r="15" spans="1:18" ht="15.75" customHeight="1" x14ac:dyDescent="0.25">
      <c r="A15" s="1" t="s">
        <v>13</v>
      </c>
      <c r="B15" s="1" t="s">
        <v>239</v>
      </c>
      <c r="C15" s="1" t="s">
        <v>240</v>
      </c>
      <c r="D15" s="1" t="s">
        <v>188</v>
      </c>
      <c r="E15" s="1">
        <v>2022</v>
      </c>
      <c r="F15" s="4"/>
      <c r="G15" s="4"/>
      <c r="H15" s="4"/>
      <c r="I15" s="1" t="s">
        <v>189</v>
      </c>
      <c r="J15" s="1">
        <v>2022</v>
      </c>
      <c r="K15" s="4"/>
      <c r="L15" s="4"/>
      <c r="M15" s="1" t="s">
        <v>73</v>
      </c>
      <c r="N15" s="3" t="s">
        <v>241</v>
      </c>
      <c r="O15" s="1" t="s">
        <v>242</v>
      </c>
      <c r="P15" s="1" t="s">
        <v>243</v>
      </c>
      <c r="Q15" s="1" t="s">
        <v>157</v>
      </c>
      <c r="R15" s="4"/>
    </row>
    <row r="16" spans="1:18" ht="15.75" customHeight="1" x14ac:dyDescent="0.25">
      <c r="A16" s="1" t="s">
        <v>13</v>
      </c>
      <c r="B16" s="1" t="s">
        <v>244</v>
      </c>
      <c r="C16" s="1" t="s">
        <v>245</v>
      </c>
      <c r="D16" s="1" t="s">
        <v>246</v>
      </c>
      <c r="E16" s="1">
        <v>2022</v>
      </c>
      <c r="F16" s="1">
        <v>23</v>
      </c>
      <c r="G16" s="1">
        <v>5</v>
      </c>
      <c r="H16" s="1" t="s">
        <v>247</v>
      </c>
      <c r="I16" s="1" t="s">
        <v>248</v>
      </c>
      <c r="J16" s="1">
        <v>2022</v>
      </c>
      <c r="K16" s="4"/>
      <c r="L16" s="4"/>
      <c r="M16" s="1" t="s">
        <v>249</v>
      </c>
      <c r="N16" s="3" t="s">
        <v>250</v>
      </c>
      <c r="O16" s="1" t="s">
        <v>251</v>
      </c>
      <c r="P16" s="1" t="s">
        <v>252</v>
      </c>
      <c r="Q16" s="1" t="s">
        <v>157</v>
      </c>
      <c r="R16" s="4"/>
    </row>
    <row r="17" spans="1:18" ht="15.75" customHeight="1" x14ac:dyDescent="0.25">
      <c r="A17" s="1" t="s">
        <v>13</v>
      </c>
      <c r="B17" s="1" t="s">
        <v>253</v>
      </c>
      <c r="C17" s="1" t="s">
        <v>254</v>
      </c>
      <c r="D17" s="1" t="s">
        <v>255</v>
      </c>
      <c r="E17" s="1">
        <v>2022</v>
      </c>
      <c r="F17" s="1">
        <v>48</v>
      </c>
      <c r="G17" s="1">
        <v>7</v>
      </c>
      <c r="H17" s="1" t="s">
        <v>256</v>
      </c>
      <c r="I17" s="1" t="s">
        <v>257</v>
      </c>
      <c r="J17" s="1">
        <v>2022</v>
      </c>
      <c r="K17" s="4"/>
      <c r="L17" s="4"/>
      <c r="M17" s="1" t="s">
        <v>18</v>
      </c>
      <c r="N17" s="3" t="s">
        <v>258</v>
      </c>
      <c r="O17" s="1" t="s">
        <v>259</v>
      </c>
      <c r="P17" s="1" t="s">
        <v>260</v>
      </c>
      <c r="Q17" s="1" t="s">
        <v>261</v>
      </c>
      <c r="R17" s="4"/>
    </row>
    <row r="18" spans="1:18" ht="15.75" customHeight="1" x14ac:dyDescent="0.25">
      <c r="A18" s="1" t="s">
        <v>13</v>
      </c>
      <c r="B18" s="1" t="s">
        <v>262</v>
      </c>
      <c r="C18" s="1" t="s">
        <v>263</v>
      </c>
      <c r="D18" s="1" t="s">
        <v>264</v>
      </c>
      <c r="E18" s="1">
        <v>2022</v>
      </c>
      <c r="F18" s="1">
        <v>52</v>
      </c>
      <c r="G18" s="1">
        <v>12</v>
      </c>
      <c r="H18" s="1" t="s">
        <v>265</v>
      </c>
      <c r="I18" s="1" t="s">
        <v>266</v>
      </c>
      <c r="J18" s="1">
        <v>2022</v>
      </c>
      <c r="K18" s="4"/>
      <c r="L18" s="4"/>
      <c r="M18" s="1" t="s">
        <v>267</v>
      </c>
      <c r="N18" s="3" t="s">
        <v>268</v>
      </c>
      <c r="O18" s="1" t="s">
        <v>269</v>
      </c>
      <c r="P18" s="1" t="s">
        <v>270</v>
      </c>
      <c r="Q18" s="1" t="s">
        <v>157</v>
      </c>
      <c r="R18" s="4"/>
    </row>
    <row r="19" spans="1:18" ht="15.75" customHeight="1" x14ac:dyDescent="0.25">
      <c r="A19" s="1" t="s">
        <v>13</v>
      </c>
      <c r="B19" s="1" t="s">
        <v>271</v>
      </c>
      <c r="C19" s="1" t="s">
        <v>272</v>
      </c>
      <c r="D19" s="1" t="s">
        <v>264</v>
      </c>
      <c r="E19" s="1">
        <v>2022</v>
      </c>
      <c r="F19" s="1">
        <v>52</v>
      </c>
      <c r="G19" s="1">
        <v>10</v>
      </c>
      <c r="H19" s="1" t="s">
        <v>273</v>
      </c>
      <c r="I19" s="1" t="s">
        <v>266</v>
      </c>
      <c r="J19" s="1">
        <v>2022</v>
      </c>
      <c r="K19" s="4"/>
      <c r="L19" s="4"/>
      <c r="M19" s="1" t="s">
        <v>267</v>
      </c>
      <c r="N19" s="3" t="s">
        <v>274</v>
      </c>
      <c r="O19" s="1" t="s">
        <v>275</v>
      </c>
      <c r="P19" s="1" t="s">
        <v>276</v>
      </c>
      <c r="Q19" s="1" t="s">
        <v>157</v>
      </c>
      <c r="R19" s="4"/>
    </row>
    <row r="20" spans="1:18" ht="15.75" customHeight="1" x14ac:dyDescent="0.25">
      <c r="A20" s="1" t="s">
        <v>13</v>
      </c>
      <c r="B20" s="1" t="s">
        <v>277</v>
      </c>
      <c r="C20" s="1" t="s">
        <v>278</v>
      </c>
      <c r="D20" s="1" t="s">
        <v>279</v>
      </c>
      <c r="E20" s="1">
        <v>2022</v>
      </c>
      <c r="F20" s="1">
        <v>20</v>
      </c>
      <c r="G20" s="4"/>
      <c r="H20" s="4"/>
      <c r="I20" s="1" t="s">
        <v>280</v>
      </c>
      <c r="J20" s="1">
        <v>2022</v>
      </c>
      <c r="K20" s="4"/>
      <c r="L20" s="4"/>
      <c r="M20" s="1" t="s">
        <v>281</v>
      </c>
      <c r="N20" s="3" t="s">
        <v>282</v>
      </c>
      <c r="O20" s="1" t="s">
        <v>283</v>
      </c>
      <c r="P20" s="1" t="s">
        <v>284</v>
      </c>
      <c r="Q20" s="1" t="s">
        <v>285</v>
      </c>
      <c r="R20" s="4"/>
    </row>
    <row r="21" spans="1:18" ht="15.75" customHeight="1" x14ac:dyDescent="0.25">
      <c r="A21" s="1" t="s">
        <v>13</v>
      </c>
      <c r="B21" s="1" t="s">
        <v>286</v>
      </c>
      <c r="C21" s="1" t="s">
        <v>116</v>
      </c>
      <c r="D21" s="1" t="s">
        <v>136</v>
      </c>
      <c r="E21" s="1">
        <v>2022</v>
      </c>
      <c r="F21" s="1">
        <v>27</v>
      </c>
      <c r="G21" s="1">
        <v>3</v>
      </c>
      <c r="H21" s="4"/>
      <c r="I21" s="1" t="s">
        <v>137</v>
      </c>
      <c r="J21" s="1">
        <v>2022</v>
      </c>
      <c r="K21" s="4"/>
      <c r="L21" s="4"/>
      <c r="M21" s="1" t="s">
        <v>33</v>
      </c>
      <c r="N21" s="3" t="s">
        <v>287</v>
      </c>
      <c r="O21" s="1" t="s">
        <v>118</v>
      </c>
      <c r="P21" s="1" t="s">
        <v>288</v>
      </c>
      <c r="Q21" s="1" t="s">
        <v>289</v>
      </c>
      <c r="R21" s="4"/>
    </row>
    <row r="22" spans="1:18" ht="15.75" customHeight="1" x14ac:dyDescent="0.25">
      <c r="A22" s="1" t="s">
        <v>13</v>
      </c>
      <c r="B22" s="1" t="s">
        <v>290</v>
      </c>
      <c r="C22" s="1" t="s">
        <v>291</v>
      </c>
      <c r="D22" s="1" t="s">
        <v>292</v>
      </c>
      <c r="E22" s="1">
        <v>2022</v>
      </c>
      <c r="F22" s="1">
        <v>34</v>
      </c>
      <c r="G22" s="1">
        <v>10</v>
      </c>
      <c r="H22" s="1" t="s">
        <v>293</v>
      </c>
      <c r="I22" s="1" t="s">
        <v>294</v>
      </c>
      <c r="J22" s="1">
        <v>2022</v>
      </c>
      <c r="K22" s="4"/>
      <c r="L22" s="4"/>
      <c r="M22" s="1" t="s">
        <v>295</v>
      </c>
      <c r="N22" s="3" t="s">
        <v>296</v>
      </c>
      <c r="O22" s="1" t="s">
        <v>297</v>
      </c>
      <c r="P22" s="1" t="s">
        <v>298</v>
      </c>
      <c r="Q22" s="1" t="s">
        <v>285</v>
      </c>
      <c r="R22" s="4"/>
    </row>
    <row r="23" spans="1:18" ht="15.75" customHeight="1" x14ac:dyDescent="0.25">
      <c r="A23" s="1" t="s">
        <v>13</v>
      </c>
      <c r="B23" s="1" t="s">
        <v>299</v>
      </c>
      <c r="C23" s="1" t="s">
        <v>300</v>
      </c>
      <c r="D23" s="1" t="s">
        <v>255</v>
      </c>
      <c r="E23" s="1">
        <v>2022</v>
      </c>
      <c r="F23" s="1">
        <v>48</v>
      </c>
      <c r="G23" s="1">
        <v>8</v>
      </c>
      <c r="H23" s="1" t="s">
        <v>301</v>
      </c>
      <c r="I23" s="1" t="s">
        <v>257</v>
      </c>
      <c r="J23" s="1">
        <v>2022</v>
      </c>
      <c r="K23" s="4"/>
      <c r="L23" s="4"/>
      <c r="M23" s="1" t="s">
        <v>18</v>
      </c>
      <c r="N23" s="3" t="s">
        <v>302</v>
      </c>
      <c r="O23" s="1" t="s">
        <v>303</v>
      </c>
      <c r="P23" s="1" t="s">
        <v>304</v>
      </c>
      <c r="Q23" s="1" t="s">
        <v>176</v>
      </c>
      <c r="R23" s="4"/>
    </row>
    <row r="24" spans="1:18" ht="15.75" customHeight="1" x14ac:dyDescent="0.25">
      <c r="A24" s="1" t="s">
        <v>13</v>
      </c>
      <c r="B24" s="1" t="s">
        <v>305</v>
      </c>
      <c r="C24" s="1" t="s">
        <v>306</v>
      </c>
      <c r="D24" s="1" t="s">
        <v>307</v>
      </c>
      <c r="E24" s="1">
        <v>2023</v>
      </c>
      <c r="F24" s="1">
        <v>156</v>
      </c>
      <c r="G24" s="4"/>
      <c r="H24" s="4"/>
      <c r="I24" s="1" t="s">
        <v>280</v>
      </c>
      <c r="J24" s="1">
        <v>2023</v>
      </c>
      <c r="K24" s="4"/>
      <c r="L24" s="4"/>
      <c r="M24" s="1" t="s">
        <v>308</v>
      </c>
      <c r="N24" s="3" t="s">
        <v>309</v>
      </c>
      <c r="O24" s="1" t="s">
        <v>310</v>
      </c>
      <c r="P24" s="1" t="s">
        <v>311</v>
      </c>
      <c r="Q24" s="1" t="s">
        <v>157</v>
      </c>
      <c r="R24" s="4"/>
    </row>
    <row r="25" spans="1:18" ht="15.75" customHeight="1" x14ac:dyDescent="0.25">
      <c r="A25" s="1" t="s">
        <v>141</v>
      </c>
      <c r="B25" s="1" t="s">
        <v>312</v>
      </c>
      <c r="C25" s="1" t="s">
        <v>313</v>
      </c>
      <c r="D25" s="4"/>
      <c r="E25" s="1">
        <v>2022</v>
      </c>
      <c r="F25" s="4"/>
      <c r="G25" s="4"/>
      <c r="H25" s="1" t="s">
        <v>314</v>
      </c>
      <c r="I25" s="1" t="s">
        <v>153</v>
      </c>
      <c r="J25" s="1">
        <v>2022</v>
      </c>
      <c r="K25" s="1">
        <v>9781450394130</v>
      </c>
      <c r="L25" s="4"/>
      <c r="M25" s="4"/>
      <c r="N25" s="3" t="s">
        <v>315</v>
      </c>
      <c r="O25" s="1" t="s">
        <v>316</v>
      </c>
      <c r="P25" s="1" t="s">
        <v>317</v>
      </c>
      <c r="Q25" s="1" t="s">
        <v>318</v>
      </c>
      <c r="R25" s="4"/>
    </row>
    <row r="26" spans="1:18" ht="15.75" customHeight="1" x14ac:dyDescent="0.25">
      <c r="A26" s="1" t="s">
        <v>141</v>
      </c>
      <c r="B26" s="1" t="s">
        <v>319</v>
      </c>
      <c r="C26" s="1" t="s">
        <v>320</v>
      </c>
      <c r="D26" s="4"/>
      <c r="E26" s="1">
        <v>2022</v>
      </c>
      <c r="F26" s="7">
        <v>44774</v>
      </c>
      <c r="G26" s="4"/>
      <c r="H26" s="1" t="s">
        <v>321</v>
      </c>
      <c r="I26" s="1" t="s">
        <v>196</v>
      </c>
      <c r="J26" s="1">
        <v>2022</v>
      </c>
      <c r="K26" s="1">
        <v>9781665470001</v>
      </c>
      <c r="L26" s="4"/>
      <c r="M26" s="1" t="s">
        <v>322</v>
      </c>
      <c r="N26" s="3" t="s">
        <v>323</v>
      </c>
      <c r="O26" s="1" t="s">
        <v>324</v>
      </c>
      <c r="P26" s="1" t="s">
        <v>325</v>
      </c>
      <c r="Q26" s="1" t="s">
        <v>157</v>
      </c>
      <c r="R26" s="4"/>
    </row>
    <row r="27" spans="1:18" ht="15.75" customHeight="1" x14ac:dyDescent="0.25">
      <c r="A27" s="1" t="s">
        <v>13</v>
      </c>
      <c r="B27" s="1" t="s">
        <v>326</v>
      </c>
      <c r="C27" s="1" t="s">
        <v>327</v>
      </c>
      <c r="D27" s="1" t="s">
        <v>328</v>
      </c>
      <c r="E27" s="1">
        <v>2022</v>
      </c>
      <c r="F27" s="1">
        <v>31</v>
      </c>
      <c r="G27" s="1">
        <v>2</v>
      </c>
      <c r="H27" s="4"/>
      <c r="I27" s="1" t="s">
        <v>145</v>
      </c>
      <c r="J27" s="1">
        <v>2022</v>
      </c>
      <c r="K27" s="4"/>
      <c r="L27" s="4"/>
      <c r="M27" s="1" t="s">
        <v>329</v>
      </c>
      <c r="N27" s="3" t="s">
        <v>330</v>
      </c>
      <c r="O27" s="1" t="s">
        <v>331</v>
      </c>
      <c r="P27" s="1" t="s">
        <v>332</v>
      </c>
      <c r="Q27" s="1" t="s">
        <v>289</v>
      </c>
      <c r="R27" s="4"/>
    </row>
    <row r="28" spans="1:18" ht="15.75" customHeight="1" x14ac:dyDescent="0.25">
      <c r="A28" s="1" t="s">
        <v>13</v>
      </c>
      <c r="B28" s="1" t="s">
        <v>333</v>
      </c>
      <c r="C28" s="1" t="s">
        <v>334</v>
      </c>
      <c r="D28" s="1" t="s">
        <v>188</v>
      </c>
      <c r="E28" s="1">
        <v>2022</v>
      </c>
      <c r="F28" s="1">
        <v>32</v>
      </c>
      <c r="G28" s="1">
        <v>6</v>
      </c>
      <c r="H28" s="1" t="s">
        <v>335</v>
      </c>
      <c r="I28" s="1" t="s">
        <v>189</v>
      </c>
      <c r="J28" s="1">
        <v>2022</v>
      </c>
      <c r="K28" s="4"/>
      <c r="L28" s="4"/>
      <c r="M28" s="1" t="s">
        <v>73</v>
      </c>
      <c r="N28" s="3" t="s">
        <v>336</v>
      </c>
      <c r="O28" s="1" t="s">
        <v>337</v>
      </c>
      <c r="P28" s="1" t="s">
        <v>338</v>
      </c>
      <c r="Q28" s="1" t="s">
        <v>157</v>
      </c>
      <c r="R28" s="4"/>
    </row>
    <row r="29" spans="1:18" ht="15.75" customHeight="1" x14ac:dyDescent="0.25">
      <c r="A29" s="1" t="s">
        <v>141</v>
      </c>
      <c r="B29" s="1" t="s">
        <v>339</v>
      </c>
      <c r="C29" s="1" t="s">
        <v>340</v>
      </c>
      <c r="D29" s="4"/>
      <c r="E29" s="1">
        <v>2022</v>
      </c>
      <c r="F29" s="4"/>
      <c r="G29" s="4"/>
      <c r="H29" s="1" t="s">
        <v>341</v>
      </c>
      <c r="I29" s="1" t="s">
        <v>257</v>
      </c>
      <c r="J29" s="1">
        <v>2022</v>
      </c>
      <c r="K29" s="1">
        <v>9781665488105</v>
      </c>
      <c r="L29" s="4"/>
      <c r="M29" s="4"/>
      <c r="N29" s="3" t="s">
        <v>342</v>
      </c>
      <c r="O29" s="1" t="s">
        <v>343</v>
      </c>
      <c r="P29" s="1" t="s">
        <v>344</v>
      </c>
      <c r="Q29" s="1" t="s">
        <v>157</v>
      </c>
      <c r="R29" s="4"/>
    </row>
    <row r="30" spans="1:18" ht="15.75" customHeight="1" x14ac:dyDescent="0.25">
      <c r="A30" s="1" t="s">
        <v>13</v>
      </c>
      <c r="B30" s="1" t="s">
        <v>345</v>
      </c>
      <c r="C30" s="1" t="s">
        <v>346</v>
      </c>
      <c r="D30" s="1" t="s">
        <v>347</v>
      </c>
      <c r="E30" s="1">
        <v>2022</v>
      </c>
      <c r="F30" s="1">
        <v>71</v>
      </c>
      <c r="G30" s="1">
        <v>2</v>
      </c>
      <c r="H30" s="1" t="s">
        <v>348</v>
      </c>
      <c r="I30" s="1" t="s">
        <v>257</v>
      </c>
      <c r="J30" s="1">
        <v>2022</v>
      </c>
      <c r="K30" s="4"/>
      <c r="L30" s="4"/>
      <c r="M30" s="1" t="s">
        <v>92</v>
      </c>
      <c r="N30" s="3" t="s">
        <v>349</v>
      </c>
      <c r="O30" s="1" t="s">
        <v>350</v>
      </c>
      <c r="P30" s="1" t="s">
        <v>351</v>
      </c>
      <c r="Q30" s="1" t="s">
        <v>157</v>
      </c>
      <c r="R30" s="4"/>
    </row>
    <row r="31" spans="1:18" ht="15.75" customHeight="1" x14ac:dyDescent="0.25">
      <c r="A31" s="1" t="s">
        <v>13</v>
      </c>
      <c r="B31" s="1" t="s">
        <v>352</v>
      </c>
      <c r="C31" s="1" t="s">
        <v>353</v>
      </c>
      <c r="D31" s="1" t="s">
        <v>354</v>
      </c>
      <c r="E31" s="1">
        <v>2022</v>
      </c>
      <c r="F31" s="1">
        <v>194</v>
      </c>
      <c r="G31" s="4"/>
      <c r="H31" s="4"/>
      <c r="I31" s="1" t="s">
        <v>355</v>
      </c>
      <c r="J31" s="1">
        <v>2022</v>
      </c>
      <c r="K31" s="4"/>
      <c r="L31" s="4"/>
      <c r="M31" s="1" t="s">
        <v>65</v>
      </c>
      <c r="N31" s="3" t="s">
        <v>356</v>
      </c>
      <c r="O31" s="1" t="s">
        <v>357</v>
      </c>
      <c r="P31" s="1" t="s">
        <v>358</v>
      </c>
      <c r="Q31" s="1" t="s">
        <v>318</v>
      </c>
      <c r="R31" s="4"/>
    </row>
    <row r="32" spans="1:18" ht="15.75" customHeight="1" x14ac:dyDescent="0.25">
      <c r="A32" s="1" t="s">
        <v>13</v>
      </c>
      <c r="B32" s="1" t="s">
        <v>359</v>
      </c>
      <c r="C32" s="1" t="s">
        <v>360</v>
      </c>
      <c r="D32" s="1" t="s">
        <v>361</v>
      </c>
      <c r="E32" s="1">
        <v>2022</v>
      </c>
      <c r="F32" s="1">
        <v>5</v>
      </c>
      <c r="G32" s="1">
        <v>1</v>
      </c>
      <c r="H32" s="4"/>
      <c r="I32" s="1" t="s">
        <v>362</v>
      </c>
      <c r="J32" s="1">
        <v>2022</v>
      </c>
      <c r="K32" s="4"/>
      <c r="L32" s="4"/>
      <c r="M32" s="1" t="s">
        <v>363</v>
      </c>
      <c r="N32" s="3" t="s">
        <v>364</v>
      </c>
      <c r="O32" s="1" t="s">
        <v>365</v>
      </c>
      <c r="P32" s="1" t="s">
        <v>366</v>
      </c>
      <c r="Q32" s="1" t="s">
        <v>367</v>
      </c>
      <c r="R32" s="4"/>
    </row>
    <row r="33" spans="1:18" ht="15.75" customHeight="1" x14ac:dyDescent="0.25">
      <c r="A33" s="1" t="s">
        <v>13</v>
      </c>
      <c r="B33" s="1" t="s">
        <v>368</v>
      </c>
      <c r="C33" s="1" t="s">
        <v>369</v>
      </c>
      <c r="D33" s="1" t="s">
        <v>370</v>
      </c>
      <c r="E33" s="1">
        <v>2023</v>
      </c>
      <c r="F33" s="1">
        <v>16</v>
      </c>
      <c r="G33" s="1">
        <v>3</v>
      </c>
      <c r="H33" s="4"/>
      <c r="I33" s="1" t="s">
        <v>371</v>
      </c>
      <c r="J33" s="1">
        <v>2023</v>
      </c>
      <c r="K33" s="4"/>
      <c r="L33" s="4"/>
      <c r="M33" s="1" t="s">
        <v>372</v>
      </c>
      <c r="N33" s="3" t="s">
        <v>373</v>
      </c>
      <c r="O33" s="1" t="s">
        <v>374</v>
      </c>
      <c r="P33" s="1" t="s">
        <v>375</v>
      </c>
      <c r="Q33" s="1" t="s">
        <v>157</v>
      </c>
      <c r="R33" s="4"/>
    </row>
    <row r="34" spans="1:18" ht="15.75" customHeight="1" x14ac:dyDescent="0.25">
      <c r="A34" s="1" t="s">
        <v>141</v>
      </c>
      <c r="B34" s="1" t="s">
        <v>376</v>
      </c>
      <c r="C34" s="1" t="s">
        <v>377</v>
      </c>
      <c r="D34" s="4"/>
      <c r="E34" s="1">
        <v>2022</v>
      </c>
      <c r="F34" s="4"/>
      <c r="G34" s="4"/>
      <c r="H34" s="1" t="s">
        <v>378</v>
      </c>
      <c r="I34" s="1" t="s">
        <v>153</v>
      </c>
      <c r="J34" s="1">
        <v>2022</v>
      </c>
      <c r="K34" s="1">
        <v>9781450394574</v>
      </c>
      <c r="L34" s="4"/>
      <c r="M34" s="4"/>
      <c r="N34" s="3" t="s">
        <v>379</v>
      </c>
      <c r="O34" s="1" t="s">
        <v>380</v>
      </c>
      <c r="P34" s="1" t="s">
        <v>381</v>
      </c>
      <c r="Q34" s="1" t="s">
        <v>157</v>
      </c>
      <c r="R34" s="4"/>
    </row>
    <row r="35" spans="1:18" ht="15.75" customHeight="1" x14ac:dyDescent="0.25">
      <c r="A35" s="1" t="s">
        <v>13</v>
      </c>
      <c r="B35" s="1" t="s">
        <v>382</v>
      </c>
      <c r="C35" s="1" t="s">
        <v>383</v>
      </c>
      <c r="D35" s="1" t="s">
        <v>136</v>
      </c>
      <c r="E35" s="1">
        <v>2022</v>
      </c>
      <c r="F35" s="1">
        <v>27</v>
      </c>
      <c r="G35" s="1">
        <v>3</v>
      </c>
      <c r="H35" s="4"/>
      <c r="I35" s="1" t="s">
        <v>137</v>
      </c>
      <c r="J35" s="1">
        <v>2022</v>
      </c>
      <c r="K35" s="4"/>
      <c r="L35" s="4"/>
      <c r="M35" s="1" t="s">
        <v>33</v>
      </c>
      <c r="N35" s="3" t="s">
        <v>384</v>
      </c>
      <c r="O35" s="1" t="s">
        <v>385</v>
      </c>
      <c r="P35" s="1" t="s">
        <v>386</v>
      </c>
      <c r="Q35" s="1" t="s">
        <v>387</v>
      </c>
      <c r="R35" s="4"/>
    </row>
    <row r="36" spans="1:18" ht="15.75" customHeight="1" x14ac:dyDescent="0.25">
      <c r="A36" s="1" t="s">
        <v>13</v>
      </c>
      <c r="B36" s="1" t="s">
        <v>388</v>
      </c>
      <c r="C36" s="1" t="s">
        <v>389</v>
      </c>
      <c r="D36" s="1" t="s">
        <v>390</v>
      </c>
      <c r="E36" s="1">
        <v>2022</v>
      </c>
      <c r="F36" s="1">
        <v>55</v>
      </c>
      <c r="G36" s="1">
        <v>5</v>
      </c>
      <c r="H36" s="1" t="s">
        <v>391</v>
      </c>
      <c r="I36" s="1" t="s">
        <v>392</v>
      </c>
      <c r="J36" s="1">
        <v>2022</v>
      </c>
      <c r="K36" s="4"/>
      <c r="L36" s="4"/>
      <c r="M36" s="1" t="s">
        <v>393</v>
      </c>
      <c r="N36" s="3" t="s">
        <v>394</v>
      </c>
      <c r="O36" s="1" t="s">
        <v>395</v>
      </c>
      <c r="P36" s="1" t="s">
        <v>396</v>
      </c>
      <c r="Q36" s="1" t="s">
        <v>397</v>
      </c>
      <c r="R36" s="4"/>
    </row>
    <row r="37" spans="1:18" ht="15.75" customHeight="1" x14ac:dyDescent="0.25">
      <c r="A37" s="1" t="s">
        <v>141</v>
      </c>
      <c r="B37" s="1" t="s">
        <v>398</v>
      </c>
      <c r="C37" s="1" t="s">
        <v>399</v>
      </c>
      <c r="D37" s="4"/>
      <c r="E37" s="1">
        <v>2022</v>
      </c>
      <c r="F37" s="4"/>
      <c r="G37" s="4"/>
      <c r="H37" s="1" t="s">
        <v>400</v>
      </c>
      <c r="I37" s="1" t="s">
        <v>145</v>
      </c>
      <c r="J37" s="1">
        <v>2022</v>
      </c>
      <c r="K37" s="1">
        <v>9781450393850</v>
      </c>
      <c r="L37" s="4"/>
      <c r="M37" s="4"/>
      <c r="N37" s="3" t="s">
        <v>401</v>
      </c>
      <c r="O37" s="1" t="s">
        <v>402</v>
      </c>
      <c r="P37" s="1" t="s">
        <v>403</v>
      </c>
      <c r="Q37" s="1" t="s">
        <v>404</v>
      </c>
      <c r="R37" s="4"/>
    </row>
    <row r="38" spans="1:18" ht="15.75" customHeight="1" x14ac:dyDescent="0.25">
      <c r="A38" s="1" t="s">
        <v>13</v>
      </c>
      <c r="B38" s="1" t="s">
        <v>405</v>
      </c>
      <c r="C38" s="1" t="s">
        <v>406</v>
      </c>
      <c r="D38" s="1" t="s">
        <v>407</v>
      </c>
      <c r="E38" s="1">
        <v>2022</v>
      </c>
      <c r="F38" s="1">
        <v>21</v>
      </c>
      <c r="G38" s="1">
        <v>3</v>
      </c>
      <c r="H38" s="1" t="s">
        <v>408</v>
      </c>
      <c r="I38" s="1" t="s">
        <v>212</v>
      </c>
      <c r="J38" s="1">
        <v>2022</v>
      </c>
      <c r="K38" s="4"/>
      <c r="L38" s="4"/>
      <c r="M38" s="1" t="s">
        <v>409</v>
      </c>
      <c r="N38" s="3" t="s">
        <v>410</v>
      </c>
      <c r="O38" s="1" t="s">
        <v>411</v>
      </c>
      <c r="P38" s="1" t="s">
        <v>412</v>
      </c>
      <c r="Q38" s="1" t="s">
        <v>413</v>
      </c>
      <c r="R38" s="4"/>
    </row>
    <row r="39" spans="1:18" ht="15.75" customHeight="1" x14ac:dyDescent="0.25">
      <c r="A39" s="1" t="s">
        <v>141</v>
      </c>
      <c r="B39" s="1" t="s">
        <v>414</v>
      </c>
      <c r="C39" s="1" t="s">
        <v>415</v>
      </c>
      <c r="D39" s="4"/>
      <c r="E39" s="1">
        <v>2022</v>
      </c>
      <c r="F39" s="4"/>
      <c r="G39" s="4"/>
      <c r="H39" s="1" t="s">
        <v>416</v>
      </c>
      <c r="I39" s="1" t="s">
        <v>257</v>
      </c>
      <c r="J39" s="1">
        <v>2022</v>
      </c>
      <c r="K39" s="1">
        <v>9781665488648</v>
      </c>
      <c r="L39" s="4"/>
      <c r="M39" s="4"/>
      <c r="N39" s="3" t="s">
        <v>417</v>
      </c>
      <c r="O39" s="1" t="s">
        <v>418</v>
      </c>
      <c r="P39" s="1" t="s">
        <v>419</v>
      </c>
      <c r="Q39" s="1" t="s">
        <v>404</v>
      </c>
      <c r="R39" s="4"/>
    </row>
    <row r="40" spans="1:18" ht="15.75" customHeight="1" x14ac:dyDescent="0.25">
      <c r="A40" s="1" t="s">
        <v>13</v>
      </c>
      <c r="B40" s="1" t="s">
        <v>420</v>
      </c>
      <c r="C40" s="1" t="s">
        <v>421</v>
      </c>
      <c r="D40" s="1" t="s">
        <v>422</v>
      </c>
      <c r="E40" s="1">
        <v>2022</v>
      </c>
      <c r="F40" s="4"/>
      <c r="G40" s="4"/>
      <c r="H40" s="4"/>
      <c r="I40" s="1" t="s">
        <v>212</v>
      </c>
      <c r="J40" s="1">
        <v>2022</v>
      </c>
      <c r="K40" s="4"/>
      <c r="L40" s="4"/>
      <c r="M40" s="1" t="s">
        <v>423</v>
      </c>
      <c r="N40" s="3" t="s">
        <v>424</v>
      </c>
      <c r="O40" s="1" t="s">
        <v>425</v>
      </c>
      <c r="P40" s="1" t="s">
        <v>426</v>
      </c>
      <c r="Q40" s="1" t="s">
        <v>157</v>
      </c>
      <c r="R40" s="4"/>
    </row>
    <row r="41" spans="1:18" ht="15.75" customHeight="1" x14ac:dyDescent="0.25">
      <c r="A41" s="1" t="s">
        <v>13</v>
      </c>
      <c r="B41" s="1" t="s">
        <v>427</v>
      </c>
      <c r="C41" s="1" t="s">
        <v>428</v>
      </c>
      <c r="D41" s="1" t="s">
        <v>227</v>
      </c>
      <c r="E41" s="1">
        <v>2022</v>
      </c>
      <c r="F41" s="1">
        <v>12</v>
      </c>
      <c r="G41" s="1">
        <v>15</v>
      </c>
      <c r="H41" s="4"/>
      <c r="I41" s="1" t="s">
        <v>228</v>
      </c>
      <c r="J41" s="1">
        <v>2022</v>
      </c>
      <c r="K41" s="4"/>
      <c r="L41" s="4"/>
      <c r="M41" s="1" t="s">
        <v>229</v>
      </c>
      <c r="N41" s="3" t="s">
        <v>429</v>
      </c>
      <c r="O41" s="1" t="s">
        <v>430</v>
      </c>
      <c r="P41" s="1" t="s">
        <v>431</v>
      </c>
      <c r="Q41" s="1" t="s">
        <v>285</v>
      </c>
      <c r="R41" s="4"/>
    </row>
    <row r="42" spans="1:18" ht="15.75" customHeight="1" x14ac:dyDescent="0.25">
      <c r="A42" s="1" t="s">
        <v>13</v>
      </c>
      <c r="B42" s="1" t="s">
        <v>432</v>
      </c>
      <c r="C42" s="1" t="s">
        <v>433</v>
      </c>
      <c r="D42" s="1" t="s">
        <v>307</v>
      </c>
      <c r="E42" s="1">
        <v>2022</v>
      </c>
      <c r="F42" s="1">
        <v>147</v>
      </c>
      <c r="G42" s="4"/>
      <c r="H42" s="4"/>
      <c r="I42" s="1" t="s">
        <v>280</v>
      </c>
      <c r="J42" s="1">
        <v>2022</v>
      </c>
      <c r="K42" s="4"/>
      <c r="L42" s="4"/>
      <c r="M42" s="1" t="s">
        <v>308</v>
      </c>
      <c r="N42" s="3" t="s">
        <v>434</v>
      </c>
      <c r="O42" s="1" t="s">
        <v>435</v>
      </c>
      <c r="P42" s="1" t="s">
        <v>436</v>
      </c>
      <c r="Q42" s="1" t="s">
        <v>157</v>
      </c>
      <c r="R42" s="4"/>
    </row>
    <row r="43" spans="1:18" ht="15.75" customHeight="1" x14ac:dyDescent="0.25">
      <c r="A43" s="1" t="s">
        <v>13</v>
      </c>
      <c r="B43" s="1" t="s">
        <v>437</v>
      </c>
      <c r="C43" s="1" t="s">
        <v>438</v>
      </c>
      <c r="D43" s="1" t="s">
        <v>136</v>
      </c>
      <c r="E43" s="1">
        <v>2022</v>
      </c>
      <c r="F43" s="1">
        <v>27</v>
      </c>
      <c r="G43" s="1">
        <v>2</v>
      </c>
      <c r="H43" s="4"/>
      <c r="I43" s="1" t="s">
        <v>137</v>
      </c>
      <c r="J43" s="1">
        <v>2022</v>
      </c>
      <c r="K43" s="4"/>
      <c r="L43" s="4"/>
      <c r="M43" s="1" t="s">
        <v>33</v>
      </c>
      <c r="N43" s="3" t="s">
        <v>439</v>
      </c>
      <c r="O43" s="1" t="s">
        <v>440</v>
      </c>
      <c r="P43" s="1" t="s">
        <v>441</v>
      </c>
      <c r="Q43" s="1" t="s">
        <v>413</v>
      </c>
      <c r="R43" s="4"/>
    </row>
    <row r="44" spans="1:18" x14ac:dyDescent="0.25">
      <c r="A44" s="1" t="s">
        <v>13</v>
      </c>
      <c r="B44" s="1" t="s">
        <v>442</v>
      </c>
      <c r="C44" s="1" t="s">
        <v>443</v>
      </c>
      <c r="D44" s="1" t="s">
        <v>227</v>
      </c>
      <c r="E44" s="1">
        <v>2022</v>
      </c>
      <c r="F44" s="1">
        <v>12</v>
      </c>
      <c r="G44" s="1">
        <v>17</v>
      </c>
      <c r="H44" s="4"/>
      <c r="I44" s="1" t="s">
        <v>228</v>
      </c>
      <c r="J44" s="1">
        <v>2022</v>
      </c>
      <c r="K44" s="4"/>
      <c r="L44" s="4"/>
      <c r="M44" s="1" t="s">
        <v>229</v>
      </c>
      <c r="N44" s="3" t="s">
        <v>444</v>
      </c>
      <c r="O44" s="1" t="s">
        <v>445</v>
      </c>
      <c r="P44" s="1" t="s">
        <v>446</v>
      </c>
      <c r="Q44" s="1" t="s">
        <v>447</v>
      </c>
      <c r="R44" s="4"/>
    </row>
    <row r="45" spans="1:18" x14ac:dyDescent="0.25">
      <c r="A45" s="1" t="s">
        <v>13</v>
      </c>
      <c r="B45" s="1" t="s">
        <v>448</v>
      </c>
      <c r="C45" s="1" t="s">
        <v>449</v>
      </c>
      <c r="D45" s="1" t="s">
        <v>328</v>
      </c>
      <c r="E45" s="1">
        <v>2022</v>
      </c>
      <c r="F45" s="1">
        <v>31</v>
      </c>
      <c r="G45" s="1">
        <v>3</v>
      </c>
      <c r="H45" s="4"/>
      <c r="I45" s="1" t="s">
        <v>145</v>
      </c>
      <c r="J45" s="1">
        <v>2022</v>
      </c>
      <c r="K45" s="4"/>
      <c r="L45" s="4"/>
      <c r="M45" s="1" t="s">
        <v>329</v>
      </c>
      <c r="N45" s="3" t="s">
        <v>450</v>
      </c>
      <c r="O45" s="1" t="s">
        <v>451</v>
      </c>
      <c r="P45" s="1" t="s">
        <v>452</v>
      </c>
      <c r="Q45" s="1" t="s">
        <v>404</v>
      </c>
      <c r="R45" s="4"/>
    </row>
    <row r="46" spans="1:18" x14ac:dyDescent="0.25">
      <c r="A46" s="1" t="s">
        <v>141</v>
      </c>
      <c r="B46" s="1" t="s">
        <v>453</v>
      </c>
      <c r="C46" s="1" t="s">
        <v>454</v>
      </c>
      <c r="D46" s="4"/>
      <c r="E46" s="1">
        <v>2022</v>
      </c>
      <c r="F46" s="1">
        <v>115</v>
      </c>
      <c r="G46" s="4"/>
      <c r="H46" s="1" t="s">
        <v>455</v>
      </c>
      <c r="I46" s="1" t="s">
        <v>280</v>
      </c>
      <c r="J46" s="1">
        <v>2022</v>
      </c>
      <c r="K46" s="4"/>
      <c r="L46" s="4"/>
      <c r="M46" s="1" t="s">
        <v>456</v>
      </c>
      <c r="N46" s="3" t="s">
        <v>457</v>
      </c>
      <c r="O46" s="1" t="s">
        <v>458</v>
      </c>
      <c r="P46" s="1" t="s">
        <v>459</v>
      </c>
      <c r="Q46" s="1" t="s">
        <v>285</v>
      </c>
      <c r="R46" s="4"/>
    </row>
    <row r="47" spans="1:18" x14ac:dyDescent="0.25">
      <c r="A47" s="1" t="s">
        <v>13</v>
      </c>
      <c r="B47" s="1" t="s">
        <v>460</v>
      </c>
      <c r="C47" s="1" t="s">
        <v>461</v>
      </c>
      <c r="D47" s="1" t="s">
        <v>462</v>
      </c>
      <c r="E47" s="1">
        <v>2022</v>
      </c>
      <c r="F47" s="1" t="s">
        <v>463</v>
      </c>
      <c r="G47" s="4"/>
      <c r="H47" s="1" t="s">
        <v>464</v>
      </c>
      <c r="I47" s="1" t="s">
        <v>212</v>
      </c>
      <c r="J47" s="1">
        <v>2022</v>
      </c>
      <c r="K47" s="4"/>
      <c r="L47" s="4"/>
      <c r="M47" s="1" t="s">
        <v>465</v>
      </c>
      <c r="N47" s="3" t="s">
        <v>466</v>
      </c>
      <c r="O47" s="1" t="s">
        <v>467</v>
      </c>
      <c r="P47" s="1" t="s">
        <v>468</v>
      </c>
      <c r="Q47" s="1" t="s">
        <v>157</v>
      </c>
      <c r="R47" s="4"/>
    </row>
    <row r="48" spans="1:18" x14ac:dyDescent="0.25">
      <c r="A48" s="1" t="s">
        <v>141</v>
      </c>
      <c r="B48" s="1" t="s">
        <v>469</v>
      </c>
      <c r="C48" s="1" t="s">
        <v>470</v>
      </c>
      <c r="D48" s="4"/>
      <c r="E48" s="1">
        <v>2022</v>
      </c>
      <c r="F48" s="4"/>
      <c r="G48" s="4"/>
      <c r="H48" s="1" t="s">
        <v>471</v>
      </c>
      <c r="I48" s="1" t="s">
        <v>145</v>
      </c>
      <c r="J48" s="1">
        <v>2022</v>
      </c>
      <c r="K48" s="1">
        <v>9781450397254</v>
      </c>
      <c r="L48" s="4"/>
      <c r="M48" s="4"/>
      <c r="N48" s="3" t="s">
        <v>472</v>
      </c>
      <c r="O48" s="1" t="s">
        <v>473</v>
      </c>
      <c r="P48" s="1" t="s">
        <v>474</v>
      </c>
      <c r="Q48" s="1" t="s">
        <v>157</v>
      </c>
      <c r="R48" s="4"/>
    </row>
    <row r="49" spans="1:18" x14ac:dyDescent="0.25">
      <c r="A49" s="1" t="s">
        <v>13</v>
      </c>
      <c r="B49" s="1" t="s">
        <v>475</v>
      </c>
      <c r="C49" s="1" t="s">
        <v>476</v>
      </c>
      <c r="D49" s="1" t="s">
        <v>227</v>
      </c>
      <c r="E49" s="1">
        <v>2022</v>
      </c>
      <c r="F49" s="1">
        <v>12</v>
      </c>
      <c r="G49" s="1">
        <v>21</v>
      </c>
      <c r="H49" s="4"/>
      <c r="I49" s="1" t="s">
        <v>228</v>
      </c>
      <c r="J49" s="1">
        <v>2022</v>
      </c>
      <c r="K49" s="4"/>
      <c r="L49" s="4"/>
      <c r="M49" s="1" t="s">
        <v>229</v>
      </c>
      <c r="N49" s="3" t="s">
        <v>477</v>
      </c>
      <c r="O49" s="1" t="s">
        <v>478</v>
      </c>
      <c r="P49" s="1" t="s">
        <v>479</v>
      </c>
      <c r="Q49" s="1" t="s">
        <v>233</v>
      </c>
      <c r="R49" s="4"/>
    </row>
    <row r="50" spans="1:18" x14ac:dyDescent="0.25">
      <c r="A50" s="1" t="s">
        <v>13</v>
      </c>
      <c r="B50" s="1" t="s">
        <v>480</v>
      </c>
      <c r="C50" s="1" t="s">
        <v>481</v>
      </c>
      <c r="D50" s="1" t="s">
        <v>255</v>
      </c>
      <c r="E50" s="1">
        <v>2022</v>
      </c>
      <c r="F50" s="1">
        <v>48</v>
      </c>
      <c r="G50" s="1">
        <v>10</v>
      </c>
      <c r="H50" s="1" t="s">
        <v>482</v>
      </c>
      <c r="I50" s="1" t="s">
        <v>257</v>
      </c>
      <c r="J50" s="1">
        <v>2022</v>
      </c>
      <c r="K50" s="4"/>
      <c r="L50" s="4"/>
      <c r="M50" s="1" t="s">
        <v>18</v>
      </c>
      <c r="N50" s="3" t="s">
        <v>483</v>
      </c>
      <c r="O50" s="1" t="s">
        <v>484</v>
      </c>
      <c r="P50" s="1" t="s">
        <v>485</v>
      </c>
      <c r="Q50" s="1" t="s">
        <v>140</v>
      </c>
      <c r="R50" s="4"/>
    </row>
    <row r="51" spans="1:18" x14ac:dyDescent="0.25">
      <c r="A51" s="1" t="s">
        <v>13</v>
      </c>
      <c r="B51" s="1" t="s">
        <v>486</v>
      </c>
      <c r="C51" s="1" t="s">
        <v>487</v>
      </c>
      <c r="D51" s="1" t="s">
        <v>488</v>
      </c>
      <c r="E51" s="1">
        <v>2022</v>
      </c>
      <c r="F51" s="1">
        <v>18</v>
      </c>
      <c r="G51" s="1">
        <v>3</v>
      </c>
      <c r="H51" s="1" t="s">
        <v>489</v>
      </c>
      <c r="I51" s="1" t="s">
        <v>490</v>
      </c>
      <c r="J51" s="1">
        <v>2022</v>
      </c>
      <c r="K51" s="4"/>
      <c r="L51" s="4"/>
      <c r="M51" s="1" t="s">
        <v>491</v>
      </c>
      <c r="N51" s="3" t="s">
        <v>492</v>
      </c>
      <c r="O51" s="1" t="s">
        <v>493</v>
      </c>
      <c r="P51" s="1" t="s">
        <v>494</v>
      </c>
      <c r="Q51" s="1" t="s">
        <v>318</v>
      </c>
      <c r="R51" s="4"/>
    </row>
    <row r="52" spans="1:18" x14ac:dyDescent="0.25">
      <c r="A52" s="1" t="s">
        <v>141</v>
      </c>
      <c r="B52" s="1" t="s">
        <v>495</v>
      </c>
      <c r="C52" s="1" t="s">
        <v>496</v>
      </c>
      <c r="D52" s="4"/>
      <c r="E52" s="1">
        <v>2022</v>
      </c>
      <c r="F52" s="4"/>
      <c r="G52" s="4"/>
      <c r="H52" s="1" t="s">
        <v>497</v>
      </c>
      <c r="I52" s="1" t="s">
        <v>145</v>
      </c>
      <c r="J52" s="1">
        <v>2022</v>
      </c>
      <c r="K52" s="1">
        <v>9781450397803</v>
      </c>
      <c r="L52" s="4"/>
      <c r="M52" s="4"/>
      <c r="N52" s="3" t="s">
        <v>498</v>
      </c>
      <c r="O52" s="1" t="s">
        <v>499</v>
      </c>
      <c r="P52" s="1" t="s">
        <v>500</v>
      </c>
      <c r="Q52" s="1" t="s">
        <v>157</v>
      </c>
      <c r="R52" s="4"/>
    </row>
    <row r="53" spans="1:18" x14ac:dyDescent="0.25">
      <c r="A53" s="1" t="s">
        <v>13</v>
      </c>
      <c r="B53" s="1" t="s">
        <v>501</v>
      </c>
      <c r="C53" s="1" t="s">
        <v>502</v>
      </c>
      <c r="D53" s="1" t="s">
        <v>188</v>
      </c>
      <c r="E53" s="1">
        <v>2022</v>
      </c>
      <c r="F53" s="1">
        <v>32</v>
      </c>
      <c r="G53" s="1">
        <v>9</v>
      </c>
      <c r="H53" s="1" t="s">
        <v>503</v>
      </c>
      <c r="I53" s="1" t="s">
        <v>189</v>
      </c>
      <c r="J53" s="1">
        <v>2022</v>
      </c>
      <c r="K53" s="4"/>
      <c r="L53" s="4"/>
      <c r="M53" s="1" t="s">
        <v>73</v>
      </c>
      <c r="N53" s="3" t="s">
        <v>504</v>
      </c>
      <c r="O53" s="1" t="s">
        <v>505</v>
      </c>
      <c r="P53" s="1" t="s">
        <v>506</v>
      </c>
      <c r="Q53" s="1" t="s">
        <v>157</v>
      </c>
      <c r="R53" s="4"/>
    </row>
    <row r="54" spans="1:18" x14ac:dyDescent="0.25">
      <c r="A54" s="1" t="s">
        <v>13</v>
      </c>
      <c r="B54" s="1" t="s">
        <v>507</v>
      </c>
      <c r="C54" s="1" t="s">
        <v>508</v>
      </c>
      <c r="D54" s="1" t="s">
        <v>354</v>
      </c>
      <c r="E54" s="1">
        <v>2023</v>
      </c>
      <c r="F54" s="1">
        <v>195</v>
      </c>
      <c r="G54" s="4"/>
      <c r="H54" s="4"/>
      <c r="I54" s="1" t="s">
        <v>355</v>
      </c>
      <c r="J54" s="1">
        <v>2023</v>
      </c>
      <c r="K54" s="4"/>
      <c r="L54" s="4"/>
      <c r="M54" s="1" t="s">
        <v>65</v>
      </c>
      <c r="N54" s="3" t="s">
        <v>509</v>
      </c>
      <c r="O54" s="1" t="s">
        <v>510</v>
      </c>
      <c r="P54" s="1" t="s">
        <v>511</v>
      </c>
      <c r="Q54" s="1" t="s">
        <v>157</v>
      </c>
      <c r="R54" s="4"/>
    </row>
    <row r="55" spans="1:18" x14ac:dyDescent="0.25">
      <c r="A55" s="1" t="s">
        <v>13</v>
      </c>
      <c r="B55" s="1" t="s">
        <v>512</v>
      </c>
      <c r="C55" s="1" t="s">
        <v>513</v>
      </c>
      <c r="D55" s="1" t="s">
        <v>514</v>
      </c>
      <c r="E55" s="1">
        <v>2022</v>
      </c>
      <c r="F55" s="1">
        <v>4</v>
      </c>
      <c r="G55" s="1">
        <v>2</v>
      </c>
      <c r="H55" s="4"/>
      <c r="I55" s="1" t="s">
        <v>515</v>
      </c>
      <c r="J55" s="1">
        <v>2022</v>
      </c>
      <c r="K55" s="4"/>
      <c r="L55" s="4"/>
      <c r="M55" s="1" t="s">
        <v>516</v>
      </c>
      <c r="N55" s="3" t="s">
        <v>517</v>
      </c>
      <c r="O55" s="1" t="s">
        <v>518</v>
      </c>
      <c r="P55" s="1" t="s">
        <v>519</v>
      </c>
      <c r="Q55" s="1" t="s">
        <v>520</v>
      </c>
      <c r="R55" s="4"/>
    </row>
    <row r="56" spans="1:18" x14ac:dyDescent="0.25">
      <c r="A56" s="1" t="s">
        <v>13</v>
      </c>
      <c r="B56" s="1" t="s">
        <v>521</v>
      </c>
      <c r="C56" s="1" t="s">
        <v>522</v>
      </c>
      <c r="D56" s="1" t="s">
        <v>523</v>
      </c>
      <c r="E56" s="1">
        <v>2022</v>
      </c>
      <c r="F56" s="1">
        <v>30</v>
      </c>
      <c r="G56" s="1">
        <v>2</v>
      </c>
      <c r="H56" s="1" t="s">
        <v>524</v>
      </c>
      <c r="I56" s="1" t="s">
        <v>137</v>
      </c>
      <c r="J56" s="1">
        <v>2022</v>
      </c>
      <c r="K56" s="4"/>
      <c r="L56" s="4"/>
      <c r="M56" s="1" t="s">
        <v>525</v>
      </c>
      <c r="N56" s="3" t="s">
        <v>526</v>
      </c>
      <c r="O56" s="1" t="s">
        <v>527</v>
      </c>
      <c r="P56" s="1" t="s">
        <v>528</v>
      </c>
      <c r="Q56" s="1" t="s">
        <v>529</v>
      </c>
      <c r="R56" s="4"/>
    </row>
    <row r="57" spans="1:18" x14ac:dyDescent="0.25">
      <c r="A57" s="1" t="s">
        <v>13</v>
      </c>
      <c r="B57" s="1" t="s">
        <v>530</v>
      </c>
      <c r="C57" s="1" t="s">
        <v>531</v>
      </c>
      <c r="D57" s="1" t="s">
        <v>532</v>
      </c>
      <c r="E57" s="1">
        <v>2022</v>
      </c>
      <c r="F57" s="1">
        <v>55</v>
      </c>
      <c r="G57" s="1">
        <v>3</v>
      </c>
      <c r="H57" s="1" t="s">
        <v>533</v>
      </c>
      <c r="I57" s="1" t="s">
        <v>196</v>
      </c>
      <c r="J57" s="1">
        <v>2022</v>
      </c>
      <c r="K57" s="4"/>
      <c r="L57" s="4"/>
      <c r="M57" s="1" t="s">
        <v>534</v>
      </c>
      <c r="N57" s="3" t="s">
        <v>535</v>
      </c>
      <c r="O57" s="1" t="s">
        <v>536</v>
      </c>
      <c r="P57" s="1" t="s">
        <v>537</v>
      </c>
      <c r="Q57" s="1" t="s">
        <v>538</v>
      </c>
      <c r="R57" s="4"/>
    </row>
    <row r="58" spans="1:18" x14ac:dyDescent="0.25">
      <c r="A58" s="1" t="s">
        <v>539</v>
      </c>
      <c r="B58" s="4"/>
      <c r="C58" s="1" t="s">
        <v>540</v>
      </c>
      <c r="D58" s="4"/>
      <c r="E58" s="1">
        <v>2022</v>
      </c>
      <c r="F58" s="4"/>
      <c r="G58" s="4"/>
      <c r="H58" s="4"/>
      <c r="I58" s="1" t="s">
        <v>541</v>
      </c>
      <c r="J58" s="1">
        <v>2022</v>
      </c>
      <c r="K58" s="1">
        <v>9780309270175</v>
      </c>
      <c r="L58" s="4"/>
      <c r="M58" s="4"/>
      <c r="N58" s="3" t="s">
        <v>542</v>
      </c>
      <c r="O58" s="1" t="s">
        <v>543</v>
      </c>
      <c r="P58" s="1" t="s">
        <v>544</v>
      </c>
      <c r="Q58" s="1" t="s">
        <v>176</v>
      </c>
      <c r="R58" s="1" t="s">
        <v>545</v>
      </c>
    </row>
    <row r="59" spans="1:18" x14ac:dyDescent="0.25">
      <c r="A59" s="1" t="s">
        <v>13</v>
      </c>
      <c r="B59" s="1" t="s">
        <v>546</v>
      </c>
      <c r="C59" s="1" t="s">
        <v>547</v>
      </c>
      <c r="D59" s="1" t="s">
        <v>548</v>
      </c>
      <c r="E59" s="1">
        <v>2022</v>
      </c>
      <c r="F59" s="1">
        <v>14</v>
      </c>
      <c r="G59" s="1">
        <v>5</v>
      </c>
      <c r="H59" s="4"/>
      <c r="I59" s="1" t="s">
        <v>228</v>
      </c>
      <c r="J59" s="1">
        <v>2022</v>
      </c>
      <c r="K59" s="4"/>
      <c r="L59" s="4"/>
      <c r="M59" s="1" t="s">
        <v>549</v>
      </c>
      <c r="N59" s="3" t="s">
        <v>550</v>
      </c>
      <c r="O59" s="1" t="s">
        <v>551</v>
      </c>
      <c r="P59" s="1" t="s">
        <v>552</v>
      </c>
      <c r="Q59" s="1" t="s">
        <v>447</v>
      </c>
      <c r="R59" s="4"/>
    </row>
    <row r="60" spans="1:18" x14ac:dyDescent="0.25">
      <c r="A60" s="1" t="s">
        <v>13</v>
      </c>
      <c r="B60" s="1" t="s">
        <v>553</v>
      </c>
      <c r="C60" s="1" t="s">
        <v>554</v>
      </c>
      <c r="D60" s="1" t="s">
        <v>555</v>
      </c>
      <c r="E60" s="1">
        <v>2022</v>
      </c>
      <c r="F60" s="1">
        <v>13</v>
      </c>
      <c r="G60" s="1">
        <v>11</v>
      </c>
      <c r="H60" s="1" t="s">
        <v>556</v>
      </c>
      <c r="I60" s="1" t="s">
        <v>557</v>
      </c>
      <c r="J60" s="1">
        <v>2022</v>
      </c>
      <c r="K60" s="4"/>
      <c r="L60" s="4"/>
      <c r="M60" s="1" t="s">
        <v>558</v>
      </c>
      <c r="N60" s="3" t="s">
        <v>559</v>
      </c>
      <c r="O60" s="1" t="s">
        <v>560</v>
      </c>
      <c r="P60" s="1" t="s">
        <v>561</v>
      </c>
      <c r="Q60" s="1" t="s">
        <v>285</v>
      </c>
      <c r="R60" s="4"/>
    </row>
    <row r="61" spans="1:18" x14ac:dyDescent="0.25">
      <c r="A61" s="1" t="s">
        <v>141</v>
      </c>
      <c r="B61" s="1" t="s">
        <v>562</v>
      </c>
      <c r="C61" s="1" t="s">
        <v>563</v>
      </c>
      <c r="D61" s="4"/>
      <c r="E61" s="1">
        <v>2022</v>
      </c>
      <c r="F61" s="4"/>
      <c r="G61" s="4"/>
      <c r="H61" s="1" t="s">
        <v>564</v>
      </c>
      <c r="I61" s="1" t="s">
        <v>153</v>
      </c>
      <c r="J61" s="1">
        <v>2022</v>
      </c>
      <c r="K61" s="1">
        <v>9781450394130</v>
      </c>
      <c r="L61" s="4"/>
      <c r="M61" s="4"/>
      <c r="N61" s="3" t="s">
        <v>565</v>
      </c>
      <c r="O61" s="1" t="s">
        <v>566</v>
      </c>
      <c r="P61" s="1" t="s">
        <v>567</v>
      </c>
      <c r="Q61" s="1" t="s">
        <v>568</v>
      </c>
      <c r="R61" s="4"/>
    </row>
    <row r="62" spans="1:18" x14ac:dyDescent="0.25">
      <c r="A62" s="1" t="s">
        <v>13</v>
      </c>
      <c r="B62" s="1" t="s">
        <v>569</v>
      </c>
      <c r="C62" s="1" t="s">
        <v>570</v>
      </c>
      <c r="D62" s="1" t="s">
        <v>136</v>
      </c>
      <c r="E62" s="1">
        <v>2022</v>
      </c>
      <c r="F62" s="1">
        <v>27</v>
      </c>
      <c r="G62" s="1">
        <v>6</v>
      </c>
      <c r="H62" s="4"/>
      <c r="I62" s="1" t="s">
        <v>137</v>
      </c>
      <c r="J62" s="1">
        <v>2022</v>
      </c>
      <c r="K62" s="4"/>
      <c r="L62" s="4"/>
      <c r="M62" s="1" t="s">
        <v>33</v>
      </c>
      <c r="N62" s="3" t="s">
        <v>571</v>
      </c>
      <c r="O62" s="1" t="s">
        <v>572</v>
      </c>
      <c r="P62" s="1" t="s">
        <v>573</v>
      </c>
      <c r="Q62" s="1" t="s">
        <v>404</v>
      </c>
      <c r="R62" s="4"/>
    </row>
    <row r="63" spans="1:18" x14ac:dyDescent="0.25">
      <c r="A63" s="1" t="s">
        <v>13</v>
      </c>
      <c r="B63" s="1" t="s">
        <v>574</v>
      </c>
      <c r="C63" s="1" t="s">
        <v>575</v>
      </c>
      <c r="D63" s="1" t="s">
        <v>576</v>
      </c>
      <c r="E63" s="1">
        <v>2022</v>
      </c>
      <c r="F63" s="1">
        <v>15</v>
      </c>
      <c r="G63" s="4"/>
      <c r="H63" s="1" t="s">
        <v>577</v>
      </c>
      <c r="I63" s="1" t="s">
        <v>257</v>
      </c>
      <c r="J63" s="1">
        <v>2022</v>
      </c>
      <c r="K63" s="4"/>
      <c r="L63" s="4"/>
      <c r="M63" s="1" t="s">
        <v>578</v>
      </c>
      <c r="N63" s="3" t="s">
        <v>579</v>
      </c>
      <c r="O63" s="1" t="s">
        <v>580</v>
      </c>
      <c r="P63" s="1" t="s">
        <v>581</v>
      </c>
      <c r="Q63" s="1" t="s">
        <v>285</v>
      </c>
      <c r="R63" s="4"/>
    </row>
    <row r="64" spans="1:18" x14ac:dyDescent="0.25">
      <c r="A64" s="1" t="s">
        <v>13</v>
      </c>
      <c r="B64" s="1" t="s">
        <v>77</v>
      </c>
      <c r="C64" s="1" t="s">
        <v>78</v>
      </c>
      <c r="D64" s="1" t="s">
        <v>582</v>
      </c>
      <c r="E64" s="1">
        <v>2022</v>
      </c>
      <c r="F64" s="1">
        <v>29</v>
      </c>
      <c r="G64" s="1">
        <v>2</v>
      </c>
      <c r="H64" s="4"/>
      <c r="I64" s="1" t="s">
        <v>137</v>
      </c>
      <c r="J64" s="1">
        <v>2022</v>
      </c>
      <c r="K64" s="4"/>
      <c r="L64" s="4"/>
      <c r="M64" s="1" t="s">
        <v>58</v>
      </c>
      <c r="N64" s="3" t="s">
        <v>583</v>
      </c>
      <c r="O64" s="1" t="s">
        <v>80</v>
      </c>
      <c r="P64" s="1" t="s">
        <v>584</v>
      </c>
      <c r="Q64" s="1" t="s">
        <v>585</v>
      </c>
      <c r="R64" s="4"/>
    </row>
    <row r="65" spans="1:18" x14ac:dyDescent="0.25">
      <c r="A65" s="1" t="s">
        <v>13</v>
      </c>
      <c r="B65" s="1" t="s">
        <v>586</v>
      </c>
      <c r="C65" s="1" t="s">
        <v>587</v>
      </c>
      <c r="D65" s="1" t="s">
        <v>588</v>
      </c>
      <c r="E65" s="1">
        <v>2022</v>
      </c>
      <c r="F65" s="1">
        <v>70</v>
      </c>
      <c r="G65" s="1">
        <v>2</v>
      </c>
      <c r="H65" s="1" t="s">
        <v>589</v>
      </c>
      <c r="I65" s="1" t="s">
        <v>590</v>
      </c>
      <c r="J65" s="1">
        <v>2022</v>
      </c>
      <c r="K65" s="4"/>
      <c r="L65" s="4"/>
      <c r="M65" s="1" t="s">
        <v>591</v>
      </c>
      <c r="N65" s="3" t="s">
        <v>592</v>
      </c>
      <c r="O65" s="1" t="s">
        <v>593</v>
      </c>
      <c r="P65" s="1" t="s">
        <v>594</v>
      </c>
      <c r="Q65" s="1" t="s">
        <v>595</v>
      </c>
      <c r="R65" s="4"/>
    </row>
    <row r="66" spans="1:18" x14ac:dyDescent="0.25">
      <c r="A66" s="1" t="s">
        <v>13</v>
      </c>
      <c r="B66" s="1" t="s">
        <v>596</v>
      </c>
      <c r="C66" s="1" t="s">
        <v>597</v>
      </c>
      <c r="D66" s="1" t="s">
        <v>598</v>
      </c>
      <c r="E66" s="1">
        <v>2022</v>
      </c>
      <c r="F66" s="1">
        <v>33</v>
      </c>
      <c r="G66" s="1">
        <v>11</v>
      </c>
      <c r="H66" s="1" t="s">
        <v>599</v>
      </c>
      <c r="I66" s="1" t="s">
        <v>600</v>
      </c>
      <c r="J66" s="1">
        <v>2022</v>
      </c>
      <c r="K66" s="4"/>
      <c r="L66" s="4"/>
      <c r="M66" s="1" t="s">
        <v>601</v>
      </c>
      <c r="N66" s="3" t="s">
        <v>602</v>
      </c>
      <c r="O66" s="1" t="s">
        <v>603</v>
      </c>
      <c r="P66" s="1" t="s">
        <v>604</v>
      </c>
      <c r="Q66" s="1" t="s">
        <v>157</v>
      </c>
      <c r="R66" s="4"/>
    </row>
    <row r="67" spans="1:18" x14ac:dyDescent="0.25">
      <c r="A67" s="1" t="s">
        <v>141</v>
      </c>
      <c r="B67" s="1" t="s">
        <v>605</v>
      </c>
      <c r="C67" s="1" t="s">
        <v>606</v>
      </c>
      <c r="D67" s="4"/>
      <c r="E67" s="1">
        <v>2022</v>
      </c>
      <c r="F67" s="4"/>
      <c r="G67" s="4"/>
      <c r="H67" s="1" t="s">
        <v>607</v>
      </c>
      <c r="I67" s="1" t="s">
        <v>145</v>
      </c>
      <c r="J67" s="1">
        <v>2022</v>
      </c>
      <c r="K67" s="1">
        <v>9781450397353</v>
      </c>
      <c r="L67" s="4"/>
      <c r="M67" s="4"/>
      <c r="N67" s="3" t="s">
        <v>608</v>
      </c>
      <c r="O67" s="1" t="s">
        <v>609</v>
      </c>
      <c r="P67" s="1" t="s">
        <v>610</v>
      </c>
      <c r="Q67" s="1" t="s">
        <v>157</v>
      </c>
      <c r="R67" s="4"/>
    </row>
    <row r="68" spans="1:18" x14ac:dyDescent="0.25">
      <c r="A68" s="1" t="s">
        <v>141</v>
      </c>
      <c r="B68" s="1" t="s">
        <v>611</v>
      </c>
      <c r="C68" s="1" t="s">
        <v>612</v>
      </c>
      <c r="D68" s="4"/>
      <c r="E68" s="1">
        <v>2022</v>
      </c>
      <c r="F68" s="1">
        <v>3272</v>
      </c>
      <c r="G68" s="4"/>
      <c r="H68" s="4"/>
      <c r="I68" s="1" t="s">
        <v>613</v>
      </c>
      <c r="J68" s="1">
        <v>2022</v>
      </c>
      <c r="K68" s="4"/>
      <c r="L68" s="4"/>
      <c r="M68" s="1" t="s">
        <v>614</v>
      </c>
      <c r="N68" s="3" t="s">
        <v>615</v>
      </c>
      <c r="O68" s="4"/>
      <c r="P68" s="1" t="s">
        <v>616</v>
      </c>
      <c r="Q68" s="1" t="s">
        <v>157</v>
      </c>
      <c r="R68" s="4"/>
    </row>
    <row r="69" spans="1:18" x14ac:dyDescent="0.25">
      <c r="A69" s="1" t="s">
        <v>141</v>
      </c>
      <c r="B69" s="1" t="s">
        <v>617</v>
      </c>
      <c r="C69" s="1" t="s">
        <v>618</v>
      </c>
      <c r="D69" s="4"/>
      <c r="E69" s="1">
        <v>2022</v>
      </c>
      <c r="F69" s="4"/>
      <c r="G69" s="4"/>
      <c r="H69" s="4"/>
      <c r="I69" s="1" t="s">
        <v>257</v>
      </c>
      <c r="J69" s="1">
        <v>2022</v>
      </c>
      <c r="K69" s="1">
        <v>9781665485104</v>
      </c>
      <c r="L69" s="4"/>
      <c r="M69" s="4"/>
      <c r="N69" s="3" t="s">
        <v>619</v>
      </c>
      <c r="O69" s="1" t="s">
        <v>620</v>
      </c>
      <c r="P69" s="1" t="s">
        <v>621</v>
      </c>
      <c r="Q69" s="1" t="s">
        <v>157</v>
      </c>
      <c r="R69" s="4"/>
    </row>
    <row r="70" spans="1:18" x14ac:dyDescent="0.25">
      <c r="A70" s="1" t="s">
        <v>141</v>
      </c>
      <c r="B70" s="1" t="s">
        <v>622</v>
      </c>
      <c r="C70" s="1" t="s">
        <v>623</v>
      </c>
      <c r="D70" s="4"/>
      <c r="E70" s="1">
        <v>2022</v>
      </c>
      <c r="F70" s="4"/>
      <c r="G70" s="4"/>
      <c r="H70" s="4"/>
      <c r="I70" s="1" t="s">
        <v>624</v>
      </c>
      <c r="J70" s="1">
        <v>2022</v>
      </c>
      <c r="K70" s="4"/>
      <c r="L70" s="4"/>
      <c r="M70" s="1" t="s">
        <v>625</v>
      </c>
      <c r="N70" s="3" t="s">
        <v>626</v>
      </c>
      <c r="O70" s="1" t="s">
        <v>627</v>
      </c>
      <c r="P70" s="1" t="s">
        <v>628</v>
      </c>
      <c r="Q70" s="1" t="s">
        <v>157</v>
      </c>
      <c r="R70" s="4"/>
    </row>
    <row r="71" spans="1:18" x14ac:dyDescent="0.25">
      <c r="A71" s="1" t="s">
        <v>13</v>
      </c>
      <c r="B71" s="1" t="s">
        <v>43</v>
      </c>
      <c r="C71" s="1" t="s">
        <v>44</v>
      </c>
      <c r="D71" s="1" t="s">
        <v>629</v>
      </c>
      <c r="E71" s="1">
        <v>2023</v>
      </c>
      <c r="F71" s="1">
        <v>17</v>
      </c>
      <c r="G71" s="1">
        <v>3</v>
      </c>
      <c r="H71" s="4"/>
      <c r="I71" s="1" t="s">
        <v>630</v>
      </c>
      <c r="J71" s="1">
        <v>2023</v>
      </c>
      <c r="K71" s="4"/>
      <c r="L71" s="4"/>
      <c r="M71" s="1" t="s">
        <v>46</v>
      </c>
      <c r="N71" s="3" t="s">
        <v>631</v>
      </c>
      <c r="O71" s="1" t="s">
        <v>48</v>
      </c>
      <c r="P71" s="1" t="s">
        <v>632</v>
      </c>
      <c r="Q71" s="1" t="s">
        <v>157</v>
      </c>
      <c r="R71" s="4"/>
    </row>
    <row r="72" spans="1:18" x14ac:dyDescent="0.25">
      <c r="A72" s="1" t="s">
        <v>141</v>
      </c>
      <c r="B72" s="1" t="s">
        <v>633</v>
      </c>
      <c r="C72" s="1" t="s">
        <v>634</v>
      </c>
      <c r="D72" s="4"/>
      <c r="E72" s="1">
        <v>2022</v>
      </c>
      <c r="F72" s="4"/>
      <c r="G72" s="4"/>
      <c r="H72" s="1" t="s">
        <v>635</v>
      </c>
      <c r="I72" s="1" t="s">
        <v>153</v>
      </c>
      <c r="J72" s="1">
        <v>2022</v>
      </c>
      <c r="K72" s="1">
        <v>9781450398602</v>
      </c>
      <c r="L72" s="4"/>
      <c r="M72" s="4"/>
      <c r="N72" s="3" t="s">
        <v>636</v>
      </c>
      <c r="O72" s="1" t="s">
        <v>637</v>
      </c>
      <c r="P72" s="1" t="s">
        <v>638</v>
      </c>
      <c r="Q72" s="1" t="s">
        <v>568</v>
      </c>
      <c r="R72" s="4"/>
    </row>
    <row r="73" spans="1:18" x14ac:dyDescent="0.25">
      <c r="A73" s="1" t="s">
        <v>13</v>
      </c>
      <c r="B73" s="1" t="s">
        <v>639</v>
      </c>
      <c r="C73" s="1" t="s">
        <v>640</v>
      </c>
      <c r="D73" s="1" t="s">
        <v>354</v>
      </c>
      <c r="E73" s="1">
        <v>2023</v>
      </c>
      <c r="F73" s="1">
        <v>198</v>
      </c>
      <c r="G73" s="4"/>
      <c r="H73" s="4"/>
      <c r="I73" s="1" t="s">
        <v>355</v>
      </c>
      <c r="J73" s="1">
        <v>2023</v>
      </c>
      <c r="K73" s="4"/>
      <c r="L73" s="4"/>
      <c r="M73" s="1" t="s">
        <v>65</v>
      </c>
      <c r="N73" s="3" t="s">
        <v>641</v>
      </c>
      <c r="O73" s="1" t="s">
        <v>642</v>
      </c>
      <c r="P73" s="1" t="s">
        <v>643</v>
      </c>
      <c r="Q73" s="1" t="s">
        <v>404</v>
      </c>
      <c r="R73" s="4"/>
    </row>
    <row r="74" spans="1:18" x14ac:dyDescent="0.25">
      <c r="A74" s="1" t="s">
        <v>141</v>
      </c>
      <c r="B74" s="1" t="s">
        <v>644</v>
      </c>
      <c r="C74" s="1" t="s">
        <v>645</v>
      </c>
      <c r="D74" s="4"/>
      <c r="E74" s="1">
        <v>2022</v>
      </c>
      <c r="F74" s="4"/>
      <c r="G74" s="4"/>
      <c r="H74" s="4"/>
      <c r="I74" s="1" t="s">
        <v>145</v>
      </c>
      <c r="J74" s="1">
        <v>2022</v>
      </c>
      <c r="K74" s="1">
        <v>9781450391573</v>
      </c>
      <c r="L74" s="4"/>
      <c r="M74" s="4"/>
      <c r="N74" s="3" t="s">
        <v>646</v>
      </c>
      <c r="O74" s="1" t="s">
        <v>647</v>
      </c>
      <c r="P74" s="1" t="s">
        <v>648</v>
      </c>
      <c r="Q74" s="1" t="s">
        <v>318</v>
      </c>
      <c r="R74" s="4"/>
    </row>
    <row r="75" spans="1:18" x14ac:dyDescent="0.25">
      <c r="A75" s="1" t="s">
        <v>141</v>
      </c>
      <c r="B75" s="1" t="s">
        <v>649</v>
      </c>
      <c r="C75" s="1" t="s">
        <v>650</v>
      </c>
      <c r="D75" s="4"/>
      <c r="E75" s="1">
        <v>2022</v>
      </c>
      <c r="F75" s="4"/>
      <c r="G75" s="4"/>
      <c r="H75" s="1" t="s">
        <v>651</v>
      </c>
      <c r="I75" s="1" t="s">
        <v>196</v>
      </c>
      <c r="J75" s="1">
        <v>2022</v>
      </c>
      <c r="K75" s="1">
        <v>9781450394277</v>
      </c>
      <c r="L75" s="4"/>
      <c r="M75" s="1" t="s">
        <v>197</v>
      </c>
      <c r="N75" s="3" t="s">
        <v>652</v>
      </c>
      <c r="O75" s="1" t="s">
        <v>653</v>
      </c>
      <c r="P75" s="1" t="s">
        <v>654</v>
      </c>
      <c r="Q75" s="1" t="s">
        <v>157</v>
      </c>
      <c r="R75" s="4"/>
    </row>
    <row r="76" spans="1:18" x14ac:dyDescent="0.25">
      <c r="A76" s="1" t="s">
        <v>13</v>
      </c>
      <c r="B76" s="1" t="s">
        <v>655</v>
      </c>
      <c r="C76" s="1" t="s">
        <v>656</v>
      </c>
      <c r="D76" s="1" t="s">
        <v>279</v>
      </c>
      <c r="E76" s="1">
        <v>2022</v>
      </c>
      <c r="F76" s="1">
        <v>19</v>
      </c>
      <c r="G76" s="4"/>
      <c r="H76" s="4"/>
      <c r="I76" s="1" t="s">
        <v>280</v>
      </c>
      <c r="J76" s="1">
        <v>2022</v>
      </c>
      <c r="K76" s="4"/>
      <c r="L76" s="4"/>
      <c r="M76" s="1" t="s">
        <v>281</v>
      </c>
      <c r="N76" s="3" t="s">
        <v>657</v>
      </c>
      <c r="O76" s="1" t="s">
        <v>658</v>
      </c>
      <c r="P76" s="1" t="s">
        <v>659</v>
      </c>
      <c r="Q76" s="1" t="s">
        <v>285</v>
      </c>
      <c r="R76" s="4"/>
    </row>
    <row r="77" spans="1:18" x14ac:dyDescent="0.25">
      <c r="A77" s="1" t="s">
        <v>141</v>
      </c>
      <c r="B77" s="1" t="s">
        <v>660</v>
      </c>
      <c r="C77" s="1" t="s">
        <v>661</v>
      </c>
      <c r="D77" s="4"/>
      <c r="E77" s="1">
        <v>2022</v>
      </c>
      <c r="F77" s="4"/>
      <c r="G77" s="4"/>
      <c r="H77" s="1" t="s">
        <v>662</v>
      </c>
      <c r="I77" s="1" t="s">
        <v>145</v>
      </c>
      <c r="J77" s="1">
        <v>2022</v>
      </c>
      <c r="K77" s="1">
        <v>9781450395717</v>
      </c>
      <c r="L77" s="4"/>
      <c r="M77" s="4"/>
      <c r="N77" s="3" t="s">
        <v>663</v>
      </c>
      <c r="O77" s="1" t="s">
        <v>664</v>
      </c>
      <c r="P77" s="1" t="s">
        <v>665</v>
      </c>
      <c r="Q77" s="1" t="s">
        <v>157</v>
      </c>
      <c r="R77" s="4"/>
    </row>
    <row r="78" spans="1:18" x14ac:dyDescent="0.25">
      <c r="A78" s="1" t="s">
        <v>13</v>
      </c>
      <c r="B78" s="1" t="s">
        <v>666</v>
      </c>
      <c r="C78" s="1" t="s">
        <v>667</v>
      </c>
      <c r="D78" s="1" t="s">
        <v>668</v>
      </c>
      <c r="E78" s="1">
        <v>2022</v>
      </c>
      <c r="F78" s="1">
        <v>10</v>
      </c>
      <c r="G78" s="4"/>
      <c r="H78" s="1" t="s">
        <v>669</v>
      </c>
      <c r="I78" s="1" t="s">
        <v>257</v>
      </c>
      <c r="J78" s="1">
        <v>2022</v>
      </c>
      <c r="K78" s="4"/>
      <c r="L78" s="4"/>
      <c r="M78" s="1" t="s">
        <v>670</v>
      </c>
      <c r="N78" s="3" t="s">
        <v>671</v>
      </c>
      <c r="O78" s="1" t="s">
        <v>672</v>
      </c>
      <c r="P78" s="1" t="s">
        <v>673</v>
      </c>
      <c r="Q78" s="1" t="s">
        <v>285</v>
      </c>
      <c r="R78" s="4"/>
    </row>
    <row r="79" spans="1:18" x14ac:dyDescent="0.25">
      <c r="A79" s="1" t="s">
        <v>13</v>
      </c>
      <c r="B79" s="1" t="s">
        <v>674</v>
      </c>
      <c r="C79" s="1" t="s">
        <v>675</v>
      </c>
      <c r="D79" s="1" t="s">
        <v>676</v>
      </c>
      <c r="E79" s="1">
        <v>2023</v>
      </c>
      <c r="F79" s="1" t="s">
        <v>677</v>
      </c>
      <c r="G79" s="4"/>
      <c r="H79" s="1" t="s">
        <v>678</v>
      </c>
      <c r="I79" s="1" t="s">
        <v>212</v>
      </c>
      <c r="J79" s="1">
        <v>2023</v>
      </c>
      <c r="K79" s="4"/>
      <c r="L79" s="4"/>
      <c r="M79" s="1" t="s">
        <v>679</v>
      </c>
      <c r="N79" s="3" t="s">
        <v>680</v>
      </c>
      <c r="O79" s="1" t="s">
        <v>681</v>
      </c>
      <c r="P79" s="1" t="s">
        <v>682</v>
      </c>
      <c r="Q79" s="1" t="s">
        <v>157</v>
      </c>
      <c r="R79" s="4"/>
    </row>
    <row r="80" spans="1:18" x14ac:dyDescent="0.25">
      <c r="A80" s="1" t="s">
        <v>141</v>
      </c>
      <c r="B80" s="1" t="s">
        <v>683</v>
      </c>
      <c r="C80" s="1" t="s">
        <v>684</v>
      </c>
      <c r="D80" s="4"/>
      <c r="E80" s="1">
        <v>2022</v>
      </c>
      <c r="F80" s="1">
        <v>115</v>
      </c>
      <c r="G80" s="4"/>
      <c r="H80" s="1" t="s">
        <v>685</v>
      </c>
      <c r="I80" s="1" t="s">
        <v>280</v>
      </c>
      <c r="J80" s="1">
        <v>2022</v>
      </c>
      <c r="K80" s="4"/>
      <c r="L80" s="4"/>
      <c r="M80" s="1" t="s">
        <v>456</v>
      </c>
      <c r="N80" s="3" t="s">
        <v>686</v>
      </c>
      <c r="O80" s="1" t="s">
        <v>687</v>
      </c>
      <c r="P80" s="1" t="s">
        <v>688</v>
      </c>
      <c r="Q80" s="1" t="s">
        <v>285</v>
      </c>
      <c r="R80" s="4"/>
    </row>
    <row r="81" spans="1:18" x14ac:dyDescent="0.25">
      <c r="A81" s="1" t="s">
        <v>13</v>
      </c>
      <c r="B81" s="1" t="s">
        <v>689</v>
      </c>
      <c r="C81" s="1" t="s">
        <v>690</v>
      </c>
      <c r="D81" s="1" t="s">
        <v>691</v>
      </c>
      <c r="E81" s="1">
        <v>2022</v>
      </c>
      <c r="F81" s="4"/>
      <c r="G81" s="4"/>
      <c r="H81" s="4"/>
      <c r="I81" s="1" t="s">
        <v>212</v>
      </c>
      <c r="J81" s="1">
        <v>2022</v>
      </c>
      <c r="K81" s="4"/>
      <c r="L81" s="4"/>
      <c r="M81" s="1" t="s">
        <v>692</v>
      </c>
      <c r="N81" s="3" t="s">
        <v>693</v>
      </c>
      <c r="O81" s="1" t="s">
        <v>694</v>
      </c>
      <c r="P81" s="1" t="s">
        <v>695</v>
      </c>
      <c r="Q81" s="1" t="s">
        <v>166</v>
      </c>
      <c r="R81" s="4"/>
    </row>
    <row r="82" spans="1:18" x14ac:dyDescent="0.25">
      <c r="A82" s="1" t="s">
        <v>13</v>
      </c>
      <c r="B82" s="1" t="s">
        <v>696</v>
      </c>
      <c r="C82" s="1" t="s">
        <v>697</v>
      </c>
      <c r="D82" s="1" t="s">
        <v>698</v>
      </c>
      <c r="E82" s="1">
        <v>2022</v>
      </c>
      <c r="F82" s="1">
        <v>59</v>
      </c>
      <c r="G82" s="1">
        <v>11</v>
      </c>
      <c r="H82" s="1" t="s">
        <v>699</v>
      </c>
      <c r="I82" s="1" t="s">
        <v>700</v>
      </c>
      <c r="J82" s="1">
        <v>2022</v>
      </c>
      <c r="K82" s="4"/>
      <c r="L82" s="4"/>
      <c r="M82" s="1" t="s">
        <v>701</v>
      </c>
      <c r="N82" s="3" t="s">
        <v>702</v>
      </c>
      <c r="O82" s="1" t="s">
        <v>703</v>
      </c>
      <c r="P82" s="1" t="s">
        <v>704</v>
      </c>
      <c r="Q82" s="1" t="s">
        <v>157</v>
      </c>
      <c r="R82" s="4"/>
    </row>
    <row r="83" spans="1:18" x14ac:dyDescent="0.25">
      <c r="A83" s="1" t="s">
        <v>13</v>
      </c>
      <c r="B83" s="1" t="s">
        <v>705</v>
      </c>
      <c r="C83" s="1" t="s">
        <v>706</v>
      </c>
      <c r="D83" s="1" t="s">
        <v>707</v>
      </c>
      <c r="E83" s="1">
        <v>2022</v>
      </c>
      <c r="F83" s="1">
        <v>31</v>
      </c>
      <c r="G83" s="1">
        <v>3</v>
      </c>
      <c r="H83" s="4"/>
      <c r="I83" s="1" t="s">
        <v>280</v>
      </c>
      <c r="J83" s="1">
        <v>2022</v>
      </c>
      <c r="K83" s="4"/>
      <c r="L83" s="4"/>
      <c r="M83" s="1" t="s">
        <v>708</v>
      </c>
      <c r="N83" s="3" t="s">
        <v>709</v>
      </c>
      <c r="O83" s="1" t="s">
        <v>710</v>
      </c>
      <c r="P83" s="1" t="s">
        <v>711</v>
      </c>
      <c r="Q83" s="1" t="s">
        <v>166</v>
      </c>
      <c r="R83" s="4"/>
    </row>
    <row r="84" spans="1:18" x14ac:dyDescent="0.25">
      <c r="A84" s="1" t="s">
        <v>13</v>
      </c>
      <c r="B84" s="1" t="s">
        <v>712</v>
      </c>
      <c r="C84" s="1" t="s">
        <v>713</v>
      </c>
      <c r="D84" s="1" t="s">
        <v>714</v>
      </c>
      <c r="E84" s="1">
        <v>2022</v>
      </c>
      <c r="F84" s="1">
        <v>14</v>
      </c>
      <c r="G84" s="1">
        <v>4</v>
      </c>
      <c r="H84" s="1" t="s">
        <v>715</v>
      </c>
      <c r="I84" s="1" t="s">
        <v>212</v>
      </c>
      <c r="J84" s="1">
        <v>2022</v>
      </c>
      <c r="K84" s="4"/>
      <c r="L84" s="4"/>
      <c r="M84" s="1" t="s">
        <v>716</v>
      </c>
      <c r="N84" s="3" t="s">
        <v>717</v>
      </c>
      <c r="O84" s="1" t="s">
        <v>718</v>
      </c>
      <c r="P84" s="1" t="s">
        <v>719</v>
      </c>
      <c r="Q84" s="1" t="s">
        <v>166</v>
      </c>
      <c r="R84" s="4"/>
    </row>
    <row r="85" spans="1:18" x14ac:dyDescent="0.25">
      <c r="A85" s="1" t="s">
        <v>13</v>
      </c>
      <c r="B85" s="1" t="s">
        <v>88</v>
      </c>
      <c r="C85" s="1" t="s">
        <v>89</v>
      </c>
      <c r="D85" s="1" t="s">
        <v>347</v>
      </c>
      <c r="E85" s="1">
        <v>2022</v>
      </c>
      <c r="F85" s="1">
        <v>71</v>
      </c>
      <c r="G85" s="1">
        <v>3</v>
      </c>
      <c r="H85" s="1" t="s">
        <v>720</v>
      </c>
      <c r="I85" s="1" t="s">
        <v>257</v>
      </c>
      <c r="J85" s="1">
        <v>2022</v>
      </c>
      <c r="K85" s="4"/>
      <c r="L85" s="4"/>
      <c r="M85" s="1" t="s">
        <v>92</v>
      </c>
      <c r="N85" s="3" t="s">
        <v>721</v>
      </c>
      <c r="O85" s="1" t="s">
        <v>94</v>
      </c>
      <c r="P85" s="1" t="s">
        <v>722</v>
      </c>
      <c r="Q85" s="1" t="s">
        <v>318</v>
      </c>
      <c r="R85" s="4"/>
    </row>
    <row r="86" spans="1:18" x14ac:dyDescent="0.25">
      <c r="A86" s="1" t="s">
        <v>13</v>
      </c>
      <c r="B86" s="1" t="s">
        <v>723</v>
      </c>
      <c r="C86" s="1" t="s">
        <v>724</v>
      </c>
      <c r="D86" s="1" t="s">
        <v>136</v>
      </c>
      <c r="E86" s="1">
        <v>2022</v>
      </c>
      <c r="F86" s="1">
        <v>27</v>
      </c>
      <c r="G86" s="1">
        <v>3</v>
      </c>
      <c r="H86" s="4"/>
      <c r="I86" s="1" t="s">
        <v>137</v>
      </c>
      <c r="J86" s="1">
        <v>2022</v>
      </c>
      <c r="K86" s="4"/>
      <c r="L86" s="4"/>
      <c r="M86" s="1" t="s">
        <v>33</v>
      </c>
      <c r="N86" s="3" t="s">
        <v>725</v>
      </c>
      <c r="O86" s="1" t="s">
        <v>726</v>
      </c>
      <c r="P86" s="1" t="s">
        <v>727</v>
      </c>
      <c r="Q86" s="1" t="s">
        <v>206</v>
      </c>
      <c r="R86" s="4"/>
    </row>
    <row r="87" spans="1:18" x14ac:dyDescent="0.25">
      <c r="A87" s="1" t="s">
        <v>141</v>
      </c>
      <c r="B87" s="1" t="s">
        <v>728</v>
      </c>
      <c r="C87" s="1" t="s">
        <v>729</v>
      </c>
      <c r="D87" s="4"/>
      <c r="E87" s="1">
        <v>2022</v>
      </c>
      <c r="F87" s="4"/>
      <c r="G87" s="4"/>
      <c r="H87" s="1" t="s">
        <v>730</v>
      </c>
      <c r="I87" s="1" t="s">
        <v>153</v>
      </c>
      <c r="J87" s="1">
        <v>2022</v>
      </c>
      <c r="K87" s="1">
        <v>9781450394567</v>
      </c>
      <c r="L87" s="4"/>
      <c r="M87" s="4"/>
      <c r="N87" s="3" t="s">
        <v>731</v>
      </c>
      <c r="O87" s="1" t="s">
        <v>732</v>
      </c>
      <c r="P87" s="1" t="s">
        <v>733</v>
      </c>
      <c r="Q87" s="1" t="s">
        <v>404</v>
      </c>
      <c r="R87" s="4"/>
    </row>
    <row r="88" spans="1:18" x14ac:dyDescent="0.25">
      <c r="A88" s="1" t="s">
        <v>13</v>
      </c>
      <c r="B88" s="1" t="s">
        <v>734</v>
      </c>
      <c r="C88" s="1" t="s">
        <v>735</v>
      </c>
      <c r="D88" s="1" t="s">
        <v>736</v>
      </c>
      <c r="E88" s="1">
        <v>2023</v>
      </c>
      <c r="F88" s="4"/>
      <c r="G88" s="4"/>
      <c r="H88" s="4"/>
      <c r="I88" s="1" t="s">
        <v>212</v>
      </c>
      <c r="J88" s="1">
        <v>2023</v>
      </c>
      <c r="K88" s="4"/>
      <c r="L88" s="4"/>
      <c r="M88" s="1" t="s">
        <v>737</v>
      </c>
      <c r="N88" s="3" t="s">
        <v>738</v>
      </c>
      <c r="O88" s="1" t="s">
        <v>739</v>
      </c>
      <c r="P88" s="1" t="s">
        <v>740</v>
      </c>
      <c r="Q88" s="1" t="s">
        <v>404</v>
      </c>
      <c r="R88" s="4"/>
    </row>
    <row r="89" spans="1:18" x14ac:dyDescent="0.25">
      <c r="A89" s="1" t="s">
        <v>13</v>
      </c>
      <c r="B89" s="1" t="s">
        <v>741</v>
      </c>
      <c r="C89" s="1" t="s">
        <v>742</v>
      </c>
      <c r="D89" s="1" t="s">
        <v>255</v>
      </c>
      <c r="E89" s="1">
        <v>2022</v>
      </c>
      <c r="F89" s="1">
        <v>48</v>
      </c>
      <c r="G89" s="1">
        <v>3</v>
      </c>
      <c r="H89" s="1" t="s">
        <v>743</v>
      </c>
      <c r="I89" s="1" t="s">
        <v>257</v>
      </c>
      <c r="J89" s="1">
        <v>2022</v>
      </c>
      <c r="K89" s="4"/>
      <c r="L89" s="4"/>
      <c r="M89" s="1" t="s">
        <v>18</v>
      </c>
      <c r="N89" s="3" t="s">
        <v>744</v>
      </c>
      <c r="O89" s="1" t="s">
        <v>745</v>
      </c>
      <c r="P89" s="1" t="s">
        <v>746</v>
      </c>
      <c r="Q89" s="1" t="s">
        <v>747</v>
      </c>
      <c r="R89" s="4"/>
    </row>
    <row r="90" spans="1:18" x14ac:dyDescent="0.25">
      <c r="A90" s="1" t="s">
        <v>141</v>
      </c>
      <c r="B90" s="1" t="s">
        <v>748</v>
      </c>
      <c r="C90" s="1" t="s">
        <v>749</v>
      </c>
      <c r="D90" s="4"/>
      <c r="E90" s="1">
        <v>2022</v>
      </c>
      <c r="F90" s="1">
        <v>3231</v>
      </c>
      <c r="G90" s="4"/>
      <c r="H90" s="1" t="s">
        <v>750</v>
      </c>
      <c r="I90" s="1" t="s">
        <v>613</v>
      </c>
      <c r="J90" s="1">
        <v>2022</v>
      </c>
      <c r="K90" s="4"/>
      <c r="L90" s="4"/>
      <c r="M90" s="1" t="s">
        <v>614</v>
      </c>
      <c r="N90" s="3" t="s">
        <v>751</v>
      </c>
      <c r="O90" s="4"/>
      <c r="P90" s="1" t="s">
        <v>752</v>
      </c>
      <c r="Q90" s="1" t="s">
        <v>157</v>
      </c>
      <c r="R90" s="4"/>
    </row>
    <row r="91" spans="1:18" x14ac:dyDescent="0.25">
      <c r="A91" s="1" t="s">
        <v>13</v>
      </c>
      <c r="B91" s="1" t="s">
        <v>753</v>
      </c>
      <c r="C91" s="1" t="s">
        <v>754</v>
      </c>
      <c r="D91" s="1" t="s">
        <v>755</v>
      </c>
      <c r="E91" s="1">
        <v>2022</v>
      </c>
      <c r="F91" s="1">
        <v>38</v>
      </c>
      <c r="G91" s="1">
        <v>5</v>
      </c>
      <c r="H91" s="1" t="s">
        <v>756</v>
      </c>
      <c r="I91" s="1" t="s">
        <v>757</v>
      </c>
      <c r="J91" s="1">
        <v>2022</v>
      </c>
      <c r="K91" s="4"/>
      <c r="L91" s="4"/>
      <c r="M91" s="1" t="s">
        <v>758</v>
      </c>
      <c r="N91" s="3" t="s">
        <v>759</v>
      </c>
      <c r="O91" s="1" t="s">
        <v>760</v>
      </c>
      <c r="P91" s="1" t="s">
        <v>761</v>
      </c>
      <c r="Q91" s="1" t="s">
        <v>585</v>
      </c>
      <c r="R91" s="4"/>
    </row>
    <row r="92" spans="1:18" x14ac:dyDescent="0.25">
      <c r="A92" s="1" t="s">
        <v>13</v>
      </c>
      <c r="B92" s="1" t="s">
        <v>762</v>
      </c>
      <c r="C92" s="1" t="s">
        <v>763</v>
      </c>
      <c r="D92" s="1" t="s">
        <v>354</v>
      </c>
      <c r="E92" s="1">
        <v>2022</v>
      </c>
      <c r="F92" s="1">
        <v>193</v>
      </c>
      <c r="G92" s="4"/>
      <c r="H92" s="4"/>
      <c r="I92" s="1" t="s">
        <v>355</v>
      </c>
      <c r="J92" s="1">
        <v>2022</v>
      </c>
      <c r="K92" s="4"/>
      <c r="L92" s="4"/>
      <c r="M92" s="1" t="s">
        <v>65</v>
      </c>
      <c r="N92" s="3" t="s">
        <v>764</v>
      </c>
      <c r="O92" s="1" t="s">
        <v>765</v>
      </c>
      <c r="P92" s="1" t="s">
        <v>766</v>
      </c>
      <c r="Q92" s="1" t="s">
        <v>157</v>
      </c>
      <c r="R92" s="4"/>
    </row>
    <row r="93" spans="1:18" x14ac:dyDescent="0.25">
      <c r="A93" s="1" t="s">
        <v>13</v>
      </c>
      <c r="B93" s="1" t="s">
        <v>767</v>
      </c>
      <c r="C93" s="1" t="s">
        <v>768</v>
      </c>
      <c r="D93" s="1" t="s">
        <v>264</v>
      </c>
      <c r="E93" s="1">
        <v>2022</v>
      </c>
      <c r="F93" s="1">
        <v>52</v>
      </c>
      <c r="G93" s="1">
        <v>8</v>
      </c>
      <c r="H93" s="1" t="s">
        <v>769</v>
      </c>
      <c r="I93" s="1" t="s">
        <v>266</v>
      </c>
      <c r="J93" s="1">
        <v>2022</v>
      </c>
      <c r="K93" s="4"/>
      <c r="L93" s="4"/>
      <c r="M93" s="1" t="s">
        <v>267</v>
      </c>
      <c r="N93" s="3" t="s">
        <v>770</v>
      </c>
      <c r="O93" s="1" t="s">
        <v>771</v>
      </c>
      <c r="P93" s="1" t="s">
        <v>772</v>
      </c>
      <c r="Q93" s="1" t="s">
        <v>157</v>
      </c>
      <c r="R93" s="4"/>
    </row>
    <row r="94" spans="1:18" x14ac:dyDescent="0.25">
      <c r="A94" s="1" t="s">
        <v>13</v>
      </c>
      <c r="B94" s="1" t="s">
        <v>773</v>
      </c>
      <c r="C94" s="1" t="s">
        <v>774</v>
      </c>
      <c r="D94" s="1" t="s">
        <v>136</v>
      </c>
      <c r="E94" s="1">
        <v>2023</v>
      </c>
      <c r="F94" s="1">
        <v>28</v>
      </c>
      <c r="G94" s="1">
        <v>1</v>
      </c>
      <c r="H94" s="4"/>
      <c r="I94" s="1" t="s">
        <v>137</v>
      </c>
      <c r="J94" s="1">
        <v>2023</v>
      </c>
      <c r="K94" s="4"/>
      <c r="L94" s="4"/>
      <c r="M94" s="1" t="s">
        <v>33</v>
      </c>
      <c r="N94" s="3" t="s">
        <v>775</v>
      </c>
      <c r="O94" s="1" t="s">
        <v>776</v>
      </c>
      <c r="P94" s="1" t="s">
        <v>777</v>
      </c>
      <c r="Q94" s="1" t="s">
        <v>404</v>
      </c>
      <c r="R94" s="4"/>
    </row>
    <row r="95" spans="1:18" x14ac:dyDescent="0.25">
      <c r="A95" s="1" t="s">
        <v>13</v>
      </c>
      <c r="B95" s="1" t="s">
        <v>778</v>
      </c>
      <c r="C95" s="1" t="s">
        <v>779</v>
      </c>
      <c r="D95" s="1" t="s">
        <v>691</v>
      </c>
      <c r="E95" s="1">
        <v>2023</v>
      </c>
      <c r="F95" s="4"/>
      <c r="G95" s="4"/>
      <c r="H95" s="4"/>
      <c r="I95" s="1" t="s">
        <v>212</v>
      </c>
      <c r="J95" s="1">
        <v>2023</v>
      </c>
      <c r="K95" s="4"/>
      <c r="L95" s="4"/>
      <c r="M95" s="1" t="s">
        <v>692</v>
      </c>
      <c r="N95" s="3" t="s">
        <v>780</v>
      </c>
      <c r="O95" s="1" t="s">
        <v>781</v>
      </c>
      <c r="P95" s="1" t="s">
        <v>782</v>
      </c>
      <c r="Q95" s="1" t="s">
        <v>157</v>
      </c>
      <c r="R95" s="4"/>
    </row>
    <row r="96" spans="1:18" x14ac:dyDescent="0.25">
      <c r="A96" s="1" t="s">
        <v>13</v>
      </c>
      <c r="B96" s="1" t="s">
        <v>783</v>
      </c>
      <c r="C96" s="1" t="s">
        <v>784</v>
      </c>
      <c r="D96" s="1" t="s">
        <v>255</v>
      </c>
      <c r="E96" s="1">
        <v>2022</v>
      </c>
      <c r="F96" s="1">
        <v>48</v>
      </c>
      <c r="G96" s="1">
        <v>7</v>
      </c>
      <c r="H96" s="1" t="s">
        <v>785</v>
      </c>
      <c r="I96" s="1" t="s">
        <v>257</v>
      </c>
      <c r="J96" s="1">
        <v>2022</v>
      </c>
      <c r="K96" s="4"/>
      <c r="L96" s="4"/>
      <c r="M96" s="1" t="s">
        <v>18</v>
      </c>
      <c r="N96" s="3" t="s">
        <v>786</v>
      </c>
      <c r="O96" s="1" t="s">
        <v>787</v>
      </c>
      <c r="P96" s="1" t="s">
        <v>788</v>
      </c>
      <c r="Q96" s="1" t="s">
        <v>176</v>
      </c>
      <c r="R96" s="4"/>
    </row>
    <row r="97" spans="1:18" x14ac:dyDescent="0.25">
      <c r="A97" s="1" t="s">
        <v>13</v>
      </c>
      <c r="B97" s="1" t="s">
        <v>789</v>
      </c>
      <c r="C97" s="1" t="s">
        <v>790</v>
      </c>
      <c r="D97" s="1" t="s">
        <v>791</v>
      </c>
      <c r="E97" s="1">
        <v>2022</v>
      </c>
      <c r="F97" s="1">
        <v>11</v>
      </c>
      <c r="G97" s="1">
        <v>18</v>
      </c>
      <c r="H97" s="4"/>
      <c r="I97" s="1" t="s">
        <v>228</v>
      </c>
      <c r="J97" s="1">
        <v>2022</v>
      </c>
      <c r="K97" s="4"/>
      <c r="L97" s="4"/>
      <c r="M97" s="1" t="s">
        <v>792</v>
      </c>
      <c r="N97" s="3" t="s">
        <v>793</v>
      </c>
      <c r="O97" s="1" t="s">
        <v>794</v>
      </c>
      <c r="P97" s="1" t="s">
        <v>795</v>
      </c>
      <c r="Q97" s="1" t="s">
        <v>285</v>
      </c>
      <c r="R97" s="4"/>
    </row>
    <row r="98" spans="1:18" x14ac:dyDescent="0.25">
      <c r="A98" s="1" t="s">
        <v>13</v>
      </c>
      <c r="B98" s="1" t="s">
        <v>796</v>
      </c>
      <c r="C98" s="1" t="s">
        <v>797</v>
      </c>
      <c r="D98" s="1" t="s">
        <v>328</v>
      </c>
      <c r="E98" s="1">
        <v>2022</v>
      </c>
      <c r="F98" s="1">
        <v>31</v>
      </c>
      <c r="G98" s="1">
        <v>3</v>
      </c>
      <c r="H98" s="4"/>
      <c r="I98" s="1" t="s">
        <v>145</v>
      </c>
      <c r="J98" s="1">
        <v>2022</v>
      </c>
      <c r="K98" s="4"/>
      <c r="L98" s="4"/>
      <c r="M98" s="1" t="s">
        <v>329</v>
      </c>
      <c r="N98" s="3" t="s">
        <v>798</v>
      </c>
      <c r="O98" s="1" t="s">
        <v>799</v>
      </c>
      <c r="P98" s="1" t="s">
        <v>800</v>
      </c>
      <c r="Q98" s="1" t="s">
        <v>568</v>
      </c>
      <c r="R98" s="4"/>
    </row>
    <row r="99" spans="1:18" x14ac:dyDescent="0.25">
      <c r="A99" s="1" t="s">
        <v>13</v>
      </c>
      <c r="B99" s="1" t="s">
        <v>801</v>
      </c>
      <c r="C99" s="1" t="s">
        <v>802</v>
      </c>
      <c r="D99" s="1" t="s">
        <v>803</v>
      </c>
      <c r="E99" s="1">
        <v>2022</v>
      </c>
      <c r="F99" s="1">
        <v>18</v>
      </c>
      <c r="G99" s="1">
        <v>1</v>
      </c>
      <c r="H99" s="1" t="s">
        <v>804</v>
      </c>
      <c r="I99" s="1" t="s">
        <v>212</v>
      </c>
      <c r="J99" s="1">
        <v>2022</v>
      </c>
      <c r="K99" s="4"/>
      <c r="L99" s="4"/>
      <c r="M99" s="1" t="s">
        <v>805</v>
      </c>
      <c r="N99" s="3" t="s">
        <v>806</v>
      </c>
      <c r="O99" s="1" t="s">
        <v>807</v>
      </c>
      <c r="P99" s="1" t="s">
        <v>808</v>
      </c>
      <c r="Q99" s="1" t="s">
        <v>289</v>
      </c>
      <c r="R99" s="4"/>
    </row>
    <row r="100" spans="1:18" x14ac:dyDescent="0.25">
      <c r="A100" s="1" t="s">
        <v>141</v>
      </c>
      <c r="B100" s="1" t="s">
        <v>809</v>
      </c>
      <c r="C100" s="1" t="s">
        <v>810</v>
      </c>
      <c r="D100" s="4"/>
      <c r="E100" s="1">
        <v>2022</v>
      </c>
      <c r="F100" s="4"/>
      <c r="G100" s="4"/>
      <c r="H100" s="1" t="s">
        <v>811</v>
      </c>
      <c r="I100" s="1" t="s">
        <v>145</v>
      </c>
      <c r="J100" s="1">
        <v>2022</v>
      </c>
      <c r="K100" s="1">
        <v>9781450396134</v>
      </c>
      <c r="L100" s="4"/>
      <c r="M100" s="4"/>
      <c r="N100" s="3" t="s">
        <v>812</v>
      </c>
      <c r="O100" s="1" t="s">
        <v>813</v>
      </c>
      <c r="P100" s="1" t="s">
        <v>814</v>
      </c>
      <c r="Q100" s="1" t="s">
        <v>157</v>
      </c>
      <c r="R100" s="4"/>
    </row>
    <row r="101" spans="1:18" x14ac:dyDescent="0.25">
      <c r="A101" s="1" t="s">
        <v>13</v>
      </c>
      <c r="B101" s="1" t="s">
        <v>109</v>
      </c>
      <c r="C101" s="1" t="s">
        <v>110</v>
      </c>
      <c r="D101" s="1" t="s">
        <v>255</v>
      </c>
      <c r="E101" s="1">
        <v>2022</v>
      </c>
      <c r="F101" s="1">
        <v>48</v>
      </c>
      <c r="G101" s="1">
        <v>5</v>
      </c>
      <c r="H101" s="1" t="s">
        <v>815</v>
      </c>
      <c r="I101" s="1" t="s">
        <v>257</v>
      </c>
      <c r="J101" s="1">
        <v>2022</v>
      </c>
      <c r="K101" s="4"/>
      <c r="L101" s="4"/>
      <c r="M101" s="1" t="s">
        <v>18</v>
      </c>
      <c r="N101" s="3" t="s">
        <v>816</v>
      </c>
      <c r="O101" s="1" t="s">
        <v>113</v>
      </c>
      <c r="P101" s="1" t="s">
        <v>817</v>
      </c>
      <c r="Q101" s="1" t="s">
        <v>818</v>
      </c>
      <c r="R101" s="4"/>
    </row>
    <row r="102" spans="1:18" x14ac:dyDescent="0.25">
      <c r="A102" s="1" t="s">
        <v>13</v>
      </c>
      <c r="B102" s="1" t="s">
        <v>819</v>
      </c>
      <c r="C102" s="1" t="s">
        <v>820</v>
      </c>
      <c r="D102" s="1" t="s">
        <v>255</v>
      </c>
      <c r="E102" s="1">
        <v>2022</v>
      </c>
      <c r="F102" s="1">
        <v>48</v>
      </c>
      <c r="G102" s="1">
        <v>9</v>
      </c>
      <c r="H102" s="1" t="s">
        <v>821</v>
      </c>
      <c r="I102" s="1" t="s">
        <v>257</v>
      </c>
      <c r="J102" s="1">
        <v>2022</v>
      </c>
      <c r="K102" s="4"/>
      <c r="L102" s="4"/>
      <c r="M102" s="1" t="s">
        <v>18</v>
      </c>
      <c r="N102" s="3" t="s">
        <v>822</v>
      </c>
      <c r="O102" s="1" t="s">
        <v>823</v>
      </c>
      <c r="P102" s="1" t="s">
        <v>824</v>
      </c>
      <c r="Q102" s="1" t="s">
        <v>318</v>
      </c>
      <c r="R102" s="4"/>
    </row>
    <row r="103" spans="1:18" x14ac:dyDescent="0.25">
      <c r="A103" s="1" t="s">
        <v>141</v>
      </c>
      <c r="B103" s="1" t="s">
        <v>825</v>
      </c>
      <c r="C103" s="1" t="s">
        <v>826</v>
      </c>
      <c r="D103" s="4"/>
      <c r="E103" s="1">
        <v>2022</v>
      </c>
      <c r="F103" s="4"/>
      <c r="G103" s="4"/>
      <c r="H103" s="1" t="s">
        <v>827</v>
      </c>
      <c r="I103" s="1" t="s">
        <v>828</v>
      </c>
      <c r="J103" s="1">
        <v>2022</v>
      </c>
      <c r="K103" s="1">
        <v>9781713863298</v>
      </c>
      <c r="L103" s="4"/>
      <c r="M103" s="4"/>
      <c r="N103" s="3" t="s">
        <v>829</v>
      </c>
      <c r="O103" s="4"/>
      <c r="P103" s="1" t="s">
        <v>830</v>
      </c>
      <c r="Q103" s="1" t="s">
        <v>157</v>
      </c>
      <c r="R103" s="4"/>
    </row>
    <row r="104" spans="1:18" x14ac:dyDescent="0.25">
      <c r="A104" s="1" t="s">
        <v>13</v>
      </c>
      <c r="B104" s="1" t="s">
        <v>831</v>
      </c>
      <c r="C104" s="1" t="s">
        <v>832</v>
      </c>
      <c r="D104" s="1" t="s">
        <v>354</v>
      </c>
      <c r="E104" s="1">
        <v>2022</v>
      </c>
      <c r="F104" s="1">
        <v>194</v>
      </c>
      <c r="G104" s="4"/>
      <c r="H104" s="4"/>
      <c r="I104" s="1" t="s">
        <v>355</v>
      </c>
      <c r="J104" s="1">
        <v>2022</v>
      </c>
      <c r="K104" s="4"/>
      <c r="L104" s="4"/>
      <c r="M104" s="1" t="s">
        <v>65</v>
      </c>
      <c r="N104" s="3" t="s">
        <v>833</v>
      </c>
      <c r="O104" s="1" t="s">
        <v>834</v>
      </c>
      <c r="P104" s="1" t="s">
        <v>835</v>
      </c>
      <c r="Q104" s="1" t="s">
        <v>585</v>
      </c>
      <c r="R104" s="4"/>
    </row>
    <row r="105" spans="1:18" x14ac:dyDescent="0.25">
      <c r="A105" s="1" t="s">
        <v>141</v>
      </c>
      <c r="B105" s="1" t="s">
        <v>836</v>
      </c>
      <c r="C105" s="1" t="s">
        <v>837</v>
      </c>
      <c r="D105" s="4"/>
      <c r="E105" s="1">
        <v>2022</v>
      </c>
      <c r="F105" s="4"/>
      <c r="G105" s="4"/>
      <c r="H105" s="1" t="s">
        <v>838</v>
      </c>
      <c r="I105" s="1" t="s">
        <v>145</v>
      </c>
      <c r="J105" s="1">
        <v>2022</v>
      </c>
      <c r="K105" s="1">
        <v>9781450397803</v>
      </c>
      <c r="L105" s="4"/>
      <c r="M105" s="4"/>
      <c r="N105" s="3" t="s">
        <v>839</v>
      </c>
      <c r="O105" s="1" t="s">
        <v>840</v>
      </c>
      <c r="P105" s="1" t="s">
        <v>841</v>
      </c>
      <c r="Q105" s="1" t="s">
        <v>157</v>
      </c>
      <c r="R105" s="4"/>
    </row>
    <row r="106" spans="1:18" x14ac:dyDescent="0.25">
      <c r="A106" s="1" t="s">
        <v>141</v>
      </c>
      <c r="B106" s="1" t="s">
        <v>842</v>
      </c>
      <c r="C106" s="1" t="s">
        <v>843</v>
      </c>
      <c r="D106" s="4"/>
      <c r="E106" s="1">
        <v>2022</v>
      </c>
      <c r="F106" s="4"/>
      <c r="G106" s="4"/>
      <c r="H106" s="1" t="s">
        <v>844</v>
      </c>
      <c r="I106" s="1" t="s">
        <v>153</v>
      </c>
      <c r="J106" s="1">
        <v>2022</v>
      </c>
      <c r="K106" s="1">
        <v>9781450394130</v>
      </c>
      <c r="L106" s="4"/>
      <c r="M106" s="4"/>
      <c r="N106" s="3" t="s">
        <v>845</v>
      </c>
      <c r="O106" s="1" t="s">
        <v>846</v>
      </c>
      <c r="P106" s="1" t="s">
        <v>847</v>
      </c>
      <c r="Q106" s="1" t="s">
        <v>568</v>
      </c>
      <c r="R106" s="4"/>
    </row>
    <row r="107" spans="1:18" x14ac:dyDescent="0.25">
      <c r="A107" s="1" t="s">
        <v>141</v>
      </c>
      <c r="B107" s="1" t="s">
        <v>848</v>
      </c>
      <c r="C107" s="1" t="s">
        <v>849</v>
      </c>
      <c r="D107" s="4"/>
      <c r="E107" s="1">
        <v>2022</v>
      </c>
      <c r="F107" s="4"/>
      <c r="G107" s="4"/>
      <c r="H107" s="1" t="s">
        <v>850</v>
      </c>
      <c r="I107" s="1" t="s">
        <v>145</v>
      </c>
      <c r="J107" s="1">
        <v>2022</v>
      </c>
      <c r="K107" s="1">
        <v>9781450397452</v>
      </c>
      <c r="L107" s="4"/>
      <c r="M107" s="4"/>
      <c r="N107" s="3" t="s">
        <v>851</v>
      </c>
      <c r="O107" s="1" t="s">
        <v>852</v>
      </c>
      <c r="P107" s="1" t="s">
        <v>853</v>
      </c>
      <c r="Q107" s="1" t="s">
        <v>157</v>
      </c>
      <c r="R107" s="4"/>
    </row>
    <row r="108" spans="1:18" x14ac:dyDescent="0.25">
      <c r="A108" s="1" t="s">
        <v>13</v>
      </c>
      <c r="B108" s="1" t="s">
        <v>854</v>
      </c>
      <c r="C108" s="1" t="s">
        <v>855</v>
      </c>
      <c r="D108" s="1" t="s">
        <v>255</v>
      </c>
      <c r="E108" s="1">
        <v>2022</v>
      </c>
      <c r="F108" s="1">
        <v>48</v>
      </c>
      <c r="G108" s="1">
        <v>12</v>
      </c>
      <c r="H108" s="1" t="s">
        <v>856</v>
      </c>
      <c r="I108" s="1" t="s">
        <v>257</v>
      </c>
      <c r="J108" s="1">
        <v>2022</v>
      </c>
      <c r="K108" s="4"/>
      <c r="L108" s="4"/>
      <c r="M108" s="1" t="s">
        <v>18</v>
      </c>
      <c r="N108" s="3" t="s">
        <v>857</v>
      </c>
      <c r="O108" s="1" t="s">
        <v>858</v>
      </c>
      <c r="P108" s="1" t="s">
        <v>859</v>
      </c>
      <c r="Q108" s="1" t="s">
        <v>157</v>
      </c>
      <c r="R108" s="4"/>
    </row>
    <row r="109" spans="1:18" x14ac:dyDescent="0.25">
      <c r="A109" s="1" t="s">
        <v>13</v>
      </c>
      <c r="B109" s="1" t="s">
        <v>860</v>
      </c>
      <c r="C109" s="1" t="s">
        <v>861</v>
      </c>
      <c r="D109" s="1" t="s">
        <v>136</v>
      </c>
      <c r="E109" s="1">
        <v>2022</v>
      </c>
      <c r="F109" s="1">
        <v>27</v>
      </c>
      <c r="G109" s="1">
        <v>3</v>
      </c>
      <c r="H109" s="4"/>
      <c r="I109" s="1" t="s">
        <v>137</v>
      </c>
      <c r="J109" s="1">
        <v>2022</v>
      </c>
      <c r="K109" s="4"/>
      <c r="L109" s="4"/>
      <c r="M109" s="1" t="s">
        <v>33</v>
      </c>
      <c r="N109" s="3" t="s">
        <v>862</v>
      </c>
      <c r="O109" s="1" t="s">
        <v>863</v>
      </c>
      <c r="P109" s="1" t="s">
        <v>864</v>
      </c>
      <c r="Q109" s="1" t="s">
        <v>318</v>
      </c>
      <c r="R109" s="4"/>
    </row>
    <row r="110" spans="1:18" x14ac:dyDescent="0.25">
      <c r="A110" s="1" t="s">
        <v>13</v>
      </c>
      <c r="B110" s="1" t="s">
        <v>865</v>
      </c>
      <c r="C110" s="1" t="s">
        <v>866</v>
      </c>
      <c r="D110" s="1" t="s">
        <v>354</v>
      </c>
      <c r="E110" s="1">
        <v>2022</v>
      </c>
      <c r="F110" s="1">
        <v>184</v>
      </c>
      <c r="G110" s="4"/>
      <c r="H110" s="4"/>
      <c r="I110" s="1" t="s">
        <v>355</v>
      </c>
      <c r="J110" s="1">
        <v>2022</v>
      </c>
      <c r="K110" s="4"/>
      <c r="L110" s="4"/>
      <c r="M110" s="1" t="s">
        <v>65</v>
      </c>
      <c r="N110" s="3" t="s">
        <v>867</v>
      </c>
      <c r="O110" s="1" t="s">
        <v>868</v>
      </c>
      <c r="P110" s="1" t="s">
        <v>869</v>
      </c>
      <c r="Q110" s="1" t="s">
        <v>176</v>
      </c>
      <c r="R110" s="4"/>
    </row>
    <row r="111" spans="1:18" x14ac:dyDescent="0.25">
      <c r="A111" s="1" t="s">
        <v>141</v>
      </c>
      <c r="B111" s="1" t="s">
        <v>870</v>
      </c>
      <c r="C111" s="1" t="s">
        <v>871</v>
      </c>
      <c r="D111" s="4"/>
      <c r="E111" s="1">
        <v>2022</v>
      </c>
      <c r="F111" s="4"/>
      <c r="G111" s="4"/>
      <c r="H111" s="1" t="s">
        <v>872</v>
      </c>
      <c r="I111" s="1" t="s">
        <v>145</v>
      </c>
      <c r="J111" s="1">
        <v>2022</v>
      </c>
      <c r="K111" s="1">
        <v>9781450397353</v>
      </c>
      <c r="L111" s="4"/>
      <c r="M111" s="4"/>
      <c r="N111" s="3" t="s">
        <v>873</v>
      </c>
      <c r="O111" s="1" t="s">
        <v>874</v>
      </c>
      <c r="P111" s="1" t="s">
        <v>875</v>
      </c>
      <c r="Q111" s="1" t="s">
        <v>404</v>
      </c>
      <c r="R111" s="4"/>
    </row>
    <row r="112" spans="1:18" x14ac:dyDescent="0.25">
      <c r="A112" s="1" t="s">
        <v>13</v>
      </c>
      <c r="B112" s="1" t="s">
        <v>876</v>
      </c>
      <c r="C112" s="1" t="s">
        <v>877</v>
      </c>
      <c r="D112" s="1" t="s">
        <v>878</v>
      </c>
      <c r="E112" s="1">
        <v>2022</v>
      </c>
      <c r="F112" s="1">
        <v>34</v>
      </c>
      <c r="G112" s="1">
        <v>5</v>
      </c>
      <c r="H112" s="4"/>
      <c r="I112" s="1" t="s">
        <v>266</v>
      </c>
      <c r="J112" s="1">
        <v>2022</v>
      </c>
      <c r="K112" s="4"/>
      <c r="L112" s="4"/>
      <c r="M112" s="1" t="s">
        <v>879</v>
      </c>
      <c r="N112" s="3" t="s">
        <v>880</v>
      </c>
      <c r="O112" s="1" t="s">
        <v>881</v>
      </c>
      <c r="P112" s="1" t="s">
        <v>882</v>
      </c>
      <c r="Q112" s="1" t="s">
        <v>157</v>
      </c>
      <c r="R112" s="4"/>
    </row>
    <row r="113" spans="1:18" x14ac:dyDescent="0.25">
      <c r="A113" s="1" t="s">
        <v>13</v>
      </c>
      <c r="B113" s="1" t="s">
        <v>883</v>
      </c>
      <c r="C113" s="1" t="s">
        <v>884</v>
      </c>
      <c r="D113" s="1" t="s">
        <v>136</v>
      </c>
      <c r="E113" s="1">
        <v>2023</v>
      </c>
      <c r="F113" s="1">
        <v>28</v>
      </c>
      <c r="G113" s="1">
        <v>1</v>
      </c>
      <c r="H113" s="4"/>
      <c r="I113" s="1" t="s">
        <v>137</v>
      </c>
      <c r="J113" s="1">
        <v>2023</v>
      </c>
      <c r="K113" s="4"/>
      <c r="L113" s="4"/>
      <c r="M113" s="1" t="s">
        <v>33</v>
      </c>
      <c r="N113" s="3" t="s">
        <v>885</v>
      </c>
      <c r="O113" s="1" t="s">
        <v>886</v>
      </c>
      <c r="P113" s="1" t="s">
        <v>887</v>
      </c>
      <c r="Q113" s="1" t="s">
        <v>157</v>
      </c>
      <c r="R113" s="4"/>
    </row>
    <row r="114" spans="1:18" x14ac:dyDescent="0.25">
      <c r="A114" s="1" t="s">
        <v>13</v>
      </c>
      <c r="B114" s="1" t="s">
        <v>888</v>
      </c>
      <c r="C114" s="1" t="s">
        <v>889</v>
      </c>
      <c r="D114" s="1" t="s">
        <v>890</v>
      </c>
      <c r="E114" s="1">
        <v>2022</v>
      </c>
      <c r="F114" s="1">
        <v>4</v>
      </c>
      <c r="G114" s="4"/>
      <c r="H114" s="4"/>
      <c r="I114" s="1" t="s">
        <v>891</v>
      </c>
      <c r="J114" s="1">
        <v>2022</v>
      </c>
      <c r="K114" s="4"/>
      <c r="L114" s="4"/>
      <c r="M114" s="1" t="s">
        <v>892</v>
      </c>
      <c r="N114" s="3" t="s">
        <v>893</v>
      </c>
      <c r="O114" s="1" t="s">
        <v>894</v>
      </c>
      <c r="P114" s="1" t="s">
        <v>895</v>
      </c>
      <c r="Q114" s="1" t="s">
        <v>896</v>
      </c>
      <c r="R114" s="4"/>
    </row>
    <row r="115" spans="1:18" x14ac:dyDescent="0.25">
      <c r="A115" s="1" t="s">
        <v>13</v>
      </c>
      <c r="B115" s="1" t="s">
        <v>897</v>
      </c>
      <c r="C115" s="1" t="s">
        <v>898</v>
      </c>
      <c r="D115" s="1" t="s">
        <v>899</v>
      </c>
      <c r="E115" s="1">
        <v>2022</v>
      </c>
      <c r="F115" s="1">
        <v>5</v>
      </c>
      <c r="G115" s="1">
        <v>1</v>
      </c>
      <c r="H115" s="1" t="s">
        <v>900</v>
      </c>
      <c r="I115" s="1" t="s">
        <v>228</v>
      </c>
      <c r="J115" s="1">
        <v>2022</v>
      </c>
      <c r="K115" s="4"/>
      <c r="L115" s="4"/>
      <c r="M115" s="1" t="s">
        <v>901</v>
      </c>
      <c r="N115" s="3" t="s">
        <v>902</v>
      </c>
      <c r="O115" s="1" t="s">
        <v>903</v>
      </c>
      <c r="P115" s="1" t="s">
        <v>904</v>
      </c>
      <c r="Q115" s="1" t="s">
        <v>447</v>
      </c>
      <c r="R115" s="4"/>
    </row>
    <row r="116" spans="1:18" x14ac:dyDescent="0.25">
      <c r="A116" s="1" t="s">
        <v>13</v>
      </c>
      <c r="B116" s="1" t="s">
        <v>905</v>
      </c>
      <c r="C116" s="1" t="s">
        <v>906</v>
      </c>
      <c r="D116" s="1" t="s">
        <v>136</v>
      </c>
      <c r="E116" s="1">
        <v>2022</v>
      </c>
      <c r="F116" s="1">
        <v>27</v>
      </c>
      <c r="G116" s="1">
        <v>4</v>
      </c>
      <c r="H116" s="4"/>
      <c r="I116" s="1" t="s">
        <v>137</v>
      </c>
      <c r="J116" s="1">
        <v>2022</v>
      </c>
      <c r="K116" s="4"/>
      <c r="L116" s="4"/>
      <c r="M116" s="1" t="s">
        <v>33</v>
      </c>
      <c r="N116" s="3" t="s">
        <v>907</v>
      </c>
      <c r="O116" s="1" t="s">
        <v>908</v>
      </c>
      <c r="P116" s="1" t="s">
        <v>909</v>
      </c>
      <c r="Q116" s="1" t="s">
        <v>404</v>
      </c>
      <c r="R116" s="4"/>
    </row>
    <row r="117" spans="1:18" x14ac:dyDescent="0.25">
      <c r="A117" s="1" t="s">
        <v>13</v>
      </c>
      <c r="B117" s="1" t="s">
        <v>910</v>
      </c>
      <c r="C117" s="1" t="s">
        <v>911</v>
      </c>
      <c r="D117" s="1" t="s">
        <v>912</v>
      </c>
      <c r="E117" s="1">
        <v>2023</v>
      </c>
      <c r="F117" s="4"/>
      <c r="G117" s="4"/>
      <c r="H117" s="1" t="s">
        <v>913</v>
      </c>
      <c r="I117" s="1" t="s">
        <v>212</v>
      </c>
      <c r="J117" s="1">
        <v>2023</v>
      </c>
      <c r="K117" s="4"/>
      <c r="L117" s="4"/>
      <c r="M117" s="1" t="s">
        <v>914</v>
      </c>
      <c r="N117" s="3" t="s">
        <v>915</v>
      </c>
      <c r="O117" s="1" t="s">
        <v>916</v>
      </c>
      <c r="P117" s="1" t="s">
        <v>917</v>
      </c>
      <c r="Q117" s="1" t="s">
        <v>157</v>
      </c>
      <c r="R117" s="4"/>
    </row>
    <row r="118" spans="1:18" x14ac:dyDescent="0.25">
      <c r="A118" s="1" t="s">
        <v>13</v>
      </c>
      <c r="B118" s="1" t="s">
        <v>918</v>
      </c>
      <c r="C118" s="1" t="s">
        <v>919</v>
      </c>
      <c r="D118" s="1" t="s">
        <v>354</v>
      </c>
      <c r="E118" s="1">
        <v>2022</v>
      </c>
      <c r="F118" s="1">
        <v>193</v>
      </c>
      <c r="G118" s="4"/>
      <c r="H118" s="4"/>
      <c r="I118" s="1" t="s">
        <v>355</v>
      </c>
      <c r="J118" s="1">
        <v>2022</v>
      </c>
      <c r="K118" s="4"/>
      <c r="L118" s="4"/>
      <c r="M118" s="1" t="s">
        <v>65</v>
      </c>
      <c r="N118" s="3" t="s">
        <v>920</v>
      </c>
      <c r="O118" s="1" t="s">
        <v>921</v>
      </c>
      <c r="P118" s="1" t="s">
        <v>922</v>
      </c>
      <c r="Q118" s="1" t="s">
        <v>404</v>
      </c>
      <c r="R118" s="4"/>
    </row>
    <row r="119" spans="1:18" x14ac:dyDescent="0.25">
      <c r="A119" s="1" t="s">
        <v>13</v>
      </c>
      <c r="B119" s="1" t="s">
        <v>923</v>
      </c>
      <c r="C119" s="1" t="s">
        <v>924</v>
      </c>
      <c r="D119" s="1" t="s">
        <v>925</v>
      </c>
      <c r="E119" s="1">
        <v>2022</v>
      </c>
      <c r="F119" s="1">
        <v>11</v>
      </c>
      <c r="G119" s="1">
        <v>10</v>
      </c>
      <c r="H119" s="4"/>
      <c r="I119" s="1" t="s">
        <v>228</v>
      </c>
      <c r="J119" s="1">
        <v>2022</v>
      </c>
      <c r="K119" s="4"/>
      <c r="L119" s="4"/>
      <c r="M119" s="1" t="s">
        <v>926</v>
      </c>
      <c r="N119" s="3" t="s">
        <v>927</v>
      </c>
      <c r="O119" s="1" t="s">
        <v>928</v>
      </c>
      <c r="P119" s="1" t="s">
        <v>929</v>
      </c>
      <c r="Q119" s="1" t="s">
        <v>285</v>
      </c>
      <c r="R119" s="4"/>
    </row>
    <row r="120" spans="1:18" x14ac:dyDescent="0.25">
      <c r="A120" s="1" t="s">
        <v>141</v>
      </c>
      <c r="B120" s="1" t="s">
        <v>930</v>
      </c>
      <c r="C120" s="1" t="s">
        <v>931</v>
      </c>
      <c r="D120" s="4"/>
      <c r="E120" s="1">
        <v>2022</v>
      </c>
      <c r="F120" s="4"/>
      <c r="G120" s="4"/>
      <c r="H120" s="1" t="s">
        <v>932</v>
      </c>
      <c r="I120" s="1" t="s">
        <v>933</v>
      </c>
      <c r="J120" s="1">
        <v>2022</v>
      </c>
      <c r="K120" s="1">
        <v>9781891706547</v>
      </c>
      <c r="L120" s="4"/>
      <c r="M120" s="1" t="s">
        <v>934</v>
      </c>
      <c r="N120" s="3" t="s">
        <v>935</v>
      </c>
      <c r="O120" s="1" t="s">
        <v>936</v>
      </c>
      <c r="P120" s="1" t="s">
        <v>937</v>
      </c>
      <c r="Q120" s="1" t="s">
        <v>157</v>
      </c>
      <c r="R120" s="4"/>
    </row>
    <row r="121" spans="1:18" x14ac:dyDescent="0.25">
      <c r="A121" s="1" t="s">
        <v>13</v>
      </c>
      <c r="B121" s="1" t="s">
        <v>938</v>
      </c>
      <c r="C121" s="1" t="s">
        <v>939</v>
      </c>
      <c r="D121" s="1" t="s">
        <v>361</v>
      </c>
      <c r="E121" s="1">
        <v>2022</v>
      </c>
      <c r="F121" s="1">
        <v>5</v>
      </c>
      <c r="G121" s="1">
        <v>1</v>
      </c>
      <c r="H121" s="4"/>
      <c r="I121" s="1" t="s">
        <v>362</v>
      </c>
      <c r="J121" s="1">
        <v>2022</v>
      </c>
      <c r="K121" s="4"/>
      <c r="L121" s="4"/>
      <c r="M121" s="1" t="s">
        <v>363</v>
      </c>
      <c r="N121" s="3" t="s">
        <v>940</v>
      </c>
      <c r="O121" s="1" t="s">
        <v>941</v>
      </c>
      <c r="P121" s="1" t="s">
        <v>942</v>
      </c>
      <c r="Q121" s="1" t="s">
        <v>943</v>
      </c>
      <c r="R121" s="4"/>
    </row>
    <row r="122" spans="1:18" x14ac:dyDescent="0.25">
      <c r="A122" s="1" t="s">
        <v>13</v>
      </c>
      <c r="B122" s="1" t="s">
        <v>944</v>
      </c>
      <c r="C122" s="1" t="s">
        <v>945</v>
      </c>
      <c r="D122" s="1" t="s">
        <v>946</v>
      </c>
      <c r="E122" s="1">
        <v>2023</v>
      </c>
      <c r="F122" s="1">
        <v>13</v>
      </c>
      <c r="G122" s="1">
        <v>2</v>
      </c>
      <c r="H122" s="1" t="s">
        <v>947</v>
      </c>
      <c r="I122" s="1" t="s">
        <v>948</v>
      </c>
      <c r="J122" s="1">
        <v>2023</v>
      </c>
      <c r="K122" s="4"/>
      <c r="L122" s="4"/>
      <c r="M122" s="1" t="s">
        <v>949</v>
      </c>
      <c r="N122" s="3" t="s">
        <v>950</v>
      </c>
      <c r="O122" s="1" t="s">
        <v>951</v>
      </c>
      <c r="P122" s="1" t="s">
        <v>952</v>
      </c>
      <c r="Q122" s="1" t="s">
        <v>157</v>
      </c>
      <c r="R122" s="4"/>
    </row>
    <row r="123" spans="1:18" x14ac:dyDescent="0.25">
      <c r="A123" s="1" t="s">
        <v>13</v>
      </c>
      <c r="B123" s="1" t="s">
        <v>953</v>
      </c>
      <c r="C123" s="1" t="s">
        <v>954</v>
      </c>
      <c r="D123" s="1" t="s">
        <v>955</v>
      </c>
      <c r="E123" s="1">
        <v>2022</v>
      </c>
      <c r="F123" s="1">
        <v>22</v>
      </c>
      <c r="G123" s="1">
        <v>3</v>
      </c>
      <c r="H123" s="4"/>
      <c r="I123" s="1" t="s">
        <v>228</v>
      </c>
      <c r="J123" s="1">
        <v>2022</v>
      </c>
      <c r="K123" s="4"/>
      <c r="L123" s="4"/>
      <c r="M123" s="1" t="s">
        <v>956</v>
      </c>
      <c r="N123" s="3" t="s">
        <v>957</v>
      </c>
      <c r="O123" s="1" t="s">
        <v>958</v>
      </c>
      <c r="P123" s="1" t="s">
        <v>959</v>
      </c>
      <c r="Q123" s="1" t="s">
        <v>960</v>
      </c>
      <c r="R123" s="4"/>
    </row>
    <row r="124" spans="1:18" x14ac:dyDescent="0.25">
      <c r="A124" s="1" t="s">
        <v>13</v>
      </c>
      <c r="B124" s="1" t="s">
        <v>961</v>
      </c>
      <c r="C124" s="1" t="s">
        <v>962</v>
      </c>
      <c r="D124" s="1" t="s">
        <v>963</v>
      </c>
      <c r="E124" s="1">
        <v>2022</v>
      </c>
      <c r="F124" s="1">
        <v>24</v>
      </c>
      <c r="G124" s="1">
        <v>6</v>
      </c>
      <c r="H124" s="1" t="s">
        <v>964</v>
      </c>
      <c r="I124" s="1" t="s">
        <v>212</v>
      </c>
      <c r="J124" s="1">
        <v>2022</v>
      </c>
      <c r="K124" s="4"/>
      <c r="L124" s="4"/>
      <c r="M124" s="1" t="s">
        <v>965</v>
      </c>
      <c r="N124" s="3" t="s">
        <v>966</v>
      </c>
      <c r="O124" s="1" t="s">
        <v>967</v>
      </c>
      <c r="P124" s="1" t="s">
        <v>968</v>
      </c>
      <c r="Q124" s="1" t="s">
        <v>157</v>
      </c>
      <c r="R124" s="4"/>
    </row>
    <row r="125" spans="1:18" x14ac:dyDescent="0.25">
      <c r="A125" s="1" t="s">
        <v>13</v>
      </c>
      <c r="B125" s="1" t="s">
        <v>969</v>
      </c>
      <c r="C125" s="1" t="s">
        <v>970</v>
      </c>
      <c r="D125" s="1" t="s">
        <v>971</v>
      </c>
      <c r="E125" s="1">
        <v>2023</v>
      </c>
      <c r="F125" s="1">
        <v>140</v>
      </c>
      <c r="G125" s="4"/>
      <c r="H125" s="1" t="s">
        <v>972</v>
      </c>
      <c r="I125" s="1" t="s">
        <v>280</v>
      </c>
      <c r="J125" s="1">
        <v>2023</v>
      </c>
      <c r="K125" s="4"/>
      <c r="L125" s="4"/>
      <c r="M125" s="1" t="s">
        <v>973</v>
      </c>
      <c r="N125" s="3" t="s">
        <v>974</v>
      </c>
      <c r="O125" s="1" t="s">
        <v>975</v>
      </c>
      <c r="P125" s="1" t="s">
        <v>976</v>
      </c>
      <c r="Q125" s="1" t="s">
        <v>157</v>
      </c>
      <c r="R125" s="4"/>
    </row>
    <row r="126" spans="1:18" x14ac:dyDescent="0.25">
      <c r="A126" s="1" t="s">
        <v>13</v>
      </c>
      <c r="B126" s="1" t="s">
        <v>977</v>
      </c>
      <c r="C126" s="1" t="s">
        <v>978</v>
      </c>
      <c r="D126" s="1" t="s">
        <v>255</v>
      </c>
      <c r="E126" s="1">
        <v>2022</v>
      </c>
      <c r="F126" s="1">
        <v>48</v>
      </c>
      <c r="G126" s="1">
        <v>12</v>
      </c>
      <c r="H126" s="1" t="s">
        <v>979</v>
      </c>
      <c r="I126" s="1" t="s">
        <v>257</v>
      </c>
      <c r="J126" s="1">
        <v>2022</v>
      </c>
      <c r="K126" s="4"/>
      <c r="L126" s="4"/>
      <c r="M126" s="1" t="s">
        <v>18</v>
      </c>
      <c r="N126" s="3" t="s">
        <v>980</v>
      </c>
      <c r="O126" s="1" t="s">
        <v>981</v>
      </c>
      <c r="P126" s="1" t="s">
        <v>982</v>
      </c>
      <c r="Q126" s="1" t="s">
        <v>404</v>
      </c>
      <c r="R126" s="4"/>
    </row>
    <row r="127" spans="1:18" x14ac:dyDescent="0.25">
      <c r="A127" s="1" t="s">
        <v>13</v>
      </c>
      <c r="B127" s="1" t="s">
        <v>983</v>
      </c>
      <c r="C127" s="1" t="s">
        <v>984</v>
      </c>
      <c r="D127" s="1" t="s">
        <v>985</v>
      </c>
      <c r="E127" s="1">
        <v>2022</v>
      </c>
      <c r="F127" s="1">
        <v>17</v>
      </c>
      <c r="G127" s="1">
        <v>6</v>
      </c>
      <c r="H127" s="1" t="s">
        <v>986</v>
      </c>
      <c r="I127" s="1" t="s">
        <v>987</v>
      </c>
      <c r="J127" s="1">
        <v>2022</v>
      </c>
      <c r="K127" s="4"/>
      <c r="L127" s="4"/>
      <c r="M127" s="1" t="s">
        <v>988</v>
      </c>
      <c r="N127" s="3" t="s">
        <v>989</v>
      </c>
      <c r="O127" s="4"/>
      <c r="P127" s="1" t="s">
        <v>990</v>
      </c>
      <c r="Q127" s="1" t="s">
        <v>318</v>
      </c>
      <c r="R127" s="4"/>
    </row>
    <row r="128" spans="1:18" x14ac:dyDescent="0.25">
      <c r="A128" s="1" t="s">
        <v>13</v>
      </c>
      <c r="B128" s="1" t="s">
        <v>96</v>
      </c>
      <c r="C128" s="1" t="s">
        <v>97</v>
      </c>
      <c r="D128" s="1" t="s">
        <v>136</v>
      </c>
      <c r="E128" s="1">
        <v>2022</v>
      </c>
      <c r="F128" s="1">
        <v>27</v>
      </c>
      <c r="G128" s="1">
        <v>4</v>
      </c>
      <c r="H128" s="4"/>
      <c r="I128" s="1" t="s">
        <v>137</v>
      </c>
      <c r="J128" s="1">
        <v>2022</v>
      </c>
      <c r="K128" s="4"/>
      <c r="L128" s="4"/>
      <c r="M128" s="1" t="s">
        <v>33</v>
      </c>
      <c r="N128" s="3" t="s">
        <v>991</v>
      </c>
      <c r="O128" s="1" t="s">
        <v>99</v>
      </c>
      <c r="P128" s="1" t="s">
        <v>992</v>
      </c>
      <c r="Q128" s="1" t="s">
        <v>404</v>
      </c>
      <c r="R128" s="4"/>
    </row>
    <row r="129" spans="1:18" x14ac:dyDescent="0.25">
      <c r="A129" s="1" t="s">
        <v>141</v>
      </c>
      <c r="B129" s="1" t="s">
        <v>993</v>
      </c>
      <c r="C129" s="1" t="s">
        <v>994</v>
      </c>
      <c r="D129" s="4"/>
      <c r="E129" s="1">
        <v>2022</v>
      </c>
      <c r="F129" s="4"/>
      <c r="G129" s="4"/>
      <c r="H129" s="1" t="s">
        <v>995</v>
      </c>
      <c r="I129" s="1" t="s">
        <v>153</v>
      </c>
      <c r="J129" s="1">
        <v>2022</v>
      </c>
      <c r="K129" s="1">
        <v>9781450394130</v>
      </c>
      <c r="L129" s="4"/>
      <c r="M129" s="4"/>
      <c r="N129" s="3" t="s">
        <v>996</v>
      </c>
      <c r="O129" s="1" t="s">
        <v>997</v>
      </c>
      <c r="P129" s="1" t="s">
        <v>998</v>
      </c>
      <c r="Q129" s="1" t="s">
        <v>999</v>
      </c>
      <c r="R129" s="4"/>
    </row>
    <row r="130" spans="1:18" x14ac:dyDescent="0.25">
      <c r="A130" s="1" t="s">
        <v>13</v>
      </c>
      <c r="B130" s="1" t="s">
        <v>1000</v>
      </c>
      <c r="C130" s="1" t="s">
        <v>1001</v>
      </c>
      <c r="D130" s="1" t="s">
        <v>1002</v>
      </c>
      <c r="E130" s="1">
        <v>2022</v>
      </c>
      <c r="F130" s="1">
        <v>15</v>
      </c>
      <c r="G130" s="1">
        <v>1</v>
      </c>
      <c r="H130" s="4"/>
      <c r="I130" s="1" t="s">
        <v>145</v>
      </c>
      <c r="J130" s="1">
        <v>2022</v>
      </c>
      <c r="K130" s="4"/>
      <c r="L130" s="4"/>
      <c r="M130" s="1" t="s">
        <v>1003</v>
      </c>
      <c r="N130" s="3" t="s">
        <v>1004</v>
      </c>
      <c r="O130" s="1" t="s">
        <v>1005</v>
      </c>
      <c r="P130" s="1" t="s">
        <v>1006</v>
      </c>
      <c r="Q130" s="1" t="s">
        <v>157</v>
      </c>
      <c r="R130" s="4"/>
    </row>
    <row r="131" spans="1:18" x14ac:dyDescent="0.25">
      <c r="A131" s="1" t="s">
        <v>13</v>
      </c>
      <c r="B131" s="1" t="s">
        <v>1007</v>
      </c>
      <c r="C131" s="1" t="s">
        <v>1008</v>
      </c>
      <c r="D131" s="1" t="s">
        <v>136</v>
      </c>
      <c r="E131" s="1">
        <v>2022</v>
      </c>
      <c r="F131" s="1">
        <v>27</v>
      </c>
      <c r="G131" s="1">
        <v>2</v>
      </c>
      <c r="H131" s="4"/>
      <c r="I131" s="1" t="s">
        <v>137</v>
      </c>
      <c r="J131" s="1">
        <v>2022</v>
      </c>
      <c r="K131" s="4"/>
      <c r="L131" s="4"/>
      <c r="M131" s="1" t="s">
        <v>33</v>
      </c>
      <c r="N131" s="3" t="s">
        <v>1009</v>
      </c>
      <c r="O131" s="1" t="s">
        <v>1010</v>
      </c>
      <c r="P131" s="1" t="s">
        <v>1011</v>
      </c>
      <c r="Q131" s="1" t="s">
        <v>157</v>
      </c>
      <c r="R131" s="4"/>
    </row>
    <row r="132" spans="1:18" x14ac:dyDescent="0.25">
      <c r="A132" s="1" t="s">
        <v>13</v>
      </c>
      <c r="B132" s="1" t="s">
        <v>1012</v>
      </c>
      <c r="C132" s="1" t="s">
        <v>1013</v>
      </c>
      <c r="D132" s="1" t="s">
        <v>209</v>
      </c>
      <c r="E132" s="1">
        <v>2022</v>
      </c>
      <c r="F132" s="1" t="s">
        <v>1014</v>
      </c>
      <c r="G132" s="4"/>
      <c r="H132" s="1" t="s">
        <v>1015</v>
      </c>
      <c r="I132" s="1" t="s">
        <v>212</v>
      </c>
      <c r="J132" s="1">
        <v>2022</v>
      </c>
      <c r="K132" s="4"/>
      <c r="L132" s="4"/>
      <c r="M132" s="1" t="s">
        <v>213</v>
      </c>
      <c r="N132" s="3" t="s">
        <v>1016</v>
      </c>
      <c r="O132" s="1" t="s">
        <v>1017</v>
      </c>
      <c r="P132" s="1" t="s">
        <v>1018</v>
      </c>
      <c r="Q132" s="1" t="s">
        <v>157</v>
      </c>
      <c r="R132" s="4"/>
    </row>
    <row r="133" spans="1:18" x14ac:dyDescent="0.25">
      <c r="A133" s="1" t="s">
        <v>13</v>
      </c>
      <c r="B133" s="1" t="s">
        <v>1019</v>
      </c>
      <c r="C133" s="1" t="s">
        <v>1020</v>
      </c>
      <c r="D133" s="1" t="s">
        <v>361</v>
      </c>
      <c r="E133" s="1">
        <v>2022</v>
      </c>
      <c r="F133" s="1">
        <v>5</v>
      </c>
      <c r="G133" s="1">
        <v>1</v>
      </c>
      <c r="H133" s="4"/>
      <c r="I133" s="1" t="s">
        <v>362</v>
      </c>
      <c r="J133" s="1">
        <v>2022</v>
      </c>
      <c r="K133" s="4"/>
      <c r="L133" s="4"/>
      <c r="M133" s="1" t="s">
        <v>363</v>
      </c>
      <c r="N133" s="3" t="s">
        <v>1021</v>
      </c>
      <c r="O133" s="1" t="s">
        <v>1022</v>
      </c>
      <c r="P133" s="1" t="s">
        <v>1023</v>
      </c>
      <c r="Q133" s="1" t="s">
        <v>1024</v>
      </c>
      <c r="R133" s="4"/>
    </row>
    <row r="134" spans="1:18" x14ac:dyDescent="0.25">
      <c r="A134" s="1" t="s">
        <v>141</v>
      </c>
      <c r="B134" s="1" t="s">
        <v>1025</v>
      </c>
      <c r="C134" s="1" t="s">
        <v>1026</v>
      </c>
      <c r="D134" s="4"/>
      <c r="E134" s="1">
        <v>2022</v>
      </c>
      <c r="F134" s="4"/>
      <c r="G134" s="4"/>
      <c r="H134" s="1" t="s">
        <v>1027</v>
      </c>
      <c r="I134" s="1" t="s">
        <v>153</v>
      </c>
      <c r="J134" s="1">
        <v>2022</v>
      </c>
      <c r="K134" s="1">
        <v>9781450394567</v>
      </c>
      <c r="L134" s="4"/>
      <c r="M134" s="4"/>
      <c r="N134" s="3" t="s">
        <v>1028</v>
      </c>
      <c r="O134" s="1" t="s">
        <v>1029</v>
      </c>
      <c r="P134" s="1" t="s">
        <v>1030</v>
      </c>
      <c r="Q134" s="1" t="s">
        <v>157</v>
      </c>
      <c r="R134" s="4"/>
    </row>
    <row r="135" spans="1:18" x14ac:dyDescent="0.25">
      <c r="A135" s="1" t="s">
        <v>13</v>
      </c>
      <c r="B135" s="1" t="s">
        <v>1031</v>
      </c>
      <c r="C135" s="1" t="s">
        <v>1032</v>
      </c>
      <c r="D135" s="1" t="s">
        <v>1033</v>
      </c>
      <c r="E135" s="1">
        <v>2022</v>
      </c>
      <c r="F135" s="1">
        <v>47</v>
      </c>
      <c r="G135" s="1">
        <v>2</v>
      </c>
      <c r="H135" s="1" t="s">
        <v>1034</v>
      </c>
      <c r="I135" s="1" t="s">
        <v>212</v>
      </c>
      <c r="J135" s="1">
        <v>2022</v>
      </c>
      <c r="K135" s="4"/>
      <c r="L135" s="4"/>
      <c r="M135" s="1" t="s">
        <v>1035</v>
      </c>
      <c r="N135" s="3" t="s">
        <v>1036</v>
      </c>
      <c r="O135" s="1" t="s">
        <v>1037</v>
      </c>
      <c r="P135" s="1" t="s">
        <v>1038</v>
      </c>
      <c r="Q135" s="1" t="s">
        <v>176</v>
      </c>
      <c r="R135" s="4"/>
    </row>
    <row r="136" spans="1:18" x14ac:dyDescent="0.25">
      <c r="A136" s="1" t="s">
        <v>13</v>
      </c>
      <c r="B136" s="1" t="s">
        <v>1039</v>
      </c>
      <c r="C136" s="1" t="s">
        <v>1040</v>
      </c>
      <c r="D136" s="1" t="s">
        <v>1041</v>
      </c>
      <c r="E136" s="1">
        <v>2022</v>
      </c>
      <c r="F136" s="1">
        <v>6</v>
      </c>
      <c r="G136" s="1">
        <v>4</v>
      </c>
      <c r="H136" s="1" t="s">
        <v>1042</v>
      </c>
      <c r="I136" s="1" t="s">
        <v>1043</v>
      </c>
      <c r="J136" s="1">
        <v>2022</v>
      </c>
      <c r="K136" s="4"/>
      <c r="L136" s="4"/>
      <c r="M136" s="1" t="s">
        <v>1044</v>
      </c>
      <c r="N136" s="3" t="s">
        <v>1045</v>
      </c>
      <c r="O136" s="1" t="s">
        <v>1046</v>
      </c>
      <c r="P136" s="1" t="s">
        <v>1047</v>
      </c>
      <c r="Q136" s="1" t="s">
        <v>157</v>
      </c>
      <c r="R136" s="4"/>
    </row>
    <row r="137" spans="1:18" x14ac:dyDescent="0.25">
      <c r="A137" s="1" t="s">
        <v>13</v>
      </c>
      <c r="B137" s="1" t="s">
        <v>1048</v>
      </c>
      <c r="C137" s="1" t="s">
        <v>1049</v>
      </c>
      <c r="D137" s="1" t="s">
        <v>588</v>
      </c>
      <c r="E137" s="1">
        <v>2022</v>
      </c>
      <c r="F137" s="1">
        <v>70</v>
      </c>
      <c r="G137" s="1">
        <v>9</v>
      </c>
      <c r="H137" s="1" t="s">
        <v>1050</v>
      </c>
      <c r="I137" s="1" t="s">
        <v>590</v>
      </c>
      <c r="J137" s="1">
        <v>2022</v>
      </c>
      <c r="K137" s="4"/>
      <c r="L137" s="4"/>
      <c r="M137" s="1" t="s">
        <v>591</v>
      </c>
      <c r="N137" s="3" t="s">
        <v>1051</v>
      </c>
      <c r="O137" s="1" t="s">
        <v>1052</v>
      </c>
      <c r="P137" s="1" t="s">
        <v>1053</v>
      </c>
      <c r="Q137" s="1" t="s">
        <v>166</v>
      </c>
      <c r="R137" s="4"/>
    </row>
    <row r="138" spans="1:18" x14ac:dyDescent="0.25">
      <c r="A138" s="1" t="s">
        <v>13</v>
      </c>
      <c r="B138" s="4"/>
      <c r="C138" s="1" t="s">
        <v>1054</v>
      </c>
      <c r="D138" s="1" t="s">
        <v>209</v>
      </c>
      <c r="E138" s="1">
        <v>2022</v>
      </c>
      <c r="F138" s="1" t="s">
        <v>1014</v>
      </c>
      <c r="G138" s="4"/>
      <c r="H138" s="4"/>
      <c r="I138" s="1" t="s">
        <v>212</v>
      </c>
      <c r="J138" s="1">
        <v>2022</v>
      </c>
      <c r="K138" s="4"/>
      <c r="L138" s="4"/>
      <c r="M138" s="1" t="s">
        <v>213</v>
      </c>
      <c r="N138" s="3" t="s">
        <v>1055</v>
      </c>
      <c r="O138" s="4"/>
      <c r="P138" s="1" t="s">
        <v>1056</v>
      </c>
      <c r="Q138" s="1" t="s">
        <v>157</v>
      </c>
      <c r="R138" s="4"/>
    </row>
    <row r="139" spans="1:18" x14ac:dyDescent="0.25">
      <c r="A139" s="1" t="s">
        <v>13</v>
      </c>
      <c r="B139" s="1" t="s">
        <v>1057</v>
      </c>
      <c r="C139" s="1" t="s">
        <v>1058</v>
      </c>
      <c r="D139" s="1" t="s">
        <v>1059</v>
      </c>
      <c r="E139" s="1">
        <v>2022</v>
      </c>
      <c r="F139" s="1">
        <v>115</v>
      </c>
      <c r="G139" s="4"/>
      <c r="H139" s="4"/>
      <c r="I139" s="1" t="s">
        <v>1060</v>
      </c>
      <c r="J139" s="1">
        <v>2022</v>
      </c>
      <c r="K139" s="4"/>
      <c r="L139" s="4"/>
      <c r="M139" s="1" t="s">
        <v>1061</v>
      </c>
      <c r="N139" s="3" t="s">
        <v>1062</v>
      </c>
      <c r="O139" s="1" t="s">
        <v>1063</v>
      </c>
      <c r="P139" s="1" t="s">
        <v>1064</v>
      </c>
      <c r="Q139" s="1" t="s">
        <v>157</v>
      </c>
      <c r="R139" s="4"/>
    </row>
    <row r="140" spans="1:18" x14ac:dyDescent="0.25">
      <c r="A140" s="1" t="s">
        <v>13</v>
      </c>
      <c r="B140" s="1" t="s">
        <v>1065</v>
      </c>
      <c r="C140" s="1" t="s">
        <v>1066</v>
      </c>
      <c r="D140" s="1" t="s">
        <v>307</v>
      </c>
      <c r="E140" s="1">
        <v>2022</v>
      </c>
      <c r="F140" s="1">
        <v>149</v>
      </c>
      <c r="G140" s="4"/>
      <c r="H140" s="4"/>
      <c r="I140" s="1" t="s">
        <v>280</v>
      </c>
      <c r="J140" s="1">
        <v>2022</v>
      </c>
      <c r="K140" s="4"/>
      <c r="L140" s="4"/>
      <c r="M140" s="1" t="s">
        <v>308</v>
      </c>
      <c r="N140" s="3" t="s">
        <v>1067</v>
      </c>
      <c r="O140" s="1" t="s">
        <v>1068</v>
      </c>
      <c r="P140" s="1" t="s">
        <v>1069</v>
      </c>
      <c r="Q140" s="1" t="s">
        <v>318</v>
      </c>
      <c r="R140" s="4"/>
    </row>
    <row r="141" spans="1:18" x14ac:dyDescent="0.25">
      <c r="A141" s="1" t="s">
        <v>141</v>
      </c>
      <c r="B141" s="1" t="s">
        <v>1070</v>
      </c>
      <c r="C141" s="1" t="s">
        <v>1071</v>
      </c>
      <c r="D141" s="4"/>
      <c r="E141" s="1">
        <v>2022</v>
      </c>
      <c r="F141" s="4"/>
      <c r="G141" s="4"/>
      <c r="H141" s="4"/>
      <c r="I141" s="1" t="s">
        <v>257</v>
      </c>
      <c r="J141" s="1">
        <v>2022</v>
      </c>
      <c r="K141" s="1">
        <v>9781665470872</v>
      </c>
      <c r="L141" s="4"/>
      <c r="M141" s="4"/>
      <c r="N141" s="3" t="s">
        <v>1072</v>
      </c>
      <c r="O141" s="1" t="s">
        <v>1073</v>
      </c>
      <c r="P141" s="1" t="s">
        <v>1074</v>
      </c>
      <c r="Q141" s="1" t="s">
        <v>157</v>
      </c>
      <c r="R141" s="4"/>
    </row>
    <row r="142" spans="1:18" x14ac:dyDescent="0.25">
      <c r="A142" s="1" t="s">
        <v>13</v>
      </c>
      <c r="B142" s="1" t="s">
        <v>55</v>
      </c>
      <c r="C142" s="1" t="s">
        <v>56</v>
      </c>
      <c r="D142" s="1" t="s">
        <v>582</v>
      </c>
      <c r="E142" s="1">
        <v>2022</v>
      </c>
      <c r="F142" s="1">
        <v>29</v>
      </c>
      <c r="G142" s="1">
        <v>2</v>
      </c>
      <c r="H142" s="4"/>
      <c r="I142" s="1" t="s">
        <v>137</v>
      </c>
      <c r="J142" s="1">
        <v>2022</v>
      </c>
      <c r="K142" s="4"/>
      <c r="L142" s="4"/>
      <c r="M142" s="1" t="s">
        <v>58</v>
      </c>
      <c r="N142" s="3" t="s">
        <v>1075</v>
      </c>
      <c r="O142" s="1" t="s">
        <v>60</v>
      </c>
      <c r="P142" s="1" t="s">
        <v>1076</v>
      </c>
      <c r="Q142" s="1" t="s">
        <v>166</v>
      </c>
      <c r="R142" s="4"/>
    </row>
    <row r="143" spans="1:18" x14ac:dyDescent="0.25">
      <c r="A143" s="1" t="s">
        <v>13</v>
      </c>
      <c r="B143" s="1" t="s">
        <v>1077</v>
      </c>
      <c r="C143" s="1" t="s">
        <v>1078</v>
      </c>
      <c r="D143" s="1" t="s">
        <v>209</v>
      </c>
      <c r="E143" s="1">
        <v>2022</v>
      </c>
      <c r="F143" s="1" t="s">
        <v>1079</v>
      </c>
      <c r="G143" s="4"/>
      <c r="H143" s="1" t="s">
        <v>1080</v>
      </c>
      <c r="I143" s="1" t="s">
        <v>212</v>
      </c>
      <c r="J143" s="1">
        <v>2022</v>
      </c>
      <c r="K143" s="4"/>
      <c r="L143" s="4"/>
      <c r="M143" s="1" t="s">
        <v>213</v>
      </c>
      <c r="N143" s="3" t="s">
        <v>1081</v>
      </c>
      <c r="O143" s="1" t="s">
        <v>1082</v>
      </c>
      <c r="P143" s="1" t="s">
        <v>1083</v>
      </c>
      <c r="Q143" s="1" t="s">
        <v>318</v>
      </c>
      <c r="R143" s="4"/>
    </row>
    <row r="144" spans="1:18" x14ac:dyDescent="0.25">
      <c r="A144" s="1" t="s">
        <v>13</v>
      </c>
      <c r="B144" s="1" t="s">
        <v>1084</v>
      </c>
      <c r="C144" s="1" t="s">
        <v>1085</v>
      </c>
      <c r="D144" s="1" t="s">
        <v>354</v>
      </c>
      <c r="E144" s="1">
        <v>2022</v>
      </c>
      <c r="F144" s="1">
        <v>187</v>
      </c>
      <c r="G144" s="4"/>
      <c r="H144" s="4"/>
      <c r="I144" s="1" t="s">
        <v>355</v>
      </c>
      <c r="J144" s="1">
        <v>2022</v>
      </c>
      <c r="K144" s="4"/>
      <c r="L144" s="4"/>
      <c r="M144" s="1" t="s">
        <v>65</v>
      </c>
      <c r="N144" s="3" t="s">
        <v>1086</v>
      </c>
      <c r="O144" s="1" t="s">
        <v>1087</v>
      </c>
      <c r="P144" s="1" t="s">
        <v>1088</v>
      </c>
      <c r="Q144" s="1" t="s">
        <v>176</v>
      </c>
      <c r="R144" s="4"/>
    </row>
    <row r="145" spans="1:18" x14ac:dyDescent="0.25">
      <c r="A145" s="1" t="s">
        <v>13</v>
      </c>
      <c r="B145" s="1" t="s">
        <v>1089</v>
      </c>
      <c r="C145" s="1" t="s">
        <v>1090</v>
      </c>
      <c r="D145" s="1" t="s">
        <v>328</v>
      </c>
      <c r="E145" s="1">
        <v>2022</v>
      </c>
      <c r="F145" s="1">
        <v>31</v>
      </c>
      <c r="G145" s="1">
        <v>2</v>
      </c>
      <c r="H145" s="4"/>
      <c r="I145" s="1" t="s">
        <v>145</v>
      </c>
      <c r="J145" s="1">
        <v>2022</v>
      </c>
      <c r="K145" s="4"/>
      <c r="L145" s="4"/>
      <c r="M145" s="1" t="s">
        <v>329</v>
      </c>
      <c r="N145" s="3" t="s">
        <v>1091</v>
      </c>
      <c r="O145" s="1" t="s">
        <v>1092</v>
      </c>
      <c r="P145" s="1" t="s">
        <v>1093</v>
      </c>
      <c r="Q145" s="1" t="s">
        <v>1094</v>
      </c>
      <c r="R145" s="4"/>
    </row>
    <row r="146" spans="1:18" x14ac:dyDescent="0.25">
      <c r="A146" s="1" t="s">
        <v>13</v>
      </c>
      <c r="B146" s="1" t="s">
        <v>1095</v>
      </c>
      <c r="C146" s="1" t="s">
        <v>1096</v>
      </c>
      <c r="D146" s="1" t="s">
        <v>136</v>
      </c>
      <c r="E146" s="1">
        <v>2022</v>
      </c>
      <c r="F146" s="1">
        <v>27</v>
      </c>
      <c r="G146" s="1">
        <v>7</v>
      </c>
      <c r="H146" s="4"/>
      <c r="I146" s="1" t="s">
        <v>137</v>
      </c>
      <c r="J146" s="1">
        <v>2022</v>
      </c>
      <c r="K146" s="4"/>
      <c r="L146" s="4"/>
      <c r="M146" s="1" t="s">
        <v>33</v>
      </c>
      <c r="N146" s="3" t="s">
        <v>1097</v>
      </c>
      <c r="O146" s="1" t="s">
        <v>1098</v>
      </c>
      <c r="P146" s="1" t="s">
        <v>1099</v>
      </c>
      <c r="Q146" s="1" t="s">
        <v>157</v>
      </c>
      <c r="R146" s="4"/>
    </row>
    <row r="147" spans="1:18" x14ac:dyDescent="0.25">
      <c r="A147" s="1" t="s">
        <v>141</v>
      </c>
      <c r="B147" s="1" t="s">
        <v>1100</v>
      </c>
      <c r="C147" s="1" t="s">
        <v>1101</v>
      </c>
      <c r="D147" s="4"/>
      <c r="E147" s="1">
        <v>2022</v>
      </c>
      <c r="F147" s="4"/>
      <c r="G147" s="4"/>
      <c r="H147" s="1" t="s">
        <v>1102</v>
      </c>
      <c r="I147" s="1" t="s">
        <v>153</v>
      </c>
      <c r="J147" s="1">
        <v>2022</v>
      </c>
      <c r="K147" s="1">
        <v>9781450394130</v>
      </c>
      <c r="L147" s="4"/>
      <c r="M147" s="4"/>
      <c r="N147" s="3" t="s">
        <v>1103</v>
      </c>
      <c r="O147" s="1" t="s">
        <v>1104</v>
      </c>
      <c r="P147" s="1" t="s">
        <v>1105</v>
      </c>
      <c r="Q147" s="1" t="s">
        <v>387</v>
      </c>
      <c r="R147" s="4"/>
    </row>
    <row r="148" spans="1:18" x14ac:dyDescent="0.25">
      <c r="A148" s="1" t="s">
        <v>13</v>
      </c>
      <c r="B148" s="1" t="s">
        <v>1106</v>
      </c>
      <c r="C148" s="1" t="s">
        <v>1107</v>
      </c>
      <c r="D148" s="1" t="s">
        <v>1108</v>
      </c>
      <c r="E148" s="1">
        <v>2022</v>
      </c>
      <c r="F148" s="1">
        <v>13</v>
      </c>
      <c r="G148" s="4"/>
      <c r="H148" s="4"/>
      <c r="I148" s="1" t="s">
        <v>280</v>
      </c>
      <c r="J148" s="1">
        <v>2022</v>
      </c>
      <c r="K148" s="4"/>
      <c r="L148" s="4"/>
      <c r="M148" s="1" t="s">
        <v>1109</v>
      </c>
      <c r="N148" s="3" t="s">
        <v>1110</v>
      </c>
      <c r="O148" s="1" t="s">
        <v>1111</v>
      </c>
      <c r="P148" s="1" t="s">
        <v>1112</v>
      </c>
      <c r="Q148" s="1" t="s">
        <v>285</v>
      </c>
      <c r="R148" s="4"/>
    </row>
    <row r="149" spans="1:18" x14ac:dyDescent="0.25">
      <c r="A149" s="1" t="s">
        <v>13</v>
      </c>
      <c r="B149" s="1" t="s">
        <v>1113</v>
      </c>
      <c r="C149" s="1" t="s">
        <v>1114</v>
      </c>
      <c r="D149" s="1" t="s">
        <v>523</v>
      </c>
      <c r="E149" s="1">
        <v>2022</v>
      </c>
      <c r="F149" s="1">
        <v>30</v>
      </c>
      <c r="G149" s="1">
        <v>3</v>
      </c>
      <c r="H149" s="1" t="s">
        <v>1115</v>
      </c>
      <c r="I149" s="1" t="s">
        <v>137</v>
      </c>
      <c r="J149" s="1">
        <v>2022</v>
      </c>
      <c r="K149" s="4"/>
      <c r="L149" s="4"/>
      <c r="M149" s="1" t="s">
        <v>525</v>
      </c>
      <c r="N149" s="3" t="s">
        <v>1116</v>
      </c>
      <c r="O149" s="1" t="s">
        <v>1117</v>
      </c>
      <c r="P149" s="1" t="s">
        <v>1118</v>
      </c>
      <c r="Q149" s="1" t="s">
        <v>157</v>
      </c>
      <c r="R149" s="4"/>
    </row>
    <row r="150" spans="1:18" x14ac:dyDescent="0.25">
      <c r="A150" s="1" t="s">
        <v>13</v>
      </c>
      <c r="B150" s="1" t="s">
        <v>1119</v>
      </c>
      <c r="C150" s="1" t="s">
        <v>1120</v>
      </c>
      <c r="D150" s="1" t="s">
        <v>354</v>
      </c>
      <c r="E150" s="1">
        <v>2023</v>
      </c>
      <c r="F150" s="1">
        <v>195</v>
      </c>
      <c r="G150" s="4"/>
      <c r="H150" s="4"/>
      <c r="I150" s="1" t="s">
        <v>355</v>
      </c>
      <c r="J150" s="1">
        <v>2023</v>
      </c>
      <c r="K150" s="4"/>
      <c r="L150" s="4"/>
      <c r="M150" s="1" t="s">
        <v>65</v>
      </c>
      <c r="N150" s="3" t="s">
        <v>1121</v>
      </c>
      <c r="O150" s="1" t="s">
        <v>1122</v>
      </c>
      <c r="P150" s="1" t="s">
        <v>1123</v>
      </c>
      <c r="Q150" s="1" t="s">
        <v>157</v>
      </c>
      <c r="R150" s="4"/>
    </row>
    <row r="151" spans="1:18" x14ac:dyDescent="0.25">
      <c r="A151" s="1" t="s">
        <v>13</v>
      </c>
      <c r="B151" s="1" t="s">
        <v>1124</v>
      </c>
      <c r="C151" s="1" t="s">
        <v>1125</v>
      </c>
      <c r="D151" s="1" t="s">
        <v>255</v>
      </c>
      <c r="E151" s="1">
        <v>2022</v>
      </c>
      <c r="F151" s="4"/>
      <c r="G151" s="4"/>
      <c r="H151" s="1" t="s">
        <v>1126</v>
      </c>
      <c r="I151" s="1" t="s">
        <v>257</v>
      </c>
      <c r="J151" s="1">
        <v>2022</v>
      </c>
      <c r="K151" s="4"/>
      <c r="L151" s="4"/>
      <c r="M151" s="1" t="s">
        <v>18</v>
      </c>
      <c r="N151" s="3" t="s">
        <v>1127</v>
      </c>
      <c r="O151" s="1" t="s">
        <v>1128</v>
      </c>
      <c r="P151" s="1" t="s">
        <v>1129</v>
      </c>
      <c r="Q151" s="1" t="s">
        <v>157</v>
      </c>
      <c r="R151" s="4"/>
    </row>
    <row r="152" spans="1:18" x14ac:dyDescent="0.25">
      <c r="A152" s="1" t="s">
        <v>13</v>
      </c>
      <c r="B152" s="1" t="s">
        <v>1130</v>
      </c>
      <c r="C152" s="1" t="s">
        <v>1131</v>
      </c>
      <c r="D152" s="1" t="s">
        <v>354</v>
      </c>
      <c r="E152" s="1">
        <v>2022</v>
      </c>
      <c r="F152" s="1">
        <v>194</v>
      </c>
      <c r="G152" s="4"/>
      <c r="H152" s="4"/>
      <c r="I152" s="1" t="s">
        <v>355</v>
      </c>
      <c r="J152" s="1">
        <v>2022</v>
      </c>
      <c r="K152" s="4"/>
      <c r="L152" s="4"/>
      <c r="M152" s="1" t="s">
        <v>65</v>
      </c>
      <c r="N152" s="3" t="s">
        <v>1132</v>
      </c>
      <c r="O152" s="1" t="s">
        <v>1133</v>
      </c>
      <c r="P152" s="1" t="s">
        <v>1134</v>
      </c>
      <c r="Q152" s="1" t="s">
        <v>157</v>
      </c>
      <c r="R152" s="4"/>
    </row>
    <row r="153" spans="1:18" x14ac:dyDescent="0.25">
      <c r="A153" s="1" t="s">
        <v>141</v>
      </c>
      <c r="B153" s="1" t="s">
        <v>1135</v>
      </c>
      <c r="C153" s="1" t="s">
        <v>1136</v>
      </c>
      <c r="D153" s="4"/>
      <c r="E153" s="1">
        <v>2022</v>
      </c>
      <c r="F153" s="4"/>
      <c r="G153" s="4"/>
      <c r="H153" s="1" t="s">
        <v>1137</v>
      </c>
      <c r="I153" s="1" t="s">
        <v>145</v>
      </c>
      <c r="J153" s="1">
        <v>2022</v>
      </c>
      <c r="K153" s="1">
        <v>9781450392051</v>
      </c>
      <c r="L153" s="4"/>
      <c r="M153" s="4"/>
      <c r="N153" s="3" t="s">
        <v>1138</v>
      </c>
      <c r="O153" s="1" t="s">
        <v>1139</v>
      </c>
      <c r="P153" s="1" t="s">
        <v>1140</v>
      </c>
      <c r="Q153" s="1" t="s">
        <v>520</v>
      </c>
      <c r="R153" s="4"/>
    </row>
    <row r="154" spans="1:18" x14ac:dyDescent="0.25">
      <c r="A154" s="1" t="s">
        <v>141</v>
      </c>
      <c r="B154" s="1" t="s">
        <v>1141</v>
      </c>
      <c r="C154" s="1" t="s">
        <v>1142</v>
      </c>
      <c r="D154" s="4"/>
      <c r="E154" s="1">
        <v>2022</v>
      </c>
      <c r="F154" s="4"/>
      <c r="G154" s="4"/>
      <c r="H154" s="1" t="s">
        <v>1143</v>
      </c>
      <c r="I154" s="1" t="s">
        <v>145</v>
      </c>
      <c r="J154" s="1">
        <v>2022</v>
      </c>
      <c r="K154" s="1">
        <v>9781450393522</v>
      </c>
      <c r="L154" s="4"/>
      <c r="M154" s="4"/>
      <c r="N154" s="3" t="s">
        <v>1144</v>
      </c>
      <c r="O154" s="1" t="s">
        <v>1145</v>
      </c>
      <c r="P154" s="1" t="s">
        <v>1146</v>
      </c>
      <c r="Q154" s="1" t="s">
        <v>387</v>
      </c>
      <c r="R154" s="4"/>
    </row>
    <row r="155" spans="1:18" x14ac:dyDescent="0.25">
      <c r="A155" s="1" t="s">
        <v>13</v>
      </c>
      <c r="B155" s="1" t="s">
        <v>1147</v>
      </c>
      <c r="C155" s="1" t="s">
        <v>1148</v>
      </c>
      <c r="D155" s="1" t="s">
        <v>1149</v>
      </c>
      <c r="E155" s="1">
        <v>2022</v>
      </c>
      <c r="F155" s="4"/>
      <c r="G155" s="4"/>
      <c r="H155" s="4"/>
      <c r="I155" s="1" t="s">
        <v>212</v>
      </c>
      <c r="J155" s="1">
        <v>2022</v>
      </c>
      <c r="K155" s="4"/>
      <c r="L155" s="4"/>
      <c r="M155" s="1" t="s">
        <v>1150</v>
      </c>
      <c r="N155" s="3" t="s">
        <v>1151</v>
      </c>
      <c r="O155" s="1" t="s">
        <v>1152</v>
      </c>
      <c r="P155" s="1" t="s">
        <v>1153</v>
      </c>
      <c r="Q155" s="1" t="s">
        <v>999</v>
      </c>
      <c r="R155" s="4"/>
    </row>
    <row r="156" spans="1:18" x14ac:dyDescent="0.25">
      <c r="A156" s="1" t="s">
        <v>141</v>
      </c>
      <c r="B156" s="1" t="s">
        <v>1154</v>
      </c>
      <c r="C156" s="1" t="s">
        <v>1155</v>
      </c>
      <c r="D156" s="4"/>
      <c r="E156" s="1">
        <v>2022</v>
      </c>
      <c r="F156" s="4"/>
      <c r="G156" s="4"/>
      <c r="H156" s="1" t="s">
        <v>1042</v>
      </c>
      <c r="I156" s="1" t="s">
        <v>257</v>
      </c>
      <c r="J156" s="1">
        <v>2022</v>
      </c>
      <c r="K156" s="1">
        <v>9781665488105</v>
      </c>
      <c r="L156" s="4"/>
      <c r="M156" s="4"/>
      <c r="N156" s="3" t="s">
        <v>1156</v>
      </c>
      <c r="O156" s="1" t="s">
        <v>1157</v>
      </c>
      <c r="P156" s="1" t="s">
        <v>1158</v>
      </c>
      <c r="Q156" s="1" t="s">
        <v>404</v>
      </c>
      <c r="R156" s="4"/>
    </row>
    <row r="157" spans="1:18" x14ac:dyDescent="0.25">
      <c r="A157" s="1" t="s">
        <v>13</v>
      </c>
      <c r="B157" s="1" t="s">
        <v>1159</v>
      </c>
      <c r="C157" s="1" t="s">
        <v>1160</v>
      </c>
      <c r="D157" s="1" t="s">
        <v>1161</v>
      </c>
      <c r="E157" s="1">
        <v>2022</v>
      </c>
      <c r="F157" s="1">
        <v>10</v>
      </c>
      <c r="G157" s="1">
        <v>3</v>
      </c>
      <c r="H157" s="4"/>
      <c r="I157" s="1" t="s">
        <v>228</v>
      </c>
      <c r="J157" s="1">
        <v>2022</v>
      </c>
      <c r="K157" s="4"/>
      <c r="L157" s="4"/>
      <c r="M157" s="1" t="s">
        <v>1162</v>
      </c>
      <c r="N157" s="3" t="s">
        <v>1163</v>
      </c>
      <c r="O157" s="1" t="s">
        <v>1164</v>
      </c>
      <c r="P157" s="1" t="s">
        <v>1165</v>
      </c>
      <c r="Q157" s="1" t="s">
        <v>447</v>
      </c>
      <c r="R157" s="4"/>
    </row>
    <row r="158" spans="1:18" x14ac:dyDescent="0.25">
      <c r="A158" s="1" t="s">
        <v>141</v>
      </c>
      <c r="B158" s="1" t="s">
        <v>1166</v>
      </c>
      <c r="C158" s="1" t="s">
        <v>1167</v>
      </c>
      <c r="D158" s="4"/>
      <c r="E158" s="1">
        <v>2022</v>
      </c>
      <c r="F158" s="4"/>
      <c r="G158" s="4"/>
      <c r="H158" s="4"/>
      <c r="I158" s="1" t="s">
        <v>145</v>
      </c>
      <c r="J158" s="1">
        <v>2022</v>
      </c>
      <c r="K158" s="1">
        <v>9781450391566</v>
      </c>
      <c r="L158" s="4"/>
      <c r="M158" s="4"/>
      <c r="N158" s="3" t="s">
        <v>1168</v>
      </c>
      <c r="O158" s="1" t="s">
        <v>1169</v>
      </c>
      <c r="P158" s="1" t="s">
        <v>1170</v>
      </c>
      <c r="Q158" s="1" t="s">
        <v>404</v>
      </c>
      <c r="R158" s="4"/>
    </row>
    <row r="159" spans="1:18" x14ac:dyDescent="0.25">
      <c r="A159" s="1" t="s">
        <v>13</v>
      </c>
      <c r="B159" s="1" t="s">
        <v>1171</v>
      </c>
      <c r="C159" s="1" t="s">
        <v>1172</v>
      </c>
      <c r="D159" s="1" t="s">
        <v>971</v>
      </c>
      <c r="E159" s="1">
        <v>2023</v>
      </c>
      <c r="F159" s="1">
        <v>141</v>
      </c>
      <c r="G159" s="4"/>
      <c r="H159" s="1" t="s">
        <v>1173</v>
      </c>
      <c r="I159" s="1" t="s">
        <v>280</v>
      </c>
      <c r="J159" s="1">
        <v>2023</v>
      </c>
      <c r="K159" s="4"/>
      <c r="L159" s="4"/>
      <c r="M159" s="1" t="s">
        <v>973</v>
      </c>
      <c r="N159" s="3" t="s">
        <v>1174</v>
      </c>
      <c r="O159" s="1" t="s">
        <v>1175</v>
      </c>
      <c r="P159" s="1" t="s">
        <v>1176</v>
      </c>
      <c r="Q159" s="1" t="s">
        <v>157</v>
      </c>
      <c r="R159" s="4"/>
    </row>
    <row r="160" spans="1:18" x14ac:dyDescent="0.25">
      <c r="A160" s="1" t="s">
        <v>13</v>
      </c>
      <c r="B160" s="1" t="s">
        <v>1177</v>
      </c>
      <c r="C160" s="1" t="s">
        <v>1178</v>
      </c>
      <c r="D160" s="1" t="s">
        <v>354</v>
      </c>
      <c r="E160" s="1">
        <v>2022</v>
      </c>
      <c r="F160" s="1">
        <v>194</v>
      </c>
      <c r="G160" s="4"/>
      <c r="H160" s="4"/>
      <c r="I160" s="1" t="s">
        <v>355</v>
      </c>
      <c r="J160" s="1">
        <v>2022</v>
      </c>
      <c r="K160" s="4"/>
      <c r="L160" s="4"/>
      <c r="M160" s="1" t="s">
        <v>65</v>
      </c>
      <c r="N160" s="3" t="s">
        <v>1179</v>
      </c>
      <c r="O160" s="1" t="s">
        <v>1180</v>
      </c>
      <c r="P160" s="1" t="s">
        <v>1181</v>
      </c>
      <c r="Q160" s="1" t="s">
        <v>157</v>
      </c>
      <c r="R160" s="4"/>
    </row>
    <row r="161" spans="1:18" x14ac:dyDescent="0.25">
      <c r="A161" s="1" t="s">
        <v>13</v>
      </c>
      <c r="B161" s="1" t="s">
        <v>1182</v>
      </c>
      <c r="C161" s="1" t="s">
        <v>1183</v>
      </c>
      <c r="D161" s="1" t="s">
        <v>136</v>
      </c>
      <c r="E161" s="1">
        <v>2022</v>
      </c>
      <c r="F161" s="1">
        <v>27</v>
      </c>
      <c r="G161" s="1">
        <v>7</v>
      </c>
      <c r="H161" s="4"/>
      <c r="I161" s="1" t="s">
        <v>137</v>
      </c>
      <c r="J161" s="1">
        <v>2022</v>
      </c>
      <c r="K161" s="4"/>
      <c r="L161" s="4"/>
      <c r="M161" s="1" t="s">
        <v>33</v>
      </c>
      <c r="N161" s="3" t="s">
        <v>1184</v>
      </c>
      <c r="O161" s="1" t="s">
        <v>1185</v>
      </c>
      <c r="P161" s="1" t="s">
        <v>1186</v>
      </c>
      <c r="Q161" s="1" t="s">
        <v>157</v>
      </c>
      <c r="R161" s="4"/>
    </row>
    <row r="162" spans="1:18" x14ac:dyDescent="0.25">
      <c r="A162" s="1" t="s">
        <v>141</v>
      </c>
      <c r="B162" s="1" t="s">
        <v>1187</v>
      </c>
      <c r="C162" s="1" t="s">
        <v>1188</v>
      </c>
      <c r="D162" s="4"/>
      <c r="E162" s="1">
        <v>2022</v>
      </c>
      <c r="F162" s="4"/>
      <c r="G162" s="4"/>
      <c r="H162" s="4"/>
      <c r="I162" s="1" t="s">
        <v>145</v>
      </c>
      <c r="J162" s="1">
        <v>2022</v>
      </c>
      <c r="K162" s="1">
        <v>9781450391573</v>
      </c>
      <c r="L162" s="4"/>
      <c r="M162" s="4"/>
      <c r="N162" s="3" t="s">
        <v>1189</v>
      </c>
      <c r="O162" s="1" t="s">
        <v>1190</v>
      </c>
      <c r="P162" s="1" t="s">
        <v>1191</v>
      </c>
      <c r="Q162" s="1" t="s">
        <v>1192</v>
      </c>
      <c r="R162" s="4"/>
    </row>
    <row r="163" spans="1:18" x14ac:dyDescent="0.25">
      <c r="A163" s="1" t="s">
        <v>141</v>
      </c>
      <c r="B163" s="1" t="s">
        <v>1193</v>
      </c>
      <c r="C163" s="1" t="s">
        <v>1194</v>
      </c>
      <c r="D163" s="4"/>
      <c r="E163" s="1">
        <v>2022</v>
      </c>
      <c r="F163" s="4"/>
      <c r="G163" s="4"/>
      <c r="H163" s="1" t="s">
        <v>1195</v>
      </c>
      <c r="I163" s="1" t="s">
        <v>933</v>
      </c>
      <c r="J163" s="1">
        <v>2022</v>
      </c>
      <c r="K163" s="1">
        <v>9781891706547</v>
      </c>
      <c r="L163" s="4"/>
      <c r="M163" s="1" t="s">
        <v>934</v>
      </c>
      <c r="N163" s="3" t="s">
        <v>1196</v>
      </c>
      <c r="O163" s="1" t="s">
        <v>1197</v>
      </c>
      <c r="P163" s="1" t="s">
        <v>1198</v>
      </c>
      <c r="Q163" s="1" t="s">
        <v>157</v>
      </c>
      <c r="R163" s="4"/>
    </row>
    <row r="164" spans="1:18" x14ac:dyDescent="0.25">
      <c r="A164" s="1" t="s">
        <v>13</v>
      </c>
      <c r="B164" s="1" t="s">
        <v>1199</v>
      </c>
      <c r="C164" s="1" t="s">
        <v>1200</v>
      </c>
      <c r="D164" s="1" t="s">
        <v>354</v>
      </c>
      <c r="E164" s="1">
        <v>2022</v>
      </c>
      <c r="F164" s="1">
        <v>187</v>
      </c>
      <c r="G164" s="4"/>
      <c r="H164" s="4"/>
      <c r="I164" s="1" t="s">
        <v>355</v>
      </c>
      <c r="J164" s="1">
        <v>2022</v>
      </c>
      <c r="K164" s="4"/>
      <c r="L164" s="4"/>
      <c r="M164" s="1" t="s">
        <v>65</v>
      </c>
      <c r="N164" s="3" t="s">
        <v>1201</v>
      </c>
      <c r="O164" s="1" t="s">
        <v>1202</v>
      </c>
      <c r="P164" s="1" t="s">
        <v>1203</v>
      </c>
      <c r="Q164" s="1" t="s">
        <v>185</v>
      </c>
      <c r="R164" s="4"/>
    </row>
    <row r="165" spans="1:18" x14ac:dyDescent="0.25">
      <c r="A165" s="1" t="s">
        <v>13</v>
      </c>
      <c r="B165" s="1" t="s">
        <v>1204</v>
      </c>
      <c r="C165" s="1" t="s">
        <v>1205</v>
      </c>
      <c r="D165" s="1" t="s">
        <v>676</v>
      </c>
      <c r="E165" s="1">
        <v>2023</v>
      </c>
      <c r="F165" s="1" t="s">
        <v>1206</v>
      </c>
      <c r="G165" s="4"/>
      <c r="H165" s="1" t="s">
        <v>1207</v>
      </c>
      <c r="I165" s="1" t="s">
        <v>212</v>
      </c>
      <c r="J165" s="1">
        <v>2023</v>
      </c>
      <c r="K165" s="4"/>
      <c r="L165" s="4"/>
      <c r="M165" s="1" t="s">
        <v>679</v>
      </c>
      <c r="N165" s="3" t="s">
        <v>1208</v>
      </c>
      <c r="O165" s="1" t="s">
        <v>1209</v>
      </c>
      <c r="P165" s="1" t="s">
        <v>1210</v>
      </c>
      <c r="Q165" s="1" t="s">
        <v>157</v>
      </c>
      <c r="R165" s="4"/>
    </row>
    <row r="166" spans="1:18" x14ac:dyDescent="0.25">
      <c r="A166" s="1" t="s">
        <v>13</v>
      </c>
      <c r="B166" s="1" t="s">
        <v>37</v>
      </c>
      <c r="C166" s="1" t="s">
        <v>38</v>
      </c>
      <c r="D166" s="1" t="s">
        <v>255</v>
      </c>
      <c r="E166" s="1">
        <v>2022</v>
      </c>
      <c r="F166" s="1">
        <v>48</v>
      </c>
      <c r="G166" s="1">
        <v>12</v>
      </c>
      <c r="H166" s="1" t="s">
        <v>1211</v>
      </c>
      <c r="I166" s="1" t="s">
        <v>257</v>
      </c>
      <c r="J166" s="1">
        <v>2022</v>
      </c>
      <c r="K166" s="4"/>
      <c r="L166" s="4"/>
      <c r="M166" s="1" t="s">
        <v>18</v>
      </c>
      <c r="N166" s="3" t="s">
        <v>1212</v>
      </c>
      <c r="O166" s="1" t="s">
        <v>41</v>
      </c>
      <c r="P166" s="1" t="s">
        <v>1213</v>
      </c>
      <c r="Q166" s="1" t="s">
        <v>149</v>
      </c>
      <c r="R166" s="4"/>
    </row>
    <row r="167" spans="1:18" x14ac:dyDescent="0.25">
      <c r="A167" s="1" t="s">
        <v>141</v>
      </c>
      <c r="B167" s="1" t="s">
        <v>1214</v>
      </c>
      <c r="C167" s="1" t="s">
        <v>1215</v>
      </c>
      <c r="D167" s="4"/>
      <c r="E167" s="1">
        <v>2022</v>
      </c>
      <c r="F167" s="1" t="s">
        <v>1216</v>
      </c>
      <c r="G167" s="4"/>
      <c r="H167" s="1" t="s">
        <v>1217</v>
      </c>
      <c r="I167" s="1" t="s">
        <v>153</v>
      </c>
      <c r="J167" s="1">
        <v>2022</v>
      </c>
      <c r="K167" s="1">
        <v>9781450394437</v>
      </c>
      <c r="L167" s="4"/>
      <c r="M167" s="4"/>
      <c r="N167" s="3" t="s">
        <v>1218</v>
      </c>
      <c r="O167" s="1" t="s">
        <v>1219</v>
      </c>
      <c r="P167" s="1" t="s">
        <v>1220</v>
      </c>
      <c r="Q167" s="1" t="s">
        <v>404</v>
      </c>
      <c r="R167" s="4"/>
    </row>
    <row r="168" spans="1:18" x14ac:dyDescent="0.25">
      <c r="A168" s="1" t="s">
        <v>13</v>
      </c>
      <c r="B168" s="1" t="s">
        <v>1221</v>
      </c>
      <c r="C168" s="1" t="s">
        <v>1222</v>
      </c>
      <c r="D168" s="1" t="s">
        <v>354</v>
      </c>
      <c r="E168" s="1">
        <v>2023</v>
      </c>
      <c r="F168" s="1">
        <v>198</v>
      </c>
      <c r="G168" s="4"/>
      <c r="H168" s="4"/>
      <c r="I168" s="1" t="s">
        <v>355</v>
      </c>
      <c r="J168" s="1">
        <v>2023</v>
      </c>
      <c r="K168" s="4"/>
      <c r="L168" s="4"/>
      <c r="M168" s="1" t="s">
        <v>65</v>
      </c>
      <c r="N168" s="3" t="s">
        <v>1223</v>
      </c>
      <c r="O168" s="1" t="s">
        <v>1224</v>
      </c>
      <c r="P168" s="1" t="s">
        <v>1225</v>
      </c>
      <c r="Q168" s="1" t="s">
        <v>585</v>
      </c>
      <c r="R168" s="4"/>
    </row>
    <row r="169" spans="1:18" x14ac:dyDescent="0.25">
      <c r="A169" s="1" t="s">
        <v>13</v>
      </c>
      <c r="B169" s="1" t="s">
        <v>1226</v>
      </c>
      <c r="C169" s="1" t="s">
        <v>1227</v>
      </c>
      <c r="D169" s="1" t="s">
        <v>307</v>
      </c>
      <c r="E169" s="1">
        <v>2023</v>
      </c>
      <c r="F169" s="1">
        <v>155</v>
      </c>
      <c r="G169" s="4"/>
      <c r="H169" s="4"/>
      <c r="I169" s="1" t="s">
        <v>280</v>
      </c>
      <c r="J169" s="1">
        <v>2023</v>
      </c>
      <c r="K169" s="4"/>
      <c r="L169" s="4"/>
      <c r="M169" s="1" t="s">
        <v>308</v>
      </c>
      <c r="N169" s="3" t="s">
        <v>1228</v>
      </c>
      <c r="O169" s="1" t="s">
        <v>1229</v>
      </c>
      <c r="P169" s="1" t="s">
        <v>1230</v>
      </c>
      <c r="Q169" s="1" t="s">
        <v>157</v>
      </c>
      <c r="R169" s="4"/>
    </row>
    <row r="170" spans="1:18" x14ac:dyDescent="0.25">
      <c r="A170" s="1" t="s">
        <v>13</v>
      </c>
      <c r="B170" s="1" t="s">
        <v>1231</v>
      </c>
      <c r="C170" s="1" t="s">
        <v>1232</v>
      </c>
      <c r="D170" s="1" t="s">
        <v>925</v>
      </c>
      <c r="E170" s="1">
        <v>2022</v>
      </c>
      <c r="F170" s="1">
        <v>11</v>
      </c>
      <c r="G170" s="1">
        <v>12</v>
      </c>
      <c r="H170" s="4"/>
      <c r="I170" s="1" t="s">
        <v>228</v>
      </c>
      <c r="J170" s="1">
        <v>2022</v>
      </c>
      <c r="K170" s="4"/>
      <c r="L170" s="4"/>
      <c r="M170" s="1" t="s">
        <v>926</v>
      </c>
      <c r="N170" s="3" t="s">
        <v>1233</v>
      </c>
      <c r="O170" s="1" t="s">
        <v>1234</v>
      </c>
      <c r="P170" s="1" t="s">
        <v>1235</v>
      </c>
      <c r="Q170" s="1" t="s">
        <v>285</v>
      </c>
      <c r="R170" s="4"/>
    </row>
    <row r="171" spans="1:18" x14ac:dyDescent="0.25">
      <c r="A171" s="1" t="s">
        <v>13</v>
      </c>
      <c r="B171" s="1" t="s">
        <v>1236</v>
      </c>
      <c r="C171" s="1" t="s">
        <v>1237</v>
      </c>
      <c r="D171" s="1" t="s">
        <v>1238</v>
      </c>
      <c r="E171" s="1">
        <v>2023</v>
      </c>
      <c r="F171" s="4"/>
      <c r="G171" s="4"/>
      <c r="H171" s="4"/>
      <c r="I171" s="1" t="s">
        <v>137</v>
      </c>
      <c r="J171" s="1">
        <v>2023</v>
      </c>
      <c r="K171" s="4"/>
      <c r="L171" s="4"/>
      <c r="M171" s="1" t="s">
        <v>1239</v>
      </c>
      <c r="N171" s="3" t="s">
        <v>1240</v>
      </c>
      <c r="O171" s="1" t="s">
        <v>1241</v>
      </c>
      <c r="P171" s="1" t="s">
        <v>1242</v>
      </c>
      <c r="Q171" s="1" t="s">
        <v>157</v>
      </c>
      <c r="R171" s="4"/>
    </row>
    <row r="172" spans="1:18" x14ac:dyDescent="0.25">
      <c r="A172" s="1" t="s">
        <v>13</v>
      </c>
      <c r="B172" s="1" t="s">
        <v>1243</v>
      </c>
      <c r="C172" s="1" t="s">
        <v>1244</v>
      </c>
      <c r="D172" s="1" t="s">
        <v>255</v>
      </c>
      <c r="E172" s="1">
        <v>2022</v>
      </c>
      <c r="F172" s="1">
        <v>48</v>
      </c>
      <c r="G172" s="1">
        <v>4</v>
      </c>
      <c r="H172" s="1" t="s">
        <v>1245</v>
      </c>
      <c r="I172" s="1" t="s">
        <v>257</v>
      </c>
      <c r="J172" s="1">
        <v>2022</v>
      </c>
      <c r="K172" s="4"/>
      <c r="L172" s="4"/>
      <c r="M172" s="1" t="s">
        <v>18</v>
      </c>
      <c r="N172" s="3" t="s">
        <v>1246</v>
      </c>
      <c r="O172" s="1" t="s">
        <v>1247</v>
      </c>
      <c r="P172" s="1" t="s">
        <v>1248</v>
      </c>
      <c r="Q172" s="1" t="s">
        <v>1249</v>
      </c>
      <c r="R172" s="4"/>
    </row>
    <row r="173" spans="1:18" x14ac:dyDescent="0.25">
      <c r="A173" s="1" t="s">
        <v>13</v>
      </c>
      <c r="B173" s="1" t="s">
        <v>1250</v>
      </c>
      <c r="C173" s="1" t="s">
        <v>1251</v>
      </c>
      <c r="D173" s="1" t="s">
        <v>307</v>
      </c>
      <c r="E173" s="1">
        <v>2023</v>
      </c>
      <c r="F173" s="1">
        <v>153</v>
      </c>
      <c r="G173" s="4"/>
      <c r="H173" s="4"/>
      <c r="I173" s="1" t="s">
        <v>280</v>
      </c>
      <c r="J173" s="1">
        <v>2023</v>
      </c>
      <c r="K173" s="4"/>
      <c r="L173" s="4"/>
      <c r="M173" s="1" t="s">
        <v>308</v>
      </c>
      <c r="N173" s="3" t="s">
        <v>1252</v>
      </c>
      <c r="O173" s="1" t="s">
        <v>1253</v>
      </c>
      <c r="P173" s="1" t="s">
        <v>1254</v>
      </c>
      <c r="Q173" s="1" t="s">
        <v>999</v>
      </c>
      <c r="R173" s="4"/>
    </row>
    <row r="174" spans="1:18" x14ac:dyDescent="0.25">
      <c r="A174" s="1" t="s">
        <v>13</v>
      </c>
      <c r="B174" s="1" t="s">
        <v>1255</v>
      </c>
      <c r="C174" s="1" t="s">
        <v>1256</v>
      </c>
      <c r="D174" s="1" t="s">
        <v>328</v>
      </c>
      <c r="E174" s="1">
        <v>2022</v>
      </c>
      <c r="F174" s="1">
        <v>31</v>
      </c>
      <c r="G174" s="1">
        <v>2</v>
      </c>
      <c r="H174" s="4"/>
      <c r="I174" s="1" t="s">
        <v>145</v>
      </c>
      <c r="J174" s="1">
        <v>2022</v>
      </c>
      <c r="K174" s="4"/>
      <c r="L174" s="4"/>
      <c r="M174" s="1" t="s">
        <v>329</v>
      </c>
      <c r="N174" s="3" t="s">
        <v>1257</v>
      </c>
      <c r="O174" s="1" t="s">
        <v>1258</v>
      </c>
      <c r="P174" s="1" t="s">
        <v>1259</v>
      </c>
      <c r="Q174" s="1" t="s">
        <v>404</v>
      </c>
      <c r="R174" s="4"/>
    </row>
    <row r="175" spans="1:18" x14ac:dyDescent="0.25">
      <c r="A175" s="1" t="s">
        <v>13</v>
      </c>
      <c r="B175" s="1" t="s">
        <v>1260</v>
      </c>
      <c r="C175" s="1" t="s">
        <v>1261</v>
      </c>
      <c r="D175" s="1" t="s">
        <v>1262</v>
      </c>
      <c r="E175" s="1">
        <v>2022</v>
      </c>
      <c r="F175" s="1">
        <v>13</v>
      </c>
      <c r="G175" s="1">
        <v>1</v>
      </c>
      <c r="H175" s="4"/>
      <c r="I175" s="1" t="s">
        <v>362</v>
      </c>
      <c r="J175" s="1">
        <v>2022</v>
      </c>
      <c r="K175" s="4"/>
      <c r="L175" s="4"/>
      <c r="M175" s="1" t="s">
        <v>1263</v>
      </c>
      <c r="N175" s="3" t="s">
        <v>1264</v>
      </c>
      <c r="O175" s="1" t="s">
        <v>1265</v>
      </c>
      <c r="P175" s="1" t="s">
        <v>1266</v>
      </c>
      <c r="Q175" s="1" t="s">
        <v>233</v>
      </c>
      <c r="R175" s="4"/>
    </row>
    <row r="176" spans="1:18" x14ac:dyDescent="0.25">
      <c r="A176" s="1" t="s">
        <v>13</v>
      </c>
      <c r="B176" s="1" t="s">
        <v>1267</v>
      </c>
      <c r="C176" s="1" t="s">
        <v>1268</v>
      </c>
      <c r="D176" s="1" t="s">
        <v>1149</v>
      </c>
      <c r="E176" s="1">
        <v>2022</v>
      </c>
      <c r="F176" s="4"/>
      <c r="G176" s="4"/>
      <c r="H176" s="4"/>
      <c r="I176" s="1" t="s">
        <v>212</v>
      </c>
      <c r="J176" s="1">
        <v>2022</v>
      </c>
      <c r="K176" s="4"/>
      <c r="L176" s="4"/>
      <c r="M176" s="1" t="s">
        <v>1150</v>
      </c>
      <c r="N176" s="3" t="s">
        <v>1269</v>
      </c>
      <c r="O176" s="1" t="s">
        <v>1270</v>
      </c>
      <c r="P176" s="1" t="s">
        <v>1271</v>
      </c>
      <c r="Q176" s="1" t="s">
        <v>318</v>
      </c>
      <c r="R176" s="4"/>
    </row>
    <row r="177" spans="1:18" x14ac:dyDescent="0.25">
      <c r="A177" s="1" t="s">
        <v>13</v>
      </c>
      <c r="B177" s="1" t="s">
        <v>1272</v>
      </c>
      <c r="C177" s="1" t="s">
        <v>1273</v>
      </c>
      <c r="D177" s="1" t="s">
        <v>255</v>
      </c>
      <c r="E177" s="1">
        <v>2022</v>
      </c>
      <c r="F177" s="1">
        <v>48</v>
      </c>
      <c r="G177" s="1">
        <v>5</v>
      </c>
      <c r="H177" s="1" t="s">
        <v>1274</v>
      </c>
      <c r="I177" s="1" t="s">
        <v>257</v>
      </c>
      <c r="J177" s="1">
        <v>2022</v>
      </c>
      <c r="K177" s="4"/>
      <c r="L177" s="4"/>
      <c r="M177" s="1" t="s">
        <v>18</v>
      </c>
      <c r="N177" s="3" t="s">
        <v>1275</v>
      </c>
      <c r="O177" s="1" t="s">
        <v>1276</v>
      </c>
      <c r="P177" s="1" t="s">
        <v>1277</v>
      </c>
      <c r="Q177" s="1" t="s">
        <v>157</v>
      </c>
      <c r="R177" s="4"/>
    </row>
    <row r="178" spans="1:18" x14ac:dyDescent="0.25">
      <c r="A178" s="1" t="s">
        <v>13</v>
      </c>
      <c r="B178" s="1" t="s">
        <v>1278</v>
      </c>
      <c r="C178" s="1" t="s">
        <v>1279</v>
      </c>
      <c r="D178" s="1" t="s">
        <v>791</v>
      </c>
      <c r="E178" s="1">
        <v>2022</v>
      </c>
      <c r="F178" s="1">
        <v>11</v>
      </c>
      <c r="G178" s="1">
        <v>16</v>
      </c>
      <c r="H178" s="4"/>
      <c r="I178" s="1" t="s">
        <v>228</v>
      </c>
      <c r="J178" s="1">
        <v>2022</v>
      </c>
      <c r="K178" s="4"/>
      <c r="L178" s="4"/>
      <c r="M178" s="1" t="s">
        <v>792</v>
      </c>
      <c r="N178" s="3" t="s">
        <v>1280</v>
      </c>
      <c r="O178" s="1" t="s">
        <v>1281</v>
      </c>
      <c r="P178" s="1" t="s">
        <v>1282</v>
      </c>
      <c r="Q178" s="1" t="s">
        <v>285</v>
      </c>
      <c r="R178" s="4"/>
    </row>
    <row r="179" spans="1:18" x14ac:dyDescent="0.25">
      <c r="A179" s="1" t="s">
        <v>13</v>
      </c>
      <c r="B179" s="1" t="s">
        <v>1283</v>
      </c>
      <c r="C179" s="1" t="s">
        <v>1284</v>
      </c>
      <c r="D179" s="1" t="s">
        <v>1285</v>
      </c>
      <c r="E179" s="1">
        <v>2022</v>
      </c>
      <c r="F179" s="1">
        <v>6</v>
      </c>
      <c r="G179" s="1" t="s">
        <v>1286</v>
      </c>
      <c r="H179" s="4"/>
      <c r="I179" s="1" t="s">
        <v>145</v>
      </c>
      <c r="J179" s="1">
        <v>2022</v>
      </c>
      <c r="K179" s="4"/>
      <c r="L179" s="4"/>
      <c r="M179" s="1" t="s">
        <v>1287</v>
      </c>
      <c r="N179" s="3" t="s">
        <v>1288</v>
      </c>
      <c r="O179" s="1" t="s">
        <v>1289</v>
      </c>
      <c r="P179" s="1" t="s">
        <v>1290</v>
      </c>
      <c r="Q179" s="1" t="s">
        <v>157</v>
      </c>
      <c r="R179" s="4"/>
    </row>
    <row r="180" spans="1:18" x14ac:dyDescent="0.25">
      <c r="A180" s="1" t="s">
        <v>141</v>
      </c>
      <c r="B180" s="1" t="s">
        <v>1291</v>
      </c>
      <c r="C180" s="1" t="s">
        <v>1292</v>
      </c>
      <c r="D180" s="4"/>
      <c r="E180" s="1">
        <v>2022</v>
      </c>
      <c r="F180" s="7">
        <v>44835</v>
      </c>
      <c r="G180" s="4"/>
      <c r="H180" s="1" t="s">
        <v>1293</v>
      </c>
      <c r="I180" s="1" t="s">
        <v>196</v>
      </c>
      <c r="J180" s="1">
        <v>2022</v>
      </c>
      <c r="K180" s="1">
        <v>9781665469753</v>
      </c>
      <c r="L180" s="4"/>
      <c r="M180" s="1" t="s">
        <v>1294</v>
      </c>
      <c r="N180" s="3" t="s">
        <v>1295</v>
      </c>
      <c r="O180" s="1" t="s">
        <v>1296</v>
      </c>
      <c r="P180" s="1" t="s">
        <v>1297</v>
      </c>
      <c r="Q180" s="1" t="s">
        <v>157</v>
      </c>
      <c r="R180" s="4"/>
    </row>
    <row r="181" spans="1:18" x14ac:dyDescent="0.25">
      <c r="A181" s="1" t="s">
        <v>141</v>
      </c>
      <c r="B181" s="1" t="s">
        <v>1298</v>
      </c>
      <c r="C181" s="1" t="s">
        <v>1299</v>
      </c>
      <c r="D181" s="4"/>
      <c r="E181" s="1">
        <v>2022</v>
      </c>
      <c r="F181" s="4"/>
      <c r="G181" s="4"/>
      <c r="H181" s="1" t="s">
        <v>1300</v>
      </c>
      <c r="I181" s="1" t="s">
        <v>145</v>
      </c>
      <c r="J181" s="1">
        <v>2022</v>
      </c>
      <c r="K181" s="1">
        <v>9781450397353</v>
      </c>
      <c r="L181" s="4"/>
      <c r="M181" s="4"/>
      <c r="N181" s="3" t="s">
        <v>1301</v>
      </c>
      <c r="O181" s="1" t="s">
        <v>1302</v>
      </c>
      <c r="P181" s="1" t="s">
        <v>1303</v>
      </c>
      <c r="Q181" s="1" t="s">
        <v>157</v>
      </c>
      <c r="R181" s="4"/>
    </row>
    <row r="182" spans="1:18" x14ac:dyDescent="0.25">
      <c r="A182" s="1" t="s">
        <v>13</v>
      </c>
      <c r="B182" s="1" t="s">
        <v>1304</v>
      </c>
      <c r="C182" s="1" t="s">
        <v>1305</v>
      </c>
      <c r="D182" s="1" t="s">
        <v>1306</v>
      </c>
      <c r="E182" s="1">
        <v>2022</v>
      </c>
      <c r="F182" s="1">
        <v>10</v>
      </c>
      <c r="G182" s="1">
        <v>12</v>
      </c>
      <c r="H182" s="4"/>
      <c r="I182" s="1" t="s">
        <v>228</v>
      </c>
      <c r="J182" s="1">
        <v>2022</v>
      </c>
      <c r="K182" s="4"/>
      <c r="L182" s="4"/>
      <c r="M182" s="1" t="s">
        <v>1307</v>
      </c>
      <c r="N182" s="3" t="s">
        <v>1308</v>
      </c>
      <c r="O182" s="1" t="s">
        <v>1309</v>
      </c>
      <c r="P182" s="1" t="s">
        <v>1310</v>
      </c>
      <c r="Q182" s="1" t="s">
        <v>233</v>
      </c>
      <c r="R182" s="4"/>
    </row>
    <row r="183" spans="1:18" x14ac:dyDescent="0.25">
      <c r="A183" s="1" t="s">
        <v>13</v>
      </c>
      <c r="B183" s="1" t="s">
        <v>1311</v>
      </c>
      <c r="C183" s="1" t="s">
        <v>1312</v>
      </c>
      <c r="D183" s="1" t="s">
        <v>328</v>
      </c>
      <c r="E183" s="1">
        <v>2022</v>
      </c>
      <c r="F183" s="1">
        <v>31</v>
      </c>
      <c r="G183" s="1">
        <v>3</v>
      </c>
      <c r="H183" s="4"/>
      <c r="I183" s="1" t="s">
        <v>145</v>
      </c>
      <c r="J183" s="1">
        <v>2022</v>
      </c>
      <c r="K183" s="4"/>
      <c r="L183" s="4"/>
      <c r="M183" s="1" t="s">
        <v>329</v>
      </c>
      <c r="N183" s="3" t="s">
        <v>1313</v>
      </c>
      <c r="O183" s="1" t="s">
        <v>1314</v>
      </c>
      <c r="P183" s="1" t="s">
        <v>1315</v>
      </c>
      <c r="Q183" s="1" t="s">
        <v>289</v>
      </c>
      <c r="R183" s="4"/>
    </row>
    <row r="184" spans="1:18" x14ac:dyDescent="0.25">
      <c r="A184" s="1" t="s">
        <v>13</v>
      </c>
      <c r="B184" s="1" t="s">
        <v>1316</v>
      </c>
      <c r="C184" s="1" t="s">
        <v>1317</v>
      </c>
      <c r="D184" s="1" t="s">
        <v>1318</v>
      </c>
      <c r="E184" s="1">
        <v>2022</v>
      </c>
      <c r="F184" s="1">
        <v>5</v>
      </c>
      <c r="G184" s="1">
        <v>3</v>
      </c>
      <c r="H184" s="1" t="s">
        <v>1319</v>
      </c>
      <c r="I184" s="1" t="s">
        <v>1320</v>
      </c>
      <c r="J184" s="1">
        <v>2022</v>
      </c>
      <c r="K184" s="4"/>
      <c r="L184" s="4"/>
      <c r="M184" s="1" t="s">
        <v>1321</v>
      </c>
      <c r="N184" s="3" t="s">
        <v>1322</v>
      </c>
      <c r="O184" s="1" t="s">
        <v>1323</v>
      </c>
      <c r="P184" s="1" t="s">
        <v>1324</v>
      </c>
      <c r="Q184" s="1" t="s">
        <v>447</v>
      </c>
      <c r="R184" s="4"/>
    </row>
    <row r="185" spans="1:18" x14ac:dyDescent="0.25">
      <c r="A185" s="1" t="s">
        <v>13</v>
      </c>
      <c r="B185" s="1" t="s">
        <v>1325</v>
      </c>
      <c r="C185" s="1" t="s">
        <v>1326</v>
      </c>
      <c r="D185" s="1" t="s">
        <v>354</v>
      </c>
      <c r="E185" s="1">
        <v>2022</v>
      </c>
      <c r="F185" s="1">
        <v>190</v>
      </c>
      <c r="G185" s="4"/>
      <c r="H185" s="4"/>
      <c r="I185" s="1" t="s">
        <v>355</v>
      </c>
      <c r="J185" s="1">
        <v>2022</v>
      </c>
      <c r="K185" s="4"/>
      <c r="L185" s="4"/>
      <c r="M185" s="1" t="s">
        <v>65</v>
      </c>
      <c r="N185" s="3" t="s">
        <v>1327</v>
      </c>
      <c r="O185" s="1" t="s">
        <v>1328</v>
      </c>
      <c r="P185" s="1" t="s">
        <v>1329</v>
      </c>
      <c r="Q185" s="1" t="s">
        <v>176</v>
      </c>
      <c r="R185" s="4"/>
    </row>
    <row r="186" spans="1:18" x14ac:dyDescent="0.25">
      <c r="A186" s="1" t="s">
        <v>13</v>
      </c>
      <c r="B186" s="1" t="s">
        <v>1330</v>
      </c>
      <c r="C186" s="1" t="s">
        <v>1331</v>
      </c>
      <c r="D186" s="1" t="s">
        <v>1332</v>
      </c>
      <c r="E186" s="1">
        <v>2022</v>
      </c>
      <c r="F186" s="1">
        <v>2022</v>
      </c>
      <c r="G186" s="4"/>
      <c r="H186" s="4"/>
      <c r="I186" s="1" t="s">
        <v>1333</v>
      </c>
      <c r="J186" s="1">
        <v>2022</v>
      </c>
      <c r="K186" s="4"/>
      <c r="L186" s="4"/>
      <c r="M186" s="1" t="s">
        <v>1334</v>
      </c>
      <c r="N186" s="3" t="s">
        <v>1335</v>
      </c>
      <c r="O186" s="1" t="s">
        <v>1336</v>
      </c>
      <c r="P186" s="1" t="s">
        <v>1337</v>
      </c>
      <c r="Q186" s="1" t="s">
        <v>285</v>
      </c>
      <c r="R186" s="4"/>
    </row>
    <row r="187" spans="1:18" x14ac:dyDescent="0.25">
      <c r="A187" s="1" t="s">
        <v>13</v>
      </c>
      <c r="B187" s="1" t="s">
        <v>1338</v>
      </c>
      <c r="C187" s="1" t="s">
        <v>1339</v>
      </c>
      <c r="D187" s="1" t="s">
        <v>354</v>
      </c>
      <c r="E187" s="1">
        <v>2022</v>
      </c>
      <c r="F187" s="1">
        <v>190</v>
      </c>
      <c r="G187" s="4"/>
      <c r="H187" s="4"/>
      <c r="I187" s="1" t="s">
        <v>355</v>
      </c>
      <c r="J187" s="1">
        <v>2022</v>
      </c>
      <c r="K187" s="4"/>
      <c r="L187" s="4"/>
      <c r="M187" s="1" t="s">
        <v>65</v>
      </c>
      <c r="N187" s="3" t="s">
        <v>1340</v>
      </c>
      <c r="O187" s="1" t="s">
        <v>1341</v>
      </c>
      <c r="P187" s="1" t="s">
        <v>1342</v>
      </c>
      <c r="Q187" s="1" t="s">
        <v>157</v>
      </c>
      <c r="R187" s="4"/>
    </row>
    <row r="188" spans="1:18" x14ac:dyDescent="0.25">
      <c r="A188" s="1" t="s">
        <v>13</v>
      </c>
      <c r="B188" s="1" t="s">
        <v>1343</v>
      </c>
      <c r="C188" s="1" t="s">
        <v>1344</v>
      </c>
      <c r="D188" s="1" t="s">
        <v>307</v>
      </c>
      <c r="E188" s="1">
        <v>2022</v>
      </c>
      <c r="F188" s="1">
        <v>152</v>
      </c>
      <c r="G188" s="4"/>
      <c r="H188" s="4"/>
      <c r="I188" s="1" t="s">
        <v>280</v>
      </c>
      <c r="J188" s="1">
        <v>2022</v>
      </c>
      <c r="K188" s="4"/>
      <c r="L188" s="4"/>
      <c r="M188" s="1" t="s">
        <v>308</v>
      </c>
      <c r="N188" s="3" t="s">
        <v>1345</v>
      </c>
      <c r="O188" s="1" t="s">
        <v>1346</v>
      </c>
      <c r="P188" s="1" t="s">
        <v>1347</v>
      </c>
      <c r="Q188" s="1" t="s">
        <v>157</v>
      </c>
      <c r="R188" s="4"/>
    </row>
    <row r="189" spans="1:18" x14ac:dyDescent="0.25">
      <c r="A189" s="1" t="s">
        <v>13</v>
      </c>
      <c r="B189" s="1" t="s">
        <v>1348</v>
      </c>
      <c r="C189" s="1" t="s">
        <v>1349</v>
      </c>
      <c r="D189" s="1" t="s">
        <v>307</v>
      </c>
      <c r="E189" s="1">
        <v>2022</v>
      </c>
      <c r="F189" s="1">
        <v>142</v>
      </c>
      <c r="G189" s="4"/>
      <c r="H189" s="4"/>
      <c r="I189" s="1" t="s">
        <v>280</v>
      </c>
      <c r="J189" s="1">
        <v>2022</v>
      </c>
      <c r="K189" s="4"/>
      <c r="L189" s="4"/>
      <c r="M189" s="1" t="s">
        <v>308</v>
      </c>
      <c r="N189" s="3" t="s">
        <v>1350</v>
      </c>
      <c r="O189" s="1" t="s">
        <v>1351</v>
      </c>
      <c r="P189" s="1" t="s">
        <v>1352</v>
      </c>
      <c r="Q189" s="1" t="s">
        <v>206</v>
      </c>
      <c r="R189" s="4"/>
    </row>
    <row r="190" spans="1:18" x14ac:dyDescent="0.25">
      <c r="A190" s="1" t="s">
        <v>13</v>
      </c>
      <c r="B190" s="1" t="s">
        <v>1353</v>
      </c>
      <c r="C190" s="1" t="s">
        <v>1354</v>
      </c>
      <c r="D190" s="1" t="s">
        <v>1355</v>
      </c>
      <c r="E190" s="1">
        <v>2022</v>
      </c>
      <c r="F190" s="1">
        <v>201</v>
      </c>
      <c r="G190" s="4"/>
      <c r="H190" s="4"/>
      <c r="I190" s="1" t="s">
        <v>1060</v>
      </c>
      <c r="J190" s="1">
        <v>2022</v>
      </c>
      <c r="K190" s="4"/>
      <c r="L190" s="4"/>
      <c r="M190" s="1" t="s">
        <v>1356</v>
      </c>
      <c r="N190" s="3" t="s">
        <v>1357</v>
      </c>
      <c r="O190" s="1" t="s">
        <v>1358</v>
      </c>
      <c r="P190" s="1" t="s">
        <v>1359</v>
      </c>
      <c r="Q190" s="1" t="s">
        <v>318</v>
      </c>
      <c r="R190" s="4"/>
    </row>
    <row r="191" spans="1:18" x14ac:dyDescent="0.25">
      <c r="A191" s="1" t="s">
        <v>141</v>
      </c>
      <c r="B191" s="1" t="s">
        <v>1360</v>
      </c>
      <c r="C191" s="1" t="s">
        <v>1361</v>
      </c>
      <c r="D191" s="4"/>
      <c r="E191" s="1">
        <v>2022</v>
      </c>
      <c r="F191" s="4"/>
      <c r="G191" s="4"/>
      <c r="H191" s="1" t="s">
        <v>1362</v>
      </c>
      <c r="I191" s="1" t="s">
        <v>196</v>
      </c>
      <c r="J191" s="1">
        <v>2022</v>
      </c>
      <c r="K191" s="1">
        <v>9781450394277</v>
      </c>
      <c r="L191" s="4"/>
      <c r="M191" s="1" t="s">
        <v>197</v>
      </c>
      <c r="N191" s="3" t="s">
        <v>1363</v>
      </c>
      <c r="O191" s="1" t="s">
        <v>1364</v>
      </c>
      <c r="P191" s="1" t="s">
        <v>1365</v>
      </c>
      <c r="Q191" s="1" t="s">
        <v>568</v>
      </c>
      <c r="R191" s="4"/>
    </row>
    <row r="192" spans="1:18" x14ac:dyDescent="0.25">
      <c r="A192" s="1" t="s">
        <v>13</v>
      </c>
      <c r="B192" s="1" t="s">
        <v>1366</v>
      </c>
      <c r="C192" s="1" t="s">
        <v>1367</v>
      </c>
      <c r="D192" s="1" t="s">
        <v>328</v>
      </c>
      <c r="E192" s="1">
        <v>2022</v>
      </c>
      <c r="F192" s="1">
        <v>31</v>
      </c>
      <c r="G192" s="1">
        <v>2</v>
      </c>
      <c r="H192" s="4"/>
      <c r="I192" s="1" t="s">
        <v>145</v>
      </c>
      <c r="J192" s="1">
        <v>2022</v>
      </c>
      <c r="K192" s="4"/>
      <c r="L192" s="4"/>
      <c r="M192" s="1" t="s">
        <v>329</v>
      </c>
      <c r="N192" s="3" t="s">
        <v>1368</v>
      </c>
      <c r="O192" s="1" t="s">
        <v>1369</v>
      </c>
      <c r="P192" s="1" t="s">
        <v>1370</v>
      </c>
      <c r="Q192" s="1" t="s">
        <v>318</v>
      </c>
      <c r="R192" s="4"/>
    </row>
    <row r="193" spans="1:18" x14ac:dyDescent="0.25">
      <c r="A193" s="1" t="s">
        <v>13</v>
      </c>
      <c r="B193" s="1" t="s">
        <v>1371</v>
      </c>
      <c r="C193" s="1" t="s">
        <v>1372</v>
      </c>
      <c r="D193" s="1" t="s">
        <v>1373</v>
      </c>
      <c r="E193" s="1">
        <v>2022</v>
      </c>
      <c r="F193" s="1">
        <v>8</v>
      </c>
      <c r="G193" s="1">
        <v>1</v>
      </c>
      <c r="H193" s="1" t="s">
        <v>1374</v>
      </c>
      <c r="I193" s="1" t="s">
        <v>257</v>
      </c>
      <c r="J193" s="1">
        <v>2022</v>
      </c>
      <c r="K193" s="4"/>
      <c r="L193" s="4"/>
      <c r="M193" s="1" t="s">
        <v>1375</v>
      </c>
      <c r="N193" s="3" t="s">
        <v>1376</v>
      </c>
      <c r="O193" s="1" t="s">
        <v>1377</v>
      </c>
      <c r="P193" s="1" t="s">
        <v>1378</v>
      </c>
      <c r="Q193" s="1" t="s">
        <v>176</v>
      </c>
      <c r="R193" s="4"/>
    </row>
    <row r="194" spans="1:18" x14ac:dyDescent="0.25">
      <c r="A194" s="1" t="s">
        <v>13</v>
      </c>
      <c r="B194" s="1" t="s">
        <v>1379</v>
      </c>
      <c r="C194" s="1" t="s">
        <v>1380</v>
      </c>
      <c r="D194" s="1" t="s">
        <v>1161</v>
      </c>
      <c r="E194" s="1">
        <v>2022</v>
      </c>
      <c r="F194" s="1">
        <v>10</v>
      </c>
      <c r="G194" s="1">
        <v>18</v>
      </c>
      <c r="H194" s="4"/>
      <c r="I194" s="1" t="s">
        <v>228</v>
      </c>
      <c r="J194" s="1">
        <v>2022</v>
      </c>
      <c r="K194" s="4"/>
      <c r="L194" s="4"/>
      <c r="M194" s="1" t="s">
        <v>1162</v>
      </c>
      <c r="N194" s="3" t="s">
        <v>1381</v>
      </c>
      <c r="O194" s="1" t="s">
        <v>1382</v>
      </c>
      <c r="P194" s="1" t="s">
        <v>1383</v>
      </c>
      <c r="Q194" s="1" t="s">
        <v>447</v>
      </c>
      <c r="R194" s="4"/>
    </row>
    <row r="195" spans="1:18" x14ac:dyDescent="0.25">
      <c r="A195" s="1" t="s">
        <v>141</v>
      </c>
      <c r="B195" s="1" t="s">
        <v>1384</v>
      </c>
      <c r="C195" s="1" t="s">
        <v>1385</v>
      </c>
      <c r="D195" s="4"/>
      <c r="E195" s="1">
        <v>2022</v>
      </c>
      <c r="F195" s="4"/>
      <c r="G195" s="4"/>
      <c r="H195" s="1" t="s">
        <v>1386</v>
      </c>
      <c r="I195" s="1" t="s">
        <v>145</v>
      </c>
      <c r="J195" s="1">
        <v>2022</v>
      </c>
      <c r="K195" s="1">
        <v>9781450393522</v>
      </c>
      <c r="L195" s="4"/>
      <c r="M195" s="4"/>
      <c r="N195" s="3" t="s">
        <v>1387</v>
      </c>
      <c r="O195" s="1" t="s">
        <v>1388</v>
      </c>
      <c r="P195" s="1" t="s">
        <v>1389</v>
      </c>
      <c r="Q195" s="1" t="s">
        <v>387</v>
      </c>
      <c r="R195" s="4"/>
    </row>
    <row r="196" spans="1:18" x14ac:dyDescent="0.25">
      <c r="A196" s="1" t="s">
        <v>141</v>
      </c>
      <c r="B196" s="1" t="s">
        <v>1390</v>
      </c>
      <c r="C196" s="1" t="s">
        <v>1391</v>
      </c>
      <c r="D196" s="4"/>
      <c r="E196" s="1">
        <v>2022</v>
      </c>
      <c r="F196" s="1">
        <v>1</v>
      </c>
      <c r="G196" s="4"/>
      <c r="H196" s="1" t="s">
        <v>1392</v>
      </c>
      <c r="I196" s="1" t="s">
        <v>161</v>
      </c>
      <c r="J196" s="1">
        <v>2022</v>
      </c>
      <c r="K196" s="1">
        <v>9789897585623</v>
      </c>
      <c r="L196" s="4"/>
      <c r="M196" s="1" t="s">
        <v>1393</v>
      </c>
      <c r="N196" s="3" t="s">
        <v>1394</v>
      </c>
      <c r="O196" s="1" t="s">
        <v>1395</v>
      </c>
      <c r="P196" s="1" t="s">
        <v>1396</v>
      </c>
      <c r="Q196" s="1" t="s">
        <v>595</v>
      </c>
      <c r="R196" s="4"/>
    </row>
    <row r="197" spans="1:18" x14ac:dyDescent="0.25">
      <c r="A197" s="1" t="s">
        <v>13</v>
      </c>
      <c r="B197" s="1" t="s">
        <v>1397</v>
      </c>
      <c r="C197" s="1" t="s">
        <v>1398</v>
      </c>
      <c r="D197" s="1" t="s">
        <v>307</v>
      </c>
      <c r="E197" s="1">
        <v>2023</v>
      </c>
      <c r="F197" s="1">
        <v>155</v>
      </c>
      <c r="G197" s="4"/>
      <c r="H197" s="4"/>
      <c r="I197" s="1" t="s">
        <v>280</v>
      </c>
      <c r="J197" s="1">
        <v>2023</v>
      </c>
      <c r="K197" s="4"/>
      <c r="L197" s="4"/>
      <c r="M197" s="1" t="s">
        <v>308</v>
      </c>
      <c r="N197" s="3" t="s">
        <v>1399</v>
      </c>
      <c r="O197" s="1" t="s">
        <v>1400</v>
      </c>
      <c r="P197" s="1" t="s">
        <v>1401</v>
      </c>
      <c r="Q197" s="1" t="s">
        <v>166</v>
      </c>
      <c r="R197" s="4"/>
    </row>
    <row r="198" spans="1:18" x14ac:dyDescent="0.25">
      <c r="A198" s="1" t="s">
        <v>13</v>
      </c>
      <c r="B198" s="1" t="s">
        <v>120</v>
      </c>
      <c r="C198" s="1" t="s">
        <v>121</v>
      </c>
      <c r="D198" s="1" t="s">
        <v>582</v>
      </c>
      <c r="E198" s="1">
        <v>2022</v>
      </c>
      <c r="F198" s="1">
        <v>29</v>
      </c>
      <c r="G198" s="1">
        <v>1</v>
      </c>
      <c r="H198" s="4"/>
      <c r="I198" s="1" t="s">
        <v>137</v>
      </c>
      <c r="J198" s="1">
        <v>2022</v>
      </c>
      <c r="K198" s="4"/>
      <c r="L198" s="4"/>
      <c r="M198" s="1" t="s">
        <v>58</v>
      </c>
      <c r="N198" s="3" t="s">
        <v>1402</v>
      </c>
      <c r="O198" s="1" t="s">
        <v>123</v>
      </c>
      <c r="P198" s="1" t="s">
        <v>1403</v>
      </c>
      <c r="Q198" s="1" t="s">
        <v>1404</v>
      </c>
      <c r="R198" s="4"/>
    </row>
    <row r="199" spans="1:18" x14ac:dyDescent="0.25">
      <c r="A199" s="1" t="s">
        <v>13</v>
      </c>
      <c r="B199" s="1" t="s">
        <v>1405</v>
      </c>
      <c r="C199" s="1" t="s">
        <v>1406</v>
      </c>
      <c r="D199" s="1" t="s">
        <v>209</v>
      </c>
      <c r="E199" s="1">
        <v>2022</v>
      </c>
      <c r="F199" s="1" t="s">
        <v>1014</v>
      </c>
      <c r="G199" s="4"/>
      <c r="H199" s="1" t="s">
        <v>1407</v>
      </c>
      <c r="I199" s="1" t="s">
        <v>212</v>
      </c>
      <c r="J199" s="1">
        <v>2022</v>
      </c>
      <c r="K199" s="4"/>
      <c r="L199" s="4"/>
      <c r="M199" s="1" t="s">
        <v>213</v>
      </c>
      <c r="N199" s="3" t="s">
        <v>1408</v>
      </c>
      <c r="O199" s="1" t="s">
        <v>1409</v>
      </c>
      <c r="P199" s="1" t="s">
        <v>1410</v>
      </c>
      <c r="Q199" s="1" t="s">
        <v>157</v>
      </c>
      <c r="R199" s="4"/>
    </row>
    <row r="200" spans="1:18" x14ac:dyDescent="0.25">
      <c r="A200" s="1" t="s">
        <v>13</v>
      </c>
      <c r="B200" s="1" t="s">
        <v>1411</v>
      </c>
      <c r="C200" s="1" t="s">
        <v>1412</v>
      </c>
      <c r="D200" s="1" t="s">
        <v>1059</v>
      </c>
      <c r="E200" s="1">
        <v>2022</v>
      </c>
      <c r="F200" s="1">
        <v>115</v>
      </c>
      <c r="G200" s="4"/>
      <c r="H200" s="4"/>
      <c r="I200" s="1" t="s">
        <v>1060</v>
      </c>
      <c r="J200" s="1">
        <v>2022</v>
      </c>
      <c r="K200" s="4"/>
      <c r="L200" s="4"/>
      <c r="M200" s="1" t="s">
        <v>1061</v>
      </c>
      <c r="N200" s="3" t="s">
        <v>1413</v>
      </c>
      <c r="O200" s="1" t="s">
        <v>1414</v>
      </c>
      <c r="P200" s="1" t="s">
        <v>1415</v>
      </c>
      <c r="Q200" s="1" t="s">
        <v>157</v>
      </c>
      <c r="R200" s="4"/>
    </row>
    <row r="201" spans="1:18" x14ac:dyDescent="0.25">
      <c r="A201" s="1" t="s">
        <v>141</v>
      </c>
      <c r="B201" s="1" t="s">
        <v>1416</v>
      </c>
      <c r="C201" s="1" t="s">
        <v>1417</v>
      </c>
      <c r="D201" s="4"/>
      <c r="E201" s="1">
        <v>2022</v>
      </c>
      <c r="F201" s="4"/>
      <c r="G201" s="4"/>
      <c r="H201" s="1" t="s">
        <v>1418</v>
      </c>
      <c r="I201" s="1" t="s">
        <v>257</v>
      </c>
      <c r="J201" s="1">
        <v>2022</v>
      </c>
      <c r="K201" s="1">
        <v>9781665437868</v>
      </c>
      <c r="L201" s="4"/>
      <c r="M201" s="4"/>
      <c r="N201" s="3" t="s">
        <v>1419</v>
      </c>
      <c r="O201" s="1" t="s">
        <v>1420</v>
      </c>
      <c r="P201" s="1" t="s">
        <v>1421</v>
      </c>
      <c r="Q201" s="1" t="s">
        <v>404</v>
      </c>
      <c r="R201" s="4"/>
    </row>
    <row r="202" spans="1:18" x14ac:dyDescent="0.25">
      <c r="A202" s="1" t="s">
        <v>141</v>
      </c>
      <c r="B202" s="1" t="s">
        <v>1422</v>
      </c>
      <c r="C202" s="1" t="s">
        <v>1423</v>
      </c>
      <c r="D202" s="4"/>
      <c r="E202" s="1">
        <v>2022</v>
      </c>
      <c r="F202" s="7">
        <v>44621</v>
      </c>
      <c r="G202" s="4"/>
      <c r="H202" s="1" t="s">
        <v>1424</v>
      </c>
      <c r="I202" s="1" t="s">
        <v>196</v>
      </c>
      <c r="J202" s="1">
        <v>2022</v>
      </c>
      <c r="K202" s="1">
        <v>9781450392983</v>
      </c>
      <c r="L202" s="4"/>
      <c r="M202" s="4"/>
      <c r="N202" s="3" t="s">
        <v>1425</v>
      </c>
      <c r="O202" s="1" t="s">
        <v>1426</v>
      </c>
      <c r="P202" s="1" t="s">
        <v>1427</v>
      </c>
      <c r="Q202" s="1" t="s">
        <v>999</v>
      </c>
      <c r="R202" s="4"/>
    </row>
    <row r="203" spans="1:18" x14ac:dyDescent="0.25">
      <c r="A203" s="1" t="s">
        <v>13</v>
      </c>
      <c r="B203" s="1" t="s">
        <v>1428</v>
      </c>
      <c r="C203" s="1" t="s">
        <v>1429</v>
      </c>
      <c r="D203" s="1" t="s">
        <v>676</v>
      </c>
      <c r="E203" s="1">
        <v>2022</v>
      </c>
      <c r="F203" s="1" t="s">
        <v>1430</v>
      </c>
      <c r="G203" s="4"/>
      <c r="H203" s="1" t="s">
        <v>1431</v>
      </c>
      <c r="I203" s="1" t="s">
        <v>212</v>
      </c>
      <c r="J203" s="1">
        <v>2022</v>
      </c>
      <c r="K203" s="4"/>
      <c r="L203" s="4"/>
      <c r="M203" s="1" t="s">
        <v>679</v>
      </c>
      <c r="N203" s="3" t="s">
        <v>1432</v>
      </c>
      <c r="O203" s="1" t="s">
        <v>1433</v>
      </c>
      <c r="P203" s="1" t="s">
        <v>1434</v>
      </c>
      <c r="Q203" s="1" t="s">
        <v>157</v>
      </c>
      <c r="R203" s="4"/>
    </row>
    <row r="204" spans="1:18" x14ac:dyDescent="0.25">
      <c r="A204" s="1" t="s">
        <v>13</v>
      </c>
      <c r="B204" s="1" t="s">
        <v>1435</v>
      </c>
      <c r="C204" s="1" t="s">
        <v>1436</v>
      </c>
      <c r="D204" s="1" t="s">
        <v>523</v>
      </c>
      <c r="E204" s="1">
        <v>2021</v>
      </c>
      <c r="F204" s="1">
        <v>29</v>
      </c>
      <c r="G204" s="1">
        <v>4</v>
      </c>
      <c r="H204" s="1" t="s">
        <v>1437</v>
      </c>
      <c r="I204" s="1" t="s">
        <v>137</v>
      </c>
      <c r="J204" s="1">
        <v>2021</v>
      </c>
      <c r="K204" s="4"/>
      <c r="L204" s="4"/>
      <c r="M204" s="1" t="s">
        <v>525</v>
      </c>
      <c r="N204" s="3" t="s">
        <v>1438</v>
      </c>
      <c r="O204" s="1" t="s">
        <v>1439</v>
      </c>
      <c r="P204" s="1" t="s">
        <v>1440</v>
      </c>
      <c r="Q204" s="1" t="s">
        <v>318</v>
      </c>
      <c r="R204" s="4"/>
    </row>
    <row r="205" spans="1:18" x14ac:dyDescent="0.25">
      <c r="A205" s="1" t="s">
        <v>13</v>
      </c>
      <c r="B205" s="1" t="s">
        <v>1441</v>
      </c>
      <c r="C205" s="1" t="s">
        <v>1442</v>
      </c>
      <c r="D205" s="1" t="s">
        <v>1443</v>
      </c>
      <c r="E205" s="1">
        <v>2021</v>
      </c>
      <c r="F205" s="1">
        <v>2</v>
      </c>
      <c r="G205" s="1">
        <v>4</v>
      </c>
      <c r="H205" s="1" t="s">
        <v>1444</v>
      </c>
      <c r="I205" s="1" t="s">
        <v>257</v>
      </c>
      <c r="J205" s="1">
        <v>2021</v>
      </c>
      <c r="K205" s="4"/>
      <c r="L205" s="4"/>
      <c r="M205" s="1" t="s">
        <v>1445</v>
      </c>
      <c r="N205" s="3" t="s">
        <v>1446</v>
      </c>
      <c r="O205" s="1" t="s">
        <v>1447</v>
      </c>
      <c r="P205" s="1" t="s">
        <v>1448</v>
      </c>
      <c r="Q205" s="1" t="s">
        <v>447</v>
      </c>
      <c r="R205" s="4"/>
    </row>
    <row r="206" spans="1:18" x14ac:dyDescent="0.25">
      <c r="A206" s="1" t="s">
        <v>141</v>
      </c>
      <c r="B206" s="1" t="s">
        <v>1449</v>
      </c>
      <c r="C206" s="1" t="s">
        <v>1450</v>
      </c>
      <c r="D206" s="4"/>
      <c r="E206" s="1">
        <v>2022</v>
      </c>
      <c r="F206" s="4"/>
      <c r="G206" s="4"/>
      <c r="H206" s="1" t="s">
        <v>1451</v>
      </c>
      <c r="I206" s="1" t="s">
        <v>257</v>
      </c>
      <c r="J206" s="1">
        <v>2022</v>
      </c>
      <c r="K206" s="1">
        <v>9781450393331</v>
      </c>
      <c r="L206" s="4"/>
      <c r="M206" s="4"/>
      <c r="N206" s="3" t="s">
        <v>1452</v>
      </c>
      <c r="O206" s="1" t="s">
        <v>1453</v>
      </c>
      <c r="P206" s="1" t="s">
        <v>1454</v>
      </c>
      <c r="Q206" s="1" t="s">
        <v>568</v>
      </c>
      <c r="R206" s="4"/>
    </row>
    <row r="207" spans="1:18" x14ac:dyDescent="0.25">
      <c r="A207" s="1" t="s">
        <v>141</v>
      </c>
      <c r="B207" s="1" t="s">
        <v>1455</v>
      </c>
      <c r="C207" s="1" t="s">
        <v>1456</v>
      </c>
      <c r="D207" s="4"/>
      <c r="E207" s="1">
        <v>2022</v>
      </c>
      <c r="F207" s="7">
        <v>44682</v>
      </c>
      <c r="G207" s="4"/>
      <c r="H207" s="1" t="s">
        <v>1457</v>
      </c>
      <c r="I207" s="1" t="s">
        <v>196</v>
      </c>
      <c r="J207" s="1">
        <v>2022</v>
      </c>
      <c r="K207" s="1">
        <v>9781450392211</v>
      </c>
      <c r="L207" s="4"/>
      <c r="M207" s="1" t="s">
        <v>1458</v>
      </c>
      <c r="N207" s="3" t="s">
        <v>1459</v>
      </c>
      <c r="O207" s="1" t="s">
        <v>1460</v>
      </c>
      <c r="P207" s="1" t="s">
        <v>1461</v>
      </c>
      <c r="Q207" s="1" t="s">
        <v>1462</v>
      </c>
      <c r="R207" s="4"/>
    </row>
    <row r="208" spans="1:18" x14ac:dyDescent="0.25">
      <c r="A208" s="1" t="s">
        <v>539</v>
      </c>
      <c r="B208" s="1" t="s">
        <v>1463</v>
      </c>
      <c r="C208" s="1" t="s">
        <v>1464</v>
      </c>
      <c r="D208" s="4"/>
      <c r="E208" s="1">
        <v>2021</v>
      </c>
      <c r="F208" s="4"/>
      <c r="G208" s="4"/>
      <c r="H208" s="4"/>
      <c r="I208" s="1" t="s">
        <v>1465</v>
      </c>
      <c r="J208" s="1">
        <v>2021</v>
      </c>
      <c r="K208" s="1">
        <v>9781799869863</v>
      </c>
      <c r="L208" s="1">
        <v>9781799869856</v>
      </c>
      <c r="M208" s="4"/>
      <c r="N208" s="3" t="s">
        <v>1466</v>
      </c>
      <c r="O208" s="1" t="s">
        <v>1467</v>
      </c>
      <c r="P208" s="1" t="s">
        <v>1468</v>
      </c>
      <c r="Q208" s="1" t="s">
        <v>157</v>
      </c>
      <c r="R208" s="1" t="s">
        <v>1469</v>
      </c>
    </row>
    <row r="209" spans="1:18" x14ac:dyDescent="0.25">
      <c r="A209" s="1" t="s">
        <v>13</v>
      </c>
      <c r="B209" s="1" t="s">
        <v>1470</v>
      </c>
      <c r="C209" s="1" t="s">
        <v>1471</v>
      </c>
      <c r="D209" s="1" t="s">
        <v>136</v>
      </c>
      <c r="E209" s="1">
        <v>2022</v>
      </c>
      <c r="F209" s="1">
        <v>27</v>
      </c>
      <c r="G209" s="1">
        <v>1</v>
      </c>
      <c r="H209" s="4"/>
      <c r="I209" s="1" t="s">
        <v>137</v>
      </c>
      <c r="J209" s="1">
        <v>2022</v>
      </c>
      <c r="K209" s="4"/>
      <c r="L209" s="4"/>
      <c r="M209" s="1" t="s">
        <v>33</v>
      </c>
      <c r="N209" s="3" t="s">
        <v>1472</v>
      </c>
      <c r="O209" s="1" t="s">
        <v>1473</v>
      </c>
      <c r="P209" s="1" t="s">
        <v>1474</v>
      </c>
      <c r="Q209" s="1" t="s">
        <v>289</v>
      </c>
      <c r="R209" s="4"/>
    </row>
    <row r="210" spans="1:18" x14ac:dyDescent="0.25">
      <c r="A210" s="1" t="s">
        <v>141</v>
      </c>
      <c r="B210" s="1" t="s">
        <v>1475</v>
      </c>
      <c r="C210" s="1" t="s">
        <v>1476</v>
      </c>
      <c r="D210" s="4"/>
      <c r="E210" s="1">
        <v>2021</v>
      </c>
      <c r="F210" s="4"/>
      <c r="G210" s="4"/>
      <c r="H210" s="1" t="s">
        <v>1477</v>
      </c>
      <c r="I210" s="1" t="s">
        <v>153</v>
      </c>
      <c r="J210" s="1">
        <v>2021</v>
      </c>
      <c r="K210" s="1">
        <v>9781450384735</v>
      </c>
      <c r="L210" s="4"/>
      <c r="M210" s="4"/>
      <c r="N210" s="3" t="s">
        <v>1478</v>
      </c>
      <c r="O210" s="1" t="s">
        <v>1479</v>
      </c>
      <c r="P210" s="1" t="s">
        <v>1480</v>
      </c>
      <c r="Q210" s="1" t="s">
        <v>318</v>
      </c>
      <c r="R210" s="4"/>
    </row>
    <row r="211" spans="1:18" x14ac:dyDescent="0.25">
      <c r="A211" s="1" t="s">
        <v>13</v>
      </c>
      <c r="B211" s="1" t="s">
        <v>50</v>
      </c>
      <c r="C211" s="1" t="s">
        <v>51</v>
      </c>
      <c r="D211" s="1" t="s">
        <v>629</v>
      </c>
      <c r="E211" s="1">
        <v>2021</v>
      </c>
      <c r="F211" s="1">
        <v>15</v>
      </c>
      <c r="G211" s="1">
        <v>4</v>
      </c>
      <c r="H211" s="4"/>
      <c r="I211" s="1" t="s">
        <v>630</v>
      </c>
      <c r="J211" s="1">
        <v>2021</v>
      </c>
      <c r="K211" s="4"/>
      <c r="L211" s="4"/>
      <c r="M211" s="1" t="s">
        <v>46</v>
      </c>
      <c r="N211" s="3" t="s">
        <v>1481</v>
      </c>
      <c r="O211" s="1" t="s">
        <v>53</v>
      </c>
      <c r="P211" s="1" t="s">
        <v>1482</v>
      </c>
      <c r="Q211" s="1" t="s">
        <v>185</v>
      </c>
      <c r="R211" s="4"/>
    </row>
    <row r="212" spans="1:18" x14ac:dyDescent="0.25">
      <c r="A212" s="1" t="s">
        <v>141</v>
      </c>
      <c r="B212" s="1" t="s">
        <v>1483</v>
      </c>
      <c r="C212" s="1" t="s">
        <v>1484</v>
      </c>
      <c r="D212" s="4"/>
      <c r="E212" s="1">
        <v>2021</v>
      </c>
      <c r="F212" s="4"/>
      <c r="G212" s="4"/>
      <c r="H212" s="1" t="s">
        <v>1485</v>
      </c>
      <c r="I212" s="1" t="s">
        <v>257</v>
      </c>
      <c r="J212" s="1">
        <v>2021</v>
      </c>
      <c r="K212" s="1">
        <v>9781665414050</v>
      </c>
      <c r="L212" s="4"/>
      <c r="M212" s="4"/>
      <c r="N212" s="3" t="s">
        <v>1486</v>
      </c>
      <c r="O212" s="1" t="s">
        <v>1487</v>
      </c>
      <c r="P212" s="1" t="s">
        <v>1488</v>
      </c>
      <c r="Q212" s="1" t="s">
        <v>404</v>
      </c>
      <c r="R212" s="4"/>
    </row>
    <row r="213" spans="1:18" x14ac:dyDescent="0.25">
      <c r="A213" s="1" t="s">
        <v>141</v>
      </c>
      <c r="B213" s="1" t="s">
        <v>1489</v>
      </c>
      <c r="C213" s="1" t="s">
        <v>1490</v>
      </c>
      <c r="D213" s="4"/>
      <c r="E213" s="1">
        <v>2022</v>
      </c>
      <c r="F213" s="4"/>
      <c r="G213" s="4"/>
      <c r="H213" s="1" t="s">
        <v>1491</v>
      </c>
      <c r="I213" s="1" t="s">
        <v>257</v>
      </c>
      <c r="J213" s="1">
        <v>2022</v>
      </c>
      <c r="K213" s="1">
        <v>9781665483131</v>
      </c>
      <c r="L213" s="4"/>
      <c r="M213" s="4"/>
      <c r="N213" s="3" t="s">
        <v>1492</v>
      </c>
      <c r="O213" s="1" t="s">
        <v>1493</v>
      </c>
      <c r="P213" s="1" t="s">
        <v>1494</v>
      </c>
      <c r="Q213" s="1" t="s">
        <v>157</v>
      </c>
      <c r="R213" s="4"/>
    </row>
    <row r="214" spans="1:18" x14ac:dyDescent="0.25">
      <c r="A214" s="1" t="s">
        <v>13</v>
      </c>
      <c r="B214" s="1" t="s">
        <v>1495</v>
      </c>
      <c r="C214" s="1" t="s">
        <v>1496</v>
      </c>
      <c r="D214" s="1" t="s">
        <v>1285</v>
      </c>
      <c r="E214" s="1">
        <v>2021</v>
      </c>
      <c r="F214" s="1">
        <v>5</v>
      </c>
      <c r="G214" s="1" t="s">
        <v>1497</v>
      </c>
      <c r="H214" s="4"/>
      <c r="I214" s="1" t="s">
        <v>145</v>
      </c>
      <c r="J214" s="1">
        <v>2021</v>
      </c>
      <c r="K214" s="4"/>
      <c r="L214" s="4"/>
      <c r="M214" s="1" t="s">
        <v>1287</v>
      </c>
      <c r="N214" s="3" t="s">
        <v>1498</v>
      </c>
      <c r="O214" s="1" t="s">
        <v>1499</v>
      </c>
      <c r="P214" s="1" t="s">
        <v>1500</v>
      </c>
      <c r="Q214" s="1" t="s">
        <v>568</v>
      </c>
      <c r="R214" s="4"/>
    </row>
    <row r="215" spans="1:18" x14ac:dyDescent="0.25">
      <c r="A215" s="1" t="s">
        <v>13</v>
      </c>
      <c r="B215" s="1" t="s">
        <v>1501</v>
      </c>
      <c r="C215" s="1" t="s">
        <v>1502</v>
      </c>
      <c r="D215" s="1" t="s">
        <v>1503</v>
      </c>
      <c r="E215" s="1">
        <v>2021</v>
      </c>
      <c r="F215" s="1">
        <v>15</v>
      </c>
      <c r="G215" s="1">
        <v>3</v>
      </c>
      <c r="H215" s="4"/>
      <c r="I215" s="1" t="s">
        <v>145</v>
      </c>
      <c r="J215" s="1">
        <v>2021</v>
      </c>
      <c r="K215" s="4"/>
      <c r="L215" s="4"/>
      <c r="M215" s="1" t="s">
        <v>1504</v>
      </c>
      <c r="N215" s="3" t="s">
        <v>1505</v>
      </c>
      <c r="O215" s="1" t="s">
        <v>1506</v>
      </c>
      <c r="P215" s="1" t="s">
        <v>1507</v>
      </c>
      <c r="Q215" s="1" t="s">
        <v>1508</v>
      </c>
      <c r="R215" s="4"/>
    </row>
    <row r="216" spans="1:18" x14ac:dyDescent="0.25">
      <c r="A216" s="1" t="s">
        <v>13</v>
      </c>
      <c r="B216" s="1" t="s">
        <v>1509</v>
      </c>
      <c r="C216" s="1" t="s">
        <v>1510</v>
      </c>
      <c r="D216" s="1" t="s">
        <v>1511</v>
      </c>
      <c r="E216" s="1">
        <v>2021</v>
      </c>
      <c r="F216" s="1">
        <v>12</v>
      </c>
      <c r="G216" s="1">
        <v>10</v>
      </c>
      <c r="H216" s="4"/>
      <c r="I216" s="1" t="s">
        <v>228</v>
      </c>
      <c r="J216" s="1">
        <v>2021</v>
      </c>
      <c r="K216" s="4"/>
      <c r="L216" s="4"/>
      <c r="M216" s="1" t="s">
        <v>1512</v>
      </c>
      <c r="N216" s="3" t="s">
        <v>1513</v>
      </c>
      <c r="O216" s="1" t="s">
        <v>1514</v>
      </c>
      <c r="P216" s="1" t="s">
        <v>1515</v>
      </c>
      <c r="Q216" s="1" t="s">
        <v>285</v>
      </c>
      <c r="R216" s="4"/>
    </row>
    <row r="217" spans="1:18" x14ac:dyDescent="0.25">
      <c r="A217" s="1" t="s">
        <v>13</v>
      </c>
      <c r="B217" s="1" t="s">
        <v>1516</v>
      </c>
      <c r="C217" s="1" t="s">
        <v>1517</v>
      </c>
      <c r="D217" s="1" t="s">
        <v>523</v>
      </c>
      <c r="E217" s="1">
        <v>2021</v>
      </c>
      <c r="F217" s="1">
        <v>29</v>
      </c>
      <c r="G217" s="1">
        <v>2</v>
      </c>
      <c r="H217" s="1" t="s">
        <v>1518</v>
      </c>
      <c r="I217" s="1" t="s">
        <v>137</v>
      </c>
      <c r="J217" s="1">
        <v>2021</v>
      </c>
      <c r="K217" s="4"/>
      <c r="L217" s="4"/>
      <c r="M217" s="1" t="s">
        <v>525</v>
      </c>
      <c r="N217" s="3" t="s">
        <v>1519</v>
      </c>
      <c r="O217" s="1" t="s">
        <v>1520</v>
      </c>
      <c r="P217" s="1" t="s">
        <v>1521</v>
      </c>
      <c r="Q217" s="1" t="s">
        <v>818</v>
      </c>
      <c r="R217" s="4"/>
    </row>
    <row r="218" spans="1:18" x14ac:dyDescent="0.25">
      <c r="A218" s="1" t="s">
        <v>13</v>
      </c>
      <c r="B218" s="1" t="s">
        <v>1522</v>
      </c>
      <c r="C218" s="1" t="s">
        <v>1523</v>
      </c>
      <c r="D218" s="1" t="s">
        <v>136</v>
      </c>
      <c r="E218" s="1">
        <v>2022</v>
      </c>
      <c r="F218" s="1">
        <v>27</v>
      </c>
      <c r="G218" s="1">
        <v>1</v>
      </c>
      <c r="H218" s="4"/>
      <c r="I218" s="1" t="s">
        <v>137</v>
      </c>
      <c r="J218" s="1">
        <v>2022</v>
      </c>
      <c r="K218" s="4"/>
      <c r="L218" s="4"/>
      <c r="M218" s="1" t="s">
        <v>33</v>
      </c>
      <c r="N218" s="3" t="s">
        <v>1524</v>
      </c>
      <c r="O218" s="1" t="s">
        <v>1525</v>
      </c>
      <c r="P218" s="1" t="s">
        <v>1526</v>
      </c>
      <c r="Q218" s="1" t="s">
        <v>585</v>
      </c>
      <c r="R218" s="4"/>
    </row>
    <row r="219" spans="1:18" x14ac:dyDescent="0.25">
      <c r="A219" s="1" t="s">
        <v>13</v>
      </c>
      <c r="B219" s="1" t="s">
        <v>1527</v>
      </c>
      <c r="C219" s="1" t="s">
        <v>1528</v>
      </c>
      <c r="D219" s="1" t="s">
        <v>1511</v>
      </c>
      <c r="E219" s="1">
        <v>2021</v>
      </c>
      <c r="F219" s="1">
        <v>12</v>
      </c>
      <c r="G219" s="1">
        <v>11</v>
      </c>
      <c r="H219" s="4"/>
      <c r="I219" s="1" t="s">
        <v>228</v>
      </c>
      <c r="J219" s="1">
        <v>2021</v>
      </c>
      <c r="K219" s="4"/>
      <c r="L219" s="4"/>
      <c r="M219" s="1" t="s">
        <v>1512</v>
      </c>
      <c r="N219" s="3" t="s">
        <v>1529</v>
      </c>
      <c r="O219" s="1" t="s">
        <v>1530</v>
      </c>
      <c r="P219" s="1" t="s">
        <v>1531</v>
      </c>
      <c r="Q219" s="1" t="s">
        <v>285</v>
      </c>
      <c r="R219" s="4"/>
    </row>
    <row r="220" spans="1:18" x14ac:dyDescent="0.25">
      <c r="A220" s="1" t="s">
        <v>13</v>
      </c>
      <c r="B220" s="1" t="s">
        <v>1532</v>
      </c>
      <c r="C220" s="1" t="s">
        <v>1533</v>
      </c>
      <c r="D220" s="1" t="s">
        <v>668</v>
      </c>
      <c r="E220" s="1">
        <v>2022</v>
      </c>
      <c r="F220" s="1">
        <v>10</v>
      </c>
      <c r="G220" s="4"/>
      <c r="H220" s="1" t="s">
        <v>1534</v>
      </c>
      <c r="I220" s="1" t="s">
        <v>257</v>
      </c>
      <c r="J220" s="1">
        <v>2022</v>
      </c>
      <c r="K220" s="4"/>
      <c r="L220" s="4"/>
      <c r="M220" s="1" t="s">
        <v>670</v>
      </c>
      <c r="N220" s="3" t="s">
        <v>1535</v>
      </c>
      <c r="O220" s="1" t="s">
        <v>1536</v>
      </c>
      <c r="P220" s="1" t="s">
        <v>1537</v>
      </c>
      <c r="Q220" s="1" t="s">
        <v>447</v>
      </c>
      <c r="R220" s="4"/>
    </row>
    <row r="221" spans="1:18" x14ac:dyDescent="0.25">
      <c r="A221" s="1" t="s">
        <v>13</v>
      </c>
      <c r="B221" s="1" t="s">
        <v>1538</v>
      </c>
      <c r="C221" s="1" t="s">
        <v>1539</v>
      </c>
      <c r="D221" s="1" t="s">
        <v>1540</v>
      </c>
      <c r="E221" s="1">
        <v>2022</v>
      </c>
      <c r="F221" s="1">
        <v>13</v>
      </c>
      <c r="G221" s="1">
        <v>1</v>
      </c>
      <c r="H221" s="4"/>
      <c r="I221" s="1" t="s">
        <v>1465</v>
      </c>
      <c r="J221" s="1">
        <v>2022</v>
      </c>
      <c r="K221" s="4"/>
      <c r="L221" s="4"/>
      <c r="M221" s="1" t="s">
        <v>1541</v>
      </c>
      <c r="N221" s="3" t="s">
        <v>1542</v>
      </c>
      <c r="O221" s="1" t="s">
        <v>1543</v>
      </c>
      <c r="P221" s="1" t="s">
        <v>1544</v>
      </c>
      <c r="Q221" s="1" t="s">
        <v>157</v>
      </c>
      <c r="R221" s="4"/>
    </row>
    <row r="222" spans="1:18" x14ac:dyDescent="0.25">
      <c r="A222" s="1" t="s">
        <v>13</v>
      </c>
      <c r="B222" s="1" t="s">
        <v>1545</v>
      </c>
      <c r="C222" s="1" t="s">
        <v>1546</v>
      </c>
      <c r="D222" s="1" t="s">
        <v>1547</v>
      </c>
      <c r="E222" s="1">
        <v>2022</v>
      </c>
      <c r="F222" s="1">
        <v>881</v>
      </c>
      <c r="G222" s="4"/>
      <c r="H222" s="1" t="s">
        <v>1548</v>
      </c>
      <c r="I222" s="1" t="s">
        <v>212</v>
      </c>
      <c r="J222" s="1">
        <v>2022</v>
      </c>
      <c r="K222" s="4"/>
      <c r="L222" s="4"/>
      <c r="M222" s="1" t="s">
        <v>1549</v>
      </c>
      <c r="N222" s="3" t="s">
        <v>1550</v>
      </c>
      <c r="O222" s="1" t="s">
        <v>1551</v>
      </c>
      <c r="P222" s="1" t="s">
        <v>1552</v>
      </c>
      <c r="Q222" s="1" t="s">
        <v>157</v>
      </c>
      <c r="R222" s="4"/>
    </row>
    <row r="223" spans="1:18" x14ac:dyDescent="0.25">
      <c r="A223" s="1" t="s">
        <v>13</v>
      </c>
      <c r="B223" s="1" t="s">
        <v>1553</v>
      </c>
      <c r="C223" s="1" t="s">
        <v>1554</v>
      </c>
      <c r="D223" s="1" t="s">
        <v>668</v>
      </c>
      <c r="E223" s="1">
        <v>2022</v>
      </c>
      <c r="F223" s="1">
        <v>10</v>
      </c>
      <c r="G223" s="4"/>
      <c r="H223" s="1" t="s">
        <v>1555</v>
      </c>
      <c r="I223" s="1" t="s">
        <v>257</v>
      </c>
      <c r="J223" s="1">
        <v>2022</v>
      </c>
      <c r="K223" s="4"/>
      <c r="L223" s="4"/>
      <c r="M223" s="1" t="s">
        <v>670</v>
      </c>
      <c r="N223" s="3" t="s">
        <v>1556</v>
      </c>
      <c r="O223" s="1" t="s">
        <v>1557</v>
      </c>
      <c r="P223" s="1" t="s">
        <v>1558</v>
      </c>
      <c r="Q223" s="1" t="s">
        <v>896</v>
      </c>
      <c r="R223" s="4"/>
    </row>
    <row r="224" spans="1:18" x14ac:dyDescent="0.25">
      <c r="A224" s="1" t="s">
        <v>13</v>
      </c>
      <c r="B224" s="1" t="s">
        <v>1559</v>
      </c>
      <c r="C224" s="1" t="s">
        <v>1560</v>
      </c>
      <c r="D224" s="1" t="s">
        <v>354</v>
      </c>
      <c r="E224" s="1">
        <v>2021</v>
      </c>
      <c r="F224" s="1">
        <v>180</v>
      </c>
      <c r="G224" s="4"/>
      <c r="H224" s="4"/>
      <c r="I224" s="1" t="s">
        <v>355</v>
      </c>
      <c r="J224" s="1">
        <v>2021</v>
      </c>
      <c r="K224" s="4"/>
      <c r="L224" s="4"/>
      <c r="M224" s="1" t="s">
        <v>65</v>
      </c>
      <c r="N224" s="3" t="s">
        <v>1561</v>
      </c>
      <c r="O224" s="1" t="s">
        <v>1562</v>
      </c>
      <c r="P224" s="1" t="s">
        <v>1563</v>
      </c>
      <c r="Q224" s="1" t="s">
        <v>176</v>
      </c>
      <c r="R224" s="4"/>
    </row>
    <row r="225" spans="1:18" x14ac:dyDescent="0.25">
      <c r="A225" s="1" t="s">
        <v>13</v>
      </c>
      <c r="B225" s="1" t="s">
        <v>1564</v>
      </c>
      <c r="C225" s="1" t="s">
        <v>1565</v>
      </c>
      <c r="D225" s="1" t="s">
        <v>1566</v>
      </c>
      <c r="E225" s="1">
        <v>2021</v>
      </c>
      <c r="F225" s="1">
        <v>93</v>
      </c>
      <c r="G225" s="1">
        <v>12</v>
      </c>
      <c r="H225" s="1" t="s">
        <v>1567</v>
      </c>
      <c r="I225" s="1" t="s">
        <v>1568</v>
      </c>
      <c r="J225" s="1">
        <v>2021</v>
      </c>
      <c r="K225" s="4"/>
      <c r="L225" s="4"/>
      <c r="M225" s="1" t="s">
        <v>1569</v>
      </c>
      <c r="N225" s="3" t="s">
        <v>1570</v>
      </c>
      <c r="O225" s="1" t="s">
        <v>1571</v>
      </c>
      <c r="P225" s="1" t="s">
        <v>1572</v>
      </c>
      <c r="Q225" s="1" t="s">
        <v>1573</v>
      </c>
      <c r="R225" s="4"/>
    </row>
    <row r="226" spans="1:18" x14ac:dyDescent="0.25">
      <c r="A226" s="1" t="s">
        <v>13</v>
      </c>
      <c r="B226" s="1" t="s">
        <v>1574</v>
      </c>
      <c r="C226" s="1" t="s">
        <v>1575</v>
      </c>
      <c r="D226" s="1" t="s">
        <v>668</v>
      </c>
      <c r="E226" s="1">
        <v>2022</v>
      </c>
      <c r="F226" s="1">
        <v>10</v>
      </c>
      <c r="G226" s="4"/>
      <c r="H226" s="1" t="s">
        <v>1576</v>
      </c>
      <c r="I226" s="1" t="s">
        <v>257</v>
      </c>
      <c r="J226" s="1">
        <v>2022</v>
      </c>
      <c r="K226" s="4"/>
      <c r="L226" s="4"/>
      <c r="M226" s="1" t="s">
        <v>670</v>
      </c>
      <c r="N226" s="3" t="s">
        <v>1577</v>
      </c>
      <c r="O226" s="1" t="s">
        <v>1578</v>
      </c>
      <c r="P226" s="1" t="s">
        <v>1579</v>
      </c>
      <c r="Q226" s="1" t="s">
        <v>233</v>
      </c>
      <c r="R226" s="4"/>
    </row>
    <row r="227" spans="1:18" x14ac:dyDescent="0.25">
      <c r="A227" s="1" t="s">
        <v>13</v>
      </c>
      <c r="B227" s="1" t="s">
        <v>1580</v>
      </c>
      <c r="C227" s="1" t="s">
        <v>1581</v>
      </c>
      <c r="D227" s="1" t="s">
        <v>555</v>
      </c>
      <c r="E227" s="1">
        <v>2022</v>
      </c>
      <c r="F227" s="1">
        <v>13</v>
      </c>
      <c r="G227" s="1">
        <v>2</v>
      </c>
      <c r="H227" s="1" t="s">
        <v>1582</v>
      </c>
      <c r="I227" s="1" t="s">
        <v>557</v>
      </c>
      <c r="J227" s="1">
        <v>2022</v>
      </c>
      <c r="K227" s="4"/>
      <c r="L227" s="4"/>
      <c r="M227" s="1" t="s">
        <v>558</v>
      </c>
      <c r="N227" s="3" t="s">
        <v>1583</v>
      </c>
      <c r="O227" s="1" t="s">
        <v>1584</v>
      </c>
      <c r="P227" s="1" t="s">
        <v>1585</v>
      </c>
      <c r="Q227" s="1" t="s">
        <v>285</v>
      </c>
      <c r="R227" s="4"/>
    </row>
    <row r="228" spans="1:18" x14ac:dyDescent="0.25">
      <c r="A228" s="1" t="s">
        <v>141</v>
      </c>
      <c r="B228" s="1" t="s">
        <v>1166</v>
      </c>
      <c r="C228" s="1" t="s">
        <v>1586</v>
      </c>
      <c r="D228" s="4"/>
      <c r="E228" s="1">
        <v>2022</v>
      </c>
      <c r="F228" s="4"/>
      <c r="G228" s="4"/>
      <c r="H228" s="1" t="s">
        <v>1587</v>
      </c>
      <c r="I228" s="1" t="s">
        <v>257</v>
      </c>
      <c r="J228" s="1">
        <v>2022</v>
      </c>
      <c r="K228" s="1">
        <v>9781450392754</v>
      </c>
      <c r="L228" s="4"/>
      <c r="M228" s="4"/>
      <c r="N228" s="3" t="s">
        <v>1588</v>
      </c>
      <c r="O228" s="1" t="s">
        <v>1589</v>
      </c>
      <c r="P228" s="1" t="s">
        <v>1590</v>
      </c>
      <c r="Q228" s="1" t="s">
        <v>1591</v>
      </c>
      <c r="R228" s="4"/>
    </row>
    <row r="229" spans="1:18" x14ac:dyDescent="0.25">
      <c r="A229" s="1" t="s">
        <v>141</v>
      </c>
      <c r="B229" s="1" t="s">
        <v>1592</v>
      </c>
      <c r="C229" s="1" t="s">
        <v>1593</v>
      </c>
      <c r="D229" s="4"/>
      <c r="E229" s="1">
        <v>2021</v>
      </c>
      <c r="F229" s="4"/>
      <c r="G229" s="4"/>
      <c r="H229" s="1" t="s">
        <v>1594</v>
      </c>
      <c r="I229" s="1" t="s">
        <v>153</v>
      </c>
      <c r="J229" s="1">
        <v>2021</v>
      </c>
      <c r="K229" s="1">
        <v>9781450385626</v>
      </c>
      <c r="L229" s="4"/>
      <c r="M229" s="4"/>
      <c r="N229" s="3" t="s">
        <v>1595</v>
      </c>
      <c r="O229" s="1" t="s">
        <v>1596</v>
      </c>
      <c r="P229" s="1" t="s">
        <v>1597</v>
      </c>
      <c r="Q229" s="1" t="s">
        <v>1598</v>
      </c>
      <c r="R229" s="4"/>
    </row>
    <row r="230" spans="1:18" x14ac:dyDescent="0.25">
      <c r="A230" s="1" t="s">
        <v>13</v>
      </c>
      <c r="B230" s="1" t="s">
        <v>1599</v>
      </c>
      <c r="C230" s="1" t="s">
        <v>1600</v>
      </c>
      <c r="D230" s="1" t="s">
        <v>354</v>
      </c>
      <c r="E230" s="1">
        <v>2022</v>
      </c>
      <c r="F230" s="1">
        <v>183</v>
      </c>
      <c r="G230" s="4"/>
      <c r="H230" s="4"/>
      <c r="I230" s="1" t="s">
        <v>355</v>
      </c>
      <c r="J230" s="1">
        <v>2022</v>
      </c>
      <c r="K230" s="4"/>
      <c r="L230" s="4"/>
      <c r="M230" s="1" t="s">
        <v>65</v>
      </c>
      <c r="N230" s="3" t="s">
        <v>1601</v>
      </c>
      <c r="O230" s="1" t="s">
        <v>1602</v>
      </c>
      <c r="P230" s="1" t="s">
        <v>1603</v>
      </c>
      <c r="Q230" s="1" t="s">
        <v>140</v>
      </c>
      <c r="R230" s="4"/>
    </row>
    <row r="231" spans="1:18" x14ac:dyDescent="0.25">
      <c r="A231" s="1" t="s">
        <v>141</v>
      </c>
      <c r="B231" s="1" t="s">
        <v>1604</v>
      </c>
      <c r="C231" s="1" t="s">
        <v>1605</v>
      </c>
      <c r="D231" s="4"/>
      <c r="E231" s="1">
        <v>2021</v>
      </c>
      <c r="F231" s="4"/>
      <c r="G231" s="4"/>
      <c r="H231" s="4"/>
      <c r="I231" s="1" t="s">
        <v>145</v>
      </c>
      <c r="J231" s="1">
        <v>2021</v>
      </c>
      <c r="K231" s="1">
        <v>9781450380966</v>
      </c>
      <c r="L231" s="4"/>
      <c r="M231" s="4"/>
      <c r="N231" s="3" t="s">
        <v>1606</v>
      </c>
      <c r="O231" s="1" t="s">
        <v>1607</v>
      </c>
      <c r="P231" s="1" t="s">
        <v>1608</v>
      </c>
      <c r="Q231" s="1" t="s">
        <v>1609</v>
      </c>
      <c r="R231" s="4"/>
    </row>
    <row r="232" spans="1:18" x14ac:dyDescent="0.25">
      <c r="A232" s="1" t="s">
        <v>141</v>
      </c>
      <c r="B232" s="1" t="s">
        <v>1610</v>
      </c>
      <c r="C232" s="1" t="s">
        <v>1611</v>
      </c>
      <c r="D232" s="4"/>
      <c r="E232" s="1">
        <v>2021</v>
      </c>
      <c r="F232" s="4"/>
      <c r="G232" s="4"/>
      <c r="H232" s="4"/>
      <c r="I232" s="1" t="s">
        <v>196</v>
      </c>
      <c r="J232" s="1">
        <v>2021</v>
      </c>
      <c r="K232" s="1">
        <v>9781450386654</v>
      </c>
      <c r="L232" s="4"/>
      <c r="M232" s="1" t="s">
        <v>197</v>
      </c>
      <c r="N232" s="3" t="s">
        <v>1612</v>
      </c>
      <c r="O232" s="1" t="s">
        <v>1613</v>
      </c>
      <c r="P232" s="1" t="s">
        <v>1614</v>
      </c>
      <c r="Q232" s="1" t="s">
        <v>318</v>
      </c>
      <c r="R232" s="4"/>
    </row>
    <row r="233" spans="1:18" x14ac:dyDescent="0.25">
      <c r="A233" s="1" t="s">
        <v>141</v>
      </c>
      <c r="B233" s="1" t="s">
        <v>1615</v>
      </c>
      <c r="C233" s="1" t="s">
        <v>1616</v>
      </c>
      <c r="D233" s="4"/>
      <c r="E233" s="1">
        <v>2021</v>
      </c>
      <c r="F233" s="4"/>
      <c r="G233" s="4"/>
      <c r="H233" s="1" t="s">
        <v>1617</v>
      </c>
      <c r="I233" s="1" t="s">
        <v>153</v>
      </c>
      <c r="J233" s="1">
        <v>2021</v>
      </c>
      <c r="K233" s="1">
        <v>9781450385626</v>
      </c>
      <c r="L233" s="4"/>
      <c r="M233" s="4"/>
      <c r="N233" s="3" t="s">
        <v>1618</v>
      </c>
      <c r="O233" s="1" t="s">
        <v>1619</v>
      </c>
      <c r="P233" s="1" t="s">
        <v>1620</v>
      </c>
      <c r="Q233" s="1" t="s">
        <v>185</v>
      </c>
      <c r="R233" s="4"/>
    </row>
    <row r="234" spans="1:18" x14ac:dyDescent="0.25">
      <c r="A234" s="1" t="s">
        <v>13</v>
      </c>
      <c r="B234" s="1" t="s">
        <v>1621</v>
      </c>
      <c r="C234" s="1" t="s">
        <v>1622</v>
      </c>
      <c r="D234" s="1" t="s">
        <v>1623</v>
      </c>
      <c r="E234" s="1">
        <v>2021</v>
      </c>
      <c r="F234" s="1">
        <v>12</v>
      </c>
      <c r="G234" s="1">
        <v>1</v>
      </c>
      <c r="H234" s="4"/>
      <c r="I234" s="1" t="s">
        <v>212</v>
      </c>
      <c r="J234" s="1">
        <v>2021</v>
      </c>
      <c r="K234" s="4"/>
      <c r="L234" s="4"/>
      <c r="M234" s="1" t="s">
        <v>1624</v>
      </c>
      <c r="N234" s="3" t="s">
        <v>1625</v>
      </c>
      <c r="O234" s="1" t="s">
        <v>1626</v>
      </c>
      <c r="P234" s="1" t="s">
        <v>1627</v>
      </c>
      <c r="Q234" s="1" t="s">
        <v>447</v>
      </c>
      <c r="R234" s="4"/>
    </row>
    <row r="235" spans="1:18" x14ac:dyDescent="0.25">
      <c r="A235" s="1" t="s">
        <v>13</v>
      </c>
      <c r="B235" s="1" t="s">
        <v>1628</v>
      </c>
      <c r="C235" s="1" t="s">
        <v>1629</v>
      </c>
      <c r="D235" s="1" t="s">
        <v>209</v>
      </c>
      <c r="E235" s="1">
        <v>2022</v>
      </c>
      <c r="F235" s="1" t="s">
        <v>1630</v>
      </c>
      <c r="G235" s="4"/>
      <c r="H235" s="1" t="s">
        <v>1631</v>
      </c>
      <c r="I235" s="1" t="s">
        <v>212</v>
      </c>
      <c r="J235" s="1">
        <v>2022</v>
      </c>
      <c r="K235" s="4"/>
      <c r="L235" s="4"/>
      <c r="M235" s="1" t="s">
        <v>213</v>
      </c>
      <c r="N235" s="3" t="s">
        <v>1632</v>
      </c>
      <c r="O235" s="1" t="s">
        <v>1633</v>
      </c>
      <c r="P235" s="1" t="s">
        <v>1634</v>
      </c>
      <c r="Q235" s="1" t="s">
        <v>404</v>
      </c>
      <c r="R235" s="4"/>
    </row>
    <row r="236" spans="1:18" x14ac:dyDescent="0.25">
      <c r="A236" s="1" t="s">
        <v>13</v>
      </c>
      <c r="B236" s="1" t="s">
        <v>1635</v>
      </c>
      <c r="C236" s="1" t="s">
        <v>1636</v>
      </c>
      <c r="D236" s="1" t="s">
        <v>1637</v>
      </c>
      <c r="E236" s="1">
        <v>2021</v>
      </c>
      <c r="F236" s="1">
        <v>3</v>
      </c>
      <c r="G236" s="1">
        <v>2</v>
      </c>
      <c r="H236" s="1" t="s">
        <v>1638</v>
      </c>
      <c r="I236" s="1" t="s">
        <v>228</v>
      </c>
      <c r="J236" s="1">
        <v>2021</v>
      </c>
      <c r="K236" s="4"/>
      <c r="L236" s="4"/>
      <c r="M236" s="1" t="s">
        <v>1639</v>
      </c>
      <c r="N236" s="3" t="s">
        <v>1640</v>
      </c>
      <c r="O236" s="1" t="s">
        <v>1641</v>
      </c>
      <c r="P236" s="1" t="s">
        <v>1642</v>
      </c>
      <c r="Q236" s="1" t="s">
        <v>1643</v>
      </c>
      <c r="R236" s="4"/>
    </row>
    <row r="237" spans="1:18" x14ac:dyDescent="0.25">
      <c r="A237" s="1" t="s">
        <v>141</v>
      </c>
      <c r="B237" s="1" t="s">
        <v>1644</v>
      </c>
      <c r="C237" s="8" t="s">
        <v>1645</v>
      </c>
      <c r="D237" s="4"/>
      <c r="E237" s="1">
        <v>2022</v>
      </c>
      <c r="F237" s="4"/>
      <c r="G237" s="4"/>
      <c r="H237" s="1" t="s">
        <v>1646</v>
      </c>
      <c r="I237" s="1" t="s">
        <v>196</v>
      </c>
      <c r="J237" s="1">
        <v>2022</v>
      </c>
      <c r="K237" s="1">
        <v>9781665495905</v>
      </c>
      <c r="L237" s="4"/>
      <c r="M237" s="1" t="s">
        <v>1458</v>
      </c>
      <c r="N237" s="3" t="s">
        <v>1647</v>
      </c>
      <c r="O237" s="1" t="s">
        <v>1648</v>
      </c>
      <c r="P237" s="1" t="s">
        <v>1649</v>
      </c>
      <c r="Q237" s="1" t="s">
        <v>404</v>
      </c>
      <c r="R237" s="4"/>
    </row>
    <row r="238" spans="1:18" x14ac:dyDescent="0.25">
      <c r="A238" s="1" t="s">
        <v>141</v>
      </c>
      <c r="B238" s="1" t="s">
        <v>1650</v>
      </c>
      <c r="C238" s="1" t="s">
        <v>1651</v>
      </c>
      <c r="D238" s="4"/>
      <c r="E238" s="1">
        <v>2021</v>
      </c>
      <c r="F238" s="4"/>
      <c r="G238" s="4"/>
      <c r="H238" s="1" t="s">
        <v>1652</v>
      </c>
      <c r="I238" s="1" t="s">
        <v>145</v>
      </c>
      <c r="J238" s="1">
        <v>2021</v>
      </c>
      <c r="K238" s="1">
        <v>9781450390538</v>
      </c>
      <c r="L238" s="4"/>
      <c r="M238" s="4"/>
      <c r="N238" s="3" t="s">
        <v>1653</v>
      </c>
      <c r="O238" s="1" t="s">
        <v>1654</v>
      </c>
      <c r="P238" s="1" t="s">
        <v>1655</v>
      </c>
      <c r="Q238" s="1" t="s">
        <v>1656</v>
      </c>
      <c r="R238" s="4"/>
    </row>
    <row r="239" spans="1:18" x14ac:dyDescent="0.25">
      <c r="A239" s="1" t="s">
        <v>141</v>
      </c>
      <c r="B239" s="1" t="s">
        <v>1657</v>
      </c>
      <c r="C239" s="1" t="s">
        <v>1658</v>
      </c>
      <c r="D239" s="4"/>
      <c r="E239" s="1">
        <v>2021</v>
      </c>
      <c r="F239" s="4"/>
      <c r="G239" s="4"/>
      <c r="H239" s="1" t="s">
        <v>1659</v>
      </c>
      <c r="I239" s="1" t="s">
        <v>257</v>
      </c>
      <c r="J239" s="1">
        <v>2021</v>
      </c>
      <c r="K239" s="1">
        <v>9781665414050</v>
      </c>
      <c r="L239" s="4"/>
      <c r="M239" s="4"/>
      <c r="N239" s="3" t="s">
        <v>1660</v>
      </c>
      <c r="O239" s="1" t="s">
        <v>1661</v>
      </c>
      <c r="P239" s="1" t="s">
        <v>1662</v>
      </c>
      <c r="Q239" s="1" t="s">
        <v>1404</v>
      </c>
      <c r="R239" s="4"/>
    </row>
    <row r="240" spans="1:18" x14ac:dyDescent="0.25">
      <c r="A240" s="1" t="s">
        <v>141</v>
      </c>
      <c r="B240" s="1" t="s">
        <v>1663</v>
      </c>
      <c r="C240" s="1" t="s">
        <v>1664</v>
      </c>
      <c r="D240" s="4"/>
      <c r="E240" s="1">
        <v>2022</v>
      </c>
      <c r="F240" s="4"/>
      <c r="G240" s="4"/>
      <c r="H240" s="1" t="s">
        <v>1665</v>
      </c>
      <c r="I240" s="1" t="s">
        <v>257</v>
      </c>
      <c r="J240" s="1">
        <v>2022</v>
      </c>
      <c r="K240" s="1">
        <v>9781450392754</v>
      </c>
      <c r="L240" s="4"/>
      <c r="M240" s="4"/>
      <c r="N240" s="3" t="s">
        <v>1666</v>
      </c>
      <c r="O240" s="1" t="s">
        <v>1667</v>
      </c>
      <c r="P240" s="1" t="s">
        <v>1668</v>
      </c>
      <c r="Q240" s="1" t="s">
        <v>999</v>
      </c>
      <c r="R240" s="4"/>
    </row>
    <row r="241" spans="1:18" x14ac:dyDescent="0.25">
      <c r="A241" s="1" t="s">
        <v>13</v>
      </c>
      <c r="B241" s="1" t="s">
        <v>1669</v>
      </c>
      <c r="C241" s="1" t="s">
        <v>1670</v>
      </c>
      <c r="D241" s="1" t="s">
        <v>1671</v>
      </c>
      <c r="E241" s="1">
        <v>2021</v>
      </c>
      <c r="F241" s="1">
        <v>13</v>
      </c>
      <c r="G241" s="1">
        <v>18</v>
      </c>
      <c r="H241" s="4"/>
      <c r="I241" s="1" t="s">
        <v>228</v>
      </c>
      <c r="J241" s="1">
        <v>2021</v>
      </c>
      <c r="K241" s="4"/>
      <c r="L241" s="4"/>
      <c r="M241" s="1" t="s">
        <v>1672</v>
      </c>
      <c r="N241" s="3" t="s">
        <v>1673</v>
      </c>
      <c r="O241" s="1" t="s">
        <v>1674</v>
      </c>
      <c r="P241" s="1" t="s">
        <v>1675</v>
      </c>
      <c r="Q241" s="1" t="s">
        <v>1676</v>
      </c>
      <c r="R241" s="4"/>
    </row>
    <row r="242" spans="1:18" x14ac:dyDescent="0.25">
      <c r="A242" s="1" t="s">
        <v>13</v>
      </c>
      <c r="B242" s="1" t="s">
        <v>1677</v>
      </c>
      <c r="C242" s="1" t="s">
        <v>1678</v>
      </c>
      <c r="D242" s="1" t="s">
        <v>676</v>
      </c>
      <c r="E242" s="1">
        <v>2022</v>
      </c>
      <c r="F242" s="1" t="s">
        <v>1679</v>
      </c>
      <c r="G242" s="4"/>
      <c r="H242" s="1" t="s">
        <v>1680</v>
      </c>
      <c r="I242" s="1" t="s">
        <v>212</v>
      </c>
      <c r="J242" s="1">
        <v>2022</v>
      </c>
      <c r="K242" s="4"/>
      <c r="L242" s="4"/>
      <c r="M242" s="1" t="s">
        <v>679</v>
      </c>
      <c r="N242" s="3" t="s">
        <v>1681</v>
      </c>
      <c r="O242" s="1" t="s">
        <v>1682</v>
      </c>
      <c r="P242" s="1" t="s">
        <v>1683</v>
      </c>
      <c r="Q242" s="1" t="s">
        <v>176</v>
      </c>
      <c r="R242" s="4"/>
    </row>
    <row r="243" spans="1:18" x14ac:dyDescent="0.25">
      <c r="A243" s="1" t="s">
        <v>13</v>
      </c>
      <c r="B243" s="1" t="s">
        <v>1684</v>
      </c>
      <c r="C243" s="1" t="s">
        <v>1685</v>
      </c>
      <c r="D243" s="1" t="s">
        <v>1686</v>
      </c>
      <c r="E243" s="1">
        <v>2021</v>
      </c>
      <c r="F243" s="1">
        <v>8</v>
      </c>
      <c r="G243" s="1">
        <v>22</v>
      </c>
      <c r="H243" s="1" t="s">
        <v>1687</v>
      </c>
      <c r="I243" s="1" t="s">
        <v>257</v>
      </c>
      <c r="J243" s="1">
        <v>2021</v>
      </c>
      <c r="K243" s="4"/>
      <c r="L243" s="4"/>
      <c r="M243" s="1" t="s">
        <v>1688</v>
      </c>
      <c r="N243" s="3" t="s">
        <v>1689</v>
      </c>
      <c r="O243" s="1" t="s">
        <v>1690</v>
      </c>
      <c r="P243" s="1" t="s">
        <v>1691</v>
      </c>
      <c r="Q243" s="1" t="s">
        <v>1598</v>
      </c>
      <c r="R243" s="4"/>
    </row>
    <row r="244" spans="1:18" x14ac:dyDescent="0.25">
      <c r="A244" s="1" t="s">
        <v>13</v>
      </c>
      <c r="B244" s="1" t="s">
        <v>1692</v>
      </c>
      <c r="C244" s="1" t="s">
        <v>1693</v>
      </c>
      <c r="D244" s="1" t="s">
        <v>209</v>
      </c>
      <c r="E244" s="1">
        <v>2022</v>
      </c>
      <c r="F244" s="1" t="s">
        <v>1694</v>
      </c>
      <c r="G244" s="4"/>
      <c r="H244" s="1" t="s">
        <v>1695</v>
      </c>
      <c r="I244" s="1" t="s">
        <v>212</v>
      </c>
      <c r="J244" s="1">
        <v>2022</v>
      </c>
      <c r="K244" s="4"/>
      <c r="L244" s="4"/>
      <c r="M244" s="1" t="s">
        <v>213</v>
      </c>
      <c r="N244" s="3" t="s">
        <v>1696</v>
      </c>
      <c r="O244" s="1" t="s">
        <v>1697</v>
      </c>
      <c r="P244" s="1" t="s">
        <v>1698</v>
      </c>
      <c r="Q244" s="1" t="s">
        <v>157</v>
      </c>
      <c r="R244" s="4"/>
    </row>
    <row r="245" spans="1:18" x14ac:dyDescent="0.25">
      <c r="A245" s="1" t="s">
        <v>141</v>
      </c>
      <c r="B245" s="1" t="s">
        <v>1699</v>
      </c>
      <c r="C245" s="1" t="s">
        <v>1700</v>
      </c>
      <c r="D245" s="4"/>
      <c r="E245" s="1">
        <v>2022</v>
      </c>
      <c r="F245" s="4"/>
      <c r="G245" s="4"/>
      <c r="H245" s="1" t="s">
        <v>1701</v>
      </c>
      <c r="I245" s="1" t="s">
        <v>257</v>
      </c>
      <c r="J245" s="1">
        <v>2022</v>
      </c>
      <c r="K245" s="1">
        <v>9781450392754</v>
      </c>
      <c r="L245" s="4"/>
      <c r="M245" s="4"/>
      <c r="N245" s="3" t="s">
        <v>1702</v>
      </c>
      <c r="O245" s="1" t="s">
        <v>1703</v>
      </c>
      <c r="P245" s="1" t="s">
        <v>1704</v>
      </c>
      <c r="Q245" s="1" t="s">
        <v>568</v>
      </c>
      <c r="R245" s="4"/>
    </row>
    <row r="246" spans="1:18" x14ac:dyDescent="0.25">
      <c r="A246" s="1" t="s">
        <v>13</v>
      </c>
      <c r="B246" s="1" t="s">
        <v>1705</v>
      </c>
      <c r="C246" s="1" t="s">
        <v>1706</v>
      </c>
      <c r="D246" s="1" t="s">
        <v>255</v>
      </c>
      <c r="E246" s="1">
        <v>2022</v>
      </c>
      <c r="F246" s="1">
        <v>48</v>
      </c>
      <c r="G246" s="1">
        <v>1</v>
      </c>
      <c r="H246" s="4"/>
      <c r="I246" s="1" t="s">
        <v>257</v>
      </c>
      <c r="J246" s="1">
        <v>2022</v>
      </c>
      <c r="K246" s="4"/>
      <c r="L246" s="4"/>
      <c r="M246" s="1" t="s">
        <v>18</v>
      </c>
      <c r="N246" s="3" t="s">
        <v>1707</v>
      </c>
      <c r="O246" s="1" t="s">
        <v>1708</v>
      </c>
      <c r="P246" s="1" t="s">
        <v>1709</v>
      </c>
      <c r="Q246" s="1" t="s">
        <v>1710</v>
      </c>
      <c r="R246" s="4"/>
    </row>
    <row r="247" spans="1:18" x14ac:dyDescent="0.25">
      <c r="A247" s="1" t="s">
        <v>13</v>
      </c>
      <c r="B247" s="1" t="s">
        <v>1711</v>
      </c>
      <c r="C247" s="1" t="s">
        <v>1712</v>
      </c>
      <c r="D247" s="1" t="s">
        <v>1713</v>
      </c>
      <c r="E247" s="1">
        <v>2022</v>
      </c>
      <c r="F247" s="1">
        <v>36</v>
      </c>
      <c r="G247" s="1">
        <v>1</v>
      </c>
      <c r="H247" s="4"/>
      <c r="I247" s="1" t="s">
        <v>1714</v>
      </c>
      <c r="J247" s="1">
        <v>2022</v>
      </c>
      <c r="K247" s="4"/>
      <c r="L247" s="4"/>
      <c r="M247" s="1" t="s">
        <v>1715</v>
      </c>
      <c r="N247" s="3" t="s">
        <v>1716</v>
      </c>
      <c r="O247" s="1" t="s">
        <v>1717</v>
      </c>
      <c r="P247" s="1" t="s">
        <v>1718</v>
      </c>
      <c r="Q247" s="1" t="s">
        <v>140</v>
      </c>
      <c r="R247" s="4"/>
    </row>
    <row r="248" spans="1:18" x14ac:dyDescent="0.25">
      <c r="A248" s="1" t="s">
        <v>13</v>
      </c>
      <c r="B248" s="1" t="s">
        <v>1719</v>
      </c>
      <c r="C248" s="1" t="s">
        <v>1720</v>
      </c>
      <c r="D248" s="1" t="s">
        <v>1721</v>
      </c>
      <c r="E248" s="1">
        <v>2021</v>
      </c>
      <c r="F248" s="1">
        <v>63</v>
      </c>
      <c r="G248" s="1">
        <v>4</v>
      </c>
      <c r="H248" s="1" t="s">
        <v>1722</v>
      </c>
      <c r="I248" s="1" t="s">
        <v>590</v>
      </c>
      <c r="J248" s="1">
        <v>2021</v>
      </c>
      <c r="K248" s="4"/>
      <c r="L248" s="4"/>
      <c r="M248" s="1" t="s">
        <v>1723</v>
      </c>
      <c r="N248" s="3" t="s">
        <v>1724</v>
      </c>
      <c r="O248" s="1" t="s">
        <v>1725</v>
      </c>
      <c r="P248" s="1" t="s">
        <v>1726</v>
      </c>
      <c r="Q248" s="1" t="s">
        <v>585</v>
      </c>
      <c r="R248" s="4"/>
    </row>
    <row r="249" spans="1:18" x14ac:dyDescent="0.25">
      <c r="A249" s="1" t="s">
        <v>13</v>
      </c>
      <c r="B249" s="1" t="s">
        <v>1727</v>
      </c>
      <c r="C249" s="1" t="s">
        <v>1728</v>
      </c>
      <c r="D249" s="1" t="s">
        <v>255</v>
      </c>
      <c r="E249" s="1">
        <v>2021</v>
      </c>
      <c r="F249" s="1">
        <v>47</v>
      </c>
      <c r="G249" s="1">
        <v>6</v>
      </c>
      <c r="H249" s="1" t="s">
        <v>1729</v>
      </c>
      <c r="I249" s="1" t="s">
        <v>257</v>
      </c>
      <c r="J249" s="1">
        <v>2021</v>
      </c>
      <c r="K249" s="4"/>
      <c r="L249" s="4"/>
      <c r="M249" s="1" t="s">
        <v>18</v>
      </c>
      <c r="N249" s="3" t="s">
        <v>1730</v>
      </c>
      <c r="O249" s="1" t="s">
        <v>1731</v>
      </c>
      <c r="P249" s="1" t="s">
        <v>1732</v>
      </c>
      <c r="Q249" s="1" t="s">
        <v>1733</v>
      </c>
      <c r="R249" s="4"/>
    </row>
    <row r="250" spans="1:18" x14ac:dyDescent="0.25">
      <c r="A250" s="1" t="s">
        <v>141</v>
      </c>
      <c r="B250" s="1" t="s">
        <v>1734</v>
      </c>
      <c r="C250" s="1" t="s">
        <v>1735</v>
      </c>
      <c r="D250" s="4"/>
      <c r="E250" s="1">
        <v>2021</v>
      </c>
      <c r="F250" s="4"/>
      <c r="G250" s="4"/>
      <c r="H250" s="1" t="s">
        <v>1736</v>
      </c>
      <c r="I250" s="1" t="s">
        <v>257</v>
      </c>
      <c r="J250" s="1">
        <v>2021</v>
      </c>
      <c r="K250" s="1">
        <v>9781728187105</v>
      </c>
      <c r="L250" s="4"/>
      <c r="M250" s="4"/>
      <c r="N250" s="3" t="s">
        <v>1737</v>
      </c>
      <c r="O250" s="1" t="s">
        <v>1738</v>
      </c>
      <c r="P250" s="1" t="s">
        <v>1739</v>
      </c>
      <c r="Q250" s="1" t="s">
        <v>1740</v>
      </c>
      <c r="R250" s="4"/>
    </row>
    <row r="251" spans="1:18" x14ac:dyDescent="0.25">
      <c r="A251" s="1" t="s">
        <v>141</v>
      </c>
      <c r="B251" s="1" t="s">
        <v>1741</v>
      </c>
      <c r="C251" s="1" t="s">
        <v>1742</v>
      </c>
      <c r="D251" s="4"/>
      <c r="E251" s="1">
        <v>2022</v>
      </c>
      <c r="F251" s="4"/>
      <c r="G251" s="4"/>
      <c r="H251" s="1" t="s">
        <v>1743</v>
      </c>
      <c r="I251" s="1" t="s">
        <v>257</v>
      </c>
      <c r="J251" s="1">
        <v>2022</v>
      </c>
      <c r="K251" s="1">
        <v>9781665496285</v>
      </c>
      <c r="L251" s="4"/>
      <c r="M251" s="4"/>
      <c r="N251" s="3" t="s">
        <v>1744</v>
      </c>
      <c r="O251" s="1" t="s">
        <v>1745</v>
      </c>
      <c r="P251" s="1" t="s">
        <v>1746</v>
      </c>
      <c r="Q251" s="1" t="s">
        <v>404</v>
      </c>
      <c r="R251" s="4"/>
    </row>
    <row r="252" spans="1:18" x14ac:dyDescent="0.25">
      <c r="A252" s="1" t="s">
        <v>141</v>
      </c>
      <c r="B252" s="1" t="s">
        <v>1747</v>
      </c>
      <c r="C252" s="1" t="s">
        <v>1748</v>
      </c>
      <c r="D252" s="4"/>
      <c r="E252" s="1">
        <v>2022</v>
      </c>
      <c r="F252" s="4"/>
      <c r="G252" s="4"/>
      <c r="H252" s="1" t="s">
        <v>1749</v>
      </c>
      <c r="I252" s="1" t="s">
        <v>257</v>
      </c>
      <c r="J252" s="1">
        <v>2022</v>
      </c>
      <c r="K252" s="1">
        <v>9781450392754</v>
      </c>
      <c r="L252" s="4"/>
      <c r="M252" s="4"/>
      <c r="N252" s="3" t="s">
        <v>1750</v>
      </c>
      <c r="O252" s="1" t="s">
        <v>1751</v>
      </c>
      <c r="P252" s="1" t="s">
        <v>1752</v>
      </c>
      <c r="Q252" s="1" t="s">
        <v>568</v>
      </c>
      <c r="R252" s="4"/>
    </row>
    <row r="253" spans="1:18" x14ac:dyDescent="0.25">
      <c r="A253" s="1" t="s">
        <v>13</v>
      </c>
      <c r="B253" s="1" t="s">
        <v>1753</v>
      </c>
      <c r="C253" s="1" t="s">
        <v>1754</v>
      </c>
      <c r="D253" s="1" t="s">
        <v>598</v>
      </c>
      <c r="E253" s="1">
        <v>2022</v>
      </c>
      <c r="F253" s="1">
        <v>33</v>
      </c>
      <c r="G253" s="1">
        <v>1</v>
      </c>
      <c r="H253" s="1" t="s">
        <v>1755</v>
      </c>
      <c r="I253" s="1" t="s">
        <v>600</v>
      </c>
      <c r="J253" s="1">
        <v>2022</v>
      </c>
      <c r="K253" s="4"/>
      <c r="L253" s="4"/>
      <c r="M253" s="1" t="s">
        <v>601</v>
      </c>
      <c r="N253" s="3" t="s">
        <v>1756</v>
      </c>
      <c r="O253" s="1" t="s">
        <v>1757</v>
      </c>
      <c r="P253" s="1" t="s">
        <v>1758</v>
      </c>
      <c r="Q253" s="1" t="s">
        <v>157</v>
      </c>
      <c r="R253" s="4"/>
    </row>
    <row r="254" spans="1:18" x14ac:dyDescent="0.25">
      <c r="A254" s="1" t="s">
        <v>141</v>
      </c>
      <c r="B254" s="1" t="s">
        <v>1759</v>
      </c>
      <c r="C254" s="1" t="s">
        <v>1760</v>
      </c>
      <c r="D254" s="4"/>
      <c r="E254" s="1">
        <v>2021</v>
      </c>
      <c r="F254" s="4"/>
      <c r="G254" s="4"/>
      <c r="H254" s="1" t="s">
        <v>1761</v>
      </c>
      <c r="I254" s="1" t="s">
        <v>153</v>
      </c>
      <c r="J254" s="1">
        <v>2021</v>
      </c>
      <c r="K254" s="1">
        <v>9781450385626</v>
      </c>
      <c r="L254" s="4"/>
      <c r="M254" s="4"/>
      <c r="N254" s="3" t="s">
        <v>1762</v>
      </c>
      <c r="O254" s="1" t="s">
        <v>1763</v>
      </c>
      <c r="P254" s="1" t="s">
        <v>1764</v>
      </c>
      <c r="Q254" s="1" t="s">
        <v>1765</v>
      </c>
      <c r="R254" s="4"/>
    </row>
    <row r="255" spans="1:18" x14ac:dyDescent="0.25">
      <c r="A255" s="1" t="s">
        <v>13</v>
      </c>
      <c r="B255" s="1" t="s">
        <v>1766</v>
      </c>
      <c r="C255" s="1" t="s">
        <v>1767</v>
      </c>
      <c r="D255" s="1" t="s">
        <v>136</v>
      </c>
      <c r="E255" s="1">
        <v>2021</v>
      </c>
      <c r="F255" s="1">
        <v>26</v>
      </c>
      <c r="G255" s="1">
        <v>5</v>
      </c>
      <c r="H255" s="4"/>
      <c r="I255" s="1" t="s">
        <v>137</v>
      </c>
      <c r="J255" s="1">
        <v>2021</v>
      </c>
      <c r="K255" s="4"/>
      <c r="L255" s="4"/>
      <c r="M255" s="1" t="s">
        <v>33</v>
      </c>
      <c r="N255" s="3" t="s">
        <v>1768</v>
      </c>
      <c r="O255" s="1" t="s">
        <v>1769</v>
      </c>
      <c r="P255" s="1" t="s">
        <v>1770</v>
      </c>
      <c r="Q255" s="1" t="s">
        <v>157</v>
      </c>
      <c r="R255" s="4"/>
    </row>
    <row r="256" spans="1:18" x14ac:dyDescent="0.25">
      <c r="A256" s="1" t="s">
        <v>13</v>
      </c>
      <c r="B256" s="1" t="s">
        <v>1771</v>
      </c>
      <c r="C256" s="1" t="s">
        <v>1772</v>
      </c>
      <c r="D256" s="1" t="s">
        <v>1773</v>
      </c>
      <c r="E256" s="1">
        <v>2022</v>
      </c>
      <c r="F256" s="4"/>
      <c r="G256" s="4"/>
      <c r="H256" s="4"/>
      <c r="I256" s="1" t="s">
        <v>1714</v>
      </c>
      <c r="J256" s="1">
        <v>2022</v>
      </c>
      <c r="K256" s="4"/>
      <c r="L256" s="4"/>
      <c r="M256" s="1" t="s">
        <v>1774</v>
      </c>
      <c r="N256" s="3" t="s">
        <v>1775</v>
      </c>
      <c r="O256" s="1" t="s">
        <v>1776</v>
      </c>
      <c r="P256" s="1" t="s">
        <v>1777</v>
      </c>
      <c r="Q256" s="1" t="s">
        <v>585</v>
      </c>
      <c r="R256" s="4"/>
    </row>
    <row r="257" spans="1:18" x14ac:dyDescent="0.25">
      <c r="A257" s="1" t="s">
        <v>141</v>
      </c>
      <c r="B257" s="1" t="s">
        <v>1778</v>
      </c>
      <c r="C257" s="1" t="s">
        <v>1779</v>
      </c>
      <c r="D257" s="4"/>
      <c r="E257" s="1">
        <v>2022</v>
      </c>
      <c r="F257" s="4"/>
      <c r="G257" s="4"/>
      <c r="H257" s="1" t="s">
        <v>1780</v>
      </c>
      <c r="I257" s="1" t="s">
        <v>257</v>
      </c>
      <c r="J257" s="1">
        <v>2022</v>
      </c>
      <c r="K257" s="1">
        <v>9781665437868</v>
      </c>
      <c r="L257" s="4"/>
      <c r="M257" s="4"/>
      <c r="N257" s="3" t="s">
        <v>1781</v>
      </c>
      <c r="O257" s="1" t="s">
        <v>1782</v>
      </c>
      <c r="P257" s="1" t="s">
        <v>1783</v>
      </c>
      <c r="Q257" s="1" t="s">
        <v>289</v>
      </c>
      <c r="R257" s="4"/>
    </row>
    <row r="258" spans="1:18" x14ac:dyDescent="0.25">
      <c r="A258" s="1" t="s">
        <v>141</v>
      </c>
      <c r="B258" s="1" t="s">
        <v>1784</v>
      </c>
      <c r="C258" s="1" t="s">
        <v>1785</v>
      </c>
      <c r="D258" s="4"/>
      <c r="E258" s="1">
        <v>2021</v>
      </c>
      <c r="F258" s="4"/>
      <c r="G258" s="4"/>
      <c r="H258" s="1" t="s">
        <v>1786</v>
      </c>
      <c r="I258" s="1" t="s">
        <v>257</v>
      </c>
      <c r="J258" s="1">
        <v>2021</v>
      </c>
      <c r="K258" s="1">
        <v>9781665427050</v>
      </c>
      <c r="L258" s="4"/>
      <c r="M258" s="4"/>
      <c r="N258" s="3" t="s">
        <v>1787</v>
      </c>
      <c r="O258" s="1" t="s">
        <v>1788</v>
      </c>
      <c r="P258" s="1" t="s">
        <v>1789</v>
      </c>
      <c r="Q258" s="1" t="s">
        <v>397</v>
      </c>
      <c r="R258" s="4"/>
    </row>
    <row r="259" spans="1:18" x14ac:dyDescent="0.25">
      <c r="A259" s="1" t="s">
        <v>141</v>
      </c>
      <c r="B259" s="1" t="s">
        <v>1790</v>
      </c>
      <c r="C259" s="1" t="s">
        <v>1791</v>
      </c>
      <c r="D259" s="4"/>
      <c r="E259" s="1">
        <v>2022</v>
      </c>
      <c r="F259" s="4"/>
      <c r="G259" s="4"/>
      <c r="H259" s="1" t="s">
        <v>1792</v>
      </c>
      <c r="I259" s="1" t="s">
        <v>257</v>
      </c>
      <c r="J259" s="1">
        <v>2022</v>
      </c>
      <c r="K259" s="1">
        <v>9781665437868</v>
      </c>
      <c r="L259" s="4"/>
      <c r="M259" s="4"/>
      <c r="N259" s="3" t="s">
        <v>1793</v>
      </c>
      <c r="O259" s="1" t="s">
        <v>1794</v>
      </c>
      <c r="P259" s="1" t="s">
        <v>1795</v>
      </c>
      <c r="Q259" s="1" t="s">
        <v>157</v>
      </c>
      <c r="R259" s="4"/>
    </row>
    <row r="260" spans="1:18" x14ac:dyDescent="0.25">
      <c r="A260" s="1" t="s">
        <v>13</v>
      </c>
      <c r="B260" s="1" t="s">
        <v>1796</v>
      </c>
      <c r="C260" s="1" t="s">
        <v>1797</v>
      </c>
      <c r="D260" s="1" t="s">
        <v>227</v>
      </c>
      <c r="E260" s="1">
        <v>2021</v>
      </c>
      <c r="F260" s="1">
        <v>11</v>
      </c>
      <c r="G260" s="1">
        <v>17</v>
      </c>
      <c r="H260" s="4"/>
      <c r="I260" s="1" t="s">
        <v>228</v>
      </c>
      <c r="J260" s="1">
        <v>2021</v>
      </c>
      <c r="K260" s="4"/>
      <c r="L260" s="4"/>
      <c r="M260" s="1" t="s">
        <v>229</v>
      </c>
      <c r="N260" s="3" t="s">
        <v>1798</v>
      </c>
      <c r="O260" s="1" t="s">
        <v>1799</v>
      </c>
      <c r="P260" s="1" t="s">
        <v>1800</v>
      </c>
      <c r="Q260" s="1" t="s">
        <v>1801</v>
      </c>
      <c r="R260" s="4"/>
    </row>
    <row r="261" spans="1:18" x14ac:dyDescent="0.25">
      <c r="A261" s="1" t="s">
        <v>141</v>
      </c>
      <c r="B261" s="1" t="s">
        <v>1802</v>
      </c>
      <c r="C261" s="1" t="s">
        <v>1803</v>
      </c>
      <c r="D261" s="4"/>
      <c r="E261" s="1">
        <v>2022</v>
      </c>
      <c r="F261" s="4"/>
      <c r="G261" s="4"/>
      <c r="H261" s="1" t="s">
        <v>1804</v>
      </c>
      <c r="I261" s="1" t="s">
        <v>257</v>
      </c>
      <c r="J261" s="1">
        <v>2022</v>
      </c>
      <c r="K261" s="1">
        <v>9781665437868</v>
      </c>
      <c r="L261" s="4"/>
      <c r="M261" s="4"/>
      <c r="N261" s="3" t="s">
        <v>1805</v>
      </c>
      <c r="O261" s="1" t="s">
        <v>1806</v>
      </c>
      <c r="P261" s="1" t="s">
        <v>1807</v>
      </c>
      <c r="Q261" s="1" t="s">
        <v>289</v>
      </c>
      <c r="R261" s="4"/>
    </row>
    <row r="262" spans="1:18" x14ac:dyDescent="0.25">
      <c r="A262" s="1" t="s">
        <v>141</v>
      </c>
      <c r="B262" s="4"/>
      <c r="C262" s="1" t="s">
        <v>1808</v>
      </c>
      <c r="D262" s="4"/>
      <c r="E262" s="1">
        <v>2021</v>
      </c>
      <c r="F262" s="4"/>
      <c r="G262" s="4"/>
      <c r="H262" s="1" t="s">
        <v>1809</v>
      </c>
      <c r="I262" s="1" t="s">
        <v>257</v>
      </c>
      <c r="J262" s="1">
        <v>2021</v>
      </c>
      <c r="K262" s="1">
        <v>9781728187105</v>
      </c>
      <c r="L262" s="4"/>
      <c r="M262" s="4"/>
      <c r="N262" s="3" t="s">
        <v>1810</v>
      </c>
      <c r="O262" s="1" t="s">
        <v>1811</v>
      </c>
      <c r="P262" s="1" t="s">
        <v>1812</v>
      </c>
      <c r="Q262" s="1" t="s">
        <v>1813</v>
      </c>
      <c r="R262" s="4"/>
    </row>
    <row r="263" spans="1:18" x14ac:dyDescent="0.25">
      <c r="A263" s="1" t="s">
        <v>13</v>
      </c>
      <c r="B263" s="1" t="s">
        <v>1814</v>
      </c>
      <c r="C263" s="1" t="s">
        <v>1815</v>
      </c>
      <c r="D263" s="1" t="s">
        <v>136</v>
      </c>
      <c r="E263" s="1">
        <v>2021</v>
      </c>
      <c r="F263" s="1">
        <v>26</v>
      </c>
      <c r="G263" s="1">
        <v>6</v>
      </c>
      <c r="H263" s="4"/>
      <c r="I263" s="1" t="s">
        <v>137</v>
      </c>
      <c r="J263" s="1">
        <v>2021</v>
      </c>
      <c r="K263" s="4"/>
      <c r="L263" s="4"/>
      <c r="M263" s="1" t="s">
        <v>33</v>
      </c>
      <c r="N263" s="3" t="s">
        <v>1816</v>
      </c>
      <c r="O263" s="1" t="s">
        <v>1817</v>
      </c>
      <c r="P263" s="1" t="s">
        <v>1818</v>
      </c>
      <c r="Q263" s="1" t="s">
        <v>140</v>
      </c>
      <c r="R263" s="4"/>
    </row>
    <row r="264" spans="1:18" x14ac:dyDescent="0.25">
      <c r="A264" s="1" t="s">
        <v>141</v>
      </c>
      <c r="B264" s="1" t="s">
        <v>1819</v>
      </c>
      <c r="C264" s="1" t="s">
        <v>1820</v>
      </c>
      <c r="D264" s="4"/>
      <c r="E264" s="1">
        <v>2022</v>
      </c>
      <c r="F264" s="4"/>
      <c r="G264" s="4"/>
      <c r="H264" s="1" t="s">
        <v>1821</v>
      </c>
      <c r="I264" s="1" t="s">
        <v>257</v>
      </c>
      <c r="J264" s="1">
        <v>2022</v>
      </c>
      <c r="K264" s="1">
        <v>9789532331035</v>
      </c>
      <c r="L264" s="4"/>
      <c r="M264" s="4"/>
      <c r="N264" s="3" t="s">
        <v>1822</v>
      </c>
      <c r="O264" s="1" t="s">
        <v>1823</v>
      </c>
      <c r="P264" s="1" t="s">
        <v>1824</v>
      </c>
      <c r="Q264" s="1" t="s">
        <v>157</v>
      </c>
      <c r="R264" s="4"/>
    </row>
    <row r="265" spans="1:18" x14ac:dyDescent="0.25">
      <c r="A265" s="1" t="s">
        <v>13</v>
      </c>
      <c r="B265" s="1" t="s">
        <v>1825</v>
      </c>
      <c r="C265" s="1" t="s">
        <v>1826</v>
      </c>
      <c r="D265" s="1" t="s">
        <v>1827</v>
      </c>
      <c r="E265" s="1">
        <v>2022</v>
      </c>
      <c r="F265" s="1">
        <v>213</v>
      </c>
      <c r="G265" s="4"/>
      <c r="H265" s="4"/>
      <c r="I265" s="1" t="s">
        <v>280</v>
      </c>
      <c r="J265" s="1">
        <v>2022</v>
      </c>
      <c r="K265" s="4"/>
      <c r="L265" s="4"/>
      <c r="M265" s="1" t="s">
        <v>1828</v>
      </c>
      <c r="N265" s="3" t="s">
        <v>1829</v>
      </c>
      <c r="O265" s="1" t="s">
        <v>1830</v>
      </c>
      <c r="P265" s="1" t="s">
        <v>1831</v>
      </c>
      <c r="Q265" s="1" t="s">
        <v>520</v>
      </c>
      <c r="R265" s="4"/>
    </row>
    <row r="266" spans="1:18" x14ac:dyDescent="0.25">
      <c r="A266" s="1" t="s">
        <v>13</v>
      </c>
      <c r="B266" s="1" t="s">
        <v>1832</v>
      </c>
      <c r="C266" s="1" t="s">
        <v>1833</v>
      </c>
      <c r="D266" s="1" t="s">
        <v>209</v>
      </c>
      <c r="E266" s="1">
        <v>2022</v>
      </c>
      <c r="F266" s="1" t="s">
        <v>1834</v>
      </c>
      <c r="G266" s="4"/>
      <c r="H266" s="1" t="s">
        <v>1835</v>
      </c>
      <c r="I266" s="1" t="s">
        <v>212</v>
      </c>
      <c r="J266" s="1">
        <v>2022</v>
      </c>
      <c r="K266" s="4"/>
      <c r="L266" s="4"/>
      <c r="M266" s="1" t="s">
        <v>213</v>
      </c>
      <c r="N266" s="3" t="s">
        <v>1836</v>
      </c>
      <c r="O266" s="1" t="s">
        <v>1837</v>
      </c>
      <c r="P266" s="1" t="s">
        <v>1838</v>
      </c>
      <c r="Q266" s="1" t="s">
        <v>404</v>
      </c>
      <c r="R266" s="4"/>
    </row>
    <row r="267" spans="1:18" x14ac:dyDescent="0.25">
      <c r="A267" s="1" t="s">
        <v>13</v>
      </c>
      <c r="B267" s="1" t="s">
        <v>1839</v>
      </c>
      <c r="C267" s="1" t="s">
        <v>1840</v>
      </c>
      <c r="D267" s="1" t="s">
        <v>1306</v>
      </c>
      <c r="E267" s="1">
        <v>2022</v>
      </c>
      <c r="F267" s="1">
        <v>10</v>
      </c>
      <c r="G267" s="1">
        <v>1</v>
      </c>
      <c r="H267" s="4"/>
      <c r="I267" s="1" t="s">
        <v>228</v>
      </c>
      <c r="J267" s="1">
        <v>2022</v>
      </c>
      <c r="K267" s="4"/>
      <c r="L267" s="4"/>
      <c r="M267" s="1" t="s">
        <v>1307</v>
      </c>
      <c r="N267" s="3" t="s">
        <v>1841</v>
      </c>
      <c r="O267" s="1" t="s">
        <v>1842</v>
      </c>
      <c r="P267" s="1" t="s">
        <v>1843</v>
      </c>
      <c r="Q267" s="1" t="s">
        <v>1844</v>
      </c>
      <c r="R267" s="4"/>
    </row>
    <row r="268" spans="1:18" x14ac:dyDescent="0.25">
      <c r="A268" s="1" t="s">
        <v>13</v>
      </c>
      <c r="B268" s="1" t="s">
        <v>1784</v>
      </c>
      <c r="C268" s="1" t="s">
        <v>1845</v>
      </c>
      <c r="D268" s="1" t="s">
        <v>878</v>
      </c>
      <c r="E268" s="1">
        <v>2022</v>
      </c>
      <c r="F268" s="4"/>
      <c r="G268" s="4"/>
      <c r="H268" s="4"/>
      <c r="I268" s="1" t="s">
        <v>266</v>
      </c>
      <c r="J268" s="1">
        <v>2022</v>
      </c>
      <c r="K268" s="4"/>
      <c r="L268" s="4"/>
      <c r="M268" s="1" t="s">
        <v>879</v>
      </c>
      <c r="N268" s="3" t="s">
        <v>1846</v>
      </c>
      <c r="O268" s="1" t="s">
        <v>1847</v>
      </c>
      <c r="P268" s="1" t="s">
        <v>1848</v>
      </c>
      <c r="Q268" s="1" t="s">
        <v>404</v>
      </c>
      <c r="R268" s="4"/>
    </row>
    <row r="269" spans="1:18" x14ac:dyDescent="0.25">
      <c r="A269" s="1" t="s">
        <v>13</v>
      </c>
      <c r="B269" s="1" t="s">
        <v>352</v>
      </c>
      <c r="C269" s="1" t="s">
        <v>1849</v>
      </c>
      <c r="D269" s="1" t="s">
        <v>1850</v>
      </c>
      <c r="E269" s="1">
        <v>2021</v>
      </c>
      <c r="F269" s="1">
        <v>463</v>
      </c>
      <c r="G269" s="4"/>
      <c r="H269" s="1" t="s">
        <v>1851</v>
      </c>
      <c r="I269" s="1" t="s">
        <v>280</v>
      </c>
      <c r="J269" s="1">
        <v>2021</v>
      </c>
      <c r="K269" s="4"/>
      <c r="L269" s="4"/>
      <c r="M269" s="1" t="s">
        <v>1852</v>
      </c>
      <c r="N269" s="3" t="s">
        <v>1853</v>
      </c>
      <c r="O269" s="1" t="s">
        <v>1854</v>
      </c>
      <c r="P269" s="1" t="s">
        <v>1855</v>
      </c>
      <c r="Q269" s="1" t="s">
        <v>185</v>
      </c>
      <c r="R269" s="4"/>
    </row>
    <row r="270" spans="1:18" x14ac:dyDescent="0.25">
      <c r="A270" s="1" t="s">
        <v>141</v>
      </c>
      <c r="B270" s="1" t="s">
        <v>1856</v>
      </c>
      <c r="C270" s="1" t="s">
        <v>1857</v>
      </c>
      <c r="D270" s="4"/>
      <c r="E270" s="1">
        <v>2021</v>
      </c>
      <c r="F270" s="4"/>
      <c r="G270" s="4"/>
      <c r="H270" s="1" t="s">
        <v>1858</v>
      </c>
      <c r="I270" s="1" t="s">
        <v>145</v>
      </c>
      <c r="J270" s="1">
        <v>2021</v>
      </c>
      <c r="K270" s="1">
        <v>9781450390538</v>
      </c>
      <c r="L270" s="4"/>
      <c r="M270" s="4"/>
      <c r="N270" s="3" t="s">
        <v>1859</v>
      </c>
      <c r="O270" s="1" t="s">
        <v>1860</v>
      </c>
      <c r="P270" s="1" t="s">
        <v>1861</v>
      </c>
      <c r="Q270" s="1" t="s">
        <v>176</v>
      </c>
      <c r="R270" s="4"/>
    </row>
    <row r="271" spans="1:18" x14ac:dyDescent="0.25">
      <c r="A271" s="1" t="s">
        <v>141</v>
      </c>
      <c r="B271" s="1" t="s">
        <v>1862</v>
      </c>
      <c r="C271" s="1" t="s">
        <v>1863</v>
      </c>
      <c r="D271" s="4"/>
      <c r="E271" s="1">
        <v>2022</v>
      </c>
      <c r="F271" s="4"/>
      <c r="G271" s="4"/>
      <c r="H271" s="1" t="s">
        <v>1864</v>
      </c>
      <c r="I271" s="1" t="s">
        <v>196</v>
      </c>
      <c r="J271" s="1">
        <v>2022</v>
      </c>
      <c r="K271" s="1">
        <v>9781665495981</v>
      </c>
      <c r="L271" s="4"/>
      <c r="M271" s="1" t="s">
        <v>1458</v>
      </c>
      <c r="N271" s="3" t="s">
        <v>1865</v>
      </c>
      <c r="O271" s="1" t="s">
        <v>1866</v>
      </c>
      <c r="P271" s="1" t="s">
        <v>1867</v>
      </c>
      <c r="Q271" s="1" t="s">
        <v>157</v>
      </c>
      <c r="R271" s="4"/>
    </row>
    <row r="272" spans="1:18" x14ac:dyDescent="0.25">
      <c r="A272" s="1" t="s">
        <v>13</v>
      </c>
      <c r="B272" s="1" t="s">
        <v>1868</v>
      </c>
      <c r="C272" s="1" t="s">
        <v>1869</v>
      </c>
      <c r="D272" s="1" t="s">
        <v>1870</v>
      </c>
      <c r="E272" s="1">
        <v>2022</v>
      </c>
      <c r="F272" s="1" t="s">
        <v>1871</v>
      </c>
      <c r="G272" s="4"/>
      <c r="H272" s="1" t="s">
        <v>1872</v>
      </c>
      <c r="I272" s="1" t="s">
        <v>212</v>
      </c>
      <c r="J272" s="1">
        <v>2022</v>
      </c>
      <c r="K272" s="4"/>
      <c r="L272" s="4"/>
      <c r="M272" s="1" t="s">
        <v>1873</v>
      </c>
      <c r="N272" s="3" t="s">
        <v>1874</v>
      </c>
      <c r="O272" s="1" t="s">
        <v>1875</v>
      </c>
      <c r="P272" s="1" t="s">
        <v>1876</v>
      </c>
      <c r="Q272" s="1" t="s">
        <v>157</v>
      </c>
      <c r="R272" s="4"/>
    </row>
    <row r="273" spans="1:18" x14ac:dyDescent="0.25">
      <c r="A273" s="1" t="s">
        <v>13</v>
      </c>
      <c r="B273" s="1" t="s">
        <v>1877</v>
      </c>
      <c r="C273" s="1" t="s">
        <v>1878</v>
      </c>
      <c r="D273" s="1" t="s">
        <v>136</v>
      </c>
      <c r="E273" s="1">
        <v>2021</v>
      </c>
      <c r="F273" s="1">
        <v>26</v>
      </c>
      <c r="G273" s="1">
        <v>6</v>
      </c>
      <c r="H273" s="4"/>
      <c r="I273" s="1" t="s">
        <v>137</v>
      </c>
      <c r="J273" s="1">
        <v>2021</v>
      </c>
      <c r="K273" s="4"/>
      <c r="L273" s="4"/>
      <c r="M273" s="1" t="s">
        <v>33</v>
      </c>
      <c r="N273" s="3" t="s">
        <v>1879</v>
      </c>
      <c r="O273" s="1" t="s">
        <v>1880</v>
      </c>
      <c r="P273" s="1" t="s">
        <v>1881</v>
      </c>
      <c r="Q273" s="1" t="s">
        <v>1094</v>
      </c>
      <c r="R273" s="4"/>
    </row>
    <row r="274" spans="1:18" x14ac:dyDescent="0.25">
      <c r="A274" s="1" t="s">
        <v>13</v>
      </c>
      <c r="B274" s="1" t="s">
        <v>1882</v>
      </c>
      <c r="C274" s="1" t="s">
        <v>1883</v>
      </c>
      <c r="D274" s="1" t="s">
        <v>328</v>
      </c>
      <c r="E274" s="1">
        <v>2021</v>
      </c>
      <c r="F274" s="1">
        <v>30</v>
      </c>
      <c r="G274" s="1">
        <v>4</v>
      </c>
      <c r="H274" s="4"/>
      <c r="I274" s="1" t="s">
        <v>145</v>
      </c>
      <c r="J274" s="1">
        <v>2021</v>
      </c>
      <c r="K274" s="4"/>
      <c r="L274" s="4"/>
      <c r="M274" s="1" t="s">
        <v>329</v>
      </c>
      <c r="N274" s="3" t="s">
        <v>1884</v>
      </c>
      <c r="O274" s="1" t="s">
        <v>1885</v>
      </c>
      <c r="P274" s="1" t="s">
        <v>1886</v>
      </c>
      <c r="Q274" s="1" t="s">
        <v>1887</v>
      </c>
      <c r="R274" s="4"/>
    </row>
    <row r="275" spans="1:18" x14ac:dyDescent="0.25">
      <c r="A275" s="1" t="s">
        <v>141</v>
      </c>
      <c r="B275" s="1" t="s">
        <v>1888</v>
      </c>
      <c r="C275" s="1" t="s">
        <v>1889</v>
      </c>
      <c r="D275" s="4"/>
      <c r="E275" s="1">
        <v>2022</v>
      </c>
      <c r="F275" s="4"/>
      <c r="G275" s="4"/>
      <c r="H275" s="1" t="s">
        <v>1890</v>
      </c>
      <c r="I275" s="1" t="s">
        <v>257</v>
      </c>
      <c r="J275" s="1">
        <v>2022</v>
      </c>
      <c r="K275" s="1">
        <v>9781665481045</v>
      </c>
      <c r="L275" s="4"/>
      <c r="M275" s="4"/>
      <c r="N275" s="3" t="s">
        <v>1891</v>
      </c>
      <c r="O275" s="1" t="s">
        <v>1892</v>
      </c>
      <c r="P275" s="1" t="s">
        <v>1893</v>
      </c>
      <c r="Q275" s="1" t="s">
        <v>157</v>
      </c>
      <c r="R275" s="4"/>
    </row>
    <row r="276" spans="1:18" x14ac:dyDescent="0.25">
      <c r="A276" s="1" t="s">
        <v>13</v>
      </c>
      <c r="B276" s="1" t="s">
        <v>1894</v>
      </c>
      <c r="C276" s="1" t="s">
        <v>1895</v>
      </c>
      <c r="D276" s="1" t="s">
        <v>1896</v>
      </c>
      <c r="E276" s="1">
        <v>2021</v>
      </c>
      <c r="F276" s="1">
        <v>27</v>
      </c>
      <c r="G276" s="1">
        <v>2</v>
      </c>
      <c r="H276" s="1" t="s">
        <v>1897</v>
      </c>
      <c r="I276" s="1" t="s">
        <v>1898</v>
      </c>
      <c r="J276" s="1">
        <v>2021</v>
      </c>
      <c r="K276" s="4"/>
      <c r="L276" s="4"/>
      <c r="M276" s="1" t="s">
        <v>1899</v>
      </c>
      <c r="N276" s="3" t="s">
        <v>1900</v>
      </c>
      <c r="O276" s="1" t="s">
        <v>1901</v>
      </c>
      <c r="P276" s="1" t="s">
        <v>1902</v>
      </c>
      <c r="Q276" s="1" t="s">
        <v>318</v>
      </c>
      <c r="R276" s="4"/>
    </row>
    <row r="277" spans="1:18" x14ac:dyDescent="0.25">
      <c r="A277" s="1" t="s">
        <v>141</v>
      </c>
      <c r="B277" s="1" t="s">
        <v>1903</v>
      </c>
      <c r="C277" s="1" t="s">
        <v>1904</v>
      </c>
      <c r="D277" s="4"/>
      <c r="E277" s="1">
        <v>2021</v>
      </c>
      <c r="F277" s="4"/>
      <c r="G277" s="4"/>
      <c r="H277" s="1" t="s">
        <v>1905</v>
      </c>
      <c r="I277" s="1" t="s">
        <v>196</v>
      </c>
      <c r="J277" s="1">
        <v>2021</v>
      </c>
      <c r="K277" s="1">
        <v>9780738113197</v>
      </c>
      <c r="L277" s="4"/>
      <c r="M277" s="1" t="s">
        <v>1458</v>
      </c>
      <c r="N277" s="3" t="s">
        <v>1906</v>
      </c>
      <c r="O277" s="1" t="s">
        <v>1907</v>
      </c>
      <c r="P277" s="1" t="s">
        <v>1908</v>
      </c>
      <c r="Q277" s="1" t="s">
        <v>1598</v>
      </c>
      <c r="R277" s="4"/>
    </row>
    <row r="278" spans="1:18" x14ac:dyDescent="0.25">
      <c r="A278" s="1" t="s">
        <v>141</v>
      </c>
      <c r="B278" s="1" t="s">
        <v>1909</v>
      </c>
      <c r="C278" s="1" t="s">
        <v>1910</v>
      </c>
      <c r="D278" s="4"/>
      <c r="E278" s="1">
        <v>2022</v>
      </c>
      <c r="F278" s="4"/>
      <c r="G278" s="4"/>
      <c r="H278" s="1" t="s">
        <v>1911</v>
      </c>
      <c r="I278" s="1" t="s">
        <v>257</v>
      </c>
      <c r="J278" s="1">
        <v>2022</v>
      </c>
      <c r="K278" s="1">
        <v>9781450393195</v>
      </c>
      <c r="L278" s="4"/>
      <c r="M278" s="4"/>
      <c r="N278" s="3" t="s">
        <v>1912</v>
      </c>
      <c r="O278" s="1" t="s">
        <v>1913</v>
      </c>
      <c r="P278" s="1" t="s">
        <v>1914</v>
      </c>
      <c r="Q278" s="1" t="s">
        <v>318</v>
      </c>
      <c r="R278" s="4"/>
    </row>
    <row r="279" spans="1:18" x14ac:dyDescent="0.25">
      <c r="A279" s="1" t="s">
        <v>141</v>
      </c>
      <c r="B279" s="1" t="s">
        <v>1915</v>
      </c>
      <c r="C279" s="1" t="s">
        <v>1916</v>
      </c>
      <c r="D279" s="4"/>
      <c r="E279" s="1">
        <v>2021</v>
      </c>
      <c r="F279" s="4"/>
      <c r="G279" s="4"/>
      <c r="H279" s="1" t="s">
        <v>1917</v>
      </c>
      <c r="I279" s="1" t="s">
        <v>153</v>
      </c>
      <c r="J279" s="1">
        <v>2021</v>
      </c>
      <c r="K279" s="1">
        <v>9781450391122</v>
      </c>
      <c r="L279" s="4"/>
      <c r="M279" s="4"/>
      <c r="N279" s="3" t="s">
        <v>1918</v>
      </c>
      <c r="O279" s="1" t="s">
        <v>1919</v>
      </c>
      <c r="P279" s="1" t="s">
        <v>1920</v>
      </c>
      <c r="Q279" s="1" t="s">
        <v>1813</v>
      </c>
      <c r="R279" s="4"/>
    </row>
    <row r="280" spans="1:18" x14ac:dyDescent="0.25">
      <c r="A280" s="1" t="s">
        <v>13</v>
      </c>
      <c r="B280" s="1" t="s">
        <v>1921</v>
      </c>
      <c r="C280" s="1" t="s">
        <v>1922</v>
      </c>
      <c r="D280" s="1" t="s">
        <v>668</v>
      </c>
      <c r="E280" s="1">
        <v>2022</v>
      </c>
      <c r="F280" s="1">
        <v>10</v>
      </c>
      <c r="G280" s="4"/>
      <c r="H280" s="1" t="s">
        <v>1923</v>
      </c>
      <c r="I280" s="1" t="s">
        <v>257</v>
      </c>
      <c r="J280" s="1">
        <v>2022</v>
      </c>
      <c r="K280" s="4"/>
      <c r="L280" s="4"/>
      <c r="M280" s="1" t="s">
        <v>670</v>
      </c>
      <c r="N280" s="3" t="s">
        <v>1924</v>
      </c>
      <c r="O280" s="1" t="s">
        <v>1925</v>
      </c>
      <c r="P280" s="1" t="s">
        <v>1926</v>
      </c>
      <c r="Q280" s="1" t="s">
        <v>447</v>
      </c>
      <c r="R280" s="4"/>
    </row>
    <row r="281" spans="1:18" x14ac:dyDescent="0.25">
      <c r="A281" s="1" t="s">
        <v>13</v>
      </c>
      <c r="B281" s="1" t="s">
        <v>22</v>
      </c>
      <c r="C281" s="1" t="s">
        <v>23</v>
      </c>
      <c r="D281" s="1" t="s">
        <v>1927</v>
      </c>
      <c r="E281" s="1">
        <v>2022</v>
      </c>
      <c r="F281" s="1">
        <v>16</v>
      </c>
      <c r="G281" s="1">
        <v>5</v>
      </c>
      <c r="H281" s="4"/>
      <c r="I281" s="1" t="s">
        <v>1714</v>
      </c>
      <c r="J281" s="1">
        <v>2022</v>
      </c>
      <c r="K281" s="4"/>
      <c r="L281" s="4"/>
      <c r="M281" s="1" t="s">
        <v>26</v>
      </c>
      <c r="N281" s="3" t="s">
        <v>1928</v>
      </c>
      <c r="O281" s="1" t="s">
        <v>28</v>
      </c>
      <c r="P281" s="1" t="s">
        <v>1929</v>
      </c>
      <c r="Q281" s="1" t="s">
        <v>1930</v>
      </c>
      <c r="R281" s="4"/>
    </row>
    <row r="282" spans="1:18" x14ac:dyDescent="0.25">
      <c r="A282" s="1" t="s">
        <v>539</v>
      </c>
      <c r="B282" s="1" t="s">
        <v>1931</v>
      </c>
      <c r="C282" s="1" t="s">
        <v>1932</v>
      </c>
      <c r="D282" s="4"/>
      <c r="E282" s="1">
        <v>2021</v>
      </c>
      <c r="F282" s="4"/>
      <c r="G282" s="4"/>
      <c r="H282" s="4"/>
      <c r="I282" s="1" t="s">
        <v>1465</v>
      </c>
      <c r="J282" s="1">
        <v>2021</v>
      </c>
      <c r="K282" s="1">
        <v>9781799869863</v>
      </c>
      <c r="L282" s="1">
        <v>9781799869856</v>
      </c>
      <c r="M282" s="4"/>
      <c r="N282" s="3" t="s">
        <v>1933</v>
      </c>
      <c r="O282" s="1" t="s">
        <v>1934</v>
      </c>
      <c r="P282" s="1" t="s">
        <v>1935</v>
      </c>
      <c r="Q282" s="1" t="s">
        <v>176</v>
      </c>
      <c r="R282" s="1" t="s">
        <v>1936</v>
      </c>
    </row>
    <row r="283" spans="1:18" x14ac:dyDescent="0.25">
      <c r="A283" s="1" t="s">
        <v>141</v>
      </c>
      <c r="B283" s="1" t="s">
        <v>1937</v>
      </c>
      <c r="C283" s="1" t="s">
        <v>1938</v>
      </c>
      <c r="D283" s="4"/>
      <c r="E283" s="1">
        <v>2022</v>
      </c>
      <c r="F283" s="4"/>
      <c r="G283" s="4"/>
      <c r="H283" s="1" t="s">
        <v>1939</v>
      </c>
      <c r="I283" s="1" t="s">
        <v>196</v>
      </c>
      <c r="J283" s="1">
        <v>2022</v>
      </c>
      <c r="K283" s="1">
        <v>9781665495981</v>
      </c>
      <c r="L283" s="4"/>
      <c r="M283" s="1" t="s">
        <v>1458</v>
      </c>
      <c r="N283" s="3" t="s">
        <v>1940</v>
      </c>
      <c r="O283" s="1" t="s">
        <v>1941</v>
      </c>
      <c r="P283" s="1" t="s">
        <v>1942</v>
      </c>
      <c r="Q283" s="1" t="s">
        <v>404</v>
      </c>
      <c r="R283" s="4"/>
    </row>
    <row r="284" spans="1:18" x14ac:dyDescent="0.25">
      <c r="A284" s="1" t="s">
        <v>13</v>
      </c>
      <c r="B284" s="1" t="s">
        <v>1943</v>
      </c>
      <c r="C284" s="1" t="s">
        <v>1944</v>
      </c>
      <c r="D284" s="1" t="s">
        <v>1306</v>
      </c>
      <c r="E284" s="1">
        <v>2021</v>
      </c>
      <c r="F284" s="1">
        <v>9</v>
      </c>
      <c r="G284" s="1">
        <v>10</v>
      </c>
      <c r="H284" s="4"/>
      <c r="I284" s="1" t="s">
        <v>228</v>
      </c>
      <c r="J284" s="1">
        <v>2021</v>
      </c>
      <c r="K284" s="4"/>
      <c r="L284" s="4"/>
      <c r="M284" s="1" t="s">
        <v>1307</v>
      </c>
      <c r="N284" s="3" t="s">
        <v>1945</v>
      </c>
      <c r="O284" s="1" t="s">
        <v>1946</v>
      </c>
      <c r="P284" s="1" t="s">
        <v>1947</v>
      </c>
      <c r="Q284" s="1" t="s">
        <v>1948</v>
      </c>
      <c r="R284" s="4"/>
    </row>
    <row r="285" spans="1:18" x14ac:dyDescent="0.25">
      <c r="A285" s="1" t="s">
        <v>141</v>
      </c>
      <c r="B285" s="1" t="s">
        <v>1949</v>
      </c>
      <c r="C285" s="1" t="s">
        <v>1950</v>
      </c>
      <c r="D285" s="4"/>
      <c r="E285" s="1">
        <v>2022</v>
      </c>
      <c r="F285" s="4"/>
      <c r="G285" s="4"/>
      <c r="H285" s="1" t="s">
        <v>1951</v>
      </c>
      <c r="I285" s="1" t="s">
        <v>257</v>
      </c>
      <c r="J285" s="1">
        <v>2022</v>
      </c>
      <c r="K285" s="1">
        <v>9781665408165</v>
      </c>
      <c r="L285" s="4"/>
      <c r="M285" s="4"/>
      <c r="N285" s="3" t="s">
        <v>1952</v>
      </c>
      <c r="O285" s="1" t="s">
        <v>1953</v>
      </c>
      <c r="P285" s="1" t="s">
        <v>1954</v>
      </c>
      <c r="Q285" s="1" t="s">
        <v>157</v>
      </c>
      <c r="R285" s="4"/>
    </row>
    <row r="286" spans="1:18" x14ac:dyDescent="0.25">
      <c r="A286" s="1" t="s">
        <v>141</v>
      </c>
      <c r="B286" s="1" t="s">
        <v>1955</v>
      </c>
      <c r="C286" s="1" t="s">
        <v>1956</v>
      </c>
      <c r="D286" s="4"/>
      <c r="E286" s="1">
        <v>2021</v>
      </c>
      <c r="F286" s="4"/>
      <c r="G286" s="4"/>
      <c r="H286" s="1" t="s">
        <v>750</v>
      </c>
      <c r="I286" s="1" t="s">
        <v>153</v>
      </c>
      <c r="J286" s="1">
        <v>2021</v>
      </c>
      <c r="K286" s="1">
        <v>9781450386258</v>
      </c>
      <c r="L286" s="4"/>
      <c r="M286" s="4"/>
      <c r="N286" s="3" t="s">
        <v>1957</v>
      </c>
      <c r="O286" s="1" t="s">
        <v>1958</v>
      </c>
      <c r="P286" s="1" t="s">
        <v>1959</v>
      </c>
      <c r="Q286" s="1" t="s">
        <v>185</v>
      </c>
      <c r="R286" s="4"/>
    </row>
    <row r="287" spans="1:18" x14ac:dyDescent="0.25">
      <c r="A287" s="1" t="s">
        <v>141</v>
      </c>
      <c r="B287" s="1" t="s">
        <v>1960</v>
      </c>
      <c r="C287" s="1" t="s">
        <v>1961</v>
      </c>
      <c r="D287" s="4"/>
      <c r="E287" s="1">
        <v>2021</v>
      </c>
      <c r="F287" s="4"/>
      <c r="G287" s="4"/>
      <c r="H287" s="4"/>
      <c r="I287" s="1" t="s">
        <v>257</v>
      </c>
      <c r="J287" s="1">
        <v>2021</v>
      </c>
      <c r="K287" s="1">
        <v>9781728172897</v>
      </c>
      <c r="L287" s="4"/>
      <c r="M287" s="4"/>
      <c r="N287" s="3" t="s">
        <v>1962</v>
      </c>
      <c r="O287" s="1" t="s">
        <v>1963</v>
      </c>
      <c r="P287" s="1" t="s">
        <v>1964</v>
      </c>
      <c r="Q287" s="1" t="s">
        <v>289</v>
      </c>
      <c r="R287" s="4"/>
    </row>
    <row r="288" spans="1:18" x14ac:dyDescent="0.25">
      <c r="A288" s="1" t="s">
        <v>141</v>
      </c>
      <c r="B288" s="1" t="s">
        <v>1965</v>
      </c>
      <c r="C288" s="1" t="s">
        <v>1966</v>
      </c>
      <c r="D288" s="4"/>
      <c r="E288" s="1">
        <v>2022</v>
      </c>
      <c r="F288" s="4"/>
      <c r="G288" s="4"/>
      <c r="H288" s="1" t="s">
        <v>1967</v>
      </c>
      <c r="I288" s="1" t="s">
        <v>257</v>
      </c>
      <c r="J288" s="1">
        <v>2022</v>
      </c>
      <c r="K288" s="1">
        <v>9781665437868</v>
      </c>
      <c r="L288" s="4"/>
      <c r="M288" s="4"/>
      <c r="N288" s="3" t="s">
        <v>1968</v>
      </c>
      <c r="O288" s="1" t="s">
        <v>1969</v>
      </c>
      <c r="P288" s="1" t="s">
        <v>1970</v>
      </c>
      <c r="Q288" s="1" t="s">
        <v>157</v>
      </c>
      <c r="R288" s="4"/>
    </row>
    <row r="289" spans="1:18" x14ac:dyDescent="0.25">
      <c r="A289" s="1" t="s">
        <v>13</v>
      </c>
      <c r="B289" s="1" t="s">
        <v>1971</v>
      </c>
      <c r="C289" s="1" t="s">
        <v>1972</v>
      </c>
      <c r="D289" s="1" t="s">
        <v>1927</v>
      </c>
      <c r="E289" s="1">
        <v>2022</v>
      </c>
      <c r="F289" s="1">
        <v>16</v>
      </c>
      <c r="G289" s="1">
        <v>5</v>
      </c>
      <c r="H289" s="4"/>
      <c r="I289" s="1" t="s">
        <v>1714</v>
      </c>
      <c r="J289" s="1">
        <v>2022</v>
      </c>
      <c r="K289" s="4"/>
      <c r="L289" s="4"/>
      <c r="M289" s="1" t="s">
        <v>26</v>
      </c>
      <c r="N289" s="3" t="s">
        <v>1973</v>
      </c>
      <c r="O289" s="1" t="s">
        <v>1974</v>
      </c>
      <c r="P289" s="4"/>
      <c r="Q289" s="1" t="s">
        <v>387</v>
      </c>
      <c r="R289" s="4"/>
    </row>
    <row r="290" spans="1:18" x14ac:dyDescent="0.25">
      <c r="A290" s="1" t="s">
        <v>141</v>
      </c>
      <c r="B290" s="1" t="s">
        <v>1975</v>
      </c>
      <c r="C290" s="1" t="s">
        <v>1976</v>
      </c>
      <c r="D290" s="4"/>
      <c r="E290" s="1">
        <v>2021</v>
      </c>
      <c r="F290" s="4"/>
      <c r="G290" s="4"/>
      <c r="H290" s="1" t="s">
        <v>1977</v>
      </c>
      <c r="I290" s="1" t="s">
        <v>153</v>
      </c>
      <c r="J290" s="1">
        <v>2021</v>
      </c>
      <c r="K290" s="1">
        <v>9781450384681</v>
      </c>
      <c r="L290" s="4"/>
      <c r="M290" s="4"/>
      <c r="N290" s="3" t="s">
        <v>1978</v>
      </c>
      <c r="O290" s="1" t="s">
        <v>1979</v>
      </c>
      <c r="P290" s="1" t="s">
        <v>1980</v>
      </c>
      <c r="Q290" s="1" t="s">
        <v>176</v>
      </c>
      <c r="R290" s="4"/>
    </row>
    <row r="291" spans="1:18" x14ac:dyDescent="0.25">
      <c r="A291" s="1" t="s">
        <v>141</v>
      </c>
      <c r="B291" s="1" t="s">
        <v>1981</v>
      </c>
      <c r="C291" s="1" t="s">
        <v>1982</v>
      </c>
      <c r="D291" s="4"/>
      <c r="E291" s="1">
        <v>2022</v>
      </c>
      <c r="F291" s="4"/>
      <c r="G291" s="4"/>
      <c r="H291" s="1" t="s">
        <v>1983</v>
      </c>
      <c r="I291" s="1" t="s">
        <v>257</v>
      </c>
      <c r="J291" s="1">
        <v>2022</v>
      </c>
      <c r="K291" s="1">
        <v>9781450393034</v>
      </c>
      <c r="L291" s="4"/>
      <c r="M291" s="4"/>
      <c r="N291" s="3" t="s">
        <v>1984</v>
      </c>
      <c r="O291" s="1" t="s">
        <v>1985</v>
      </c>
      <c r="P291" s="1" t="s">
        <v>1986</v>
      </c>
      <c r="Q291" s="1" t="s">
        <v>149</v>
      </c>
      <c r="R291" s="4"/>
    </row>
    <row r="292" spans="1:18" x14ac:dyDescent="0.25">
      <c r="A292" s="1" t="s">
        <v>141</v>
      </c>
      <c r="B292" s="1" t="s">
        <v>1987</v>
      </c>
      <c r="C292" s="1" t="s">
        <v>1988</v>
      </c>
      <c r="D292" s="4"/>
      <c r="E292" s="1">
        <v>2021</v>
      </c>
      <c r="F292" s="4"/>
      <c r="G292" s="4"/>
      <c r="H292" s="1" t="s">
        <v>1659</v>
      </c>
      <c r="I292" s="1" t="s">
        <v>145</v>
      </c>
      <c r="J292" s="1">
        <v>2021</v>
      </c>
      <c r="K292" s="1">
        <v>9781450390613</v>
      </c>
      <c r="L292" s="4"/>
      <c r="M292" s="4"/>
      <c r="N292" s="3" t="s">
        <v>1989</v>
      </c>
      <c r="O292" s="1" t="s">
        <v>1990</v>
      </c>
      <c r="P292" s="1" t="s">
        <v>1991</v>
      </c>
      <c r="Q292" s="1" t="s">
        <v>404</v>
      </c>
      <c r="R292" s="4"/>
    </row>
    <row r="293" spans="1:18" x14ac:dyDescent="0.25">
      <c r="A293" s="1" t="s">
        <v>13</v>
      </c>
      <c r="B293" s="1" t="s">
        <v>1992</v>
      </c>
      <c r="C293" s="1" t="s">
        <v>1993</v>
      </c>
      <c r="D293" s="1" t="s">
        <v>1033</v>
      </c>
      <c r="E293" s="1">
        <v>2021</v>
      </c>
      <c r="F293" s="1">
        <v>46</v>
      </c>
      <c r="G293" s="1">
        <v>9</v>
      </c>
      <c r="H293" s="1" t="s">
        <v>1994</v>
      </c>
      <c r="I293" s="1" t="s">
        <v>212</v>
      </c>
      <c r="J293" s="1">
        <v>2021</v>
      </c>
      <c r="K293" s="4"/>
      <c r="L293" s="4"/>
      <c r="M293" s="1" t="s">
        <v>1035</v>
      </c>
      <c r="N293" s="3" t="s">
        <v>1995</v>
      </c>
      <c r="O293" s="1" t="s">
        <v>1996</v>
      </c>
      <c r="P293" s="1" t="s">
        <v>1997</v>
      </c>
      <c r="Q293" s="1" t="s">
        <v>318</v>
      </c>
      <c r="R293" s="4"/>
    </row>
    <row r="294" spans="1:18" x14ac:dyDescent="0.25">
      <c r="A294" s="1" t="s">
        <v>13</v>
      </c>
      <c r="B294" s="1" t="s">
        <v>1998</v>
      </c>
      <c r="C294" s="1" t="s">
        <v>1999</v>
      </c>
      <c r="D294" s="1" t="s">
        <v>878</v>
      </c>
      <c r="E294" s="1">
        <v>2021</v>
      </c>
      <c r="F294" s="1">
        <v>33</v>
      </c>
      <c r="G294" s="1">
        <v>12</v>
      </c>
      <c r="H294" s="4"/>
      <c r="I294" s="1" t="s">
        <v>266</v>
      </c>
      <c r="J294" s="1">
        <v>2021</v>
      </c>
      <c r="K294" s="4"/>
      <c r="L294" s="4"/>
      <c r="M294" s="1" t="s">
        <v>879</v>
      </c>
      <c r="N294" s="3" t="s">
        <v>2000</v>
      </c>
      <c r="O294" s="1" t="s">
        <v>2001</v>
      </c>
      <c r="P294" s="1" t="s">
        <v>2002</v>
      </c>
      <c r="Q294" s="1" t="s">
        <v>157</v>
      </c>
      <c r="R294" s="4"/>
    </row>
    <row r="295" spans="1:18" x14ac:dyDescent="0.25">
      <c r="A295" s="1" t="s">
        <v>13</v>
      </c>
      <c r="B295" s="1" t="s">
        <v>2003</v>
      </c>
      <c r="C295" s="1" t="s">
        <v>2004</v>
      </c>
      <c r="D295" s="1" t="s">
        <v>1285</v>
      </c>
      <c r="E295" s="1">
        <v>2021</v>
      </c>
      <c r="F295" s="1">
        <v>5</v>
      </c>
      <c r="G295" s="1" t="s">
        <v>2005</v>
      </c>
      <c r="H295" s="4"/>
      <c r="I295" s="1" t="s">
        <v>145</v>
      </c>
      <c r="J295" s="1">
        <v>2021</v>
      </c>
      <c r="K295" s="4"/>
      <c r="L295" s="4"/>
      <c r="M295" s="1" t="s">
        <v>1287</v>
      </c>
      <c r="N295" s="3" t="s">
        <v>2006</v>
      </c>
      <c r="O295" s="1" t="s">
        <v>2007</v>
      </c>
      <c r="P295" s="1" t="s">
        <v>2008</v>
      </c>
      <c r="Q295" s="1" t="s">
        <v>387</v>
      </c>
      <c r="R295" s="4"/>
    </row>
    <row r="296" spans="1:18" x14ac:dyDescent="0.25">
      <c r="A296" s="1" t="s">
        <v>13</v>
      </c>
      <c r="B296" s="1" t="s">
        <v>2009</v>
      </c>
      <c r="C296" s="1" t="s">
        <v>2010</v>
      </c>
      <c r="D296" s="1" t="s">
        <v>2011</v>
      </c>
      <c r="E296" s="1">
        <v>2021</v>
      </c>
      <c r="F296" s="1">
        <v>5</v>
      </c>
      <c r="G296" s="1">
        <v>4</v>
      </c>
      <c r="H296" s="4"/>
      <c r="I296" s="1" t="s">
        <v>145</v>
      </c>
      <c r="J296" s="1">
        <v>2021</v>
      </c>
      <c r="K296" s="4"/>
      <c r="L296" s="4"/>
      <c r="M296" s="1" t="s">
        <v>2012</v>
      </c>
      <c r="N296" s="3" t="s">
        <v>2013</v>
      </c>
      <c r="O296" s="1" t="s">
        <v>2014</v>
      </c>
      <c r="P296" s="1" t="s">
        <v>2015</v>
      </c>
      <c r="Q296" s="1" t="s">
        <v>1813</v>
      </c>
      <c r="R296" s="4"/>
    </row>
    <row r="297" spans="1:18" x14ac:dyDescent="0.25">
      <c r="A297" s="1" t="s">
        <v>141</v>
      </c>
      <c r="B297" s="1" t="s">
        <v>2016</v>
      </c>
      <c r="C297" s="1" t="s">
        <v>2017</v>
      </c>
      <c r="D297" s="4"/>
      <c r="E297" s="1">
        <v>2021</v>
      </c>
      <c r="F297" s="4"/>
      <c r="G297" s="4"/>
      <c r="H297" s="1" t="s">
        <v>2018</v>
      </c>
      <c r="I297" s="1" t="s">
        <v>145</v>
      </c>
      <c r="J297" s="1">
        <v>2021</v>
      </c>
      <c r="K297" s="1">
        <v>9781450390538</v>
      </c>
      <c r="L297" s="4"/>
      <c r="M297" s="4"/>
      <c r="N297" s="3" t="s">
        <v>2019</v>
      </c>
      <c r="O297" s="1" t="s">
        <v>2020</v>
      </c>
      <c r="P297" s="1" t="s">
        <v>2021</v>
      </c>
      <c r="Q297" s="1" t="s">
        <v>404</v>
      </c>
      <c r="R297" s="4"/>
    </row>
    <row r="298" spans="1:18" x14ac:dyDescent="0.25">
      <c r="A298" s="1" t="s">
        <v>13</v>
      </c>
      <c r="B298" s="1" t="s">
        <v>2022</v>
      </c>
      <c r="C298" s="1" t="s">
        <v>2023</v>
      </c>
      <c r="D298" s="1" t="s">
        <v>2024</v>
      </c>
      <c r="E298" s="1">
        <v>2022</v>
      </c>
      <c r="F298" s="1">
        <v>18</v>
      </c>
      <c r="G298" s="1">
        <v>2</v>
      </c>
      <c r="H298" s="1" t="s">
        <v>2025</v>
      </c>
      <c r="I298" s="1" t="s">
        <v>2026</v>
      </c>
      <c r="J298" s="1">
        <v>2022</v>
      </c>
      <c r="K298" s="4"/>
      <c r="L298" s="4"/>
      <c r="M298" s="1" t="s">
        <v>2027</v>
      </c>
      <c r="N298" s="3" t="s">
        <v>2028</v>
      </c>
      <c r="O298" s="1" t="s">
        <v>2029</v>
      </c>
      <c r="P298" s="1" t="s">
        <v>2030</v>
      </c>
      <c r="Q298" s="1" t="s">
        <v>896</v>
      </c>
      <c r="R298" s="4"/>
    </row>
    <row r="299" spans="1:18" x14ac:dyDescent="0.25">
      <c r="A299" s="1" t="s">
        <v>141</v>
      </c>
      <c r="B299" s="1" t="s">
        <v>2031</v>
      </c>
      <c r="C299" s="1" t="s">
        <v>2032</v>
      </c>
      <c r="D299" s="4"/>
      <c r="E299" s="1">
        <v>2022</v>
      </c>
      <c r="F299" s="4"/>
      <c r="G299" s="4"/>
      <c r="H299" s="1" t="s">
        <v>2033</v>
      </c>
      <c r="I299" s="1" t="s">
        <v>257</v>
      </c>
      <c r="J299" s="1">
        <v>2022</v>
      </c>
      <c r="K299" s="1">
        <v>9781450393041</v>
      </c>
      <c r="L299" s="4"/>
      <c r="M299" s="4"/>
      <c r="N299" s="3" t="s">
        <v>2034</v>
      </c>
      <c r="O299" s="1" t="s">
        <v>2035</v>
      </c>
      <c r="P299" s="1" t="s">
        <v>2036</v>
      </c>
      <c r="Q299" s="1" t="s">
        <v>568</v>
      </c>
      <c r="R299" s="4"/>
    </row>
    <row r="300" spans="1:18" x14ac:dyDescent="0.25">
      <c r="A300" s="1" t="s">
        <v>13</v>
      </c>
      <c r="B300" s="1" t="s">
        <v>2037</v>
      </c>
      <c r="C300" s="1" t="s">
        <v>2038</v>
      </c>
      <c r="D300" s="1" t="s">
        <v>1285</v>
      </c>
      <c r="E300" s="1">
        <v>2021</v>
      </c>
      <c r="F300" s="1">
        <v>5</v>
      </c>
      <c r="G300" s="1" t="s">
        <v>2005</v>
      </c>
      <c r="H300" s="4"/>
      <c r="I300" s="1" t="s">
        <v>145</v>
      </c>
      <c r="J300" s="1">
        <v>2021</v>
      </c>
      <c r="K300" s="4"/>
      <c r="L300" s="4"/>
      <c r="M300" s="1" t="s">
        <v>1287</v>
      </c>
      <c r="N300" s="3" t="s">
        <v>2039</v>
      </c>
      <c r="O300" s="1" t="s">
        <v>2040</v>
      </c>
      <c r="P300" s="1" t="s">
        <v>2041</v>
      </c>
      <c r="Q300" s="1" t="s">
        <v>2042</v>
      </c>
      <c r="R300" s="4"/>
    </row>
    <row r="301" spans="1:18" x14ac:dyDescent="0.25">
      <c r="A301" s="1" t="s">
        <v>13</v>
      </c>
      <c r="B301" s="1" t="s">
        <v>2043</v>
      </c>
      <c r="C301" s="1" t="s">
        <v>2044</v>
      </c>
      <c r="D301" s="1" t="s">
        <v>2045</v>
      </c>
      <c r="E301" s="1">
        <v>2021</v>
      </c>
      <c r="F301" s="1">
        <v>33</v>
      </c>
      <c r="G301" s="1">
        <v>19</v>
      </c>
      <c r="H301" s="4"/>
      <c r="I301" s="1" t="s">
        <v>266</v>
      </c>
      <c r="J301" s="1">
        <v>2021</v>
      </c>
      <c r="K301" s="4"/>
      <c r="L301" s="4"/>
      <c r="M301" s="1" t="s">
        <v>2046</v>
      </c>
      <c r="N301" s="3" t="s">
        <v>2047</v>
      </c>
      <c r="O301" s="1" t="s">
        <v>2048</v>
      </c>
      <c r="P301" s="1" t="s">
        <v>2049</v>
      </c>
      <c r="Q301" s="1" t="s">
        <v>1598</v>
      </c>
      <c r="R301" s="4"/>
    </row>
    <row r="302" spans="1:18" x14ac:dyDescent="0.25">
      <c r="A302" s="1" t="s">
        <v>141</v>
      </c>
      <c r="B302" s="1" t="s">
        <v>2050</v>
      </c>
      <c r="C302" s="1" t="s">
        <v>2051</v>
      </c>
      <c r="D302" s="4"/>
      <c r="E302" s="1">
        <v>2021</v>
      </c>
      <c r="F302" s="4"/>
      <c r="G302" s="4"/>
      <c r="H302" s="1" t="s">
        <v>2052</v>
      </c>
      <c r="I302" s="1" t="s">
        <v>257</v>
      </c>
      <c r="J302" s="1">
        <v>2021</v>
      </c>
      <c r="K302" s="1">
        <v>9781665414050</v>
      </c>
      <c r="L302" s="4"/>
      <c r="M302" s="4"/>
      <c r="N302" s="3" t="s">
        <v>2053</v>
      </c>
      <c r="O302" s="1" t="s">
        <v>2054</v>
      </c>
      <c r="P302" s="1" t="s">
        <v>2055</v>
      </c>
      <c r="Q302" s="1" t="s">
        <v>404</v>
      </c>
      <c r="R302" s="4"/>
    </row>
    <row r="303" spans="1:18" x14ac:dyDescent="0.25">
      <c r="A303" s="1" t="s">
        <v>141</v>
      </c>
      <c r="B303" s="1" t="s">
        <v>2056</v>
      </c>
      <c r="C303" s="1" t="s">
        <v>2057</v>
      </c>
      <c r="D303" s="4"/>
      <c r="E303" s="1">
        <v>2022</v>
      </c>
      <c r="F303" s="4"/>
      <c r="G303" s="4"/>
      <c r="H303" s="1" t="s">
        <v>2058</v>
      </c>
      <c r="I303" s="1" t="s">
        <v>257</v>
      </c>
      <c r="J303" s="1">
        <v>2022</v>
      </c>
      <c r="K303" s="1">
        <v>9781665437868</v>
      </c>
      <c r="L303" s="4"/>
      <c r="M303" s="4"/>
      <c r="N303" s="3" t="s">
        <v>2059</v>
      </c>
      <c r="O303" s="1" t="s">
        <v>2060</v>
      </c>
      <c r="P303" s="1" t="s">
        <v>2061</v>
      </c>
      <c r="Q303" s="1" t="s">
        <v>157</v>
      </c>
      <c r="R303" s="4"/>
    </row>
    <row r="304" spans="1:18" x14ac:dyDescent="0.25">
      <c r="A304" s="1" t="s">
        <v>141</v>
      </c>
      <c r="B304" s="1" t="s">
        <v>2062</v>
      </c>
      <c r="C304" s="1" t="s">
        <v>2063</v>
      </c>
      <c r="D304" s="4"/>
      <c r="E304" s="1">
        <v>2022</v>
      </c>
      <c r="F304" s="4"/>
      <c r="G304" s="4"/>
      <c r="H304" s="1" t="s">
        <v>2064</v>
      </c>
      <c r="I304" s="1" t="s">
        <v>257</v>
      </c>
      <c r="J304" s="1">
        <v>2022</v>
      </c>
      <c r="K304" s="1">
        <v>9781450393034</v>
      </c>
      <c r="L304" s="4"/>
      <c r="M304" s="4"/>
      <c r="N304" s="3" t="s">
        <v>2065</v>
      </c>
      <c r="O304" s="1" t="s">
        <v>2066</v>
      </c>
      <c r="P304" s="1" t="s">
        <v>2067</v>
      </c>
      <c r="Q304" s="1" t="s">
        <v>999</v>
      </c>
      <c r="R304" s="4"/>
    </row>
    <row r="305" spans="1:18" x14ac:dyDescent="0.25">
      <c r="A305" s="1" t="s">
        <v>141</v>
      </c>
      <c r="B305" s="1" t="s">
        <v>2068</v>
      </c>
      <c r="C305" s="1" t="s">
        <v>2069</v>
      </c>
      <c r="D305" s="4"/>
      <c r="E305" s="1">
        <v>2022</v>
      </c>
      <c r="F305" s="4"/>
      <c r="G305" s="4"/>
      <c r="H305" s="1" t="s">
        <v>2070</v>
      </c>
      <c r="I305" s="1" t="s">
        <v>257</v>
      </c>
      <c r="J305" s="1">
        <v>2022</v>
      </c>
      <c r="K305" s="1">
        <v>9781450393041</v>
      </c>
      <c r="L305" s="4"/>
      <c r="M305" s="4"/>
      <c r="N305" s="3" t="s">
        <v>2071</v>
      </c>
      <c r="O305" s="1" t="s">
        <v>2072</v>
      </c>
      <c r="P305" s="1" t="s">
        <v>2073</v>
      </c>
      <c r="Q305" s="1" t="s">
        <v>404</v>
      </c>
      <c r="R305" s="4"/>
    </row>
    <row r="306" spans="1:18" x14ac:dyDescent="0.25">
      <c r="A306" s="1" t="s">
        <v>141</v>
      </c>
      <c r="B306" s="1" t="s">
        <v>2074</v>
      </c>
      <c r="C306" s="1" t="s">
        <v>2075</v>
      </c>
      <c r="D306" s="4"/>
      <c r="E306" s="1">
        <v>2022</v>
      </c>
      <c r="F306" s="7">
        <v>44682</v>
      </c>
      <c r="G306" s="4"/>
      <c r="H306" s="1" t="s">
        <v>2076</v>
      </c>
      <c r="I306" s="1" t="s">
        <v>196</v>
      </c>
      <c r="J306" s="1">
        <v>2022</v>
      </c>
      <c r="K306" s="1">
        <v>9781450392211</v>
      </c>
      <c r="L306" s="4"/>
      <c r="M306" s="1" t="s">
        <v>1458</v>
      </c>
      <c r="N306" s="3" t="s">
        <v>2077</v>
      </c>
      <c r="O306" s="1" t="s">
        <v>2078</v>
      </c>
      <c r="P306" s="1" t="s">
        <v>2079</v>
      </c>
      <c r="Q306" s="1" t="s">
        <v>1591</v>
      </c>
      <c r="R306" s="4"/>
    </row>
    <row r="307" spans="1:18" x14ac:dyDescent="0.25">
      <c r="A307" s="1" t="s">
        <v>141</v>
      </c>
      <c r="B307" s="1" t="s">
        <v>2080</v>
      </c>
      <c r="C307" s="1" t="s">
        <v>2081</v>
      </c>
      <c r="D307" s="4"/>
      <c r="E307" s="1">
        <v>2021</v>
      </c>
      <c r="F307" s="4"/>
      <c r="G307" s="4"/>
      <c r="H307" s="1" t="s">
        <v>2082</v>
      </c>
      <c r="I307" s="1" t="s">
        <v>257</v>
      </c>
      <c r="J307" s="1">
        <v>2021</v>
      </c>
      <c r="K307" s="1">
        <v>9781728187105</v>
      </c>
      <c r="L307" s="4"/>
      <c r="M307" s="4"/>
      <c r="N307" s="3" t="s">
        <v>2083</v>
      </c>
      <c r="O307" s="1" t="s">
        <v>2084</v>
      </c>
      <c r="P307" s="1" t="s">
        <v>2085</v>
      </c>
      <c r="Q307" s="1" t="s">
        <v>1930</v>
      </c>
      <c r="R307" s="4"/>
    </row>
    <row r="308" spans="1:18" x14ac:dyDescent="0.25">
      <c r="A308" s="1" t="s">
        <v>141</v>
      </c>
      <c r="B308" s="1" t="s">
        <v>2086</v>
      </c>
      <c r="C308" s="1" t="s">
        <v>2087</v>
      </c>
      <c r="D308" s="4"/>
      <c r="E308" s="1">
        <v>2021</v>
      </c>
      <c r="F308" s="4"/>
      <c r="G308" s="4"/>
      <c r="H308" s="1" t="s">
        <v>2088</v>
      </c>
      <c r="I308" s="1" t="s">
        <v>257</v>
      </c>
      <c r="J308" s="1">
        <v>2021</v>
      </c>
      <c r="K308" s="1">
        <v>9781665427050</v>
      </c>
      <c r="L308" s="4"/>
      <c r="M308" s="4"/>
      <c r="N308" s="3" t="s">
        <v>2089</v>
      </c>
      <c r="O308" s="1" t="s">
        <v>2090</v>
      </c>
      <c r="P308" s="1" t="s">
        <v>2091</v>
      </c>
      <c r="Q308" s="1" t="s">
        <v>520</v>
      </c>
      <c r="R308" s="4"/>
    </row>
    <row r="309" spans="1:18" x14ac:dyDescent="0.25">
      <c r="A309" s="1" t="s">
        <v>141</v>
      </c>
      <c r="B309" s="1" t="s">
        <v>2092</v>
      </c>
      <c r="C309" s="1" t="s">
        <v>2093</v>
      </c>
      <c r="D309" s="4"/>
      <c r="E309" s="1">
        <v>2021</v>
      </c>
      <c r="F309" s="4"/>
      <c r="G309" s="4"/>
      <c r="H309" s="1" t="s">
        <v>533</v>
      </c>
      <c r="I309" s="1" t="s">
        <v>153</v>
      </c>
      <c r="J309" s="1">
        <v>2021</v>
      </c>
      <c r="K309" s="1">
        <v>9781450386807</v>
      </c>
      <c r="L309" s="4"/>
      <c r="M309" s="4"/>
      <c r="N309" s="3" t="s">
        <v>2094</v>
      </c>
      <c r="O309" s="1" t="s">
        <v>2095</v>
      </c>
      <c r="P309" s="1" t="s">
        <v>2096</v>
      </c>
      <c r="Q309" s="1" t="s">
        <v>2097</v>
      </c>
      <c r="R309" s="4"/>
    </row>
    <row r="310" spans="1:18" x14ac:dyDescent="0.25">
      <c r="A310" s="1" t="s">
        <v>141</v>
      </c>
      <c r="B310" s="1" t="s">
        <v>2098</v>
      </c>
      <c r="C310" s="1" t="s">
        <v>2099</v>
      </c>
      <c r="D310" s="4"/>
      <c r="E310" s="1">
        <v>2021</v>
      </c>
      <c r="F310" s="4"/>
      <c r="G310" s="4"/>
      <c r="H310" s="1" t="s">
        <v>2100</v>
      </c>
      <c r="I310" s="1" t="s">
        <v>196</v>
      </c>
      <c r="J310" s="1">
        <v>2021</v>
      </c>
      <c r="K310" s="1">
        <v>9780738113197</v>
      </c>
      <c r="L310" s="4"/>
      <c r="M310" s="1" t="s">
        <v>1458</v>
      </c>
      <c r="N310" s="3" t="s">
        <v>2101</v>
      </c>
      <c r="O310" s="1" t="s">
        <v>2102</v>
      </c>
      <c r="P310" s="1" t="s">
        <v>2103</v>
      </c>
      <c r="Q310" s="1" t="s">
        <v>818</v>
      </c>
      <c r="R310" s="4"/>
    </row>
    <row r="311" spans="1:18" x14ac:dyDescent="0.25">
      <c r="A311" s="1" t="s">
        <v>141</v>
      </c>
      <c r="B311" s="1" t="s">
        <v>2104</v>
      </c>
      <c r="C311" s="1" t="s">
        <v>2105</v>
      </c>
      <c r="D311" s="4"/>
      <c r="E311" s="1">
        <v>2021</v>
      </c>
      <c r="F311" s="4"/>
      <c r="G311" s="4"/>
      <c r="H311" s="1" t="s">
        <v>2106</v>
      </c>
      <c r="I311" s="1" t="s">
        <v>257</v>
      </c>
      <c r="J311" s="1">
        <v>2021</v>
      </c>
      <c r="K311" s="1">
        <v>9781728187105</v>
      </c>
      <c r="L311" s="4"/>
      <c r="M311" s="4"/>
      <c r="N311" s="3" t="s">
        <v>2107</v>
      </c>
      <c r="O311" s="1" t="s">
        <v>2108</v>
      </c>
      <c r="P311" s="1" t="s">
        <v>2109</v>
      </c>
      <c r="Q311" s="1" t="s">
        <v>2110</v>
      </c>
      <c r="R311" s="4"/>
    </row>
    <row r="312" spans="1:18" x14ac:dyDescent="0.25">
      <c r="A312" s="1" t="s">
        <v>141</v>
      </c>
      <c r="B312" s="1" t="s">
        <v>2111</v>
      </c>
      <c r="C312" s="1" t="s">
        <v>2112</v>
      </c>
      <c r="D312" s="4"/>
      <c r="E312" s="1">
        <v>2022</v>
      </c>
      <c r="F312" s="4"/>
      <c r="G312" s="4"/>
      <c r="H312" s="1" t="s">
        <v>2113</v>
      </c>
      <c r="I312" s="1" t="s">
        <v>257</v>
      </c>
      <c r="J312" s="1">
        <v>2022</v>
      </c>
      <c r="K312" s="1">
        <v>9781450393034</v>
      </c>
      <c r="L312" s="4"/>
      <c r="M312" s="4"/>
      <c r="N312" s="3" t="s">
        <v>2114</v>
      </c>
      <c r="O312" s="1" t="s">
        <v>2115</v>
      </c>
      <c r="P312" s="1" t="s">
        <v>2116</v>
      </c>
      <c r="Q312" s="1" t="s">
        <v>999</v>
      </c>
      <c r="R312" s="4"/>
    </row>
    <row r="313" spans="1:18" x14ac:dyDescent="0.25">
      <c r="A313" s="1" t="s">
        <v>13</v>
      </c>
      <c r="B313" s="1" t="s">
        <v>2117</v>
      </c>
      <c r="C313" s="1" t="s">
        <v>2118</v>
      </c>
      <c r="D313" s="1" t="s">
        <v>2119</v>
      </c>
      <c r="E313" s="1">
        <v>2021</v>
      </c>
      <c r="F313" s="1">
        <v>45</v>
      </c>
      <c r="G313" s="1">
        <v>3</v>
      </c>
      <c r="H313" s="1" t="s">
        <v>2120</v>
      </c>
      <c r="I313" s="1" t="s">
        <v>2121</v>
      </c>
      <c r="J313" s="1">
        <v>2021</v>
      </c>
      <c r="K313" s="4"/>
      <c r="L313" s="4"/>
      <c r="M313" s="1" t="s">
        <v>2122</v>
      </c>
      <c r="N313" s="3" t="s">
        <v>2123</v>
      </c>
      <c r="O313" s="1" t="s">
        <v>2124</v>
      </c>
      <c r="P313" s="1" t="s">
        <v>2125</v>
      </c>
      <c r="Q313" s="1" t="s">
        <v>397</v>
      </c>
      <c r="R313" s="4"/>
    </row>
    <row r="314" spans="1:18" x14ac:dyDescent="0.25">
      <c r="A314" s="1" t="s">
        <v>141</v>
      </c>
      <c r="B314" s="1" t="s">
        <v>2126</v>
      </c>
      <c r="C314" s="1" t="s">
        <v>2127</v>
      </c>
      <c r="D314" s="4"/>
      <c r="E314" s="1">
        <v>2022</v>
      </c>
      <c r="F314" s="4"/>
      <c r="G314" s="4"/>
      <c r="H314" s="1" t="s">
        <v>2128</v>
      </c>
      <c r="I314" s="1" t="s">
        <v>257</v>
      </c>
      <c r="J314" s="1">
        <v>2022</v>
      </c>
      <c r="K314" s="1">
        <v>9781665466790</v>
      </c>
      <c r="L314" s="4"/>
      <c r="M314" s="4"/>
      <c r="N314" s="3" t="s">
        <v>2129</v>
      </c>
      <c r="O314" s="1" t="s">
        <v>2130</v>
      </c>
      <c r="P314" s="1" t="s">
        <v>2131</v>
      </c>
      <c r="Q314" s="1" t="s">
        <v>157</v>
      </c>
      <c r="R314" s="4"/>
    </row>
    <row r="315" spans="1:18" x14ac:dyDescent="0.25">
      <c r="A315" s="1" t="s">
        <v>13</v>
      </c>
      <c r="B315" s="1" t="s">
        <v>2132</v>
      </c>
      <c r="C315" s="1" t="s">
        <v>2133</v>
      </c>
      <c r="D315" s="1" t="s">
        <v>2134</v>
      </c>
      <c r="E315" s="1">
        <v>2021</v>
      </c>
      <c r="F315" s="1">
        <v>25</v>
      </c>
      <c r="G315" s="1">
        <v>22</v>
      </c>
      <c r="H315" s="1" t="s">
        <v>2135</v>
      </c>
      <c r="I315" s="1" t="s">
        <v>212</v>
      </c>
      <c r="J315" s="1">
        <v>2021</v>
      </c>
      <c r="K315" s="4"/>
      <c r="L315" s="4"/>
      <c r="M315" s="1" t="s">
        <v>2136</v>
      </c>
      <c r="N315" s="3" t="s">
        <v>2137</v>
      </c>
      <c r="O315" s="1" t="s">
        <v>2138</v>
      </c>
      <c r="P315" s="1" t="s">
        <v>2139</v>
      </c>
      <c r="Q315" s="1" t="s">
        <v>176</v>
      </c>
      <c r="R315" s="4"/>
    </row>
    <row r="316" spans="1:18" x14ac:dyDescent="0.25">
      <c r="A316" s="1" t="s">
        <v>141</v>
      </c>
      <c r="B316" s="1" t="s">
        <v>2140</v>
      </c>
      <c r="C316" s="1" t="s">
        <v>2141</v>
      </c>
      <c r="D316" s="4"/>
      <c r="E316" s="1">
        <v>2021</v>
      </c>
      <c r="F316" s="4"/>
      <c r="G316" s="4"/>
      <c r="H316" s="1" t="s">
        <v>2142</v>
      </c>
      <c r="I316" s="1" t="s">
        <v>153</v>
      </c>
      <c r="J316" s="1">
        <v>2021</v>
      </c>
      <c r="K316" s="1">
        <v>9781450385626</v>
      </c>
      <c r="L316" s="4"/>
      <c r="M316" s="4"/>
      <c r="N316" s="3" t="s">
        <v>2143</v>
      </c>
      <c r="O316" s="1" t="s">
        <v>2144</v>
      </c>
      <c r="P316" s="1" t="s">
        <v>2145</v>
      </c>
      <c r="Q316" s="1" t="s">
        <v>318</v>
      </c>
      <c r="R316" s="4"/>
    </row>
    <row r="317" spans="1:18" x14ac:dyDescent="0.25">
      <c r="A317" s="1" t="s">
        <v>13</v>
      </c>
      <c r="B317" s="1" t="s">
        <v>2146</v>
      </c>
      <c r="C317" s="1" t="s">
        <v>2147</v>
      </c>
      <c r="D317" s="1" t="s">
        <v>422</v>
      </c>
      <c r="E317" s="1">
        <v>2021</v>
      </c>
      <c r="F317" s="1">
        <v>33</v>
      </c>
      <c r="G317" s="1">
        <v>11</v>
      </c>
      <c r="H317" s="1" t="s">
        <v>2148</v>
      </c>
      <c r="I317" s="1" t="s">
        <v>212</v>
      </c>
      <c r="J317" s="1">
        <v>2021</v>
      </c>
      <c r="K317" s="4"/>
      <c r="L317" s="4"/>
      <c r="M317" s="1" t="s">
        <v>423</v>
      </c>
      <c r="N317" s="3" t="s">
        <v>2149</v>
      </c>
      <c r="O317" s="1" t="s">
        <v>2150</v>
      </c>
      <c r="P317" s="1" t="s">
        <v>2151</v>
      </c>
      <c r="Q317" s="1" t="s">
        <v>318</v>
      </c>
      <c r="R317" s="4"/>
    </row>
    <row r="318" spans="1:18" x14ac:dyDescent="0.25">
      <c r="A318" s="1" t="s">
        <v>13</v>
      </c>
      <c r="B318" s="1" t="s">
        <v>2152</v>
      </c>
      <c r="C318" s="1" t="s">
        <v>2153</v>
      </c>
      <c r="D318" s="1" t="s">
        <v>354</v>
      </c>
      <c r="E318" s="1">
        <v>2021</v>
      </c>
      <c r="F318" s="1">
        <v>178</v>
      </c>
      <c r="G318" s="4"/>
      <c r="H318" s="4"/>
      <c r="I318" s="1" t="s">
        <v>355</v>
      </c>
      <c r="J318" s="1">
        <v>2021</v>
      </c>
      <c r="K318" s="4"/>
      <c r="L318" s="4"/>
      <c r="M318" s="1" t="s">
        <v>65</v>
      </c>
      <c r="N318" s="3" t="s">
        <v>2154</v>
      </c>
      <c r="O318" s="1" t="s">
        <v>2155</v>
      </c>
      <c r="P318" s="1" t="s">
        <v>2156</v>
      </c>
      <c r="Q318" s="1" t="s">
        <v>2157</v>
      </c>
      <c r="R318" s="4"/>
    </row>
    <row r="319" spans="1:18" x14ac:dyDescent="0.25">
      <c r="A319" s="1" t="s">
        <v>13</v>
      </c>
      <c r="B319" s="1" t="s">
        <v>2158</v>
      </c>
      <c r="C319" s="1" t="s">
        <v>2159</v>
      </c>
      <c r="D319" s="1" t="s">
        <v>255</v>
      </c>
      <c r="E319" s="1">
        <v>2021</v>
      </c>
      <c r="F319" s="1">
        <v>47</v>
      </c>
      <c r="G319" s="1">
        <v>12</v>
      </c>
      <c r="H319" s="1" t="s">
        <v>2160</v>
      </c>
      <c r="I319" s="1" t="s">
        <v>257</v>
      </c>
      <c r="J319" s="1">
        <v>2021</v>
      </c>
      <c r="K319" s="4"/>
      <c r="L319" s="4"/>
      <c r="M319" s="1" t="s">
        <v>18</v>
      </c>
      <c r="N319" s="3" t="s">
        <v>2161</v>
      </c>
      <c r="O319" s="1" t="s">
        <v>2162</v>
      </c>
      <c r="P319" s="1" t="s">
        <v>2163</v>
      </c>
      <c r="Q319" s="1" t="s">
        <v>1740</v>
      </c>
      <c r="R319" s="4"/>
    </row>
    <row r="320" spans="1:18" x14ac:dyDescent="0.25">
      <c r="A320" s="1" t="s">
        <v>13</v>
      </c>
      <c r="B320" s="1" t="s">
        <v>2164</v>
      </c>
      <c r="C320" s="1" t="s">
        <v>2165</v>
      </c>
      <c r="D320" s="1" t="s">
        <v>2166</v>
      </c>
      <c r="E320" s="1">
        <v>2021</v>
      </c>
      <c r="F320" s="1">
        <v>2</v>
      </c>
      <c r="G320" s="1">
        <v>5</v>
      </c>
      <c r="H320" s="4"/>
      <c r="I320" s="1" t="s">
        <v>137</v>
      </c>
      <c r="J320" s="1">
        <v>2021</v>
      </c>
      <c r="K320" s="4"/>
      <c r="L320" s="4"/>
      <c r="M320" s="1" t="s">
        <v>2167</v>
      </c>
      <c r="N320" s="3" t="s">
        <v>2168</v>
      </c>
      <c r="O320" s="1" t="s">
        <v>2169</v>
      </c>
      <c r="P320" s="1" t="s">
        <v>2170</v>
      </c>
      <c r="Q320" s="1" t="s">
        <v>1656</v>
      </c>
      <c r="R320" s="4"/>
    </row>
    <row r="321" spans="1:18" x14ac:dyDescent="0.25">
      <c r="A321" s="1" t="s">
        <v>141</v>
      </c>
      <c r="B321" s="1" t="s">
        <v>2171</v>
      </c>
      <c r="C321" s="1" t="s">
        <v>2172</v>
      </c>
      <c r="D321" s="4"/>
      <c r="E321" s="1">
        <v>2021</v>
      </c>
      <c r="F321" s="4"/>
      <c r="G321" s="4"/>
      <c r="H321" s="1" t="s">
        <v>2173</v>
      </c>
      <c r="I321" s="1" t="s">
        <v>145</v>
      </c>
      <c r="J321" s="1">
        <v>2021</v>
      </c>
      <c r="K321" s="1">
        <v>9781450390538</v>
      </c>
      <c r="L321" s="4"/>
      <c r="M321" s="4"/>
      <c r="N321" s="3" t="s">
        <v>2174</v>
      </c>
      <c r="O321" s="1" t="s">
        <v>2175</v>
      </c>
      <c r="P321" s="1" t="s">
        <v>2176</v>
      </c>
      <c r="Q321" s="1" t="s">
        <v>520</v>
      </c>
      <c r="R321" s="4"/>
    </row>
    <row r="322" spans="1:18" x14ac:dyDescent="0.25">
      <c r="A322" s="1" t="s">
        <v>13</v>
      </c>
      <c r="B322" s="1" t="s">
        <v>2177</v>
      </c>
      <c r="C322" s="1" t="s">
        <v>2178</v>
      </c>
      <c r="D322" s="1" t="s">
        <v>2179</v>
      </c>
      <c r="E322" s="1">
        <v>2022</v>
      </c>
      <c r="F322" s="1">
        <v>7</v>
      </c>
      <c r="G322" s="4"/>
      <c r="H322" s="4"/>
      <c r="I322" s="1" t="s">
        <v>2180</v>
      </c>
      <c r="J322" s="1">
        <v>2022</v>
      </c>
      <c r="K322" s="4"/>
      <c r="L322" s="4"/>
      <c r="M322" s="1" t="s">
        <v>2181</v>
      </c>
      <c r="N322" s="3" t="s">
        <v>2182</v>
      </c>
      <c r="O322" s="1" t="s">
        <v>2183</v>
      </c>
      <c r="P322" s="1" t="s">
        <v>2184</v>
      </c>
      <c r="Q322" s="1" t="s">
        <v>2185</v>
      </c>
      <c r="R322" s="4"/>
    </row>
    <row r="323" spans="1:18" x14ac:dyDescent="0.25">
      <c r="A323" s="1" t="s">
        <v>13</v>
      </c>
      <c r="B323" s="1" t="s">
        <v>2186</v>
      </c>
      <c r="C323" s="1" t="s">
        <v>2187</v>
      </c>
      <c r="D323" s="1" t="s">
        <v>1870</v>
      </c>
      <c r="E323" s="1">
        <v>2022</v>
      </c>
      <c r="F323" s="1" t="s">
        <v>2188</v>
      </c>
      <c r="G323" s="4"/>
      <c r="H323" s="1" t="s">
        <v>2189</v>
      </c>
      <c r="I323" s="1" t="s">
        <v>212</v>
      </c>
      <c r="J323" s="1">
        <v>2022</v>
      </c>
      <c r="K323" s="4"/>
      <c r="L323" s="4"/>
      <c r="M323" s="1" t="s">
        <v>1873</v>
      </c>
      <c r="N323" s="3" t="s">
        <v>2190</v>
      </c>
      <c r="O323" s="1" t="s">
        <v>2191</v>
      </c>
      <c r="P323" s="1" t="s">
        <v>2192</v>
      </c>
      <c r="Q323" s="1" t="s">
        <v>157</v>
      </c>
      <c r="R323" s="4"/>
    </row>
    <row r="324" spans="1:18" x14ac:dyDescent="0.25">
      <c r="A324" s="1" t="s">
        <v>13</v>
      </c>
      <c r="B324" s="1" t="s">
        <v>2193</v>
      </c>
      <c r="C324" s="1" t="s">
        <v>2194</v>
      </c>
      <c r="D324" s="1" t="s">
        <v>2195</v>
      </c>
      <c r="E324" s="1">
        <v>2021</v>
      </c>
      <c r="F324" s="1">
        <v>12</v>
      </c>
      <c r="G324" s="1">
        <v>4</v>
      </c>
      <c r="H324" s="1" t="s">
        <v>2196</v>
      </c>
      <c r="I324" s="1" t="s">
        <v>212</v>
      </c>
      <c r="J324" s="1">
        <v>2021</v>
      </c>
      <c r="K324" s="4"/>
      <c r="L324" s="4"/>
      <c r="M324" s="1" t="s">
        <v>2197</v>
      </c>
      <c r="N324" s="3" t="s">
        <v>2198</v>
      </c>
      <c r="O324" s="1" t="s">
        <v>2199</v>
      </c>
      <c r="P324" s="1" t="s">
        <v>2200</v>
      </c>
      <c r="Q324" s="1" t="s">
        <v>2201</v>
      </c>
      <c r="R324" s="4"/>
    </row>
    <row r="325" spans="1:18" x14ac:dyDescent="0.25">
      <c r="A325" s="1" t="s">
        <v>141</v>
      </c>
      <c r="B325" s="1" t="s">
        <v>2202</v>
      </c>
      <c r="C325" s="1" t="s">
        <v>2203</v>
      </c>
      <c r="D325" s="4"/>
      <c r="E325" s="1">
        <v>2021</v>
      </c>
      <c r="F325" s="4"/>
      <c r="G325" s="4"/>
      <c r="H325" s="1" t="s">
        <v>2204</v>
      </c>
      <c r="I325" s="1" t="s">
        <v>153</v>
      </c>
      <c r="J325" s="1">
        <v>2021</v>
      </c>
      <c r="K325" s="1">
        <v>9781450384582</v>
      </c>
      <c r="L325" s="4"/>
      <c r="M325" s="4"/>
      <c r="N325" s="3" t="s">
        <v>2205</v>
      </c>
      <c r="O325" s="1" t="s">
        <v>2206</v>
      </c>
      <c r="P325" s="1" t="s">
        <v>2207</v>
      </c>
      <c r="Q325" s="1" t="s">
        <v>289</v>
      </c>
      <c r="R325" s="4"/>
    </row>
    <row r="326" spans="1:18" x14ac:dyDescent="0.25">
      <c r="A326" s="1" t="s">
        <v>141</v>
      </c>
      <c r="B326" s="1" t="s">
        <v>2208</v>
      </c>
      <c r="C326" s="1" t="s">
        <v>2209</v>
      </c>
      <c r="D326" s="4"/>
      <c r="E326" s="1">
        <v>2022</v>
      </c>
      <c r="F326" s="4"/>
      <c r="G326" s="4"/>
      <c r="H326" s="1" t="s">
        <v>2210</v>
      </c>
      <c r="I326" s="1" t="s">
        <v>257</v>
      </c>
      <c r="J326" s="1">
        <v>2022</v>
      </c>
      <c r="K326" s="1">
        <v>9781665437868</v>
      </c>
      <c r="L326" s="4"/>
      <c r="M326" s="4"/>
      <c r="N326" s="3" t="s">
        <v>2211</v>
      </c>
      <c r="O326" s="1" t="s">
        <v>2212</v>
      </c>
      <c r="P326" s="1" t="s">
        <v>2213</v>
      </c>
      <c r="Q326" s="1" t="s">
        <v>520</v>
      </c>
      <c r="R326" s="4"/>
    </row>
    <row r="327" spans="1:18" x14ac:dyDescent="0.25">
      <c r="A327" s="1" t="s">
        <v>13</v>
      </c>
      <c r="B327" s="1" t="s">
        <v>2214</v>
      </c>
      <c r="C327" s="1" t="s">
        <v>2215</v>
      </c>
      <c r="D327" s="1" t="s">
        <v>523</v>
      </c>
      <c r="E327" s="1">
        <v>2021</v>
      </c>
      <c r="F327" s="1">
        <v>29</v>
      </c>
      <c r="G327" s="1">
        <v>4</v>
      </c>
      <c r="H327" s="1" t="s">
        <v>2216</v>
      </c>
      <c r="I327" s="1" t="s">
        <v>137</v>
      </c>
      <c r="J327" s="1">
        <v>2021</v>
      </c>
      <c r="K327" s="4"/>
      <c r="L327" s="4"/>
      <c r="M327" s="1" t="s">
        <v>525</v>
      </c>
      <c r="N327" s="3" t="s">
        <v>2217</v>
      </c>
      <c r="O327" s="1" t="s">
        <v>2218</v>
      </c>
      <c r="P327" s="1" t="s">
        <v>2219</v>
      </c>
      <c r="Q327" s="1" t="s">
        <v>318</v>
      </c>
      <c r="R327" s="4"/>
    </row>
    <row r="328" spans="1:18" x14ac:dyDescent="0.25">
      <c r="A328" s="1" t="s">
        <v>141</v>
      </c>
      <c r="B328" s="1" t="s">
        <v>2220</v>
      </c>
      <c r="C328" s="1" t="s">
        <v>2221</v>
      </c>
      <c r="D328" s="4"/>
      <c r="E328" s="1">
        <v>2022</v>
      </c>
      <c r="F328" s="4"/>
      <c r="G328" s="4"/>
      <c r="H328" s="1" t="s">
        <v>2222</v>
      </c>
      <c r="I328" s="1" t="s">
        <v>257</v>
      </c>
      <c r="J328" s="1">
        <v>2022</v>
      </c>
      <c r="K328" s="1">
        <v>9781665437868</v>
      </c>
      <c r="L328" s="4"/>
      <c r="M328" s="4"/>
      <c r="N328" s="3" t="s">
        <v>2223</v>
      </c>
      <c r="O328" s="1" t="s">
        <v>2224</v>
      </c>
      <c r="P328" s="1" t="s">
        <v>2225</v>
      </c>
      <c r="Q328" s="1" t="s">
        <v>318</v>
      </c>
      <c r="R328" s="4"/>
    </row>
    <row r="329" spans="1:18" x14ac:dyDescent="0.25">
      <c r="A329" s="1" t="s">
        <v>141</v>
      </c>
      <c r="B329" s="1" t="s">
        <v>2226</v>
      </c>
      <c r="C329" s="1" t="s">
        <v>2227</v>
      </c>
      <c r="D329" s="4"/>
      <c r="E329" s="1">
        <v>2021</v>
      </c>
      <c r="F329" s="4"/>
      <c r="G329" s="4"/>
      <c r="H329" s="1" t="s">
        <v>2228</v>
      </c>
      <c r="I329" s="1" t="s">
        <v>257</v>
      </c>
      <c r="J329" s="1">
        <v>2021</v>
      </c>
      <c r="K329" s="1">
        <v>9781665423922</v>
      </c>
      <c r="L329" s="4"/>
      <c r="M329" s="4"/>
      <c r="N329" s="3" t="s">
        <v>2229</v>
      </c>
      <c r="O329" s="1" t="s">
        <v>2230</v>
      </c>
      <c r="P329" s="1" t="s">
        <v>2231</v>
      </c>
      <c r="Q329" s="1" t="s">
        <v>157</v>
      </c>
      <c r="R329" s="4"/>
    </row>
    <row r="330" spans="1:18" x14ac:dyDescent="0.25">
      <c r="A330" s="1" t="s">
        <v>13</v>
      </c>
      <c r="B330" s="1" t="s">
        <v>2232</v>
      </c>
      <c r="C330" s="1" t="s">
        <v>2233</v>
      </c>
      <c r="D330" s="1" t="s">
        <v>255</v>
      </c>
      <c r="E330" s="1">
        <v>2022</v>
      </c>
      <c r="F330" s="1">
        <v>48</v>
      </c>
      <c r="G330" s="1">
        <v>1</v>
      </c>
      <c r="H330" s="1" t="s">
        <v>2234</v>
      </c>
      <c r="I330" s="1" t="s">
        <v>257</v>
      </c>
      <c r="J330" s="1">
        <v>2022</v>
      </c>
      <c r="K330" s="4"/>
      <c r="L330" s="4"/>
      <c r="M330" s="1" t="s">
        <v>18</v>
      </c>
      <c r="N330" s="3" t="s">
        <v>2235</v>
      </c>
      <c r="O330" s="1" t="s">
        <v>2236</v>
      </c>
      <c r="P330" s="1" t="s">
        <v>2237</v>
      </c>
      <c r="Q330" s="1" t="s">
        <v>1404</v>
      </c>
      <c r="R330" s="4"/>
    </row>
    <row r="331" spans="1:18" x14ac:dyDescent="0.25">
      <c r="A331" s="1" t="s">
        <v>13</v>
      </c>
      <c r="B331" s="1" t="s">
        <v>2238</v>
      </c>
      <c r="C331" s="1" t="s">
        <v>2239</v>
      </c>
      <c r="D331" s="1" t="s">
        <v>354</v>
      </c>
      <c r="E331" s="1">
        <v>2021</v>
      </c>
      <c r="F331" s="1">
        <v>178</v>
      </c>
      <c r="G331" s="4"/>
      <c r="H331" s="4"/>
      <c r="I331" s="1" t="s">
        <v>355</v>
      </c>
      <c r="J331" s="1">
        <v>2021</v>
      </c>
      <c r="K331" s="4"/>
      <c r="L331" s="4"/>
      <c r="M331" s="1" t="s">
        <v>65</v>
      </c>
      <c r="N331" s="3" t="s">
        <v>2240</v>
      </c>
      <c r="O331" s="1" t="s">
        <v>2241</v>
      </c>
      <c r="P331" s="1" t="s">
        <v>2242</v>
      </c>
      <c r="Q331" s="1" t="s">
        <v>2243</v>
      </c>
      <c r="R331" s="4"/>
    </row>
    <row r="332" spans="1:18" x14ac:dyDescent="0.25">
      <c r="A332" s="1" t="s">
        <v>141</v>
      </c>
      <c r="B332" s="1" t="s">
        <v>2244</v>
      </c>
      <c r="C332" s="1" t="s">
        <v>2245</v>
      </c>
      <c r="D332" s="4"/>
      <c r="E332" s="1">
        <v>2022</v>
      </c>
      <c r="F332" s="4"/>
      <c r="G332" s="4"/>
      <c r="H332" s="1" t="s">
        <v>2246</v>
      </c>
      <c r="I332" s="1" t="s">
        <v>257</v>
      </c>
      <c r="J332" s="1">
        <v>2022</v>
      </c>
      <c r="K332" s="1">
        <v>9783981926361</v>
      </c>
      <c r="L332" s="4"/>
      <c r="M332" s="4"/>
      <c r="N332" s="3" t="s">
        <v>2247</v>
      </c>
      <c r="O332" s="1" t="s">
        <v>2248</v>
      </c>
      <c r="P332" s="1" t="s">
        <v>2249</v>
      </c>
      <c r="Q332" s="1" t="s">
        <v>157</v>
      </c>
      <c r="R332" s="4"/>
    </row>
    <row r="333" spans="1:18" x14ac:dyDescent="0.25">
      <c r="A333" s="1" t="s">
        <v>141</v>
      </c>
      <c r="B333" s="1" t="s">
        <v>1747</v>
      </c>
      <c r="C333" s="1" t="s">
        <v>2250</v>
      </c>
      <c r="D333" s="4"/>
      <c r="E333" s="1">
        <v>2022</v>
      </c>
      <c r="F333" s="4"/>
      <c r="G333" s="4"/>
      <c r="H333" s="1" t="s">
        <v>2251</v>
      </c>
      <c r="I333" s="1" t="s">
        <v>257</v>
      </c>
      <c r="J333" s="1">
        <v>2022</v>
      </c>
      <c r="K333" s="1">
        <v>9781450393195</v>
      </c>
      <c r="L333" s="4"/>
      <c r="M333" s="4"/>
      <c r="N333" s="3" t="s">
        <v>2252</v>
      </c>
      <c r="O333" s="1" t="s">
        <v>2253</v>
      </c>
      <c r="P333" s="1" t="s">
        <v>2254</v>
      </c>
      <c r="Q333" s="1" t="s">
        <v>157</v>
      </c>
      <c r="R333" s="4"/>
    </row>
    <row r="334" spans="1:18" x14ac:dyDescent="0.25">
      <c r="A334" s="1" t="s">
        <v>13</v>
      </c>
      <c r="B334" s="1" t="s">
        <v>2255</v>
      </c>
      <c r="C334" s="1" t="s">
        <v>2256</v>
      </c>
      <c r="D334" s="1" t="s">
        <v>2257</v>
      </c>
      <c r="E334" s="1">
        <v>2022</v>
      </c>
      <c r="F334" s="1">
        <v>34</v>
      </c>
      <c r="G334" s="1">
        <v>1</v>
      </c>
      <c r="H334" s="1" t="s">
        <v>2258</v>
      </c>
      <c r="I334" s="1" t="s">
        <v>1714</v>
      </c>
      <c r="J334" s="1">
        <v>2022</v>
      </c>
      <c r="K334" s="4"/>
      <c r="L334" s="4"/>
      <c r="M334" s="1" t="s">
        <v>2259</v>
      </c>
      <c r="N334" s="3" t="s">
        <v>2260</v>
      </c>
      <c r="O334" s="1" t="s">
        <v>2261</v>
      </c>
      <c r="P334" s="1" t="s">
        <v>2262</v>
      </c>
      <c r="Q334" s="1" t="s">
        <v>447</v>
      </c>
      <c r="R334" s="4"/>
    </row>
    <row r="335" spans="1:18" x14ac:dyDescent="0.25">
      <c r="A335" s="1" t="s">
        <v>13</v>
      </c>
      <c r="B335" s="1" t="s">
        <v>2263</v>
      </c>
      <c r="C335" s="1" t="s">
        <v>2264</v>
      </c>
      <c r="D335" s="1" t="s">
        <v>2265</v>
      </c>
      <c r="E335" s="1">
        <v>2022</v>
      </c>
      <c r="F335" s="1">
        <v>43</v>
      </c>
      <c r="G335" s="1">
        <v>1</v>
      </c>
      <c r="H335" s="1" t="s">
        <v>2266</v>
      </c>
      <c r="I335" s="1" t="s">
        <v>2267</v>
      </c>
      <c r="J335" s="1">
        <v>2022</v>
      </c>
      <c r="K335" s="4"/>
      <c r="L335" s="4"/>
      <c r="M335" s="1" t="s">
        <v>2268</v>
      </c>
      <c r="N335" s="3" t="s">
        <v>2269</v>
      </c>
      <c r="O335" s="1" t="s">
        <v>2270</v>
      </c>
      <c r="P335" s="1" t="s">
        <v>2271</v>
      </c>
      <c r="Q335" s="1" t="s">
        <v>157</v>
      </c>
      <c r="R335" s="4"/>
    </row>
    <row r="336" spans="1:18" x14ac:dyDescent="0.25">
      <c r="A336" s="1" t="s">
        <v>141</v>
      </c>
      <c r="B336" s="1" t="s">
        <v>2272</v>
      </c>
      <c r="C336" s="1" t="s">
        <v>2273</v>
      </c>
      <c r="D336" s="4"/>
      <c r="E336" s="1">
        <v>2022</v>
      </c>
      <c r="F336" s="4"/>
      <c r="G336" s="4"/>
      <c r="H336" s="1" t="s">
        <v>2274</v>
      </c>
      <c r="I336" s="1" t="s">
        <v>257</v>
      </c>
      <c r="J336" s="1">
        <v>2022</v>
      </c>
      <c r="K336" s="1">
        <v>9781665437868</v>
      </c>
      <c r="L336" s="4"/>
      <c r="M336" s="4"/>
      <c r="N336" s="3" t="s">
        <v>2275</v>
      </c>
      <c r="O336" s="1" t="s">
        <v>2276</v>
      </c>
      <c r="P336" s="1" t="s">
        <v>2277</v>
      </c>
      <c r="Q336" s="1" t="s">
        <v>318</v>
      </c>
      <c r="R336" s="4"/>
    </row>
    <row r="337" spans="1:18" x14ac:dyDescent="0.25">
      <c r="A337" s="1" t="s">
        <v>13</v>
      </c>
      <c r="B337" s="1" t="s">
        <v>2278</v>
      </c>
      <c r="C337" s="1" t="s">
        <v>2279</v>
      </c>
      <c r="D337" s="1" t="s">
        <v>2280</v>
      </c>
      <c r="E337" s="1">
        <v>2021</v>
      </c>
      <c r="F337" s="1">
        <v>14</v>
      </c>
      <c r="G337" s="9">
        <v>44989</v>
      </c>
      <c r="H337" s="1" t="s">
        <v>2281</v>
      </c>
      <c r="I337" s="1" t="s">
        <v>137</v>
      </c>
      <c r="J337" s="1">
        <v>2021</v>
      </c>
      <c r="K337" s="4"/>
      <c r="L337" s="4"/>
      <c r="M337" s="1" t="s">
        <v>2282</v>
      </c>
      <c r="N337" s="3" t="s">
        <v>2283</v>
      </c>
      <c r="O337" s="1" t="s">
        <v>2284</v>
      </c>
      <c r="P337" s="1" t="s">
        <v>2285</v>
      </c>
      <c r="Q337" s="1" t="s">
        <v>2286</v>
      </c>
      <c r="R337" s="4"/>
    </row>
    <row r="338" spans="1:18" x14ac:dyDescent="0.25">
      <c r="A338" s="1" t="s">
        <v>13</v>
      </c>
      <c r="B338" s="1" t="s">
        <v>2287</v>
      </c>
      <c r="C338" s="1" t="s">
        <v>2288</v>
      </c>
      <c r="D338" s="1" t="s">
        <v>2289</v>
      </c>
      <c r="E338" s="1">
        <v>2022</v>
      </c>
      <c r="F338" s="1">
        <v>73</v>
      </c>
      <c r="G338" s="1">
        <v>4</v>
      </c>
      <c r="H338" s="1" t="s">
        <v>2290</v>
      </c>
      <c r="I338" s="1" t="s">
        <v>1714</v>
      </c>
      <c r="J338" s="1">
        <v>2022</v>
      </c>
      <c r="K338" s="4"/>
      <c r="L338" s="4"/>
      <c r="M338" s="1" t="s">
        <v>2291</v>
      </c>
      <c r="N338" s="3" t="s">
        <v>2292</v>
      </c>
      <c r="O338" s="1" t="s">
        <v>2293</v>
      </c>
      <c r="P338" s="1" t="s">
        <v>2294</v>
      </c>
      <c r="Q338" s="1" t="s">
        <v>318</v>
      </c>
      <c r="R338" s="4"/>
    </row>
    <row r="339" spans="1:18" x14ac:dyDescent="0.25">
      <c r="A339" s="1" t="s">
        <v>13</v>
      </c>
      <c r="B339" s="1" t="s">
        <v>2295</v>
      </c>
      <c r="C339" s="1" t="s">
        <v>2296</v>
      </c>
      <c r="D339" s="1" t="s">
        <v>328</v>
      </c>
      <c r="E339" s="1">
        <v>2021</v>
      </c>
      <c r="F339" s="1">
        <v>30</v>
      </c>
      <c r="G339" s="1">
        <v>4</v>
      </c>
      <c r="H339" s="4"/>
      <c r="I339" s="1" t="s">
        <v>145</v>
      </c>
      <c r="J339" s="1">
        <v>2021</v>
      </c>
      <c r="K339" s="4"/>
      <c r="L339" s="4"/>
      <c r="M339" s="1" t="s">
        <v>329</v>
      </c>
      <c r="N339" s="3" t="s">
        <v>2297</v>
      </c>
      <c r="O339" s="1" t="s">
        <v>2298</v>
      </c>
      <c r="P339" s="1" t="s">
        <v>2299</v>
      </c>
      <c r="Q339" s="1" t="s">
        <v>1573</v>
      </c>
      <c r="R339" s="4"/>
    </row>
    <row r="340" spans="1:18" x14ac:dyDescent="0.25">
      <c r="A340" s="1" t="s">
        <v>13</v>
      </c>
      <c r="B340" s="1" t="s">
        <v>2300</v>
      </c>
      <c r="C340" s="1" t="s">
        <v>2301</v>
      </c>
      <c r="D340" s="1" t="s">
        <v>2302</v>
      </c>
      <c r="E340" s="1">
        <v>2022</v>
      </c>
      <c r="F340" s="4"/>
      <c r="G340" s="4"/>
      <c r="H340" s="4"/>
      <c r="I340" s="1" t="s">
        <v>137</v>
      </c>
      <c r="J340" s="1">
        <v>2022</v>
      </c>
      <c r="K340" s="4"/>
      <c r="L340" s="4"/>
      <c r="M340" s="1" t="s">
        <v>2303</v>
      </c>
      <c r="N340" s="3" t="s">
        <v>2304</v>
      </c>
      <c r="O340" s="1" t="s">
        <v>2305</v>
      </c>
      <c r="P340" s="1" t="s">
        <v>2306</v>
      </c>
      <c r="Q340" s="1" t="s">
        <v>157</v>
      </c>
      <c r="R340" s="4"/>
    </row>
    <row r="341" spans="1:18" x14ac:dyDescent="0.25">
      <c r="A341" s="1" t="s">
        <v>141</v>
      </c>
      <c r="B341" s="1" t="s">
        <v>2307</v>
      </c>
      <c r="C341" s="1" t="s">
        <v>2308</v>
      </c>
      <c r="D341" s="4"/>
      <c r="E341" s="1">
        <v>2022</v>
      </c>
      <c r="F341" s="4"/>
      <c r="G341" s="4"/>
      <c r="H341" s="1" t="s">
        <v>2309</v>
      </c>
      <c r="I341" s="1" t="s">
        <v>257</v>
      </c>
      <c r="J341" s="1">
        <v>2022</v>
      </c>
      <c r="K341" s="1">
        <v>9781450393041</v>
      </c>
      <c r="L341" s="4"/>
      <c r="M341" s="4"/>
      <c r="N341" s="3" t="s">
        <v>2310</v>
      </c>
      <c r="O341" s="1" t="s">
        <v>2311</v>
      </c>
      <c r="P341" s="1" t="s">
        <v>2312</v>
      </c>
      <c r="Q341" s="1" t="s">
        <v>157</v>
      </c>
      <c r="R341" s="4"/>
    </row>
    <row r="342" spans="1:18" x14ac:dyDescent="0.25">
      <c r="A342" s="1" t="s">
        <v>141</v>
      </c>
      <c r="B342" s="1" t="s">
        <v>2313</v>
      </c>
      <c r="C342" s="1" t="s">
        <v>2314</v>
      </c>
      <c r="D342" s="4"/>
      <c r="E342" s="1">
        <v>2022</v>
      </c>
      <c r="F342" s="4"/>
      <c r="G342" s="4"/>
      <c r="H342" s="1" t="s">
        <v>1587</v>
      </c>
      <c r="I342" s="1" t="s">
        <v>257</v>
      </c>
      <c r="J342" s="1">
        <v>2022</v>
      </c>
      <c r="K342" s="1">
        <v>9781665417280</v>
      </c>
      <c r="L342" s="4"/>
      <c r="M342" s="4"/>
      <c r="N342" s="3" t="s">
        <v>2315</v>
      </c>
      <c r="O342" s="1" t="s">
        <v>2316</v>
      </c>
      <c r="P342" s="1" t="s">
        <v>2317</v>
      </c>
      <c r="Q342" s="1" t="s">
        <v>157</v>
      </c>
      <c r="R342" s="4"/>
    </row>
    <row r="343" spans="1:18" x14ac:dyDescent="0.25">
      <c r="A343" s="1" t="s">
        <v>13</v>
      </c>
      <c r="B343" s="1" t="s">
        <v>2318</v>
      </c>
      <c r="C343" s="1" t="s">
        <v>2319</v>
      </c>
      <c r="D343" s="1" t="s">
        <v>2320</v>
      </c>
      <c r="E343" s="1">
        <v>2022</v>
      </c>
      <c r="F343" s="1">
        <v>412</v>
      </c>
      <c r="G343" s="4"/>
      <c r="H343" s="4"/>
      <c r="I343" s="1" t="s">
        <v>355</v>
      </c>
      <c r="J343" s="1">
        <v>2022</v>
      </c>
      <c r="K343" s="4"/>
      <c r="L343" s="4"/>
      <c r="M343" s="1" t="s">
        <v>2321</v>
      </c>
      <c r="N343" s="3" t="s">
        <v>2322</v>
      </c>
      <c r="O343" s="1" t="s">
        <v>2323</v>
      </c>
      <c r="P343" s="1" t="s">
        <v>2324</v>
      </c>
      <c r="Q343" s="1" t="s">
        <v>1573</v>
      </c>
      <c r="R343" s="4"/>
    </row>
    <row r="344" spans="1:18" x14ac:dyDescent="0.25">
      <c r="A344" s="1" t="s">
        <v>13</v>
      </c>
      <c r="B344" s="1" t="s">
        <v>2325</v>
      </c>
      <c r="C344" s="1" t="s">
        <v>2326</v>
      </c>
      <c r="D344" s="1" t="s">
        <v>2327</v>
      </c>
      <c r="E344" s="1">
        <v>2021</v>
      </c>
      <c r="F344" s="1">
        <v>199</v>
      </c>
      <c r="G344" s="9">
        <v>44989</v>
      </c>
      <c r="H344" s="1" t="s">
        <v>2328</v>
      </c>
      <c r="I344" s="1" t="s">
        <v>392</v>
      </c>
      <c r="J344" s="1">
        <v>2021</v>
      </c>
      <c r="K344" s="4"/>
      <c r="L344" s="4"/>
      <c r="M344" s="1" t="s">
        <v>2329</v>
      </c>
      <c r="N344" s="3" t="s">
        <v>2330</v>
      </c>
      <c r="O344" s="1" t="s">
        <v>2331</v>
      </c>
      <c r="P344" s="1" t="s">
        <v>2332</v>
      </c>
      <c r="Q344" s="1" t="s">
        <v>2333</v>
      </c>
      <c r="R344" s="4"/>
    </row>
    <row r="345" spans="1:18" x14ac:dyDescent="0.25">
      <c r="A345" s="1" t="s">
        <v>141</v>
      </c>
      <c r="B345" s="1" t="s">
        <v>2334</v>
      </c>
      <c r="C345" s="1" t="s">
        <v>2335</v>
      </c>
      <c r="D345" s="4"/>
      <c r="E345" s="1">
        <v>2021</v>
      </c>
      <c r="F345" s="7">
        <v>44409</v>
      </c>
      <c r="G345" s="4"/>
      <c r="H345" s="1" t="s">
        <v>2336</v>
      </c>
      <c r="I345" s="1" t="s">
        <v>196</v>
      </c>
      <c r="J345" s="1">
        <v>2021</v>
      </c>
      <c r="K345" s="1">
        <v>9781665418737</v>
      </c>
      <c r="L345" s="4"/>
      <c r="M345" s="1" t="s">
        <v>2337</v>
      </c>
      <c r="N345" s="3" t="s">
        <v>2338</v>
      </c>
      <c r="O345" s="1" t="s">
        <v>2339</v>
      </c>
      <c r="P345" s="1" t="s">
        <v>2340</v>
      </c>
      <c r="Q345" s="1" t="s">
        <v>318</v>
      </c>
      <c r="R345" s="4"/>
    </row>
    <row r="346" spans="1:18" x14ac:dyDescent="0.25">
      <c r="A346" s="1" t="s">
        <v>141</v>
      </c>
      <c r="B346" s="1" t="s">
        <v>2341</v>
      </c>
      <c r="C346" s="1" t="s">
        <v>2342</v>
      </c>
      <c r="D346" s="4"/>
      <c r="E346" s="1">
        <v>2022</v>
      </c>
      <c r="F346" s="4"/>
      <c r="G346" s="4"/>
      <c r="H346" s="1" t="s">
        <v>2343</v>
      </c>
      <c r="I346" s="1" t="s">
        <v>196</v>
      </c>
      <c r="J346" s="1">
        <v>2022</v>
      </c>
      <c r="K346" s="1">
        <v>9781665495981</v>
      </c>
      <c r="L346" s="4"/>
      <c r="M346" s="1" t="s">
        <v>1458</v>
      </c>
      <c r="N346" s="3" t="s">
        <v>2344</v>
      </c>
      <c r="O346" s="1" t="s">
        <v>2345</v>
      </c>
      <c r="P346" s="1" t="s">
        <v>2346</v>
      </c>
      <c r="Q346" s="1" t="s">
        <v>157</v>
      </c>
      <c r="R346" s="4"/>
    </row>
    <row r="347" spans="1:18" x14ac:dyDescent="0.25">
      <c r="A347" s="1" t="s">
        <v>141</v>
      </c>
      <c r="B347" s="1" t="s">
        <v>2347</v>
      </c>
      <c r="C347" s="1" t="s">
        <v>2348</v>
      </c>
      <c r="D347" s="4"/>
      <c r="E347" s="1">
        <v>2022</v>
      </c>
      <c r="F347" s="4"/>
      <c r="G347" s="4"/>
      <c r="H347" s="1" t="s">
        <v>2349</v>
      </c>
      <c r="I347" s="1" t="s">
        <v>257</v>
      </c>
      <c r="J347" s="1">
        <v>2022</v>
      </c>
      <c r="K347" s="1">
        <v>9781450392754</v>
      </c>
      <c r="L347" s="4"/>
      <c r="M347" s="4"/>
      <c r="N347" s="3" t="s">
        <v>2350</v>
      </c>
      <c r="O347" s="1" t="s">
        <v>2351</v>
      </c>
      <c r="P347" s="1" t="s">
        <v>2352</v>
      </c>
      <c r="Q347" s="1" t="s">
        <v>568</v>
      </c>
      <c r="R347" s="4"/>
    </row>
    <row r="348" spans="1:18" x14ac:dyDescent="0.25">
      <c r="A348" s="1" t="s">
        <v>13</v>
      </c>
      <c r="B348" s="1" t="s">
        <v>2353</v>
      </c>
      <c r="C348" s="1" t="s">
        <v>2354</v>
      </c>
      <c r="D348" s="1" t="s">
        <v>2355</v>
      </c>
      <c r="E348" s="1">
        <v>2022</v>
      </c>
      <c r="F348" s="1">
        <v>23</v>
      </c>
      <c r="G348" s="1">
        <v>3</v>
      </c>
      <c r="H348" s="1" t="s">
        <v>2356</v>
      </c>
      <c r="I348" s="1" t="s">
        <v>2357</v>
      </c>
      <c r="J348" s="1">
        <v>2022</v>
      </c>
      <c r="K348" s="4"/>
      <c r="L348" s="4"/>
      <c r="M348" s="1" t="s">
        <v>2358</v>
      </c>
      <c r="N348" s="3" t="s">
        <v>2359</v>
      </c>
      <c r="O348" s="1" t="s">
        <v>2360</v>
      </c>
      <c r="P348" s="1" t="s">
        <v>2361</v>
      </c>
      <c r="Q348" s="1" t="s">
        <v>568</v>
      </c>
      <c r="R348" s="4"/>
    </row>
    <row r="349" spans="1:18" x14ac:dyDescent="0.25">
      <c r="A349" s="1" t="s">
        <v>141</v>
      </c>
      <c r="B349" s="1" t="s">
        <v>2362</v>
      </c>
      <c r="C349" s="1" t="s">
        <v>2363</v>
      </c>
      <c r="D349" s="4"/>
      <c r="E349" s="1">
        <v>2021</v>
      </c>
      <c r="F349" s="4"/>
      <c r="G349" s="4"/>
      <c r="H349" s="1" t="s">
        <v>2364</v>
      </c>
      <c r="I349" s="1" t="s">
        <v>153</v>
      </c>
      <c r="J349" s="1">
        <v>2021</v>
      </c>
      <c r="K349" s="1">
        <v>9781450385626</v>
      </c>
      <c r="L349" s="4"/>
      <c r="M349" s="4"/>
      <c r="N349" s="3" t="s">
        <v>2365</v>
      </c>
      <c r="O349" s="1" t="s">
        <v>2366</v>
      </c>
      <c r="P349" s="1" t="s">
        <v>2367</v>
      </c>
      <c r="Q349" s="1" t="s">
        <v>1591</v>
      </c>
      <c r="R349" s="4"/>
    </row>
    <row r="350" spans="1:18" x14ac:dyDescent="0.25">
      <c r="A350" s="1" t="s">
        <v>141</v>
      </c>
      <c r="B350" s="1" t="s">
        <v>2368</v>
      </c>
      <c r="C350" s="1" t="s">
        <v>2369</v>
      </c>
      <c r="D350" s="4"/>
      <c r="E350" s="1">
        <v>2021</v>
      </c>
      <c r="F350" s="4"/>
      <c r="G350" s="4"/>
      <c r="H350" s="1" t="s">
        <v>2370</v>
      </c>
      <c r="I350" s="1" t="s">
        <v>257</v>
      </c>
      <c r="J350" s="1">
        <v>2021</v>
      </c>
      <c r="K350" s="1">
        <v>9781665414098</v>
      </c>
      <c r="L350" s="4"/>
      <c r="M350" s="4"/>
      <c r="N350" s="3" t="s">
        <v>2371</v>
      </c>
      <c r="O350" s="1" t="s">
        <v>2372</v>
      </c>
      <c r="P350" s="1" t="s">
        <v>2373</v>
      </c>
      <c r="Q350" s="1" t="s">
        <v>157</v>
      </c>
      <c r="R350" s="4"/>
    </row>
    <row r="351" spans="1:18" x14ac:dyDescent="0.25">
      <c r="A351" s="1" t="s">
        <v>141</v>
      </c>
      <c r="B351" s="1" t="s">
        <v>2374</v>
      </c>
      <c r="C351" s="1" t="s">
        <v>2375</v>
      </c>
      <c r="D351" s="4"/>
      <c r="E351" s="1">
        <v>2022</v>
      </c>
      <c r="F351" s="4"/>
      <c r="G351" s="4"/>
      <c r="H351" s="1" t="s">
        <v>2376</v>
      </c>
      <c r="I351" s="1" t="s">
        <v>257</v>
      </c>
      <c r="J351" s="1">
        <v>2022</v>
      </c>
      <c r="K351" s="1">
        <v>9781450393034</v>
      </c>
      <c r="L351" s="4"/>
      <c r="M351" s="4"/>
      <c r="N351" s="3" t="s">
        <v>2377</v>
      </c>
      <c r="O351" s="1" t="s">
        <v>2378</v>
      </c>
      <c r="P351" s="1" t="s">
        <v>2379</v>
      </c>
      <c r="Q351" s="1" t="s">
        <v>568</v>
      </c>
      <c r="R351" s="4"/>
    </row>
    <row r="352" spans="1:18" x14ac:dyDescent="0.25">
      <c r="A352" s="1" t="s">
        <v>141</v>
      </c>
      <c r="B352" s="1" t="s">
        <v>2380</v>
      </c>
      <c r="C352" s="1" t="s">
        <v>2381</v>
      </c>
      <c r="D352" s="4"/>
      <c r="E352" s="1">
        <v>2021</v>
      </c>
      <c r="F352" s="4"/>
      <c r="G352" s="4"/>
      <c r="H352" s="1" t="s">
        <v>2382</v>
      </c>
      <c r="I352" s="1" t="s">
        <v>153</v>
      </c>
      <c r="J352" s="1">
        <v>2021</v>
      </c>
      <c r="K352" s="1">
        <v>9781450391108</v>
      </c>
      <c r="L352" s="4"/>
      <c r="M352" s="4"/>
      <c r="N352" s="3" t="s">
        <v>2383</v>
      </c>
      <c r="O352" s="1" t="s">
        <v>2384</v>
      </c>
      <c r="P352" s="1" t="s">
        <v>2385</v>
      </c>
      <c r="Q352" s="1" t="s">
        <v>999</v>
      </c>
      <c r="R352" s="4"/>
    </row>
    <row r="353" spans="1:18" x14ac:dyDescent="0.25">
      <c r="A353" s="1" t="s">
        <v>141</v>
      </c>
      <c r="B353" s="1" t="s">
        <v>2386</v>
      </c>
      <c r="C353" s="1" t="s">
        <v>2387</v>
      </c>
      <c r="D353" s="4"/>
      <c r="E353" s="1">
        <v>2022</v>
      </c>
      <c r="F353" s="4"/>
      <c r="G353" s="4"/>
      <c r="H353" s="1" t="s">
        <v>2388</v>
      </c>
      <c r="I353" s="1" t="s">
        <v>257</v>
      </c>
      <c r="J353" s="1">
        <v>2022</v>
      </c>
      <c r="K353" s="1">
        <v>9781450392754</v>
      </c>
      <c r="L353" s="4"/>
      <c r="M353" s="4"/>
      <c r="N353" s="3" t="s">
        <v>2389</v>
      </c>
      <c r="O353" s="1" t="s">
        <v>2390</v>
      </c>
      <c r="P353" s="1" t="s">
        <v>2391</v>
      </c>
      <c r="Q353" s="1" t="s">
        <v>2392</v>
      </c>
      <c r="R353" s="4"/>
    </row>
    <row r="354" spans="1:18" x14ac:dyDescent="0.25">
      <c r="A354" s="1" t="s">
        <v>13</v>
      </c>
      <c r="B354" s="1" t="s">
        <v>2393</v>
      </c>
      <c r="C354" s="1" t="s">
        <v>2394</v>
      </c>
      <c r="D354" s="1" t="s">
        <v>354</v>
      </c>
      <c r="E354" s="1">
        <v>2021</v>
      </c>
      <c r="F354" s="1">
        <v>181</v>
      </c>
      <c r="G354" s="4"/>
      <c r="H354" s="4"/>
      <c r="I354" s="1" t="s">
        <v>355</v>
      </c>
      <c r="J354" s="1">
        <v>2021</v>
      </c>
      <c r="K354" s="4"/>
      <c r="L354" s="4"/>
      <c r="M354" s="1" t="s">
        <v>65</v>
      </c>
      <c r="N354" s="3" t="s">
        <v>2395</v>
      </c>
      <c r="O354" s="1" t="s">
        <v>2396</v>
      </c>
      <c r="P354" s="1" t="s">
        <v>2397</v>
      </c>
      <c r="Q354" s="1" t="s">
        <v>1598</v>
      </c>
      <c r="R354" s="4"/>
    </row>
    <row r="355" spans="1:18" x14ac:dyDescent="0.25">
      <c r="A355" s="1" t="s">
        <v>141</v>
      </c>
      <c r="B355" s="1" t="s">
        <v>728</v>
      </c>
      <c r="C355" s="1" t="s">
        <v>2398</v>
      </c>
      <c r="D355" s="4"/>
      <c r="E355" s="1">
        <v>2022</v>
      </c>
      <c r="F355" s="4"/>
      <c r="G355" s="4"/>
      <c r="H355" s="1" t="s">
        <v>2399</v>
      </c>
      <c r="I355" s="1" t="s">
        <v>257</v>
      </c>
      <c r="J355" s="1">
        <v>2022</v>
      </c>
      <c r="K355" s="1">
        <v>9781450393034</v>
      </c>
      <c r="L355" s="4"/>
      <c r="M355" s="4"/>
      <c r="N355" s="3" t="s">
        <v>2400</v>
      </c>
      <c r="O355" s="1" t="s">
        <v>2401</v>
      </c>
      <c r="P355" s="1" t="s">
        <v>2402</v>
      </c>
      <c r="Q355" s="1" t="s">
        <v>149</v>
      </c>
      <c r="R355" s="4"/>
    </row>
    <row r="356" spans="1:18" x14ac:dyDescent="0.25">
      <c r="A356" s="1" t="s">
        <v>13</v>
      </c>
      <c r="B356" s="1" t="s">
        <v>2403</v>
      </c>
      <c r="C356" s="1" t="s">
        <v>2404</v>
      </c>
      <c r="D356" s="1" t="s">
        <v>523</v>
      </c>
      <c r="E356" s="1">
        <v>2021</v>
      </c>
      <c r="F356" s="1">
        <v>29</v>
      </c>
      <c r="G356" s="1">
        <v>2</v>
      </c>
      <c r="H356" s="1" t="s">
        <v>2405</v>
      </c>
      <c r="I356" s="1" t="s">
        <v>137</v>
      </c>
      <c r="J356" s="1">
        <v>2021</v>
      </c>
      <c r="K356" s="4"/>
      <c r="L356" s="4"/>
      <c r="M356" s="1" t="s">
        <v>525</v>
      </c>
      <c r="N356" s="3" t="s">
        <v>2406</v>
      </c>
      <c r="O356" s="1" t="s">
        <v>2407</v>
      </c>
      <c r="P356" s="1" t="s">
        <v>2408</v>
      </c>
      <c r="Q356" s="1" t="s">
        <v>1813</v>
      </c>
      <c r="R356" s="4"/>
    </row>
    <row r="357" spans="1:18" x14ac:dyDescent="0.25">
      <c r="A357" s="1" t="s">
        <v>141</v>
      </c>
      <c r="B357" s="1" t="s">
        <v>2409</v>
      </c>
      <c r="C357" s="1" t="s">
        <v>2410</v>
      </c>
      <c r="D357" s="4"/>
      <c r="E357" s="1">
        <v>2022</v>
      </c>
      <c r="F357" s="4"/>
      <c r="G357" s="4"/>
      <c r="H357" s="1" t="s">
        <v>2411</v>
      </c>
      <c r="I357" s="1" t="s">
        <v>257</v>
      </c>
      <c r="J357" s="1">
        <v>2022</v>
      </c>
      <c r="K357" s="1">
        <v>9781665417280</v>
      </c>
      <c r="L357" s="4"/>
      <c r="M357" s="4"/>
      <c r="N357" s="3" t="s">
        <v>2412</v>
      </c>
      <c r="O357" s="1" t="s">
        <v>2413</v>
      </c>
      <c r="P357" s="1" t="s">
        <v>2414</v>
      </c>
      <c r="Q357" s="1" t="s">
        <v>289</v>
      </c>
      <c r="R357" s="4"/>
    </row>
    <row r="358" spans="1:18" x14ac:dyDescent="0.25">
      <c r="A358" s="1" t="s">
        <v>141</v>
      </c>
      <c r="B358" s="1" t="s">
        <v>2415</v>
      </c>
      <c r="C358" s="1" t="s">
        <v>2416</v>
      </c>
      <c r="D358" s="4"/>
      <c r="E358" s="1">
        <v>2021</v>
      </c>
      <c r="F358" s="4"/>
      <c r="G358" s="4"/>
      <c r="H358" s="4"/>
      <c r="I358" s="1" t="s">
        <v>145</v>
      </c>
      <c r="J358" s="1">
        <v>2021</v>
      </c>
      <c r="K358" s="1">
        <v>9781450380966</v>
      </c>
      <c r="L358" s="4"/>
      <c r="M358" s="4"/>
      <c r="N358" s="3" t="s">
        <v>2417</v>
      </c>
      <c r="O358" s="1" t="s">
        <v>2418</v>
      </c>
      <c r="P358" s="1" t="s">
        <v>2419</v>
      </c>
      <c r="Q358" s="1" t="s">
        <v>2420</v>
      </c>
      <c r="R358" s="4"/>
    </row>
    <row r="359" spans="1:18" x14ac:dyDescent="0.25">
      <c r="A359" s="1" t="s">
        <v>13</v>
      </c>
      <c r="B359" s="1" t="s">
        <v>2421</v>
      </c>
      <c r="C359" s="1" t="s">
        <v>2422</v>
      </c>
      <c r="D359" s="1" t="s">
        <v>2423</v>
      </c>
      <c r="E359" s="1">
        <v>2021</v>
      </c>
      <c r="F359" s="1">
        <v>13</v>
      </c>
      <c r="G359" s="4"/>
      <c r="H359" s="4"/>
      <c r="I359" s="1" t="s">
        <v>2424</v>
      </c>
      <c r="J359" s="1">
        <v>2021</v>
      </c>
      <c r="K359" s="4"/>
      <c r="L359" s="4"/>
      <c r="M359" s="1" t="s">
        <v>2425</v>
      </c>
      <c r="N359" s="3" t="s">
        <v>2426</v>
      </c>
      <c r="O359" s="1" t="s">
        <v>2427</v>
      </c>
      <c r="P359" s="1" t="s">
        <v>2428</v>
      </c>
      <c r="Q359" s="1" t="s">
        <v>447</v>
      </c>
      <c r="R359" s="4"/>
    </row>
    <row r="360" spans="1:18" x14ac:dyDescent="0.25">
      <c r="A360" s="1" t="s">
        <v>141</v>
      </c>
      <c r="B360" s="1" t="s">
        <v>2429</v>
      </c>
      <c r="C360" s="1" t="s">
        <v>2430</v>
      </c>
      <c r="D360" s="4"/>
      <c r="E360" s="1">
        <v>2022</v>
      </c>
      <c r="F360" s="4"/>
      <c r="G360" s="4"/>
      <c r="H360" s="1" t="s">
        <v>2431</v>
      </c>
      <c r="I360" s="1" t="s">
        <v>257</v>
      </c>
      <c r="J360" s="1">
        <v>2022</v>
      </c>
      <c r="K360" s="1">
        <v>9781450392754</v>
      </c>
      <c r="L360" s="4"/>
      <c r="M360" s="4"/>
      <c r="N360" s="3" t="s">
        <v>2432</v>
      </c>
      <c r="O360" s="1" t="s">
        <v>2433</v>
      </c>
      <c r="P360" s="1" t="s">
        <v>2434</v>
      </c>
      <c r="Q360" s="1" t="s">
        <v>149</v>
      </c>
      <c r="R360" s="4"/>
    </row>
    <row r="361" spans="1:18" x14ac:dyDescent="0.25">
      <c r="A361" s="1" t="s">
        <v>141</v>
      </c>
      <c r="B361" s="1" t="s">
        <v>2435</v>
      </c>
      <c r="C361" s="1" t="s">
        <v>2436</v>
      </c>
      <c r="D361" s="4"/>
      <c r="E361" s="1">
        <v>2021</v>
      </c>
      <c r="F361" s="1">
        <v>1955</v>
      </c>
      <c r="G361" s="4"/>
      <c r="H361" s="4"/>
      <c r="I361" s="1" t="s">
        <v>2437</v>
      </c>
      <c r="J361" s="1">
        <v>2021</v>
      </c>
      <c r="K361" s="4"/>
      <c r="L361" s="4"/>
      <c r="M361" s="1" t="s">
        <v>2438</v>
      </c>
      <c r="N361" s="3" t="s">
        <v>2439</v>
      </c>
      <c r="O361" s="1" t="s">
        <v>2440</v>
      </c>
      <c r="P361" s="1" t="s">
        <v>2441</v>
      </c>
      <c r="Q361" s="1" t="s">
        <v>568</v>
      </c>
      <c r="R361" s="4"/>
    </row>
    <row r="362" spans="1:18" x14ac:dyDescent="0.25">
      <c r="A362" s="1" t="s">
        <v>141</v>
      </c>
      <c r="B362" s="1" t="s">
        <v>2442</v>
      </c>
      <c r="C362" s="1" t="s">
        <v>2443</v>
      </c>
      <c r="D362" s="4"/>
      <c r="E362" s="1">
        <v>2022</v>
      </c>
      <c r="F362" s="4"/>
      <c r="G362" s="4"/>
      <c r="H362" s="1" t="s">
        <v>2444</v>
      </c>
      <c r="I362" s="1" t="s">
        <v>196</v>
      </c>
      <c r="J362" s="1">
        <v>2022</v>
      </c>
      <c r="K362" s="1">
        <v>9781665495967</v>
      </c>
      <c r="L362" s="4"/>
      <c r="M362" s="1" t="s">
        <v>1458</v>
      </c>
      <c r="N362" s="3" t="s">
        <v>2445</v>
      </c>
      <c r="O362" s="1" t="s">
        <v>2446</v>
      </c>
      <c r="P362" s="1" t="s">
        <v>2447</v>
      </c>
      <c r="Q362" s="1" t="s">
        <v>289</v>
      </c>
      <c r="R362" s="4"/>
    </row>
    <row r="363" spans="1:18" x14ac:dyDescent="0.25">
      <c r="A363" s="1" t="s">
        <v>13</v>
      </c>
      <c r="B363" s="1" t="s">
        <v>2448</v>
      </c>
      <c r="C363" s="1" t="s">
        <v>2449</v>
      </c>
      <c r="D363" s="1" t="s">
        <v>2450</v>
      </c>
      <c r="E363" s="1">
        <v>2022</v>
      </c>
      <c r="F363" s="1">
        <v>114</v>
      </c>
      <c r="G363" s="4"/>
      <c r="H363" s="4"/>
      <c r="I363" s="1" t="s">
        <v>1060</v>
      </c>
      <c r="J363" s="1">
        <v>2022</v>
      </c>
      <c r="K363" s="4"/>
      <c r="L363" s="4"/>
      <c r="M363" s="1" t="s">
        <v>2451</v>
      </c>
      <c r="N363" s="3" t="s">
        <v>2452</v>
      </c>
      <c r="O363" s="1" t="s">
        <v>2453</v>
      </c>
      <c r="P363" s="1" t="s">
        <v>2454</v>
      </c>
      <c r="Q363" s="1" t="s">
        <v>318</v>
      </c>
      <c r="R363" s="4"/>
    </row>
    <row r="364" spans="1:18" x14ac:dyDescent="0.25">
      <c r="A364" s="1" t="s">
        <v>13</v>
      </c>
      <c r="B364" s="1" t="s">
        <v>2455</v>
      </c>
      <c r="C364" s="1" t="s">
        <v>2456</v>
      </c>
      <c r="D364" s="1" t="s">
        <v>1161</v>
      </c>
      <c r="E364" s="1">
        <v>2021</v>
      </c>
      <c r="F364" s="1">
        <v>9</v>
      </c>
      <c r="G364" s="1">
        <v>21</v>
      </c>
      <c r="H364" s="4"/>
      <c r="I364" s="1" t="s">
        <v>228</v>
      </c>
      <c r="J364" s="1">
        <v>2021</v>
      </c>
      <c r="K364" s="4"/>
      <c r="L364" s="4"/>
      <c r="M364" s="1" t="s">
        <v>1162</v>
      </c>
      <c r="N364" s="3" t="s">
        <v>2457</v>
      </c>
      <c r="O364" s="1" t="s">
        <v>2458</v>
      </c>
      <c r="P364" s="1" t="s">
        <v>2459</v>
      </c>
      <c r="Q364" s="1" t="s">
        <v>233</v>
      </c>
      <c r="R364" s="4"/>
    </row>
    <row r="365" spans="1:18" x14ac:dyDescent="0.25">
      <c r="A365" s="1" t="s">
        <v>141</v>
      </c>
      <c r="B365" s="1" t="s">
        <v>2460</v>
      </c>
      <c r="C365" s="1" t="s">
        <v>2461</v>
      </c>
      <c r="D365" s="4"/>
      <c r="E365" s="1">
        <v>2021</v>
      </c>
      <c r="F365" s="4"/>
      <c r="G365" s="4"/>
      <c r="H365" s="4"/>
      <c r="I365" s="1" t="s">
        <v>196</v>
      </c>
      <c r="J365" s="1">
        <v>2021</v>
      </c>
      <c r="K365" s="1">
        <v>9781450386654</v>
      </c>
      <c r="L365" s="4"/>
      <c r="M365" s="1" t="s">
        <v>197</v>
      </c>
      <c r="N365" s="3" t="s">
        <v>2462</v>
      </c>
      <c r="O365" s="1" t="s">
        <v>2463</v>
      </c>
      <c r="P365" s="1" t="s">
        <v>2464</v>
      </c>
      <c r="Q365" s="1" t="s">
        <v>318</v>
      </c>
      <c r="R365" s="4"/>
    </row>
    <row r="366" spans="1:18" x14ac:dyDescent="0.25">
      <c r="A366" s="1" t="s">
        <v>13</v>
      </c>
      <c r="B366" s="1" t="s">
        <v>2465</v>
      </c>
      <c r="C366" s="1" t="s">
        <v>2466</v>
      </c>
      <c r="D366" s="1" t="s">
        <v>354</v>
      </c>
      <c r="E366" s="1">
        <v>2021</v>
      </c>
      <c r="F366" s="1">
        <v>176</v>
      </c>
      <c r="G366" s="4"/>
      <c r="H366" s="4"/>
      <c r="I366" s="1" t="s">
        <v>355</v>
      </c>
      <c r="J366" s="1">
        <v>2021</v>
      </c>
      <c r="K366" s="4"/>
      <c r="L366" s="4"/>
      <c r="M366" s="1" t="s">
        <v>65</v>
      </c>
      <c r="N366" s="3" t="s">
        <v>2467</v>
      </c>
      <c r="O366" s="1" t="s">
        <v>2468</v>
      </c>
      <c r="P366" s="1" t="s">
        <v>2469</v>
      </c>
      <c r="Q366" s="1" t="s">
        <v>397</v>
      </c>
      <c r="R366" s="4"/>
    </row>
    <row r="367" spans="1:18" x14ac:dyDescent="0.25">
      <c r="A367" s="1" t="s">
        <v>141</v>
      </c>
      <c r="B367" s="1" t="s">
        <v>2470</v>
      </c>
      <c r="C367" s="1" t="s">
        <v>2471</v>
      </c>
      <c r="D367" s="4"/>
      <c r="E367" s="1">
        <v>2022</v>
      </c>
      <c r="F367" s="7">
        <v>44621</v>
      </c>
      <c r="G367" s="4"/>
      <c r="H367" s="1" t="s">
        <v>2472</v>
      </c>
      <c r="I367" s="1" t="s">
        <v>196</v>
      </c>
      <c r="J367" s="1">
        <v>2022</v>
      </c>
      <c r="K367" s="1">
        <v>9781450392983</v>
      </c>
      <c r="L367" s="4"/>
      <c r="M367" s="4"/>
      <c r="N367" s="3" t="s">
        <v>2473</v>
      </c>
      <c r="O367" s="1" t="s">
        <v>2474</v>
      </c>
      <c r="P367" s="1" t="s">
        <v>2475</v>
      </c>
      <c r="Q367" s="1" t="s">
        <v>387</v>
      </c>
      <c r="R367" s="4"/>
    </row>
    <row r="368" spans="1:18" x14ac:dyDescent="0.25">
      <c r="A368" s="1" t="s">
        <v>13</v>
      </c>
      <c r="B368" s="1" t="s">
        <v>2476</v>
      </c>
      <c r="C368" s="1" t="s">
        <v>2477</v>
      </c>
      <c r="D368" s="1" t="s">
        <v>668</v>
      </c>
      <c r="E368" s="1">
        <v>2022</v>
      </c>
      <c r="F368" s="1">
        <v>10</v>
      </c>
      <c r="G368" s="4"/>
      <c r="H368" s="1" t="s">
        <v>2478</v>
      </c>
      <c r="I368" s="1" t="s">
        <v>257</v>
      </c>
      <c r="J368" s="1">
        <v>2022</v>
      </c>
      <c r="K368" s="4"/>
      <c r="L368" s="4"/>
      <c r="M368" s="1" t="s">
        <v>670</v>
      </c>
      <c r="N368" s="3" t="s">
        <v>2479</v>
      </c>
      <c r="O368" s="1" t="s">
        <v>2480</v>
      </c>
      <c r="P368" s="1" t="s">
        <v>2481</v>
      </c>
      <c r="Q368" s="1" t="s">
        <v>285</v>
      </c>
      <c r="R368" s="4"/>
    </row>
    <row r="369" spans="1:18" x14ac:dyDescent="0.25">
      <c r="A369" s="1" t="s">
        <v>13</v>
      </c>
      <c r="B369" s="1" t="s">
        <v>2482</v>
      </c>
      <c r="C369" s="1" t="s">
        <v>2483</v>
      </c>
      <c r="D369" s="1" t="s">
        <v>2484</v>
      </c>
      <c r="E369" s="1">
        <v>2022</v>
      </c>
      <c r="F369" s="1">
        <v>2022</v>
      </c>
      <c r="G369" s="4"/>
      <c r="H369" s="4"/>
      <c r="I369" s="1" t="s">
        <v>1333</v>
      </c>
      <c r="J369" s="1">
        <v>2022</v>
      </c>
      <c r="K369" s="4"/>
      <c r="L369" s="4"/>
      <c r="M369" s="1" t="s">
        <v>2485</v>
      </c>
      <c r="N369" s="3" t="s">
        <v>2486</v>
      </c>
      <c r="O369" s="1" t="s">
        <v>2487</v>
      </c>
      <c r="P369" s="1" t="s">
        <v>2488</v>
      </c>
      <c r="Q369" s="1" t="s">
        <v>896</v>
      </c>
      <c r="R369" s="4"/>
    </row>
    <row r="370" spans="1:18" x14ac:dyDescent="0.25">
      <c r="A370" s="1" t="s">
        <v>13</v>
      </c>
      <c r="B370" s="1" t="s">
        <v>2489</v>
      </c>
      <c r="C370" s="1" t="s">
        <v>2490</v>
      </c>
      <c r="D370" s="1" t="s">
        <v>354</v>
      </c>
      <c r="E370" s="1">
        <v>2021</v>
      </c>
      <c r="F370" s="1">
        <v>176</v>
      </c>
      <c r="G370" s="4"/>
      <c r="H370" s="4"/>
      <c r="I370" s="1" t="s">
        <v>355</v>
      </c>
      <c r="J370" s="1">
        <v>2021</v>
      </c>
      <c r="K370" s="4"/>
      <c r="L370" s="4"/>
      <c r="M370" s="1" t="s">
        <v>65</v>
      </c>
      <c r="N370" s="3" t="s">
        <v>2491</v>
      </c>
      <c r="O370" s="1" t="s">
        <v>2492</v>
      </c>
      <c r="P370" s="1" t="s">
        <v>2493</v>
      </c>
      <c r="Q370" s="1" t="s">
        <v>1813</v>
      </c>
      <c r="R370" s="4"/>
    </row>
    <row r="371" spans="1:18" x14ac:dyDescent="0.25">
      <c r="A371" s="1" t="s">
        <v>141</v>
      </c>
      <c r="B371" s="1" t="s">
        <v>2494</v>
      </c>
      <c r="C371" s="1" t="s">
        <v>2495</v>
      </c>
      <c r="D371" s="4"/>
      <c r="E371" s="1">
        <v>2022</v>
      </c>
      <c r="F371" s="4"/>
      <c r="G371" s="4"/>
      <c r="H371" s="1" t="s">
        <v>2496</v>
      </c>
      <c r="I371" s="1" t="s">
        <v>257</v>
      </c>
      <c r="J371" s="1">
        <v>2022</v>
      </c>
      <c r="K371" s="1">
        <v>9781450393041</v>
      </c>
      <c r="L371" s="4"/>
      <c r="M371" s="4"/>
      <c r="N371" s="3" t="s">
        <v>2497</v>
      </c>
      <c r="O371" s="1" t="s">
        <v>2498</v>
      </c>
      <c r="P371" s="1" t="s">
        <v>2499</v>
      </c>
      <c r="Q371" s="1" t="s">
        <v>404</v>
      </c>
      <c r="R371" s="4"/>
    </row>
    <row r="372" spans="1:18" x14ac:dyDescent="0.25">
      <c r="A372" s="1" t="s">
        <v>13</v>
      </c>
      <c r="B372" s="1" t="s">
        <v>2500</v>
      </c>
      <c r="C372" s="1" t="s">
        <v>2501</v>
      </c>
      <c r="D372" s="1" t="s">
        <v>2502</v>
      </c>
      <c r="E372" s="1">
        <v>2022</v>
      </c>
      <c r="F372" s="4"/>
      <c r="G372" s="4"/>
      <c r="H372" s="4"/>
      <c r="I372" s="1" t="s">
        <v>137</v>
      </c>
      <c r="J372" s="1">
        <v>2022</v>
      </c>
      <c r="K372" s="4"/>
      <c r="L372" s="4"/>
      <c r="M372" s="1" t="s">
        <v>2503</v>
      </c>
      <c r="N372" s="3" t="s">
        <v>2504</v>
      </c>
      <c r="O372" s="1" t="s">
        <v>2505</v>
      </c>
      <c r="P372" s="1" t="s">
        <v>2506</v>
      </c>
      <c r="Q372" s="1" t="s">
        <v>387</v>
      </c>
      <c r="R372" s="4"/>
    </row>
    <row r="373" spans="1:18" x14ac:dyDescent="0.25">
      <c r="A373" s="1" t="s">
        <v>13</v>
      </c>
      <c r="B373" s="1" t="s">
        <v>2507</v>
      </c>
      <c r="C373" s="1" t="s">
        <v>2508</v>
      </c>
      <c r="D373" s="1" t="s">
        <v>668</v>
      </c>
      <c r="E373" s="1">
        <v>2022</v>
      </c>
      <c r="F373" s="1">
        <v>10</v>
      </c>
      <c r="G373" s="4"/>
      <c r="H373" s="1" t="s">
        <v>2509</v>
      </c>
      <c r="I373" s="1" t="s">
        <v>257</v>
      </c>
      <c r="J373" s="1">
        <v>2022</v>
      </c>
      <c r="K373" s="4"/>
      <c r="L373" s="4"/>
      <c r="M373" s="1" t="s">
        <v>670</v>
      </c>
      <c r="N373" s="3" t="s">
        <v>2510</v>
      </c>
      <c r="O373" s="1" t="s">
        <v>2511</v>
      </c>
      <c r="P373" s="1" t="s">
        <v>2512</v>
      </c>
      <c r="Q373" s="1" t="s">
        <v>233</v>
      </c>
      <c r="R373" s="4"/>
    </row>
    <row r="374" spans="1:18" x14ac:dyDescent="0.25">
      <c r="A374" s="1" t="s">
        <v>13</v>
      </c>
      <c r="B374" s="1" t="s">
        <v>2513</v>
      </c>
      <c r="C374" s="1" t="s">
        <v>2514</v>
      </c>
      <c r="D374" s="1" t="s">
        <v>2515</v>
      </c>
      <c r="E374" s="1">
        <v>2021</v>
      </c>
      <c r="F374" s="1">
        <v>18</v>
      </c>
      <c r="G374" s="1">
        <v>3</v>
      </c>
      <c r="H374" s="1" t="s">
        <v>2516</v>
      </c>
      <c r="I374" s="1" t="s">
        <v>257</v>
      </c>
      <c r="J374" s="1">
        <v>2021</v>
      </c>
      <c r="K374" s="4"/>
      <c r="L374" s="4"/>
      <c r="M374" s="1" t="s">
        <v>2517</v>
      </c>
      <c r="N374" s="3" t="s">
        <v>2518</v>
      </c>
      <c r="O374" s="1" t="s">
        <v>2519</v>
      </c>
      <c r="P374" s="1" t="s">
        <v>2520</v>
      </c>
      <c r="Q374" s="1" t="s">
        <v>404</v>
      </c>
      <c r="R374" s="4"/>
    </row>
    <row r="375" spans="1:18" x14ac:dyDescent="0.25">
      <c r="A375" s="1" t="s">
        <v>141</v>
      </c>
      <c r="B375" s="1" t="s">
        <v>2521</v>
      </c>
      <c r="C375" s="1" t="s">
        <v>2522</v>
      </c>
      <c r="D375" s="4"/>
      <c r="E375" s="1">
        <v>2022</v>
      </c>
      <c r="F375" s="4"/>
      <c r="G375" s="4"/>
      <c r="H375" s="1" t="s">
        <v>2523</v>
      </c>
      <c r="I375" s="1" t="s">
        <v>257</v>
      </c>
      <c r="J375" s="1">
        <v>2022</v>
      </c>
      <c r="K375" s="1">
        <v>9781450392754</v>
      </c>
      <c r="L375" s="4"/>
      <c r="M375" s="4"/>
      <c r="N375" s="3" t="s">
        <v>2524</v>
      </c>
      <c r="O375" s="1" t="s">
        <v>2525</v>
      </c>
      <c r="P375" s="1" t="s">
        <v>2526</v>
      </c>
      <c r="Q375" s="1" t="s">
        <v>999</v>
      </c>
      <c r="R375" s="4"/>
    </row>
    <row r="376" spans="1:18" x14ac:dyDescent="0.25">
      <c r="A376" s="1" t="s">
        <v>13</v>
      </c>
      <c r="B376" s="1" t="s">
        <v>2527</v>
      </c>
      <c r="C376" s="1" t="s">
        <v>2528</v>
      </c>
      <c r="D376" s="1" t="s">
        <v>2529</v>
      </c>
      <c r="E376" s="1">
        <v>2021</v>
      </c>
      <c r="F376" s="1">
        <v>108</v>
      </c>
      <c r="G376" s="4"/>
      <c r="H376" s="4"/>
      <c r="I376" s="1" t="s">
        <v>280</v>
      </c>
      <c r="J376" s="1">
        <v>2021</v>
      </c>
      <c r="K376" s="4"/>
      <c r="L376" s="4"/>
      <c r="M376" s="1" t="s">
        <v>2530</v>
      </c>
      <c r="N376" s="3" t="s">
        <v>2531</v>
      </c>
      <c r="O376" s="1" t="s">
        <v>2532</v>
      </c>
      <c r="P376" s="1" t="s">
        <v>2533</v>
      </c>
      <c r="Q376" s="1" t="s">
        <v>1813</v>
      </c>
      <c r="R376" s="4"/>
    </row>
    <row r="377" spans="1:18" x14ac:dyDescent="0.25">
      <c r="A377" s="1" t="s">
        <v>141</v>
      </c>
      <c r="B377" s="1" t="s">
        <v>2534</v>
      </c>
      <c r="C377" s="1" t="s">
        <v>2535</v>
      </c>
      <c r="D377" s="4"/>
      <c r="E377" s="1">
        <v>2021</v>
      </c>
      <c r="F377" s="4"/>
      <c r="G377" s="4"/>
      <c r="H377" s="1" t="s">
        <v>2536</v>
      </c>
      <c r="I377" s="1" t="s">
        <v>257</v>
      </c>
      <c r="J377" s="1">
        <v>2021</v>
      </c>
      <c r="K377" s="1">
        <v>9781665414050</v>
      </c>
      <c r="L377" s="4"/>
      <c r="M377" s="4"/>
      <c r="N377" s="3" t="s">
        <v>2537</v>
      </c>
      <c r="O377" s="1" t="s">
        <v>2538</v>
      </c>
      <c r="P377" s="1" t="s">
        <v>2539</v>
      </c>
      <c r="Q377" s="1" t="s">
        <v>1404</v>
      </c>
      <c r="R377" s="4"/>
    </row>
    <row r="378" spans="1:18" x14ac:dyDescent="0.25">
      <c r="A378" s="1" t="s">
        <v>13</v>
      </c>
      <c r="B378" s="1" t="s">
        <v>2540</v>
      </c>
      <c r="C378" s="1" t="s">
        <v>2541</v>
      </c>
      <c r="D378" s="1" t="s">
        <v>136</v>
      </c>
      <c r="E378" s="1">
        <v>2021</v>
      </c>
      <c r="F378" s="1">
        <v>26</v>
      </c>
      <c r="G378" s="1">
        <v>6</v>
      </c>
      <c r="H378" s="4"/>
      <c r="I378" s="1" t="s">
        <v>137</v>
      </c>
      <c r="J378" s="1">
        <v>2021</v>
      </c>
      <c r="K378" s="4"/>
      <c r="L378" s="4"/>
      <c r="M378" s="1" t="s">
        <v>33</v>
      </c>
      <c r="N378" s="3" t="s">
        <v>2542</v>
      </c>
      <c r="O378" s="1" t="s">
        <v>2543</v>
      </c>
      <c r="P378" s="1" t="s">
        <v>2544</v>
      </c>
      <c r="Q378" s="1" t="s">
        <v>1404</v>
      </c>
      <c r="R378" s="4"/>
    </row>
    <row r="379" spans="1:18" x14ac:dyDescent="0.25">
      <c r="A379" s="1" t="s">
        <v>141</v>
      </c>
      <c r="B379" s="1" t="s">
        <v>2545</v>
      </c>
      <c r="C379" s="1" t="s">
        <v>2546</v>
      </c>
      <c r="D379" s="4"/>
      <c r="E379" s="1">
        <v>2021</v>
      </c>
      <c r="F379" s="7">
        <v>44378</v>
      </c>
      <c r="G379" s="4"/>
      <c r="H379" s="4"/>
      <c r="I379" s="1" t="s">
        <v>257</v>
      </c>
      <c r="J379" s="1">
        <v>2021</v>
      </c>
      <c r="K379" s="1">
        <v>9780738133669</v>
      </c>
      <c r="L379" s="4"/>
      <c r="M379" s="4"/>
      <c r="N379" s="3" t="s">
        <v>2547</v>
      </c>
      <c r="O379" s="1" t="s">
        <v>2548</v>
      </c>
      <c r="P379" s="1" t="s">
        <v>2549</v>
      </c>
      <c r="Q379" s="1" t="s">
        <v>185</v>
      </c>
      <c r="R379" s="4"/>
    </row>
    <row r="380" spans="1:18" x14ac:dyDescent="0.25">
      <c r="A380" s="1" t="s">
        <v>141</v>
      </c>
      <c r="B380" s="1" t="s">
        <v>2550</v>
      </c>
      <c r="C380" s="1" t="s">
        <v>2551</v>
      </c>
      <c r="D380" s="4"/>
      <c r="E380" s="1">
        <v>2022</v>
      </c>
      <c r="F380" s="4"/>
      <c r="G380" s="4"/>
      <c r="H380" s="1" t="s">
        <v>2552</v>
      </c>
      <c r="I380" s="1" t="s">
        <v>257</v>
      </c>
      <c r="J380" s="1">
        <v>2022</v>
      </c>
      <c r="K380" s="1">
        <v>9781450393034</v>
      </c>
      <c r="L380" s="4"/>
      <c r="M380" s="4"/>
      <c r="N380" s="3" t="s">
        <v>2553</v>
      </c>
      <c r="O380" s="1" t="s">
        <v>2554</v>
      </c>
      <c r="P380" s="1" t="s">
        <v>2555</v>
      </c>
      <c r="Q380" s="1" t="s">
        <v>568</v>
      </c>
      <c r="R380" s="4"/>
    </row>
    <row r="381" spans="1:18" x14ac:dyDescent="0.25">
      <c r="A381" s="1" t="s">
        <v>141</v>
      </c>
      <c r="B381" s="1" t="s">
        <v>2556</v>
      </c>
      <c r="C381" s="1" t="s">
        <v>2557</v>
      </c>
      <c r="D381" s="4"/>
      <c r="E381" s="1">
        <v>2021</v>
      </c>
      <c r="F381" s="4"/>
      <c r="G381" s="4"/>
      <c r="H381" s="1" t="s">
        <v>2558</v>
      </c>
      <c r="I381" s="1" t="s">
        <v>196</v>
      </c>
      <c r="J381" s="1">
        <v>2021</v>
      </c>
      <c r="K381" s="1">
        <v>9780738146690</v>
      </c>
      <c r="L381" s="4"/>
      <c r="M381" s="1" t="s">
        <v>1458</v>
      </c>
      <c r="N381" s="3" t="s">
        <v>2559</v>
      </c>
      <c r="O381" s="1" t="s">
        <v>2560</v>
      </c>
      <c r="P381" s="1" t="s">
        <v>2561</v>
      </c>
      <c r="Q381" s="1" t="s">
        <v>318</v>
      </c>
      <c r="R381" s="4"/>
    </row>
    <row r="382" spans="1:18" x14ac:dyDescent="0.25">
      <c r="A382" s="1" t="s">
        <v>141</v>
      </c>
      <c r="B382" s="1" t="s">
        <v>2562</v>
      </c>
      <c r="C382" s="1" t="s">
        <v>2563</v>
      </c>
      <c r="D382" s="4"/>
      <c r="E382" s="1">
        <v>2022</v>
      </c>
      <c r="F382" s="4"/>
      <c r="G382" s="4"/>
      <c r="H382" s="1" t="s">
        <v>2564</v>
      </c>
      <c r="I382" s="1" t="s">
        <v>2565</v>
      </c>
      <c r="J382" s="1">
        <v>2022</v>
      </c>
      <c r="K382" s="1">
        <v>9781955917766</v>
      </c>
      <c r="L382" s="4"/>
      <c r="M382" s="4"/>
      <c r="N382" s="3" t="s">
        <v>2566</v>
      </c>
      <c r="O382" s="4"/>
      <c r="P382" s="1" t="s">
        <v>2567</v>
      </c>
      <c r="Q382" s="1" t="s">
        <v>318</v>
      </c>
      <c r="R382" s="4"/>
    </row>
    <row r="383" spans="1:18" x14ac:dyDescent="0.25">
      <c r="A383" s="1" t="s">
        <v>13</v>
      </c>
      <c r="B383" s="1" t="s">
        <v>2568</v>
      </c>
      <c r="C383" s="1" t="s">
        <v>2569</v>
      </c>
      <c r="D383" s="1" t="s">
        <v>307</v>
      </c>
      <c r="E383" s="1">
        <v>2021</v>
      </c>
      <c r="F383" s="1">
        <v>139</v>
      </c>
      <c r="G383" s="4"/>
      <c r="H383" s="4"/>
      <c r="I383" s="1" t="s">
        <v>280</v>
      </c>
      <c r="J383" s="1">
        <v>2021</v>
      </c>
      <c r="K383" s="4"/>
      <c r="L383" s="4"/>
      <c r="M383" s="1" t="s">
        <v>308</v>
      </c>
      <c r="N383" s="3" t="s">
        <v>2570</v>
      </c>
      <c r="O383" s="1" t="s">
        <v>2571</v>
      </c>
      <c r="P383" s="1" t="s">
        <v>2572</v>
      </c>
      <c r="Q383" s="1" t="s">
        <v>2333</v>
      </c>
      <c r="R383" s="4"/>
    </row>
    <row r="384" spans="1:18" x14ac:dyDescent="0.25">
      <c r="A384" s="1" t="s">
        <v>13</v>
      </c>
      <c r="B384" s="1" t="s">
        <v>2573</v>
      </c>
      <c r="C384" s="1" t="s">
        <v>2574</v>
      </c>
      <c r="D384" s="1" t="s">
        <v>390</v>
      </c>
      <c r="E384" s="1">
        <v>2021</v>
      </c>
      <c r="F384" s="1">
        <v>54</v>
      </c>
      <c r="G384" s="1">
        <v>5</v>
      </c>
      <c r="H384" s="1" t="s">
        <v>2575</v>
      </c>
      <c r="I384" s="1" t="s">
        <v>392</v>
      </c>
      <c r="J384" s="1">
        <v>2021</v>
      </c>
      <c r="K384" s="4"/>
      <c r="L384" s="4"/>
      <c r="M384" s="1" t="s">
        <v>393</v>
      </c>
      <c r="N384" s="3" t="s">
        <v>2576</v>
      </c>
      <c r="O384" s="1" t="s">
        <v>2577</v>
      </c>
      <c r="P384" s="1" t="s">
        <v>2578</v>
      </c>
      <c r="Q384" s="1" t="s">
        <v>2579</v>
      </c>
      <c r="R384" s="4"/>
    </row>
    <row r="385" spans="1:18" x14ac:dyDescent="0.25">
      <c r="A385" s="1" t="s">
        <v>13</v>
      </c>
      <c r="B385" s="1" t="s">
        <v>2580</v>
      </c>
      <c r="C385" s="1" t="s">
        <v>2581</v>
      </c>
      <c r="D385" s="1" t="s">
        <v>136</v>
      </c>
      <c r="E385" s="1">
        <v>2022</v>
      </c>
      <c r="F385" s="1">
        <v>27</v>
      </c>
      <c r="G385" s="1">
        <v>1</v>
      </c>
      <c r="H385" s="4"/>
      <c r="I385" s="1" t="s">
        <v>137</v>
      </c>
      <c r="J385" s="1">
        <v>2022</v>
      </c>
      <c r="K385" s="4"/>
      <c r="L385" s="4"/>
      <c r="M385" s="1" t="s">
        <v>33</v>
      </c>
      <c r="N385" s="3" t="s">
        <v>2582</v>
      </c>
      <c r="O385" s="1" t="s">
        <v>2583</v>
      </c>
      <c r="P385" s="1" t="s">
        <v>2584</v>
      </c>
      <c r="Q385" s="1" t="s">
        <v>818</v>
      </c>
      <c r="R385" s="4"/>
    </row>
    <row r="386" spans="1:18" x14ac:dyDescent="0.25">
      <c r="A386" s="1" t="s">
        <v>13</v>
      </c>
      <c r="B386" s="1" t="s">
        <v>2585</v>
      </c>
      <c r="C386" s="1" t="s">
        <v>2586</v>
      </c>
      <c r="D386" s="1" t="s">
        <v>307</v>
      </c>
      <c r="E386" s="1">
        <v>2021</v>
      </c>
      <c r="F386" s="1">
        <v>135</v>
      </c>
      <c r="G386" s="4"/>
      <c r="H386" s="4"/>
      <c r="I386" s="1" t="s">
        <v>280</v>
      </c>
      <c r="J386" s="1">
        <v>2021</v>
      </c>
      <c r="K386" s="4"/>
      <c r="L386" s="4"/>
      <c r="M386" s="1" t="s">
        <v>308</v>
      </c>
      <c r="N386" s="3" t="s">
        <v>2587</v>
      </c>
      <c r="O386" s="1" t="s">
        <v>2588</v>
      </c>
      <c r="P386" s="1" t="s">
        <v>2589</v>
      </c>
      <c r="Q386" s="1" t="s">
        <v>1813</v>
      </c>
      <c r="R386" s="4"/>
    </row>
    <row r="387" spans="1:18" x14ac:dyDescent="0.25">
      <c r="A387" s="1" t="s">
        <v>13</v>
      </c>
      <c r="B387" s="1" t="s">
        <v>2590</v>
      </c>
      <c r="C387" s="1" t="s">
        <v>2591</v>
      </c>
      <c r="D387" s="1" t="s">
        <v>2592</v>
      </c>
      <c r="E387" s="1">
        <v>2022</v>
      </c>
      <c r="F387" s="1">
        <v>24</v>
      </c>
      <c r="G387" s="1">
        <v>1</v>
      </c>
      <c r="H387" s="1" t="s">
        <v>2593</v>
      </c>
      <c r="I387" s="1" t="s">
        <v>2267</v>
      </c>
      <c r="J387" s="1">
        <v>2022</v>
      </c>
      <c r="K387" s="4"/>
      <c r="L387" s="4"/>
      <c r="M387" s="1" t="s">
        <v>2594</v>
      </c>
      <c r="N387" s="3" t="s">
        <v>2595</v>
      </c>
      <c r="O387" s="1" t="s">
        <v>2596</v>
      </c>
      <c r="P387" s="1" t="s">
        <v>2597</v>
      </c>
      <c r="Q387" s="1" t="s">
        <v>999</v>
      </c>
      <c r="R387" s="4"/>
    </row>
    <row r="388" spans="1:18" x14ac:dyDescent="0.25">
      <c r="A388" s="1" t="s">
        <v>141</v>
      </c>
      <c r="B388" s="1" t="s">
        <v>2598</v>
      </c>
      <c r="C388" s="1" t="s">
        <v>2599</v>
      </c>
      <c r="D388" s="4"/>
      <c r="E388" s="1">
        <v>2022</v>
      </c>
      <c r="F388" s="4"/>
      <c r="G388" s="4"/>
      <c r="H388" s="1" t="s">
        <v>2600</v>
      </c>
      <c r="I388" s="1" t="s">
        <v>257</v>
      </c>
      <c r="J388" s="1">
        <v>2022</v>
      </c>
      <c r="K388" s="1">
        <v>9781665437011</v>
      </c>
      <c r="L388" s="4"/>
      <c r="M388" s="4"/>
      <c r="N388" s="3" t="s">
        <v>2601</v>
      </c>
      <c r="O388" s="1" t="s">
        <v>2602</v>
      </c>
      <c r="P388" s="1" t="s">
        <v>2603</v>
      </c>
      <c r="Q388" s="1" t="s">
        <v>157</v>
      </c>
      <c r="R388" s="4"/>
    </row>
    <row r="389" spans="1:18" x14ac:dyDescent="0.25">
      <c r="A389" s="1" t="s">
        <v>13</v>
      </c>
      <c r="B389" s="1" t="s">
        <v>2604</v>
      </c>
      <c r="C389" s="1" t="s">
        <v>2605</v>
      </c>
      <c r="D389" s="1" t="s">
        <v>347</v>
      </c>
      <c r="E389" s="1">
        <v>2021</v>
      </c>
      <c r="F389" s="1">
        <v>70</v>
      </c>
      <c r="G389" s="1">
        <v>4</v>
      </c>
      <c r="H389" s="1" t="s">
        <v>2606</v>
      </c>
      <c r="I389" s="1" t="s">
        <v>257</v>
      </c>
      <c r="J389" s="1">
        <v>2021</v>
      </c>
      <c r="K389" s="4"/>
      <c r="L389" s="4"/>
      <c r="M389" s="1" t="s">
        <v>92</v>
      </c>
      <c r="N389" s="3" t="s">
        <v>2607</v>
      </c>
      <c r="O389" s="1" t="s">
        <v>2608</v>
      </c>
      <c r="P389" s="1" t="s">
        <v>2609</v>
      </c>
      <c r="Q389" s="1" t="s">
        <v>2610</v>
      </c>
      <c r="R389" s="4"/>
    </row>
    <row r="390" spans="1:18" x14ac:dyDescent="0.25">
      <c r="A390" s="1" t="s">
        <v>539</v>
      </c>
      <c r="B390" s="1" t="s">
        <v>2611</v>
      </c>
      <c r="C390" s="1" t="s">
        <v>2612</v>
      </c>
      <c r="D390" s="4"/>
      <c r="E390" s="1">
        <v>2021</v>
      </c>
      <c r="F390" s="4"/>
      <c r="G390" s="4"/>
      <c r="H390" s="4"/>
      <c r="I390" s="1" t="s">
        <v>2613</v>
      </c>
      <c r="J390" s="1">
        <v>2021</v>
      </c>
      <c r="K390" s="1">
        <v>9783110703399</v>
      </c>
      <c r="L390" s="1">
        <v>9783110703306</v>
      </c>
      <c r="M390" s="4"/>
      <c r="N390" s="3" t="s">
        <v>2614</v>
      </c>
      <c r="O390" s="1" t="s">
        <v>2615</v>
      </c>
      <c r="P390" s="1" t="s">
        <v>2616</v>
      </c>
      <c r="Q390" s="1" t="s">
        <v>157</v>
      </c>
      <c r="R390" s="1" t="s">
        <v>2617</v>
      </c>
    </row>
    <row r="391" spans="1:18" x14ac:dyDescent="0.25">
      <c r="A391" s="1" t="s">
        <v>13</v>
      </c>
      <c r="B391" s="1" t="s">
        <v>2618</v>
      </c>
      <c r="C391" s="1" t="s">
        <v>2619</v>
      </c>
      <c r="D391" s="1" t="s">
        <v>390</v>
      </c>
      <c r="E391" s="1">
        <v>2021</v>
      </c>
      <c r="F391" s="1">
        <v>54</v>
      </c>
      <c r="G391" s="1">
        <v>7</v>
      </c>
      <c r="H391" s="1" t="s">
        <v>2620</v>
      </c>
      <c r="I391" s="1" t="s">
        <v>392</v>
      </c>
      <c r="J391" s="1">
        <v>2021</v>
      </c>
      <c r="K391" s="4"/>
      <c r="L391" s="4"/>
      <c r="M391" s="1" t="s">
        <v>393</v>
      </c>
      <c r="N391" s="3" t="s">
        <v>2621</v>
      </c>
      <c r="O391" s="1" t="s">
        <v>2622</v>
      </c>
      <c r="P391" s="1" t="s">
        <v>2623</v>
      </c>
      <c r="Q391" s="1" t="s">
        <v>2624</v>
      </c>
      <c r="R391" s="4"/>
    </row>
    <row r="392" spans="1:18" x14ac:dyDescent="0.25">
      <c r="A392" s="1" t="s">
        <v>13</v>
      </c>
      <c r="B392" s="1" t="s">
        <v>2625</v>
      </c>
      <c r="C392" s="1" t="s">
        <v>2626</v>
      </c>
      <c r="D392" s="1" t="s">
        <v>354</v>
      </c>
      <c r="E392" s="1">
        <v>2021</v>
      </c>
      <c r="F392" s="1">
        <v>177</v>
      </c>
      <c r="G392" s="4"/>
      <c r="H392" s="4"/>
      <c r="I392" s="1" t="s">
        <v>355</v>
      </c>
      <c r="J392" s="1">
        <v>2021</v>
      </c>
      <c r="K392" s="4"/>
      <c r="L392" s="4"/>
      <c r="M392" s="1" t="s">
        <v>65</v>
      </c>
      <c r="N392" s="3" t="s">
        <v>2627</v>
      </c>
      <c r="O392" s="1" t="s">
        <v>2628</v>
      </c>
      <c r="P392" s="1" t="s">
        <v>2629</v>
      </c>
      <c r="Q392" s="1" t="s">
        <v>176</v>
      </c>
      <c r="R392" s="4"/>
    </row>
    <row r="393" spans="1:18" x14ac:dyDescent="0.25">
      <c r="A393" s="1" t="s">
        <v>141</v>
      </c>
      <c r="B393" s="1" t="s">
        <v>2630</v>
      </c>
      <c r="C393" s="1" t="s">
        <v>2631</v>
      </c>
      <c r="D393" s="4"/>
      <c r="E393" s="1">
        <v>2022</v>
      </c>
      <c r="F393" s="7">
        <v>44682</v>
      </c>
      <c r="G393" s="4"/>
      <c r="H393" s="1" t="s">
        <v>2632</v>
      </c>
      <c r="I393" s="1" t="s">
        <v>196</v>
      </c>
      <c r="J393" s="1">
        <v>2022</v>
      </c>
      <c r="K393" s="1">
        <v>9781450392211</v>
      </c>
      <c r="L393" s="4"/>
      <c r="M393" s="1" t="s">
        <v>1458</v>
      </c>
      <c r="N393" s="3" t="s">
        <v>2633</v>
      </c>
      <c r="O393" s="1" t="s">
        <v>2634</v>
      </c>
      <c r="P393" s="1" t="s">
        <v>2635</v>
      </c>
      <c r="Q393" s="1" t="s">
        <v>2636</v>
      </c>
      <c r="R393" s="4"/>
    </row>
    <row r="394" spans="1:18" x14ac:dyDescent="0.25">
      <c r="A394" s="1" t="s">
        <v>13</v>
      </c>
      <c r="B394" s="1" t="s">
        <v>2637</v>
      </c>
      <c r="C394" s="1" t="s">
        <v>2638</v>
      </c>
      <c r="D394" s="1" t="s">
        <v>676</v>
      </c>
      <c r="E394" s="1">
        <v>2022</v>
      </c>
      <c r="F394" s="1">
        <v>217</v>
      </c>
      <c r="G394" s="4"/>
      <c r="H394" s="1" t="s">
        <v>2082</v>
      </c>
      <c r="I394" s="1" t="s">
        <v>212</v>
      </c>
      <c r="J394" s="1">
        <v>2022</v>
      </c>
      <c r="K394" s="4"/>
      <c r="L394" s="4"/>
      <c r="M394" s="1" t="s">
        <v>679</v>
      </c>
      <c r="N394" s="3" t="s">
        <v>2639</v>
      </c>
      <c r="O394" s="1" t="s">
        <v>2640</v>
      </c>
      <c r="P394" s="1" t="s">
        <v>2641</v>
      </c>
      <c r="Q394" s="1" t="s">
        <v>157</v>
      </c>
      <c r="R394" s="4"/>
    </row>
    <row r="395" spans="1:18" x14ac:dyDescent="0.25">
      <c r="A395" s="1" t="s">
        <v>141</v>
      </c>
      <c r="B395" s="1" t="s">
        <v>2642</v>
      </c>
      <c r="C395" s="1" t="s">
        <v>2643</v>
      </c>
      <c r="D395" s="4"/>
      <c r="E395" s="1">
        <v>2021</v>
      </c>
      <c r="F395" s="4"/>
      <c r="G395" s="4"/>
      <c r="H395" s="1" t="s">
        <v>2644</v>
      </c>
      <c r="I395" s="1" t="s">
        <v>257</v>
      </c>
      <c r="J395" s="1">
        <v>2021</v>
      </c>
      <c r="K395" s="1">
        <v>9781665441186</v>
      </c>
      <c r="L395" s="4"/>
      <c r="M395" s="4"/>
      <c r="N395" s="3" t="s">
        <v>2645</v>
      </c>
      <c r="O395" s="1" t="s">
        <v>2646</v>
      </c>
      <c r="P395" s="4"/>
      <c r="Q395" s="1" t="s">
        <v>318</v>
      </c>
      <c r="R395" s="4"/>
    </row>
    <row r="396" spans="1:18" x14ac:dyDescent="0.25">
      <c r="A396" s="1" t="s">
        <v>141</v>
      </c>
      <c r="B396" s="1" t="s">
        <v>2647</v>
      </c>
      <c r="C396" s="1" t="s">
        <v>2648</v>
      </c>
      <c r="D396" s="4"/>
      <c r="E396" s="1">
        <v>2021</v>
      </c>
      <c r="F396" s="4"/>
      <c r="G396" s="4"/>
      <c r="H396" s="1" t="s">
        <v>2649</v>
      </c>
      <c r="I396" s="1" t="s">
        <v>257</v>
      </c>
      <c r="J396" s="1">
        <v>2021</v>
      </c>
      <c r="K396" s="1">
        <v>9781665435727</v>
      </c>
      <c r="L396" s="4"/>
      <c r="M396" s="4"/>
      <c r="N396" s="3" t="s">
        <v>2650</v>
      </c>
      <c r="O396" s="1" t="s">
        <v>2651</v>
      </c>
      <c r="P396" s="1" t="s">
        <v>2652</v>
      </c>
      <c r="Q396" s="1" t="s">
        <v>176</v>
      </c>
      <c r="R396" s="4"/>
    </row>
    <row r="397" spans="1:18" x14ac:dyDescent="0.25">
      <c r="A397" s="1" t="s">
        <v>141</v>
      </c>
      <c r="B397" s="1" t="s">
        <v>2653</v>
      </c>
      <c r="C397" s="1" t="s">
        <v>2654</v>
      </c>
      <c r="D397" s="4"/>
      <c r="E397" s="1">
        <v>2022</v>
      </c>
      <c r="F397" s="4"/>
      <c r="G397" s="4"/>
      <c r="H397" s="1" t="s">
        <v>2655</v>
      </c>
      <c r="I397" s="1" t="s">
        <v>257</v>
      </c>
      <c r="J397" s="1">
        <v>2022</v>
      </c>
      <c r="K397" s="1">
        <v>9781450392754</v>
      </c>
      <c r="L397" s="4"/>
      <c r="M397" s="4"/>
      <c r="N397" s="3" t="s">
        <v>2656</v>
      </c>
      <c r="O397" s="1" t="s">
        <v>2657</v>
      </c>
      <c r="P397" s="1" t="s">
        <v>2658</v>
      </c>
      <c r="Q397" s="1" t="s">
        <v>387</v>
      </c>
      <c r="R397" s="4"/>
    </row>
    <row r="398" spans="1:18" x14ac:dyDescent="0.25">
      <c r="A398" s="1" t="s">
        <v>141</v>
      </c>
      <c r="B398" s="1" t="s">
        <v>2659</v>
      </c>
      <c r="C398" s="1" t="s">
        <v>2660</v>
      </c>
      <c r="D398" s="4"/>
      <c r="E398" s="1">
        <v>2021</v>
      </c>
      <c r="F398" s="4"/>
      <c r="G398" s="4"/>
      <c r="H398" s="1" t="s">
        <v>2661</v>
      </c>
      <c r="I398" s="1" t="s">
        <v>257</v>
      </c>
      <c r="J398" s="1">
        <v>2021</v>
      </c>
      <c r="K398" s="1">
        <v>9781665445559</v>
      </c>
      <c r="L398" s="4"/>
      <c r="M398" s="4"/>
      <c r="N398" s="3" t="s">
        <v>2662</v>
      </c>
      <c r="O398" s="1" t="s">
        <v>2663</v>
      </c>
      <c r="P398" s="1" t="s">
        <v>2664</v>
      </c>
      <c r="Q398" s="1" t="s">
        <v>1598</v>
      </c>
      <c r="R398" s="4"/>
    </row>
    <row r="399" spans="1:18" x14ac:dyDescent="0.25">
      <c r="A399" s="1" t="s">
        <v>141</v>
      </c>
      <c r="B399" s="1" t="s">
        <v>2665</v>
      </c>
      <c r="C399" s="1" t="s">
        <v>2666</v>
      </c>
      <c r="D399" s="4"/>
      <c r="E399" s="1">
        <v>2022</v>
      </c>
      <c r="F399" s="4"/>
      <c r="G399" s="4"/>
      <c r="H399" s="1" t="s">
        <v>2667</v>
      </c>
      <c r="I399" s="1" t="s">
        <v>257</v>
      </c>
      <c r="J399" s="1">
        <v>2022</v>
      </c>
      <c r="K399" s="1">
        <v>9781450393034</v>
      </c>
      <c r="L399" s="4"/>
      <c r="M399" s="4"/>
      <c r="N399" s="3" t="s">
        <v>2668</v>
      </c>
      <c r="O399" s="1" t="s">
        <v>2669</v>
      </c>
      <c r="P399" s="1" t="s">
        <v>2670</v>
      </c>
      <c r="Q399" s="1" t="s">
        <v>149</v>
      </c>
      <c r="R399" s="4"/>
    </row>
    <row r="400" spans="1:18" x14ac:dyDescent="0.25">
      <c r="A400" s="1" t="s">
        <v>141</v>
      </c>
      <c r="B400" s="1" t="s">
        <v>2671</v>
      </c>
      <c r="C400" s="1" t="s">
        <v>2672</v>
      </c>
      <c r="D400" s="4"/>
      <c r="E400" s="1">
        <v>2021</v>
      </c>
      <c r="F400" s="1">
        <v>2</v>
      </c>
      <c r="G400" s="4"/>
      <c r="H400" s="1" t="s">
        <v>2673</v>
      </c>
      <c r="I400" s="1" t="s">
        <v>137</v>
      </c>
      <c r="J400" s="1">
        <v>2021</v>
      </c>
      <c r="K400" s="1">
        <v>9781450393195</v>
      </c>
      <c r="L400" s="4"/>
      <c r="M400" s="1" t="s">
        <v>2167</v>
      </c>
      <c r="N400" s="3" t="s">
        <v>2674</v>
      </c>
      <c r="O400" s="1" t="s">
        <v>2675</v>
      </c>
      <c r="P400" s="1" t="s">
        <v>2676</v>
      </c>
      <c r="Q400" s="1" t="s">
        <v>1656</v>
      </c>
      <c r="R400" s="4"/>
    </row>
    <row r="401" spans="1:18" x14ac:dyDescent="0.25">
      <c r="A401" s="1" t="s">
        <v>141</v>
      </c>
      <c r="B401" s="1" t="s">
        <v>2677</v>
      </c>
      <c r="C401" s="1" t="s">
        <v>2678</v>
      </c>
      <c r="D401" s="4"/>
      <c r="E401" s="1">
        <v>2021</v>
      </c>
      <c r="F401" s="7">
        <v>44470</v>
      </c>
      <c r="G401" s="4"/>
      <c r="H401" s="1" t="s">
        <v>2679</v>
      </c>
      <c r="I401" s="1" t="s">
        <v>196</v>
      </c>
      <c r="J401" s="1">
        <v>2021</v>
      </c>
      <c r="K401" s="1">
        <v>9781665425872</v>
      </c>
      <c r="L401" s="4"/>
      <c r="M401" s="1" t="s">
        <v>2680</v>
      </c>
      <c r="N401" s="3" t="s">
        <v>2681</v>
      </c>
      <c r="O401" s="1" t="s">
        <v>2682</v>
      </c>
      <c r="P401" s="1" t="s">
        <v>2683</v>
      </c>
      <c r="Q401" s="1" t="s">
        <v>157</v>
      </c>
      <c r="R401" s="4"/>
    </row>
    <row r="402" spans="1:18" x14ac:dyDescent="0.25">
      <c r="A402" s="1" t="s">
        <v>13</v>
      </c>
      <c r="B402" s="4"/>
      <c r="C402" s="1" t="s">
        <v>2684</v>
      </c>
      <c r="D402" s="1" t="s">
        <v>1870</v>
      </c>
      <c r="E402" s="1">
        <v>2021</v>
      </c>
      <c r="F402" s="1">
        <v>417</v>
      </c>
      <c r="G402" s="4"/>
      <c r="H402" s="4"/>
      <c r="I402" s="1" t="s">
        <v>212</v>
      </c>
      <c r="J402" s="1">
        <v>2021</v>
      </c>
      <c r="K402" s="4"/>
      <c r="L402" s="4"/>
      <c r="M402" s="1" t="s">
        <v>1873</v>
      </c>
      <c r="N402" s="3" t="s">
        <v>2685</v>
      </c>
      <c r="O402" s="4"/>
      <c r="P402" s="1" t="s">
        <v>2686</v>
      </c>
      <c r="Q402" s="1" t="s">
        <v>157</v>
      </c>
      <c r="R402" s="4"/>
    </row>
    <row r="403" spans="1:18" x14ac:dyDescent="0.25">
      <c r="A403" s="1" t="s">
        <v>141</v>
      </c>
      <c r="B403" s="1" t="s">
        <v>2687</v>
      </c>
      <c r="C403" s="1" t="s">
        <v>2688</v>
      </c>
      <c r="D403" s="4"/>
      <c r="E403" s="1">
        <v>2021</v>
      </c>
      <c r="F403" s="4"/>
      <c r="G403" s="4"/>
      <c r="H403" s="1" t="s">
        <v>2689</v>
      </c>
      <c r="I403" s="1" t="s">
        <v>257</v>
      </c>
      <c r="J403" s="1">
        <v>2021</v>
      </c>
      <c r="K403" s="1">
        <v>9781665444705</v>
      </c>
      <c r="L403" s="4"/>
      <c r="M403" s="4"/>
      <c r="N403" s="3" t="s">
        <v>2690</v>
      </c>
      <c r="O403" s="1" t="s">
        <v>2691</v>
      </c>
      <c r="P403" s="1" t="s">
        <v>2692</v>
      </c>
      <c r="Q403" s="1" t="s">
        <v>1404</v>
      </c>
      <c r="R403" s="4"/>
    </row>
    <row r="404" spans="1:18" x14ac:dyDescent="0.25">
      <c r="A404" s="1" t="s">
        <v>13</v>
      </c>
      <c r="B404" s="1" t="s">
        <v>2693</v>
      </c>
      <c r="C404" s="1" t="s">
        <v>2694</v>
      </c>
      <c r="D404" s="1" t="s">
        <v>2695</v>
      </c>
      <c r="E404" s="1">
        <v>2020</v>
      </c>
      <c r="F404" s="1">
        <v>34</v>
      </c>
      <c r="G404" s="1">
        <v>5</v>
      </c>
      <c r="H404" s="1" t="s">
        <v>2696</v>
      </c>
      <c r="I404" s="1" t="s">
        <v>266</v>
      </c>
      <c r="J404" s="1">
        <v>2020</v>
      </c>
      <c r="K404" s="4"/>
      <c r="L404" s="4"/>
      <c r="M404" s="1" t="s">
        <v>2697</v>
      </c>
      <c r="N404" s="3" t="s">
        <v>2698</v>
      </c>
      <c r="O404" s="1" t="s">
        <v>2699</v>
      </c>
      <c r="P404" s="1" t="s">
        <v>2700</v>
      </c>
      <c r="Q404" s="1" t="s">
        <v>2701</v>
      </c>
      <c r="R404" s="4"/>
    </row>
    <row r="405" spans="1:18" x14ac:dyDescent="0.25">
      <c r="A405" s="1" t="s">
        <v>13</v>
      </c>
      <c r="B405" s="1" t="s">
        <v>2702</v>
      </c>
      <c r="C405" s="1" t="s">
        <v>2703</v>
      </c>
      <c r="D405" s="1" t="s">
        <v>2704</v>
      </c>
      <c r="E405" s="1">
        <v>2020</v>
      </c>
      <c r="F405" s="1">
        <v>14</v>
      </c>
      <c r="G405" s="1">
        <v>6</v>
      </c>
      <c r="H405" s="1" t="s">
        <v>2705</v>
      </c>
      <c r="I405" s="1" t="s">
        <v>2706</v>
      </c>
      <c r="J405" s="1">
        <v>2020</v>
      </c>
      <c r="K405" s="4"/>
      <c r="L405" s="4"/>
      <c r="M405" s="1" t="s">
        <v>2707</v>
      </c>
      <c r="N405" s="3" t="s">
        <v>2708</v>
      </c>
      <c r="O405" s="1" t="s">
        <v>2709</v>
      </c>
      <c r="P405" s="1" t="s">
        <v>2710</v>
      </c>
      <c r="Q405" s="1" t="s">
        <v>529</v>
      </c>
      <c r="R405" s="4"/>
    </row>
    <row r="406" spans="1:18" x14ac:dyDescent="0.25">
      <c r="A406" s="1" t="s">
        <v>141</v>
      </c>
      <c r="B406" s="1" t="s">
        <v>2711</v>
      </c>
      <c r="C406" s="1" t="s">
        <v>2712</v>
      </c>
      <c r="D406" s="4"/>
      <c r="E406" s="1">
        <v>2021</v>
      </c>
      <c r="F406" s="4"/>
      <c r="G406" s="4"/>
      <c r="H406" s="1" t="s">
        <v>2713</v>
      </c>
      <c r="I406" s="1" t="s">
        <v>196</v>
      </c>
      <c r="J406" s="1">
        <v>2021</v>
      </c>
      <c r="K406" s="1">
        <v>9781665428569</v>
      </c>
      <c r="L406" s="4"/>
      <c r="M406" s="1" t="s">
        <v>322</v>
      </c>
      <c r="N406" s="3" t="s">
        <v>2714</v>
      </c>
      <c r="O406" s="1" t="s">
        <v>2715</v>
      </c>
      <c r="P406" s="1" t="s">
        <v>2716</v>
      </c>
      <c r="Q406" s="1" t="s">
        <v>2717</v>
      </c>
      <c r="R406" s="4"/>
    </row>
    <row r="407" spans="1:18" x14ac:dyDescent="0.25">
      <c r="A407" s="1" t="s">
        <v>141</v>
      </c>
      <c r="B407" s="1" t="s">
        <v>2718</v>
      </c>
      <c r="C407" s="1" t="s">
        <v>2719</v>
      </c>
      <c r="D407" s="4"/>
      <c r="E407" s="1">
        <v>2020</v>
      </c>
      <c r="F407" s="4"/>
      <c r="G407" s="4"/>
      <c r="H407" s="1" t="s">
        <v>750</v>
      </c>
      <c r="I407" s="1" t="s">
        <v>153</v>
      </c>
      <c r="J407" s="1">
        <v>2020</v>
      </c>
      <c r="K407" s="1">
        <v>9781450381246</v>
      </c>
      <c r="L407" s="4"/>
      <c r="M407" s="4"/>
      <c r="N407" s="3" t="s">
        <v>2720</v>
      </c>
      <c r="O407" s="1" t="s">
        <v>2721</v>
      </c>
      <c r="P407" s="1" t="s">
        <v>2722</v>
      </c>
      <c r="Q407" s="1" t="s">
        <v>2723</v>
      </c>
      <c r="R407" s="4"/>
    </row>
    <row r="408" spans="1:18" x14ac:dyDescent="0.25">
      <c r="A408" s="1" t="s">
        <v>13</v>
      </c>
      <c r="B408" s="1" t="s">
        <v>2724</v>
      </c>
      <c r="C408" s="1" t="s">
        <v>2725</v>
      </c>
      <c r="D408" s="1" t="s">
        <v>354</v>
      </c>
      <c r="E408" s="1">
        <v>2020</v>
      </c>
      <c r="F408" s="1">
        <v>169</v>
      </c>
      <c r="G408" s="4"/>
      <c r="H408" s="4"/>
      <c r="I408" s="1" t="s">
        <v>355</v>
      </c>
      <c r="J408" s="1">
        <v>2020</v>
      </c>
      <c r="K408" s="4"/>
      <c r="L408" s="4"/>
      <c r="M408" s="1" t="s">
        <v>65</v>
      </c>
      <c r="N408" s="3" t="s">
        <v>2726</v>
      </c>
      <c r="O408" s="1" t="s">
        <v>2727</v>
      </c>
      <c r="P408" s="1" t="s">
        <v>2728</v>
      </c>
      <c r="Q408" s="1" t="s">
        <v>1573</v>
      </c>
      <c r="R408" s="4"/>
    </row>
    <row r="409" spans="1:18" x14ac:dyDescent="0.25">
      <c r="A409" s="1" t="s">
        <v>141</v>
      </c>
      <c r="B409" s="1" t="s">
        <v>2729</v>
      </c>
      <c r="C409" s="1" t="s">
        <v>2730</v>
      </c>
      <c r="D409" s="4"/>
      <c r="E409" s="1">
        <v>2021</v>
      </c>
      <c r="F409" s="7">
        <v>44317</v>
      </c>
      <c r="G409" s="4"/>
      <c r="H409" s="1" t="s">
        <v>2731</v>
      </c>
      <c r="I409" s="1" t="s">
        <v>196</v>
      </c>
      <c r="J409" s="1">
        <v>2021</v>
      </c>
      <c r="K409" s="1">
        <v>9781665414036</v>
      </c>
      <c r="L409" s="4"/>
      <c r="M409" s="4"/>
      <c r="N409" s="3" t="s">
        <v>2732</v>
      </c>
      <c r="O409" s="1" t="s">
        <v>2733</v>
      </c>
      <c r="P409" s="1" t="s">
        <v>2734</v>
      </c>
      <c r="Q409" s="1" t="s">
        <v>818</v>
      </c>
      <c r="R409" s="4"/>
    </row>
    <row r="410" spans="1:18" x14ac:dyDescent="0.25">
      <c r="A410" s="1" t="s">
        <v>141</v>
      </c>
      <c r="B410" s="1" t="s">
        <v>2735</v>
      </c>
      <c r="C410" s="1" t="s">
        <v>2736</v>
      </c>
      <c r="D410" s="4"/>
      <c r="E410" s="1">
        <v>2020</v>
      </c>
      <c r="F410" s="4"/>
      <c r="G410" s="4"/>
      <c r="H410" s="4"/>
      <c r="I410" s="1" t="s">
        <v>257</v>
      </c>
      <c r="J410" s="1">
        <v>2020</v>
      </c>
      <c r="K410" s="1">
        <v>9781728191058</v>
      </c>
      <c r="L410" s="4"/>
      <c r="M410" s="4"/>
      <c r="N410" s="3" t="s">
        <v>2737</v>
      </c>
      <c r="O410" s="1" t="s">
        <v>2738</v>
      </c>
      <c r="P410" s="1" t="s">
        <v>2739</v>
      </c>
      <c r="Q410" s="1" t="s">
        <v>318</v>
      </c>
      <c r="R410" s="4"/>
    </row>
    <row r="411" spans="1:18" x14ac:dyDescent="0.25">
      <c r="A411" s="1" t="s">
        <v>13</v>
      </c>
      <c r="B411" s="1" t="s">
        <v>2740</v>
      </c>
      <c r="C411" s="1" t="s">
        <v>2741</v>
      </c>
      <c r="D411" s="1" t="s">
        <v>264</v>
      </c>
      <c r="E411" s="1">
        <v>2021</v>
      </c>
      <c r="F411" s="1">
        <v>51</v>
      </c>
      <c r="G411" s="1">
        <v>1</v>
      </c>
      <c r="H411" s="1" t="s">
        <v>2742</v>
      </c>
      <c r="I411" s="1" t="s">
        <v>266</v>
      </c>
      <c r="J411" s="1">
        <v>2021</v>
      </c>
      <c r="K411" s="4"/>
      <c r="L411" s="4"/>
      <c r="M411" s="1" t="s">
        <v>267</v>
      </c>
      <c r="N411" s="3" t="s">
        <v>2743</v>
      </c>
      <c r="O411" s="1" t="s">
        <v>2744</v>
      </c>
      <c r="P411" s="1" t="s">
        <v>2745</v>
      </c>
      <c r="Q411" s="1" t="s">
        <v>1656</v>
      </c>
      <c r="R411" s="4"/>
    </row>
    <row r="412" spans="1:18" x14ac:dyDescent="0.25">
      <c r="A412" s="1" t="s">
        <v>13</v>
      </c>
      <c r="B412" s="1" t="s">
        <v>217</v>
      </c>
      <c r="C412" s="1" t="s">
        <v>2746</v>
      </c>
      <c r="D412" s="1" t="s">
        <v>878</v>
      </c>
      <c r="E412" s="1">
        <v>2021</v>
      </c>
      <c r="F412" s="1">
        <v>33</v>
      </c>
      <c r="G412" s="1">
        <v>3</v>
      </c>
      <c r="H412" s="4"/>
      <c r="I412" s="1" t="s">
        <v>266</v>
      </c>
      <c r="J412" s="1">
        <v>2021</v>
      </c>
      <c r="K412" s="4"/>
      <c r="L412" s="4"/>
      <c r="M412" s="1" t="s">
        <v>879</v>
      </c>
      <c r="N412" s="3" t="s">
        <v>2747</v>
      </c>
      <c r="O412" s="1" t="s">
        <v>2748</v>
      </c>
      <c r="P412" s="1" t="s">
        <v>2749</v>
      </c>
      <c r="Q412" s="1" t="s">
        <v>2286</v>
      </c>
      <c r="R412" s="4"/>
    </row>
    <row r="413" spans="1:18" x14ac:dyDescent="0.25">
      <c r="A413" s="1" t="s">
        <v>13</v>
      </c>
      <c r="B413" s="1" t="s">
        <v>2750</v>
      </c>
      <c r="C413" s="1" t="s">
        <v>2751</v>
      </c>
      <c r="D413" s="1" t="s">
        <v>136</v>
      </c>
      <c r="E413" s="1">
        <v>2020</v>
      </c>
      <c r="F413" s="1">
        <v>25</v>
      </c>
      <c r="G413" s="1">
        <v>5</v>
      </c>
      <c r="H413" s="1" t="s">
        <v>2752</v>
      </c>
      <c r="I413" s="1" t="s">
        <v>137</v>
      </c>
      <c r="J413" s="1">
        <v>2020</v>
      </c>
      <c r="K413" s="4"/>
      <c r="L413" s="4"/>
      <c r="M413" s="1" t="s">
        <v>33</v>
      </c>
      <c r="N413" s="3" t="s">
        <v>2753</v>
      </c>
      <c r="O413" s="1" t="s">
        <v>2754</v>
      </c>
      <c r="P413" s="1" t="s">
        <v>2755</v>
      </c>
      <c r="Q413" s="1" t="s">
        <v>2756</v>
      </c>
      <c r="R413" s="4"/>
    </row>
    <row r="414" spans="1:18" x14ac:dyDescent="0.25">
      <c r="A414" s="1" t="s">
        <v>13</v>
      </c>
      <c r="B414" s="1" t="s">
        <v>2757</v>
      </c>
      <c r="C414" s="1" t="s">
        <v>2758</v>
      </c>
      <c r="D414" s="1" t="s">
        <v>668</v>
      </c>
      <c r="E414" s="1">
        <v>2021</v>
      </c>
      <c r="F414" s="1">
        <v>9</v>
      </c>
      <c r="G414" s="4"/>
      <c r="H414" s="1" t="s">
        <v>2759</v>
      </c>
      <c r="I414" s="1" t="s">
        <v>257</v>
      </c>
      <c r="J414" s="1">
        <v>2021</v>
      </c>
      <c r="K414" s="4"/>
      <c r="L414" s="4"/>
      <c r="M414" s="1" t="s">
        <v>670</v>
      </c>
      <c r="N414" s="3" t="s">
        <v>2760</v>
      </c>
      <c r="O414" s="1" t="s">
        <v>2761</v>
      </c>
      <c r="P414" s="1" t="s">
        <v>2762</v>
      </c>
      <c r="Q414" s="1" t="s">
        <v>2763</v>
      </c>
      <c r="R414" s="4"/>
    </row>
    <row r="415" spans="1:18" x14ac:dyDescent="0.25">
      <c r="A415" s="1" t="s">
        <v>13</v>
      </c>
      <c r="B415" s="1" t="s">
        <v>2764</v>
      </c>
      <c r="C415" s="1" t="s">
        <v>2765</v>
      </c>
      <c r="D415" s="1" t="s">
        <v>523</v>
      </c>
      <c r="E415" s="1">
        <v>2020</v>
      </c>
      <c r="F415" s="1">
        <v>28</v>
      </c>
      <c r="G415" s="1">
        <v>4</v>
      </c>
      <c r="H415" s="1" t="s">
        <v>2766</v>
      </c>
      <c r="I415" s="1" t="s">
        <v>137</v>
      </c>
      <c r="J415" s="1">
        <v>2020</v>
      </c>
      <c r="K415" s="4"/>
      <c r="L415" s="4"/>
      <c r="M415" s="1" t="s">
        <v>525</v>
      </c>
      <c r="N415" s="3" t="s">
        <v>2767</v>
      </c>
      <c r="O415" s="1" t="s">
        <v>2768</v>
      </c>
      <c r="P415" s="1" t="s">
        <v>2769</v>
      </c>
      <c r="Q415" s="1" t="s">
        <v>2770</v>
      </c>
      <c r="R415" s="4"/>
    </row>
    <row r="416" spans="1:18" x14ac:dyDescent="0.25">
      <c r="A416" s="1" t="s">
        <v>13</v>
      </c>
      <c r="B416" s="1" t="s">
        <v>2771</v>
      </c>
      <c r="C416" s="1" t="s">
        <v>2772</v>
      </c>
      <c r="D416" s="1" t="s">
        <v>307</v>
      </c>
      <c r="E416" s="1">
        <v>2020</v>
      </c>
      <c r="F416" s="1">
        <v>127</v>
      </c>
      <c r="G416" s="4"/>
      <c r="H416" s="4"/>
      <c r="I416" s="1" t="s">
        <v>280</v>
      </c>
      <c r="J416" s="1">
        <v>2020</v>
      </c>
      <c r="K416" s="4"/>
      <c r="L416" s="4"/>
      <c r="M416" s="1" t="s">
        <v>308</v>
      </c>
      <c r="N416" s="3" t="s">
        <v>2773</v>
      </c>
      <c r="O416" s="1" t="s">
        <v>2774</v>
      </c>
      <c r="P416" s="1" t="s">
        <v>2775</v>
      </c>
      <c r="Q416" s="1" t="s">
        <v>2776</v>
      </c>
      <c r="R416" s="4"/>
    </row>
    <row r="417" spans="1:18" x14ac:dyDescent="0.25">
      <c r="A417" s="1" t="s">
        <v>13</v>
      </c>
      <c r="B417" s="1" t="s">
        <v>2777</v>
      </c>
      <c r="C417" s="1" t="s">
        <v>2778</v>
      </c>
      <c r="D417" s="1" t="s">
        <v>209</v>
      </c>
      <c r="E417" s="1">
        <v>2021</v>
      </c>
      <c r="F417" s="1" t="s">
        <v>2779</v>
      </c>
      <c r="G417" s="4"/>
      <c r="H417" s="1" t="s">
        <v>2780</v>
      </c>
      <c r="I417" s="1" t="s">
        <v>212</v>
      </c>
      <c r="J417" s="1">
        <v>2021</v>
      </c>
      <c r="K417" s="4"/>
      <c r="L417" s="4"/>
      <c r="M417" s="1" t="s">
        <v>213</v>
      </c>
      <c r="N417" s="3" t="s">
        <v>2781</v>
      </c>
      <c r="O417" s="1" t="s">
        <v>2782</v>
      </c>
      <c r="P417" s="1" t="s">
        <v>2783</v>
      </c>
      <c r="Q417" s="1" t="s">
        <v>404</v>
      </c>
      <c r="R417" s="4"/>
    </row>
    <row r="418" spans="1:18" x14ac:dyDescent="0.25">
      <c r="A418" s="1" t="s">
        <v>13</v>
      </c>
      <c r="B418" s="1" t="s">
        <v>2784</v>
      </c>
      <c r="C418" s="1" t="s">
        <v>2785</v>
      </c>
      <c r="D418" s="1" t="s">
        <v>2786</v>
      </c>
      <c r="E418" s="1">
        <v>2020</v>
      </c>
      <c r="F418" s="1">
        <v>7</v>
      </c>
      <c r="G418" s="1">
        <v>1</v>
      </c>
      <c r="H418" s="4"/>
      <c r="I418" s="1" t="s">
        <v>137</v>
      </c>
      <c r="J418" s="1">
        <v>2020</v>
      </c>
      <c r="K418" s="4"/>
      <c r="L418" s="4"/>
      <c r="M418" s="1" t="s">
        <v>2787</v>
      </c>
      <c r="N418" s="3" t="s">
        <v>2788</v>
      </c>
      <c r="O418" s="1" t="s">
        <v>2789</v>
      </c>
      <c r="P418" s="1" t="s">
        <v>2790</v>
      </c>
      <c r="Q418" s="1" t="s">
        <v>2791</v>
      </c>
      <c r="R418" s="4"/>
    </row>
    <row r="419" spans="1:18" x14ac:dyDescent="0.25">
      <c r="A419" s="1" t="s">
        <v>13</v>
      </c>
      <c r="B419" s="1" t="s">
        <v>2792</v>
      </c>
      <c r="C419" s="1" t="s">
        <v>2793</v>
      </c>
      <c r="D419" s="1" t="s">
        <v>255</v>
      </c>
      <c r="E419" s="1">
        <v>2021</v>
      </c>
      <c r="F419" s="1">
        <v>47</v>
      </c>
      <c r="G419" s="1">
        <v>4</v>
      </c>
      <c r="H419" s="1" t="s">
        <v>2794</v>
      </c>
      <c r="I419" s="1" t="s">
        <v>257</v>
      </c>
      <c r="J419" s="1">
        <v>2021</v>
      </c>
      <c r="K419" s="4"/>
      <c r="L419" s="4"/>
      <c r="M419" s="1" t="s">
        <v>18</v>
      </c>
      <c r="N419" s="3" t="s">
        <v>2795</v>
      </c>
      <c r="O419" s="1" t="s">
        <v>2796</v>
      </c>
      <c r="P419" s="1" t="s">
        <v>2797</v>
      </c>
      <c r="Q419" s="1" t="s">
        <v>1733</v>
      </c>
      <c r="R419" s="4"/>
    </row>
    <row r="420" spans="1:18" x14ac:dyDescent="0.25">
      <c r="A420" s="1" t="s">
        <v>141</v>
      </c>
      <c r="B420" s="1" t="s">
        <v>2798</v>
      </c>
      <c r="C420" s="1" t="s">
        <v>2799</v>
      </c>
      <c r="D420" s="4"/>
      <c r="E420" s="1">
        <v>2020</v>
      </c>
      <c r="F420" s="7">
        <v>44044</v>
      </c>
      <c r="G420" s="4"/>
      <c r="H420" s="1" t="s">
        <v>2800</v>
      </c>
      <c r="I420" s="1" t="s">
        <v>196</v>
      </c>
      <c r="J420" s="1">
        <v>2020</v>
      </c>
      <c r="K420" s="1">
        <v>9781728174389</v>
      </c>
      <c r="L420" s="4"/>
      <c r="M420" s="1" t="s">
        <v>322</v>
      </c>
      <c r="N420" s="3" t="s">
        <v>2801</v>
      </c>
      <c r="O420" s="1" t="s">
        <v>2802</v>
      </c>
      <c r="P420" s="1" t="s">
        <v>2803</v>
      </c>
      <c r="Q420" s="1" t="s">
        <v>2804</v>
      </c>
      <c r="R420" s="4"/>
    </row>
    <row r="421" spans="1:18" x14ac:dyDescent="0.25">
      <c r="A421" s="1" t="s">
        <v>141</v>
      </c>
      <c r="B421" s="1" t="s">
        <v>2805</v>
      </c>
      <c r="C421" s="1" t="s">
        <v>2806</v>
      </c>
      <c r="D421" s="4"/>
      <c r="E421" s="1">
        <v>2021</v>
      </c>
      <c r="F421" s="4"/>
      <c r="G421" s="4"/>
      <c r="H421" s="1" t="s">
        <v>2807</v>
      </c>
      <c r="I421" s="1" t="s">
        <v>257</v>
      </c>
      <c r="J421" s="1">
        <v>2021</v>
      </c>
      <c r="K421" s="1">
        <v>9781728196305</v>
      </c>
      <c r="L421" s="4"/>
      <c r="M421" s="4"/>
      <c r="N421" s="3" t="s">
        <v>2808</v>
      </c>
      <c r="O421" s="1" t="s">
        <v>2809</v>
      </c>
      <c r="P421" s="1" t="s">
        <v>2810</v>
      </c>
      <c r="Q421" s="1" t="s">
        <v>2811</v>
      </c>
      <c r="R421" s="4"/>
    </row>
    <row r="422" spans="1:18" x14ac:dyDescent="0.25">
      <c r="A422" s="1" t="s">
        <v>13</v>
      </c>
      <c r="B422" s="1" t="s">
        <v>2812</v>
      </c>
      <c r="C422" s="1" t="s">
        <v>2813</v>
      </c>
      <c r="D422" s="1" t="s">
        <v>462</v>
      </c>
      <c r="E422" s="1">
        <v>2021</v>
      </c>
      <c r="F422" s="1">
        <v>1375</v>
      </c>
      <c r="G422" s="4"/>
      <c r="H422" s="1" t="s">
        <v>2814</v>
      </c>
      <c r="I422" s="1" t="s">
        <v>212</v>
      </c>
      <c r="J422" s="1">
        <v>2021</v>
      </c>
      <c r="K422" s="4"/>
      <c r="L422" s="4"/>
      <c r="M422" s="1" t="s">
        <v>465</v>
      </c>
      <c r="N422" s="3" t="s">
        <v>2815</v>
      </c>
      <c r="O422" s="1" t="s">
        <v>2816</v>
      </c>
      <c r="P422" s="1" t="s">
        <v>2817</v>
      </c>
      <c r="Q422" s="1" t="s">
        <v>157</v>
      </c>
      <c r="R422" s="4"/>
    </row>
    <row r="423" spans="1:18" x14ac:dyDescent="0.25">
      <c r="A423" s="1" t="s">
        <v>13</v>
      </c>
      <c r="B423" s="1" t="s">
        <v>2818</v>
      </c>
      <c r="C423" s="1" t="s">
        <v>2819</v>
      </c>
      <c r="D423" s="1" t="s">
        <v>1355</v>
      </c>
      <c r="E423" s="1">
        <v>2021</v>
      </c>
      <c r="F423" s="1">
        <v>167</v>
      </c>
      <c r="G423" s="4"/>
      <c r="H423" s="4"/>
      <c r="I423" s="1" t="s">
        <v>1060</v>
      </c>
      <c r="J423" s="1">
        <v>2021</v>
      </c>
      <c r="K423" s="4"/>
      <c r="L423" s="4"/>
      <c r="M423" s="1" t="s">
        <v>1356</v>
      </c>
      <c r="N423" s="3" t="s">
        <v>2820</v>
      </c>
      <c r="O423" s="1" t="s">
        <v>2821</v>
      </c>
      <c r="P423" s="1" t="s">
        <v>2822</v>
      </c>
      <c r="Q423" s="1" t="s">
        <v>2823</v>
      </c>
      <c r="R423" s="4"/>
    </row>
    <row r="424" spans="1:18" x14ac:dyDescent="0.25">
      <c r="A424" s="1" t="s">
        <v>141</v>
      </c>
      <c r="B424" s="1" t="s">
        <v>2824</v>
      </c>
      <c r="C424" s="1" t="s">
        <v>2825</v>
      </c>
      <c r="D424" s="4"/>
      <c r="E424" s="1">
        <v>2020</v>
      </c>
      <c r="F424" s="4"/>
      <c r="G424" s="4"/>
      <c r="H424" s="1" t="s">
        <v>2826</v>
      </c>
      <c r="I424" s="1" t="s">
        <v>153</v>
      </c>
      <c r="J424" s="1">
        <v>2020</v>
      </c>
      <c r="K424" s="1">
        <v>9781450370431</v>
      </c>
      <c r="L424" s="4"/>
      <c r="M424" s="4"/>
      <c r="N424" s="3" t="s">
        <v>2827</v>
      </c>
      <c r="O424" s="1" t="s">
        <v>2828</v>
      </c>
      <c r="P424" s="1" t="s">
        <v>2829</v>
      </c>
      <c r="Q424" s="1" t="s">
        <v>2830</v>
      </c>
      <c r="R424" s="4"/>
    </row>
    <row r="425" spans="1:18" x14ac:dyDescent="0.25">
      <c r="A425" s="1" t="s">
        <v>141</v>
      </c>
      <c r="B425" s="1" t="s">
        <v>2831</v>
      </c>
      <c r="C425" s="1" t="s">
        <v>2832</v>
      </c>
      <c r="D425" s="4"/>
      <c r="E425" s="1">
        <v>2021</v>
      </c>
      <c r="F425" s="7">
        <v>44378</v>
      </c>
      <c r="G425" s="4"/>
      <c r="H425" s="1" t="s">
        <v>2833</v>
      </c>
      <c r="I425" s="1" t="s">
        <v>933</v>
      </c>
      <c r="J425" s="1">
        <v>2021</v>
      </c>
      <c r="K425" s="1">
        <v>9781891706523</v>
      </c>
      <c r="L425" s="4"/>
      <c r="M425" s="1" t="s">
        <v>934</v>
      </c>
      <c r="N425" s="3" t="s">
        <v>2834</v>
      </c>
      <c r="O425" s="1" t="s">
        <v>2835</v>
      </c>
      <c r="P425" s="1" t="s">
        <v>2836</v>
      </c>
      <c r="Q425" s="1" t="s">
        <v>1591</v>
      </c>
      <c r="R425" s="4"/>
    </row>
    <row r="426" spans="1:18" x14ac:dyDescent="0.25">
      <c r="A426" s="1" t="s">
        <v>141</v>
      </c>
      <c r="B426" s="1" t="s">
        <v>2837</v>
      </c>
      <c r="C426" s="1" t="s">
        <v>2838</v>
      </c>
      <c r="D426" s="4"/>
      <c r="E426" s="1">
        <v>2020</v>
      </c>
      <c r="F426" s="4"/>
      <c r="G426" s="4"/>
      <c r="H426" s="4"/>
      <c r="I426" s="1" t="s">
        <v>196</v>
      </c>
      <c r="J426" s="1">
        <v>2020</v>
      </c>
      <c r="K426" s="1">
        <v>9781450375801</v>
      </c>
      <c r="L426" s="4"/>
      <c r="M426" s="1" t="s">
        <v>197</v>
      </c>
      <c r="N426" s="3" t="s">
        <v>2839</v>
      </c>
      <c r="O426" s="1" t="s">
        <v>2840</v>
      </c>
      <c r="P426" s="1" t="s">
        <v>2841</v>
      </c>
      <c r="Q426" s="1" t="s">
        <v>1094</v>
      </c>
      <c r="R426" s="4"/>
    </row>
    <row r="427" spans="1:18" x14ac:dyDescent="0.25">
      <c r="A427" s="1" t="s">
        <v>141</v>
      </c>
      <c r="B427" s="1" t="s">
        <v>2842</v>
      </c>
      <c r="C427" s="1" t="s">
        <v>2843</v>
      </c>
      <c r="D427" s="4"/>
      <c r="E427" s="1">
        <v>2021</v>
      </c>
      <c r="F427" s="4"/>
      <c r="G427" s="4"/>
      <c r="H427" s="1" t="s">
        <v>1917</v>
      </c>
      <c r="I427" s="1" t="s">
        <v>257</v>
      </c>
      <c r="J427" s="1">
        <v>2021</v>
      </c>
      <c r="K427" s="1">
        <v>9781728184760</v>
      </c>
      <c r="L427" s="4"/>
      <c r="M427" s="4"/>
      <c r="N427" s="3" t="s">
        <v>2844</v>
      </c>
      <c r="O427" s="1" t="s">
        <v>2845</v>
      </c>
      <c r="P427" s="1" t="s">
        <v>2846</v>
      </c>
      <c r="Q427" s="1" t="s">
        <v>157</v>
      </c>
      <c r="R427" s="4"/>
    </row>
    <row r="428" spans="1:18" x14ac:dyDescent="0.25">
      <c r="A428" s="1" t="s">
        <v>141</v>
      </c>
      <c r="B428" s="1" t="s">
        <v>2847</v>
      </c>
      <c r="C428" s="1" t="s">
        <v>2848</v>
      </c>
      <c r="D428" s="4"/>
      <c r="E428" s="1">
        <v>2021</v>
      </c>
      <c r="F428" s="1">
        <v>2978</v>
      </c>
      <c r="G428" s="4"/>
      <c r="H428" s="4"/>
      <c r="I428" s="1" t="s">
        <v>613</v>
      </c>
      <c r="J428" s="1">
        <v>2021</v>
      </c>
      <c r="K428" s="4"/>
      <c r="L428" s="4"/>
      <c r="M428" s="1" t="s">
        <v>614</v>
      </c>
      <c r="N428" s="3" t="s">
        <v>2849</v>
      </c>
      <c r="O428" s="4"/>
      <c r="P428" s="1" t="s">
        <v>2850</v>
      </c>
      <c r="Q428" s="1" t="s">
        <v>157</v>
      </c>
      <c r="R428" s="4"/>
    </row>
    <row r="429" spans="1:18" x14ac:dyDescent="0.25">
      <c r="A429" s="1" t="s">
        <v>141</v>
      </c>
      <c r="B429" s="1" t="s">
        <v>1522</v>
      </c>
      <c r="C429" s="1" t="s">
        <v>2851</v>
      </c>
      <c r="D429" s="4"/>
      <c r="E429" s="1">
        <v>2020</v>
      </c>
      <c r="F429" s="4"/>
      <c r="G429" s="4"/>
      <c r="H429" s="1" t="s">
        <v>2852</v>
      </c>
      <c r="I429" s="1" t="s">
        <v>196</v>
      </c>
      <c r="J429" s="1">
        <v>2020</v>
      </c>
      <c r="K429" s="1">
        <v>9781450379588</v>
      </c>
      <c r="L429" s="4"/>
      <c r="M429" s="4"/>
      <c r="N429" s="3" t="s">
        <v>2853</v>
      </c>
      <c r="O429" s="1" t="s">
        <v>2854</v>
      </c>
      <c r="P429" s="1" t="s">
        <v>2855</v>
      </c>
      <c r="Q429" s="1" t="s">
        <v>2811</v>
      </c>
      <c r="R429" s="4"/>
    </row>
    <row r="430" spans="1:18" x14ac:dyDescent="0.25">
      <c r="A430" s="1" t="s">
        <v>13</v>
      </c>
      <c r="B430" s="1" t="s">
        <v>2856</v>
      </c>
      <c r="C430" s="1" t="s">
        <v>2857</v>
      </c>
      <c r="D430" s="1" t="s">
        <v>1870</v>
      </c>
      <c r="E430" s="1">
        <v>2021</v>
      </c>
      <c r="F430" s="1">
        <v>417</v>
      </c>
      <c r="G430" s="4"/>
      <c r="H430" s="1" t="s">
        <v>2858</v>
      </c>
      <c r="I430" s="1" t="s">
        <v>212</v>
      </c>
      <c r="J430" s="1">
        <v>2021</v>
      </c>
      <c r="K430" s="4"/>
      <c r="L430" s="4"/>
      <c r="M430" s="1" t="s">
        <v>1873</v>
      </c>
      <c r="N430" s="3" t="s">
        <v>2859</v>
      </c>
      <c r="O430" s="1" t="s">
        <v>2860</v>
      </c>
      <c r="P430" s="1" t="s">
        <v>2861</v>
      </c>
      <c r="Q430" s="1" t="s">
        <v>157</v>
      </c>
      <c r="R430" s="4"/>
    </row>
    <row r="431" spans="1:18" x14ac:dyDescent="0.25">
      <c r="A431" s="1" t="s">
        <v>141</v>
      </c>
      <c r="B431" s="1" t="s">
        <v>2862</v>
      </c>
      <c r="C431" s="1" t="s">
        <v>2863</v>
      </c>
      <c r="D431" s="4"/>
      <c r="E431" s="1">
        <v>2020</v>
      </c>
      <c r="F431" s="4"/>
      <c r="G431" s="4"/>
      <c r="H431" s="1" t="s">
        <v>2864</v>
      </c>
      <c r="I431" s="1" t="s">
        <v>257</v>
      </c>
      <c r="J431" s="1">
        <v>2020</v>
      </c>
      <c r="K431" s="1">
        <v>9781728192482</v>
      </c>
      <c r="L431" s="4"/>
      <c r="M431" s="4"/>
      <c r="N431" s="3" t="s">
        <v>2865</v>
      </c>
      <c r="O431" s="1" t="s">
        <v>2866</v>
      </c>
      <c r="P431" s="1" t="s">
        <v>2867</v>
      </c>
      <c r="Q431" s="1" t="s">
        <v>2830</v>
      </c>
      <c r="R431" s="4"/>
    </row>
    <row r="432" spans="1:18" x14ac:dyDescent="0.25">
      <c r="A432" s="1" t="s">
        <v>141</v>
      </c>
      <c r="B432" s="1" t="s">
        <v>2868</v>
      </c>
      <c r="C432" s="1" t="s">
        <v>2869</v>
      </c>
      <c r="D432" s="4"/>
      <c r="E432" s="1">
        <v>2021</v>
      </c>
      <c r="F432" s="4"/>
      <c r="G432" s="4"/>
      <c r="H432" s="1" t="s">
        <v>2870</v>
      </c>
      <c r="I432" s="1" t="s">
        <v>2565</v>
      </c>
      <c r="J432" s="1">
        <v>2021</v>
      </c>
      <c r="K432" s="1">
        <v>9781950737109</v>
      </c>
      <c r="L432" s="4"/>
      <c r="M432" s="4"/>
      <c r="N432" s="3" t="s">
        <v>2871</v>
      </c>
      <c r="O432" s="4"/>
      <c r="P432" s="1" t="s">
        <v>2872</v>
      </c>
      <c r="Q432" s="1" t="s">
        <v>1813</v>
      </c>
      <c r="R432" s="4"/>
    </row>
    <row r="433" spans="1:18" x14ac:dyDescent="0.25">
      <c r="A433" s="1" t="s">
        <v>13</v>
      </c>
      <c r="B433" s="1" t="s">
        <v>2873</v>
      </c>
      <c r="C433" s="1" t="s">
        <v>70</v>
      </c>
      <c r="D433" s="1" t="s">
        <v>188</v>
      </c>
      <c r="E433" s="1">
        <v>2021</v>
      </c>
      <c r="F433" s="1">
        <v>31</v>
      </c>
      <c r="G433" s="1">
        <v>2</v>
      </c>
      <c r="H433" s="1" t="s">
        <v>2874</v>
      </c>
      <c r="I433" s="1" t="s">
        <v>189</v>
      </c>
      <c r="J433" s="1">
        <v>2021</v>
      </c>
      <c r="K433" s="4"/>
      <c r="L433" s="4"/>
      <c r="M433" s="1" t="s">
        <v>73</v>
      </c>
      <c r="N433" s="3" t="s">
        <v>2875</v>
      </c>
      <c r="O433" s="1" t="s">
        <v>75</v>
      </c>
      <c r="P433" s="1" t="s">
        <v>2876</v>
      </c>
      <c r="Q433" s="1" t="s">
        <v>318</v>
      </c>
      <c r="R433" s="4"/>
    </row>
    <row r="434" spans="1:18" x14ac:dyDescent="0.25">
      <c r="A434" s="1" t="s">
        <v>141</v>
      </c>
      <c r="B434" s="1" t="s">
        <v>2877</v>
      </c>
      <c r="C434" s="1" t="s">
        <v>2878</v>
      </c>
      <c r="D434" s="4"/>
      <c r="E434" s="1">
        <v>2020</v>
      </c>
      <c r="F434" s="4"/>
      <c r="G434" s="4"/>
      <c r="H434" s="4"/>
      <c r="I434" s="1" t="s">
        <v>145</v>
      </c>
      <c r="J434" s="1">
        <v>2020</v>
      </c>
      <c r="K434" s="1">
        <v>9781450389235</v>
      </c>
      <c r="L434" s="4"/>
      <c r="M434" s="4"/>
      <c r="N434" s="3" t="s">
        <v>2879</v>
      </c>
      <c r="O434" s="1" t="s">
        <v>2880</v>
      </c>
      <c r="P434" s="1" t="s">
        <v>2881</v>
      </c>
      <c r="Q434" s="1" t="s">
        <v>157</v>
      </c>
      <c r="R434" s="4"/>
    </row>
    <row r="435" spans="1:18" x14ac:dyDescent="0.25">
      <c r="A435" s="1" t="s">
        <v>141</v>
      </c>
      <c r="B435" s="1" t="s">
        <v>2882</v>
      </c>
      <c r="C435" s="1" t="s">
        <v>2883</v>
      </c>
      <c r="D435" s="4"/>
      <c r="E435" s="1">
        <v>2020</v>
      </c>
      <c r="F435" s="1">
        <v>1587</v>
      </c>
      <c r="G435" s="4"/>
      <c r="H435" s="4"/>
      <c r="I435" s="1" t="s">
        <v>2884</v>
      </c>
      <c r="J435" s="1">
        <v>2020</v>
      </c>
      <c r="K435" s="4"/>
      <c r="L435" s="4"/>
      <c r="M435" s="1" t="s">
        <v>2438</v>
      </c>
      <c r="N435" s="3" t="s">
        <v>2885</v>
      </c>
      <c r="O435" s="1" t="s">
        <v>2886</v>
      </c>
      <c r="P435" s="1" t="s">
        <v>2887</v>
      </c>
      <c r="Q435" s="1" t="s">
        <v>568</v>
      </c>
      <c r="R435" s="4"/>
    </row>
    <row r="436" spans="1:18" x14ac:dyDescent="0.25">
      <c r="A436" s="1" t="s">
        <v>141</v>
      </c>
      <c r="B436" s="1" t="s">
        <v>2888</v>
      </c>
      <c r="C436" s="1" t="s">
        <v>2889</v>
      </c>
      <c r="D436" s="4"/>
      <c r="E436" s="1">
        <v>2021</v>
      </c>
      <c r="F436" s="4"/>
      <c r="G436" s="4"/>
      <c r="H436" s="1" t="s">
        <v>2890</v>
      </c>
      <c r="I436" s="1" t="s">
        <v>257</v>
      </c>
      <c r="J436" s="1">
        <v>2021</v>
      </c>
      <c r="K436" s="1">
        <v>9781728162607</v>
      </c>
      <c r="L436" s="4"/>
      <c r="M436" s="4"/>
      <c r="N436" s="3" t="s">
        <v>2891</v>
      </c>
      <c r="O436" s="1" t="s">
        <v>2892</v>
      </c>
      <c r="P436" s="1" t="s">
        <v>2893</v>
      </c>
      <c r="Q436" s="1" t="s">
        <v>404</v>
      </c>
      <c r="R436" s="4"/>
    </row>
    <row r="437" spans="1:18" x14ac:dyDescent="0.25">
      <c r="A437" s="1" t="s">
        <v>141</v>
      </c>
      <c r="B437" s="1" t="s">
        <v>2894</v>
      </c>
      <c r="C437" s="1" t="s">
        <v>2895</v>
      </c>
      <c r="D437" s="4"/>
      <c r="E437" s="1">
        <v>2020</v>
      </c>
      <c r="F437" s="4"/>
      <c r="G437" s="4"/>
      <c r="H437" s="1" t="s">
        <v>2896</v>
      </c>
      <c r="I437" s="1" t="s">
        <v>257</v>
      </c>
      <c r="J437" s="1">
        <v>2020</v>
      </c>
      <c r="K437" s="1">
        <v>9781728140865</v>
      </c>
      <c r="L437" s="4"/>
      <c r="M437" s="4"/>
      <c r="N437" s="3" t="s">
        <v>2897</v>
      </c>
      <c r="O437" s="1" t="s">
        <v>2898</v>
      </c>
      <c r="P437" s="1" t="s">
        <v>2899</v>
      </c>
      <c r="Q437" s="1" t="s">
        <v>157</v>
      </c>
      <c r="R437" s="4"/>
    </row>
    <row r="438" spans="1:18" x14ac:dyDescent="0.25">
      <c r="A438" s="1" t="s">
        <v>141</v>
      </c>
      <c r="B438" s="1" t="s">
        <v>2900</v>
      </c>
      <c r="C438" s="1" t="s">
        <v>2901</v>
      </c>
      <c r="D438" s="4"/>
      <c r="E438" s="1">
        <v>2021</v>
      </c>
      <c r="F438" s="7">
        <v>44256</v>
      </c>
      <c r="G438" s="4"/>
      <c r="H438" s="4"/>
      <c r="I438" s="1" t="s">
        <v>196</v>
      </c>
      <c r="J438" s="1">
        <v>2021</v>
      </c>
      <c r="K438" s="1">
        <v>9781728174365</v>
      </c>
      <c r="L438" s="4"/>
      <c r="M438" s="1" t="s">
        <v>2902</v>
      </c>
      <c r="N438" s="3" t="s">
        <v>2903</v>
      </c>
      <c r="O438" s="1" t="s">
        <v>2904</v>
      </c>
      <c r="P438" s="1" t="s">
        <v>2905</v>
      </c>
      <c r="Q438" s="1" t="s">
        <v>157</v>
      </c>
      <c r="R438" s="4"/>
    </row>
    <row r="439" spans="1:18" x14ac:dyDescent="0.25">
      <c r="A439" s="1" t="s">
        <v>13</v>
      </c>
      <c r="B439" s="1" t="s">
        <v>2906</v>
      </c>
      <c r="C439" s="1" t="s">
        <v>2907</v>
      </c>
      <c r="D439" s="1" t="s">
        <v>354</v>
      </c>
      <c r="E439" s="1">
        <v>2021</v>
      </c>
      <c r="F439" s="1">
        <v>171</v>
      </c>
      <c r="G439" s="4"/>
      <c r="H439" s="4"/>
      <c r="I439" s="1" t="s">
        <v>355</v>
      </c>
      <c r="J439" s="1">
        <v>2021</v>
      </c>
      <c r="K439" s="4"/>
      <c r="L439" s="4"/>
      <c r="M439" s="1" t="s">
        <v>65</v>
      </c>
      <c r="N439" s="3" t="s">
        <v>2908</v>
      </c>
      <c r="O439" s="1" t="s">
        <v>2909</v>
      </c>
      <c r="P439" s="1" t="s">
        <v>2910</v>
      </c>
      <c r="Q439" s="1" t="s">
        <v>2911</v>
      </c>
      <c r="R439" s="4"/>
    </row>
    <row r="440" spans="1:18" x14ac:dyDescent="0.25">
      <c r="A440" s="1" t="s">
        <v>141</v>
      </c>
      <c r="B440" s="1" t="s">
        <v>1628</v>
      </c>
      <c r="C440" s="1" t="s">
        <v>2912</v>
      </c>
      <c r="D440" s="4"/>
      <c r="E440" s="1">
        <v>2021</v>
      </c>
      <c r="F440" s="1">
        <v>3102</v>
      </c>
      <c r="G440" s="4"/>
      <c r="H440" s="4"/>
      <c r="I440" s="1" t="s">
        <v>613</v>
      </c>
      <c r="J440" s="1">
        <v>2021</v>
      </c>
      <c r="K440" s="4"/>
      <c r="L440" s="4"/>
      <c r="M440" s="1" t="s">
        <v>614</v>
      </c>
      <c r="N440" s="3" t="s">
        <v>2913</v>
      </c>
      <c r="O440" s="4"/>
      <c r="P440" s="1" t="s">
        <v>2914</v>
      </c>
      <c r="Q440" s="1" t="s">
        <v>157</v>
      </c>
      <c r="R440" s="4"/>
    </row>
    <row r="441" spans="1:18" x14ac:dyDescent="0.25">
      <c r="A441" s="1" t="s">
        <v>13</v>
      </c>
      <c r="B441" s="1" t="s">
        <v>2915</v>
      </c>
      <c r="C441" s="1" t="s">
        <v>2916</v>
      </c>
      <c r="D441" s="1" t="s">
        <v>2917</v>
      </c>
      <c r="E441" s="1">
        <v>2020</v>
      </c>
      <c r="F441" s="1">
        <v>41</v>
      </c>
      <c r="G441" s="1">
        <v>4</v>
      </c>
      <c r="H441" s="1" t="s">
        <v>2918</v>
      </c>
      <c r="I441" s="1" t="s">
        <v>2919</v>
      </c>
      <c r="J441" s="1">
        <v>2020</v>
      </c>
      <c r="K441" s="4"/>
      <c r="L441" s="4"/>
      <c r="M441" s="1" t="s">
        <v>2920</v>
      </c>
      <c r="N441" s="3" t="s">
        <v>2921</v>
      </c>
      <c r="O441" s="1" t="s">
        <v>2922</v>
      </c>
      <c r="P441" s="1" t="s">
        <v>2923</v>
      </c>
      <c r="Q441" s="1" t="s">
        <v>404</v>
      </c>
      <c r="R441" s="4"/>
    </row>
    <row r="442" spans="1:18" x14ac:dyDescent="0.25">
      <c r="A442" s="1" t="s">
        <v>141</v>
      </c>
      <c r="B442" s="1" t="s">
        <v>2924</v>
      </c>
      <c r="C442" s="1" t="s">
        <v>2925</v>
      </c>
      <c r="D442" s="4"/>
      <c r="E442" s="1">
        <v>2021</v>
      </c>
      <c r="F442" s="4"/>
      <c r="G442" s="4"/>
      <c r="H442" s="1" t="s">
        <v>2926</v>
      </c>
      <c r="I442" s="1" t="s">
        <v>257</v>
      </c>
      <c r="J442" s="1">
        <v>2021</v>
      </c>
      <c r="K442" s="1">
        <v>9781728187105</v>
      </c>
      <c r="L442" s="4"/>
      <c r="M442" s="4"/>
      <c r="N442" s="3" t="s">
        <v>2927</v>
      </c>
      <c r="O442" s="1" t="s">
        <v>2928</v>
      </c>
      <c r="P442" s="1" t="s">
        <v>2929</v>
      </c>
      <c r="Q442" s="1" t="s">
        <v>1404</v>
      </c>
      <c r="R442" s="4"/>
    </row>
    <row r="443" spans="1:18" x14ac:dyDescent="0.25">
      <c r="A443" s="1" t="s">
        <v>141</v>
      </c>
      <c r="B443" s="1" t="s">
        <v>2930</v>
      </c>
      <c r="C443" s="1" t="s">
        <v>2931</v>
      </c>
      <c r="D443" s="4"/>
      <c r="E443" s="1">
        <v>2021</v>
      </c>
      <c r="F443" s="1">
        <v>47</v>
      </c>
      <c r="G443" s="4"/>
      <c r="H443" s="1" t="s">
        <v>2932</v>
      </c>
      <c r="I443" s="1" t="s">
        <v>212</v>
      </c>
      <c r="J443" s="1">
        <v>2021</v>
      </c>
      <c r="K443" s="1">
        <v>9783030867966</v>
      </c>
      <c r="L443" s="4"/>
      <c r="M443" s="1" t="s">
        <v>2933</v>
      </c>
      <c r="N443" s="3" t="s">
        <v>2934</v>
      </c>
      <c r="O443" s="1" t="s">
        <v>2935</v>
      </c>
      <c r="P443" s="1" t="s">
        <v>2936</v>
      </c>
      <c r="Q443" s="1" t="s">
        <v>404</v>
      </c>
      <c r="R443" s="4"/>
    </row>
    <row r="444" spans="1:18" x14ac:dyDescent="0.25">
      <c r="A444" s="1" t="s">
        <v>13</v>
      </c>
      <c r="B444" s="1" t="s">
        <v>2937</v>
      </c>
      <c r="C444" s="1" t="s">
        <v>2938</v>
      </c>
      <c r="D444" s="1" t="s">
        <v>354</v>
      </c>
      <c r="E444" s="1">
        <v>2020</v>
      </c>
      <c r="F444" s="1">
        <v>169</v>
      </c>
      <c r="G444" s="4"/>
      <c r="H444" s="4"/>
      <c r="I444" s="1" t="s">
        <v>355</v>
      </c>
      <c r="J444" s="1">
        <v>2020</v>
      </c>
      <c r="K444" s="4"/>
      <c r="L444" s="4"/>
      <c r="M444" s="1" t="s">
        <v>65</v>
      </c>
      <c r="N444" s="3" t="s">
        <v>2939</v>
      </c>
      <c r="O444" s="1" t="s">
        <v>2940</v>
      </c>
      <c r="P444" s="1" t="s">
        <v>2941</v>
      </c>
      <c r="Q444" s="1" t="s">
        <v>2942</v>
      </c>
      <c r="R444" s="4"/>
    </row>
    <row r="445" spans="1:18" x14ac:dyDescent="0.25">
      <c r="A445" s="1" t="s">
        <v>13</v>
      </c>
      <c r="B445" s="1" t="s">
        <v>2943</v>
      </c>
      <c r="C445" s="1" t="s">
        <v>2944</v>
      </c>
      <c r="D445" s="1" t="s">
        <v>878</v>
      </c>
      <c r="E445" s="1">
        <v>2021</v>
      </c>
      <c r="F445" s="4"/>
      <c r="G445" s="4"/>
      <c r="H445" s="4"/>
      <c r="I445" s="1" t="s">
        <v>266</v>
      </c>
      <c r="J445" s="1">
        <v>2021</v>
      </c>
      <c r="K445" s="4"/>
      <c r="L445" s="4"/>
      <c r="M445" s="1" t="s">
        <v>879</v>
      </c>
      <c r="N445" s="3" t="s">
        <v>2945</v>
      </c>
      <c r="O445" s="1" t="s">
        <v>2946</v>
      </c>
      <c r="P445" s="1" t="s">
        <v>2947</v>
      </c>
      <c r="Q445" s="1" t="s">
        <v>1656</v>
      </c>
      <c r="R445" s="4"/>
    </row>
    <row r="446" spans="1:18" x14ac:dyDescent="0.25">
      <c r="A446" s="1" t="s">
        <v>141</v>
      </c>
      <c r="B446" s="1" t="s">
        <v>2948</v>
      </c>
      <c r="C446" s="1" t="s">
        <v>2949</v>
      </c>
      <c r="D446" s="4"/>
      <c r="E446" s="1">
        <v>2021</v>
      </c>
      <c r="F446" s="4"/>
      <c r="G446" s="4"/>
      <c r="H446" s="1" t="s">
        <v>2950</v>
      </c>
      <c r="I446" s="1" t="s">
        <v>257</v>
      </c>
      <c r="J446" s="1">
        <v>2021</v>
      </c>
      <c r="K446" s="1">
        <v>9781665443913</v>
      </c>
      <c r="L446" s="4"/>
      <c r="M446" s="4"/>
      <c r="N446" s="3" t="s">
        <v>2951</v>
      </c>
      <c r="O446" s="1" t="s">
        <v>2952</v>
      </c>
      <c r="P446" s="1" t="s">
        <v>2953</v>
      </c>
      <c r="Q446" s="1" t="s">
        <v>157</v>
      </c>
      <c r="R446" s="4"/>
    </row>
    <row r="447" spans="1:18" x14ac:dyDescent="0.25">
      <c r="A447" s="1" t="s">
        <v>141</v>
      </c>
      <c r="B447" s="1" t="s">
        <v>2954</v>
      </c>
      <c r="C447" s="1" t="s">
        <v>2955</v>
      </c>
      <c r="D447" s="4"/>
      <c r="E447" s="1">
        <v>2021</v>
      </c>
      <c r="F447" s="4"/>
      <c r="G447" s="4"/>
      <c r="H447" s="1" t="s">
        <v>2956</v>
      </c>
      <c r="I447" s="1" t="s">
        <v>257</v>
      </c>
      <c r="J447" s="1">
        <v>2021</v>
      </c>
      <c r="K447" s="1">
        <v>9781665443616</v>
      </c>
      <c r="L447" s="4"/>
      <c r="M447" s="4"/>
      <c r="N447" s="3" t="s">
        <v>2957</v>
      </c>
      <c r="O447" s="1" t="s">
        <v>2958</v>
      </c>
      <c r="P447" s="1" t="s">
        <v>2959</v>
      </c>
      <c r="Q447" s="1" t="s">
        <v>157</v>
      </c>
      <c r="R447" s="4"/>
    </row>
    <row r="448" spans="1:18" x14ac:dyDescent="0.25">
      <c r="A448" s="1" t="s">
        <v>141</v>
      </c>
      <c r="B448" s="1" t="s">
        <v>2960</v>
      </c>
      <c r="C448" s="1" t="s">
        <v>2961</v>
      </c>
      <c r="D448" s="4"/>
      <c r="E448" s="1">
        <v>2021</v>
      </c>
      <c r="F448" s="4"/>
      <c r="G448" s="4"/>
      <c r="H448" s="1" t="s">
        <v>2962</v>
      </c>
      <c r="I448" s="1" t="s">
        <v>257</v>
      </c>
      <c r="J448" s="1">
        <v>2021</v>
      </c>
      <c r="K448" s="1">
        <v>9781665403375</v>
      </c>
      <c r="L448" s="4"/>
      <c r="M448" s="4"/>
      <c r="N448" s="3" t="s">
        <v>2963</v>
      </c>
      <c r="O448" s="1" t="s">
        <v>2964</v>
      </c>
      <c r="P448" s="1" t="s">
        <v>2965</v>
      </c>
      <c r="Q448" s="1" t="s">
        <v>157</v>
      </c>
      <c r="R448" s="4"/>
    </row>
    <row r="449" spans="1:18" x14ac:dyDescent="0.25">
      <c r="A449" s="1" t="s">
        <v>141</v>
      </c>
      <c r="B449" s="1" t="s">
        <v>2966</v>
      </c>
      <c r="C449" s="1" t="s">
        <v>2967</v>
      </c>
      <c r="D449" s="4"/>
      <c r="E449" s="1">
        <v>2020</v>
      </c>
      <c r="F449" s="4"/>
      <c r="G449" s="4"/>
      <c r="H449" s="1" t="s">
        <v>2968</v>
      </c>
      <c r="I449" s="1" t="s">
        <v>257</v>
      </c>
      <c r="J449" s="1">
        <v>2020</v>
      </c>
      <c r="K449" s="1">
        <v>9781728184142</v>
      </c>
      <c r="L449" s="4"/>
      <c r="M449" s="4"/>
      <c r="N449" s="3" t="s">
        <v>2969</v>
      </c>
      <c r="O449" s="1" t="s">
        <v>2970</v>
      </c>
      <c r="P449" s="1" t="s">
        <v>2971</v>
      </c>
      <c r="Q449" s="1" t="s">
        <v>2723</v>
      </c>
      <c r="R449" s="4"/>
    </row>
    <row r="450" spans="1:18" x14ac:dyDescent="0.25">
      <c r="A450" s="1" t="s">
        <v>13</v>
      </c>
      <c r="B450" s="1" t="s">
        <v>2972</v>
      </c>
      <c r="C450" s="1" t="s">
        <v>2973</v>
      </c>
      <c r="D450" s="1" t="s">
        <v>2974</v>
      </c>
      <c r="E450" s="1">
        <v>2021</v>
      </c>
      <c r="F450" s="1">
        <v>624</v>
      </c>
      <c r="G450" s="4"/>
      <c r="H450" s="1" t="s">
        <v>2975</v>
      </c>
      <c r="I450" s="1" t="s">
        <v>212</v>
      </c>
      <c r="J450" s="1">
        <v>2021</v>
      </c>
      <c r="K450" s="4"/>
      <c r="L450" s="4"/>
      <c r="M450" s="1" t="s">
        <v>2976</v>
      </c>
      <c r="N450" s="3" t="s">
        <v>2977</v>
      </c>
      <c r="O450" s="1" t="s">
        <v>2978</v>
      </c>
      <c r="P450" s="1" t="s">
        <v>2979</v>
      </c>
      <c r="Q450" s="1" t="s">
        <v>289</v>
      </c>
      <c r="R450" s="4"/>
    </row>
    <row r="451" spans="1:18" x14ac:dyDescent="0.25">
      <c r="A451" s="1" t="s">
        <v>141</v>
      </c>
      <c r="B451" s="1" t="s">
        <v>2980</v>
      </c>
      <c r="C451" s="1" t="s">
        <v>2981</v>
      </c>
      <c r="D451" s="4"/>
      <c r="E451" s="1">
        <v>2020</v>
      </c>
      <c r="F451" s="4"/>
      <c r="G451" s="4"/>
      <c r="H451" s="4"/>
      <c r="I451" s="1" t="s">
        <v>257</v>
      </c>
      <c r="J451" s="1">
        <v>2020</v>
      </c>
      <c r="K451" s="1">
        <v>9781728120355</v>
      </c>
      <c r="L451" s="4"/>
      <c r="M451" s="4"/>
      <c r="N451" s="3" t="s">
        <v>2982</v>
      </c>
      <c r="O451" s="1" t="s">
        <v>2983</v>
      </c>
      <c r="P451" s="1" t="s">
        <v>2984</v>
      </c>
      <c r="Q451" s="1" t="s">
        <v>176</v>
      </c>
      <c r="R451" s="4"/>
    </row>
    <row r="452" spans="1:18" x14ac:dyDescent="0.25">
      <c r="A452" s="1" t="s">
        <v>141</v>
      </c>
      <c r="B452" s="1" t="s">
        <v>2985</v>
      </c>
      <c r="C452" s="1" t="s">
        <v>2986</v>
      </c>
      <c r="D452" s="4"/>
      <c r="E452" s="1">
        <v>2021</v>
      </c>
      <c r="F452" s="4"/>
      <c r="G452" s="4"/>
      <c r="H452" s="1" t="s">
        <v>2370</v>
      </c>
      <c r="I452" s="1" t="s">
        <v>257</v>
      </c>
      <c r="J452" s="1">
        <v>2021</v>
      </c>
      <c r="K452" s="1">
        <v>9781665444705</v>
      </c>
      <c r="L452" s="4"/>
      <c r="M452" s="4"/>
      <c r="N452" s="3" t="s">
        <v>2987</v>
      </c>
      <c r="O452" s="1" t="s">
        <v>2988</v>
      </c>
      <c r="P452" s="1" t="s">
        <v>2989</v>
      </c>
      <c r="Q452" s="1" t="s">
        <v>2990</v>
      </c>
      <c r="R452" s="4"/>
    </row>
    <row r="453" spans="1:18" x14ac:dyDescent="0.25">
      <c r="A453" s="1" t="s">
        <v>13</v>
      </c>
      <c r="B453" s="1" t="s">
        <v>2991</v>
      </c>
      <c r="C453" s="1" t="s">
        <v>2992</v>
      </c>
      <c r="D453" s="1" t="s">
        <v>255</v>
      </c>
      <c r="E453" s="1">
        <v>2021</v>
      </c>
      <c r="F453" s="1">
        <v>47</v>
      </c>
      <c r="G453" s="1">
        <v>1</v>
      </c>
      <c r="H453" s="1" t="s">
        <v>2993</v>
      </c>
      <c r="I453" s="1" t="s">
        <v>257</v>
      </c>
      <c r="J453" s="1">
        <v>2021</v>
      </c>
      <c r="K453" s="4"/>
      <c r="L453" s="4"/>
      <c r="M453" s="1" t="s">
        <v>18</v>
      </c>
      <c r="N453" s="3" t="s">
        <v>2994</v>
      </c>
      <c r="O453" s="1" t="s">
        <v>2995</v>
      </c>
      <c r="P453" s="1" t="s">
        <v>2996</v>
      </c>
      <c r="Q453" s="1" t="s">
        <v>2997</v>
      </c>
      <c r="R453" s="4"/>
    </row>
    <row r="454" spans="1:18" x14ac:dyDescent="0.25">
      <c r="A454" s="1" t="s">
        <v>13</v>
      </c>
      <c r="B454" s="1" t="s">
        <v>2998</v>
      </c>
      <c r="C454" s="1" t="s">
        <v>2999</v>
      </c>
      <c r="D454" s="1" t="s">
        <v>307</v>
      </c>
      <c r="E454" s="1">
        <v>2021</v>
      </c>
      <c r="F454" s="1">
        <v>129</v>
      </c>
      <c r="G454" s="4"/>
      <c r="H454" s="4"/>
      <c r="I454" s="1" t="s">
        <v>280</v>
      </c>
      <c r="J454" s="1">
        <v>2021</v>
      </c>
      <c r="K454" s="4"/>
      <c r="L454" s="4"/>
      <c r="M454" s="1" t="s">
        <v>308</v>
      </c>
      <c r="N454" s="3" t="s">
        <v>3000</v>
      </c>
      <c r="O454" s="1" t="s">
        <v>3001</v>
      </c>
      <c r="P454" s="1" t="s">
        <v>3002</v>
      </c>
      <c r="Q454" s="1" t="s">
        <v>3003</v>
      </c>
      <c r="R454" s="4"/>
    </row>
    <row r="455" spans="1:18" x14ac:dyDescent="0.25">
      <c r="A455" s="1" t="s">
        <v>141</v>
      </c>
      <c r="B455" s="1" t="s">
        <v>3004</v>
      </c>
      <c r="C455" s="1" t="s">
        <v>3005</v>
      </c>
      <c r="D455" s="4"/>
      <c r="E455" s="1">
        <v>2020</v>
      </c>
      <c r="F455" s="4"/>
      <c r="G455" s="4"/>
      <c r="H455" s="1" t="s">
        <v>3006</v>
      </c>
      <c r="I455" s="1" t="s">
        <v>196</v>
      </c>
      <c r="J455" s="1">
        <v>2020</v>
      </c>
      <c r="K455" s="1">
        <v>9781450379588</v>
      </c>
      <c r="L455" s="4"/>
      <c r="M455" s="4"/>
      <c r="N455" s="3" t="s">
        <v>3007</v>
      </c>
      <c r="O455" s="1" t="s">
        <v>3008</v>
      </c>
      <c r="P455" s="1" t="s">
        <v>3009</v>
      </c>
      <c r="Q455" s="1" t="s">
        <v>2811</v>
      </c>
      <c r="R455" s="4"/>
    </row>
    <row r="456" spans="1:18" x14ac:dyDescent="0.25">
      <c r="A456" s="1" t="s">
        <v>141</v>
      </c>
      <c r="B456" s="1" t="s">
        <v>3010</v>
      </c>
      <c r="C456" s="1" t="s">
        <v>3011</v>
      </c>
      <c r="D456" s="4"/>
      <c r="E456" s="1">
        <v>2021</v>
      </c>
      <c r="F456" s="1">
        <v>2963</v>
      </c>
      <c r="G456" s="4"/>
      <c r="H456" s="1" t="s">
        <v>3012</v>
      </c>
      <c r="I456" s="1" t="s">
        <v>613</v>
      </c>
      <c r="J456" s="1">
        <v>2021</v>
      </c>
      <c r="K456" s="4"/>
      <c r="L456" s="4"/>
      <c r="M456" s="1" t="s">
        <v>614</v>
      </c>
      <c r="N456" s="3" t="s">
        <v>3013</v>
      </c>
      <c r="O456" s="4"/>
      <c r="P456" s="1" t="s">
        <v>3014</v>
      </c>
      <c r="Q456" s="1" t="s">
        <v>157</v>
      </c>
      <c r="R456" s="4"/>
    </row>
    <row r="457" spans="1:18" x14ac:dyDescent="0.25">
      <c r="A457" s="1" t="s">
        <v>13</v>
      </c>
      <c r="B457" s="1" t="s">
        <v>3015</v>
      </c>
      <c r="C457" s="1" t="s">
        <v>3016</v>
      </c>
      <c r="D457" s="1" t="s">
        <v>3017</v>
      </c>
      <c r="E457" s="1">
        <v>2020</v>
      </c>
      <c r="F457" s="1">
        <v>15</v>
      </c>
      <c r="G457" s="1">
        <v>3</v>
      </c>
      <c r="H457" s="1" t="s">
        <v>2196</v>
      </c>
      <c r="I457" s="1" t="s">
        <v>757</v>
      </c>
      <c r="J457" s="1">
        <v>2020</v>
      </c>
      <c r="K457" s="4"/>
      <c r="L457" s="4"/>
      <c r="M457" s="1" t="s">
        <v>3018</v>
      </c>
      <c r="N457" s="3" t="s">
        <v>3019</v>
      </c>
      <c r="O457" s="1" t="s">
        <v>3020</v>
      </c>
      <c r="P457" s="1" t="s">
        <v>3021</v>
      </c>
      <c r="Q457" s="1" t="s">
        <v>176</v>
      </c>
      <c r="R457" s="4"/>
    </row>
    <row r="458" spans="1:18" x14ac:dyDescent="0.25">
      <c r="A458" s="1" t="s">
        <v>141</v>
      </c>
      <c r="B458" s="1" t="s">
        <v>3022</v>
      </c>
      <c r="C458" s="1" t="s">
        <v>3023</v>
      </c>
      <c r="D458" s="4"/>
      <c r="E458" s="1">
        <v>2021</v>
      </c>
      <c r="F458" s="4"/>
      <c r="G458" s="4"/>
      <c r="H458" s="1" t="s">
        <v>3024</v>
      </c>
      <c r="I458" s="1" t="s">
        <v>196</v>
      </c>
      <c r="J458" s="1">
        <v>2021</v>
      </c>
      <c r="K458" s="1">
        <v>9781665428569</v>
      </c>
      <c r="L458" s="4"/>
      <c r="M458" s="1" t="s">
        <v>322</v>
      </c>
      <c r="N458" s="3" t="s">
        <v>3025</v>
      </c>
      <c r="O458" s="1" t="s">
        <v>3026</v>
      </c>
      <c r="P458" s="1" t="s">
        <v>3027</v>
      </c>
      <c r="Q458" s="1" t="s">
        <v>1573</v>
      </c>
      <c r="R458" s="4"/>
    </row>
    <row r="459" spans="1:18" x14ac:dyDescent="0.25">
      <c r="A459" s="1" t="s">
        <v>141</v>
      </c>
      <c r="B459" s="1" t="s">
        <v>3028</v>
      </c>
      <c r="C459" s="1" t="s">
        <v>3029</v>
      </c>
      <c r="D459" s="4"/>
      <c r="E459" s="1">
        <v>2020</v>
      </c>
      <c r="F459" s="4"/>
      <c r="G459" s="4"/>
      <c r="H459" s="1" t="s">
        <v>3030</v>
      </c>
      <c r="I459" s="1" t="s">
        <v>153</v>
      </c>
      <c r="J459" s="1">
        <v>2020</v>
      </c>
      <c r="K459" s="1">
        <v>9781450370431</v>
      </c>
      <c r="L459" s="4"/>
      <c r="M459" s="4"/>
      <c r="N459" s="3" t="s">
        <v>3031</v>
      </c>
      <c r="O459" s="1" t="s">
        <v>3032</v>
      </c>
      <c r="P459" s="1" t="s">
        <v>3033</v>
      </c>
      <c r="Q459" s="1" t="s">
        <v>520</v>
      </c>
      <c r="R459" s="4"/>
    </row>
    <row r="460" spans="1:18" x14ac:dyDescent="0.25">
      <c r="A460" s="1" t="s">
        <v>141</v>
      </c>
      <c r="B460" s="1" t="s">
        <v>3034</v>
      </c>
      <c r="C460" s="1" t="s">
        <v>3035</v>
      </c>
      <c r="D460" s="4"/>
      <c r="E460" s="1">
        <v>2020</v>
      </c>
      <c r="F460" s="4"/>
      <c r="G460" s="4"/>
      <c r="H460" s="1" t="s">
        <v>2496</v>
      </c>
      <c r="I460" s="1" t="s">
        <v>145</v>
      </c>
      <c r="J460" s="1">
        <v>2020</v>
      </c>
      <c r="K460" s="1">
        <v>9781450387545</v>
      </c>
      <c r="L460" s="4"/>
      <c r="M460" s="4"/>
      <c r="N460" s="3" t="s">
        <v>3036</v>
      </c>
      <c r="O460" s="1" t="s">
        <v>3037</v>
      </c>
      <c r="P460" s="1" t="s">
        <v>3038</v>
      </c>
      <c r="Q460" s="1" t="s">
        <v>318</v>
      </c>
      <c r="R460" s="4"/>
    </row>
    <row r="461" spans="1:18" x14ac:dyDescent="0.25">
      <c r="A461" s="1" t="s">
        <v>13</v>
      </c>
      <c r="B461" s="1" t="s">
        <v>3039</v>
      </c>
      <c r="C461" s="1" t="s">
        <v>3040</v>
      </c>
      <c r="D461" s="1" t="s">
        <v>354</v>
      </c>
      <c r="E461" s="1">
        <v>2020</v>
      </c>
      <c r="F461" s="1">
        <v>170</v>
      </c>
      <c r="G461" s="4"/>
      <c r="H461" s="4"/>
      <c r="I461" s="1" t="s">
        <v>355</v>
      </c>
      <c r="J461" s="1">
        <v>2020</v>
      </c>
      <c r="K461" s="4"/>
      <c r="L461" s="4"/>
      <c r="M461" s="1" t="s">
        <v>65</v>
      </c>
      <c r="N461" s="3" t="s">
        <v>3041</v>
      </c>
      <c r="O461" s="1" t="s">
        <v>3042</v>
      </c>
      <c r="P461" s="1" t="s">
        <v>3043</v>
      </c>
      <c r="Q461" s="1" t="s">
        <v>185</v>
      </c>
      <c r="R461" s="4"/>
    </row>
    <row r="462" spans="1:18" x14ac:dyDescent="0.25">
      <c r="A462" s="1" t="s">
        <v>13</v>
      </c>
      <c r="B462" s="1" t="s">
        <v>3044</v>
      </c>
      <c r="C462" s="1" t="s">
        <v>3045</v>
      </c>
      <c r="D462" s="1" t="s">
        <v>136</v>
      </c>
      <c r="E462" s="1">
        <v>2021</v>
      </c>
      <c r="F462" s="1">
        <v>26</v>
      </c>
      <c r="G462" s="1">
        <v>2</v>
      </c>
      <c r="H462" s="4"/>
      <c r="I462" s="1" t="s">
        <v>137</v>
      </c>
      <c r="J462" s="1">
        <v>2021</v>
      </c>
      <c r="K462" s="4"/>
      <c r="L462" s="4"/>
      <c r="M462" s="1" t="s">
        <v>33</v>
      </c>
      <c r="N462" s="3" t="s">
        <v>3046</v>
      </c>
      <c r="O462" s="1" t="s">
        <v>3047</v>
      </c>
      <c r="P462" s="1" t="s">
        <v>3048</v>
      </c>
      <c r="Q462" s="1" t="s">
        <v>1813</v>
      </c>
      <c r="R462" s="4"/>
    </row>
    <row r="463" spans="1:18" x14ac:dyDescent="0.25">
      <c r="A463" s="1" t="s">
        <v>141</v>
      </c>
      <c r="B463" s="1" t="s">
        <v>3049</v>
      </c>
      <c r="C463" s="1" t="s">
        <v>3050</v>
      </c>
      <c r="D463" s="4"/>
      <c r="E463" s="1">
        <v>2021</v>
      </c>
      <c r="F463" s="4"/>
      <c r="G463" s="4"/>
      <c r="H463" s="1" t="s">
        <v>3051</v>
      </c>
      <c r="I463" s="1" t="s">
        <v>257</v>
      </c>
      <c r="J463" s="1">
        <v>2021</v>
      </c>
      <c r="K463" s="1">
        <v>9781665404037</v>
      </c>
      <c r="L463" s="4"/>
      <c r="M463" s="4"/>
      <c r="N463" s="3" t="s">
        <v>3052</v>
      </c>
      <c r="O463" s="1" t="s">
        <v>3053</v>
      </c>
      <c r="P463" s="1" t="s">
        <v>3054</v>
      </c>
      <c r="Q463" s="1" t="s">
        <v>157</v>
      </c>
      <c r="R463" s="4"/>
    </row>
    <row r="464" spans="1:18" x14ac:dyDescent="0.25">
      <c r="A464" s="1" t="s">
        <v>141</v>
      </c>
      <c r="B464" s="1" t="s">
        <v>3055</v>
      </c>
      <c r="C464" s="1" t="s">
        <v>3056</v>
      </c>
      <c r="D464" s="4"/>
      <c r="E464" s="1">
        <v>2021</v>
      </c>
      <c r="F464" s="1">
        <v>192</v>
      </c>
      <c r="G464" s="4"/>
      <c r="H464" s="1" t="s">
        <v>3057</v>
      </c>
      <c r="I464" s="1" t="s">
        <v>280</v>
      </c>
      <c r="J464" s="1">
        <v>2021</v>
      </c>
      <c r="K464" s="4"/>
      <c r="L464" s="4"/>
      <c r="M464" s="1" t="s">
        <v>3058</v>
      </c>
      <c r="N464" s="3" t="s">
        <v>3059</v>
      </c>
      <c r="O464" s="1" t="s">
        <v>3060</v>
      </c>
      <c r="P464" s="1" t="s">
        <v>3061</v>
      </c>
      <c r="Q464" s="1" t="s">
        <v>447</v>
      </c>
      <c r="R464" s="4"/>
    </row>
    <row r="465" spans="1:18" x14ac:dyDescent="0.25">
      <c r="A465" s="1" t="s">
        <v>13</v>
      </c>
      <c r="B465" s="1" t="s">
        <v>3062</v>
      </c>
      <c r="C465" s="1" t="s">
        <v>3063</v>
      </c>
      <c r="D465" s="1" t="s">
        <v>354</v>
      </c>
      <c r="E465" s="1">
        <v>2021</v>
      </c>
      <c r="F465" s="1">
        <v>171</v>
      </c>
      <c r="G465" s="4"/>
      <c r="H465" s="4"/>
      <c r="I465" s="1" t="s">
        <v>355</v>
      </c>
      <c r="J465" s="1">
        <v>2021</v>
      </c>
      <c r="K465" s="4"/>
      <c r="L465" s="4"/>
      <c r="M465" s="1" t="s">
        <v>65</v>
      </c>
      <c r="N465" s="3" t="s">
        <v>3064</v>
      </c>
      <c r="O465" s="1" t="s">
        <v>3065</v>
      </c>
      <c r="P465" s="1" t="s">
        <v>3066</v>
      </c>
      <c r="Q465" s="1" t="s">
        <v>3067</v>
      </c>
      <c r="R465" s="4"/>
    </row>
    <row r="466" spans="1:18" x14ac:dyDescent="0.25">
      <c r="A466" s="1" t="s">
        <v>13</v>
      </c>
      <c r="B466" s="1" t="s">
        <v>3068</v>
      </c>
      <c r="C466" s="1" t="s">
        <v>3069</v>
      </c>
      <c r="D466" s="1" t="s">
        <v>3070</v>
      </c>
      <c r="E466" s="1">
        <v>2021</v>
      </c>
      <c r="F466" s="1">
        <v>2</v>
      </c>
      <c r="G466" s="1">
        <v>1</v>
      </c>
      <c r="H466" s="4"/>
      <c r="I466" s="1" t="s">
        <v>2437</v>
      </c>
      <c r="J466" s="1">
        <v>2021</v>
      </c>
      <c r="K466" s="4"/>
      <c r="L466" s="4"/>
      <c r="M466" s="1" t="s">
        <v>3071</v>
      </c>
      <c r="N466" s="3" t="s">
        <v>3072</v>
      </c>
      <c r="O466" s="1" t="s">
        <v>3073</v>
      </c>
      <c r="P466" s="1" t="s">
        <v>3074</v>
      </c>
      <c r="Q466" s="1" t="s">
        <v>3075</v>
      </c>
      <c r="R466" s="4"/>
    </row>
    <row r="467" spans="1:18" x14ac:dyDescent="0.25">
      <c r="A467" s="1" t="s">
        <v>13</v>
      </c>
      <c r="B467" s="1" t="s">
        <v>3076</v>
      </c>
      <c r="C467" s="1" t="s">
        <v>3077</v>
      </c>
      <c r="D467" s="1" t="s">
        <v>307</v>
      </c>
      <c r="E467" s="1">
        <v>2020</v>
      </c>
      <c r="F467" s="1">
        <v>126</v>
      </c>
      <c r="G467" s="4"/>
      <c r="H467" s="4"/>
      <c r="I467" s="1" t="s">
        <v>280</v>
      </c>
      <c r="J467" s="1">
        <v>2020</v>
      </c>
      <c r="K467" s="4"/>
      <c r="L467" s="4"/>
      <c r="M467" s="1" t="s">
        <v>308</v>
      </c>
      <c r="N467" s="3" t="s">
        <v>3078</v>
      </c>
      <c r="O467" s="1" t="s">
        <v>3079</v>
      </c>
      <c r="P467" s="1" t="s">
        <v>3080</v>
      </c>
      <c r="Q467" s="1" t="s">
        <v>1573</v>
      </c>
      <c r="R467" s="4"/>
    </row>
    <row r="468" spans="1:18" x14ac:dyDescent="0.25">
      <c r="A468" s="1" t="s">
        <v>13</v>
      </c>
      <c r="B468" s="1" t="s">
        <v>3081</v>
      </c>
      <c r="C468" s="1" t="s">
        <v>3082</v>
      </c>
      <c r="D468" s="1" t="s">
        <v>255</v>
      </c>
      <c r="E468" s="1">
        <v>2021</v>
      </c>
      <c r="F468" s="1">
        <v>47</v>
      </c>
      <c r="G468" s="1">
        <v>1</v>
      </c>
      <c r="H468" s="1" t="s">
        <v>3083</v>
      </c>
      <c r="I468" s="1" t="s">
        <v>257</v>
      </c>
      <c r="J468" s="1">
        <v>2021</v>
      </c>
      <c r="K468" s="4"/>
      <c r="L468" s="4"/>
      <c r="M468" s="1" t="s">
        <v>18</v>
      </c>
      <c r="N468" s="3" t="s">
        <v>3084</v>
      </c>
      <c r="O468" s="1" t="s">
        <v>3085</v>
      </c>
      <c r="P468" s="1" t="s">
        <v>3086</v>
      </c>
      <c r="Q468" s="1" t="s">
        <v>2823</v>
      </c>
      <c r="R468" s="4"/>
    </row>
    <row r="469" spans="1:18" x14ac:dyDescent="0.25">
      <c r="A469" s="1" t="s">
        <v>13</v>
      </c>
      <c r="B469" s="1" t="s">
        <v>3087</v>
      </c>
      <c r="C469" s="1" t="s">
        <v>3088</v>
      </c>
      <c r="D469" s="1" t="s">
        <v>3089</v>
      </c>
      <c r="E469" s="1">
        <v>2020</v>
      </c>
      <c r="F469" s="1">
        <v>45</v>
      </c>
      <c r="G469" s="1">
        <v>4</v>
      </c>
      <c r="H469" s="1" t="s">
        <v>3090</v>
      </c>
      <c r="I469" s="1" t="s">
        <v>3091</v>
      </c>
      <c r="J469" s="1">
        <v>2020</v>
      </c>
      <c r="K469" s="4"/>
      <c r="L469" s="4"/>
      <c r="M469" s="1" t="s">
        <v>3092</v>
      </c>
      <c r="N469" s="3" t="s">
        <v>3093</v>
      </c>
      <c r="O469" s="1" t="s">
        <v>3094</v>
      </c>
      <c r="P469" s="1" t="s">
        <v>3095</v>
      </c>
      <c r="Q469" s="1" t="s">
        <v>1676</v>
      </c>
      <c r="R469" s="4"/>
    </row>
    <row r="470" spans="1:18" x14ac:dyDescent="0.25">
      <c r="A470" s="1" t="s">
        <v>141</v>
      </c>
      <c r="B470" s="1" t="s">
        <v>3096</v>
      </c>
      <c r="C470" s="1" t="s">
        <v>3097</v>
      </c>
      <c r="D470" s="4"/>
      <c r="E470" s="1">
        <v>2020</v>
      </c>
      <c r="F470" s="4"/>
      <c r="G470" s="4"/>
      <c r="H470" s="4"/>
      <c r="I470" s="1" t="s">
        <v>257</v>
      </c>
      <c r="J470" s="1">
        <v>2020</v>
      </c>
      <c r="K470" s="1">
        <v>9781728196732</v>
      </c>
      <c r="L470" s="4"/>
      <c r="M470" s="4"/>
      <c r="N470" s="3" t="s">
        <v>3098</v>
      </c>
      <c r="O470" s="1" t="s">
        <v>3099</v>
      </c>
      <c r="P470" s="1" t="s">
        <v>3100</v>
      </c>
      <c r="Q470" s="1" t="s">
        <v>2723</v>
      </c>
      <c r="R470" s="4"/>
    </row>
    <row r="471" spans="1:18" x14ac:dyDescent="0.25">
      <c r="A471" s="1" t="s">
        <v>141</v>
      </c>
      <c r="B471" s="1" t="s">
        <v>3101</v>
      </c>
      <c r="C471" s="1" t="s">
        <v>3102</v>
      </c>
      <c r="D471" s="4"/>
      <c r="E471" s="1">
        <v>2020</v>
      </c>
      <c r="F471" s="4"/>
      <c r="G471" s="4"/>
      <c r="H471" s="1" t="s">
        <v>3103</v>
      </c>
      <c r="I471" s="1" t="s">
        <v>257</v>
      </c>
      <c r="J471" s="1">
        <v>2020</v>
      </c>
      <c r="K471" s="1">
        <v>9781450371223</v>
      </c>
      <c r="L471" s="4"/>
      <c r="M471" s="4"/>
      <c r="N471" s="3" t="s">
        <v>3104</v>
      </c>
      <c r="O471" s="1" t="s">
        <v>3105</v>
      </c>
      <c r="P471" s="1" t="s">
        <v>3106</v>
      </c>
      <c r="Q471" s="1" t="s">
        <v>289</v>
      </c>
      <c r="R471" s="4"/>
    </row>
    <row r="472" spans="1:18" x14ac:dyDescent="0.25">
      <c r="A472" s="1" t="s">
        <v>141</v>
      </c>
      <c r="B472" s="1" t="s">
        <v>352</v>
      </c>
      <c r="C472" s="1" t="s">
        <v>3107</v>
      </c>
      <c r="D472" s="4"/>
      <c r="E472" s="1">
        <v>2021</v>
      </c>
      <c r="F472" s="4"/>
      <c r="G472" s="4"/>
      <c r="H472" s="1" t="s">
        <v>3108</v>
      </c>
      <c r="I472" s="1" t="s">
        <v>3109</v>
      </c>
      <c r="J472" s="1">
        <v>2021</v>
      </c>
      <c r="K472" s="1">
        <v>9789897585234</v>
      </c>
      <c r="L472" s="4"/>
      <c r="M472" s="4"/>
      <c r="N472" s="3" t="s">
        <v>3110</v>
      </c>
      <c r="O472" s="1" t="s">
        <v>3111</v>
      </c>
      <c r="P472" s="1" t="s">
        <v>3112</v>
      </c>
      <c r="Q472" s="1" t="s">
        <v>595</v>
      </c>
      <c r="R472" s="4"/>
    </row>
    <row r="473" spans="1:18" x14ac:dyDescent="0.25">
      <c r="A473" s="1" t="s">
        <v>13</v>
      </c>
      <c r="B473" s="1" t="s">
        <v>3113</v>
      </c>
      <c r="C473" s="1" t="s">
        <v>3114</v>
      </c>
      <c r="D473" s="1" t="s">
        <v>307</v>
      </c>
      <c r="E473" s="1">
        <v>2020</v>
      </c>
      <c r="F473" s="1">
        <v>128</v>
      </c>
      <c r="G473" s="4"/>
      <c r="H473" s="4"/>
      <c r="I473" s="1" t="s">
        <v>280</v>
      </c>
      <c r="J473" s="1">
        <v>2020</v>
      </c>
      <c r="K473" s="4"/>
      <c r="L473" s="4"/>
      <c r="M473" s="1" t="s">
        <v>308</v>
      </c>
      <c r="N473" s="3" t="s">
        <v>3115</v>
      </c>
      <c r="O473" s="1" t="s">
        <v>3116</v>
      </c>
      <c r="P473" s="1" t="s">
        <v>3117</v>
      </c>
      <c r="Q473" s="1" t="s">
        <v>3118</v>
      </c>
      <c r="R473" s="4"/>
    </row>
    <row r="474" spans="1:18" x14ac:dyDescent="0.25">
      <c r="A474" s="1" t="s">
        <v>13</v>
      </c>
      <c r="B474" s="1" t="s">
        <v>3119</v>
      </c>
      <c r="C474" s="1" t="s">
        <v>3120</v>
      </c>
      <c r="D474" s="1" t="s">
        <v>3121</v>
      </c>
      <c r="E474" s="1">
        <v>2021</v>
      </c>
      <c r="F474" s="1">
        <v>548</v>
      </c>
      <c r="G474" s="4"/>
      <c r="H474" s="1" t="s">
        <v>3122</v>
      </c>
      <c r="I474" s="1" t="s">
        <v>355</v>
      </c>
      <c r="J474" s="1">
        <v>2021</v>
      </c>
      <c r="K474" s="4"/>
      <c r="L474" s="4"/>
      <c r="M474" s="1" t="s">
        <v>3123</v>
      </c>
      <c r="N474" s="3" t="s">
        <v>3124</v>
      </c>
      <c r="O474" s="1" t="s">
        <v>3125</v>
      </c>
      <c r="P474" s="1" t="s">
        <v>3126</v>
      </c>
      <c r="Q474" s="1" t="s">
        <v>3127</v>
      </c>
      <c r="R474" s="4"/>
    </row>
    <row r="475" spans="1:18" x14ac:dyDescent="0.25">
      <c r="A475" s="1" t="s">
        <v>13</v>
      </c>
      <c r="B475" s="1" t="s">
        <v>3128</v>
      </c>
      <c r="C475" s="1" t="s">
        <v>3129</v>
      </c>
      <c r="D475" s="1" t="s">
        <v>3130</v>
      </c>
      <c r="E475" s="1">
        <v>2021</v>
      </c>
      <c r="F475" s="1">
        <v>2021</v>
      </c>
      <c r="G475" s="4"/>
      <c r="H475" s="4"/>
      <c r="I475" s="1" t="s">
        <v>1333</v>
      </c>
      <c r="J475" s="1">
        <v>2021</v>
      </c>
      <c r="K475" s="4"/>
      <c r="L475" s="4"/>
      <c r="M475" s="1" t="s">
        <v>3131</v>
      </c>
      <c r="N475" s="3" t="s">
        <v>3132</v>
      </c>
      <c r="O475" s="1" t="s">
        <v>3133</v>
      </c>
      <c r="P475" s="1" t="s">
        <v>3134</v>
      </c>
      <c r="Q475" s="1" t="s">
        <v>3135</v>
      </c>
      <c r="R475" s="4"/>
    </row>
    <row r="476" spans="1:18" x14ac:dyDescent="0.25">
      <c r="A476" s="1" t="s">
        <v>141</v>
      </c>
      <c r="B476" s="1" t="s">
        <v>3136</v>
      </c>
      <c r="C476" s="1" t="s">
        <v>3137</v>
      </c>
      <c r="D476" s="4"/>
      <c r="E476" s="1">
        <v>2021</v>
      </c>
      <c r="F476" s="4"/>
      <c r="G476" s="4"/>
      <c r="H476" s="4"/>
      <c r="I476" s="1" t="s">
        <v>145</v>
      </c>
      <c r="J476" s="1">
        <v>2021</v>
      </c>
      <c r="K476" s="1">
        <v>9781450390460</v>
      </c>
      <c r="L476" s="4"/>
      <c r="M476" s="4"/>
      <c r="N476" s="3" t="s">
        <v>3138</v>
      </c>
      <c r="O476" s="1" t="s">
        <v>3139</v>
      </c>
      <c r="P476" s="1" t="s">
        <v>3140</v>
      </c>
      <c r="Q476" s="1" t="s">
        <v>176</v>
      </c>
      <c r="R476" s="4"/>
    </row>
    <row r="477" spans="1:18" x14ac:dyDescent="0.25">
      <c r="A477" s="1" t="s">
        <v>141</v>
      </c>
      <c r="B477" s="1" t="s">
        <v>3141</v>
      </c>
      <c r="C477" s="1" t="s">
        <v>3142</v>
      </c>
      <c r="D477" s="4"/>
      <c r="E477" s="1">
        <v>2021</v>
      </c>
      <c r="F477" s="4"/>
      <c r="G477" s="4"/>
      <c r="H477" s="1" t="s">
        <v>3143</v>
      </c>
      <c r="I477" s="1" t="s">
        <v>257</v>
      </c>
      <c r="J477" s="1">
        <v>2021</v>
      </c>
      <c r="K477" s="1">
        <v>9781665420853</v>
      </c>
      <c r="L477" s="4"/>
      <c r="M477" s="4"/>
      <c r="N477" s="3" t="s">
        <v>3144</v>
      </c>
      <c r="O477" s="1" t="s">
        <v>3145</v>
      </c>
      <c r="P477" s="1" t="s">
        <v>3146</v>
      </c>
      <c r="Q477" s="1" t="s">
        <v>289</v>
      </c>
      <c r="R477" s="4"/>
    </row>
    <row r="478" spans="1:18" x14ac:dyDescent="0.25">
      <c r="A478" s="1" t="s">
        <v>141</v>
      </c>
      <c r="B478" s="1" t="s">
        <v>3147</v>
      </c>
      <c r="C478" s="1" t="s">
        <v>3148</v>
      </c>
      <c r="D478" s="4"/>
      <c r="E478" s="1">
        <v>2021</v>
      </c>
      <c r="F478" s="7">
        <v>44256</v>
      </c>
      <c r="G478" s="4"/>
      <c r="H478" s="4"/>
      <c r="I478" s="1" t="s">
        <v>196</v>
      </c>
      <c r="J478" s="1">
        <v>2021</v>
      </c>
      <c r="K478" s="1">
        <v>9781728174365</v>
      </c>
      <c r="L478" s="4"/>
      <c r="M478" s="1" t="s">
        <v>2902</v>
      </c>
      <c r="N478" s="3" t="s">
        <v>3149</v>
      </c>
      <c r="O478" s="1" t="s">
        <v>3150</v>
      </c>
      <c r="P478" s="1" t="s">
        <v>3151</v>
      </c>
      <c r="Q478" s="1" t="s">
        <v>318</v>
      </c>
      <c r="R478" s="4"/>
    </row>
    <row r="479" spans="1:18" x14ac:dyDescent="0.25">
      <c r="A479" s="1" t="s">
        <v>13</v>
      </c>
      <c r="B479" s="1" t="s">
        <v>3152</v>
      </c>
      <c r="C479" s="1" t="s">
        <v>3153</v>
      </c>
      <c r="D479" s="1" t="s">
        <v>3154</v>
      </c>
      <c r="E479" s="1">
        <v>2020</v>
      </c>
      <c r="F479" s="1">
        <v>93</v>
      </c>
      <c r="G479" s="1">
        <v>4</v>
      </c>
      <c r="H479" s="1" t="s">
        <v>3155</v>
      </c>
      <c r="I479" s="1" t="s">
        <v>3156</v>
      </c>
      <c r="J479" s="1">
        <v>2020</v>
      </c>
      <c r="K479" s="4"/>
      <c r="L479" s="4"/>
      <c r="M479" s="1" t="s">
        <v>3157</v>
      </c>
      <c r="N479" s="3" t="s">
        <v>3158</v>
      </c>
      <c r="O479" s="4"/>
      <c r="P479" s="1" t="s">
        <v>3159</v>
      </c>
      <c r="Q479" s="1" t="s">
        <v>2723</v>
      </c>
      <c r="R479" s="4"/>
    </row>
    <row r="480" spans="1:18" x14ac:dyDescent="0.25">
      <c r="A480" s="1" t="s">
        <v>141</v>
      </c>
      <c r="B480" s="1" t="s">
        <v>3160</v>
      </c>
      <c r="C480" s="1" t="s">
        <v>3161</v>
      </c>
      <c r="D480" s="4"/>
      <c r="E480" s="1">
        <v>2021</v>
      </c>
      <c r="F480" s="4"/>
      <c r="G480" s="4"/>
      <c r="H480" s="1" t="s">
        <v>3162</v>
      </c>
      <c r="I480" s="1" t="s">
        <v>257</v>
      </c>
      <c r="J480" s="1">
        <v>2021</v>
      </c>
      <c r="K480" s="1">
        <v>9781728162607</v>
      </c>
      <c r="L480" s="4"/>
      <c r="M480" s="4"/>
      <c r="N480" s="3" t="s">
        <v>3163</v>
      </c>
      <c r="O480" s="1" t="s">
        <v>3164</v>
      </c>
      <c r="P480" s="1" t="s">
        <v>3165</v>
      </c>
      <c r="Q480" s="1" t="s">
        <v>185</v>
      </c>
      <c r="R480" s="4"/>
    </row>
    <row r="481" spans="1:18" x14ac:dyDescent="0.25">
      <c r="A481" s="1" t="s">
        <v>141</v>
      </c>
      <c r="B481" s="1" t="s">
        <v>3166</v>
      </c>
      <c r="C481" s="1" t="s">
        <v>3167</v>
      </c>
      <c r="D481" s="4"/>
      <c r="E481" s="1">
        <v>2021</v>
      </c>
      <c r="F481" s="4"/>
      <c r="G481" s="4"/>
      <c r="H481" s="1" t="s">
        <v>3168</v>
      </c>
      <c r="I481" s="1" t="s">
        <v>196</v>
      </c>
      <c r="J481" s="1">
        <v>2021</v>
      </c>
      <c r="K481" s="1">
        <v>9780738113197</v>
      </c>
      <c r="L481" s="4"/>
      <c r="M481" s="1" t="s">
        <v>1458</v>
      </c>
      <c r="N481" s="3" t="s">
        <v>3169</v>
      </c>
      <c r="O481" s="1" t="s">
        <v>3170</v>
      </c>
      <c r="P481" s="1" t="s">
        <v>3171</v>
      </c>
      <c r="Q481" s="1" t="s">
        <v>2717</v>
      </c>
      <c r="R481" s="4"/>
    </row>
    <row r="482" spans="1:18" x14ac:dyDescent="0.25">
      <c r="A482" s="1" t="s">
        <v>13</v>
      </c>
      <c r="B482" s="1" t="s">
        <v>3172</v>
      </c>
      <c r="C482" s="1" t="s">
        <v>3173</v>
      </c>
      <c r="D482" s="1" t="s">
        <v>2166</v>
      </c>
      <c r="E482" s="1">
        <v>2021</v>
      </c>
      <c r="F482" s="1">
        <v>2</v>
      </c>
      <c r="G482" s="1">
        <v>1</v>
      </c>
      <c r="H482" s="4"/>
      <c r="I482" s="1" t="s">
        <v>137</v>
      </c>
      <c r="J482" s="1">
        <v>2021</v>
      </c>
      <c r="K482" s="4"/>
      <c r="L482" s="4"/>
      <c r="M482" s="1" t="s">
        <v>2167</v>
      </c>
      <c r="N482" s="3" t="s">
        <v>3174</v>
      </c>
      <c r="O482" s="1" t="s">
        <v>3175</v>
      </c>
      <c r="P482" s="1" t="s">
        <v>3176</v>
      </c>
      <c r="Q482" s="1" t="s">
        <v>1573</v>
      </c>
      <c r="R482" s="4"/>
    </row>
    <row r="483" spans="1:18" x14ac:dyDescent="0.25">
      <c r="A483" s="1" t="s">
        <v>141</v>
      </c>
      <c r="B483" s="1" t="s">
        <v>3177</v>
      </c>
      <c r="C483" s="1" t="s">
        <v>3178</v>
      </c>
      <c r="D483" s="4"/>
      <c r="E483" s="1">
        <v>2020</v>
      </c>
      <c r="F483" s="4"/>
      <c r="G483" s="4"/>
      <c r="H483" s="1" t="s">
        <v>3179</v>
      </c>
      <c r="I483" s="1" t="s">
        <v>257</v>
      </c>
      <c r="J483" s="1">
        <v>2020</v>
      </c>
      <c r="K483" s="1">
        <v>9781450371223</v>
      </c>
      <c r="L483" s="4"/>
      <c r="M483" s="4"/>
      <c r="N483" s="3" t="s">
        <v>3180</v>
      </c>
      <c r="O483" s="1" t="s">
        <v>3181</v>
      </c>
      <c r="P483" s="1" t="s">
        <v>3182</v>
      </c>
      <c r="Q483" s="1" t="s">
        <v>157</v>
      </c>
      <c r="R483" s="4"/>
    </row>
    <row r="484" spans="1:18" x14ac:dyDescent="0.25">
      <c r="A484" s="1" t="s">
        <v>141</v>
      </c>
      <c r="B484" s="1" t="s">
        <v>3183</v>
      </c>
      <c r="C484" s="1" t="s">
        <v>3184</v>
      </c>
      <c r="D484" s="4"/>
      <c r="E484" s="1">
        <v>2020</v>
      </c>
      <c r="F484" s="4"/>
      <c r="G484" s="4"/>
      <c r="H484" s="1" t="s">
        <v>3185</v>
      </c>
      <c r="I484" s="1" t="s">
        <v>257</v>
      </c>
      <c r="J484" s="1">
        <v>2020</v>
      </c>
      <c r="K484" s="1">
        <v>9781450367684</v>
      </c>
      <c r="L484" s="4"/>
      <c r="M484" s="4"/>
      <c r="N484" s="3" t="s">
        <v>3186</v>
      </c>
      <c r="O484" s="1" t="s">
        <v>3187</v>
      </c>
      <c r="P484" s="1" t="s">
        <v>3188</v>
      </c>
      <c r="Q484" s="1" t="s">
        <v>1740</v>
      </c>
      <c r="R484" s="4"/>
    </row>
    <row r="485" spans="1:18" x14ac:dyDescent="0.25">
      <c r="A485" s="1" t="s">
        <v>13</v>
      </c>
      <c r="B485" s="1" t="s">
        <v>3189</v>
      </c>
      <c r="C485" s="1" t="s">
        <v>3190</v>
      </c>
      <c r="D485" s="1" t="s">
        <v>354</v>
      </c>
      <c r="E485" s="1">
        <v>2020</v>
      </c>
      <c r="F485" s="1">
        <v>170</v>
      </c>
      <c r="G485" s="4"/>
      <c r="H485" s="4"/>
      <c r="I485" s="1" t="s">
        <v>355</v>
      </c>
      <c r="J485" s="1">
        <v>2020</v>
      </c>
      <c r="K485" s="4"/>
      <c r="L485" s="4"/>
      <c r="M485" s="1" t="s">
        <v>65</v>
      </c>
      <c r="N485" s="3" t="s">
        <v>3191</v>
      </c>
      <c r="O485" s="1" t="s">
        <v>3192</v>
      </c>
      <c r="P485" s="1" t="s">
        <v>3193</v>
      </c>
      <c r="Q485" s="1" t="s">
        <v>1249</v>
      </c>
      <c r="R485" s="4"/>
    </row>
    <row r="486" spans="1:18" x14ac:dyDescent="0.25">
      <c r="A486" s="1" t="s">
        <v>141</v>
      </c>
      <c r="B486" s="1" t="s">
        <v>3194</v>
      </c>
      <c r="C486" s="1" t="s">
        <v>3195</v>
      </c>
      <c r="D486" s="4"/>
      <c r="E486" s="1">
        <v>2020</v>
      </c>
      <c r="F486" s="4"/>
      <c r="G486" s="4"/>
      <c r="H486" s="4"/>
      <c r="I486" s="1" t="s">
        <v>145</v>
      </c>
      <c r="J486" s="1">
        <v>2020</v>
      </c>
      <c r="K486" s="1">
        <v>9781450377362</v>
      </c>
      <c r="L486" s="4"/>
      <c r="M486" s="4"/>
      <c r="N486" s="3" t="s">
        <v>3196</v>
      </c>
      <c r="O486" s="1" t="s">
        <v>3197</v>
      </c>
      <c r="P486" s="1" t="s">
        <v>3198</v>
      </c>
      <c r="Q486" s="1" t="s">
        <v>176</v>
      </c>
      <c r="R486" s="4"/>
    </row>
    <row r="487" spans="1:18" x14ac:dyDescent="0.25">
      <c r="A487" s="1" t="s">
        <v>141</v>
      </c>
      <c r="B487" s="1" t="s">
        <v>3034</v>
      </c>
      <c r="C487" s="1" t="s">
        <v>3199</v>
      </c>
      <c r="D487" s="4"/>
      <c r="E487" s="1">
        <v>2020</v>
      </c>
      <c r="F487" s="4"/>
      <c r="G487" s="4"/>
      <c r="H487" s="1" t="s">
        <v>3200</v>
      </c>
      <c r="I487" s="1" t="s">
        <v>145</v>
      </c>
      <c r="J487" s="1">
        <v>2020</v>
      </c>
      <c r="K487" s="1">
        <v>9781450387538</v>
      </c>
      <c r="L487" s="4"/>
      <c r="M487" s="4"/>
      <c r="N487" s="3" t="s">
        <v>3201</v>
      </c>
      <c r="O487" s="1" t="s">
        <v>3202</v>
      </c>
      <c r="P487" s="1" t="s">
        <v>3203</v>
      </c>
      <c r="Q487" s="1" t="s">
        <v>185</v>
      </c>
      <c r="R487" s="4"/>
    </row>
    <row r="488" spans="1:18" x14ac:dyDescent="0.25">
      <c r="A488" s="1" t="s">
        <v>141</v>
      </c>
      <c r="B488" s="1" t="s">
        <v>3204</v>
      </c>
      <c r="C488" s="1" t="s">
        <v>3205</v>
      </c>
      <c r="D488" s="4"/>
      <c r="E488" s="1">
        <v>2020</v>
      </c>
      <c r="F488" s="4"/>
      <c r="G488" s="4"/>
      <c r="H488" s="1" t="s">
        <v>3206</v>
      </c>
      <c r="I488" s="1" t="s">
        <v>196</v>
      </c>
      <c r="J488" s="1">
        <v>2020</v>
      </c>
      <c r="K488" s="1">
        <v>9781450379588</v>
      </c>
      <c r="L488" s="4"/>
      <c r="M488" s="4"/>
      <c r="N488" s="3" t="s">
        <v>3207</v>
      </c>
      <c r="O488" s="1" t="s">
        <v>3208</v>
      </c>
      <c r="P488" s="1" t="s">
        <v>3209</v>
      </c>
      <c r="Q488" s="1" t="s">
        <v>176</v>
      </c>
      <c r="R488" s="4"/>
    </row>
    <row r="489" spans="1:18" x14ac:dyDescent="0.25">
      <c r="A489" s="1" t="s">
        <v>13</v>
      </c>
      <c r="B489" s="1" t="s">
        <v>3210</v>
      </c>
      <c r="C489" s="1" t="s">
        <v>3211</v>
      </c>
      <c r="D489" s="1" t="s">
        <v>307</v>
      </c>
      <c r="E489" s="1">
        <v>2020</v>
      </c>
      <c r="F489" s="1">
        <v>127</v>
      </c>
      <c r="G489" s="4"/>
      <c r="H489" s="4"/>
      <c r="I489" s="1" t="s">
        <v>280</v>
      </c>
      <c r="J489" s="1">
        <v>2020</v>
      </c>
      <c r="K489" s="4"/>
      <c r="L489" s="4"/>
      <c r="M489" s="1" t="s">
        <v>308</v>
      </c>
      <c r="N489" s="3" t="s">
        <v>3212</v>
      </c>
      <c r="O489" s="1" t="s">
        <v>3213</v>
      </c>
      <c r="P489" s="1" t="s">
        <v>3214</v>
      </c>
      <c r="Q489" s="1" t="s">
        <v>2110</v>
      </c>
      <c r="R489" s="4"/>
    </row>
    <row r="490" spans="1:18" x14ac:dyDescent="0.25">
      <c r="A490" s="1" t="s">
        <v>141</v>
      </c>
      <c r="B490" s="1" t="s">
        <v>3215</v>
      </c>
      <c r="C490" s="1" t="s">
        <v>3216</v>
      </c>
      <c r="D490" s="4"/>
      <c r="E490" s="1">
        <v>2020</v>
      </c>
      <c r="F490" s="4"/>
      <c r="G490" s="4"/>
      <c r="H490" s="4"/>
      <c r="I490" s="1" t="s">
        <v>257</v>
      </c>
      <c r="J490" s="1">
        <v>2020</v>
      </c>
      <c r="K490" s="1">
        <v>9789532900996</v>
      </c>
      <c r="L490" s="4"/>
      <c r="M490" s="4"/>
      <c r="N490" s="3" t="s">
        <v>3217</v>
      </c>
      <c r="O490" s="1" t="s">
        <v>3218</v>
      </c>
      <c r="P490" s="1" t="s">
        <v>3219</v>
      </c>
      <c r="Q490" s="1" t="s">
        <v>3003</v>
      </c>
      <c r="R490" s="4"/>
    </row>
    <row r="491" spans="1:18" x14ac:dyDescent="0.25">
      <c r="A491" s="1" t="s">
        <v>13</v>
      </c>
      <c r="B491" s="1" t="s">
        <v>3220</v>
      </c>
      <c r="C491" s="1" t="s">
        <v>3221</v>
      </c>
      <c r="D491" s="1" t="s">
        <v>354</v>
      </c>
      <c r="E491" s="1">
        <v>2021</v>
      </c>
      <c r="F491" s="1">
        <v>171</v>
      </c>
      <c r="G491" s="4"/>
      <c r="H491" s="4"/>
      <c r="I491" s="1" t="s">
        <v>355</v>
      </c>
      <c r="J491" s="1">
        <v>2021</v>
      </c>
      <c r="K491" s="4"/>
      <c r="L491" s="4"/>
      <c r="M491" s="1" t="s">
        <v>65</v>
      </c>
      <c r="N491" s="3" t="s">
        <v>3222</v>
      </c>
      <c r="O491" s="1" t="s">
        <v>3223</v>
      </c>
      <c r="P491" s="1" t="s">
        <v>3224</v>
      </c>
      <c r="Q491" s="1" t="s">
        <v>3225</v>
      </c>
      <c r="R491" s="4"/>
    </row>
    <row r="492" spans="1:18" x14ac:dyDescent="0.25">
      <c r="A492" s="1" t="s">
        <v>141</v>
      </c>
      <c r="B492" s="1" t="s">
        <v>3226</v>
      </c>
      <c r="C492" s="1" t="s">
        <v>3227</v>
      </c>
      <c r="D492" s="4"/>
      <c r="E492" s="1">
        <v>2021</v>
      </c>
      <c r="F492" s="4"/>
      <c r="G492" s="4"/>
      <c r="H492" s="1" t="s">
        <v>3228</v>
      </c>
      <c r="I492" s="1" t="s">
        <v>257</v>
      </c>
      <c r="J492" s="1">
        <v>2021</v>
      </c>
      <c r="K492" s="1">
        <v>9781728187105</v>
      </c>
      <c r="L492" s="4"/>
      <c r="M492" s="4"/>
      <c r="N492" s="3" t="s">
        <v>3229</v>
      </c>
      <c r="O492" s="1" t="s">
        <v>3230</v>
      </c>
      <c r="P492" s="1" t="s">
        <v>3231</v>
      </c>
      <c r="Q492" s="1" t="s">
        <v>185</v>
      </c>
      <c r="R492" s="4"/>
    </row>
    <row r="493" spans="1:18" x14ac:dyDescent="0.25">
      <c r="A493" s="1" t="s">
        <v>141</v>
      </c>
      <c r="B493" s="1" t="s">
        <v>865</v>
      </c>
      <c r="C493" s="1" t="s">
        <v>3232</v>
      </c>
      <c r="D493" s="4"/>
      <c r="E493" s="1">
        <v>2020</v>
      </c>
      <c r="F493" s="4"/>
      <c r="G493" s="4"/>
      <c r="H493" s="1" t="s">
        <v>2661</v>
      </c>
      <c r="I493" s="1" t="s">
        <v>257</v>
      </c>
      <c r="J493" s="1">
        <v>2020</v>
      </c>
      <c r="K493" s="1">
        <v>9781728195322</v>
      </c>
      <c r="L493" s="4"/>
      <c r="M493" s="4"/>
      <c r="N493" s="3" t="s">
        <v>3233</v>
      </c>
      <c r="O493" s="1" t="s">
        <v>3234</v>
      </c>
      <c r="P493" s="1" t="s">
        <v>3235</v>
      </c>
      <c r="Q493" s="1" t="s">
        <v>1813</v>
      </c>
      <c r="R493" s="4"/>
    </row>
    <row r="494" spans="1:18" x14ac:dyDescent="0.25">
      <c r="A494" s="1" t="s">
        <v>13</v>
      </c>
      <c r="B494" s="1" t="s">
        <v>3236</v>
      </c>
      <c r="C494" s="1" t="s">
        <v>3237</v>
      </c>
      <c r="D494" s="1" t="s">
        <v>3238</v>
      </c>
      <c r="E494" s="1">
        <v>2021</v>
      </c>
      <c r="F494" s="1" t="s">
        <v>3239</v>
      </c>
      <c r="G494" s="1">
        <v>10</v>
      </c>
      <c r="H494" s="1" t="s">
        <v>3240</v>
      </c>
      <c r="I494" s="1" t="s">
        <v>3241</v>
      </c>
      <c r="J494" s="1">
        <v>2021</v>
      </c>
      <c r="K494" s="4"/>
      <c r="L494" s="4"/>
      <c r="M494" s="1" t="s">
        <v>3242</v>
      </c>
      <c r="N494" s="3" t="s">
        <v>3243</v>
      </c>
      <c r="O494" s="1" t="s">
        <v>3244</v>
      </c>
      <c r="P494" s="1" t="s">
        <v>3245</v>
      </c>
      <c r="Q494" s="1" t="s">
        <v>568</v>
      </c>
      <c r="R494" s="4"/>
    </row>
    <row r="495" spans="1:18" x14ac:dyDescent="0.25">
      <c r="A495" s="1" t="s">
        <v>141</v>
      </c>
      <c r="B495" s="1" t="s">
        <v>3246</v>
      </c>
      <c r="C495" s="1" t="s">
        <v>3247</v>
      </c>
      <c r="D495" s="4"/>
      <c r="E495" s="1">
        <v>2021</v>
      </c>
      <c r="F495" s="1">
        <v>1</v>
      </c>
      <c r="G495" s="4"/>
      <c r="H495" s="1" t="s">
        <v>3248</v>
      </c>
      <c r="I495" s="1" t="s">
        <v>3249</v>
      </c>
      <c r="J495" s="1">
        <v>2021</v>
      </c>
      <c r="K495" s="1">
        <v>9781713835974</v>
      </c>
      <c r="L495" s="4"/>
      <c r="M495" s="4"/>
      <c r="N495" s="3" t="s">
        <v>3250</v>
      </c>
      <c r="O495" s="4"/>
      <c r="P495" s="1" t="s">
        <v>3251</v>
      </c>
      <c r="Q495" s="1" t="s">
        <v>185</v>
      </c>
      <c r="R495" s="4"/>
    </row>
    <row r="496" spans="1:18" x14ac:dyDescent="0.25">
      <c r="A496" s="1" t="s">
        <v>141</v>
      </c>
      <c r="B496" s="1" t="s">
        <v>3252</v>
      </c>
      <c r="C496" s="1" t="s">
        <v>3253</v>
      </c>
      <c r="D496" s="4"/>
      <c r="E496" s="1">
        <v>2020</v>
      </c>
      <c r="F496" s="4"/>
      <c r="G496" s="4"/>
      <c r="H496" s="1" t="s">
        <v>3254</v>
      </c>
      <c r="I496" s="1" t="s">
        <v>153</v>
      </c>
      <c r="J496" s="1">
        <v>2020</v>
      </c>
      <c r="K496" s="1">
        <v>9781450370431</v>
      </c>
      <c r="L496" s="4"/>
      <c r="M496" s="4"/>
      <c r="N496" s="3" t="s">
        <v>3255</v>
      </c>
      <c r="O496" s="1" t="s">
        <v>3256</v>
      </c>
      <c r="P496" s="1" t="s">
        <v>3257</v>
      </c>
      <c r="Q496" s="1" t="s">
        <v>2804</v>
      </c>
      <c r="R496" s="4"/>
    </row>
    <row r="497" spans="1:18" x14ac:dyDescent="0.25">
      <c r="A497" s="1" t="s">
        <v>13</v>
      </c>
      <c r="B497" s="1" t="s">
        <v>3258</v>
      </c>
      <c r="C497" s="1" t="s">
        <v>3259</v>
      </c>
      <c r="D497" s="1" t="s">
        <v>3260</v>
      </c>
      <c r="E497" s="1">
        <v>2020</v>
      </c>
      <c r="F497" s="1">
        <v>63</v>
      </c>
      <c r="G497" s="1">
        <v>6</v>
      </c>
      <c r="H497" s="1" t="s">
        <v>3261</v>
      </c>
      <c r="I497" s="1" t="s">
        <v>1060</v>
      </c>
      <c r="J497" s="1">
        <v>2020</v>
      </c>
      <c r="K497" s="4"/>
      <c r="L497" s="4"/>
      <c r="M497" s="1" t="s">
        <v>3262</v>
      </c>
      <c r="N497" s="3" t="s">
        <v>3263</v>
      </c>
      <c r="O497" s="1" t="s">
        <v>3264</v>
      </c>
      <c r="P497" s="1" t="s">
        <v>3265</v>
      </c>
      <c r="Q497" s="1" t="s">
        <v>3266</v>
      </c>
      <c r="R497" s="4"/>
    </row>
    <row r="498" spans="1:18" x14ac:dyDescent="0.25">
      <c r="A498" s="1" t="s">
        <v>141</v>
      </c>
      <c r="B498" s="1" t="s">
        <v>3267</v>
      </c>
      <c r="C498" s="1" t="s">
        <v>3268</v>
      </c>
      <c r="D498" s="4"/>
      <c r="E498" s="1">
        <v>2021</v>
      </c>
      <c r="F498" s="4"/>
      <c r="G498" s="4"/>
      <c r="H498" s="1" t="s">
        <v>3269</v>
      </c>
      <c r="I498" s="1" t="s">
        <v>257</v>
      </c>
      <c r="J498" s="1">
        <v>2021</v>
      </c>
      <c r="K498" s="1">
        <v>9781665409506</v>
      </c>
      <c r="L498" s="4"/>
      <c r="M498" s="4"/>
      <c r="N498" s="3" t="s">
        <v>3270</v>
      </c>
      <c r="O498" s="1" t="s">
        <v>3271</v>
      </c>
      <c r="P498" s="1" t="s">
        <v>3272</v>
      </c>
      <c r="Q498" s="1" t="s">
        <v>157</v>
      </c>
      <c r="R498" s="4"/>
    </row>
    <row r="499" spans="1:18" x14ac:dyDescent="0.25">
      <c r="A499" s="1" t="s">
        <v>141</v>
      </c>
      <c r="B499" s="1" t="s">
        <v>3273</v>
      </c>
      <c r="C499" s="1" t="s">
        <v>3274</v>
      </c>
      <c r="D499" s="4"/>
      <c r="E499" s="1">
        <v>2021</v>
      </c>
      <c r="F499" s="4"/>
      <c r="G499" s="4"/>
      <c r="H499" s="1" t="s">
        <v>3275</v>
      </c>
      <c r="I499" s="1" t="s">
        <v>257</v>
      </c>
      <c r="J499" s="1">
        <v>2021</v>
      </c>
      <c r="K499" s="1">
        <v>9781665449700</v>
      </c>
      <c r="L499" s="4"/>
      <c r="M499" s="4"/>
      <c r="N499" s="3" t="s">
        <v>3276</v>
      </c>
      <c r="O499" s="1" t="s">
        <v>3277</v>
      </c>
      <c r="P499" s="1" t="s">
        <v>3278</v>
      </c>
      <c r="Q499" s="1" t="s">
        <v>2243</v>
      </c>
      <c r="R499" s="4"/>
    </row>
    <row r="500" spans="1:18" x14ac:dyDescent="0.25">
      <c r="A500" s="1" t="s">
        <v>141</v>
      </c>
      <c r="B500" s="1" t="s">
        <v>3279</v>
      </c>
      <c r="C500" s="1" t="s">
        <v>3280</v>
      </c>
      <c r="D500" s="4"/>
      <c r="E500" s="1">
        <v>2021</v>
      </c>
      <c r="F500" s="4"/>
      <c r="G500" s="4"/>
      <c r="H500" s="1" t="s">
        <v>3281</v>
      </c>
      <c r="I500" s="1" t="s">
        <v>257</v>
      </c>
      <c r="J500" s="1">
        <v>2021</v>
      </c>
      <c r="K500" s="1">
        <v>9781665403375</v>
      </c>
      <c r="L500" s="4"/>
      <c r="M500" s="4"/>
      <c r="N500" s="3" t="s">
        <v>3282</v>
      </c>
      <c r="O500" s="1" t="s">
        <v>3283</v>
      </c>
      <c r="P500" s="1" t="s">
        <v>3284</v>
      </c>
      <c r="Q500" s="1" t="s">
        <v>157</v>
      </c>
      <c r="R500" s="4"/>
    </row>
    <row r="501" spans="1:18" x14ac:dyDescent="0.25">
      <c r="A501" s="1" t="s">
        <v>141</v>
      </c>
      <c r="B501" s="1" t="s">
        <v>3285</v>
      </c>
      <c r="C501" s="1" t="s">
        <v>3286</v>
      </c>
      <c r="D501" s="4"/>
      <c r="E501" s="1">
        <v>2020</v>
      </c>
      <c r="F501" s="4"/>
      <c r="G501" s="4"/>
      <c r="H501" s="1" t="s">
        <v>3287</v>
      </c>
      <c r="I501" s="1" t="s">
        <v>145</v>
      </c>
      <c r="J501" s="1">
        <v>2020</v>
      </c>
      <c r="K501" s="1">
        <v>9781450379984</v>
      </c>
      <c r="L501" s="4"/>
      <c r="M501" s="4"/>
      <c r="N501" s="3" t="s">
        <v>3288</v>
      </c>
      <c r="O501" s="1" t="s">
        <v>3289</v>
      </c>
      <c r="P501" s="1" t="s">
        <v>3290</v>
      </c>
      <c r="Q501" s="1" t="s">
        <v>2717</v>
      </c>
      <c r="R501" s="4"/>
    </row>
    <row r="502" spans="1:18" x14ac:dyDescent="0.25">
      <c r="A502" s="1" t="s">
        <v>13</v>
      </c>
      <c r="B502" s="1" t="s">
        <v>3291</v>
      </c>
      <c r="C502" s="1" t="s">
        <v>3292</v>
      </c>
      <c r="D502" s="1" t="s">
        <v>3293</v>
      </c>
      <c r="E502" s="1">
        <v>2021</v>
      </c>
      <c r="F502" s="1">
        <v>70</v>
      </c>
      <c r="G502" s="4"/>
      <c r="H502" s="4"/>
      <c r="I502" s="1" t="s">
        <v>257</v>
      </c>
      <c r="J502" s="1">
        <v>2021</v>
      </c>
      <c r="K502" s="4"/>
      <c r="L502" s="4"/>
      <c r="M502" s="1" t="s">
        <v>3294</v>
      </c>
      <c r="N502" s="3" t="s">
        <v>3295</v>
      </c>
      <c r="O502" s="1" t="s">
        <v>3296</v>
      </c>
      <c r="P502" s="1" t="s">
        <v>3297</v>
      </c>
      <c r="Q502" s="1" t="s">
        <v>2579</v>
      </c>
      <c r="R502" s="4"/>
    </row>
    <row r="503" spans="1:18" x14ac:dyDescent="0.25">
      <c r="A503" s="1" t="s">
        <v>141</v>
      </c>
      <c r="B503" s="1" t="s">
        <v>3298</v>
      </c>
      <c r="C503" s="1" t="s">
        <v>3299</v>
      </c>
      <c r="D503" s="4"/>
      <c r="E503" s="1">
        <v>2021</v>
      </c>
      <c r="F503" s="1">
        <v>14</v>
      </c>
      <c r="G503" s="4"/>
      <c r="H503" s="1" t="s">
        <v>3300</v>
      </c>
      <c r="I503" s="1" t="s">
        <v>3301</v>
      </c>
      <c r="J503" s="1">
        <v>2021</v>
      </c>
      <c r="K503" s="1">
        <v>9781713845393</v>
      </c>
      <c r="L503" s="4"/>
      <c r="M503" s="1" t="s">
        <v>3302</v>
      </c>
      <c r="N503" s="3" t="s">
        <v>3303</v>
      </c>
      <c r="O503" s="4"/>
      <c r="P503" s="1" t="s">
        <v>3304</v>
      </c>
      <c r="Q503" s="1" t="s">
        <v>157</v>
      </c>
      <c r="R503" s="4"/>
    </row>
    <row r="504" spans="1:18" x14ac:dyDescent="0.25">
      <c r="A504" s="1" t="s">
        <v>141</v>
      </c>
      <c r="B504" s="1" t="s">
        <v>3305</v>
      </c>
      <c r="C504" s="1" t="s">
        <v>3306</v>
      </c>
      <c r="D504" s="4"/>
      <c r="E504" s="1">
        <v>2021</v>
      </c>
      <c r="F504" s="4"/>
      <c r="G504" s="4"/>
      <c r="H504" s="1" t="s">
        <v>3307</v>
      </c>
      <c r="I504" s="1" t="s">
        <v>145</v>
      </c>
      <c r="J504" s="1">
        <v>2021</v>
      </c>
      <c r="K504" s="4"/>
      <c r="L504" s="4"/>
      <c r="M504" s="1" t="s">
        <v>3308</v>
      </c>
      <c r="N504" s="3" t="s">
        <v>3309</v>
      </c>
      <c r="O504" s="1" t="s">
        <v>3310</v>
      </c>
      <c r="P504" s="1" t="s">
        <v>3311</v>
      </c>
      <c r="Q504" s="1" t="s">
        <v>3312</v>
      </c>
      <c r="R504" s="4"/>
    </row>
    <row r="505" spans="1:18" x14ac:dyDescent="0.25">
      <c r="A505" s="1" t="s">
        <v>13</v>
      </c>
      <c r="B505" s="1" t="s">
        <v>3313</v>
      </c>
      <c r="C505" s="1" t="s">
        <v>3314</v>
      </c>
      <c r="D505" s="1" t="s">
        <v>668</v>
      </c>
      <c r="E505" s="1">
        <v>2021</v>
      </c>
      <c r="F505" s="1">
        <v>9</v>
      </c>
      <c r="G505" s="4"/>
      <c r="H505" s="1" t="s">
        <v>3315</v>
      </c>
      <c r="I505" s="1" t="s">
        <v>257</v>
      </c>
      <c r="J505" s="1">
        <v>2021</v>
      </c>
      <c r="K505" s="4"/>
      <c r="L505" s="4"/>
      <c r="M505" s="1" t="s">
        <v>670</v>
      </c>
      <c r="N505" s="3" t="s">
        <v>3316</v>
      </c>
      <c r="O505" s="1" t="s">
        <v>3317</v>
      </c>
      <c r="P505" s="1" t="s">
        <v>3318</v>
      </c>
      <c r="Q505" s="1" t="s">
        <v>1844</v>
      </c>
      <c r="R505" s="4"/>
    </row>
    <row r="506" spans="1:18" x14ac:dyDescent="0.25">
      <c r="A506" s="1" t="s">
        <v>141</v>
      </c>
      <c r="B506" s="1" t="s">
        <v>2687</v>
      </c>
      <c r="C506" s="1" t="s">
        <v>3319</v>
      </c>
      <c r="D506" s="4"/>
      <c r="E506" s="1">
        <v>2020</v>
      </c>
      <c r="F506" s="4"/>
      <c r="G506" s="4"/>
      <c r="H506" s="4"/>
      <c r="I506" s="1" t="s">
        <v>196</v>
      </c>
      <c r="J506" s="1">
        <v>2020</v>
      </c>
      <c r="K506" s="1">
        <v>9781450375801</v>
      </c>
      <c r="L506" s="4"/>
      <c r="M506" s="1" t="s">
        <v>197</v>
      </c>
      <c r="N506" s="3" t="s">
        <v>3320</v>
      </c>
      <c r="O506" s="1" t="s">
        <v>3321</v>
      </c>
      <c r="P506" s="1" t="s">
        <v>3322</v>
      </c>
      <c r="Q506" s="1" t="s">
        <v>3323</v>
      </c>
      <c r="R506" s="4"/>
    </row>
    <row r="507" spans="1:18" x14ac:dyDescent="0.25">
      <c r="A507" s="1" t="s">
        <v>13</v>
      </c>
      <c r="B507" s="1" t="s">
        <v>3324</v>
      </c>
      <c r="C507" s="1" t="s">
        <v>3325</v>
      </c>
      <c r="D507" s="1" t="s">
        <v>3326</v>
      </c>
      <c r="E507" s="1">
        <v>2021</v>
      </c>
      <c r="F507" s="1">
        <v>13</v>
      </c>
      <c r="G507" s="1">
        <v>1</v>
      </c>
      <c r="H507" s="1" t="s">
        <v>3327</v>
      </c>
      <c r="I507" s="1" t="s">
        <v>3328</v>
      </c>
      <c r="J507" s="1">
        <v>2021</v>
      </c>
      <c r="K507" s="4"/>
      <c r="L507" s="4"/>
      <c r="M507" s="1" t="s">
        <v>3329</v>
      </c>
      <c r="N507" s="3" t="s">
        <v>3330</v>
      </c>
      <c r="O507" s="1" t="s">
        <v>3331</v>
      </c>
      <c r="P507" s="1" t="s">
        <v>3332</v>
      </c>
      <c r="Q507" s="1" t="s">
        <v>157</v>
      </c>
      <c r="R507" s="4"/>
    </row>
    <row r="508" spans="1:18" x14ac:dyDescent="0.25">
      <c r="A508" s="1" t="s">
        <v>141</v>
      </c>
      <c r="B508" s="1" t="s">
        <v>3333</v>
      </c>
      <c r="C508" s="1" t="s">
        <v>3334</v>
      </c>
      <c r="D508" s="4"/>
      <c r="E508" s="1">
        <v>2021</v>
      </c>
      <c r="F508" s="1">
        <v>2867</v>
      </c>
      <c r="G508" s="4"/>
      <c r="H508" s="1" t="s">
        <v>3335</v>
      </c>
      <c r="I508" s="1" t="s">
        <v>613</v>
      </c>
      <c r="J508" s="1">
        <v>2021</v>
      </c>
      <c r="K508" s="4"/>
      <c r="L508" s="4"/>
      <c r="M508" s="1" t="s">
        <v>614</v>
      </c>
      <c r="N508" s="3" t="s">
        <v>3336</v>
      </c>
      <c r="O508" s="4"/>
      <c r="P508" s="1" t="s">
        <v>3337</v>
      </c>
      <c r="Q508" s="1" t="s">
        <v>318</v>
      </c>
      <c r="R508" s="4"/>
    </row>
    <row r="509" spans="1:18" x14ac:dyDescent="0.25">
      <c r="A509" s="1" t="s">
        <v>141</v>
      </c>
      <c r="B509" s="1" t="s">
        <v>3338</v>
      </c>
      <c r="C509" s="1" t="s">
        <v>3339</v>
      </c>
      <c r="D509" s="4"/>
      <c r="E509" s="1">
        <v>2020</v>
      </c>
      <c r="F509" s="4"/>
      <c r="G509" s="4"/>
      <c r="H509" s="1" t="s">
        <v>3340</v>
      </c>
      <c r="I509" s="1" t="s">
        <v>153</v>
      </c>
      <c r="J509" s="1">
        <v>2020</v>
      </c>
      <c r="K509" s="1">
        <v>9781450370431</v>
      </c>
      <c r="L509" s="4"/>
      <c r="M509" s="4"/>
      <c r="N509" s="3" t="s">
        <v>3341</v>
      </c>
      <c r="O509" s="1" t="s">
        <v>3342</v>
      </c>
      <c r="P509" s="1" t="s">
        <v>3343</v>
      </c>
      <c r="Q509" s="1" t="s">
        <v>176</v>
      </c>
      <c r="R509" s="4"/>
    </row>
    <row r="510" spans="1:18" x14ac:dyDescent="0.25">
      <c r="A510" s="1" t="s">
        <v>13</v>
      </c>
      <c r="B510" s="1" t="s">
        <v>3344</v>
      </c>
      <c r="C510" s="1" t="s">
        <v>3345</v>
      </c>
      <c r="D510" s="1" t="s">
        <v>136</v>
      </c>
      <c r="E510" s="1">
        <v>2021</v>
      </c>
      <c r="F510" s="1">
        <v>26</v>
      </c>
      <c r="G510" s="1">
        <v>2</v>
      </c>
      <c r="H510" s="4"/>
      <c r="I510" s="1" t="s">
        <v>137</v>
      </c>
      <c r="J510" s="1">
        <v>2021</v>
      </c>
      <c r="K510" s="4"/>
      <c r="L510" s="4"/>
      <c r="M510" s="1" t="s">
        <v>33</v>
      </c>
      <c r="N510" s="3" t="s">
        <v>3346</v>
      </c>
      <c r="O510" s="1" t="s">
        <v>3347</v>
      </c>
      <c r="P510" s="1" t="s">
        <v>3348</v>
      </c>
      <c r="Q510" s="1" t="s">
        <v>1598</v>
      </c>
      <c r="R510" s="4"/>
    </row>
    <row r="511" spans="1:18" x14ac:dyDescent="0.25">
      <c r="A511" s="1" t="s">
        <v>13</v>
      </c>
      <c r="B511" s="1" t="s">
        <v>3349</v>
      </c>
      <c r="C511" s="1" t="s">
        <v>3350</v>
      </c>
      <c r="D511" s="1" t="s">
        <v>3351</v>
      </c>
      <c r="E511" s="1">
        <v>2020</v>
      </c>
      <c r="F511" s="1">
        <v>98</v>
      </c>
      <c r="G511" s="1">
        <v>14</v>
      </c>
      <c r="H511" s="1" t="s">
        <v>3352</v>
      </c>
      <c r="I511" s="1" t="s">
        <v>3353</v>
      </c>
      <c r="J511" s="1">
        <v>2020</v>
      </c>
      <c r="K511" s="4"/>
      <c r="L511" s="4"/>
      <c r="M511" s="1" t="s">
        <v>3354</v>
      </c>
      <c r="N511" s="3" t="s">
        <v>3355</v>
      </c>
      <c r="O511" s="4"/>
      <c r="P511" s="1" t="s">
        <v>3356</v>
      </c>
      <c r="Q511" s="1" t="s">
        <v>176</v>
      </c>
      <c r="R511" s="4"/>
    </row>
    <row r="512" spans="1:18" x14ac:dyDescent="0.25">
      <c r="A512" s="1" t="s">
        <v>141</v>
      </c>
      <c r="B512" s="1" t="s">
        <v>3357</v>
      </c>
      <c r="C512" s="1" t="s">
        <v>3358</v>
      </c>
      <c r="D512" s="4"/>
      <c r="E512" s="1">
        <v>2021</v>
      </c>
      <c r="F512" s="4"/>
      <c r="G512" s="4"/>
      <c r="H512" s="1" t="s">
        <v>3359</v>
      </c>
      <c r="I512" s="1" t="s">
        <v>257</v>
      </c>
      <c r="J512" s="1">
        <v>2021</v>
      </c>
      <c r="K512" s="1">
        <v>9781665403375</v>
      </c>
      <c r="L512" s="4"/>
      <c r="M512" s="4"/>
      <c r="N512" s="3" t="s">
        <v>3360</v>
      </c>
      <c r="O512" s="1" t="s">
        <v>3361</v>
      </c>
      <c r="P512" s="1" t="s">
        <v>3362</v>
      </c>
      <c r="Q512" s="1" t="s">
        <v>157</v>
      </c>
      <c r="R512" s="4"/>
    </row>
    <row r="513" spans="1:18" x14ac:dyDescent="0.25">
      <c r="A513" s="1" t="s">
        <v>141</v>
      </c>
      <c r="B513" s="1" t="s">
        <v>96</v>
      </c>
      <c r="C513" s="1" t="s">
        <v>3363</v>
      </c>
      <c r="D513" s="4"/>
      <c r="E513" s="1">
        <v>2021</v>
      </c>
      <c r="F513" s="4"/>
      <c r="G513" s="4"/>
      <c r="H513" s="1" t="s">
        <v>3364</v>
      </c>
      <c r="I513" s="1" t="s">
        <v>257</v>
      </c>
      <c r="J513" s="1">
        <v>2021</v>
      </c>
      <c r="K513" s="1">
        <v>9781665403375</v>
      </c>
      <c r="L513" s="4"/>
      <c r="M513" s="4"/>
      <c r="N513" s="3" t="s">
        <v>3365</v>
      </c>
      <c r="O513" s="1" t="s">
        <v>3366</v>
      </c>
      <c r="P513" s="1" t="s">
        <v>3367</v>
      </c>
      <c r="Q513" s="1" t="s">
        <v>157</v>
      </c>
      <c r="R513" s="4"/>
    </row>
    <row r="514" spans="1:18" x14ac:dyDescent="0.25">
      <c r="A514" s="1" t="s">
        <v>141</v>
      </c>
      <c r="B514" s="1" t="s">
        <v>3368</v>
      </c>
      <c r="C514" s="1" t="s">
        <v>3369</v>
      </c>
      <c r="D514" s="4"/>
      <c r="E514" s="1">
        <v>2021</v>
      </c>
      <c r="F514" s="4"/>
      <c r="G514" s="4"/>
      <c r="H514" s="1" t="s">
        <v>3370</v>
      </c>
      <c r="I514" s="1" t="s">
        <v>257</v>
      </c>
      <c r="J514" s="1">
        <v>2021</v>
      </c>
      <c r="K514" s="1">
        <v>9781665443937</v>
      </c>
      <c r="L514" s="4"/>
      <c r="M514" s="4"/>
      <c r="N514" s="3" t="s">
        <v>3371</v>
      </c>
      <c r="O514" s="1" t="s">
        <v>3372</v>
      </c>
      <c r="P514" s="1" t="s">
        <v>3373</v>
      </c>
      <c r="Q514" s="1" t="s">
        <v>176</v>
      </c>
      <c r="R514" s="4"/>
    </row>
    <row r="515" spans="1:18" x14ac:dyDescent="0.25">
      <c r="A515" s="1" t="s">
        <v>141</v>
      </c>
      <c r="B515" s="1" t="s">
        <v>3374</v>
      </c>
      <c r="C515" s="1" t="s">
        <v>3375</v>
      </c>
      <c r="D515" s="4"/>
      <c r="E515" s="1">
        <v>2020</v>
      </c>
      <c r="F515" s="4"/>
      <c r="G515" s="4"/>
      <c r="H515" s="1" t="s">
        <v>3376</v>
      </c>
      <c r="I515" s="1" t="s">
        <v>153</v>
      </c>
      <c r="J515" s="1">
        <v>2020</v>
      </c>
      <c r="K515" s="1">
        <v>9781450381352</v>
      </c>
      <c r="L515" s="4"/>
      <c r="M515" s="4"/>
      <c r="N515" s="3" t="s">
        <v>3377</v>
      </c>
      <c r="O515" s="1" t="s">
        <v>3378</v>
      </c>
      <c r="P515" s="1" t="s">
        <v>3379</v>
      </c>
      <c r="Q515" s="1" t="s">
        <v>818</v>
      </c>
      <c r="R515" s="4"/>
    </row>
    <row r="516" spans="1:18" x14ac:dyDescent="0.25">
      <c r="A516" s="1" t="s">
        <v>141</v>
      </c>
      <c r="B516" s="1" t="s">
        <v>3380</v>
      </c>
      <c r="C516" s="1" t="s">
        <v>3381</v>
      </c>
      <c r="D516" s="4"/>
      <c r="E516" s="1">
        <v>2020</v>
      </c>
      <c r="F516" s="4"/>
      <c r="G516" s="4"/>
      <c r="H516" s="1" t="s">
        <v>3382</v>
      </c>
      <c r="I516" s="1" t="s">
        <v>257</v>
      </c>
      <c r="J516" s="1">
        <v>2020</v>
      </c>
      <c r="K516" s="1">
        <v>9781728195322</v>
      </c>
      <c r="L516" s="4"/>
      <c r="M516" s="4"/>
      <c r="N516" s="3" t="s">
        <v>3383</v>
      </c>
      <c r="O516" s="1" t="s">
        <v>3384</v>
      </c>
      <c r="P516" s="1" t="s">
        <v>3385</v>
      </c>
      <c r="Q516" s="1" t="s">
        <v>1598</v>
      </c>
      <c r="R516" s="4"/>
    </row>
    <row r="517" spans="1:18" x14ac:dyDescent="0.25">
      <c r="A517" s="1" t="s">
        <v>141</v>
      </c>
      <c r="B517" s="1" t="s">
        <v>3386</v>
      </c>
      <c r="C517" s="1" t="s">
        <v>3387</v>
      </c>
      <c r="D517" s="4"/>
      <c r="E517" s="1">
        <v>2020</v>
      </c>
      <c r="F517" s="4"/>
      <c r="G517" s="4"/>
      <c r="H517" s="1" t="s">
        <v>3388</v>
      </c>
      <c r="I517" s="1" t="s">
        <v>153</v>
      </c>
      <c r="J517" s="1">
        <v>2020</v>
      </c>
      <c r="K517" s="1">
        <v>9781450381789</v>
      </c>
      <c r="L517" s="4"/>
      <c r="M517" s="4"/>
      <c r="N517" s="3" t="s">
        <v>3389</v>
      </c>
      <c r="O517" s="1" t="s">
        <v>3390</v>
      </c>
      <c r="P517" s="1" t="s">
        <v>3391</v>
      </c>
      <c r="Q517" s="1" t="s">
        <v>318</v>
      </c>
      <c r="R517" s="4"/>
    </row>
    <row r="518" spans="1:18" x14ac:dyDescent="0.25">
      <c r="A518" s="1" t="s">
        <v>13</v>
      </c>
      <c r="B518" s="1" t="s">
        <v>3392</v>
      </c>
      <c r="C518" s="1" t="s">
        <v>3393</v>
      </c>
      <c r="D518" s="1" t="s">
        <v>3394</v>
      </c>
      <c r="E518" s="1">
        <v>2020</v>
      </c>
      <c r="F518" s="1">
        <v>18</v>
      </c>
      <c r="G518" s="1">
        <v>6</v>
      </c>
      <c r="H518" s="1" t="s">
        <v>3395</v>
      </c>
      <c r="I518" s="1" t="s">
        <v>3396</v>
      </c>
      <c r="J518" s="1">
        <v>2020</v>
      </c>
      <c r="K518" s="4"/>
      <c r="L518" s="4"/>
      <c r="M518" s="1" t="s">
        <v>3397</v>
      </c>
      <c r="N518" s="3" t="s">
        <v>3398</v>
      </c>
      <c r="O518" s="1" t="s">
        <v>3399</v>
      </c>
      <c r="P518" s="1" t="s">
        <v>3400</v>
      </c>
      <c r="Q518" s="1" t="s">
        <v>3401</v>
      </c>
      <c r="R518" s="4"/>
    </row>
    <row r="519" spans="1:18" x14ac:dyDescent="0.25">
      <c r="A519" s="1" t="s">
        <v>539</v>
      </c>
      <c r="B519" s="1" t="s">
        <v>3402</v>
      </c>
      <c r="C519" s="1" t="s">
        <v>3403</v>
      </c>
      <c r="D519" s="4"/>
      <c r="E519" s="1">
        <v>2020</v>
      </c>
      <c r="F519" s="4"/>
      <c r="G519" s="4"/>
      <c r="H519" s="4"/>
      <c r="I519" s="1" t="s">
        <v>1465</v>
      </c>
      <c r="J519" s="1">
        <v>2020</v>
      </c>
      <c r="K519" s="1">
        <v>9781799851028</v>
      </c>
      <c r="L519" s="1">
        <v>9781799851011</v>
      </c>
      <c r="M519" s="4"/>
      <c r="N519" s="3" t="s">
        <v>3404</v>
      </c>
      <c r="O519" s="1" t="s">
        <v>3405</v>
      </c>
      <c r="P519" s="1" t="s">
        <v>3406</v>
      </c>
      <c r="Q519" s="1" t="s">
        <v>3407</v>
      </c>
      <c r="R519" s="1" t="s">
        <v>3408</v>
      </c>
    </row>
    <row r="520" spans="1:18" x14ac:dyDescent="0.25">
      <c r="A520" s="1" t="s">
        <v>141</v>
      </c>
      <c r="B520" s="1" t="s">
        <v>3409</v>
      </c>
      <c r="C520" s="1" t="s">
        <v>3410</v>
      </c>
      <c r="D520" s="4"/>
      <c r="E520" s="1">
        <v>2021</v>
      </c>
      <c r="F520" s="7">
        <v>44317</v>
      </c>
      <c r="G520" s="4"/>
      <c r="H520" s="1" t="s">
        <v>3411</v>
      </c>
      <c r="I520" s="1" t="s">
        <v>196</v>
      </c>
      <c r="J520" s="1">
        <v>2021</v>
      </c>
      <c r="K520" s="1">
        <v>9781665414036</v>
      </c>
      <c r="L520" s="4"/>
      <c r="M520" s="4"/>
      <c r="N520" s="3" t="s">
        <v>3412</v>
      </c>
      <c r="O520" s="1" t="s">
        <v>3413</v>
      </c>
      <c r="P520" s="1" t="s">
        <v>3414</v>
      </c>
      <c r="Q520" s="1" t="s">
        <v>1813</v>
      </c>
      <c r="R520" s="4"/>
    </row>
    <row r="521" spans="1:18" x14ac:dyDescent="0.25">
      <c r="A521" s="1" t="s">
        <v>141</v>
      </c>
      <c r="B521" s="1" t="s">
        <v>3415</v>
      </c>
      <c r="C521" s="1" t="s">
        <v>3416</v>
      </c>
      <c r="D521" s="4"/>
      <c r="E521" s="1">
        <v>2020</v>
      </c>
      <c r="F521" s="4"/>
      <c r="G521" s="4"/>
      <c r="H521" s="1" t="s">
        <v>3417</v>
      </c>
      <c r="I521" s="1" t="s">
        <v>145</v>
      </c>
      <c r="J521" s="1">
        <v>2020</v>
      </c>
      <c r="K521" s="1">
        <v>9781450387538</v>
      </c>
      <c r="L521" s="4"/>
      <c r="M521" s="4"/>
      <c r="N521" s="3" t="s">
        <v>3418</v>
      </c>
      <c r="O521" s="1" t="s">
        <v>3419</v>
      </c>
      <c r="P521" s="1" t="s">
        <v>3420</v>
      </c>
      <c r="Q521" s="1" t="s">
        <v>318</v>
      </c>
      <c r="R521" s="4"/>
    </row>
    <row r="522" spans="1:18" x14ac:dyDescent="0.25">
      <c r="A522" s="1" t="s">
        <v>141</v>
      </c>
      <c r="B522" s="1" t="s">
        <v>3421</v>
      </c>
      <c r="C522" s="1" t="s">
        <v>3422</v>
      </c>
      <c r="D522" s="4"/>
      <c r="E522" s="1">
        <v>2021</v>
      </c>
      <c r="F522" s="4"/>
      <c r="G522" s="4"/>
      <c r="H522" s="1" t="s">
        <v>3423</v>
      </c>
      <c r="I522" s="1" t="s">
        <v>257</v>
      </c>
      <c r="J522" s="1">
        <v>2021</v>
      </c>
      <c r="K522" s="1">
        <v>9781665444705</v>
      </c>
      <c r="L522" s="4"/>
      <c r="M522" s="4"/>
      <c r="N522" s="3" t="s">
        <v>3424</v>
      </c>
      <c r="O522" s="1" t="s">
        <v>3425</v>
      </c>
      <c r="P522" s="1" t="s">
        <v>3426</v>
      </c>
      <c r="Q522" s="1" t="s">
        <v>404</v>
      </c>
      <c r="R522" s="4"/>
    </row>
    <row r="523" spans="1:18" x14ac:dyDescent="0.25">
      <c r="A523" s="1" t="s">
        <v>13</v>
      </c>
      <c r="B523" s="1" t="s">
        <v>3427</v>
      </c>
      <c r="C523" s="1" t="s">
        <v>3428</v>
      </c>
      <c r="D523" s="1" t="s">
        <v>3429</v>
      </c>
      <c r="E523" s="1">
        <v>2021</v>
      </c>
      <c r="F523" s="1">
        <v>21</v>
      </c>
      <c r="G523" s="1">
        <v>4</v>
      </c>
      <c r="H523" s="1" t="s">
        <v>3430</v>
      </c>
      <c r="I523" s="1" t="s">
        <v>3431</v>
      </c>
      <c r="J523" s="1">
        <v>2021</v>
      </c>
      <c r="K523" s="4"/>
      <c r="L523" s="4"/>
      <c r="M523" s="1" t="s">
        <v>956</v>
      </c>
      <c r="N523" s="3" t="s">
        <v>3432</v>
      </c>
      <c r="O523" s="1" t="s">
        <v>3433</v>
      </c>
      <c r="P523" s="1" t="s">
        <v>3434</v>
      </c>
      <c r="Q523" s="1" t="s">
        <v>3435</v>
      </c>
      <c r="R523" s="4"/>
    </row>
    <row r="524" spans="1:18" x14ac:dyDescent="0.25">
      <c r="A524" s="1" t="s">
        <v>13</v>
      </c>
      <c r="B524" s="1" t="s">
        <v>3436</v>
      </c>
      <c r="C524" s="1" t="s">
        <v>3437</v>
      </c>
      <c r="D524" s="1" t="s">
        <v>3438</v>
      </c>
      <c r="E524" s="1">
        <v>2020</v>
      </c>
      <c r="F524" s="1">
        <v>22</v>
      </c>
      <c r="G524" s="1">
        <v>10</v>
      </c>
      <c r="H524" s="1" t="s">
        <v>3439</v>
      </c>
      <c r="I524" s="1" t="s">
        <v>3431</v>
      </c>
      <c r="J524" s="1">
        <v>2020</v>
      </c>
      <c r="K524" s="4"/>
      <c r="L524" s="4"/>
      <c r="M524" s="1" t="s">
        <v>3440</v>
      </c>
      <c r="N524" s="3" t="s">
        <v>3441</v>
      </c>
      <c r="O524" s="1" t="s">
        <v>3442</v>
      </c>
      <c r="P524" s="1" t="s">
        <v>3443</v>
      </c>
      <c r="Q524" s="1" t="s">
        <v>960</v>
      </c>
      <c r="R524" s="4"/>
    </row>
    <row r="525" spans="1:18" x14ac:dyDescent="0.25">
      <c r="A525" s="1" t="s">
        <v>13</v>
      </c>
      <c r="B525" s="1" t="s">
        <v>3436</v>
      </c>
      <c r="C525" s="1" t="s">
        <v>3444</v>
      </c>
      <c r="D525" s="1" t="s">
        <v>3445</v>
      </c>
      <c r="E525" s="1">
        <v>2020</v>
      </c>
      <c r="F525" s="1">
        <v>15</v>
      </c>
      <c r="G525" s="1" t="s">
        <v>3446</v>
      </c>
      <c r="H525" s="4"/>
      <c r="I525" s="1" t="s">
        <v>3447</v>
      </c>
      <c r="J525" s="1">
        <v>2020</v>
      </c>
      <c r="K525" s="4"/>
      <c r="L525" s="4"/>
      <c r="M525" s="1" t="s">
        <v>3448</v>
      </c>
      <c r="N525" s="3" t="s">
        <v>3449</v>
      </c>
      <c r="O525" s="1" t="s">
        <v>3450</v>
      </c>
      <c r="P525" s="1" t="s">
        <v>3451</v>
      </c>
      <c r="Q525" s="1" t="s">
        <v>3452</v>
      </c>
      <c r="R525" s="4"/>
    </row>
    <row r="526" spans="1:18" x14ac:dyDescent="0.25">
      <c r="A526" s="1" t="s">
        <v>13</v>
      </c>
      <c r="B526" s="1" t="s">
        <v>3453</v>
      </c>
      <c r="C526" s="1" t="s">
        <v>3454</v>
      </c>
      <c r="D526" s="1" t="s">
        <v>3455</v>
      </c>
      <c r="E526" s="1">
        <v>2021</v>
      </c>
      <c r="F526" s="4"/>
      <c r="G526" s="4"/>
      <c r="H526" s="1" t="s">
        <v>3456</v>
      </c>
      <c r="I526" s="1" t="s">
        <v>212</v>
      </c>
      <c r="J526" s="1">
        <v>2021</v>
      </c>
      <c r="K526" s="4"/>
      <c r="L526" s="4"/>
      <c r="M526" s="1" t="s">
        <v>3457</v>
      </c>
      <c r="N526" s="3" t="s">
        <v>3458</v>
      </c>
      <c r="O526" s="1" t="s">
        <v>3459</v>
      </c>
      <c r="P526" s="1" t="s">
        <v>3460</v>
      </c>
      <c r="Q526" s="1" t="s">
        <v>157</v>
      </c>
      <c r="R526" s="4"/>
    </row>
    <row r="527" spans="1:18" x14ac:dyDescent="0.25">
      <c r="A527" s="1" t="s">
        <v>141</v>
      </c>
      <c r="B527" s="1" t="s">
        <v>3461</v>
      </c>
      <c r="C527" s="1" t="s">
        <v>3462</v>
      </c>
      <c r="D527" s="4"/>
      <c r="E527" s="1">
        <v>2020</v>
      </c>
      <c r="F527" s="4"/>
      <c r="G527" s="4"/>
      <c r="H527" s="1" t="s">
        <v>3463</v>
      </c>
      <c r="I527" s="1" t="s">
        <v>257</v>
      </c>
      <c r="J527" s="1">
        <v>2020</v>
      </c>
      <c r="K527" s="1">
        <v>9781728141442</v>
      </c>
      <c r="L527" s="4"/>
      <c r="M527" s="4"/>
      <c r="N527" s="3" t="s">
        <v>3464</v>
      </c>
      <c r="O527" s="1" t="s">
        <v>3465</v>
      </c>
      <c r="P527" s="1" t="s">
        <v>3466</v>
      </c>
      <c r="Q527" s="1" t="s">
        <v>1094</v>
      </c>
      <c r="R527" s="4"/>
    </row>
    <row r="528" spans="1:18" x14ac:dyDescent="0.25">
      <c r="A528" s="1" t="s">
        <v>141</v>
      </c>
      <c r="B528" s="1" t="s">
        <v>3467</v>
      </c>
      <c r="C528" s="1" t="s">
        <v>3468</v>
      </c>
      <c r="D528" s="4"/>
      <c r="E528" s="1">
        <v>2020</v>
      </c>
      <c r="F528" s="4"/>
      <c r="G528" s="4"/>
      <c r="H528" s="1" t="s">
        <v>3469</v>
      </c>
      <c r="I528" s="1" t="s">
        <v>153</v>
      </c>
      <c r="J528" s="1">
        <v>2020</v>
      </c>
      <c r="K528" s="1">
        <v>9781450370431</v>
      </c>
      <c r="L528" s="4"/>
      <c r="M528" s="4"/>
      <c r="N528" s="3" t="s">
        <v>3470</v>
      </c>
      <c r="O528" s="1" t="s">
        <v>3471</v>
      </c>
      <c r="P528" s="1" t="s">
        <v>3472</v>
      </c>
      <c r="Q528" s="1" t="s">
        <v>1656</v>
      </c>
      <c r="R528" s="4"/>
    </row>
    <row r="529" spans="1:18" x14ac:dyDescent="0.25">
      <c r="A529" s="1" t="s">
        <v>13</v>
      </c>
      <c r="B529" s="1" t="s">
        <v>3473</v>
      </c>
      <c r="C529" s="1" t="s">
        <v>3474</v>
      </c>
      <c r="D529" s="1" t="s">
        <v>3475</v>
      </c>
      <c r="E529" s="1">
        <v>2021</v>
      </c>
      <c r="F529" s="1" t="s">
        <v>3476</v>
      </c>
      <c r="G529" s="4"/>
      <c r="H529" s="1" t="s">
        <v>3477</v>
      </c>
      <c r="I529" s="1" t="s">
        <v>212</v>
      </c>
      <c r="J529" s="1">
        <v>2021</v>
      </c>
      <c r="K529" s="4"/>
      <c r="L529" s="4"/>
      <c r="M529" s="1" t="s">
        <v>3478</v>
      </c>
      <c r="N529" s="3" t="s">
        <v>3479</v>
      </c>
      <c r="O529" s="1" t="s">
        <v>3480</v>
      </c>
      <c r="P529" s="1" t="s">
        <v>3481</v>
      </c>
      <c r="Q529" s="1" t="s">
        <v>318</v>
      </c>
      <c r="R529" s="4"/>
    </row>
    <row r="530" spans="1:18" x14ac:dyDescent="0.25">
      <c r="A530" s="1" t="s">
        <v>141</v>
      </c>
      <c r="B530" s="1" t="s">
        <v>1130</v>
      </c>
      <c r="C530" s="1" t="s">
        <v>3482</v>
      </c>
      <c r="D530" s="4"/>
      <c r="E530" s="1">
        <v>2021</v>
      </c>
      <c r="F530" s="7">
        <v>44317</v>
      </c>
      <c r="G530" s="4"/>
      <c r="H530" s="1" t="s">
        <v>3483</v>
      </c>
      <c r="I530" s="1" t="s">
        <v>196</v>
      </c>
      <c r="J530" s="1">
        <v>2021</v>
      </c>
      <c r="K530" s="1">
        <v>9781665414036</v>
      </c>
      <c r="L530" s="4"/>
      <c r="M530" s="4"/>
      <c r="N530" s="3" t="s">
        <v>3484</v>
      </c>
      <c r="O530" s="1" t="s">
        <v>3485</v>
      </c>
      <c r="P530" s="1" t="s">
        <v>3486</v>
      </c>
      <c r="Q530" s="1" t="s">
        <v>1598</v>
      </c>
      <c r="R530" s="4"/>
    </row>
    <row r="531" spans="1:18" x14ac:dyDescent="0.25">
      <c r="A531" s="1" t="s">
        <v>141</v>
      </c>
      <c r="B531" s="1" t="s">
        <v>3487</v>
      </c>
      <c r="C531" s="1" t="s">
        <v>3488</v>
      </c>
      <c r="D531" s="4"/>
      <c r="E531" s="1">
        <v>2020</v>
      </c>
      <c r="F531" s="4"/>
      <c r="G531" s="4"/>
      <c r="H531" s="1" t="s">
        <v>3489</v>
      </c>
      <c r="I531" s="1" t="s">
        <v>257</v>
      </c>
      <c r="J531" s="1">
        <v>2020</v>
      </c>
      <c r="K531" s="1">
        <v>9781728192796</v>
      </c>
      <c r="L531" s="4"/>
      <c r="M531" s="4"/>
      <c r="N531" s="3" t="s">
        <v>3490</v>
      </c>
      <c r="O531" s="1" t="s">
        <v>3491</v>
      </c>
      <c r="P531" s="1" t="s">
        <v>3492</v>
      </c>
      <c r="Q531" s="1" t="s">
        <v>318</v>
      </c>
      <c r="R531" s="4"/>
    </row>
    <row r="532" spans="1:18" x14ac:dyDescent="0.25">
      <c r="A532" s="1" t="s">
        <v>13</v>
      </c>
      <c r="B532" s="1" t="s">
        <v>3493</v>
      </c>
      <c r="C532" s="1" t="s">
        <v>3494</v>
      </c>
      <c r="D532" s="1" t="s">
        <v>668</v>
      </c>
      <c r="E532" s="1">
        <v>2021</v>
      </c>
      <c r="F532" s="1">
        <v>9</v>
      </c>
      <c r="G532" s="4"/>
      <c r="H532" s="1" t="s">
        <v>3495</v>
      </c>
      <c r="I532" s="1" t="s">
        <v>257</v>
      </c>
      <c r="J532" s="1">
        <v>2021</v>
      </c>
      <c r="K532" s="4"/>
      <c r="L532" s="4"/>
      <c r="M532" s="1" t="s">
        <v>670</v>
      </c>
      <c r="N532" s="3" t="s">
        <v>3496</v>
      </c>
      <c r="O532" s="1" t="s">
        <v>3497</v>
      </c>
      <c r="P532" s="1" t="s">
        <v>3498</v>
      </c>
      <c r="Q532" s="1" t="s">
        <v>3499</v>
      </c>
      <c r="R532" s="4"/>
    </row>
    <row r="533" spans="1:18" x14ac:dyDescent="0.25">
      <c r="A533" s="1" t="s">
        <v>141</v>
      </c>
      <c r="B533" s="1" t="s">
        <v>3500</v>
      </c>
      <c r="C533" s="1" t="s">
        <v>3501</v>
      </c>
      <c r="D533" s="4"/>
      <c r="E533" s="1">
        <v>2020</v>
      </c>
      <c r="F533" s="7">
        <v>44105</v>
      </c>
      <c r="G533" s="4"/>
      <c r="H533" s="1" t="s">
        <v>3024</v>
      </c>
      <c r="I533" s="1" t="s">
        <v>196</v>
      </c>
      <c r="J533" s="1">
        <v>2020</v>
      </c>
      <c r="K533" s="1">
        <v>9781728198705</v>
      </c>
      <c r="L533" s="4"/>
      <c r="M533" s="1" t="s">
        <v>2680</v>
      </c>
      <c r="N533" s="3" t="s">
        <v>3502</v>
      </c>
      <c r="O533" s="1" t="s">
        <v>3503</v>
      </c>
      <c r="P533" s="1" t="s">
        <v>3504</v>
      </c>
      <c r="Q533" s="1" t="s">
        <v>2811</v>
      </c>
      <c r="R533" s="4"/>
    </row>
    <row r="534" spans="1:18" x14ac:dyDescent="0.25">
      <c r="A534" s="1" t="s">
        <v>141</v>
      </c>
      <c r="B534" s="1" t="s">
        <v>3505</v>
      </c>
      <c r="C534" s="1" t="s">
        <v>3506</v>
      </c>
      <c r="D534" s="4"/>
      <c r="E534" s="1">
        <v>2021</v>
      </c>
      <c r="F534" s="4"/>
      <c r="G534" s="4"/>
      <c r="H534" s="1" t="s">
        <v>3507</v>
      </c>
      <c r="I534" s="1" t="s">
        <v>145</v>
      </c>
      <c r="J534" s="1">
        <v>2021</v>
      </c>
      <c r="K534" s="1">
        <v>9781450381048</v>
      </c>
      <c r="L534" s="4"/>
      <c r="M534" s="4"/>
      <c r="N534" s="3" t="s">
        <v>3508</v>
      </c>
      <c r="O534" s="1" t="s">
        <v>3509</v>
      </c>
      <c r="P534" s="1" t="s">
        <v>3510</v>
      </c>
      <c r="Q534" s="1" t="s">
        <v>318</v>
      </c>
      <c r="R534" s="4"/>
    </row>
    <row r="535" spans="1:18" x14ac:dyDescent="0.25">
      <c r="A535" s="1" t="s">
        <v>13</v>
      </c>
      <c r="B535" s="1" t="s">
        <v>3511</v>
      </c>
      <c r="C535" s="1" t="s">
        <v>3512</v>
      </c>
      <c r="D535" s="1" t="s">
        <v>1870</v>
      </c>
      <c r="E535" s="1">
        <v>2021</v>
      </c>
      <c r="F535" s="1" t="s">
        <v>3513</v>
      </c>
      <c r="G535" s="4"/>
      <c r="H535" s="1" t="s">
        <v>3514</v>
      </c>
      <c r="I535" s="1" t="s">
        <v>212</v>
      </c>
      <c r="J535" s="1">
        <v>2021</v>
      </c>
      <c r="K535" s="4"/>
      <c r="L535" s="4"/>
      <c r="M535" s="1" t="s">
        <v>1873</v>
      </c>
      <c r="N535" s="3" t="s">
        <v>3515</v>
      </c>
      <c r="O535" s="1" t="s">
        <v>3516</v>
      </c>
      <c r="P535" s="1" t="s">
        <v>3517</v>
      </c>
      <c r="Q535" s="1" t="s">
        <v>1656</v>
      </c>
      <c r="R535" s="4"/>
    </row>
    <row r="536" spans="1:18" x14ac:dyDescent="0.25">
      <c r="A536" s="1" t="s">
        <v>141</v>
      </c>
      <c r="B536" s="1" t="s">
        <v>3518</v>
      </c>
      <c r="C536" s="1" t="s">
        <v>3519</v>
      </c>
      <c r="D536" s="4"/>
      <c r="E536" s="1">
        <v>2021</v>
      </c>
      <c r="F536" s="7">
        <v>44531</v>
      </c>
      <c r="G536" s="4"/>
      <c r="H536" s="1" t="s">
        <v>3520</v>
      </c>
      <c r="I536" s="1" t="s">
        <v>196</v>
      </c>
      <c r="J536" s="1">
        <v>2021</v>
      </c>
      <c r="K536" s="1">
        <v>9781665437844</v>
      </c>
      <c r="L536" s="4"/>
      <c r="M536" s="1" t="s">
        <v>3521</v>
      </c>
      <c r="N536" s="3" t="s">
        <v>3522</v>
      </c>
      <c r="O536" s="1" t="s">
        <v>3523</v>
      </c>
      <c r="P536" s="1" t="s">
        <v>3524</v>
      </c>
      <c r="Q536" s="1" t="s">
        <v>157</v>
      </c>
      <c r="R536" s="4"/>
    </row>
    <row r="537" spans="1:18" x14ac:dyDescent="0.25">
      <c r="A537" s="1" t="s">
        <v>141</v>
      </c>
      <c r="B537" s="1" t="s">
        <v>3525</v>
      </c>
      <c r="C537" s="1" t="s">
        <v>3526</v>
      </c>
      <c r="D537" s="4"/>
      <c r="E537" s="1">
        <v>2021</v>
      </c>
      <c r="F537" s="4"/>
      <c r="G537" s="4"/>
      <c r="H537" s="1" t="s">
        <v>3527</v>
      </c>
      <c r="I537" s="1" t="s">
        <v>257</v>
      </c>
      <c r="J537" s="1">
        <v>2021</v>
      </c>
      <c r="K537" s="1">
        <v>9781728195155</v>
      </c>
      <c r="L537" s="4"/>
      <c r="M537" s="4"/>
      <c r="N537" s="3" t="s">
        <v>3528</v>
      </c>
      <c r="O537" s="1" t="s">
        <v>3529</v>
      </c>
      <c r="P537" s="1" t="s">
        <v>3530</v>
      </c>
      <c r="Q537" s="1" t="s">
        <v>157</v>
      </c>
      <c r="R537" s="4"/>
    </row>
    <row r="538" spans="1:18" x14ac:dyDescent="0.25">
      <c r="A538" s="1" t="s">
        <v>141</v>
      </c>
      <c r="B538" s="1" t="s">
        <v>3531</v>
      </c>
      <c r="C538" s="1" t="s">
        <v>3532</v>
      </c>
      <c r="D538" s="4"/>
      <c r="E538" s="1">
        <v>2021</v>
      </c>
      <c r="F538" s="4"/>
      <c r="G538" s="4"/>
      <c r="H538" s="1" t="s">
        <v>3533</v>
      </c>
      <c r="I538" s="1" t="s">
        <v>257</v>
      </c>
      <c r="J538" s="1">
        <v>2021</v>
      </c>
      <c r="K538" s="1">
        <v>9781665448970</v>
      </c>
      <c r="L538" s="4"/>
      <c r="M538" s="4"/>
      <c r="N538" s="3" t="s">
        <v>3534</v>
      </c>
      <c r="O538" s="1" t="s">
        <v>3535</v>
      </c>
      <c r="P538" s="1" t="s">
        <v>3536</v>
      </c>
      <c r="Q538" s="1" t="s">
        <v>157</v>
      </c>
      <c r="R538" s="4"/>
    </row>
    <row r="539" spans="1:18" x14ac:dyDescent="0.25">
      <c r="A539" s="1" t="s">
        <v>141</v>
      </c>
      <c r="B539" s="1" t="s">
        <v>3537</v>
      </c>
      <c r="C539" s="1" t="s">
        <v>3538</v>
      </c>
      <c r="D539" s="4"/>
      <c r="E539" s="1">
        <v>2020</v>
      </c>
      <c r="F539" s="4"/>
      <c r="G539" s="4"/>
      <c r="H539" s="1" t="s">
        <v>3539</v>
      </c>
      <c r="I539" s="1" t="s">
        <v>257</v>
      </c>
      <c r="J539" s="1">
        <v>2020</v>
      </c>
      <c r="K539" s="1">
        <v>9781665414852</v>
      </c>
      <c r="L539" s="4"/>
      <c r="M539" s="4"/>
      <c r="N539" s="3" t="s">
        <v>3540</v>
      </c>
      <c r="O539" s="1" t="s">
        <v>3541</v>
      </c>
      <c r="P539" s="1" t="s">
        <v>3542</v>
      </c>
      <c r="Q539" s="1" t="s">
        <v>176</v>
      </c>
      <c r="R539" s="4"/>
    </row>
    <row r="540" spans="1:18" x14ac:dyDescent="0.25">
      <c r="A540" s="1" t="s">
        <v>13</v>
      </c>
      <c r="B540" s="1" t="s">
        <v>3543</v>
      </c>
      <c r="C540" s="1" t="s">
        <v>3544</v>
      </c>
      <c r="D540" s="1" t="s">
        <v>523</v>
      </c>
      <c r="E540" s="1">
        <v>2021</v>
      </c>
      <c r="F540" s="1">
        <v>29</v>
      </c>
      <c r="G540" s="1">
        <v>1</v>
      </c>
      <c r="H540" s="1" t="s">
        <v>3545</v>
      </c>
      <c r="I540" s="1" t="s">
        <v>137</v>
      </c>
      <c r="J540" s="1">
        <v>2021</v>
      </c>
      <c r="K540" s="4"/>
      <c r="L540" s="4"/>
      <c r="M540" s="1" t="s">
        <v>525</v>
      </c>
      <c r="N540" s="3" t="s">
        <v>3546</v>
      </c>
      <c r="O540" s="1" t="s">
        <v>3547</v>
      </c>
      <c r="P540" s="1" t="s">
        <v>3548</v>
      </c>
      <c r="Q540" s="1" t="s">
        <v>2723</v>
      </c>
      <c r="R540" s="4"/>
    </row>
    <row r="541" spans="1:18" x14ac:dyDescent="0.25">
      <c r="A541" s="1" t="s">
        <v>141</v>
      </c>
      <c r="B541" s="1" t="s">
        <v>3549</v>
      </c>
      <c r="C541" s="1" t="s">
        <v>3550</v>
      </c>
      <c r="D541" s="4"/>
      <c r="E541" s="1">
        <v>2021</v>
      </c>
      <c r="F541" s="7">
        <v>43831</v>
      </c>
      <c r="G541" s="4"/>
      <c r="H541" s="1" t="s">
        <v>3551</v>
      </c>
      <c r="I541" s="1" t="s">
        <v>196</v>
      </c>
      <c r="J541" s="1">
        <v>2021</v>
      </c>
      <c r="K541" s="1">
        <v>9780998133140</v>
      </c>
      <c r="L541" s="4"/>
      <c r="M541" s="1" t="s">
        <v>3552</v>
      </c>
      <c r="N541" s="3" t="s">
        <v>3553</v>
      </c>
      <c r="O541" s="4"/>
      <c r="P541" s="1" t="s">
        <v>3554</v>
      </c>
      <c r="Q541" s="1" t="s">
        <v>157</v>
      </c>
      <c r="R541" s="4"/>
    </row>
    <row r="542" spans="1:18" x14ac:dyDescent="0.25">
      <c r="A542" s="1" t="s">
        <v>13</v>
      </c>
      <c r="B542" s="1" t="s">
        <v>3555</v>
      </c>
      <c r="C542" s="1" t="s">
        <v>3556</v>
      </c>
      <c r="D542" s="1" t="s">
        <v>255</v>
      </c>
      <c r="E542" s="1">
        <v>2021</v>
      </c>
      <c r="F542" s="1">
        <v>47</v>
      </c>
      <c r="G542" s="1">
        <v>3</v>
      </c>
      <c r="H542" s="1" t="s">
        <v>3557</v>
      </c>
      <c r="I542" s="1" t="s">
        <v>257</v>
      </c>
      <c r="J542" s="1">
        <v>2021</v>
      </c>
      <c r="K542" s="4"/>
      <c r="L542" s="4"/>
      <c r="M542" s="1" t="s">
        <v>18</v>
      </c>
      <c r="N542" s="3" t="s">
        <v>3558</v>
      </c>
      <c r="O542" s="1" t="s">
        <v>3559</v>
      </c>
      <c r="P542" s="1" t="s">
        <v>3560</v>
      </c>
      <c r="Q542" s="1" t="s">
        <v>3003</v>
      </c>
      <c r="R542" s="4"/>
    </row>
    <row r="543" spans="1:18" x14ac:dyDescent="0.25">
      <c r="A543" s="1" t="s">
        <v>141</v>
      </c>
      <c r="B543" s="1" t="s">
        <v>3561</v>
      </c>
      <c r="C543" s="1" t="s">
        <v>3562</v>
      </c>
      <c r="D543" s="4"/>
      <c r="E543" s="1">
        <v>2021</v>
      </c>
      <c r="F543" s="4"/>
      <c r="G543" s="4"/>
      <c r="H543" s="1" t="s">
        <v>3563</v>
      </c>
      <c r="I543" s="1" t="s">
        <v>257</v>
      </c>
      <c r="J543" s="1">
        <v>2021</v>
      </c>
      <c r="K543" s="1">
        <v>9781665428828</v>
      </c>
      <c r="L543" s="4"/>
      <c r="M543" s="4"/>
      <c r="N543" s="3" t="s">
        <v>3564</v>
      </c>
      <c r="O543" s="1" t="s">
        <v>3565</v>
      </c>
      <c r="P543" s="1" t="s">
        <v>3566</v>
      </c>
      <c r="Q543" s="1" t="s">
        <v>520</v>
      </c>
      <c r="R543" s="4"/>
    </row>
    <row r="544" spans="1:18" x14ac:dyDescent="0.25">
      <c r="A544" s="1" t="s">
        <v>13</v>
      </c>
      <c r="B544" s="1" t="s">
        <v>3567</v>
      </c>
      <c r="C544" s="1" t="s">
        <v>3568</v>
      </c>
      <c r="D544" s="1" t="s">
        <v>136</v>
      </c>
      <c r="E544" s="1">
        <v>2021</v>
      </c>
      <c r="F544" s="1">
        <v>26</v>
      </c>
      <c r="G544" s="1">
        <v>1</v>
      </c>
      <c r="H544" s="4"/>
      <c r="I544" s="1" t="s">
        <v>137</v>
      </c>
      <c r="J544" s="1">
        <v>2021</v>
      </c>
      <c r="K544" s="4"/>
      <c r="L544" s="4"/>
      <c r="M544" s="1" t="s">
        <v>33</v>
      </c>
      <c r="N544" s="3" t="s">
        <v>3569</v>
      </c>
      <c r="O544" s="1" t="s">
        <v>3570</v>
      </c>
      <c r="P544" s="1" t="s">
        <v>3571</v>
      </c>
      <c r="Q544" s="1" t="s">
        <v>289</v>
      </c>
      <c r="R544" s="4"/>
    </row>
    <row r="545" spans="1:18" x14ac:dyDescent="0.25">
      <c r="A545" s="1" t="s">
        <v>13</v>
      </c>
      <c r="B545" s="1" t="s">
        <v>3572</v>
      </c>
      <c r="C545" s="1" t="s">
        <v>3573</v>
      </c>
      <c r="D545" s="1" t="s">
        <v>3574</v>
      </c>
      <c r="E545" s="1">
        <v>2021</v>
      </c>
      <c r="F545" s="1">
        <v>47</v>
      </c>
      <c r="G545" s="1">
        <v>5</v>
      </c>
      <c r="H545" s="1" t="s">
        <v>3575</v>
      </c>
      <c r="I545" s="1" t="s">
        <v>3576</v>
      </c>
      <c r="J545" s="1">
        <v>2021</v>
      </c>
      <c r="K545" s="4"/>
      <c r="L545" s="4"/>
      <c r="M545" s="1" t="s">
        <v>3577</v>
      </c>
      <c r="N545" s="3" t="s">
        <v>3578</v>
      </c>
      <c r="O545" s="1" t="s">
        <v>3579</v>
      </c>
      <c r="P545" s="1" t="s">
        <v>3580</v>
      </c>
      <c r="Q545" s="1" t="s">
        <v>3581</v>
      </c>
      <c r="R545" s="4"/>
    </row>
    <row r="546" spans="1:18" x14ac:dyDescent="0.25">
      <c r="A546" s="1" t="s">
        <v>13</v>
      </c>
      <c r="B546" s="1" t="s">
        <v>3582</v>
      </c>
      <c r="C546" s="1" t="s">
        <v>3583</v>
      </c>
      <c r="D546" s="1" t="s">
        <v>3584</v>
      </c>
      <c r="E546" s="1">
        <v>2021</v>
      </c>
      <c r="F546" s="1">
        <v>198</v>
      </c>
      <c r="G546" s="4"/>
      <c r="H546" s="4"/>
      <c r="I546" s="1" t="s">
        <v>3585</v>
      </c>
      <c r="J546" s="1">
        <v>2021</v>
      </c>
      <c r="K546" s="4"/>
      <c r="L546" s="4"/>
      <c r="M546" s="1" t="s">
        <v>3586</v>
      </c>
      <c r="N546" s="3" t="s">
        <v>3587</v>
      </c>
      <c r="O546" s="1" t="s">
        <v>3588</v>
      </c>
      <c r="P546" s="1" t="s">
        <v>3589</v>
      </c>
      <c r="Q546" s="1" t="s">
        <v>1740</v>
      </c>
      <c r="R546" s="4"/>
    </row>
    <row r="547" spans="1:18" x14ac:dyDescent="0.25">
      <c r="A547" s="1" t="s">
        <v>141</v>
      </c>
      <c r="B547" s="1" t="s">
        <v>3590</v>
      </c>
      <c r="C547" s="1" t="s">
        <v>3591</v>
      </c>
      <c r="D547" s="4"/>
      <c r="E547" s="1">
        <v>2021</v>
      </c>
      <c r="F547" s="4"/>
      <c r="G547" s="4"/>
      <c r="H547" s="1" t="s">
        <v>3592</v>
      </c>
      <c r="I547" s="1" t="s">
        <v>257</v>
      </c>
      <c r="J547" s="1">
        <v>2021</v>
      </c>
      <c r="K547" s="1">
        <v>9781665403375</v>
      </c>
      <c r="L547" s="4"/>
      <c r="M547" s="4"/>
      <c r="N547" s="3" t="s">
        <v>3593</v>
      </c>
      <c r="O547" s="1" t="s">
        <v>3594</v>
      </c>
      <c r="P547" s="1" t="s">
        <v>3595</v>
      </c>
      <c r="Q547" s="1" t="s">
        <v>404</v>
      </c>
      <c r="R547" s="4"/>
    </row>
    <row r="548" spans="1:18" x14ac:dyDescent="0.25">
      <c r="A548" s="1" t="s">
        <v>141</v>
      </c>
      <c r="B548" s="1" t="s">
        <v>3596</v>
      </c>
      <c r="C548" s="1" t="s">
        <v>3597</v>
      </c>
      <c r="D548" s="4"/>
      <c r="E548" s="1">
        <v>2021</v>
      </c>
      <c r="F548" s="4"/>
      <c r="G548" s="4"/>
      <c r="H548" s="1" t="s">
        <v>3598</v>
      </c>
      <c r="I548" s="1" t="s">
        <v>153</v>
      </c>
      <c r="J548" s="1">
        <v>2021</v>
      </c>
      <c r="K548" s="1">
        <v>9781450383097</v>
      </c>
      <c r="L548" s="4"/>
      <c r="M548" s="4"/>
      <c r="N548" s="3" t="s">
        <v>3599</v>
      </c>
      <c r="O548" s="1" t="s">
        <v>3600</v>
      </c>
      <c r="P548" s="1" t="s">
        <v>3601</v>
      </c>
      <c r="Q548" s="1" t="s">
        <v>3602</v>
      </c>
      <c r="R548" s="4"/>
    </row>
    <row r="549" spans="1:18" x14ac:dyDescent="0.25">
      <c r="A549" s="1" t="s">
        <v>141</v>
      </c>
      <c r="B549" s="1" t="s">
        <v>3603</v>
      </c>
      <c r="C549" s="1" t="s">
        <v>3604</v>
      </c>
      <c r="D549" s="4"/>
      <c r="E549" s="1">
        <v>2020</v>
      </c>
      <c r="F549" s="4"/>
      <c r="G549" s="4"/>
      <c r="H549" s="1" t="s">
        <v>3605</v>
      </c>
      <c r="I549" s="1" t="s">
        <v>257</v>
      </c>
      <c r="J549" s="1">
        <v>2020</v>
      </c>
      <c r="K549" s="1">
        <v>9781665438629</v>
      </c>
      <c r="L549" s="4"/>
      <c r="M549" s="4"/>
      <c r="N549" s="3" t="s">
        <v>3606</v>
      </c>
      <c r="O549" s="1" t="s">
        <v>3607</v>
      </c>
      <c r="P549" s="1" t="s">
        <v>3608</v>
      </c>
      <c r="Q549" s="1" t="s">
        <v>157</v>
      </c>
      <c r="R549" s="4"/>
    </row>
    <row r="550" spans="1:18" x14ac:dyDescent="0.25">
      <c r="A550" s="1" t="s">
        <v>141</v>
      </c>
      <c r="B550" s="1" t="s">
        <v>3609</v>
      </c>
      <c r="C550" s="1" t="s">
        <v>3610</v>
      </c>
      <c r="D550" s="4"/>
      <c r="E550" s="1">
        <v>2020</v>
      </c>
      <c r="F550" s="4"/>
      <c r="G550" s="4"/>
      <c r="H550" s="1" t="s">
        <v>3611</v>
      </c>
      <c r="I550" s="1" t="s">
        <v>145</v>
      </c>
      <c r="J550" s="1">
        <v>2020</v>
      </c>
      <c r="K550" s="1">
        <v>9781450387538</v>
      </c>
      <c r="L550" s="4"/>
      <c r="M550" s="4"/>
      <c r="N550" s="3" t="s">
        <v>3612</v>
      </c>
      <c r="O550" s="1" t="s">
        <v>3613</v>
      </c>
      <c r="P550" s="1" t="s">
        <v>3614</v>
      </c>
      <c r="Q550" s="1" t="s">
        <v>185</v>
      </c>
      <c r="R550" s="4"/>
    </row>
    <row r="551" spans="1:18" x14ac:dyDescent="0.25">
      <c r="A551" s="1" t="s">
        <v>13</v>
      </c>
      <c r="B551" s="1" t="s">
        <v>3615</v>
      </c>
      <c r="C551" s="1" t="s">
        <v>3616</v>
      </c>
      <c r="D551" s="1" t="s">
        <v>136</v>
      </c>
      <c r="E551" s="1">
        <v>2020</v>
      </c>
      <c r="F551" s="1">
        <v>25</v>
      </c>
      <c r="G551" s="1">
        <v>5</v>
      </c>
      <c r="H551" s="1" t="s">
        <v>3617</v>
      </c>
      <c r="I551" s="1" t="s">
        <v>137</v>
      </c>
      <c r="J551" s="1">
        <v>2020</v>
      </c>
      <c r="K551" s="4"/>
      <c r="L551" s="4"/>
      <c r="M551" s="1" t="s">
        <v>33</v>
      </c>
      <c r="N551" s="3" t="s">
        <v>3618</v>
      </c>
      <c r="O551" s="1" t="s">
        <v>3619</v>
      </c>
      <c r="P551" s="1" t="s">
        <v>3620</v>
      </c>
      <c r="Q551" s="1" t="s">
        <v>413</v>
      </c>
      <c r="R551" s="4"/>
    </row>
    <row r="552" spans="1:18" x14ac:dyDescent="0.25">
      <c r="A552" s="1" t="s">
        <v>141</v>
      </c>
      <c r="B552" s="1" t="s">
        <v>3621</v>
      </c>
      <c r="C552" s="1" t="s">
        <v>3622</v>
      </c>
      <c r="D552" s="4"/>
      <c r="E552" s="1">
        <v>2020</v>
      </c>
      <c r="F552" s="4"/>
      <c r="G552" s="4"/>
      <c r="H552" s="1" t="s">
        <v>3623</v>
      </c>
      <c r="I552" s="1" t="s">
        <v>257</v>
      </c>
      <c r="J552" s="1">
        <v>2020</v>
      </c>
      <c r="K552" s="1">
        <v>9781728156194</v>
      </c>
      <c r="L552" s="4"/>
      <c r="M552" s="4"/>
      <c r="N552" s="3" t="s">
        <v>3624</v>
      </c>
      <c r="O552" s="1" t="s">
        <v>3625</v>
      </c>
      <c r="P552" s="1" t="s">
        <v>3626</v>
      </c>
      <c r="Q552" s="1" t="s">
        <v>2723</v>
      </c>
      <c r="R552" s="4"/>
    </row>
    <row r="553" spans="1:18" x14ac:dyDescent="0.25">
      <c r="A553" s="1" t="s">
        <v>13</v>
      </c>
      <c r="B553" s="1" t="s">
        <v>3627</v>
      </c>
      <c r="C553" s="1" t="s">
        <v>3628</v>
      </c>
      <c r="D553" s="1" t="s">
        <v>3629</v>
      </c>
      <c r="E553" s="1">
        <v>2020</v>
      </c>
      <c r="F553" s="1">
        <v>95</v>
      </c>
      <c r="G553" s="4"/>
      <c r="H553" s="4"/>
      <c r="I553" s="1" t="s">
        <v>1060</v>
      </c>
      <c r="J553" s="1">
        <v>2020</v>
      </c>
      <c r="K553" s="4"/>
      <c r="L553" s="4"/>
      <c r="M553" s="1" t="s">
        <v>2451</v>
      </c>
      <c r="N553" s="3" t="s">
        <v>3630</v>
      </c>
      <c r="O553" s="1" t="s">
        <v>3631</v>
      </c>
      <c r="P553" s="1" t="s">
        <v>3632</v>
      </c>
      <c r="Q553" s="1" t="s">
        <v>3633</v>
      </c>
      <c r="R553" s="4"/>
    </row>
    <row r="554" spans="1:18" x14ac:dyDescent="0.25">
      <c r="A554" s="1" t="s">
        <v>13</v>
      </c>
      <c r="B554" s="1" t="s">
        <v>3634</v>
      </c>
      <c r="C554" s="1" t="s">
        <v>3635</v>
      </c>
      <c r="D554" s="1" t="s">
        <v>354</v>
      </c>
      <c r="E554" s="1">
        <v>2020</v>
      </c>
      <c r="F554" s="1">
        <v>169</v>
      </c>
      <c r="G554" s="4"/>
      <c r="H554" s="4"/>
      <c r="I554" s="1" t="s">
        <v>355</v>
      </c>
      <c r="J554" s="1">
        <v>2020</v>
      </c>
      <c r="K554" s="4"/>
      <c r="L554" s="4"/>
      <c r="M554" s="1" t="s">
        <v>65</v>
      </c>
      <c r="N554" s="3" t="s">
        <v>3636</v>
      </c>
      <c r="O554" s="1" t="s">
        <v>3637</v>
      </c>
      <c r="P554" s="1" t="s">
        <v>3638</v>
      </c>
      <c r="Q554" s="1" t="s">
        <v>1656</v>
      </c>
      <c r="R554" s="4"/>
    </row>
    <row r="555" spans="1:18" x14ac:dyDescent="0.25">
      <c r="A555" s="1" t="s">
        <v>13</v>
      </c>
      <c r="B555" s="1" t="s">
        <v>3639</v>
      </c>
      <c r="C555" s="1" t="s">
        <v>3640</v>
      </c>
      <c r="D555" s="1" t="s">
        <v>188</v>
      </c>
      <c r="E555" s="1">
        <v>2021</v>
      </c>
      <c r="F555" s="1">
        <v>31</v>
      </c>
      <c r="G555" s="1">
        <v>1</v>
      </c>
      <c r="H555" s="1" t="s">
        <v>3641</v>
      </c>
      <c r="I555" s="1" t="s">
        <v>189</v>
      </c>
      <c r="J555" s="1">
        <v>2021</v>
      </c>
      <c r="K555" s="4"/>
      <c r="L555" s="4"/>
      <c r="M555" s="1" t="s">
        <v>73</v>
      </c>
      <c r="N555" s="3" t="s">
        <v>3642</v>
      </c>
      <c r="O555" s="1" t="s">
        <v>3643</v>
      </c>
      <c r="P555" s="1" t="s">
        <v>3644</v>
      </c>
      <c r="Q555" s="1" t="s">
        <v>318</v>
      </c>
      <c r="R555" s="4"/>
    </row>
    <row r="556" spans="1:18" x14ac:dyDescent="0.25">
      <c r="A556" s="1" t="s">
        <v>141</v>
      </c>
      <c r="B556" s="1" t="s">
        <v>3645</v>
      </c>
      <c r="C556" s="1" t="s">
        <v>3646</v>
      </c>
      <c r="D556" s="4"/>
      <c r="E556" s="1">
        <v>2020</v>
      </c>
      <c r="F556" s="4"/>
      <c r="G556" s="4"/>
      <c r="H556" s="4"/>
      <c r="I556" s="1" t="s">
        <v>145</v>
      </c>
      <c r="J556" s="1">
        <v>2020</v>
      </c>
      <c r="K556" s="1">
        <v>9781450389235</v>
      </c>
      <c r="L556" s="4"/>
      <c r="M556" s="4"/>
      <c r="N556" s="3" t="s">
        <v>3647</v>
      </c>
      <c r="O556" s="1" t="s">
        <v>3648</v>
      </c>
      <c r="P556" s="1" t="s">
        <v>3649</v>
      </c>
      <c r="Q556" s="1" t="s">
        <v>176</v>
      </c>
      <c r="R556" s="4"/>
    </row>
    <row r="557" spans="1:18" x14ac:dyDescent="0.25">
      <c r="A557" s="1" t="s">
        <v>13</v>
      </c>
      <c r="B557" s="1" t="s">
        <v>3650</v>
      </c>
      <c r="C557" s="1" t="s">
        <v>3651</v>
      </c>
      <c r="D557" s="1" t="s">
        <v>179</v>
      </c>
      <c r="E557" s="1">
        <v>2020</v>
      </c>
      <c r="F557" s="1">
        <v>35</v>
      </c>
      <c r="G557" s="1">
        <v>6</v>
      </c>
      <c r="H557" s="1" t="s">
        <v>3652</v>
      </c>
      <c r="I557" s="1" t="s">
        <v>137</v>
      </c>
      <c r="J557" s="1">
        <v>2020</v>
      </c>
      <c r="K557" s="4"/>
      <c r="L557" s="4"/>
      <c r="M557" s="1" t="s">
        <v>181</v>
      </c>
      <c r="N557" s="3" t="s">
        <v>3653</v>
      </c>
      <c r="O557" s="1" t="s">
        <v>3654</v>
      </c>
      <c r="P557" s="1" t="s">
        <v>3655</v>
      </c>
      <c r="Q557" s="1" t="s">
        <v>397</v>
      </c>
      <c r="R557" s="4"/>
    </row>
    <row r="558" spans="1:18" x14ac:dyDescent="0.25">
      <c r="A558" s="1" t="s">
        <v>141</v>
      </c>
      <c r="B558" s="1" t="s">
        <v>3656</v>
      </c>
      <c r="C558" s="1" t="s">
        <v>3657</v>
      </c>
      <c r="D558" s="4"/>
      <c r="E558" s="1">
        <v>2021</v>
      </c>
      <c r="F558" s="4"/>
      <c r="G558" s="4"/>
      <c r="H558" s="1" t="s">
        <v>3658</v>
      </c>
      <c r="I558" s="1" t="s">
        <v>257</v>
      </c>
      <c r="J558" s="1">
        <v>2021</v>
      </c>
      <c r="K558" s="1">
        <v>9781665428828</v>
      </c>
      <c r="L558" s="4"/>
      <c r="M558" s="4"/>
      <c r="N558" s="3" t="s">
        <v>3659</v>
      </c>
      <c r="O558" s="1" t="s">
        <v>3660</v>
      </c>
      <c r="P558" s="1" t="s">
        <v>3661</v>
      </c>
      <c r="Q558" s="1" t="s">
        <v>2723</v>
      </c>
      <c r="R558" s="4"/>
    </row>
    <row r="559" spans="1:18" x14ac:dyDescent="0.25">
      <c r="A559" s="1" t="s">
        <v>141</v>
      </c>
      <c r="B559" s="1" t="s">
        <v>3662</v>
      </c>
      <c r="C559" s="1" t="s">
        <v>3663</v>
      </c>
      <c r="D559" s="4"/>
      <c r="E559" s="1">
        <v>2021</v>
      </c>
      <c r="F559" s="7">
        <v>44440</v>
      </c>
      <c r="G559" s="4"/>
      <c r="H559" s="4"/>
      <c r="I559" s="1" t="s">
        <v>257</v>
      </c>
      <c r="J559" s="1">
        <v>2021</v>
      </c>
      <c r="K559" s="1">
        <v>9781728129891</v>
      </c>
      <c r="L559" s="4"/>
      <c r="M559" s="1" t="s">
        <v>3664</v>
      </c>
      <c r="N559" s="3" t="s">
        <v>3665</v>
      </c>
      <c r="O559" s="1" t="s">
        <v>3666</v>
      </c>
      <c r="P559" s="1" t="s">
        <v>3667</v>
      </c>
      <c r="Q559" s="1" t="s">
        <v>185</v>
      </c>
      <c r="R559" s="4"/>
    </row>
    <row r="560" spans="1:18" x14ac:dyDescent="0.25">
      <c r="A560" s="1" t="s">
        <v>13</v>
      </c>
      <c r="B560" s="1" t="s">
        <v>3668</v>
      </c>
      <c r="C560" s="1" t="s">
        <v>3669</v>
      </c>
      <c r="D560" s="1" t="s">
        <v>2179</v>
      </c>
      <c r="E560" s="1">
        <v>2021</v>
      </c>
      <c r="F560" s="1">
        <v>7</v>
      </c>
      <c r="G560" s="4"/>
      <c r="H560" s="1" t="s">
        <v>3670</v>
      </c>
      <c r="I560" s="1" t="s">
        <v>2180</v>
      </c>
      <c r="J560" s="1">
        <v>2021</v>
      </c>
      <c r="K560" s="4"/>
      <c r="L560" s="4"/>
      <c r="M560" s="1" t="s">
        <v>2181</v>
      </c>
      <c r="N560" s="3" t="s">
        <v>3671</v>
      </c>
      <c r="O560" s="1" t="s">
        <v>3672</v>
      </c>
      <c r="P560" s="1" t="s">
        <v>3673</v>
      </c>
      <c r="Q560" s="1" t="s">
        <v>233</v>
      </c>
      <c r="R560" s="4"/>
    </row>
    <row r="561" spans="1:18" x14ac:dyDescent="0.25">
      <c r="A561" s="1" t="s">
        <v>13</v>
      </c>
      <c r="B561" s="1" t="s">
        <v>3674</v>
      </c>
      <c r="C561" s="1" t="s">
        <v>3675</v>
      </c>
      <c r="D561" s="1" t="s">
        <v>136</v>
      </c>
      <c r="E561" s="1">
        <v>2020</v>
      </c>
      <c r="F561" s="1">
        <v>25</v>
      </c>
      <c r="G561" s="1">
        <v>6</v>
      </c>
      <c r="H561" s="1" t="s">
        <v>3676</v>
      </c>
      <c r="I561" s="1" t="s">
        <v>137</v>
      </c>
      <c r="J561" s="1">
        <v>2020</v>
      </c>
      <c r="K561" s="4"/>
      <c r="L561" s="4"/>
      <c r="M561" s="1" t="s">
        <v>33</v>
      </c>
      <c r="N561" s="3" t="s">
        <v>3677</v>
      </c>
      <c r="O561" s="1" t="s">
        <v>3678</v>
      </c>
      <c r="P561" s="1" t="s">
        <v>3679</v>
      </c>
      <c r="Q561" s="1" t="s">
        <v>3680</v>
      </c>
      <c r="R561" s="4"/>
    </row>
    <row r="562" spans="1:18" x14ac:dyDescent="0.25">
      <c r="A562" s="1" t="s">
        <v>141</v>
      </c>
      <c r="B562" s="1" t="s">
        <v>3681</v>
      </c>
      <c r="C562" s="1" t="s">
        <v>3682</v>
      </c>
      <c r="D562" s="4"/>
      <c r="E562" s="1">
        <v>2021</v>
      </c>
      <c r="F562" s="4"/>
      <c r="G562" s="4"/>
      <c r="H562" s="4"/>
      <c r="I562" s="1" t="s">
        <v>3683</v>
      </c>
      <c r="J562" s="1">
        <v>2021</v>
      </c>
      <c r="K562" s="1">
        <v>9781733632584</v>
      </c>
      <c r="L562" s="4"/>
      <c r="M562" s="4"/>
      <c r="N562" s="3" t="s">
        <v>3684</v>
      </c>
      <c r="O562" s="4"/>
      <c r="P562" s="1" t="s">
        <v>3685</v>
      </c>
      <c r="Q562" s="1" t="s">
        <v>157</v>
      </c>
      <c r="R562" s="4"/>
    </row>
    <row r="563" spans="1:18" x14ac:dyDescent="0.25">
      <c r="A563" s="1" t="s">
        <v>13</v>
      </c>
      <c r="B563" s="1" t="s">
        <v>3686</v>
      </c>
      <c r="C563" s="1" t="s">
        <v>3687</v>
      </c>
      <c r="D563" s="1" t="s">
        <v>136</v>
      </c>
      <c r="E563" s="1">
        <v>2020</v>
      </c>
      <c r="F563" s="1">
        <v>25</v>
      </c>
      <c r="G563" s="1">
        <v>5</v>
      </c>
      <c r="H563" s="1" t="s">
        <v>3688</v>
      </c>
      <c r="I563" s="1" t="s">
        <v>137</v>
      </c>
      <c r="J563" s="1">
        <v>2020</v>
      </c>
      <c r="K563" s="4"/>
      <c r="L563" s="4"/>
      <c r="M563" s="1" t="s">
        <v>33</v>
      </c>
      <c r="N563" s="3" t="s">
        <v>3689</v>
      </c>
      <c r="O563" s="1" t="s">
        <v>3690</v>
      </c>
      <c r="P563" s="1" t="s">
        <v>3691</v>
      </c>
      <c r="Q563" s="1" t="s">
        <v>2997</v>
      </c>
      <c r="R563" s="4"/>
    </row>
    <row r="564" spans="1:18" x14ac:dyDescent="0.25">
      <c r="A564" s="1" t="s">
        <v>13</v>
      </c>
      <c r="B564" s="1" t="s">
        <v>3692</v>
      </c>
      <c r="C564" s="1" t="s">
        <v>3693</v>
      </c>
      <c r="D564" s="1" t="s">
        <v>1870</v>
      </c>
      <c r="E564" s="1">
        <v>2021</v>
      </c>
      <c r="F564" s="1">
        <v>404</v>
      </c>
      <c r="G564" s="4"/>
      <c r="H564" s="1" t="s">
        <v>3694</v>
      </c>
      <c r="I564" s="1" t="s">
        <v>212</v>
      </c>
      <c r="J564" s="1">
        <v>2021</v>
      </c>
      <c r="K564" s="4"/>
      <c r="L564" s="4"/>
      <c r="M564" s="1" t="s">
        <v>1873</v>
      </c>
      <c r="N564" s="3" t="s">
        <v>3695</v>
      </c>
      <c r="O564" s="1" t="s">
        <v>3696</v>
      </c>
      <c r="P564" s="1" t="s">
        <v>3697</v>
      </c>
      <c r="Q564" s="1" t="s">
        <v>1598</v>
      </c>
      <c r="R564" s="4"/>
    </row>
    <row r="565" spans="1:18" x14ac:dyDescent="0.25">
      <c r="A565" s="1" t="s">
        <v>141</v>
      </c>
      <c r="B565" s="1" t="s">
        <v>3344</v>
      </c>
      <c r="C565" s="1" t="s">
        <v>3698</v>
      </c>
      <c r="D565" s="4"/>
      <c r="E565" s="1">
        <v>2020</v>
      </c>
      <c r="F565" s="4"/>
      <c r="G565" s="4"/>
      <c r="H565" s="1" t="s">
        <v>3699</v>
      </c>
      <c r="I565" s="1" t="s">
        <v>257</v>
      </c>
      <c r="J565" s="1">
        <v>2020</v>
      </c>
      <c r="K565" s="1">
        <v>9781450371254</v>
      </c>
      <c r="L565" s="4"/>
      <c r="M565" s="4"/>
      <c r="N565" s="3" t="s">
        <v>3700</v>
      </c>
      <c r="O565" s="4"/>
      <c r="P565" s="1" t="s">
        <v>3701</v>
      </c>
      <c r="Q565" s="1" t="s">
        <v>2110</v>
      </c>
      <c r="R565" s="4"/>
    </row>
    <row r="566" spans="1:18" x14ac:dyDescent="0.25">
      <c r="A566" s="1" t="s">
        <v>141</v>
      </c>
      <c r="B566" s="1" t="s">
        <v>3702</v>
      </c>
      <c r="C566" s="1" t="s">
        <v>3703</v>
      </c>
      <c r="D566" s="4"/>
      <c r="E566" s="1">
        <v>2021</v>
      </c>
      <c r="F566" s="4"/>
      <c r="G566" s="4"/>
      <c r="H566" s="1" t="s">
        <v>3704</v>
      </c>
      <c r="I566" s="1" t="s">
        <v>257</v>
      </c>
      <c r="J566" s="1">
        <v>2021</v>
      </c>
      <c r="K566" s="1">
        <v>9781665437363</v>
      </c>
      <c r="L566" s="4"/>
      <c r="M566" s="4"/>
      <c r="N566" s="3" t="s">
        <v>3705</v>
      </c>
      <c r="O566" s="1" t="s">
        <v>3706</v>
      </c>
      <c r="P566" s="1" t="s">
        <v>3707</v>
      </c>
      <c r="Q566" s="1" t="s">
        <v>520</v>
      </c>
      <c r="R566" s="4"/>
    </row>
    <row r="567" spans="1:18" x14ac:dyDescent="0.25">
      <c r="A567" s="1" t="s">
        <v>13</v>
      </c>
      <c r="B567" s="1" t="s">
        <v>3708</v>
      </c>
      <c r="C567" s="1" t="s">
        <v>3709</v>
      </c>
      <c r="D567" s="1" t="s">
        <v>1870</v>
      </c>
      <c r="E567" s="1">
        <v>2021</v>
      </c>
      <c r="F567" s="1">
        <v>404</v>
      </c>
      <c r="G567" s="4"/>
      <c r="H567" s="1" t="s">
        <v>3710</v>
      </c>
      <c r="I567" s="1" t="s">
        <v>212</v>
      </c>
      <c r="J567" s="1">
        <v>2021</v>
      </c>
      <c r="K567" s="4"/>
      <c r="L567" s="4"/>
      <c r="M567" s="1" t="s">
        <v>1873</v>
      </c>
      <c r="N567" s="3" t="s">
        <v>3711</v>
      </c>
      <c r="O567" s="1" t="s">
        <v>3712</v>
      </c>
      <c r="P567" s="1" t="s">
        <v>3713</v>
      </c>
      <c r="Q567" s="1" t="s">
        <v>2811</v>
      </c>
      <c r="R567" s="4"/>
    </row>
    <row r="568" spans="1:18" x14ac:dyDescent="0.25">
      <c r="A568" s="1" t="s">
        <v>13</v>
      </c>
      <c r="B568" s="1" t="s">
        <v>3714</v>
      </c>
      <c r="C568" s="1" t="s">
        <v>3715</v>
      </c>
      <c r="D568" s="1" t="s">
        <v>354</v>
      </c>
      <c r="E568" s="1">
        <v>2021</v>
      </c>
      <c r="F568" s="1">
        <v>174</v>
      </c>
      <c r="G568" s="4"/>
      <c r="H568" s="4"/>
      <c r="I568" s="1" t="s">
        <v>355</v>
      </c>
      <c r="J568" s="1">
        <v>2021</v>
      </c>
      <c r="K568" s="4"/>
      <c r="L568" s="4"/>
      <c r="M568" s="1" t="s">
        <v>65</v>
      </c>
      <c r="N568" s="3" t="s">
        <v>3716</v>
      </c>
      <c r="O568" s="1" t="s">
        <v>3717</v>
      </c>
      <c r="P568" s="1" t="s">
        <v>3718</v>
      </c>
      <c r="Q568" s="1" t="s">
        <v>2811</v>
      </c>
      <c r="R568" s="4"/>
    </row>
    <row r="569" spans="1:18" x14ac:dyDescent="0.25">
      <c r="A569" s="1" t="s">
        <v>141</v>
      </c>
      <c r="B569" s="1" t="s">
        <v>3719</v>
      </c>
      <c r="C569" s="1" t="s">
        <v>3720</v>
      </c>
      <c r="D569" s="4"/>
      <c r="E569" s="1">
        <v>2020</v>
      </c>
      <c r="F569" s="4"/>
      <c r="G569" s="4"/>
      <c r="H569" s="1" t="s">
        <v>2210</v>
      </c>
      <c r="I569" s="1" t="s">
        <v>257</v>
      </c>
      <c r="J569" s="1">
        <v>2020</v>
      </c>
      <c r="K569" s="1">
        <v>9780738124223</v>
      </c>
      <c r="L569" s="4"/>
      <c r="M569" s="4"/>
      <c r="N569" s="3" t="s">
        <v>3721</v>
      </c>
      <c r="O569" s="1" t="s">
        <v>3722</v>
      </c>
      <c r="P569" s="1" t="s">
        <v>3723</v>
      </c>
      <c r="Q569" s="1" t="s">
        <v>176</v>
      </c>
      <c r="R569" s="4"/>
    </row>
    <row r="570" spans="1:18" x14ac:dyDescent="0.25">
      <c r="A570" s="1" t="s">
        <v>141</v>
      </c>
      <c r="B570" s="1" t="s">
        <v>3724</v>
      </c>
      <c r="C570" s="1" t="s">
        <v>3725</v>
      </c>
      <c r="D570" s="4"/>
      <c r="E570" s="1">
        <v>2021</v>
      </c>
      <c r="F570" s="4"/>
      <c r="G570" s="4"/>
      <c r="H570" s="1" t="s">
        <v>3726</v>
      </c>
      <c r="I570" s="1" t="s">
        <v>257</v>
      </c>
      <c r="J570" s="1">
        <v>2021</v>
      </c>
      <c r="K570" s="1">
        <v>9781665403375</v>
      </c>
      <c r="L570" s="4"/>
      <c r="M570" s="4"/>
      <c r="N570" s="3" t="s">
        <v>3727</v>
      </c>
      <c r="O570" s="1" t="s">
        <v>3728</v>
      </c>
      <c r="P570" s="1" t="s">
        <v>3729</v>
      </c>
      <c r="Q570" s="1" t="s">
        <v>1656</v>
      </c>
      <c r="R570" s="4"/>
    </row>
    <row r="571" spans="1:18" x14ac:dyDescent="0.25">
      <c r="A571" s="1" t="s">
        <v>141</v>
      </c>
      <c r="B571" s="1" t="s">
        <v>3730</v>
      </c>
      <c r="C571" s="1" t="s">
        <v>3731</v>
      </c>
      <c r="D571" s="4"/>
      <c r="E571" s="1">
        <v>2021</v>
      </c>
      <c r="F571" s="7">
        <v>44531</v>
      </c>
      <c r="G571" s="4"/>
      <c r="H571" s="1" t="s">
        <v>3732</v>
      </c>
      <c r="I571" s="1" t="s">
        <v>3733</v>
      </c>
      <c r="J571" s="1">
        <v>2021</v>
      </c>
      <c r="K571" s="1">
        <v>9781665458139</v>
      </c>
      <c r="L571" s="4"/>
      <c r="M571" s="1" t="s">
        <v>3734</v>
      </c>
      <c r="N571" s="3" t="s">
        <v>3735</v>
      </c>
      <c r="O571" s="1" t="s">
        <v>3736</v>
      </c>
      <c r="P571" s="1" t="s">
        <v>3737</v>
      </c>
      <c r="Q571" s="1" t="s">
        <v>289</v>
      </c>
      <c r="R571" s="4"/>
    </row>
    <row r="572" spans="1:18" x14ac:dyDescent="0.25">
      <c r="A572" s="1" t="s">
        <v>13</v>
      </c>
      <c r="B572" s="1" t="s">
        <v>3738</v>
      </c>
      <c r="C572" s="1" t="s">
        <v>3739</v>
      </c>
      <c r="D572" s="1" t="s">
        <v>1870</v>
      </c>
      <c r="E572" s="1">
        <v>2021</v>
      </c>
      <c r="F572" s="1">
        <v>407</v>
      </c>
      <c r="G572" s="4"/>
      <c r="H572" s="1" t="s">
        <v>3740</v>
      </c>
      <c r="I572" s="1" t="s">
        <v>212</v>
      </c>
      <c r="J572" s="1">
        <v>2021</v>
      </c>
      <c r="K572" s="4"/>
      <c r="L572" s="4"/>
      <c r="M572" s="1" t="s">
        <v>1873</v>
      </c>
      <c r="N572" s="3" t="s">
        <v>3741</v>
      </c>
      <c r="O572" s="1" t="s">
        <v>3742</v>
      </c>
      <c r="P572" s="1" t="s">
        <v>3743</v>
      </c>
      <c r="Q572" s="1" t="s">
        <v>185</v>
      </c>
      <c r="R572" s="4"/>
    </row>
    <row r="573" spans="1:18" x14ac:dyDescent="0.25">
      <c r="A573" s="1" t="s">
        <v>13</v>
      </c>
      <c r="B573" s="1" t="s">
        <v>3744</v>
      </c>
      <c r="C573" s="1" t="s">
        <v>3745</v>
      </c>
      <c r="D573" s="1" t="s">
        <v>307</v>
      </c>
      <c r="E573" s="1">
        <v>2021</v>
      </c>
      <c r="F573" s="1">
        <v>133</v>
      </c>
      <c r="G573" s="4"/>
      <c r="H573" s="4"/>
      <c r="I573" s="1" t="s">
        <v>280</v>
      </c>
      <c r="J573" s="1">
        <v>2021</v>
      </c>
      <c r="K573" s="4"/>
      <c r="L573" s="4"/>
      <c r="M573" s="1" t="s">
        <v>308</v>
      </c>
      <c r="N573" s="3" t="s">
        <v>3746</v>
      </c>
      <c r="O573" s="1" t="s">
        <v>3747</v>
      </c>
      <c r="P573" s="1" t="s">
        <v>3748</v>
      </c>
      <c r="Q573" s="1" t="s">
        <v>3749</v>
      </c>
      <c r="R573" s="4"/>
    </row>
    <row r="574" spans="1:18" x14ac:dyDescent="0.25">
      <c r="A574" s="1" t="s">
        <v>13</v>
      </c>
      <c r="B574" s="1" t="s">
        <v>3750</v>
      </c>
      <c r="C574" s="1" t="s">
        <v>3751</v>
      </c>
      <c r="D574" s="1" t="s">
        <v>3752</v>
      </c>
      <c r="E574" s="1">
        <v>2021</v>
      </c>
      <c r="F574" s="1">
        <v>46</v>
      </c>
      <c r="G574" s="1">
        <v>1</v>
      </c>
      <c r="H574" s="1" t="s">
        <v>3753</v>
      </c>
      <c r="I574" s="1" t="s">
        <v>3754</v>
      </c>
      <c r="J574" s="1">
        <v>2021</v>
      </c>
      <c r="K574" s="4"/>
      <c r="L574" s="4"/>
      <c r="M574" s="1" t="s">
        <v>3755</v>
      </c>
      <c r="N574" s="3" t="s">
        <v>3756</v>
      </c>
      <c r="O574" s="1" t="s">
        <v>3757</v>
      </c>
      <c r="P574" s="1" t="s">
        <v>3758</v>
      </c>
      <c r="Q574" s="1" t="s">
        <v>568</v>
      </c>
      <c r="R574" s="4"/>
    </row>
    <row r="575" spans="1:18" x14ac:dyDescent="0.25">
      <c r="A575" s="1" t="s">
        <v>13</v>
      </c>
      <c r="B575" s="1" t="s">
        <v>3759</v>
      </c>
      <c r="C575" s="1" t="s">
        <v>3760</v>
      </c>
      <c r="D575" s="1" t="s">
        <v>1637</v>
      </c>
      <c r="E575" s="1">
        <v>2021</v>
      </c>
      <c r="F575" s="1">
        <v>3</v>
      </c>
      <c r="G575" s="1">
        <v>1</v>
      </c>
      <c r="H575" s="1" t="s">
        <v>3761</v>
      </c>
      <c r="I575" s="1" t="s">
        <v>228</v>
      </c>
      <c r="J575" s="1">
        <v>2021</v>
      </c>
      <c r="K575" s="4"/>
      <c r="L575" s="4"/>
      <c r="M575" s="1" t="s">
        <v>1639</v>
      </c>
      <c r="N575" s="3" t="s">
        <v>3762</v>
      </c>
      <c r="O575" s="1" t="s">
        <v>3763</v>
      </c>
      <c r="P575" s="1" t="s">
        <v>3764</v>
      </c>
      <c r="Q575" s="1" t="s">
        <v>1948</v>
      </c>
      <c r="R575" s="4"/>
    </row>
    <row r="576" spans="1:18" x14ac:dyDescent="0.25">
      <c r="A576" s="1" t="s">
        <v>13</v>
      </c>
      <c r="B576" s="1" t="s">
        <v>3765</v>
      </c>
      <c r="C576" s="1" t="s">
        <v>3766</v>
      </c>
      <c r="D576" s="1" t="s">
        <v>3767</v>
      </c>
      <c r="E576" s="1">
        <v>2020</v>
      </c>
      <c r="F576" s="1">
        <v>13</v>
      </c>
      <c r="G576" s="1">
        <v>7</v>
      </c>
      <c r="H576" s="4"/>
      <c r="I576" s="1" t="s">
        <v>228</v>
      </c>
      <c r="J576" s="1">
        <v>2020</v>
      </c>
      <c r="K576" s="4"/>
      <c r="L576" s="4"/>
      <c r="M576" s="1" t="s">
        <v>3768</v>
      </c>
      <c r="N576" s="3" t="s">
        <v>3769</v>
      </c>
      <c r="O576" s="1" t="s">
        <v>3770</v>
      </c>
      <c r="P576" s="1" t="s">
        <v>3771</v>
      </c>
      <c r="Q576" s="1" t="s">
        <v>3772</v>
      </c>
      <c r="R576" s="4"/>
    </row>
    <row r="577" spans="1:18" x14ac:dyDescent="0.25">
      <c r="A577" s="1" t="s">
        <v>141</v>
      </c>
      <c r="B577" s="1" t="s">
        <v>1784</v>
      </c>
      <c r="C577" s="1" t="s">
        <v>3773</v>
      </c>
      <c r="D577" s="4"/>
      <c r="E577" s="1">
        <v>2020</v>
      </c>
      <c r="F577" s="7">
        <v>44166</v>
      </c>
      <c r="G577" s="4"/>
      <c r="H577" s="1" t="s">
        <v>3774</v>
      </c>
      <c r="I577" s="1" t="s">
        <v>196</v>
      </c>
      <c r="J577" s="1">
        <v>2020</v>
      </c>
      <c r="K577" s="1">
        <v>9781728195537</v>
      </c>
      <c r="L577" s="4"/>
      <c r="M577" s="1" t="s">
        <v>3521</v>
      </c>
      <c r="N577" s="3" t="s">
        <v>3775</v>
      </c>
      <c r="O577" s="1" t="s">
        <v>3776</v>
      </c>
      <c r="P577" s="1" t="s">
        <v>3777</v>
      </c>
      <c r="Q577" s="1" t="s">
        <v>318</v>
      </c>
      <c r="R577" s="4"/>
    </row>
    <row r="578" spans="1:18" x14ac:dyDescent="0.25">
      <c r="A578" s="1" t="s">
        <v>13</v>
      </c>
      <c r="B578" s="1" t="s">
        <v>62</v>
      </c>
      <c r="C578" s="1" t="s">
        <v>63</v>
      </c>
      <c r="D578" s="1" t="s">
        <v>354</v>
      </c>
      <c r="E578" s="1">
        <v>2020</v>
      </c>
      <c r="F578" s="1">
        <v>170</v>
      </c>
      <c r="G578" s="4"/>
      <c r="H578" s="4"/>
      <c r="I578" s="1" t="s">
        <v>355</v>
      </c>
      <c r="J578" s="1">
        <v>2020</v>
      </c>
      <c r="K578" s="4"/>
      <c r="L578" s="4"/>
      <c r="M578" s="1" t="s">
        <v>65</v>
      </c>
      <c r="N578" s="3" t="s">
        <v>3778</v>
      </c>
      <c r="O578" s="1" t="s">
        <v>67</v>
      </c>
      <c r="P578" s="1" t="s">
        <v>3779</v>
      </c>
      <c r="Q578" s="1" t="s">
        <v>2997</v>
      </c>
      <c r="R578" s="4"/>
    </row>
    <row r="579" spans="1:18" x14ac:dyDescent="0.25">
      <c r="A579" s="1" t="s">
        <v>141</v>
      </c>
      <c r="B579" s="1" t="s">
        <v>3780</v>
      </c>
      <c r="C579" s="1" t="s">
        <v>3781</v>
      </c>
      <c r="D579" s="4"/>
      <c r="E579" s="1">
        <v>2021</v>
      </c>
      <c r="F579" s="7">
        <v>44317</v>
      </c>
      <c r="G579" s="4"/>
      <c r="H579" s="1" t="s">
        <v>3782</v>
      </c>
      <c r="I579" s="1" t="s">
        <v>196</v>
      </c>
      <c r="J579" s="1">
        <v>2021</v>
      </c>
      <c r="K579" s="1">
        <v>9780738133225</v>
      </c>
      <c r="L579" s="4"/>
      <c r="M579" s="1" t="s">
        <v>1458</v>
      </c>
      <c r="N579" s="3" t="s">
        <v>3783</v>
      </c>
      <c r="O579" s="1" t="s">
        <v>3784</v>
      </c>
      <c r="P579" s="1" t="s">
        <v>3785</v>
      </c>
      <c r="Q579" s="1" t="s">
        <v>2243</v>
      </c>
      <c r="R579" s="4"/>
    </row>
    <row r="580" spans="1:18" x14ac:dyDescent="0.25">
      <c r="A580" s="1" t="s">
        <v>13</v>
      </c>
      <c r="B580" s="4"/>
      <c r="C580" s="1" t="s">
        <v>3786</v>
      </c>
      <c r="D580" s="1" t="s">
        <v>209</v>
      </c>
      <c r="E580" s="1">
        <v>2021</v>
      </c>
      <c r="F580" s="1" t="s">
        <v>3787</v>
      </c>
      <c r="G580" s="4"/>
      <c r="H580" s="4"/>
      <c r="I580" s="1" t="s">
        <v>212</v>
      </c>
      <c r="J580" s="1">
        <v>2021</v>
      </c>
      <c r="K580" s="4"/>
      <c r="L580" s="4"/>
      <c r="M580" s="1" t="s">
        <v>213</v>
      </c>
      <c r="N580" s="3" t="s">
        <v>3788</v>
      </c>
      <c r="O580" s="4"/>
      <c r="P580" s="1" t="s">
        <v>3789</v>
      </c>
      <c r="Q580" s="1" t="s">
        <v>157</v>
      </c>
      <c r="R580" s="4"/>
    </row>
    <row r="581" spans="1:18" x14ac:dyDescent="0.25">
      <c r="A581" s="1" t="s">
        <v>141</v>
      </c>
      <c r="B581" s="1" t="s">
        <v>3790</v>
      </c>
      <c r="C581" s="1" t="s">
        <v>3791</v>
      </c>
      <c r="D581" s="4"/>
      <c r="E581" s="1">
        <v>2020</v>
      </c>
      <c r="F581" s="4"/>
      <c r="G581" s="4"/>
      <c r="H581" s="1" t="s">
        <v>3792</v>
      </c>
      <c r="I581" s="1" t="s">
        <v>196</v>
      </c>
      <c r="J581" s="1">
        <v>2020</v>
      </c>
      <c r="K581" s="1">
        <v>9781450379588</v>
      </c>
      <c r="L581" s="4"/>
      <c r="M581" s="4"/>
      <c r="N581" s="3" t="s">
        <v>3793</v>
      </c>
      <c r="O581" s="1" t="s">
        <v>3794</v>
      </c>
      <c r="P581" s="1" t="s">
        <v>3795</v>
      </c>
      <c r="Q581" s="1" t="s">
        <v>2243</v>
      </c>
      <c r="R581" s="4"/>
    </row>
    <row r="582" spans="1:18" x14ac:dyDescent="0.25">
      <c r="A582" s="1" t="s">
        <v>141</v>
      </c>
      <c r="B582" s="1" t="s">
        <v>3796</v>
      </c>
      <c r="C582" s="1" t="s">
        <v>3797</v>
      </c>
      <c r="D582" s="4"/>
      <c r="E582" s="1">
        <v>2021</v>
      </c>
      <c r="F582" s="1">
        <v>2978</v>
      </c>
      <c r="G582" s="4"/>
      <c r="H582" s="4"/>
      <c r="I582" s="1" t="s">
        <v>613</v>
      </c>
      <c r="J582" s="1">
        <v>2021</v>
      </c>
      <c r="K582" s="4"/>
      <c r="L582" s="4"/>
      <c r="M582" s="1" t="s">
        <v>614</v>
      </c>
      <c r="N582" s="3" t="s">
        <v>3798</v>
      </c>
      <c r="O582" s="4"/>
      <c r="P582" s="1" t="s">
        <v>3799</v>
      </c>
      <c r="Q582" s="1" t="s">
        <v>157</v>
      </c>
      <c r="R582" s="4"/>
    </row>
    <row r="583" spans="1:18" x14ac:dyDescent="0.25">
      <c r="A583" s="1" t="s">
        <v>13</v>
      </c>
      <c r="B583" s="1" t="s">
        <v>1692</v>
      </c>
      <c r="C583" s="1" t="s">
        <v>3800</v>
      </c>
      <c r="D583" s="1" t="s">
        <v>209</v>
      </c>
      <c r="E583" s="1">
        <v>2021</v>
      </c>
      <c r="F583" s="1" t="s">
        <v>3801</v>
      </c>
      <c r="G583" s="4"/>
      <c r="H583" s="1" t="s">
        <v>3802</v>
      </c>
      <c r="I583" s="1" t="s">
        <v>212</v>
      </c>
      <c r="J583" s="1">
        <v>2021</v>
      </c>
      <c r="K583" s="4"/>
      <c r="L583" s="4"/>
      <c r="M583" s="1" t="s">
        <v>213</v>
      </c>
      <c r="N583" s="3" t="s">
        <v>3803</v>
      </c>
      <c r="O583" s="1" t="s">
        <v>3804</v>
      </c>
      <c r="P583" s="1" t="s">
        <v>3805</v>
      </c>
      <c r="Q583" s="1" t="s">
        <v>176</v>
      </c>
      <c r="R583" s="4"/>
    </row>
    <row r="584" spans="1:18" x14ac:dyDescent="0.25">
      <c r="A584" s="1" t="s">
        <v>141</v>
      </c>
      <c r="B584" s="1" t="s">
        <v>3806</v>
      </c>
      <c r="C584" s="1" t="s">
        <v>3807</v>
      </c>
      <c r="D584" s="4"/>
      <c r="E584" s="1">
        <v>2021</v>
      </c>
      <c r="F584" s="4"/>
      <c r="G584" s="4"/>
      <c r="H584" s="1" t="s">
        <v>3808</v>
      </c>
      <c r="I584" s="1" t="s">
        <v>257</v>
      </c>
      <c r="J584" s="1">
        <v>2021</v>
      </c>
      <c r="K584" s="1">
        <v>9781665444705</v>
      </c>
      <c r="L584" s="4"/>
      <c r="M584" s="4"/>
      <c r="N584" s="3" t="s">
        <v>3809</v>
      </c>
      <c r="O584" s="1" t="s">
        <v>3810</v>
      </c>
      <c r="P584" s="1" t="s">
        <v>3811</v>
      </c>
      <c r="Q584" s="1" t="s">
        <v>1656</v>
      </c>
      <c r="R584" s="4"/>
    </row>
    <row r="585" spans="1:18" x14ac:dyDescent="0.25">
      <c r="A585" s="1" t="s">
        <v>141</v>
      </c>
      <c r="B585" s="1" t="s">
        <v>3812</v>
      </c>
      <c r="C585" s="1" t="s">
        <v>3813</v>
      </c>
      <c r="D585" s="4"/>
      <c r="E585" s="1">
        <v>2021</v>
      </c>
      <c r="F585" s="4"/>
      <c r="G585" s="4"/>
      <c r="H585" s="1" t="s">
        <v>3814</v>
      </c>
      <c r="I585" s="1" t="s">
        <v>257</v>
      </c>
      <c r="J585" s="1">
        <v>2021</v>
      </c>
      <c r="K585" s="1">
        <v>9781665443616</v>
      </c>
      <c r="L585" s="4"/>
      <c r="M585" s="4"/>
      <c r="N585" s="3" t="s">
        <v>3815</v>
      </c>
      <c r="O585" s="1" t="s">
        <v>3816</v>
      </c>
      <c r="P585" s="1" t="s">
        <v>3817</v>
      </c>
      <c r="Q585" s="1" t="s">
        <v>157</v>
      </c>
      <c r="R585" s="4"/>
    </row>
    <row r="586" spans="1:18" x14ac:dyDescent="0.25">
      <c r="A586" s="1" t="s">
        <v>141</v>
      </c>
      <c r="B586" s="1" t="s">
        <v>3818</v>
      </c>
      <c r="C586" s="1" t="s">
        <v>3819</v>
      </c>
      <c r="D586" s="4"/>
      <c r="E586" s="1">
        <v>2020</v>
      </c>
      <c r="F586" s="4"/>
      <c r="G586" s="4"/>
      <c r="H586" s="4"/>
      <c r="I586" s="1" t="s">
        <v>196</v>
      </c>
      <c r="J586" s="1">
        <v>2020</v>
      </c>
      <c r="K586" s="1">
        <v>9781450375801</v>
      </c>
      <c r="L586" s="4"/>
      <c r="M586" s="1" t="s">
        <v>197</v>
      </c>
      <c r="N586" s="3" t="s">
        <v>3820</v>
      </c>
      <c r="O586" s="1" t="s">
        <v>3821</v>
      </c>
      <c r="P586" s="1" t="s">
        <v>3822</v>
      </c>
      <c r="Q586" s="1" t="s">
        <v>2723</v>
      </c>
      <c r="R586" s="4"/>
    </row>
    <row r="587" spans="1:18" x14ac:dyDescent="0.25">
      <c r="A587" s="1" t="s">
        <v>13</v>
      </c>
      <c r="B587" s="1" t="s">
        <v>649</v>
      </c>
      <c r="C587" s="1" t="s">
        <v>3823</v>
      </c>
      <c r="D587" s="1" t="s">
        <v>354</v>
      </c>
      <c r="E587" s="1">
        <v>2021</v>
      </c>
      <c r="F587" s="1">
        <v>173</v>
      </c>
      <c r="G587" s="4"/>
      <c r="H587" s="4"/>
      <c r="I587" s="1" t="s">
        <v>355</v>
      </c>
      <c r="J587" s="1">
        <v>2021</v>
      </c>
      <c r="K587" s="4"/>
      <c r="L587" s="4"/>
      <c r="M587" s="1" t="s">
        <v>65</v>
      </c>
      <c r="N587" s="3" t="s">
        <v>3824</v>
      </c>
      <c r="O587" s="1" t="s">
        <v>3825</v>
      </c>
      <c r="P587" s="1" t="s">
        <v>3826</v>
      </c>
      <c r="Q587" s="1" t="s">
        <v>1740</v>
      </c>
      <c r="R587" s="4"/>
    </row>
    <row r="588" spans="1:18" x14ac:dyDescent="0.25">
      <c r="A588" s="1" t="s">
        <v>141</v>
      </c>
      <c r="B588" s="1" t="s">
        <v>3827</v>
      </c>
      <c r="C588" s="1" t="s">
        <v>3828</v>
      </c>
      <c r="D588" s="4"/>
      <c r="E588" s="1">
        <v>2020</v>
      </c>
      <c r="F588" s="4"/>
      <c r="G588" s="4"/>
      <c r="H588" s="4"/>
      <c r="I588" s="1" t="s">
        <v>257</v>
      </c>
      <c r="J588" s="1">
        <v>2020</v>
      </c>
      <c r="K588" s="1">
        <v>9781728169163</v>
      </c>
      <c r="L588" s="4"/>
      <c r="M588" s="4"/>
      <c r="N588" s="3" t="s">
        <v>3829</v>
      </c>
      <c r="O588" s="1" t="s">
        <v>3830</v>
      </c>
      <c r="P588" s="1" t="s">
        <v>3831</v>
      </c>
      <c r="Q588" s="1" t="s">
        <v>157</v>
      </c>
      <c r="R588" s="4"/>
    </row>
    <row r="589" spans="1:18" x14ac:dyDescent="0.25">
      <c r="A589" s="1" t="s">
        <v>13</v>
      </c>
      <c r="B589" s="1" t="s">
        <v>3832</v>
      </c>
      <c r="C589" s="1" t="s">
        <v>3833</v>
      </c>
      <c r="D589" s="1" t="s">
        <v>3834</v>
      </c>
      <c r="E589" s="1">
        <v>2021</v>
      </c>
      <c r="F589" s="1">
        <v>32</v>
      </c>
      <c r="G589" s="1">
        <v>3</v>
      </c>
      <c r="H589" s="1" t="s">
        <v>3835</v>
      </c>
      <c r="I589" s="1" t="s">
        <v>2267</v>
      </c>
      <c r="J589" s="1">
        <v>2021</v>
      </c>
      <c r="K589" s="4"/>
      <c r="L589" s="4"/>
      <c r="M589" s="1" t="s">
        <v>3836</v>
      </c>
      <c r="N589" s="3" t="s">
        <v>3837</v>
      </c>
      <c r="O589" s="1" t="s">
        <v>3838</v>
      </c>
      <c r="P589" s="1" t="s">
        <v>3839</v>
      </c>
      <c r="Q589" s="1" t="s">
        <v>413</v>
      </c>
      <c r="R589" s="4"/>
    </row>
    <row r="590" spans="1:18" x14ac:dyDescent="0.25">
      <c r="A590" s="1" t="s">
        <v>141</v>
      </c>
      <c r="B590" s="1" t="s">
        <v>3840</v>
      </c>
      <c r="C590" s="1" t="s">
        <v>3841</v>
      </c>
      <c r="D590" s="4"/>
      <c r="E590" s="1">
        <v>2021</v>
      </c>
      <c r="F590" s="1">
        <v>2978</v>
      </c>
      <c r="G590" s="4"/>
      <c r="H590" s="4"/>
      <c r="I590" s="1" t="s">
        <v>613</v>
      </c>
      <c r="J590" s="1">
        <v>2021</v>
      </c>
      <c r="K590" s="4"/>
      <c r="L590" s="4"/>
      <c r="M590" s="1" t="s">
        <v>614</v>
      </c>
      <c r="N590" s="3" t="s">
        <v>3842</v>
      </c>
      <c r="O590" s="4"/>
      <c r="P590" s="1" t="s">
        <v>3843</v>
      </c>
      <c r="Q590" s="1" t="s">
        <v>157</v>
      </c>
      <c r="R590" s="4"/>
    </row>
    <row r="591" spans="1:18" x14ac:dyDescent="0.25">
      <c r="A591" s="1" t="s">
        <v>141</v>
      </c>
      <c r="B591" s="1" t="s">
        <v>3844</v>
      </c>
      <c r="C591" s="1" t="s">
        <v>3845</v>
      </c>
      <c r="D591" s="4"/>
      <c r="E591" s="1">
        <v>2021</v>
      </c>
      <c r="F591" s="4"/>
      <c r="G591" s="4"/>
      <c r="H591" s="1" t="s">
        <v>3846</v>
      </c>
      <c r="I591" s="1" t="s">
        <v>257</v>
      </c>
      <c r="J591" s="1">
        <v>2021</v>
      </c>
      <c r="K591" s="1">
        <v>9781665445597</v>
      </c>
      <c r="L591" s="4"/>
      <c r="M591" s="4"/>
      <c r="N591" s="3" t="s">
        <v>3847</v>
      </c>
      <c r="O591" s="1" t="s">
        <v>3848</v>
      </c>
      <c r="P591" s="1" t="s">
        <v>3849</v>
      </c>
      <c r="Q591" s="1" t="s">
        <v>157</v>
      </c>
      <c r="R591" s="4"/>
    </row>
    <row r="592" spans="1:18" x14ac:dyDescent="0.25">
      <c r="A592" s="1" t="s">
        <v>13</v>
      </c>
      <c r="B592" s="1" t="s">
        <v>3850</v>
      </c>
      <c r="C592" s="1" t="s">
        <v>3851</v>
      </c>
      <c r="D592" s="1" t="s">
        <v>3852</v>
      </c>
      <c r="E592" s="1">
        <v>2021</v>
      </c>
      <c r="F592" s="1">
        <v>181</v>
      </c>
      <c r="G592" s="4"/>
      <c r="H592" s="4"/>
      <c r="I592" s="1" t="s">
        <v>280</v>
      </c>
      <c r="J592" s="1">
        <v>2021</v>
      </c>
      <c r="K592" s="4"/>
      <c r="L592" s="4"/>
      <c r="M592" s="1" t="s">
        <v>3853</v>
      </c>
      <c r="N592" s="3" t="s">
        <v>3854</v>
      </c>
      <c r="O592" s="1" t="s">
        <v>3855</v>
      </c>
      <c r="P592" s="1" t="s">
        <v>3856</v>
      </c>
      <c r="Q592" s="1" t="s">
        <v>397</v>
      </c>
      <c r="R592" s="4"/>
    </row>
    <row r="593" spans="1:18" x14ac:dyDescent="0.25">
      <c r="A593" s="1" t="s">
        <v>141</v>
      </c>
      <c r="B593" s="1" t="s">
        <v>3857</v>
      </c>
      <c r="C593" s="1" t="s">
        <v>3858</v>
      </c>
      <c r="D593" s="4"/>
      <c r="E593" s="1">
        <v>2021</v>
      </c>
      <c r="F593" s="4"/>
      <c r="G593" s="4"/>
      <c r="H593" s="1" t="s">
        <v>3859</v>
      </c>
      <c r="I593" s="1" t="s">
        <v>257</v>
      </c>
      <c r="J593" s="1">
        <v>2021</v>
      </c>
      <c r="K593" s="1">
        <v>9781728187105</v>
      </c>
      <c r="L593" s="4"/>
      <c r="M593" s="4"/>
      <c r="N593" s="3" t="s">
        <v>3860</v>
      </c>
      <c r="O593" s="1" t="s">
        <v>3861</v>
      </c>
      <c r="P593" s="1" t="s">
        <v>3862</v>
      </c>
      <c r="Q593" s="1" t="s">
        <v>176</v>
      </c>
      <c r="R593" s="4"/>
    </row>
    <row r="594" spans="1:18" x14ac:dyDescent="0.25">
      <c r="A594" s="1" t="s">
        <v>13</v>
      </c>
      <c r="B594" s="1" t="s">
        <v>3863</v>
      </c>
      <c r="C594" s="1" t="s">
        <v>3864</v>
      </c>
      <c r="D594" s="1" t="s">
        <v>3475</v>
      </c>
      <c r="E594" s="1">
        <v>2021</v>
      </c>
      <c r="F594" s="1" t="s">
        <v>3865</v>
      </c>
      <c r="G594" s="4"/>
      <c r="H594" s="1" t="s">
        <v>3866</v>
      </c>
      <c r="I594" s="1" t="s">
        <v>212</v>
      </c>
      <c r="J594" s="1">
        <v>2021</v>
      </c>
      <c r="K594" s="4"/>
      <c r="L594" s="4"/>
      <c r="M594" s="1" t="s">
        <v>3478</v>
      </c>
      <c r="N594" s="3" t="s">
        <v>3867</v>
      </c>
      <c r="O594" s="1" t="s">
        <v>3868</v>
      </c>
      <c r="P594" s="1" t="s">
        <v>3869</v>
      </c>
      <c r="Q594" s="1" t="s">
        <v>157</v>
      </c>
      <c r="R594" s="4"/>
    </row>
    <row r="595" spans="1:18" x14ac:dyDescent="0.25">
      <c r="A595" s="1" t="s">
        <v>13</v>
      </c>
      <c r="B595" s="1" t="s">
        <v>3870</v>
      </c>
      <c r="C595" s="1" t="s">
        <v>3871</v>
      </c>
      <c r="D595" s="1" t="s">
        <v>3872</v>
      </c>
      <c r="E595" s="1">
        <v>2020</v>
      </c>
      <c r="F595" s="1">
        <v>2</v>
      </c>
      <c r="G595" s="4"/>
      <c r="H595" s="4"/>
      <c r="I595" s="1" t="s">
        <v>891</v>
      </c>
      <c r="J595" s="1">
        <v>2020</v>
      </c>
      <c r="K595" s="4"/>
      <c r="L595" s="4"/>
      <c r="M595" s="1" t="s">
        <v>3873</v>
      </c>
      <c r="N595" s="3" t="s">
        <v>3874</v>
      </c>
      <c r="O595" s="1" t="s">
        <v>3875</v>
      </c>
      <c r="P595" s="1" t="s">
        <v>3876</v>
      </c>
      <c r="Q595" s="1" t="s">
        <v>1844</v>
      </c>
      <c r="R595" s="4"/>
    </row>
    <row r="596" spans="1:18" x14ac:dyDescent="0.25">
      <c r="A596" s="1" t="s">
        <v>13</v>
      </c>
      <c r="B596" s="1" t="s">
        <v>3877</v>
      </c>
      <c r="C596" s="1" t="s">
        <v>3878</v>
      </c>
      <c r="D596" s="1" t="s">
        <v>188</v>
      </c>
      <c r="E596" s="1">
        <v>2020</v>
      </c>
      <c r="F596" s="1">
        <v>30</v>
      </c>
      <c r="G596" s="9">
        <v>45242</v>
      </c>
      <c r="H596" s="1" t="s">
        <v>3879</v>
      </c>
      <c r="I596" s="1" t="s">
        <v>189</v>
      </c>
      <c r="J596" s="1">
        <v>2020</v>
      </c>
      <c r="K596" s="4"/>
      <c r="L596" s="4"/>
      <c r="M596" s="1" t="s">
        <v>73</v>
      </c>
      <c r="N596" s="3" t="s">
        <v>3880</v>
      </c>
      <c r="O596" s="1" t="s">
        <v>3881</v>
      </c>
      <c r="P596" s="1" t="s">
        <v>3882</v>
      </c>
      <c r="Q596" s="1" t="s">
        <v>529</v>
      </c>
      <c r="R596" s="4"/>
    </row>
    <row r="597" spans="1:18" x14ac:dyDescent="0.25">
      <c r="A597" s="1" t="s">
        <v>141</v>
      </c>
      <c r="B597" s="1" t="s">
        <v>3883</v>
      </c>
      <c r="C597" s="1" t="s">
        <v>3884</v>
      </c>
      <c r="D597" s="4"/>
      <c r="E597" s="1">
        <v>2021</v>
      </c>
      <c r="F597" s="4"/>
      <c r="G597" s="4"/>
      <c r="H597" s="4"/>
      <c r="I597" s="1" t="s">
        <v>257</v>
      </c>
      <c r="J597" s="1">
        <v>2021</v>
      </c>
      <c r="K597" s="1">
        <v>9781665498326</v>
      </c>
      <c r="L597" s="4"/>
      <c r="M597" s="4"/>
      <c r="N597" s="3" t="s">
        <v>3885</v>
      </c>
      <c r="O597" s="1" t="s">
        <v>3886</v>
      </c>
      <c r="P597" s="1" t="s">
        <v>3887</v>
      </c>
      <c r="Q597" s="1" t="s">
        <v>157</v>
      </c>
      <c r="R597" s="4"/>
    </row>
    <row r="598" spans="1:18" x14ac:dyDescent="0.25">
      <c r="A598" s="1" t="s">
        <v>13</v>
      </c>
      <c r="B598" s="1" t="s">
        <v>3888</v>
      </c>
      <c r="C598" s="1" t="s">
        <v>3889</v>
      </c>
      <c r="D598" s="1" t="s">
        <v>1540</v>
      </c>
      <c r="E598" s="1">
        <v>2021</v>
      </c>
      <c r="F598" s="1">
        <v>12</v>
      </c>
      <c r="G598" s="1">
        <v>2</v>
      </c>
      <c r="H598" s="1" t="s">
        <v>3890</v>
      </c>
      <c r="I598" s="1" t="s">
        <v>1465</v>
      </c>
      <c r="J598" s="1">
        <v>2021</v>
      </c>
      <c r="K598" s="4"/>
      <c r="L598" s="4"/>
      <c r="M598" s="1" t="s">
        <v>1541</v>
      </c>
      <c r="N598" s="3" t="s">
        <v>3891</v>
      </c>
      <c r="O598" s="1" t="s">
        <v>3892</v>
      </c>
      <c r="P598" s="1" t="s">
        <v>3893</v>
      </c>
      <c r="Q598" s="1" t="s">
        <v>157</v>
      </c>
      <c r="R598" s="4"/>
    </row>
    <row r="599" spans="1:18" x14ac:dyDescent="0.25">
      <c r="A599" s="1" t="s">
        <v>13</v>
      </c>
      <c r="B599" s="1" t="s">
        <v>3894</v>
      </c>
      <c r="C599" s="1" t="s">
        <v>3895</v>
      </c>
      <c r="D599" s="1" t="s">
        <v>209</v>
      </c>
      <c r="E599" s="1">
        <v>2020</v>
      </c>
      <c r="F599" s="1" t="s">
        <v>3896</v>
      </c>
      <c r="G599" s="1">
        <v>1</v>
      </c>
      <c r="H599" s="1" t="s">
        <v>3897</v>
      </c>
      <c r="I599" s="1" t="s">
        <v>212</v>
      </c>
      <c r="J599" s="1">
        <v>2020</v>
      </c>
      <c r="K599" s="4"/>
      <c r="L599" s="4"/>
      <c r="M599" s="1" t="s">
        <v>213</v>
      </c>
      <c r="N599" s="3" t="s">
        <v>3898</v>
      </c>
      <c r="O599" s="1" t="s">
        <v>3899</v>
      </c>
      <c r="P599" s="1" t="s">
        <v>3900</v>
      </c>
      <c r="Q599" s="1" t="s">
        <v>1598</v>
      </c>
      <c r="R599" s="4"/>
    </row>
    <row r="600" spans="1:18" x14ac:dyDescent="0.25">
      <c r="A600" s="1" t="s">
        <v>13</v>
      </c>
      <c r="B600" s="1" t="s">
        <v>3901</v>
      </c>
      <c r="C600" s="1" t="s">
        <v>3902</v>
      </c>
      <c r="D600" s="1" t="s">
        <v>255</v>
      </c>
      <c r="E600" s="1">
        <v>2019</v>
      </c>
      <c r="F600" s="1">
        <v>45</v>
      </c>
      <c r="G600" s="1">
        <v>12</v>
      </c>
      <c r="H600" s="1" t="s">
        <v>3903</v>
      </c>
      <c r="I600" s="1" t="s">
        <v>257</v>
      </c>
      <c r="J600" s="1">
        <v>2019</v>
      </c>
      <c r="K600" s="4"/>
      <c r="L600" s="4"/>
      <c r="M600" s="1" t="s">
        <v>18</v>
      </c>
      <c r="N600" s="3" t="s">
        <v>3904</v>
      </c>
      <c r="O600" s="1" t="s">
        <v>3905</v>
      </c>
      <c r="P600" s="1" t="s">
        <v>3906</v>
      </c>
      <c r="Q600" s="1" t="s">
        <v>3907</v>
      </c>
      <c r="R600" s="4"/>
    </row>
    <row r="601" spans="1:18" x14ac:dyDescent="0.25">
      <c r="A601" s="1" t="s">
        <v>141</v>
      </c>
      <c r="B601" s="1" t="s">
        <v>3908</v>
      </c>
      <c r="C601" s="1" t="s">
        <v>3909</v>
      </c>
      <c r="D601" s="4"/>
      <c r="E601" s="1">
        <v>2020</v>
      </c>
      <c r="F601" s="4"/>
      <c r="G601" s="4"/>
      <c r="H601" s="1" t="s">
        <v>3910</v>
      </c>
      <c r="I601" s="1" t="s">
        <v>153</v>
      </c>
      <c r="J601" s="1">
        <v>2020</v>
      </c>
      <c r="K601" s="1">
        <v>9781450379571</v>
      </c>
      <c r="L601" s="4"/>
      <c r="M601" s="4"/>
      <c r="N601" s="3" t="s">
        <v>3911</v>
      </c>
      <c r="O601" s="1" t="s">
        <v>3912</v>
      </c>
      <c r="P601" s="1" t="s">
        <v>3913</v>
      </c>
      <c r="Q601" s="1" t="s">
        <v>2811</v>
      </c>
      <c r="R601" s="4"/>
    </row>
    <row r="602" spans="1:18" x14ac:dyDescent="0.25">
      <c r="A602" s="1" t="s">
        <v>13</v>
      </c>
      <c r="B602" s="1" t="s">
        <v>3914</v>
      </c>
      <c r="C602" s="1" t="s">
        <v>3915</v>
      </c>
      <c r="D602" s="1" t="s">
        <v>3916</v>
      </c>
      <c r="E602" s="1">
        <v>2020</v>
      </c>
      <c r="F602" s="1">
        <v>40</v>
      </c>
      <c r="G602" s="4"/>
      <c r="H602" s="1" t="s">
        <v>3917</v>
      </c>
      <c r="I602" s="1" t="s">
        <v>212</v>
      </c>
      <c r="J602" s="1">
        <v>2020</v>
      </c>
      <c r="K602" s="4"/>
      <c r="L602" s="4"/>
      <c r="M602" s="1" t="s">
        <v>3918</v>
      </c>
      <c r="N602" s="3" t="s">
        <v>3919</v>
      </c>
      <c r="O602" s="1" t="s">
        <v>3920</v>
      </c>
      <c r="P602" s="1" t="s">
        <v>3921</v>
      </c>
      <c r="Q602" s="1" t="s">
        <v>2243</v>
      </c>
      <c r="R602" s="4"/>
    </row>
    <row r="603" spans="1:18" x14ac:dyDescent="0.25">
      <c r="A603" s="1" t="s">
        <v>141</v>
      </c>
      <c r="B603" s="1" t="s">
        <v>3922</v>
      </c>
      <c r="C603" s="1" t="s">
        <v>3923</v>
      </c>
      <c r="D603" s="4"/>
      <c r="E603" s="1">
        <v>2019</v>
      </c>
      <c r="F603" s="4"/>
      <c r="G603" s="4"/>
      <c r="H603" s="1" t="s">
        <v>3924</v>
      </c>
      <c r="I603" s="1" t="s">
        <v>257</v>
      </c>
      <c r="J603" s="1">
        <v>2019</v>
      </c>
      <c r="K603" s="1">
        <v>9781728105918</v>
      </c>
      <c r="L603" s="4"/>
      <c r="M603" s="4"/>
      <c r="N603" s="3" t="s">
        <v>3925</v>
      </c>
      <c r="O603" s="1" t="s">
        <v>3926</v>
      </c>
      <c r="P603" s="1" t="s">
        <v>3927</v>
      </c>
      <c r="Q603" s="1" t="s">
        <v>2286</v>
      </c>
      <c r="R603" s="4"/>
    </row>
    <row r="604" spans="1:18" x14ac:dyDescent="0.25">
      <c r="A604" s="1" t="s">
        <v>141</v>
      </c>
      <c r="B604" s="1" t="s">
        <v>3928</v>
      </c>
      <c r="C604" s="1" t="s">
        <v>3929</v>
      </c>
      <c r="D604" s="4"/>
      <c r="E604" s="1">
        <v>2020</v>
      </c>
      <c r="F604" s="4"/>
      <c r="G604" s="4"/>
      <c r="H604" s="4"/>
      <c r="I604" s="1" t="s">
        <v>257</v>
      </c>
      <c r="J604" s="1">
        <v>2020</v>
      </c>
      <c r="K604" s="1">
        <v>9781728114200</v>
      </c>
      <c r="L604" s="4"/>
      <c r="M604" s="4"/>
      <c r="N604" s="3" t="s">
        <v>3930</v>
      </c>
      <c r="O604" s="1" t="s">
        <v>3931</v>
      </c>
      <c r="P604" s="1" t="s">
        <v>3932</v>
      </c>
      <c r="Q604" s="1" t="s">
        <v>157</v>
      </c>
      <c r="R604" s="4"/>
    </row>
    <row r="605" spans="1:18" x14ac:dyDescent="0.25">
      <c r="A605" s="1" t="s">
        <v>13</v>
      </c>
      <c r="B605" s="1" t="s">
        <v>3933</v>
      </c>
      <c r="C605" s="1" t="s">
        <v>3934</v>
      </c>
      <c r="D605" s="1" t="s">
        <v>255</v>
      </c>
      <c r="E605" s="1">
        <v>2020</v>
      </c>
      <c r="F605" s="1">
        <v>46</v>
      </c>
      <c r="G605" s="1">
        <v>4</v>
      </c>
      <c r="H605" s="1" t="s">
        <v>3935</v>
      </c>
      <c r="I605" s="1" t="s">
        <v>257</v>
      </c>
      <c r="J605" s="1">
        <v>2020</v>
      </c>
      <c r="K605" s="4"/>
      <c r="L605" s="4"/>
      <c r="M605" s="1" t="s">
        <v>18</v>
      </c>
      <c r="N605" s="3" t="s">
        <v>3936</v>
      </c>
      <c r="O605" s="1" t="s">
        <v>3937</v>
      </c>
      <c r="P605" s="1" t="s">
        <v>3938</v>
      </c>
      <c r="Q605" s="1" t="s">
        <v>1656</v>
      </c>
      <c r="R605" s="4"/>
    </row>
    <row r="606" spans="1:18" x14ac:dyDescent="0.25">
      <c r="A606" s="1" t="s">
        <v>141</v>
      </c>
      <c r="B606" s="1" t="s">
        <v>3939</v>
      </c>
      <c r="C606" s="1" t="s">
        <v>3940</v>
      </c>
      <c r="D606" s="4"/>
      <c r="E606" s="1">
        <v>2019</v>
      </c>
      <c r="F606" s="4"/>
      <c r="G606" s="4"/>
      <c r="H606" s="1" t="s">
        <v>3941</v>
      </c>
      <c r="I606" s="1" t="s">
        <v>257</v>
      </c>
      <c r="J606" s="1">
        <v>2019</v>
      </c>
      <c r="K606" s="1">
        <v>9781728151656</v>
      </c>
      <c r="L606" s="4"/>
      <c r="M606" s="4"/>
      <c r="N606" s="3" t="s">
        <v>3942</v>
      </c>
      <c r="O606" s="1" t="s">
        <v>3943</v>
      </c>
      <c r="P606" s="1" t="s">
        <v>3944</v>
      </c>
      <c r="Q606" s="1" t="s">
        <v>176</v>
      </c>
      <c r="R606" s="4"/>
    </row>
    <row r="607" spans="1:18" x14ac:dyDescent="0.25">
      <c r="A607" s="1" t="s">
        <v>141</v>
      </c>
      <c r="B607" s="1" t="s">
        <v>3945</v>
      </c>
      <c r="C607" s="1" t="s">
        <v>3946</v>
      </c>
      <c r="D607" s="4"/>
      <c r="E607" s="1">
        <v>2020</v>
      </c>
      <c r="F607" s="4"/>
      <c r="G607" s="4"/>
      <c r="H607" s="1" t="s">
        <v>3947</v>
      </c>
      <c r="I607" s="1" t="s">
        <v>257</v>
      </c>
      <c r="J607" s="1">
        <v>2020</v>
      </c>
      <c r="K607" s="1">
        <v>9781728151434</v>
      </c>
      <c r="L607" s="4"/>
      <c r="M607" s="4"/>
      <c r="N607" s="3" t="s">
        <v>3948</v>
      </c>
      <c r="O607" s="1" t="s">
        <v>3949</v>
      </c>
      <c r="P607" s="1" t="s">
        <v>3950</v>
      </c>
      <c r="Q607" s="1" t="s">
        <v>520</v>
      </c>
      <c r="R607" s="4"/>
    </row>
    <row r="608" spans="1:18" x14ac:dyDescent="0.25">
      <c r="A608" s="1" t="s">
        <v>141</v>
      </c>
      <c r="B608" s="1" t="s">
        <v>3951</v>
      </c>
      <c r="C608" s="1" t="s">
        <v>3952</v>
      </c>
      <c r="D608" s="4"/>
      <c r="E608" s="1">
        <v>2020</v>
      </c>
      <c r="F608" s="1">
        <v>2826</v>
      </c>
      <c r="G608" s="4"/>
      <c r="H608" s="1" t="s">
        <v>3953</v>
      </c>
      <c r="I608" s="1" t="s">
        <v>613</v>
      </c>
      <c r="J608" s="1">
        <v>2020</v>
      </c>
      <c r="K608" s="4"/>
      <c r="L608" s="4"/>
      <c r="M608" s="1" t="s">
        <v>614</v>
      </c>
      <c r="N608" s="3" t="s">
        <v>3954</v>
      </c>
      <c r="O608" s="4"/>
      <c r="P608" s="1" t="s">
        <v>3955</v>
      </c>
      <c r="Q608" s="1" t="s">
        <v>318</v>
      </c>
      <c r="R608" s="4"/>
    </row>
    <row r="609" spans="1:18" x14ac:dyDescent="0.25">
      <c r="A609" s="1" t="s">
        <v>141</v>
      </c>
      <c r="B609" s="1" t="s">
        <v>1371</v>
      </c>
      <c r="C609" s="1" t="s">
        <v>3956</v>
      </c>
      <c r="D609" s="4"/>
      <c r="E609" s="1">
        <v>2019</v>
      </c>
      <c r="F609" s="4"/>
      <c r="G609" s="4"/>
      <c r="H609" s="1" t="s">
        <v>3957</v>
      </c>
      <c r="I609" s="1" t="s">
        <v>257</v>
      </c>
      <c r="J609" s="1">
        <v>2019</v>
      </c>
      <c r="K609" s="1">
        <v>9781728127729</v>
      </c>
      <c r="L609" s="4"/>
      <c r="M609" s="4"/>
      <c r="N609" s="3" t="s">
        <v>3958</v>
      </c>
      <c r="O609" s="1" t="s">
        <v>3959</v>
      </c>
      <c r="P609" s="1" t="s">
        <v>3960</v>
      </c>
      <c r="Q609" s="1" t="s">
        <v>397</v>
      </c>
      <c r="R609" s="4"/>
    </row>
    <row r="610" spans="1:18" x14ac:dyDescent="0.25">
      <c r="A610" s="1" t="s">
        <v>141</v>
      </c>
      <c r="B610" s="1" t="s">
        <v>2208</v>
      </c>
      <c r="C610" s="1" t="s">
        <v>3961</v>
      </c>
      <c r="D610" s="4"/>
      <c r="E610" s="1">
        <v>2019</v>
      </c>
      <c r="F610" s="7">
        <v>43586</v>
      </c>
      <c r="G610" s="4"/>
      <c r="H610" s="1" t="s">
        <v>3962</v>
      </c>
      <c r="I610" s="1" t="s">
        <v>196</v>
      </c>
      <c r="J610" s="1">
        <v>2019</v>
      </c>
      <c r="K610" s="1">
        <v>9781728133683</v>
      </c>
      <c r="L610" s="4"/>
      <c r="M610" s="1" t="s">
        <v>3963</v>
      </c>
      <c r="N610" s="3" t="s">
        <v>3964</v>
      </c>
      <c r="O610" s="1" t="s">
        <v>3965</v>
      </c>
      <c r="P610" s="1" t="s">
        <v>3966</v>
      </c>
      <c r="Q610" s="1" t="s">
        <v>2420</v>
      </c>
      <c r="R610" s="4"/>
    </row>
    <row r="611" spans="1:18" x14ac:dyDescent="0.25">
      <c r="A611" s="1" t="s">
        <v>141</v>
      </c>
      <c r="B611" s="1" t="s">
        <v>3101</v>
      </c>
      <c r="C611" s="1" t="s">
        <v>3967</v>
      </c>
      <c r="D611" s="4"/>
      <c r="E611" s="1">
        <v>2020</v>
      </c>
      <c r="F611" s="4"/>
      <c r="G611" s="4"/>
      <c r="H611" s="1" t="s">
        <v>3103</v>
      </c>
      <c r="I611" s="1" t="s">
        <v>196</v>
      </c>
      <c r="J611" s="1">
        <v>2020</v>
      </c>
      <c r="K611" s="1">
        <v>9781450371223</v>
      </c>
      <c r="L611" s="4"/>
      <c r="M611" s="1" t="s">
        <v>1458</v>
      </c>
      <c r="N611" s="3" t="s">
        <v>3968</v>
      </c>
      <c r="O611" s="1" t="s">
        <v>3105</v>
      </c>
      <c r="P611" s="1" t="s">
        <v>3969</v>
      </c>
      <c r="Q611" s="1" t="s">
        <v>289</v>
      </c>
      <c r="R611" s="4"/>
    </row>
    <row r="612" spans="1:18" x14ac:dyDescent="0.25">
      <c r="A612" s="1" t="s">
        <v>13</v>
      </c>
      <c r="B612" s="1" t="s">
        <v>3970</v>
      </c>
      <c r="C612" s="1" t="s">
        <v>3971</v>
      </c>
      <c r="D612" s="1" t="s">
        <v>3972</v>
      </c>
      <c r="E612" s="1">
        <v>2020</v>
      </c>
      <c r="F612" s="1">
        <v>30</v>
      </c>
      <c r="G612" s="1">
        <v>1</v>
      </c>
      <c r="H612" s="1" t="s">
        <v>3973</v>
      </c>
      <c r="I612" s="1" t="s">
        <v>137</v>
      </c>
      <c r="J612" s="1">
        <v>2020</v>
      </c>
      <c r="K612" s="4"/>
      <c r="L612" s="4"/>
      <c r="M612" s="1" t="s">
        <v>3974</v>
      </c>
      <c r="N612" s="3" t="s">
        <v>3975</v>
      </c>
      <c r="O612" s="1" t="s">
        <v>3976</v>
      </c>
      <c r="P612" s="1" t="s">
        <v>3977</v>
      </c>
      <c r="Q612" s="1" t="s">
        <v>1573</v>
      </c>
      <c r="R612" s="4"/>
    </row>
    <row r="613" spans="1:18" x14ac:dyDescent="0.25">
      <c r="A613" s="1" t="s">
        <v>13</v>
      </c>
      <c r="B613" s="1" t="s">
        <v>3978</v>
      </c>
      <c r="C613" s="1" t="s">
        <v>3979</v>
      </c>
      <c r="D613" s="1" t="s">
        <v>136</v>
      </c>
      <c r="E613" s="1">
        <v>2020</v>
      </c>
      <c r="F613" s="1">
        <v>25</v>
      </c>
      <c r="G613" s="1">
        <v>1</v>
      </c>
      <c r="H613" s="1" t="s">
        <v>3980</v>
      </c>
      <c r="I613" s="1" t="s">
        <v>137</v>
      </c>
      <c r="J613" s="1">
        <v>2020</v>
      </c>
      <c r="K613" s="4"/>
      <c r="L613" s="4"/>
      <c r="M613" s="1" t="s">
        <v>33</v>
      </c>
      <c r="N613" s="3" t="s">
        <v>3981</v>
      </c>
      <c r="O613" s="1" t="s">
        <v>3982</v>
      </c>
      <c r="P613" s="1" t="s">
        <v>3983</v>
      </c>
      <c r="Q613" s="1" t="s">
        <v>3067</v>
      </c>
      <c r="R613" s="4"/>
    </row>
    <row r="614" spans="1:18" x14ac:dyDescent="0.25">
      <c r="A614" s="1" t="s">
        <v>141</v>
      </c>
      <c r="B614" s="1" t="s">
        <v>3984</v>
      </c>
      <c r="C614" s="1" t="s">
        <v>3985</v>
      </c>
      <c r="D614" s="4"/>
      <c r="E614" s="1">
        <v>2020</v>
      </c>
      <c r="F614" s="4"/>
      <c r="G614" s="4"/>
      <c r="H614" s="1" t="s">
        <v>3986</v>
      </c>
      <c r="I614" s="1" t="s">
        <v>153</v>
      </c>
      <c r="J614" s="1">
        <v>2020</v>
      </c>
      <c r="K614" s="1">
        <v>9781450379601</v>
      </c>
      <c r="L614" s="4"/>
      <c r="M614" s="4"/>
      <c r="N614" s="3" t="s">
        <v>3987</v>
      </c>
      <c r="O614" s="1" t="s">
        <v>3988</v>
      </c>
      <c r="P614" s="1" t="s">
        <v>3989</v>
      </c>
      <c r="Q614" s="1" t="s">
        <v>1573</v>
      </c>
      <c r="R614" s="4"/>
    </row>
    <row r="615" spans="1:18" x14ac:dyDescent="0.25">
      <c r="A615" s="1" t="s">
        <v>13</v>
      </c>
      <c r="B615" s="1" t="s">
        <v>3368</v>
      </c>
      <c r="C615" s="1" t="s">
        <v>3990</v>
      </c>
      <c r="D615" s="1" t="s">
        <v>925</v>
      </c>
      <c r="E615" s="1">
        <v>2020</v>
      </c>
      <c r="F615" s="1">
        <v>9</v>
      </c>
      <c r="G615" s="1">
        <v>1</v>
      </c>
      <c r="H615" s="4"/>
      <c r="I615" s="1" t="s">
        <v>3431</v>
      </c>
      <c r="J615" s="1">
        <v>2020</v>
      </c>
      <c r="K615" s="4"/>
      <c r="L615" s="4"/>
      <c r="M615" s="1" t="s">
        <v>926</v>
      </c>
      <c r="N615" s="3" t="s">
        <v>3991</v>
      </c>
      <c r="O615" s="1" t="s">
        <v>3992</v>
      </c>
      <c r="P615" s="1" t="s">
        <v>3993</v>
      </c>
      <c r="Q615" s="1" t="s">
        <v>3994</v>
      </c>
      <c r="R615" s="4"/>
    </row>
    <row r="616" spans="1:18" x14ac:dyDescent="0.25">
      <c r="A616" s="1" t="s">
        <v>13</v>
      </c>
      <c r="B616" s="1" t="s">
        <v>3995</v>
      </c>
      <c r="C616" s="1" t="s">
        <v>3996</v>
      </c>
      <c r="D616" s="1" t="s">
        <v>136</v>
      </c>
      <c r="E616" s="1">
        <v>2019</v>
      </c>
      <c r="F616" s="1">
        <v>24</v>
      </c>
      <c r="G616" s="1">
        <v>4</v>
      </c>
      <c r="H616" s="1" t="s">
        <v>3997</v>
      </c>
      <c r="I616" s="1" t="s">
        <v>3998</v>
      </c>
      <c r="J616" s="1">
        <v>2019</v>
      </c>
      <c r="K616" s="4"/>
      <c r="L616" s="4"/>
      <c r="M616" s="1" t="s">
        <v>33</v>
      </c>
      <c r="N616" s="3" t="s">
        <v>3999</v>
      </c>
      <c r="O616" s="1" t="s">
        <v>4000</v>
      </c>
      <c r="P616" s="1" t="s">
        <v>4001</v>
      </c>
      <c r="Q616" s="1" t="s">
        <v>4002</v>
      </c>
      <c r="R616" s="4"/>
    </row>
    <row r="617" spans="1:18" x14ac:dyDescent="0.25">
      <c r="A617" s="1" t="s">
        <v>13</v>
      </c>
      <c r="B617" s="1" t="s">
        <v>4003</v>
      </c>
      <c r="C617" s="1" t="s">
        <v>4004</v>
      </c>
      <c r="D617" s="1" t="s">
        <v>354</v>
      </c>
      <c r="E617" s="1">
        <v>2019</v>
      </c>
      <c r="F617" s="1">
        <v>152</v>
      </c>
      <c r="G617" s="4"/>
      <c r="H617" s="1" t="s">
        <v>4005</v>
      </c>
      <c r="I617" s="1" t="s">
        <v>355</v>
      </c>
      <c r="J617" s="1">
        <v>2019</v>
      </c>
      <c r="K617" s="4"/>
      <c r="L617" s="4"/>
      <c r="M617" s="1" t="s">
        <v>65</v>
      </c>
      <c r="N617" s="3" t="s">
        <v>4006</v>
      </c>
      <c r="O617" s="1" t="s">
        <v>4007</v>
      </c>
      <c r="P617" s="1" t="s">
        <v>4008</v>
      </c>
      <c r="Q617" s="1" t="s">
        <v>4009</v>
      </c>
      <c r="R617" s="4"/>
    </row>
    <row r="618" spans="1:18" x14ac:dyDescent="0.25">
      <c r="A618" s="1" t="s">
        <v>13</v>
      </c>
      <c r="B618" s="1" t="s">
        <v>4010</v>
      </c>
      <c r="C618" s="1" t="s">
        <v>4011</v>
      </c>
      <c r="D618" s="1" t="s">
        <v>354</v>
      </c>
      <c r="E618" s="1">
        <v>2019</v>
      </c>
      <c r="F618" s="1">
        <v>154</v>
      </c>
      <c r="G618" s="4"/>
      <c r="H618" s="1" t="s">
        <v>4012</v>
      </c>
      <c r="I618" s="1" t="s">
        <v>355</v>
      </c>
      <c r="J618" s="1">
        <v>2019</v>
      </c>
      <c r="K618" s="4"/>
      <c r="L618" s="4"/>
      <c r="M618" s="1" t="s">
        <v>65</v>
      </c>
      <c r="N618" s="3" t="s">
        <v>4013</v>
      </c>
      <c r="O618" s="1" t="s">
        <v>4014</v>
      </c>
      <c r="P618" s="1" t="s">
        <v>4015</v>
      </c>
      <c r="Q618" s="1" t="s">
        <v>4016</v>
      </c>
      <c r="R618" s="4"/>
    </row>
    <row r="619" spans="1:18" x14ac:dyDescent="0.25">
      <c r="A619" s="1" t="s">
        <v>13</v>
      </c>
      <c r="B619" s="1" t="s">
        <v>4017</v>
      </c>
      <c r="C619" s="1" t="s">
        <v>4018</v>
      </c>
      <c r="D619" s="1" t="s">
        <v>4019</v>
      </c>
      <c r="E619" s="1">
        <v>2019</v>
      </c>
      <c r="F619" s="1">
        <v>13</v>
      </c>
      <c r="G619" s="1">
        <v>1</v>
      </c>
      <c r="H619" s="1" t="s">
        <v>4020</v>
      </c>
      <c r="I619" s="1" t="s">
        <v>4021</v>
      </c>
      <c r="J619" s="1">
        <v>2019</v>
      </c>
      <c r="K619" s="4"/>
      <c r="L619" s="4"/>
      <c r="M619" s="1" t="s">
        <v>4022</v>
      </c>
      <c r="N619" s="3" t="s">
        <v>4023</v>
      </c>
      <c r="O619" s="1" t="s">
        <v>4024</v>
      </c>
      <c r="P619" s="1" t="s">
        <v>4025</v>
      </c>
      <c r="Q619" s="1" t="s">
        <v>2243</v>
      </c>
      <c r="R619" s="4"/>
    </row>
    <row r="620" spans="1:18" x14ac:dyDescent="0.25">
      <c r="A620" s="1" t="s">
        <v>13</v>
      </c>
      <c r="B620" s="1" t="s">
        <v>4026</v>
      </c>
      <c r="C620" s="1" t="s">
        <v>4027</v>
      </c>
      <c r="D620" s="1" t="s">
        <v>307</v>
      </c>
      <c r="E620" s="1">
        <v>2019</v>
      </c>
      <c r="F620" s="1">
        <v>113</v>
      </c>
      <c r="G620" s="4"/>
      <c r="H620" s="1" t="s">
        <v>4028</v>
      </c>
      <c r="I620" s="1" t="s">
        <v>280</v>
      </c>
      <c r="J620" s="1">
        <v>2019</v>
      </c>
      <c r="K620" s="4"/>
      <c r="L620" s="4"/>
      <c r="M620" s="1" t="s">
        <v>308</v>
      </c>
      <c r="N620" s="3" t="s">
        <v>4029</v>
      </c>
      <c r="O620" s="1" t="s">
        <v>4030</v>
      </c>
      <c r="P620" s="1" t="s">
        <v>4031</v>
      </c>
      <c r="Q620" s="1" t="s">
        <v>2723</v>
      </c>
      <c r="R620" s="4"/>
    </row>
    <row r="621" spans="1:18" x14ac:dyDescent="0.25">
      <c r="A621" s="1" t="s">
        <v>13</v>
      </c>
      <c r="B621" s="1" t="s">
        <v>4032</v>
      </c>
      <c r="C621" s="1" t="s">
        <v>4033</v>
      </c>
      <c r="D621" s="1" t="s">
        <v>307</v>
      </c>
      <c r="E621" s="1">
        <v>2019</v>
      </c>
      <c r="F621" s="1">
        <v>112</v>
      </c>
      <c r="G621" s="4"/>
      <c r="H621" s="1" t="s">
        <v>4034</v>
      </c>
      <c r="I621" s="1" t="s">
        <v>280</v>
      </c>
      <c r="J621" s="1">
        <v>2019</v>
      </c>
      <c r="K621" s="4"/>
      <c r="L621" s="4"/>
      <c r="M621" s="1" t="s">
        <v>308</v>
      </c>
      <c r="N621" s="3" t="s">
        <v>4035</v>
      </c>
      <c r="O621" s="1" t="s">
        <v>4036</v>
      </c>
      <c r="P621" s="1" t="s">
        <v>4037</v>
      </c>
      <c r="Q621" s="1" t="s">
        <v>2830</v>
      </c>
      <c r="R621" s="4"/>
    </row>
    <row r="622" spans="1:18" x14ac:dyDescent="0.25">
      <c r="A622" s="1" t="s">
        <v>141</v>
      </c>
      <c r="B622" s="1" t="s">
        <v>3236</v>
      </c>
      <c r="C622" s="1" t="s">
        <v>4038</v>
      </c>
      <c r="D622" s="4"/>
      <c r="E622" s="1">
        <v>2019</v>
      </c>
      <c r="F622" s="4"/>
      <c r="G622" s="4"/>
      <c r="H622" s="1" t="s">
        <v>4039</v>
      </c>
      <c r="I622" s="1" t="s">
        <v>257</v>
      </c>
      <c r="J622" s="1">
        <v>2019</v>
      </c>
      <c r="K622" s="1">
        <v>9781728122700</v>
      </c>
      <c r="L622" s="4"/>
      <c r="M622" s="4"/>
      <c r="N622" s="3" t="s">
        <v>4040</v>
      </c>
      <c r="O622" s="1" t="s">
        <v>4041</v>
      </c>
      <c r="P622" s="1" t="s">
        <v>4042</v>
      </c>
      <c r="Q622" s="1" t="s">
        <v>2723</v>
      </c>
      <c r="R622" s="4"/>
    </row>
    <row r="623" spans="1:18" x14ac:dyDescent="0.25">
      <c r="A623" s="1" t="s">
        <v>13</v>
      </c>
      <c r="B623" s="1" t="s">
        <v>2500</v>
      </c>
      <c r="C623" s="1" t="s">
        <v>4043</v>
      </c>
      <c r="D623" s="1" t="s">
        <v>2974</v>
      </c>
      <c r="E623" s="1">
        <v>2020</v>
      </c>
      <c r="F623" s="1">
        <v>617</v>
      </c>
      <c r="G623" s="4"/>
      <c r="H623" s="1" t="s">
        <v>4044</v>
      </c>
      <c r="I623" s="1" t="s">
        <v>212</v>
      </c>
      <c r="J623" s="1">
        <v>2020</v>
      </c>
      <c r="K623" s="4"/>
      <c r="L623" s="4"/>
      <c r="M623" s="1" t="s">
        <v>2976</v>
      </c>
      <c r="N623" s="3" t="s">
        <v>4045</v>
      </c>
      <c r="O623" s="1" t="s">
        <v>4046</v>
      </c>
      <c r="P623" s="1" t="s">
        <v>4047</v>
      </c>
      <c r="Q623" s="1" t="s">
        <v>157</v>
      </c>
      <c r="R623" s="4"/>
    </row>
    <row r="624" spans="1:18" x14ac:dyDescent="0.25">
      <c r="A624" s="1" t="s">
        <v>141</v>
      </c>
      <c r="B624" s="1" t="s">
        <v>4048</v>
      </c>
      <c r="C624" s="1" t="s">
        <v>4049</v>
      </c>
      <c r="D624" s="4"/>
      <c r="E624" s="1">
        <v>2019</v>
      </c>
      <c r="F624" s="1">
        <v>32</v>
      </c>
      <c r="G624" s="4"/>
      <c r="H624" s="4"/>
      <c r="I624" s="1" t="s">
        <v>3301</v>
      </c>
      <c r="J624" s="1">
        <v>2019</v>
      </c>
      <c r="K624" s="4"/>
      <c r="L624" s="4"/>
      <c r="M624" s="1" t="s">
        <v>3302</v>
      </c>
      <c r="N624" s="3" t="s">
        <v>4050</v>
      </c>
      <c r="O624" s="4"/>
      <c r="P624" s="1" t="s">
        <v>4051</v>
      </c>
      <c r="Q624" s="1" t="s">
        <v>4052</v>
      </c>
      <c r="R624" s="4"/>
    </row>
    <row r="625" spans="1:18" x14ac:dyDescent="0.25">
      <c r="A625" s="1" t="s">
        <v>13</v>
      </c>
      <c r="B625" s="1" t="s">
        <v>4053</v>
      </c>
      <c r="C625" s="1" t="s">
        <v>4054</v>
      </c>
      <c r="D625" s="1" t="s">
        <v>4055</v>
      </c>
      <c r="E625" s="1">
        <v>2020</v>
      </c>
      <c r="F625" s="1">
        <v>2020</v>
      </c>
      <c r="G625" s="4"/>
      <c r="H625" s="4"/>
      <c r="I625" s="1" t="s">
        <v>1333</v>
      </c>
      <c r="J625" s="1">
        <v>2020</v>
      </c>
      <c r="K625" s="4"/>
      <c r="L625" s="4"/>
      <c r="M625" s="1" t="s">
        <v>4056</v>
      </c>
      <c r="N625" s="3" t="s">
        <v>4057</v>
      </c>
      <c r="O625" s="1" t="s">
        <v>4058</v>
      </c>
      <c r="P625" s="1" t="s">
        <v>4059</v>
      </c>
      <c r="Q625" s="1" t="s">
        <v>4060</v>
      </c>
      <c r="R625" s="4"/>
    </row>
    <row r="626" spans="1:18" x14ac:dyDescent="0.25">
      <c r="A626" s="1" t="s">
        <v>13</v>
      </c>
      <c r="B626" s="1" t="s">
        <v>4061</v>
      </c>
      <c r="C626" s="1" t="s">
        <v>4062</v>
      </c>
      <c r="D626" s="1" t="s">
        <v>4063</v>
      </c>
      <c r="E626" s="1">
        <v>2020</v>
      </c>
      <c r="F626" s="1">
        <v>14</v>
      </c>
      <c r="G626" s="1">
        <v>5</v>
      </c>
      <c r="H626" s="1" t="s">
        <v>3376</v>
      </c>
      <c r="I626" s="1" t="s">
        <v>4064</v>
      </c>
      <c r="J626" s="1">
        <v>2020</v>
      </c>
      <c r="K626" s="4"/>
      <c r="L626" s="4"/>
      <c r="M626" s="1" t="s">
        <v>4065</v>
      </c>
      <c r="N626" s="3" t="s">
        <v>4066</v>
      </c>
      <c r="O626" s="1" t="s">
        <v>4067</v>
      </c>
      <c r="P626" s="1" t="s">
        <v>4068</v>
      </c>
      <c r="Q626" s="1" t="s">
        <v>318</v>
      </c>
      <c r="R626" s="4"/>
    </row>
    <row r="627" spans="1:18" x14ac:dyDescent="0.25">
      <c r="A627" s="1" t="s">
        <v>141</v>
      </c>
      <c r="B627" s="1" t="s">
        <v>4069</v>
      </c>
      <c r="C627" s="1" t="s">
        <v>4070</v>
      </c>
      <c r="D627" s="4"/>
      <c r="E627" s="1">
        <v>2019</v>
      </c>
      <c r="F627" s="4"/>
      <c r="G627" s="4"/>
      <c r="H627" s="1" t="s">
        <v>4071</v>
      </c>
      <c r="I627" s="1" t="s">
        <v>257</v>
      </c>
      <c r="J627" s="1">
        <v>2019</v>
      </c>
      <c r="K627" s="1">
        <v>9789532330984</v>
      </c>
      <c r="L627" s="4"/>
      <c r="M627" s="4"/>
      <c r="N627" s="3" t="s">
        <v>4072</v>
      </c>
      <c r="O627" s="1" t="s">
        <v>4073</v>
      </c>
      <c r="P627" s="1" t="s">
        <v>4074</v>
      </c>
      <c r="Q627" s="1" t="s">
        <v>176</v>
      </c>
      <c r="R627" s="4"/>
    </row>
    <row r="628" spans="1:18" x14ac:dyDescent="0.25">
      <c r="A628" s="1" t="s">
        <v>13</v>
      </c>
      <c r="B628" s="1" t="s">
        <v>4075</v>
      </c>
      <c r="C628" s="1" t="s">
        <v>4076</v>
      </c>
      <c r="D628" s="1" t="s">
        <v>227</v>
      </c>
      <c r="E628" s="1">
        <v>2020</v>
      </c>
      <c r="F628" s="1">
        <v>10</v>
      </c>
      <c r="G628" s="1">
        <v>13</v>
      </c>
      <c r="H628" s="4"/>
      <c r="I628" s="1" t="s">
        <v>3431</v>
      </c>
      <c r="J628" s="1">
        <v>2020</v>
      </c>
      <c r="K628" s="4"/>
      <c r="L628" s="4"/>
      <c r="M628" s="1" t="s">
        <v>229</v>
      </c>
      <c r="N628" s="3" t="s">
        <v>4077</v>
      </c>
      <c r="O628" s="1" t="s">
        <v>4078</v>
      </c>
      <c r="P628" s="1" t="s">
        <v>4079</v>
      </c>
      <c r="Q628" s="1" t="s">
        <v>960</v>
      </c>
      <c r="R628" s="4"/>
    </row>
    <row r="629" spans="1:18" x14ac:dyDescent="0.25">
      <c r="A629" s="1" t="s">
        <v>141</v>
      </c>
      <c r="B629" s="1" t="s">
        <v>1226</v>
      </c>
      <c r="C629" s="1" t="s">
        <v>4080</v>
      </c>
      <c r="D629" s="4"/>
      <c r="E629" s="1">
        <v>2020</v>
      </c>
      <c r="F629" s="4"/>
      <c r="G629" s="4"/>
      <c r="H629" s="1" t="s">
        <v>4081</v>
      </c>
      <c r="I629" s="1" t="s">
        <v>145</v>
      </c>
      <c r="J629" s="1">
        <v>2020</v>
      </c>
      <c r="K629" s="1">
        <v>9781450377317</v>
      </c>
      <c r="L629" s="4"/>
      <c r="M629" s="4"/>
      <c r="N629" s="3" t="s">
        <v>4082</v>
      </c>
      <c r="O629" s="1" t="s">
        <v>4083</v>
      </c>
      <c r="P629" s="1" t="s">
        <v>4084</v>
      </c>
      <c r="Q629" s="1" t="s">
        <v>1573</v>
      </c>
      <c r="R629" s="4"/>
    </row>
    <row r="630" spans="1:18" x14ac:dyDescent="0.25">
      <c r="A630" s="1" t="s">
        <v>141</v>
      </c>
      <c r="B630" s="1" t="s">
        <v>4085</v>
      </c>
      <c r="C630" s="1" t="s">
        <v>4086</v>
      </c>
      <c r="D630" s="4"/>
      <c r="E630" s="1">
        <v>2019</v>
      </c>
      <c r="F630" s="4"/>
      <c r="G630" s="4"/>
      <c r="H630" s="1" t="s">
        <v>3846</v>
      </c>
      <c r="I630" s="1" t="s">
        <v>153</v>
      </c>
      <c r="J630" s="1">
        <v>2019</v>
      </c>
      <c r="K630" s="1">
        <v>9781450368551</v>
      </c>
      <c r="L630" s="4"/>
      <c r="M630" s="4"/>
      <c r="N630" s="3" t="s">
        <v>4087</v>
      </c>
      <c r="O630" s="1" t="s">
        <v>4088</v>
      </c>
      <c r="P630" s="1" t="s">
        <v>4089</v>
      </c>
      <c r="Q630" s="1" t="s">
        <v>2804</v>
      </c>
      <c r="R630" s="4"/>
    </row>
    <row r="631" spans="1:18" x14ac:dyDescent="0.25">
      <c r="A631" s="1" t="s">
        <v>141</v>
      </c>
      <c r="B631" s="1" t="s">
        <v>4090</v>
      </c>
      <c r="C631" s="1" t="s">
        <v>4091</v>
      </c>
      <c r="D631" s="4"/>
      <c r="E631" s="1">
        <v>2019</v>
      </c>
      <c r="F631" s="4"/>
      <c r="G631" s="4"/>
      <c r="H631" s="1" t="s">
        <v>4092</v>
      </c>
      <c r="I631" s="1" t="s">
        <v>257</v>
      </c>
      <c r="J631" s="1">
        <v>2019</v>
      </c>
      <c r="K631" s="1">
        <v>9781728132853</v>
      </c>
      <c r="L631" s="4"/>
      <c r="M631" s="4"/>
      <c r="N631" s="3" t="s">
        <v>4093</v>
      </c>
      <c r="O631" s="1" t="s">
        <v>4094</v>
      </c>
      <c r="P631" s="1" t="s">
        <v>4095</v>
      </c>
      <c r="Q631" s="1" t="s">
        <v>1765</v>
      </c>
      <c r="R631" s="4"/>
    </row>
    <row r="632" spans="1:18" x14ac:dyDescent="0.25">
      <c r="A632" s="1" t="s">
        <v>141</v>
      </c>
      <c r="B632" s="1" t="s">
        <v>4096</v>
      </c>
      <c r="C632" s="1" t="s">
        <v>4097</v>
      </c>
      <c r="D632" s="4"/>
      <c r="E632" s="1">
        <v>2020</v>
      </c>
      <c r="F632" s="4"/>
      <c r="G632" s="4"/>
      <c r="H632" s="4"/>
      <c r="I632" s="1" t="s">
        <v>257</v>
      </c>
      <c r="J632" s="1">
        <v>2020</v>
      </c>
      <c r="K632" s="1">
        <v>9781728147161</v>
      </c>
      <c r="L632" s="4"/>
      <c r="M632" s="4"/>
      <c r="N632" s="3" t="s">
        <v>4098</v>
      </c>
      <c r="O632" s="1" t="s">
        <v>4099</v>
      </c>
      <c r="P632" s="1" t="s">
        <v>4100</v>
      </c>
      <c r="Q632" s="1" t="s">
        <v>2990</v>
      </c>
      <c r="R632" s="4"/>
    </row>
    <row r="633" spans="1:18" x14ac:dyDescent="0.25">
      <c r="A633" s="1" t="s">
        <v>13</v>
      </c>
      <c r="B633" s="1" t="s">
        <v>4101</v>
      </c>
      <c r="C633" s="1" t="s">
        <v>4102</v>
      </c>
      <c r="D633" s="1" t="s">
        <v>307</v>
      </c>
      <c r="E633" s="1">
        <v>2020</v>
      </c>
      <c r="F633" s="1">
        <v>122</v>
      </c>
      <c r="G633" s="4"/>
      <c r="H633" s="4"/>
      <c r="I633" s="1" t="s">
        <v>280</v>
      </c>
      <c r="J633" s="1">
        <v>2020</v>
      </c>
      <c r="K633" s="4"/>
      <c r="L633" s="4"/>
      <c r="M633" s="1" t="s">
        <v>308</v>
      </c>
      <c r="N633" s="3" t="s">
        <v>4103</v>
      </c>
      <c r="O633" s="1" t="s">
        <v>4104</v>
      </c>
      <c r="P633" s="1" t="s">
        <v>4105</v>
      </c>
      <c r="Q633" s="1" t="s">
        <v>4106</v>
      </c>
      <c r="R633" s="4"/>
    </row>
    <row r="634" spans="1:18" x14ac:dyDescent="0.25">
      <c r="A634" s="1" t="s">
        <v>141</v>
      </c>
      <c r="B634" s="1" t="s">
        <v>4107</v>
      </c>
      <c r="C634" s="1" t="s">
        <v>4108</v>
      </c>
      <c r="D634" s="4"/>
      <c r="E634" s="1">
        <v>2019</v>
      </c>
      <c r="F634" s="4"/>
      <c r="G634" s="4"/>
      <c r="H634" s="1" t="s">
        <v>4109</v>
      </c>
      <c r="I634" s="1" t="s">
        <v>257</v>
      </c>
      <c r="J634" s="1">
        <v>2019</v>
      </c>
      <c r="K634" s="1">
        <v>9781728139272</v>
      </c>
      <c r="L634" s="4"/>
      <c r="M634" s="4"/>
      <c r="N634" s="3" t="s">
        <v>4110</v>
      </c>
      <c r="O634" s="1" t="s">
        <v>4111</v>
      </c>
      <c r="P634" s="1" t="s">
        <v>4112</v>
      </c>
      <c r="Q634" s="1" t="s">
        <v>1813</v>
      </c>
      <c r="R634" s="4"/>
    </row>
    <row r="635" spans="1:18" x14ac:dyDescent="0.25">
      <c r="A635" s="1" t="s">
        <v>13</v>
      </c>
      <c r="B635" s="1" t="s">
        <v>4113</v>
      </c>
      <c r="C635" s="1" t="s">
        <v>4114</v>
      </c>
      <c r="D635" s="1" t="s">
        <v>462</v>
      </c>
      <c r="E635" s="1">
        <v>2020</v>
      </c>
      <c r="F635" s="1" t="s">
        <v>4115</v>
      </c>
      <c r="G635" s="4"/>
      <c r="H635" s="1" t="s">
        <v>4116</v>
      </c>
      <c r="I635" s="1" t="s">
        <v>212</v>
      </c>
      <c r="J635" s="1">
        <v>2020</v>
      </c>
      <c r="K635" s="4"/>
      <c r="L635" s="4"/>
      <c r="M635" s="1" t="s">
        <v>465</v>
      </c>
      <c r="N635" s="3" t="s">
        <v>4117</v>
      </c>
      <c r="O635" s="1" t="s">
        <v>4118</v>
      </c>
      <c r="P635" s="1" t="s">
        <v>4119</v>
      </c>
      <c r="Q635" s="1" t="s">
        <v>4120</v>
      </c>
      <c r="R635" s="4"/>
    </row>
    <row r="636" spans="1:18" x14ac:dyDescent="0.25">
      <c r="A636" s="1" t="s">
        <v>13</v>
      </c>
      <c r="B636" s="1" t="s">
        <v>4121</v>
      </c>
      <c r="C636" s="1" t="s">
        <v>4122</v>
      </c>
      <c r="D636" s="1" t="s">
        <v>307</v>
      </c>
      <c r="E636" s="1">
        <v>2020</v>
      </c>
      <c r="F636" s="1">
        <v>121</v>
      </c>
      <c r="G636" s="4"/>
      <c r="H636" s="4"/>
      <c r="I636" s="1" t="s">
        <v>280</v>
      </c>
      <c r="J636" s="1">
        <v>2020</v>
      </c>
      <c r="K636" s="4"/>
      <c r="L636" s="4"/>
      <c r="M636" s="1" t="s">
        <v>308</v>
      </c>
      <c r="N636" s="3" t="s">
        <v>4123</v>
      </c>
      <c r="O636" s="1" t="s">
        <v>4124</v>
      </c>
      <c r="P636" s="1" t="s">
        <v>4125</v>
      </c>
      <c r="Q636" s="1" t="s">
        <v>3118</v>
      </c>
      <c r="R636" s="4"/>
    </row>
    <row r="637" spans="1:18" x14ac:dyDescent="0.25">
      <c r="A637" s="1" t="s">
        <v>13</v>
      </c>
      <c r="B637" s="1" t="s">
        <v>4126</v>
      </c>
      <c r="C637" s="1" t="s">
        <v>4127</v>
      </c>
      <c r="D637" s="1" t="s">
        <v>4128</v>
      </c>
      <c r="E637" s="1">
        <v>2019</v>
      </c>
      <c r="F637" s="1">
        <v>47</v>
      </c>
      <c r="G637" s="4"/>
      <c r="H637" s="1" t="s">
        <v>4129</v>
      </c>
      <c r="I637" s="1" t="s">
        <v>280</v>
      </c>
      <c r="J637" s="1">
        <v>2019</v>
      </c>
      <c r="K637" s="4"/>
      <c r="L637" s="4"/>
      <c r="M637" s="1" t="s">
        <v>4130</v>
      </c>
      <c r="N637" s="3" t="s">
        <v>4131</v>
      </c>
      <c r="O637" s="1" t="s">
        <v>4132</v>
      </c>
      <c r="P637" s="1" t="s">
        <v>4133</v>
      </c>
      <c r="Q637" s="1" t="s">
        <v>1573</v>
      </c>
      <c r="R637" s="4"/>
    </row>
    <row r="638" spans="1:18" x14ac:dyDescent="0.25">
      <c r="A638" s="1" t="s">
        <v>141</v>
      </c>
      <c r="B638" s="1" t="s">
        <v>4134</v>
      </c>
      <c r="C638" s="1" t="s">
        <v>4135</v>
      </c>
      <c r="D638" s="4"/>
      <c r="E638" s="1">
        <v>2020</v>
      </c>
      <c r="F638" s="4"/>
      <c r="G638" s="4"/>
      <c r="H638" s="1" t="s">
        <v>4136</v>
      </c>
      <c r="I638" s="1" t="s">
        <v>153</v>
      </c>
      <c r="J638" s="1">
        <v>2020</v>
      </c>
      <c r="K638" s="1">
        <v>9781450375122</v>
      </c>
      <c r="L638" s="4"/>
      <c r="M638" s="4"/>
      <c r="N638" s="3" t="s">
        <v>4137</v>
      </c>
      <c r="O638" s="1" t="s">
        <v>4138</v>
      </c>
      <c r="P638" s="1" t="s">
        <v>4139</v>
      </c>
      <c r="Q638" s="1" t="s">
        <v>1573</v>
      </c>
      <c r="R638" s="4"/>
    </row>
    <row r="639" spans="1:18" x14ac:dyDescent="0.25">
      <c r="A639" s="1" t="s">
        <v>141</v>
      </c>
      <c r="B639" s="1" t="s">
        <v>4140</v>
      </c>
      <c r="C639" s="1" t="s">
        <v>4141</v>
      </c>
      <c r="D639" s="4"/>
      <c r="E639" s="1">
        <v>2019</v>
      </c>
      <c r="F639" s="4"/>
      <c r="G639" s="4"/>
      <c r="H639" s="1" t="s">
        <v>1905</v>
      </c>
      <c r="I639" s="1" t="s">
        <v>153</v>
      </c>
      <c r="J639" s="1">
        <v>2019</v>
      </c>
      <c r="K639" s="1">
        <v>9781450355728</v>
      </c>
      <c r="L639" s="4"/>
      <c r="M639" s="4"/>
      <c r="N639" s="3" t="s">
        <v>4142</v>
      </c>
      <c r="O639" s="1" t="s">
        <v>4143</v>
      </c>
      <c r="P639" s="1" t="s">
        <v>4144</v>
      </c>
      <c r="Q639" s="1" t="s">
        <v>1887</v>
      </c>
      <c r="R639" s="4"/>
    </row>
    <row r="640" spans="1:18" x14ac:dyDescent="0.25">
      <c r="A640" s="1" t="s">
        <v>13</v>
      </c>
      <c r="B640" s="1" t="s">
        <v>4145</v>
      </c>
      <c r="C640" s="1" t="s">
        <v>4146</v>
      </c>
      <c r="D640" s="1" t="s">
        <v>307</v>
      </c>
      <c r="E640" s="1">
        <v>2019</v>
      </c>
      <c r="F640" s="1">
        <v>108</v>
      </c>
      <c r="G640" s="4"/>
      <c r="H640" s="1" t="s">
        <v>4147</v>
      </c>
      <c r="I640" s="1" t="s">
        <v>280</v>
      </c>
      <c r="J640" s="1">
        <v>2019</v>
      </c>
      <c r="K640" s="4"/>
      <c r="L640" s="4"/>
      <c r="M640" s="1" t="s">
        <v>308</v>
      </c>
      <c r="N640" s="3" t="s">
        <v>4148</v>
      </c>
      <c r="O640" s="1" t="s">
        <v>4149</v>
      </c>
      <c r="P640" s="1" t="s">
        <v>4150</v>
      </c>
      <c r="Q640" s="1" t="s">
        <v>4151</v>
      </c>
      <c r="R640" s="4"/>
    </row>
    <row r="641" spans="1:18" x14ac:dyDescent="0.25">
      <c r="A641" s="1" t="s">
        <v>13</v>
      </c>
      <c r="B641" s="1" t="s">
        <v>4152</v>
      </c>
      <c r="C641" s="1" t="s">
        <v>4153</v>
      </c>
      <c r="D641" s="1" t="s">
        <v>1870</v>
      </c>
      <c r="E641" s="1">
        <v>2019</v>
      </c>
      <c r="F641" s="1">
        <v>355</v>
      </c>
      <c r="G641" s="4"/>
      <c r="H641" s="1" t="s">
        <v>4154</v>
      </c>
      <c r="I641" s="1" t="s">
        <v>4155</v>
      </c>
      <c r="J641" s="1">
        <v>2019</v>
      </c>
      <c r="K641" s="4"/>
      <c r="L641" s="4"/>
      <c r="M641" s="1" t="s">
        <v>1873</v>
      </c>
      <c r="N641" s="3" t="s">
        <v>4156</v>
      </c>
      <c r="O641" s="1" t="s">
        <v>4157</v>
      </c>
      <c r="P641" s="1" t="s">
        <v>4158</v>
      </c>
      <c r="Q641" s="1" t="s">
        <v>4159</v>
      </c>
      <c r="R641" s="4"/>
    </row>
    <row r="642" spans="1:18" x14ac:dyDescent="0.25">
      <c r="A642" s="1" t="s">
        <v>141</v>
      </c>
      <c r="B642" s="1" t="s">
        <v>4160</v>
      </c>
      <c r="C642" s="1" t="s">
        <v>4161</v>
      </c>
      <c r="D642" s="4"/>
      <c r="E642" s="1">
        <v>2019</v>
      </c>
      <c r="F642" s="7">
        <v>43739</v>
      </c>
      <c r="G642" s="4"/>
      <c r="H642" s="1" t="s">
        <v>4162</v>
      </c>
      <c r="I642" s="1" t="s">
        <v>196</v>
      </c>
      <c r="J642" s="1">
        <v>2019</v>
      </c>
      <c r="K642" s="1">
        <v>9781728109459</v>
      </c>
      <c r="L642" s="4"/>
      <c r="M642" s="1" t="s">
        <v>4163</v>
      </c>
      <c r="N642" s="3" t="s">
        <v>4164</v>
      </c>
      <c r="O642" s="1" t="s">
        <v>4165</v>
      </c>
      <c r="P642" s="1" t="s">
        <v>4166</v>
      </c>
      <c r="Q642" s="1" t="s">
        <v>185</v>
      </c>
      <c r="R642" s="4"/>
    </row>
    <row r="643" spans="1:18" x14ac:dyDescent="0.25">
      <c r="A643" s="1" t="s">
        <v>13</v>
      </c>
      <c r="B643" s="1" t="s">
        <v>4167</v>
      </c>
      <c r="C643" s="1" t="s">
        <v>4168</v>
      </c>
      <c r="D643" s="1" t="s">
        <v>1827</v>
      </c>
      <c r="E643" s="1">
        <v>2019</v>
      </c>
      <c r="F643" s="1">
        <v>182</v>
      </c>
      <c r="G643" s="4"/>
      <c r="H643" s="1" t="s">
        <v>4169</v>
      </c>
      <c r="I643" s="1" t="s">
        <v>280</v>
      </c>
      <c r="J643" s="1">
        <v>2019</v>
      </c>
      <c r="K643" s="4"/>
      <c r="L643" s="4"/>
      <c r="M643" s="1" t="s">
        <v>1828</v>
      </c>
      <c r="N643" s="3" t="s">
        <v>4170</v>
      </c>
      <c r="O643" s="1" t="s">
        <v>4171</v>
      </c>
      <c r="P643" s="1" t="s">
        <v>4172</v>
      </c>
      <c r="Q643" s="1" t="s">
        <v>397</v>
      </c>
      <c r="R643" s="4"/>
    </row>
    <row r="644" spans="1:18" x14ac:dyDescent="0.25">
      <c r="A644" s="1" t="s">
        <v>141</v>
      </c>
      <c r="B644" s="1" t="s">
        <v>4173</v>
      </c>
      <c r="C644" s="1" t="s">
        <v>4174</v>
      </c>
      <c r="D644" s="4"/>
      <c r="E644" s="1">
        <v>2020</v>
      </c>
      <c r="F644" s="4"/>
      <c r="G644" s="4"/>
      <c r="H644" s="4"/>
      <c r="I644" s="1" t="s">
        <v>4175</v>
      </c>
      <c r="J644" s="1">
        <v>2020</v>
      </c>
      <c r="K644" s="4"/>
      <c r="L644" s="4"/>
      <c r="M644" s="4"/>
      <c r="N644" s="3" t="s">
        <v>4176</v>
      </c>
      <c r="O644" s="4"/>
      <c r="P644" s="1" t="s">
        <v>4177</v>
      </c>
      <c r="Q644" s="1" t="s">
        <v>157</v>
      </c>
      <c r="R644" s="4"/>
    </row>
    <row r="645" spans="1:18" x14ac:dyDescent="0.25">
      <c r="A645" s="1" t="s">
        <v>141</v>
      </c>
      <c r="B645" s="1" t="s">
        <v>4178</v>
      </c>
      <c r="C645" s="1" t="s">
        <v>4179</v>
      </c>
      <c r="D645" s="4"/>
      <c r="E645" s="1">
        <v>2019</v>
      </c>
      <c r="F645" s="1">
        <v>2520</v>
      </c>
      <c r="G645" s="4"/>
      <c r="H645" s="1" t="s">
        <v>4180</v>
      </c>
      <c r="I645" s="1" t="s">
        <v>613</v>
      </c>
      <c r="J645" s="1">
        <v>2019</v>
      </c>
      <c r="K645" s="4"/>
      <c r="L645" s="4"/>
      <c r="M645" s="1" t="s">
        <v>614</v>
      </c>
      <c r="N645" s="3" t="s">
        <v>4181</v>
      </c>
      <c r="O645" s="4"/>
      <c r="P645" s="1" t="s">
        <v>4182</v>
      </c>
      <c r="Q645" s="1" t="s">
        <v>157</v>
      </c>
      <c r="R645" s="4"/>
    </row>
    <row r="646" spans="1:18" x14ac:dyDescent="0.25">
      <c r="A646" s="1" t="s">
        <v>141</v>
      </c>
      <c r="B646" s="1" t="s">
        <v>4183</v>
      </c>
      <c r="C646" s="1" t="s">
        <v>4184</v>
      </c>
      <c r="D646" s="4"/>
      <c r="E646" s="1">
        <v>2020</v>
      </c>
      <c r="F646" s="1">
        <v>1691</v>
      </c>
      <c r="G646" s="4"/>
      <c r="H646" s="4"/>
      <c r="I646" s="1" t="s">
        <v>2437</v>
      </c>
      <c r="J646" s="1">
        <v>2020</v>
      </c>
      <c r="K646" s="4"/>
      <c r="L646" s="4"/>
      <c r="M646" s="1" t="s">
        <v>2438</v>
      </c>
      <c r="N646" s="3" t="s">
        <v>4185</v>
      </c>
      <c r="O646" s="1" t="s">
        <v>4186</v>
      </c>
      <c r="P646" s="1" t="s">
        <v>4187</v>
      </c>
      <c r="Q646" s="1" t="s">
        <v>568</v>
      </c>
      <c r="R646" s="4"/>
    </row>
    <row r="647" spans="1:18" x14ac:dyDescent="0.25">
      <c r="A647" s="1" t="s">
        <v>141</v>
      </c>
      <c r="B647" s="1" t="s">
        <v>4188</v>
      </c>
      <c r="C647" s="1" t="s">
        <v>4189</v>
      </c>
      <c r="D647" s="4"/>
      <c r="E647" s="1">
        <v>2019</v>
      </c>
      <c r="F647" s="1">
        <v>2520</v>
      </c>
      <c r="G647" s="4"/>
      <c r="H647" s="1" t="s">
        <v>4190</v>
      </c>
      <c r="I647" s="1" t="s">
        <v>613</v>
      </c>
      <c r="J647" s="1">
        <v>2019</v>
      </c>
      <c r="K647" s="4"/>
      <c r="L647" s="4"/>
      <c r="M647" s="1" t="s">
        <v>614</v>
      </c>
      <c r="N647" s="3" t="s">
        <v>4191</v>
      </c>
      <c r="O647" s="4"/>
      <c r="P647" s="1" t="s">
        <v>4192</v>
      </c>
      <c r="Q647" s="1" t="s">
        <v>157</v>
      </c>
      <c r="R647" s="4"/>
    </row>
    <row r="648" spans="1:18" x14ac:dyDescent="0.25">
      <c r="A648" s="1" t="s">
        <v>141</v>
      </c>
      <c r="B648" s="1" t="s">
        <v>1095</v>
      </c>
      <c r="C648" s="1" t="s">
        <v>4193</v>
      </c>
      <c r="D648" s="4"/>
      <c r="E648" s="1">
        <v>2020</v>
      </c>
      <c r="F648" s="4"/>
      <c r="G648" s="4"/>
      <c r="H648" s="1" t="s">
        <v>4194</v>
      </c>
      <c r="I648" s="1" t="s">
        <v>153</v>
      </c>
      <c r="J648" s="1">
        <v>2020</v>
      </c>
      <c r="K648" s="1">
        <v>9781450379571</v>
      </c>
      <c r="L648" s="4"/>
      <c r="M648" s="4"/>
      <c r="N648" s="3" t="s">
        <v>4195</v>
      </c>
      <c r="O648" s="1" t="s">
        <v>4196</v>
      </c>
      <c r="P648" s="1" t="s">
        <v>4197</v>
      </c>
      <c r="Q648" s="1" t="s">
        <v>2243</v>
      </c>
      <c r="R648" s="4"/>
    </row>
    <row r="649" spans="1:18" x14ac:dyDescent="0.25">
      <c r="A649" s="1" t="s">
        <v>141</v>
      </c>
      <c r="B649" s="1" t="s">
        <v>4198</v>
      </c>
      <c r="C649" s="1" t="s">
        <v>4199</v>
      </c>
      <c r="D649" s="4"/>
      <c r="E649" s="1">
        <v>2020</v>
      </c>
      <c r="F649" s="4"/>
      <c r="G649" s="4"/>
      <c r="H649" s="1" t="s">
        <v>4200</v>
      </c>
      <c r="I649" s="1" t="s">
        <v>257</v>
      </c>
      <c r="J649" s="1">
        <v>2020</v>
      </c>
      <c r="K649" s="1">
        <v>9781728155180</v>
      </c>
      <c r="L649" s="4"/>
      <c r="M649" s="4"/>
      <c r="N649" s="3" t="s">
        <v>4201</v>
      </c>
      <c r="O649" s="1" t="s">
        <v>4202</v>
      </c>
      <c r="P649" s="1" t="s">
        <v>4203</v>
      </c>
      <c r="Q649" s="1" t="s">
        <v>185</v>
      </c>
      <c r="R649" s="4"/>
    </row>
    <row r="650" spans="1:18" x14ac:dyDescent="0.25">
      <c r="A650" s="1" t="s">
        <v>539</v>
      </c>
      <c r="B650" s="1" t="s">
        <v>4204</v>
      </c>
      <c r="C650" s="1" t="s">
        <v>4205</v>
      </c>
      <c r="D650" s="4"/>
      <c r="E650" s="1">
        <v>2020</v>
      </c>
      <c r="F650" s="4"/>
      <c r="G650" s="4"/>
      <c r="H650" s="4"/>
      <c r="I650" s="1" t="s">
        <v>4206</v>
      </c>
      <c r="J650" s="1">
        <v>2020</v>
      </c>
      <c r="K650" s="1">
        <v>9783030369187</v>
      </c>
      <c r="L650" s="1">
        <v>9783030369170</v>
      </c>
      <c r="M650" s="4"/>
      <c r="N650" s="3" t="s">
        <v>4207</v>
      </c>
      <c r="O650" s="1" t="s">
        <v>4208</v>
      </c>
      <c r="P650" s="1" t="s">
        <v>4209</v>
      </c>
      <c r="Q650" s="1" t="s">
        <v>1094</v>
      </c>
      <c r="R650" s="1" t="s">
        <v>4210</v>
      </c>
    </row>
    <row r="651" spans="1:18" x14ac:dyDescent="0.25">
      <c r="A651" s="1" t="s">
        <v>13</v>
      </c>
      <c r="B651" s="1" t="s">
        <v>4211</v>
      </c>
      <c r="C651" s="1" t="s">
        <v>4212</v>
      </c>
      <c r="D651" s="1" t="s">
        <v>1870</v>
      </c>
      <c r="E651" s="1">
        <v>2020</v>
      </c>
      <c r="F651" s="1" t="s">
        <v>4213</v>
      </c>
      <c r="G651" s="4"/>
      <c r="H651" s="1" t="s">
        <v>4214</v>
      </c>
      <c r="I651" s="1" t="s">
        <v>137</v>
      </c>
      <c r="J651" s="1">
        <v>2020</v>
      </c>
      <c r="K651" s="4"/>
      <c r="L651" s="4"/>
      <c r="M651" s="1" t="s">
        <v>1873</v>
      </c>
      <c r="N651" s="3" t="s">
        <v>4215</v>
      </c>
      <c r="O651" s="1" t="s">
        <v>4216</v>
      </c>
      <c r="P651" s="1" t="s">
        <v>4217</v>
      </c>
      <c r="Q651" s="1" t="s">
        <v>2201</v>
      </c>
      <c r="R651" s="4"/>
    </row>
    <row r="652" spans="1:18" x14ac:dyDescent="0.25">
      <c r="A652" s="1" t="s">
        <v>13</v>
      </c>
      <c r="B652" s="1" t="s">
        <v>4218</v>
      </c>
      <c r="C652" s="1" t="s">
        <v>4219</v>
      </c>
      <c r="D652" s="1" t="s">
        <v>878</v>
      </c>
      <c r="E652" s="1">
        <v>2019</v>
      </c>
      <c r="F652" s="1">
        <v>31</v>
      </c>
      <c r="G652" s="1">
        <v>9</v>
      </c>
      <c r="H652" s="4"/>
      <c r="I652" s="1" t="s">
        <v>266</v>
      </c>
      <c r="J652" s="1">
        <v>2019</v>
      </c>
      <c r="K652" s="4"/>
      <c r="L652" s="4"/>
      <c r="M652" s="1" t="s">
        <v>879</v>
      </c>
      <c r="N652" s="3" t="s">
        <v>4220</v>
      </c>
      <c r="O652" s="1" t="s">
        <v>4221</v>
      </c>
      <c r="P652" s="1" t="s">
        <v>4222</v>
      </c>
      <c r="Q652" s="1" t="s">
        <v>2723</v>
      </c>
      <c r="R652" s="4"/>
    </row>
    <row r="653" spans="1:18" x14ac:dyDescent="0.25">
      <c r="A653" s="1" t="s">
        <v>13</v>
      </c>
      <c r="B653" s="1" t="s">
        <v>4223</v>
      </c>
      <c r="C653" s="1" t="s">
        <v>4224</v>
      </c>
      <c r="D653" s="1" t="s">
        <v>354</v>
      </c>
      <c r="E653" s="1">
        <v>2019</v>
      </c>
      <c r="F653" s="1">
        <v>149</v>
      </c>
      <c r="G653" s="4"/>
      <c r="H653" s="1" t="s">
        <v>4225</v>
      </c>
      <c r="I653" s="1" t="s">
        <v>355</v>
      </c>
      <c r="J653" s="1">
        <v>2019</v>
      </c>
      <c r="K653" s="4"/>
      <c r="L653" s="4"/>
      <c r="M653" s="1" t="s">
        <v>65</v>
      </c>
      <c r="N653" s="3" t="s">
        <v>4226</v>
      </c>
      <c r="O653" s="1" t="s">
        <v>4227</v>
      </c>
      <c r="P653" s="1" t="s">
        <v>4228</v>
      </c>
      <c r="Q653" s="1" t="s">
        <v>4229</v>
      </c>
      <c r="R653" s="4"/>
    </row>
    <row r="654" spans="1:18" x14ac:dyDescent="0.25">
      <c r="A654" s="1" t="s">
        <v>13</v>
      </c>
      <c r="B654" s="1" t="s">
        <v>4230</v>
      </c>
      <c r="C654" s="1" t="s">
        <v>4231</v>
      </c>
      <c r="D654" s="1" t="s">
        <v>4232</v>
      </c>
      <c r="E654" s="1">
        <v>2020</v>
      </c>
      <c r="F654" s="1">
        <v>13</v>
      </c>
      <c r="G654" s="1">
        <v>12</v>
      </c>
      <c r="H654" s="1" t="s">
        <v>4233</v>
      </c>
      <c r="I654" s="1" t="s">
        <v>4234</v>
      </c>
      <c r="J654" s="1">
        <v>2020</v>
      </c>
      <c r="K654" s="4"/>
      <c r="L654" s="4"/>
      <c r="M654" s="1" t="s">
        <v>4235</v>
      </c>
      <c r="N654" s="3" t="s">
        <v>4236</v>
      </c>
      <c r="O654" s="1" t="s">
        <v>4237</v>
      </c>
      <c r="P654" s="1" t="s">
        <v>4238</v>
      </c>
      <c r="Q654" s="1" t="s">
        <v>2579</v>
      </c>
      <c r="R654" s="4"/>
    </row>
    <row r="655" spans="1:18" x14ac:dyDescent="0.25">
      <c r="A655" s="1" t="s">
        <v>13</v>
      </c>
      <c r="B655" s="1" t="s">
        <v>4239</v>
      </c>
      <c r="C655" s="1" t="s">
        <v>4240</v>
      </c>
      <c r="D655" s="1" t="s">
        <v>4232</v>
      </c>
      <c r="E655" s="1">
        <v>2020</v>
      </c>
      <c r="F655" s="1">
        <v>14</v>
      </c>
      <c r="G655" s="1">
        <v>4</v>
      </c>
      <c r="H655" s="1" t="s">
        <v>4241</v>
      </c>
      <c r="I655" s="1" t="s">
        <v>4234</v>
      </c>
      <c r="J655" s="1">
        <v>2020</v>
      </c>
      <c r="K655" s="4"/>
      <c r="L655" s="4"/>
      <c r="M655" s="1" t="s">
        <v>4235</v>
      </c>
      <c r="N655" s="3" t="s">
        <v>4242</v>
      </c>
      <c r="O655" s="1" t="s">
        <v>4243</v>
      </c>
      <c r="P655" s="1" t="s">
        <v>4244</v>
      </c>
      <c r="Q655" s="1" t="s">
        <v>289</v>
      </c>
      <c r="R655" s="4"/>
    </row>
    <row r="656" spans="1:18" x14ac:dyDescent="0.25">
      <c r="A656" s="1" t="s">
        <v>13</v>
      </c>
      <c r="B656" s="1" t="s">
        <v>4245</v>
      </c>
      <c r="C656" s="1" t="s">
        <v>4246</v>
      </c>
      <c r="D656" s="1" t="s">
        <v>3475</v>
      </c>
      <c r="E656" s="1">
        <v>2020</v>
      </c>
      <c r="F656" s="1">
        <v>1134</v>
      </c>
      <c r="G656" s="4"/>
      <c r="H656" s="1" t="s">
        <v>4247</v>
      </c>
      <c r="I656" s="1" t="s">
        <v>137</v>
      </c>
      <c r="J656" s="1">
        <v>2020</v>
      </c>
      <c r="K656" s="4"/>
      <c r="L656" s="4"/>
      <c r="M656" s="1" t="s">
        <v>3478</v>
      </c>
      <c r="N656" s="3" t="s">
        <v>4248</v>
      </c>
      <c r="O656" s="1" t="s">
        <v>4249</v>
      </c>
      <c r="P656" s="1" t="s">
        <v>4250</v>
      </c>
      <c r="Q656" s="1" t="s">
        <v>185</v>
      </c>
      <c r="R656" s="4"/>
    </row>
    <row r="657" spans="1:18" x14ac:dyDescent="0.25">
      <c r="A657" s="1" t="s">
        <v>141</v>
      </c>
      <c r="B657" s="1" t="s">
        <v>4251</v>
      </c>
      <c r="C657" s="1" t="s">
        <v>4252</v>
      </c>
      <c r="D657" s="4"/>
      <c r="E657" s="1">
        <v>2019</v>
      </c>
      <c r="F657" s="4"/>
      <c r="G657" s="4"/>
      <c r="H657" s="1" t="s">
        <v>4253</v>
      </c>
      <c r="I657" s="1" t="s">
        <v>257</v>
      </c>
      <c r="J657" s="1">
        <v>2019</v>
      </c>
      <c r="K657" s="1">
        <v>9781728133713</v>
      </c>
      <c r="L657" s="4"/>
      <c r="M657" s="4"/>
      <c r="N657" s="3" t="s">
        <v>4254</v>
      </c>
      <c r="O657" s="1" t="s">
        <v>4255</v>
      </c>
      <c r="P657" s="1" t="s">
        <v>4256</v>
      </c>
      <c r="Q657" s="1" t="s">
        <v>2723</v>
      </c>
      <c r="R657" s="4"/>
    </row>
    <row r="658" spans="1:18" x14ac:dyDescent="0.25">
      <c r="A658" s="1" t="s">
        <v>13</v>
      </c>
      <c r="B658" s="1" t="s">
        <v>4257</v>
      </c>
      <c r="C658" s="1" t="s">
        <v>4258</v>
      </c>
      <c r="D658" s="1" t="s">
        <v>1870</v>
      </c>
      <c r="E658" s="1">
        <v>2019</v>
      </c>
      <c r="F658" s="1" t="s">
        <v>4259</v>
      </c>
      <c r="G658" s="4"/>
      <c r="H658" s="1" t="s">
        <v>4260</v>
      </c>
      <c r="I658" s="1" t="s">
        <v>137</v>
      </c>
      <c r="J658" s="1">
        <v>2019</v>
      </c>
      <c r="K658" s="4"/>
      <c r="L658" s="4"/>
      <c r="M658" s="1" t="s">
        <v>1873</v>
      </c>
      <c r="N658" s="3" t="s">
        <v>4261</v>
      </c>
      <c r="O658" s="1" t="s">
        <v>4262</v>
      </c>
      <c r="P658" s="1" t="s">
        <v>4263</v>
      </c>
      <c r="Q658" s="1" t="s">
        <v>318</v>
      </c>
      <c r="R658" s="4"/>
    </row>
    <row r="659" spans="1:18" x14ac:dyDescent="0.25">
      <c r="A659" s="1" t="s">
        <v>13</v>
      </c>
      <c r="B659" s="1" t="s">
        <v>4264</v>
      </c>
      <c r="C659" s="1" t="s">
        <v>4265</v>
      </c>
      <c r="D659" s="1" t="s">
        <v>4266</v>
      </c>
      <c r="E659" s="1">
        <v>2019</v>
      </c>
      <c r="F659" s="1">
        <v>11</v>
      </c>
      <c r="G659" s="1">
        <v>1</v>
      </c>
      <c r="H659" s="1" t="s">
        <v>4267</v>
      </c>
      <c r="I659" s="1" t="s">
        <v>4268</v>
      </c>
      <c r="J659" s="1">
        <v>2019</v>
      </c>
      <c r="K659" s="4"/>
      <c r="L659" s="4"/>
      <c r="M659" s="1" t="s">
        <v>4269</v>
      </c>
      <c r="N659" s="3" t="s">
        <v>4270</v>
      </c>
      <c r="O659" s="1" t="s">
        <v>4271</v>
      </c>
      <c r="P659" s="1" t="s">
        <v>4272</v>
      </c>
      <c r="Q659" s="1" t="s">
        <v>2830</v>
      </c>
      <c r="R659" s="4"/>
    </row>
    <row r="660" spans="1:18" x14ac:dyDescent="0.25">
      <c r="A660" s="1" t="s">
        <v>141</v>
      </c>
      <c r="B660" s="1" t="s">
        <v>4273</v>
      </c>
      <c r="C660" s="1" t="s">
        <v>4274</v>
      </c>
      <c r="D660" s="4"/>
      <c r="E660" s="1">
        <v>2019</v>
      </c>
      <c r="F660" s="7">
        <v>43586</v>
      </c>
      <c r="G660" s="4"/>
      <c r="H660" s="1" t="s">
        <v>4275</v>
      </c>
      <c r="I660" s="1" t="s">
        <v>196</v>
      </c>
      <c r="J660" s="1">
        <v>2019</v>
      </c>
      <c r="K660" s="1">
        <v>9781728115191</v>
      </c>
      <c r="L660" s="4"/>
      <c r="M660" s="4"/>
      <c r="N660" s="3" t="s">
        <v>4276</v>
      </c>
      <c r="O660" s="1" t="s">
        <v>4277</v>
      </c>
      <c r="P660" s="1" t="s">
        <v>4278</v>
      </c>
      <c r="Q660" s="1" t="s">
        <v>4279</v>
      </c>
      <c r="R660" s="4"/>
    </row>
    <row r="661" spans="1:18" x14ac:dyDescent="0.25">
      <c r="A661" s="1" t="s">
        <v>141</v>
      </c>
      <c r="B661" s="1" t="s">
        <v>4280</v>
      </c>
      <c r="C661" s="1" t="s">
        <v>4281</v>
      </c>
      <c r="D661" s="4"/>
      <c r="E661" s="1">
        <v>2019</v>
      </c>
      <c r="F661" s="4"/>
      <c r="G661" s="4"/>
      <c r="H661" s="1" t="s">
        <v>4282</v>
      </c>
      <c r="I661" s="1" t="s">
        <v>257</v>
      </c>
      <c r="J661" s="1">
        <v>2019</v>
      </c>
      <c r="K661" s="1">
        <v>9781728118765</v>
      </c>
      <c r="L661" s="4"/>
      <c r="M661" s="4"/>
      <c r="N661" s="3" t="s">
        <v>4283</v>
      </c>
      <c r="O661" s="1" t="s">
        <v>4284</v>
      </c>
      <c r="P661" s="1" t="s">
        <v>4285</v>
      </c>
      <c r="Q661" s="1" t="s">
        <v>4286</v>
      </c>
      <c r="R661" s="4"/>
    </row>
    <row r="662" spans="1:18" x14ac:dyDescent="0.25">
      <c r="A662" s="1" t="s">
        <v>141</v>
      </c>
      <c r="B662" s="1" t="s">
        <v>4287</v>
      </c>
      <c r="C662" s="1" t="s">
        <v>4288</v>
      </c>
      <c r="D662" s="4"/>
      <c r="E662" s="1">
        <v>2019</v>
      </c>
      <c r="F662" s="4"/>
      <c r="G662" s="4"/>
      <c r="H662" s="4"/>
      <c r="I662" s="1" t="s">
        <v>145</v>
      </c>
      <c r="J662" s="1">
        <v>2019</v>
      </c>
      <c r="K662" s="1">
        <v>9781450359702</v>
      </c>
      <c r="L662" s="4"/>
      <c r="M662" s="4"/>
      <c r="N662" s="3" t="s">
        <v>4289</v>
      </c>
      <c r="O662" s="1" t="s">
        <v>4290</v>
      </c>
      <c r="P662" s="1" t="s">
        <v>4291</v>
      </c>
      <c r="Q662" s="1" t="s">
        <v>4292</v>
      </c>
      <c r="R662" s="4"/>
    </row>
    <row r="663" spans="1:18" x14ac:dyDescent="0.25">
      <c r="A663" s="1" t="s">
        <v>13</v>
      </c>
      <c r="B663" s="1" t="s">
        <v>4293</v>
      </c>
      <c r="C663" s="1" t="s">
        <v>4294</v>
      </c>
      <c r="D663" s="1" t="s">
        <v>668</v>
      </c>
      <c r="E663" s="1">
        <v>2020</v>
      </c>
      <c r="F663" s="1">
        <v>8</v>
      </c>
      <c r="G663" s="4"/>
      <c r="H663" s="1" t="s">
        <v>4295</v>
      </c>
      <c r="I663" s="1" t="s">
        <v>257</v>
      </c>
      <c r="J663" s="1">
        <v>2020</v>
      </c>
      <c r="K663" s="4"/>
      <c r="L663" s="4"/>
      <c r="M663" s="1" t="s">
        <v>670</v>
      </c>
      <c r="N663" s="3" t="s">
        <v>4296</v>
      </c>
      <c r="O663" s="1" t="s">
        <v>4297</v>
      </c>
      <c r="P663" s="1" t="s">
        <v>4298</v>
      </c>
      <c r="Q663" s="1" t="s">
        <v>4299</v>
      </c>
      <c r="R663" s="4"/>
    </row>
    <row r="664" spans="1:18" x14ac:dyDescent="0.25">
      <c r="A664" s="1" t="s">
        <v>13</v>
      </c>
      <c r="B664" s="1" t="s">
        <v>4300</v>
      </c>
      <c r="C664" s="1" t="s">
        <v>4301</v>
      </c>
      <c r="D664" s="1" t="s">
        <v>668</v>
      </c>
      <c r="E664" s="1">
        <v>2020</v>
      </c>
      <c r="F664" s="1">
        <v>8</v>
      </c>
      <c r="G664" s="4"/>
      <c r="H664" s="1" t="s">
        <v>4302</v>
      </c>
      <c r="I664" s="1" t="s">
        <v>257</v>
      </c>
      <c r="J664" s="1">
        <v>2020</v>
      </c>
      <c r="K664" s="4"/>
      <c r="L664" s="4"/>
      <c r="M664" s="1" t="s">
        <v>670</v>
      </c>
      <c r="N664" s="3" t="s">
        <v>4303</v>
      </c>
      <c r="O664" s="1" t="s">
        <v>4304</v>
      </c>
      <c r="P664" s="1" t="s">
        <v>4305</v>
      </c>
      <c r="Q664" s="1" t="s">
        <v>3499</v>
      </c>
      <c r="R664" s="4"/>
    </row>
    <row r="665" spans="1:18" x14ac:dyDescent="0.25">
      <c r="A665" s="1" t="s">
        <v>13</v>
      </c>
      <c r="B665" s="1" t="s">
        <v>4306</v>
      </c>
      <c r="C665" s="1" t="s">
        <v>4307</v>
      </c>
      <c r="D665" s="1" t="s">
        <v>328</v>
      </c>
      <c r="E665" s="1">
        <v>2019</v>
      </c>
      <c r="F665" s="1">
        <v>28</v>
      </c>
      <c r="G665" s="1">
        <v>3</v>
      </c>
      <c r="H665" s="4"/>
      <c r="I665" s="1" t="s">
        <v>145</v>
      </c>
      <c r="J665" s="1">
        <v>2019</v>
      </c>
      <c r="K665" s="4"/>
      <c r="L665" s="4"/>
      <c r="M665" s="1" t="s">
        <v>329</v>
      </c>
      <c r="N665" s="3" t="s">
        <v>4308</v>
      </c>
      <c r="O665" s="1" t="s">
        <v>4309</v>
      </c>
      <c r="P665" s="1" t="s">
        <v>4310</v>
      </c>
      <c r="Q665" s="1" t="s">
        <v>4311</v>
      </c>
      <c r="R665" s="4"/>
    </row>
    <row r="666" spans="1:18" x14ac:dyDescent="0.25">
      <c r="A666" s="1" t="s">
        <v>13</v>
      </c>
      <c r="B666" s="1" t="s">
        <v>4312</v>
      </c>
      <c r="C666" s="1" t="s">
        <v>4313</v>
      </c>
      <c r="D666" s="1" t="s">
        <v>668</v>
      </c>
      <c r="E666" s="1">
        <v>2020</v>
      </c>
      <c r="F666" s="1">
        <v>8</v>
      </c>
      <c r="G666" s="4"/>
      <c r="H666" s="1" t="s">
        <v>4314</v>
      </c>
      <c r="I666" s="1" t="s">
        <v>257</v>
      </c>
      <c r="J666" s="1">
        <v>2020</v>
      </c>
      <c r="K666" s="4"/>
      <c r="L666" s="4"/>
      <c r="M666" s="1" t="s">
        <v>670</v>
      </c>
      <c r="N666" s="3" t="s">
        <v>4315</v>
      </c>
      <c r="O666" s="1" t="s">
        <v>4316</v>
      </c>
      <c r="P666" s="1" t="s">
        <v>4317</v>
      </c>
      <c r="Q666" s="1" t="s">
        <v>3135</v>
      </c>
      <c r="R666" s="4"/>
    </row>
    <row r="667" spans="1:18" x14ac:dyDescent="0.25">
      <c r="A667" s="1" t="s">
        <v>141</v>
      </c>
      <c r="B667" s="1" t="s">
        <v>4318</v>
      </c>
      <c r="C667" s="1" t="s">
        <v>4319</v>
      </c>
      <c r="D667" s="4"/>
      <c r="E667" s="1">
        <v>2019</v>
      </c>
      <c r="F667" s="4"/>
      <c r="G667" s="4"/>
      <c r="H667" s="4"/>
      <c r="I667" s="1" t="s">
        <v>257</v>
      </c>
      <c r="J667" s="1">
        <v>2019</v>
      </c>
      <c r="K667" s="1">
        <v>9781728131856</v>
      </c>
      <c r="L667" s="4"/>
      <c r="M667" s="4"/>
      <c r="N667" s="3" t="s">
        <v>4320</v>
      </c>
      <c r="O667" s="1" t="s">
        <v>4321</v>
      </c>
      <c r="P667" s="1" t="s">
        <v>4322</v>
      </c>
      <c r="Q667" s="1" t="s">
        <v>157</v>
      </c>
      <c r="R667" s="4"/>
    </row>
    <row r="668" spans="1:18" x14ac:dyDescent="0.25">
      <c r="A668" s="1" t="s">
        <v>141</v>
      </c>
      <c r="B668" s="1" t="s">
        <v>4323</v>
      </c>
      <c r="C668" s="1" t="s">
        <v>4324</v>
      </c>
      <c r="D668" s="4"/>
      <c r="E668" s="1">
        <v>2019</v>
      </c>
      <c r="F668" s="4"/>
      <c r="G668" s="4"/>
      <c r="H668" s="1" t="s">
        <v>4325</v>
      </c>
      <c r="I668" s="1" t="s">
        <v>257</v>
      </c>
      <c r="J668" s="1">
        <v>2019</v>
      </c>
      <c r="K668" s="1">
        <v>9781728151656</v>
      </c>
      <c r="L668" s="4"/>
      <c r="M668" s="4"/>
      <c r="N668" s="3" t="s">
        <v>4326</v>
      </c>
      <c r="O668" s="1" t="s">
        <v>4327</v>
      </c>
      <c r="P668" s="1" t="s">
        <v>4328</v>
      </c>
      <c r="Q668" s="1" t="s">
        <v>4329</v>
      </c>
      <c r="R668" s="4"/>
    </row>
    <row r="669" spans="1:18" x14ac:dyDescent="0.25">
      <c r="A669" s="1" t="s">
        <v>141</v>
      </c>
      <c r="B669" s="1" t="s">
        <v>4330</v>
      </c>
      <c r="C669" s="1" t="s">
        <v>4331</v>
      </c>
      <c r="D669" s="4"/>
      <c r="E669" s="1">
        <v>2019</v>
      </c>
      <c r="F669" s="1">
        <v>2</v>
      </c>
      <c r="G669" s="4"/>
      <c r="H669" s="1" t="s">
        <v>4332</v>
      </c>
      <c r="I669" s="1" t="s">
        <v>145</v>
      </c>
      <c r="J669" s="1">
        <v>2019</v>
      </c>
      <c r="K669" s="1">
        <v>9781450371421</v>
      </c>
      <c r="L669" s="4"/>
      <c r="M669" s="4"/>
      <c r="N669" s="3" t="s">
        <v>4333</v>
      </c>
      <c r="O669" s="1" t="s">
        <v>4334</v>
      </c>
      <c r="P669" s="1" t="s">
        <v>4335</v>
      </c>
      <c r="Q669" s="1" t="s">
        <v>1813</v>
      </c>
      <c r="R669" s="4"/>
    </row>
    <row r="670" spans="1:18" x14ac:dyDescent="0.25">
      <c r="A670" s="1" t="s">
        <v>13</v>
      </c>
      <c r="B670" s="1" t="s">
        <v>4336</v>
      </c>
      <c r="C670" s="1" t="s">
        <v>4337</v>
      </c>
      <c r="D670" s="1" t="s">
        <v>209</v>
      </c>
      <c r="E670" s="1">
        <v>2019</v>
      </c>
      <c r="F670" s="1" t="s">
        <v>4338</v>
      </c>
      <c r="G670" s="4"/>
      <c r="H670" s="1" t="s">
        <v>4339</v>
      </c>
      <c r="I670" s="1" t="s">
        <v>4155</v>
      </c>
      <c r="J670" s="1">
        <v>2019</v>
      </c>
      <c r="K670" s="4"/>
      <c r="L670" s="4"/>
      <c r="M670" s="1" t="s">
        <v>213</v>
      </c>
      <c r="N670" s="3" t="s">
        <v>4340</v>
      </c>
      <c r="O670" s="1" t="s">
        <v>4341</v>
      </c>
      <c r="P670" s="1" t="s">
        <v>4342</v>
      </c>
      <c r="Q670" s="1" t="s">
        <v>4002</v>
      </c>
      <c r="R670" s="4"/>
    </row>
    <row r="671" spans="1:18" x14ac:dyDescent="0.25">
      <c r="A671" s="1" t="s">
        <v>141</v>
      </c>
      <c r="B671" s="1" t="s">
        <v>4343</v>
      </c>
      <c r="C671" s="1" t="s">
        <v>4344</v>
      </c>
      <c r="D671" s="4"/>
      <c r="E671" s="1">
        <v>2020</v>
      </c>
      <c r="F671" s="4"/>
      <c r="G671" s="4"/>
      <c r="H671" s="1" t="s">
        <v>4345</v>
      </c>
      <c r="I671" s="1" t="s">
        <v>145</v>
      </c>
      <c r="J671" s="1">
        <v>2020</v>
      </c>
      <c r="K671" s="1">
        <v>9781450377652</v>
      </c>
      <c r="L671" s="4"/>
      <c r="M671" s="4"/>
      <c r="N671" s="3" t="s">
        <v>4346</v>
      </c>
      <c r="O671" s="1" t="s">
        <v>4347</v>
      </c>
      <c r="P671" s="1" t="s">
        <v>4348</v>
      </c>
      <c r="Q671" s="1" t="s">
        <v>176</v>
      </c>
      <c r="R671" s="4"/>
    </row>
    <row r="672" spans="1:18" x14ac:dyDescent="0.25">
      <c r="A672" s="1" t="s">
        <v>141</v>
      </c>
      <c r="B672" s="1" t="s">
        <v>4349</v>
      </c>
      <c r="C672" s="1" t="s">
        <v>4350</v>
      </c>
      <c r="D672" s="4"/>
      <c r="E672" s="1">
        <v>2019</v>
      </c>
      <c r="F672" s="7">
        <v>43586</v>
      </c>
      <c r="G672" s="4"/>
      <c r="H672" s="1" t="s">
        <v>4351</v>
      </c>
      <c r="I672" s="1" t="s">
        <v>196</v>
      </c>
      <c r="J672" s="1">
        <v>2019</v>
      </c>
      <c r="K672" s="1">
        <v>9781728134123</v>
      </c>
      <c r="L672" s="4"/>
      <c r="M672" s="1" t="s">
        <v>4352</v>
      </c>
      <c r="N672" s="3" t="s">
        <v>4353</v>
      </c>
      <c r="O672" s="1" t="s">
        <v>4354</v>
      </c>
      <c r="P672" s="1" t="s">
        <v>4355</v>
      </c>
      <c r="Q672" s="1" t="s">
        <v>4356</v>
      </c>
      <c r="R672" s="4"/>
    </row>
    <row r="673" spans="1:18" x14ac:dyDescent="0.25">
      <c r="A673" s="1" t="s">
        <v>141</v>
      </c>
      <c r="B673" s="1" t="s">
        <v>3344</v>
      </c>
      <c r="C673" s="1" t="s">
        <v>4357</v>
      </c>
      <c r="D673" s="4"/>
      <c r="E673" s="1">
        <v>2020</v>
      </c>
      <c r="F673" s="4"/>
      <c r="G673" s="4"/>
      <c r="H673" s="1" t="s">
        <v>3699</v>
      </c>
      <c r="I673" s="1" t="s">
        <v>196</v>
      </c>
      <c r="J673" s="1">
        <v>2020</v>
      </c>
      <c r="K673" s="1">
        <v>9781450371247</v>
      </c>
      <c r="L673" s="4"/>
      <c r="M673" s="1" t="s">
        <v>1458</v>
      </c>
      <c r="N673" s="3" t="s">
        <v>4358</v>
      </c>
      <c r="O673" s="1" t="s">
        <v>4359</v>
      </c>
      <c r="P673" s="1" t="s">
        <v>4360</v>
      </c>
      <c r="Q673" s="1" t="s">
        <v>2243</v>
      </c>
      <c r="R673" s="4"/>
    </row>
    <row r="674" spans="1:18" x14ac:dyDescent="0.25">
      <c r="A674" s="1" t="s">
        <v>141</v>
      </c>
      <c r="B674" s="4"/>
      <c r="C674" s="1" t="s">
        <v>4361</v>
      </c>
      <c r="D674" s="4"/>
      <c r="E674" s="1">
        <v>2019</v>
      </c>
      <c r="F674" s="4"/>
      <c r="G674" s="4"/>
      <c r="H674" s="4"/>
      <c r="I674" s="1" t="s">
        <v>145</v>
      </c>
      <c r="J674" s="1">
        <v>2019</v>
      </c>
      <c r="K674" s="1">
        <v>9781450371452</v>
      </c>
      <c r="L674" s="4"/>
      <c r="M674" s="4"/>
      <c r="N674" s="3" t="s">
        <v>4362</v>
      </c>
      <c r="O674" s="4"/>
      <c r="P674" s="1" t="s">
        <v>4363</v>
      </c>
      <c r="Q674" s="1" t="s">
        <v>157</v>
      </c>
      <c r="R674" s="4"/>
    </row>
    <row r="675" spans="1:18" x14ac:dyDescent="0.25">
      <c r="A675" s="1" t="s">
        <v>141</v>
      </c>
      <c r="B675" s="1" t="s">
        <v>4364</v>
      </c>
      <c r="C675" s="1" t="s">
        <v>4365</v>
      </c>
      <c r="D675" s="4"/>
      <c r="E675" s="1">
        <v>2020</v>
      </c>
      <c r="F675" s="4"/>
      <c r="G675" s="4"/>
      <c r="H675" s="1" t="s">
        <v>4366</v>
      </c>
      <c r="I675" s="1" t="s">
        <v>257</v>
      </c>
      <c r="J675" s="1">
        <v>2020</v>
      </c>
      <c r="K675" s="1">
        <v>9781728193465</v>
      </c>
      <c r="L675" s="4"/>
      <c r="M675" s="4"/>
      <c r="N675" s="3" t="s">
        <v>4367</v>
      </c>
      <c r="O675" s="1" t="s">
        <v>4368</v>
      </c>
      <c r="P675" s="1" t="s">
        <v>4369</v>
      </c>
      <c r="Q675" s="1" t="s">
        <v>4370</v>
      </c>
      <c r="R675" s="4"/>
    </row>
    <row r="676" spans="1:18" x14ac:dyDescent="0.25">
      <c r="A676" s="1" t="s">
        <v>13</v>
      </c>
      <c r="B676" s="1" t="s">
        <v>4371</v>
      </c>
      <c r="C676" s="1" t="s">
        <v>4372</v>
      </c>
      <c r="D676" s="1" t="s">
        <v>1870</v>
      </c>
      <c r="E676" s="1">
        <v>2020</v>
      </c>
      <c r="F676" s="1" t="s">
        <v>4373</v>
      </c>
      <c r="G676" s="4"/>
      <c r="H676" s="1" t="s">
        <v>4374</v>
      </c>
      <c r="I676" s="1" t="s">
        <v>137</v>
      </c>
      <c r="J676" s="1">
        <v>2020</v>
      </c>
      <c r="K676" s="4"/>
      <c r="L676" s="4"/>
      <c r="M676" s="1" t="s">
        <v>1873</v>
      </c>
      <c r="N676" s="3" t="s">
        <v>4375</v>
      </c>
      <c r="O676" s="1" t="s">
        <v>4376</v>
      </c>
      <c r="P676" s="1" t="s">
        <v>4377</v>
      </c>
      <c r="Q676" s="1" t="s">
        <v>185</v>
      </c>
      <c r="R676" s="4"/>
    </row>
    <row r="677" spans="1:18" x14ac:dyDescent="0.25">
      <c r="A677" s="1" t="s">
        <v>13</v>
      </c>
      <c r="B677" s="1" t="s">
        <v>4378</v>
      </c>
      <c r="C677" s="1" t="s">
        <v>4379</v>
      </c>
      <c r="D677" s="1" t="s">
        <v>4380</v>
      </c>
      <c r="E677" s="1">
        <v>2019</v>
      </c>
      <c r="F677" s="1">
        <v>28</v>
      </c>
      <c r="G677" s="1">
        <v>3</v>
      </c>
      <c r="H677" s="1" t="s">
        <v>4381</v>
      </c>
      <c r="I677" s="1" t="s">
        <v>4382</v>
      </c>
      <c r="J677" s="1">
        <v>2019</v>
      </c>
      <c r="K677" s="4"/>
      <c r="L677" s="4"/>
      <c r="M677" s="1" t="s">
        <v>4383</v>
      </c>
      <c r="N677" s="3" t="s">
        <v>4384</v>
      </c>
      <c r="O677" s="1" t="s">
        <v>4385</v>
      </c>
      <c r="P677" s="1" t="s">
        <v>4386</v>
      </c>
      <c r="Q677" s="1" t="s">
        <v>1676</v>
      </c>
      <c r="R677" s="4"/>
    </row>
    <row r="678" spans="1:18" x14ac:dyDescent="0.25">
      <c r="A678" s="1" t="s">
        <v>13</v>
      </c>
      <c r="B678" s="1" t="s">
        <v>4387</v>
      </c>
      <c r="C678" s="1" t="s">
        <v>4388</v>
      </c>
      <c r="D678" s="1" t="s">
        <v>2704</v>
      </c>
      <c r="E678" s="1">
        <v>2020</v>
      </c>
      <c r="F678" s="1">
        <v>14</v>
      </c>
      <c r="G678" s="1">
        <v>3</v>
      </c>
      <c r="H678" s="1" t="s">
        <v>4389</v>
      </c>
      <c r="I678" s="1" t="s">
        <v>2706</v>
      </c>
      <c r="J678" s="1">
        <v>2020</v>
      </c>
      <c r="K678" s="4"/>
      <c r="L678" s="4"/>
      <c r="M678" s="1" t="s">
        <v>2707</v>
      </c>
      <c r="N678" s="3" t="s">
        <v>4390</v>
      </c>
      <c r="O678" s="1" t="s">
        <v>4391</v>
      </c>
      <c r="P678" s="1" t="s">
        <v>4392</v>
      </c>
      <c r="Q678" s="1" t="s">
        <v>4393</v>
      </c>
      <c r="R678" s="4"/>
    </row>
    <row r="679" spans="1:18" x14ac:dyDescent="0.25">
      <c r="A679" s="1" t="s">
        <v>141</v>
      </c>
      <c r="B679" s="1" t="s">
        <v>4394</v>
      </c>
      <c r="C679" s="1" t="s">
        <v>4395</v>
      </c>
      <c r="D679" s="4"/>
      <c r="E679" s="1">
        <v>2020</v>
      </c>
      <c r="F679" s="1" t="s">
        <v>4396</v>
      </c>
      <c r="G679" s="4"/>
      <c r="H679" s="1" t="s">
        <v>4397</v>
      </c>
      <c r="I679" s="1" t="s">
        <v>933</v>
      </c>
      <c r="J679" s="1">
        <v>2020</v>
      </c>
      <c r="K679" s="1">
        <v>9781891706509</v>
      </c>
      <c r="L679" s="4"/>
      <c r="M679" s="1" t="s">
        <v>934</v>
      </c>
      <c r="N679" s="3" t="s">
        <v>4398</v>
      </c>
      <c r="O679" s="1" t="s">
        <v>4399</v>
      </c>
      <c r="P679" s="1" t="s">
        <v>4400</v>
      </c>
      <c r="Q679" s="1" t="s">
        <v>2723</v>
      </c>
      <c r="R679" s="4"/>
    </row>
    <row r="680" spans="1:18" x14ac:dyDescent="0.25">
      <c r="A680" s="1" t="s">
        <v>141</v>
      </c>
      <c r="B680" s="1" t="s">
        <v>4401</v>
      </c>
      <c r="C680" s="1" t="s">
        <v>4402</v>
      </c>
      <c r="D680" s="4"/>
      <c r="E680" s="1">
        <v>2020</v>
      </c>
      <c r="F680" s="7">
        <v>44166</v>
      </c>
      <c r="G680" s="4"/>
      <c r="H680" s="4"/>
      <c r="I680" s="1" t="s">
        <v>3301</v>
      </c>
      <c r="J680" s="1">
        <v>2020</v>
      </c>
      <c r="K680" s="4"/>
      <c r="L680" s="4"/>
      <c r="M680" s="1" t="s">
        <v>3302</v>
      </c>
      <c r="N680" s="3" t="s">
        <v>4403</v>
      </c>
      <c r="O680" s="4"/>
      <c r="P680" s="1" t="s">
        <v>4404</v>
      </c>
      <c r="Q680" s="1" t="s">
        <v>1573</v>
      </c>
      <c r="R680" s="4"/>
    </row>
    <row r="681" spans="1:18" x14ac:dyDescent="0.25">
      <c r="A681" s="1" t="s">
        <v>13</v>
      </c>
      <c r="B681" s="1" t="s">
        <v>4405</v>
      </c>
      <c r="C681" s="1" t="s">
        <v>4406</v>
      </c>
      <c r="D681" s="1" t="s">
        <v>354</v>
      </c>
      <c r="E681" s="1">
        <v>2020</v>
      </c>
      <c r="F681" s="1">
        <v>160</v>
      </c>
      <c r="G681" s="4"/>
      <c r="H681" s="4"/>
      <c r="I681" s="1" t="s">
        <v>355</v>
      </c>
      <c r="J681" s="1">
        <v>2020</v>
      </c>
      <c r="K681" s="4"/>
      <c r="L681" s="4"/>
      <c r="M681" s="1" t="s">
        <v>65</v>
      </c>
      <c r="N681" s="3" t="s">
        <v>4407</v>
      </c>
      <c r="O681" s="1" t="s">
        <v>4408</v>
      </c>
      <c r="P681" s="1" t="s">
        <v>4409</v>
      </c>
      <c r="Q681" s="1" t="s">
        <v>3118</v>
      </c>
      <c r="R681" s="4"/>
    </row>
    <row r="682" spans="1:18" x14ac:dyDescent="0.25">
      <c r="A682" s="1" t="s">
        <v>141</v>
      </c>
      <c r="B682" s="1" t="s">
        <v>4410</v>
      </c>
      <c r="C682" s="1" t="s">
        <v>4411</v>
      </c>
      <c r="D682" s="4"/>
      <c r="E682" s="1">
        <v>2020</v>
      </c>
      <c r="F682" s="4"/>
      <c r="G682" s="4"/>
      <c r="H682" s="1" t="s">
        <v>4412</v>
      </c>
      <c r="I682" s="1" t="s">
        <v>3109</v>
      </c>
      <c r="J682" s="1">
        <v>2020</v>
      </c>
      <c r="K682" s="1">
        <v>9789897584213</v>
      </c>
      <c r="L682" s="4"/>
      <c r="M682" s="4"/>
      <c r="N682" s="3" t="s">
        <v>4413</v>
      </c>
      <c r="O682" s="4"/>
      <c r="P682" s="1" t="s">
        <v>4414</v>
      </c>
      <c r="Q682" s="1" t="s">
        <v>318</v>
      </c>
      <c r="R682" s="4"/>
    </row>
    <row r="683" spans="1:18" x14ac:dyDescent="0.25">
      <c r="A683" s="1" t="s">
        <v>13</v>
      </c>
      <c r="B683" s="1" t="s">
        <v>4415</v>
      </c>
      <c r="C683" s="1" t="s">
        <v>4416</v>
      </c>
      <c r="D683" s="1" t="s">
        <v>878</v>
      </c>
      <c r="E683" s="1">
        <v>2019</v>
      </c>
      <c r="F683" s="1">
        <v>31</v>
      </c>
      <c r="G683" s="1">
        <v>12</v>
      </c>
      <c r="H683" s="4"/>
      <c r="I683" s="1" t="s">
        <v>266</v>
      </c>
      <c r="J683" s="1">
        <v>2019</v>
      </c>
      <c r="K683" s="4"/>
      <c r="L683" s="4"/>
      <c r="M683" s="1" t="s">
        <v>879</v>
      </c>
      <c r="N683" s="3" t="s">
        <v>4417</v>
      </c>
      <c r="O683" s="1" t="s">
        <v>4418</v>
      </c>
      <c r="P683" s="1" t="s">
        <v>4419</v>
      </c>
      <c r="Q683" s="1" t="s">
        <v>1573</v>
      </c>
      <c r="R683" s="4"/>
    </row>
    <row r="684" spans="1:18" x14ac:dyDescent="0.25">
      <c r="A684" s="1" t="s">
        <v>141</v>
      </c>
      <c r="B684" s="1" t="s">
        <v>4420</v>
      </c>
      <c r="C684" s="1" t="s">
        <v>4421</v>
      </c>
      <c r="D684" s="4"/>
      <c r="E684" s="1">
        <v>2020</v>
      </c>
      <c r="F684" s="4"/>
      <c r="G684" s="4"/>
      <c r="H684" s="1" t="s">
        <v>4422</v>
      </c>
      <c r="I684" s="1" t="s">
        <v>257</v>
      </c>
      <c r="J684" s="1">
        <v>2020</v>
      </c>
      <c r="K684" s="1">
        <v>9781728170169</v>
      </c>
      <c r="L684" s="4"/>
      <c r="M684" s="4"/>
      <c r="N684" s="3" t="s">
        <v>4423</v>
      </c>
      <c r="O684" s="1" t="s">
        <v>4424</v>
      </c>
      <c r="P684" s="1" t="s">
        <v>4425</v>
      </c>
      <c r="Q684" s="1" t="s">
        <v>318</v>
      </c>
      <c r="R684" s="4"/>
    </row>
    <row r="685" spans="1:18" x14ac:dyDescent="0.25">
      <c r="A685" s="1" t="s">
        <v>13</v>
      </c>
      <c r="B685" s="1" t="s">
        <v>4426</v>
      </c>
      <c r="C685" s="1" t="s">
        <v>4427</v>
      </c>
      <c r="D685" s="1" t="s">
        <v>209</v>
      </c>
      <c r="E685" s="1">
        <v>2019</v>
      </c>
      <c r="F685" s="1" t="s">
        <v>4428</v>
      </c>
      <c r="G685" s="4"/>
      <c r="H685" s="1" t="s">
        <v>4429</v>
      </c>
      <c r="I685" s="1" t="s">
        <v>4155</v>
      </c>
      <c r="J685" s="1">
        <v>2019</v>
      </c>
      <c r="K685" s="4"/>
      <c r="L685" s="4"/>
      <c r="M685" s="1" t="s">
        <v>213</v>
      </c>
      <c r="N685" s="3" t="s">
        <v>4430</v>
      </c>
      <c r="O685" s="1" t="s">
        <v>4431</v>
      </c>
      <c r="P685" s="1" t="s">
        <v>4432</v>
      </c>
      <c r="Q685" s="1" t="s">
        <v>2811</v>
      </c>
      <c r="R685" s="4"/>
    </row>
    <row r="686" spans="1:18" x14ac:dyDescent="0.25">
      <c r="A686" s="1" t="s">
        <v>13</v>
      </c>
      <c r="B686" s="1" t="s">
        <v>4433</v>
      </c>
      <c r="C686" s="1" t="s">
        <v>4434</v>
      </c>
      <c r="D686" s="1" t="s">
        <v>668</v>
      </c>
      <c r="E686" s="1">
        <v>2020</v>
      </c>
      <c r="F686" s="1">
        <v>8</v>
      </c>
      <c r="G686" s="4"/>
      <c r="H686" s="1" t="s">
        <v>4435</v>
      </c>
      <c r="I686" s="1" t="s">
        <v>257</v>
      </c>
      <c r="J686" s="1">
        <v>2020</v>
      </c>
      <c r="K686" s="4"/>
      <c r="L686" s="4"/>
      <c r="M686" s="1" t="s">
        <v>670</v>
      </c>
      <c r="N686" s="3" t="s">
        <v>4436</v>
      </c>
      <c r="O686" s="1" t="s">
        <v>4437</v>
      </c>
      <c r="P686" s="1" t="s">
        <v>4438</v>
      </c>
      <c r="Q686" s="1" t="s">
        <v>896</v>
      </c>
      <c r="R686" s="4"/>
    </row>
    <row r="687" spans="1:18" x14ac:dyDescent="0.25">
      <c r="A687" s="1" t="s">
        <v>141</v>
      </c>
      <c r="B687" s="1" t="s">
        <v>4439</v>
      </c>
      <c r="C687" s="1" t="s">
        <v>4440</v>
      </c>
      <c r="D687" s="4"/>
      <c r="E687" s="1">
        <v>2020</v>
      </c>
      <c r="F687" s="7">
        <v>44044</v>
      </c>
      <c r="G687" s="4"/>
      <c r="H687" s="1" t="s">
        <v>4441</v>
      </c>
      <c r="I687" s="1" t="s">
        <v>4442</v>
      </c>
      <c r="J687" s="1">
        <v>2020</v>
      </c>
      <c r="K687" s="1">
        <v>9786197603040</v>
      </c>
      <c r="L687" s="1">
        <v>9786197603057</v>
      </c>
      <c r="M687" s="1" t="s">
        <v>4443</v>
      </c>
      <c r="N687" s="3" t="s">
        <v>4444</v>
      </c>
      <c r="O687" s="1" t="s">
        <v>4445</v>
      </c>
      <c r="P687" s="1" t="s">
        <v>4446</v>
      </c>
      <c r="Q687" s="1" t="s">
        <v>185</v>
      </c>
      <c r="R687" s="4"/>
    </row>
    <row r="688" spans="1:18" x14ac:dyDescent="0.25">
      <c r="A688" s="1" t="s">
        <v>141</v>
      </c>
      <c r="B688" s="1" t="s">
        <v>4447</v>
      </c>
      <c r="C688" s="1" t="s">
        <v>4448</v>
      </c>
      <c r="D688" s="4"/>
      <c r="E688" s="1">
        <v>2020</v>
      </c>
      <c r="F688" s="4"/>
      <c r="G688" s="4"/>
      <c r="H688" s="4"/>
      <c r="I688" s="1" t="s">
        <v>4449</v>
      </c>
      <c r="J688" s="1">
        <v>2020</v>
      </c>
      <c r="K688" s="4"/>
      <c r="L688" s="4"/>
      <c r="M688" s="4"/>
      <c r="N688" s="3" t="s">
        <v>4450</v>
      </c>
      <c r="O688" s="4"/>
      <c r="P688" s="1" t="s">
        <v>4451</v>
      </c>
      <c r="Q688" s="1" t="s">
        <v>185</v>
      </c>
      <c r="R688" s="4"/>
    </row>
    <row r="689" spans="1:18" x14ac:dyDescent="0.25">
      <c r="A689" s="1" t="s">
        <v>13</v>
      </c>
      <c r="B689" s="1" t="s">
        <v>4452</v>
      </c>
      <c r="C689" s="1" t="s">
        <v>4453</v>
      </c>
      <c r="D689" s="1" t="s">
        <v>668</v>
      </c>
      <c r="E689" s="1">
        <v>2019</v>
      </c>
      <c r="F689" s="1">
        <v>7</v>
      </c>
      <c r="G689" s="4"/>
      <c r="H689" s="1" t="s">
        <v>4454</v>
      </c>
      <c r="I689" s="1" t="s">
        <v>257</v>
      </c>
      <c r="J689" s="1">
        <v>2019</v>
      </c>
      <c r="K689" s="4"/>
      <c r="L689" s="4"/>
      <c r="M689" s="1" t="s">
        <v>670</v>
      </c>
      <c r="N689" s="3" t="s">
        <v>4455</v>
      </c>
      <c r="O689" s="1" t="s">
        <v>4456</v>
      </c>
      <c r="P689" s="1" t="s">
        <v>4457</v>
      </c>
      <c r="Q689" s="1" t="s">
        <v>4458</v>
      </c>
      <c r="R689" s="4"/>
    </row>
    <row r="690" spans="1:18" x14ac:dyDescent="0.25">
      <c r="A690" s="1" t="s">
        <v>13</v>
      </c>
      <c r="B690" s="1" t="s">
        <v>4459</v>
      </c>
      <c r="C690" s="1" t="s">
        <v>4460</v>
      </c>
      <c r="D690" s="1" t="s">
        <v>4461</v>
      </c>
      <c r="E690" s="1">
        <v>2019</v>
      </c>
      <c r="F690" s="1">
        <v>25</v>
      </c>
      <c r="G690" s="1">
        <v>1</v>
      </c>
      <c r="H690" s="4"/>
      <c r="I690" s="1" t="s">
        <v>4462</v>
      </c>
      <c r="J690" s="1">
        <v>2019</v>
      </c>
      <c r="K690" s="4"/>
      <c r="L690" s="4"/>
      <c r="M690" s="1" t="s">
        <v>4463</v>
      </c>
      <c r="N690" s="3" t="s">
        <v>4464</v>
      </c>
      <c r="O690" s="1" t="s">
        <v>4465</v>
      </c>
      <c r="P690" s="1" t="s">
        <v>4466</v>
      </c>
      <c r="Q690" s="1" t="s">
        <v>1844</v>
      </c>
      <c r="R690" s="4"/>
    </row>
    <row r="691" spans="1:18" x14ac:dyDescent="0.25">
      <c r="A691" s="1" t="s">
        <v>13</v>
      </c>
      <c r="B691" s="1" t="s">
        <v>4467</v>
      </c>
      <c r="C691" s="1" t="s">
        <v>4468</v>
      </c>
      <c r="D691" s="1" t="s">
        <v>4469</v>
      </c>
      <c r="E691" s="1">
        <v>2020</v>
      </c>
      <c r="F691" s="1">
        <v>21</v>
      </c>
      <c r="G691" s="4"/>
      <c r="H691" s="4"/>
      <c r="I691" s="1" t="s">
        <v>4470</v>
      </c>
      <c r="J691" s="1">
        <v>2020</v>
      </c>
      <c r="K691" s="4"/>
      <c r="L691" s="4"/>
      <c r="M691" s="1" t="s">
        <v>4471</v>
      </c>
      <c r="N691" s="3" t="s">
        <v>4472</v>
      </c>
      <c r="O691" s="4"/>
      <c r="P691" s="1" t="s">
        <v>4473</v>
      </c>
      <c r="Q691" s="1" t="s">
        <v>176</v>
      </c>
      <c r="R691" s="4"/>
    </row>
    <row r="692" spans="1:18" x14ac:dyDescent="0.25">
      <c r="A692" s="1" t="s">
        <v>13</v>
      </c>
      <c r="B692" s="1" t="s">
        <v>4474</v>
      </c>
      <c r="C692" s="1" t="s">
        <v>4475</v>
      </c>
      <c r="D692" s="1" t="s">
        <v>462</v>
      </c>
      <c r="E692" s="1">
        <v>2020</v>
      </c>
      <c r="F692" s="1" t="s">
        <v>4476</v>
      </c>
      <c r="G692" s="4"/>
      <c r="H692" s="1" t="s">
        <v>4477</v>
      </c>
      <c r="I692" s="1" t="s">
        <v>137</v>
      </c>
      <c r="J692" s="1">
        <v>2020</v>
      </c>
      <c r="K692" s="4"/>
      <c r="L692" s="4"/>
      <c r="M692" s="1" t="s">
        <v>465</v>
      </c>
      <c r="N692" s="3" t="s">
        <v>4478</v>
      </c>
      <c r="O692" s="1" t="s">
        <v>4479</v>
      </c>
      <c r="P692" s="1" t="s">
        <v>4480</v>
      </c>
      <c r="Q692" s="1" t="s">
        <v>157</v>
      </c>
      <c r="R692" s="4"/>
    </row>
    <row r="693" spans="1:18" x14ac:dyDescent="0.25">
      <c r="A693" s="1" t="s">
        <v>141</v>
      </c>
      <c r="B693" s="1" t="s">
        <v>4481</v>
      </c>
      <c r="C693" s="1" t="s">
        <v>4482</v>
      </c>
      <c r="D693" s="4"/>
      <c r="E693" s="1">
        <v>2019</v>
      </c>
      <c r="F693" s="4"/>
      <c r="G693" s="4"/>
      <c r="H693" s="1" t="s">
        <v>4483</v>
      </c>
      <c r="I693" s="1" t="s">
        <v>257</v>
      </c>
      <c r="J693" s="1">
        <v>2019</v>
      </c>
      <c r="K693" s="1">
        <v>9781728118765</v>
      </c>
      <c r="L693" s="4"/>
      <c r="M693" s="4"/>
      <c r="N693" s="3" t="s">
        <v>4484</v>
      </c>
      <c r="O693" s="1" t="s">
        <v>4485</v>
      </c>
      <c r="P693" s="1" t="s">
        <v>4486</v>
      </c>
      <c r="Q693" s="1" t="s">
        <v>176</v>
      </c>
      <c r="R693" s="4"/>
    </row>
    <row r="694" spans="1:18" x14ac:dyDescent="0.25">
      <c r="A694" s="1" t="s">
        <v>141</v>
      </c>
      <c r="B694" s="1" t="s">
        <v>4487</v>
      </c>
      <c r="C694" s="1" t="s">
        <v>4488</v>
      </c>
      <c r="D694" s="4"/>
      <c r="E694" s="1">
        <v>2020</v>
      </c>
      <c r="F694" s="4"/>
      <c r="G694" s="4"/>
      <c r="H694" s="1" t="s">
        <v>4489</v>
      </c>
      <c r="I694" s="1" t="s">
        <v>153</v>
      </c>
      <c r="J694" s="1">
        <v>2020</v>
      </c>
      <c r="K694" s="1">
        <v>9781450379601</v>
      </c>
      <c r="L694" s="4"/>
      <c r="M694" s="4"/>
      <c r="N694" s="3" t="s">
        <v>4490</v>
      </c>
      <c r="O694" s="1" t="s">
        <v>4491</v>
      </c>
      <c r="P694" s="1" t="s">
        <v>4492</v>
      </c>
      <c r="Q694" s="1" t="s">
        <v>2286</v>
      </c>
      <c r="R694" s="4"/>
    </row>
    <row r="695" spans="1:18" x14ac:dyDescent="0.25">
      <c r="A695" s="1" t="s">
        <v>141</v>
      </c>
      <c r="B695" s="1" t="s">
        <v>4493</v>
      </c>
      <c r="C695" s="1" t="s">
        <v>4494</v>
      </c>
      <c r="D695" s="4"/>
      <c r="E695" s="1">
        <v>2019</v>
      </c>
      <c r="F695" s="4"/>
      <c r="G695" s="4"/>
      <c r="H695" s="1" t="s">
        <v>4495</v>
      </c>
      <c r="I695" s="1" t="s">
        <v>257</v>
      </c>
      <c r="J695" s="1">
        <v>2019</v>
      </c>
      <c r="K695" s="1">
        <v>9781728132853</v>
      </c>
      <c r="L695" s="4"/>
      <c r="M695" s="4"/>
      <c r="N695" s="3" t="s">
        <v>4496</v>
      </c>
      <c r="O695" s="1" t="s">
        <v>4497</v>
      </c>
      <c r="P695" s="1" t="s">
        <v>4498</v>
      </c>
      <c r="Q695" s="1" t="s">
        <v>818</v>
      </c>
      <c r="R695" s="4"/>
    </row>
    <row r="696" spans="1:18" x14ac:dyDescent="0.25">
      <c r="A696" s="1" t="s">
        <v>141</v>
      </c>
      <c r="B696" s="1" t="s">
        <v>4499</v>
      </c>
      <c r="C696" s="1" t="s">
        <v>4500</v>
      </c>
      <c r="D696" s="4"/>
      <c r="E696" s="1">
        <v>2020</v>
      </c>
      <c r="F696" s="4"/>
      <c r="G696" s="4"/>
      <c r="H696" s="1" t="s">
        <v>4501</v>
      </c>
      <c r="I696" s="1" t="s">
        <v>145</v>
      </c>
      <c r="J696" s="1">
        <v>2020</v>
      </c>
      <c r="K696" s="1">
        <v>9781450377317</v>
      </c>
      <c r="L696" s="4"/>
      <c r="M696" s="4"/>
      <c r="N696" s="3" t="s">
        <v>4502</v>
      </c>
      <c r="O696" s="1" t="s">
        <v>4503</v>
      </c>
      <c r="P696" s="1" t="s">
        <v>4504</v>
      </c>
      <c r="Q696" s="1" t="s">
        <v>2723</v>
      </c>
      <c r="R696" s="4"/>
    </row>
    <row r="697" spans="1:18" x14ac:dyDescent="0.25">
      <c r="A697" s="1" t="s">
        <v>141</v>
      </c>
      <c r="B697" s="1" t="s">
        <v>4505</v>
      </c>
      <c r="C697" s="1" t="s">
        <v>4506</v>
      </c>
      <c r="D697" s="4"/>
      <c r="E697" s="1">
        <v>2019</v>
      </c>
      <c r="F697" s="4"/>
      <c r="G697" s="4"/>
      <c r="H697" s="1" t="s">
        <v>4507</v>
      </c>
      <c r="I697" s="1" t="s">
        <v>257</v>
      </c>
      <c r="J697" s="1">
        <v>2019</v>
      </c>
      <c r="K697" s="1">
        <v>9781538681138</v>
      </c>
      <c r="L697" s="4"/>
      <c r="M697" s="4"/>
      <c r="N697" s="3" t="s">
        <v>4508</v>
      </c>
      <c r="O697" s="1" t="s">
        <v>4509</v>
      </c>
      <c r="P697" s="1" t="s">
        <v>4510</v>
      </c>
      <c r="Q697" s="1" t="s">
        <v>185</v>
      </c>
      <c r="R697" s="4"/>
    </row>
    <row r="698" spans="1:18" x14ac:dyDescent="0.25">
      <c r="A698" s="1" t="s">
        <v>13</v>
      </c>
      <c r="B698" s="1" t="s">
        <v>4511</v>
      </c>
      <c r="C698" s="1" t="s">
        <v>4512</v>
      </c>
      <c r="D698" s="1" t="s">
        <v>462</v>
      </c>
      <c r="E698" s="1">
        <v>2020</v>
      </c>
      <c r="F698" s="1" t="s">
        <v>4115</v>
      </c>
      <c r="G698" s="4"/>
      <c r="H698" s="1" t="s">
        <v>4513</v>
      </c>
      <c r="I698" s="1" t="s">
        <v>212</v>
      </c>
      <c r="J698" s="1">
        <v>2020</v>
      </c>
      <c r="K698" s="4"/>
      <c r="L698" s="4"/>
      <c r="M698" s="1" t="s">
        <v>465</v>
      </c>
      <c r="N698" s="3" t="s">
        <v>4514</v>
      </c>
      <c r="O698" s="1" t="s">
        <v>4515</v>
      </c>
      <c r="P698" s="1" t="s">
        <v>4516</v>
      </c>
      <c r="Q698" s="1" t="s">
        <v>318</v>
      </c>
      <c r="R698" s="4"/>
    </row>
    <row r="699" spans="1:18" x14ac:dyDescent="0.25">
      <c r="A699" s="1" t="s">
        <v>141</v>
      </c>
      <c r="B699" s="1" t="s">
        <v>4517</v>
      </c>
      <c r="C699" s="1" t="s">
        <v>4518</v>
      </c>
      <c r="D699" s="4"/>
      <c r="E699" s="1">
        <v>2020</v>
      </c>
      <c r="F699" s="4"/>
      <c r="G699" s="4"/>
      <c r="H699" s="1" t="s">
        <v>4519</v>
      </c>
      <c r="I699" s="1" t="s">
        <v>196</v>
      </c>
      <c r="J699" s="1">
        <v>2020</v>
      </c>
      <c r="K699" s="1">
        <v>9781450371216</v>
      </c>
      <c r="L699" s="4"/>
      <c r="M699" s="1" t="s">
        <v>1458</v>
      </c>
      <c r="N699" s="3" t="s">
        <v>4520</v>
      </c>
      <c r="O699" s="1" t="s">
        <v>4521</v>
      </c>
      <c r="P699" s="1" t="s">
        <v>4522</v>
      </c>
      <c r="Q699" s="1" t="s">
        <v>4523</v>
      </c>
      <c r="R699" s="4"/>
    </row>
    <row r="700" spans="1:18" x14ac:dyDescent="0.25">
      <c r="A700" s="1" t="s">
        <v>13</v>
      </c>
      <c r="B700" s="1" t="s">
        <v>4524</v>
      </c>
      <c r="C700" s="1" t="s">
        <v>4525</v>
      </c>
      <c r="D700" s="1" t="s">
        <v>4526</v>
      </c>
      <c r="E700" s="1">
        <v>2020</v>
      </c>
      <c r="F700" s="1">
        <v>2020</v>
      </c>
      <c r="G700" s="4"/>
      <c r="H700" s="4"/>
      <c r="I700" s="1" t="s">
        <v>4527</v>
      </c>
      <c r="J700" s="1">
        <v>2020</v>
      </c>
      <c r="K700" s="4"/>
      <c r="L700" s="4"/>
      <c r="M700" s="1" t="s">
        <v>4528</v>
      </c>
      <c r="N700" s="3" t="s">
        <v>4529</v>
      </c>
      <c r="O700" s="4"/>
      <c r="P700" s="1" t="s">
        <v>4530</v>
      </c>
      <c r="Q700" s="1" t="s">
        <v>318</v>
      </c>
      <c r="R700" s="4"/>
    </row>
    <row r="701" spans="1:18" x14ac:dyDescent="0.25">
      <c r="A701" s="1" t="s">
        <v>141</v>
      </c>
      <c r="B701" s="1" t="s">
        <v>4531</v>
      </c>
      <c r="C701" s="1" t="s">
        <v>4532</v>
      </c>
      <c r="D701" s="4"/>
      <c r="E701" s="1">
        <v>2019</v>
      </c>
      <c r="F701" s="4"/>
      <c r="G701" s="4"/>
      <c r="H701" s="1" t="s">
        <v>4533</v>
      </c>
      <c r="I701" s="1" t="s">
        <v>257</v>
      </c>
      <c r="J701" s="1">
        <v>2019</v>
      </c>
      <c r="K701" s="1">
        <v>9781728130941</v>
      </c>
      <c r="L701" s="4"/>
      <c r="M701" s="4"/>
      <c r="N701" s="3" t="s">
        <v>4534</v>
      </c>
      <c r="O701" s="1" t="s">
        <v>4535</v>
      </c>
      <c r="P701" s="1" t="s">
        <v>4536</v>
      </c>
      <c r="Q701" s="1" t="s">
        <v>157</v>
      </c>
      <c r="R701" s="4"/>
    </row>
    <row r="702" spans="1:18" x14ac:dyDescent="0.25">
      <c r="A702" s="1" t="s">
        <v>141</v>
      </c>
      <c r="B702" s="1" t="s">
        <v>4537</v>
      </c>
      <c r="C702" s="1" t="s">
        <v>4538</v>
      </c>
      <c r="D702" s="4"/>
      <c r="E702" s="1">
        <v>2020</v>
      </c>
      <c r="F702" s="4"/>
      <c r="G702" s="4"/>
      <c r="H702" s="1" t="s">
        <v>4539</v>
      </c>
      <c r="I702" s="1" t="s">
        <v>196</v>
      </c>
      <c r="J702" s="1">
        <v>2020</v>
      </c>
      <c r="K702" s="1">
        <v>9781450371247</v>
      </c>
      <c r="L702" s="4"/>
      <c r="M702" s="1" t="s">
        <v>1458</v>
      </c>
      <c r="N702" s="3" t="s">
        <v>4540</v>
      </c>
      <c r="O702" s="1" t="s">
        <v>4541</v>
      </c>
      <c r="P702" s="1" t="s">
        <v>4542</v>
      </c>
      <c r="Q702" s="1" t="s">
        <v>1930</v>
      </c>
      <c r="R702" s="4"/>
    </row>
    <row r="703" spans="1:18" x14ac:dyDescent="0.25">
      <c r="A703" s="1" t="s">
        <v>13</v>
      </c>
      <c r="B703" s="1" t="s">
        <v>4543</v>
      </c>
      <c r="C703" s="1" t="s">
        <v>4544</v>
      </c>
      <c r="D703" s="1" t="s">
        <v>548</v>
      </c>
      <c r="E703" s="1">
        <v>2020</v>
      </c>
      <c r="F703" s="1">
        <v>12</v>
      </c>
      <c r="G703" s="1">
        <v>6</v>
      </c>
      <c r="H703" s="4"/>
      <c r="I703" s="1" t="s">
        <v>3431</v>
      </c>
      <c r="J703" s="1">
        <v>2020</v>
      </c>
      <c r="K703" s="4"/>
      <c r="L703" s="4"/>
      <c r="M703" s="1" t="s">
        <v>549</v>
      </c>
      <c r="N703" s="3" t="s">
        <v>4545</v>
      </c>
      <c r="O703" s="1" t="s">
        <v>4546</v>
      </c>
      <c r="P703" s="1" t="s">
        <v>4547</v>
      </c>
      <c r="Q703" s="1" t="s">
        <v>4548</v>
      </c>
      <c r="R703" s="4"/>
    </row>
    <row r="704" spans="1:18" x14ac:dyDescent="0.25">
      <c r="A704" s="1" t="s">
        <v>141</v>
      </c>
      <c r="B704" s="1" t="s">
        <v>4549</v>
      </c>
      <c r="C704" s="1" t="s">
        <v>4550</v>
      </c>
      <c r="D704" s="4"/>
      <c r="E704" s="1">
        <v>2019</v>
      </c>
      <c r="F704" s="4"/>
      <c r="G704" s="4"/>
      <c r="H704" s="1" t="s">
        <v>4551</v>
      </c>
      <c r="I704" s="1" t="s">
        <v>257</v>
      </c>
      <c r="J704" s="1">
        <v>2019</v>
      </c>
      <c r="K704" s="1">
        <v>9781728130941</v>
      </c>
      <c r="L704" s="4"/>
      <c r="M704" s="4"/>
      <c r="N704" s="3" t="s">
        <v>4552</v>
      </c>
      <c r="O704" s="1" t="s">
        <v>4553</v>
      </c>
      <c r="P704" s="1" t="s">
        <v>4554</v>
      </c>
      <c r="Q704" s="1" t="s">
        <v>2243</v>
      </c>
      <c r="R704" s="4"/>
    </row>
    <row r="705" spans="1:18" x14ac:dyDescent="0.25">
      <c r="A705" s="1" t="s">
        <v>141</v>
      </c>
      <c r="B705" s="1" t="s">
        <v>3062</v>
      </c>
      <c r="C705" s="1" t="s">
        <v>4555</v>
      </c>
      <c r="D705" s="4"/>
      <c r="E705" s="1">
        <v>2019</v>
      </c>
      <c r="F705" s="4"/>
      <c r="G705" s="4"/>
      <c r="H705" s="1" t="s">
        <v>4556</v>
      </c>
      <c r="I705" s="1" t="s">
        <v>257</v>
      </c>
      <c r="J705" s="1">
        <v>2019</v>
      </c>
      <c r="K705" s="1">
        <v>9781728122700</v>
      </c>
      <c r="L705" s="4"/>
      <c r="M705" s="4"/>
      <c r="N705" s="3" t="s">
        <v>4557</v>
      </c>
      <c r="O705" s="1" t="s">
        <v>4558</v>
      </c>
      <c r="P705" s="1" t="s">
        <v>4559</v>
      </c>
      <c r="Q705" s="1" t="s">
        <v>4560</v>
      </c>
      <c r="R705" s="4"/>
    </row>
    <row r="706" spans="1:18" x14ac:dyDescent="0.25">
      <c r="A706" s="1" t="s">
        <v>141</v>
      </c>
      <c r="B706" s="1" t="s">
        <v>4561</v>
      </c>
      <c r="C706" s="1" t="s">
        <v>4562</v>
      </c>
      <c r="D706" s="4"/>
      <c r="E706" s="1">
        <v>2020</v>
      </c>
      <c r="F706" s="4"/>
      <c r="G706" s="4"/>
      <c r="H706" s="1" t="s">
        <v>4563</v>
      </c>
      <c r="I706" s="1" t="s">
        <v>196</v>
      </c>
      <c r="J706" s="1">
        <v>2020</v>
      </c>
      <c r="K706" s="1">
        <v>9781450371216</v>
      </c>
      <c r="L706" s="4"/>
      <c r="M706" s="1" t="s">
        <v>1458</v>
      </c>
      <c r="N706" s="3" t="s">
        <v>4564</v>
      </c>
      <c r="O706" s="1" t="s">
        <v>4565</v>
      </c>
      <c r="P706" s="1" t="s">
        <v>4566</v>
      </c>
      <c r="Q706" s="1" t="s">
        <v>4567</v>
      </c>
      <c r="R706" s="4"/>
    </row>
    <row r="707" spans="1:18" x14ac:dyDescent="0.25">
      <c r="A707" s="1" t="s">
        <v>13</v>
      </c>
      <c r="B707" s="1" t="s">
        <v>4568</v>
      </c>
      <c r="C707" s="1" t="s">
        <v>4569</v>
      </c>
      <c r="D707" s="1" t="s">
        <v>209</v>
      </c>
      <c r="E707" s="1">
        <v>2019</v>
      </c>
      <c r="F707" s="1" t="s">
        <v>4570</v>
      </c>
      <c r="G707" s="4"/>
      <c r="H707" s="1" t="s">
        <v>4571</v>
      </c>
      <c r="I707" s="1" t="s">
        <v>4155</v>
      </c>
      <c r="J707" s="1">
        <v>2019</v>
      </c>
      <c r="K707" s="4"/>
      <c r="L707" s="4"/>
      <c r="M707" s="1" t="s">
        <v>213</v>
      </c>
      <c r="N707" s="3" t="s">
        <v>4572</v>
      </c>
      <c r="O707" s="1" t="s">
        <v>4573</v>
      </c>
      <c r="P707" s="1" t="s">
        <v>4574</v>
      </c>
      <c r="Q707" s="1" t="s">
        <v>318</v>
      </c>
      <c r="R707" s="4"/>
    </row>
    <row r="708" spans="1:18" x14ac:dyDescent="0.25">
      <c r="A708" s="1" t="s">
        <v>141</v>
      </c>
      <c r="B708" s="1" t="s">
        <v>4575</v>
      </c>
      <c r="C708" s="1" t="s">
        <v>4576</v>
      </c>
      <c r="D708" s="4"/>
      <c r="E708" s="1">
        <v>2020</v>
      </c>
      <c r="F708" s="4"/>
      <c r="G708" s="4"/>
      <c r="H708" s="1" t="s">
        <v>4577</v>
      </c>
      <c r="I708" s="1" t="s">
        <v>153</v>
      </c>
      <c r="J708" s="1">
        <v>2020</v>
      </c>
      <c r="K708" s="1">
        <v>9781450379571</v>
      </c>
      <c r="L708" s="4"/>
      <c r="M708" s="4"/>
      <c r="N708" s="3" t="s">
        <v>4578</v>
      </c>
      <c r="O708" s="1" t="s">
        <v>4579</v>
      </c>
      <c r="P708" s="1" t="s">
        <v>4580</v>
      </c>
      <c r="Q708" s="1" t="s">
        <v>4581</v>
      </c>
      <c r="R708" s="4"/>
    </row>
    <row r="709" spans="1:18" x14ac:dyDescent="0.25">
      <c r="A709" s="1" t="s">
        <v>13</v>
      </c>
      <c r="B709" s="1" t="s">
        <v>4582</v>
      </c>
      <c r="C709" s="1" t="s">
        <v>4583</v>
      </c>
      <c r="D709" s="1" t="s">
        <v>209</v>
      </c>
      <c r="E709" s="1">
        <v>2020</v>
      </c>
      <c r="F709" s="1" t="s">
        <v>4584</v>
      </c>
      <c r="G709" s="4"/>
      <c r="H709" s="1" t="s">
        <v>4585</v>
      </c>
      <c r="I709" s="1" t="s">
        <v>212</v>
      </c>
      <c r="J709" s="1">
        <v>2020</v>
      </c>
      <c r="K709" s="4"/>
      <c r="L709" s="4"/>
      <c r="M709" s="1" t="s">
        <v>213</v>
      </c>
      <c r="N709" s="3" t="s">
        <v>4586</v>
      </c>
      <c r="O709" s="1" t="s">
        <v>4587</v>
      </c>
      <c r="P709" s="1" t="s">
        <v>4588</v>
      </c>
      <c r="Q709" s="1" t="s">
        <v>2717</v>
      </c>
      <c r="R709" s="4"/>
    </row>
    <row r="710" spans="1:18" x14ac:dyDescent="0.25">
      <c r="A710" s="1" t="s">
        <v>141</v>
      </c>
      <c r="B710" s="1" t="s">
        <v>2937</v>
      </c>
      <c r="C710" s="1" t="s">
        <v>4589</v>
      </c>
      <c r="D710" s="4"/>
      <c r="E710" s="1">
        <v>2019</v>
      </c>
      <c r="F710" s="4"/>
      <c r="G710" s="4"/>
      <c r="H710" s="1" t="s">
        <v>4590</v>
      </c>
      <c r="I710" s="1" t="s">
        <v>153</v>
      </c>
      <c r="J710" s="1">
        <v>2019</v>
      </c>
      <c r="K710" s="1">
        <v>9781450368551</v>
      </c>
      <c r="L710" s="4"/>
      <c r="M710" s="4"/>
      <c r="N710" s="3" t="s">
        <v>4591</v>
      </c>
      <c r="O710" s="1" t="s">
        <v>4592</v>
      </c>
      <c r="P710" s="1" t="s">
        <v>4593</v>
      </c>
      <c r="Q710" s="1" t="s">
        <v>4286</v>
      </c>
      <c r="R710" s="4"/>
    </row>
    <row r="711" spans="1:18" x14ac:dyDescent="0.25">
      <c r="A711" s="1" t="s">
        <v>13</v>
      </c>
      <c r="B711" s="1" t="s">
        <v>4594</v>
      </c>
      <c r="C711" s="1" t="s">
        <v>4595</v>
      </c>
      <c r="D711" s="1" t="s">
        <v>136</v>
      </c>
      <c r="E711" s="1">
        <v>2020</v>
      </c>
      <c r="F711" s="1">
        <v>25</v>
      </c>
      <c r="G711" s="1">
        <v>3</v>
      </c>
      <c r="H711" s="1" t="s">
        <v>4596</v>
      </c>
      <c r="I711" s="1" t="s">
        <v>137</v>
      </c>
      <c r="J711" s="1">
        <v>2020</v>
      </c>
      <c r="K711" s="4"/>
      <c r="L711" s="4"/>
      <c r="M711" s="1" t="s">
        <v>33</v>
      </c>
      <c r="N711" s="3" t="s">
        <v>4597</v>
      </c>
      <c r="O711" s="1" t="s">
        <v>4598</v>
      </c>
      <c r="P711" s="1" t="s">
        <v>4599</v>
      </c>
      <c r="Q711" s="1" t="s">
        <v>4600</v>
      </c>
      <c r="R711" s="4"/>
    </row>
    <row r="712" spans="1:18" x14ac:dyDescent="0.25">
      <c r="A712" s="1" t="s">
        <v>13</v>
      </c>
      <c r="B712" s="1" t="s">
        <v>4601</v>
      </c>
      <c r="C712" s="1" t="s">
        <v>4602</v>
      </c>
      <c r="D712" s="1" t="s">
        <v>1033</v>
      </c>
      <c r="E712" s="1">
        <v>2020</v>
      </c>
      <c r="F712" s="1">
        <v>45</v>
      </c>
      <c r="G712" s="1">
        <v>4</v>
      </c>
      <c r="H712" s="1" t="s">
        <v>4603</v>
      </c>
      <c r="I712" s="1" t="s">
        <v>137</v>
      </c>
      <c r="J712" s="1">
        <v>2020</v>
      </c>
      <c r="K712" s="4"/>
      <c r="L712" s="4"/>
      <c r="M712" s="1" t="s">
        <v>1035</v>
      </c>
      <c r="N712" s="3" t="s">
        <v>4604</v>
      </c>
      <c r="O712" s="1" t="s">
        <v>4605</v>
      </c>
      <c r="P712" s="1" t="s">
        <v>4606</v>
      </c>
      <c r="Q712" s="1" t="s">
        <v>4607</v>
      </c>
      <c r="R712" s="4"/>
    </row>
    <row r="713" spans="1:18" x14ac:dyDescent="0.25">
      <c r="A713" s="1" t="s">
        <v>141</v>
      </c>
      <c r="B713" s="1" t="s">
        <v>4608</v>
      </c>
      <c r="C713" s="1" t="s">
        <v>4609</v>
      </c>
      <c r="D713" s="4"/>
      <c r="E713" s="1">
        <v>2019</v>
      </c>
      <c r="F713" s="4"/>
      <c r="G713" s="4"/>
      <c r="H713" s="1" t="s">
        <v>4610</v>
      </c>
      <c r="I713" s="1" t="s">
        <v>257</v>
      </c>
      <c r="J713" s="1">
        <v>2019</v>
      </c>
      <c r="K713" s="1">
        <v>9781728151250</v>
      </c>
      <c r="L713" s="4"/>
      <c r="M713" s="4"/>
      <c r="N713" s="3" t="s">
        <v>4611</v>
      </c>
      <c r="O713" s="1" t="s">
        <v>4612</v>
      </c>
      <c r="P713" s="1" t="s">
        <v>4613</v>
      </c>
      <c r="Q713" s="1" t="s">
        <v>185</v>
      </c>
      <c r="R713" s="4"/>
    </row>
    <row r="714" spans="1:18" x14ac:dyDescent="0.25">
      <c r="A714" s="1" t="s">
        <v>141</v>
      </c>
      <c r="B714" s="1" t="s">
        <v>4614</v>
      </c>
      <c r="C714" s="1" t="s">
        <v>4615</v>
      </c>
      <c r="D714" s="4"/>
      <c r="E714" s="1">
        <v>2020</v>
      </c>
      <c r="F714" s="4"/>
      <c r="G714" s="4"/>
      <c r="H714" s="1" t="s">
        <v>4616</v>
      </c>
      <c r="I714" s="1" t="s">
        <v>153</v>
      </c>
      <c r="J714" s="1">
        <v>2020</v>
      </c>
      <c r="K714" s="1">
        <v>9781450369367</v>
      </c>
      <c r="L714" s="4"/>
      <c r="M714" s="4"/>
      <c r="N714" s="3" t="s">
        <v>4617</v>
      </c>
      <c r="O714" s="1" t="s">
        <v>4618</v>
      </c>
      <c r="P714" s="1" t="s">
        <v>4619</v>
      </c>
      <c r="Q714" s="1" t="s">
        <v>4620</v>
      </c>
      <c r="R714" s="4"/>
    </row>
    <row r="715" spans="1:18" x14ac:dyDescent="0.25">
      <c r="A715" s="1" t="s">
        <v>141</v>
      </c>
      <c r="B715" s="1" t="s">
        <v>4621</v>
      </c>
      <c r="C715" s="1" t="s">
        <v>4622</v>
      </c>
      <c r="D715" s="4"/>
      <c r="E715" s="1">
        <v>2020</v>
      </c>
      <c r="F715" s="4"/>
      <c r="G715" s="4"/>
      <c r="H715" s="1" t="s">
        <v>4623</v>
      </c>
      <c r="I715" s="1" t="s">
        <v>145</v>
      </c>
      <c r="J715" s="1">
        <v>2020</v>
      </c>
      <c r="K715" s="1">
        <v>9781450367356</v>
      </c>
      <c r="L715" s="4"/>
      <c r="M715" s="1" t="s">
        <v>3308</v>
      </c>
      <c r="N715" s="3" t="s">
        <v>4624</v>
      </c>
      <c r="O715" s="1" t="s">
        <v>4625</v>
      </c>
      <c r="P715" s="1" t="s">
        <v>4626</v>
      </c>
      <c r="Q715" s="1" t="s">
        <v>4627</v>
      </c>
      <c r="R715" s="4"/>
    </row>
    <row r="716" spans="1:18" x14ac:dyDescent="0.25">
      <c r="A716" s="1" t="s">
        <v>141</v>
      </c>
      <c r="B716" s="1" t="s">
        <v>4628</v>
      </c>
      <c r="C716" s="1" t="s">
        <v>4629</v>
      </c>
      <c r="D716" s="4"/>
      <c r="E716" s="1">
        <v>2019</v>
      </c>
      <c r="F716" s="4"/>
      <c r="G716" s="4"/>
      <c r="H716" s="1" t="s">
        <v>4630</v>
      </c>
      <c r="I716" s="1" t="s">
        <v>257</v>
      </c>
      <c r="J716" s="1">
        <v>2019</v>
      </c>
      <c r="K716" s="1">
        <v>9781538650356</v>
      </c>
      <c r="L716" s="4"/>
      <c r="M716" s="4"/>
      <c r="N716" s="3" t="s">
        <v>4631</v>
      </c>
      <c r="O716" s="1" t="s">
        <v>4632</v>
      </c>
      <c r="P716" s="1" t="s">
        <v>4633</v>
      </c>
      <c r="Q716" s="1" t="s">
        <v>4634</v>
      </c>
      <c r="R716" s="4"/>
    </row>
    <row r="717" spans="1:18" x14ac:dyDescent="0.25">
      <c r="A717" s="1" t="s">
        <v>13</v>
      </c>
      <c r="B717" s="1" t="s">
        <v>4635</v>
      </c>
      <c r="C717" s="1" t="s">
        <v>4636</v>
      </c>
      <c r="D717" s="1" t="s">
        <v>4637</v>
      </c>
      <c r="E717" s="1">
        <v>2019</v>
      </c>
      <c r="F717" s="1">
        <v>36</v>
      </c>
      <c r="G717" s="1">
        <v>5</v>
      </c>
      <c r="H717" s="1" t="s">
        <v>4638</v>
      </c>
      <c r="I717" s="1" t="s">
        <v>196</v>
      </c>
      <c r="J717" s="1">
        <v>2019</v>
      </c>
      <c r="K717" s="4"/>
      <c r="L717" s="4"/>
      <c r="M717" s="1" t="s">
        <v>4639</v>
      </c>
      <c r="N717" s="3" t="s">
        <v>4640</v>
      </c>
      <c r="O717" s="1" t="s">
        <v>4641</v>
      </c>
      <c r="P717" s="1" t="s">
        <v>4642</v>
      </c>
      <c r="Q717" s="1" t="s">
        <v>3633</v>
      </c>
      <c r="R717" s="4"/>
    </row>
    <row r="718" spans="1:18" x14ac:dyDescent="0.25">
      <c r="A718" s="1" t="s">
        <v>141</v>
      </c>
      <c r="B718" s="1" t="s">
        <v>4643</v>
      </c>
      <c r="C718" s="1" t="s">
        <v>4644</v>
      </c>
      <c r="D718" s="4"/>
      <c r="E718" s="1">
        <v>2019</v>
      </c>
      <c r="F718" s="4"/>
      <c r="G718" s="4"/>
      <c r="H718" s="1" t="s">
        <v>4645</v>
      </c>
      <c r="I718" s="1" t="s">
        <v>257</v>
      </c>
      <c r="J718" s="1">
        <v>2019</v>
      </c>
      <c r="K718" s="1">
        <v>9781728151656</v>
      </c>
      <c r="L718" s="4"/>
      <c r="M718" s="4"/>
      <c r="N718" s="3" t="s">
        <v>4646</v>
      </c>
      <c r="O718" s="1" t="s">
        <v>4647</v>
      </c>
      <c r="P718" s="1" t="s">
        <v>4648</v>
      </c>
      <c r="Q718" s="1" t="s">
        <v>4649</v>
      </c>
      <c r="R718" s="4"/>
    </row>
    <row r="719" spans="1:18" x14ac:dyDescent="0.25">
      <c r="A719" s="1" t="s">
        <v>13</v>
      </c>
      <c r="B719" s="1" t="s">
        <v>4650</v>
      </c>
      <c r="C719" s="1" t="s">
        <v>4651</v>
      </c>
      <c r="D719" s="1" t="s">
        <v>264</v>
      </c>
      <c r="E719" s="1">
        <v>2019</v>
      </c>
      <c r="F719" s="1">
        <v>49</v>
      </c>
      <c r="G719" s="1">
        <v>1</v>
      </c>
      <c r="H719" s="1" t="s">
        <v>4652</v>
      </c>
      <c r="I719" s="1" t="s">
        <v>266</v>
      </c>
      <c r="J719" s="1">
        <v>2019</v>
      </c>
      <c r="K719" s="4"/>
      <c r="L719" s="4"/>
      <c r="M719" s="1" t="s">
        <v>267</v>
      </c>
      <c r="N719" s="3" t="s">
        <v>4653</v>
      </c>
      <c r="O719" s="1" t="s">
        <v>4654</v>
      </c>
      <c r="P719" s="1" t="s">
        <v>4655</v>
      </c>
      <c r="Q719" s="1" t="s">
        <v>4634</v>
      </c>
      <c r="R719" s="4"/>
    </row>
    <row r="720" spans="1:18" x14ac:dyDescent="0.25">
      <c r="A720" s="1" t="s">
        <v>141</v>
      </c>
      <c r="B720" s="1" t="s">
        <v>4656</v>
      </c>
      <c r="C720" s="1" t="s">
        <v>4657</v>
      </c>
      <c r="D720" s="4"/>
      <c r="E720" s="1">
        <v>2019</v>
      </c>
      <c r="F720" s="4"/>
      <c r="G720" s="4"/>
      <c r="H720" s="1" t="s">
        <v>3846</v>
      </c>
      <c r="I720" s="1" t="s">
        <v>257</v>
      </c>
      <c r="J720" s="1">
        <v>2019</v>
      </c>
      <c r="K720" s="1">
        <v>9781728151380</v>
      </c>
      <c r="L720" s="4"/>
      <c r="M720" s="4"/>
      <c r="N720" s="3" t="s">
        <v>4658</v>
      </c>
      <c r="O720" s="1" t="s">
        <v>4659</v>
      </c>
      <c r="P720" s="1" t="s">
        <v>4660</v>
      </c>
      <c r="Q720" s="1" t="s">
        <v>2717</v>
      </c>
      <c r="R720" s="4"/>
    </row>
    <row r="721" spans="1:18" x14ac:dyDescent="0.25">
      <c r="A721" s="1" t="s">
        <v>13</v>
      </c>
      <c r="B721" s="1" t="s">
        <v>4661</v>
      </c>
      <c r="C721" s="1" t="s">
        <v>4662</v>
      </c>
      <c r="D721" s="1" t="s">
        <v>4663</v>
      </c>
      <c r="E721" s="1">
        <v>2019</v>
      </c>
      <c r="F721" s="1">
        <v>136</v>
      </c>
      <c r="G721" s="1">
        <v>7</v>
      </c>
      <c r="H721" s="1" t="s">
        <v>4664</v>
      </c>
      <c r="I721" s="1" t="s">
        <v>137</v>
      </c>
      <c r="J721" s="1">
        <v>2019</v>
      </c>
      <c r="K721" s="4"/>
      <c r="L721" s="4"/>
      <c r="M721" s="1" t="s">
        <v>4665</v>
      </c>
      <c r="N721" s="3" t="s">
        <v>4666</v>
      </c>
      <c r="O721" s="1" t="s">
        <v>4667</v>
      </c>
      <c r="P721" s="1" t="s">
        <v>4668</v>
      </c>
      <c r="Q721" s="1" t="s">
        <v>157</v>
      </c>
      <c r="R721" s="4"/>
    </row>
    <row r="722" spans="1:18" x14ac:dyDescent="0.25">
      <c r="A722" s="1" t="s">
        <v>13</v>
      </c>
      <c r="B722" s="1" t="s">
        <v>4669</v>
      </c>
      <c r="C722" s="1" t="s">
        <v>4670</v>
      </c>
      <c r="D722" s="1" t="s">
        <v>668</v>
      </c>
      <c r="E722" s="1">
        <v>2020</v>
      </c>
      <c r="F722" s="1">
        <v>8</v>
      </c>
      <c r="G722" s="4"/>
      <c r="H722" s="1" t="s">
        <v>4671</v>
      </c>
      <c r="I722" s="1" t="s">
        <v>257</v>
      </c>
      <c r="J722" s="1">
        <v>2020</v>
      </c>
      <c r="K722" s="4"/>
      <c r="L722" s="4"/>
      <c r="M722" s="1" t="s">
        <v>670</v>
      </c>
      <c r="N722" s="3" t="s">
        <v>4672</v>
      </c>
      <c r="O722" s="1" t="s">
        <v>4673</v>
      </c>
      <c r="P722" s="1" t="s">
        <v>4674</v>
      </c>
      <c r="Q722" s="1" t="s">
        <v>4675</v>
      </c>
      <c r="R722" s="4"/>
    </row>
    <row r="723" spans="1:18" x14ac:dyDescent="0.25">
      <c r="A723" s="1" t="s">
        <v>13</v>
      </c>
      <c r="B723" s="1" t="s">
        <v>2998</v>
      </c>
      <c r="C723" s="1" t="s">
        <v>4676</v>
      </c>
      <c r="D723" s="1" t="s">
        <v>668</v>
      </c>
      <c r="E723" s="1">
        <v>2020</v>
      </c>
      <c r="F723" s="1">
        <v>8</v>
      </c>
      <c r="G723" s="4"/>
      <c r="H723" s="1" t="s">
        <v>4677</v>
      </c>
      <c r="I723" s="1" t="s">
        <v>257</v>
      </c>
      <c r="J723" s="1">
        <v>2020</v>
      </c>
      <c r="K723" s="4"/>
      <c r="L723" s="4"/>
      <c r="M723" s="1" t="s">
        <v>670</v>
      </c>
      <c r="N723" s="3" t="s">
        <v>4678</v>
      </c>
      <c r="O723" s="1" t="s">
        <v>4679</v>
      </c>
      <c r="P723" s="1" t="s">
        <v>4680</v>
      </c>
      <c r="Q723" s="1" t="s">
        <v>4681</v>
      </c>
      <c r="R723" s="4"/>
    </row>
    <row r="724" spans="1:18" x14ac:dyDescent="0.25">
      <c r="A724" s="1" t="s">
        <v>13</v>
      </c>
      <c r="B724" s="1" t="s">
        <v>4682</v>
      </c>
      <c r="C724" s="1" t="s">
        <v>4683</v>
      </c>
      <c r="D724" s="1" t="s">
        <v>354</v>
      </c>
      <c r="E724" s="1">
        <v>2020</v>
      </c>
      <c r="F724" s="1">
        <v>164</v>
      </c>
      <c r="G724" s="4"/>
      <c r="H724" s="4"/>
      <c r="I724" s="1" t="s">
        <v>355</v>
      </c>
      <c r="J724" s="1">
        <v>2020</v>
      </c>
      <c r="K724" s="4"/>
      <c r="L724" s="4"/>
      <c r="M724" s="1" t="s">
        <v>65</v>
      </c>
      <c r="N724" s="3" t="s">
        <v>4684</v>
      </c>
      <c r="O724" s="1" t="s">
        <v>4685</v>
      </c>
      <c r="P724" s="1" t="s">
        <v>4686</v>
      </c>
      <c r="Q724" s="1" t="s">
        <v>4687</v>
      </c>
      <c r="R724" s="4"/>
    </row>
    <row r="725" spans="1:18" x14ac:dyDescent="0.25">
      <c r="A725" s="1" t="s">
        <v>141</v>
      </c>
      <c r="B725" s="1" t="s">
        <v>4688</v>
      </c>
      <c r="C725" s="1" t="s">
        <v>4689</v>
      </c>
      <c r="D725" s="4"/>
      <c r="E725" s="1">
        <v>2019</v>
      </c>
      <c r="F725" s="4"/>
      <c r="G725" s="4"/>
      <c r="H725" s="1" t="s">
        <v>1977</v>
      </c>
      <c r="I725" s="1" t="s">
        <v>257</v>
      </c>
      <c r="J725" s="1">
        <v>2019</v>
      </c>
      <c r="K725" s="1">
        <v>9781728104393</v>
      </c>
      <c r="L725" s="4"/>
      <c r="M725" s="4"/>
      <c r="N725" s="3" t="s">
        <v>4690</v>
      </c>
      <c r="O725" s="1" t="s">
        <v>4691</v>
      </c>
      <c r="P725" s="1" t="s">
        <v>4692</v>
      </c>
      <c r="Q725" s="1" t="s">
        <v>747</v>
      </c>
      <c r="R725" s="4"/>
    </row>
    <row r="726" spans="1:18" x14ac:dyDescent="0.25">
      <c r="A726" s="1" t="s">
        <v>13</v>
      </c>
      <c r="B726" s="1" t="s">
        <v>4693</v>
      </c>
      <c r="C726" s="1" t="s">
        <v>4694</v>
      </c>
      <c r="D726" s="1" t="s">
        <v>4637</v>
      </c>
      <c r="E726" s="1">
        <v>2020</v>
      </c>
      <c r="F726" s="1">
        <v>37</v>
      </c>
      <c r="G726" s="1">
        <v>1</v>
      </c>
      <c r="H726" s="1" t="s">
        <v>4695</v>
      </c>
      <c r="I726" s="1" t="s">
        <v>196</v>
      </c>
      <c r="J726" s="1">
        <v>2020</v>
      </c>
      <c r="K726" s="4"/>
      <c r="L726" s="4"/>
      <c r="M726" s="1" t="s">
        <v>4639</v>
      </c>
      <c r="N726" s="3" t="s">
        <v>4696</v>
      </c>
      <c r="O726" s="1" t="s">
        <v>4697</v>
      </c>
      <c r="P726" s="1" t="s">
        <v>4698</v>
      </c>
      <c r="Q726" s="1" t="s">
        <v>2997</v>
      </c>
      <c r="R726" s="4"/>
    </row>
    <row r="727" spans="1:18" x14ac:dyDescent="0.25">
      <c r="A727" s="1" t="s">
        <v>13</v>
      </c>
      <c r="B727" s="1" t="s">
        <v>4699</v>
      </c>
      <c r="C727" s="1" t="s">
        <v>4700</v>
      </c>
      <c r="D727" s="1" t="s">
        <v>668</v>
      </c>
      <c r="E727" s="1">
        <v>2019</v>
      </c>
      <c r="F727" s="1">
        <v>7</v>
      </c>
      <c r="G727" s="4"/>
      <c r="H727" s="1" t="s">
        <v>4701</v>
      </c>
      <c r="I727" s="1" t="s">
        <v>257</v>
      </c>
      <c r="J727" s="1">
        <v>2019</v>
      </c>
      <c r="K727" s="4"/>
      <c r="L727" s="4"/>
      <c r="M727" s="1" t="s">
        <v>670</v>
      </c>
      <c r="N727" s="3" t="s">
        <v>4702</v>
      </c>
      <c r="O727" s="1" t="s">
        <v>4703</v>
      </c>
      <c r="P727" s="1" t="s">
        <v>4704</v>
      </c>
      <c r="Q727" s="1" t="s">
        <v>4705</v>
      </c>
      <c r="R727" s="4"/>
    </row>
    <row r="728" spans="1:18" x14ac:dyDescent="0.25">
      <c r="A728" s="1" t="s">
        <v>141</v>
      </c>
      <c r="B728" s="1" t="s">
        <v>4706</v>
      </c>
      <c r="C728" s="1" t="s">
        <v>4707</v>
      </c>
      <c r="D728" s="4"/>
      <c r="E728" s="1">
        <v>2019</v>
      </c>
      <c r="F728" s="4"/>
      <c r="G728" s="4"/>
      <c r="H728" s="1" t="s">
        <v>4708</v>
      </c>
      <c r="I728" s="1" t="s">
        <v>257</v>
      </c>
      <c r="J728" s="1">
        <v>2019</v>
      </c>
      <c r="K728" s="1">
        <v>9781728130941</v>
      </c>
      <c r="L728" s="4"/>
      <c r="M728" s="4"/>
      <c r="N728" s="3" t="s">
        <v>4709</v>
      </c>
      <c r="O728" s="1" t="s">
        <v>4710</v>
      </c>
      <c r="P728" s="1" t="s">
        <v>4711</v>
      </c>
      <c r="Q728" s="1" t="s">
        <v>1813</v>
      </c>
      <c r="R728" s="4"/>
    </row>
    <row r="729" spans="1:18" x14ac:dyDescent="0.25">
      <c r="A729" s="1" t="s">
        <v>13</v>
      </c>
      <c r="B729" s="1" t="s">
        <v>4712</v>
      </c>
      <c r="C729" s="1" t="s">
        <v>4713</v>
      </c>
      <c r="D729" s="1" t="s">
        <v>462</v>
      </c>
      <c r="E729" s="1">
        <v>2019</v>
      </c>
      <c r="F729" s="1" t="s">
        <v>4714</v>
      </c>
      <c r="G729" s="4"/>
      <c r="H729" s="1" t="s">
        <v>4715</v>
      </c>
      <c r="I729" s="1" t="s">
        <v>137</v>
      </c>
      <c r="J729" s="1">
        <v>2019</v>
      </c>
      <c r="K729" s="4"/>
      <c r="L729" s="4"/>
      <c r="M729" s="1" t="s">
        <v>465</v>
      </c>
      <c r="N729" s="3" t="s">
        <v>4716</v>
      </c>
      <c r="O729" s="1" t="s">
        <v>4717</v>
      </c>
      <c r="P729" s="1" t="s">
        <v>4718</v>
      </c>
      <c r="Q729" s="1" t="s">
        <v>318</v>
      </c>
      <c r="R729" s="4"/>
    </row>
    <row r="730" spans="1:18" x14ac:dyDescent="0.25">
      <c r="A730" s="1" t="s">
        <v>141</v>
      </c>
      <c r="B730" s="1" t="s">
        <v>4719</v>
      </c>
      <c r="C730" s="1" t="s">
        <v>4720</v>
      </c>
      <c r="D730" s="4"/>
      <c r="E730" s="1">
        <v>2020</v>
      </c>
      <c r="F730" s="4"/>
      <c r="G730" s="4"/>
      <c r="H730" s="1" t="s">
        <v>4721</v>
      </c>
      <c r="I730" s="1" t="s">
        <v>257</v>
      </c>
      <c r="J730" s="1">
        <v>2020</v>
      </c>
      <c r="K730" s="1">
        <v>9781728110516</v>
      </c>
      <c r="L730" s="4"/>
      <c r="M730" s="4"/>
      <c r="N730" s="3" t="s">
        <v>4722</v>
      </c>
      <c r="O730" s="1" t="s">
        <v>4723</v>
      </c>
      <c r="P730" s="1" t="s">
        <v>4724</v>
      </c>
      <c r="Q730" s="1" t="s">
        <v>318</v>
      </c>
      <c r="R730" s="4"/>
    </row>
    <row r="731" spans="1:18" x14ac:dyDescent="0.25">
      <c r="A731" s="1" t="s">
        <v>13</v>
      </c>
      <c r="B731" s="1" t="s">
        <v>4725</v>
      </c>
      <c r="C731" s="1" t="s">
        <v>4726</v>
      </c>
      <c r="D731" s="1" t="s">
        <v>4727</v>
      </c>
      <c r="E731" s="1">
        <v>2020</v>
      </c>
      <c r="F731" s="1">
        <v>2020</v>
      </c>
      <c r="G731" s="4"/>
      <c r="H731" s="4"/>
      <c r="I731" s="1" t="s">
        <v>1333</v>
      </c>
      <c r="J731" s="1">
        <v>2020</v>
      </c>
      <c r="K731" s="4"/>
      <c r="L731" s="4"/>
      <c r="M731" s="1" t="s">
        <v>4728</v>
      </c>
      <c r="N731" s="3" t="s">
        <v>4729</v>
      </c>
      <c r="O731" s="1" t="s">
        <v>4730</v>
      </c>
      <c r="P731" s="1" t="s">
        <v>4731</v>
      </c>
      <c r="Q731" s="1" t="s">
        <v>285</v>
      </c>
      <c r="R731" s="4"/>
    </row>
    <row r="732" spans="1:18" x14ac:dyDescent="0.25">
      <c r="A732" s="1" t="s">
        <v>13</v>
      </c>
      <c r="B732" s="1" t="s">
        <v>4732</v>
      </c>
      <c r="C732" s="1" t="s">
        <v>4733</v>
      </c>
      <c r="D732" s="1" t="s">
        <v>462</v>
      </c>
      <c r="E732" s="1">
        <v>2020</v>
      </c>
      <c r="F732" s="1" t="s">
        <v>4734</v>
      </c>
      <c r="G732" s="4"/>
      <c r="H732" s="1" t="s">
        <v>4735</v>
      </c>
      <c r="I732" s="1" t="s">
        <v>137</v>
      </c>
      <c r="J732" s="1">
        <v>2020</v>
      </c>
      <c r="K732" s="4"/>
      <c r="L732" s="4"/>
      <c r="M732" s="1" t="s">
        <v>465</v>
      </c>
      <c r="N732" s="3" t="s">
        <v>4736</v>
      </c>
      <c r="O732" s="1" t="s">
        <v>4737</v>
      </c>
      <c r="P732" s="1" t="s">
        <v>4738</v>
      </c>
      <c r="Q732" s="1" t="s">
        <v>318</v>
      </c>
      <c r="R732" s="4"/>
    </row>
    <row r="733" spans="1:18" x14ac:dyDescent="0.25">
      <c r="A733" s="1" t="s">
        <v>141</v>
      </c>
      <c r="B733" s="1" t="s">
        <v>4739</v>
      </c>
      <c r="C733" s="1" t="s">
        <v>4740</v>
      </c>
      <c r="D733" s="4"/>
      <c r="E733" s="1">
        <v>2019</v>
      </c>
      <c r="F733" s="4"/>
      <c r="G733" s="4"/>
      <c r="H733" s="1" t="s">
        <v>4741</v>
      </c>
      <c r="I733" s="1" t="s">
        <v>153</v>
      </c>
      <c r="J733" s="1">
        <v>2019</v>
      </c>
      <c r="K733" s="1">
        <v>9781450366991</v>
      </c>
      <c r="L733" s="4"/>
      <c r="M733" s="4"/>
      <c r="N733" s="3" t="s">
        <v>4742</v>
      </c>
      <c r="O733" s="1" t="s">
        <v>4743</v>
      </c>
      <c r="P733" s="1" t="s">
        <v>4744</v>
      </c>
      <c r="Q733" s="1" t="s">
        <v>4745</v>
      </c>
      <c r="R733" s="4"/>
    </row>
    <row r="734" spans="1:18" x14ac:dyDescent="0.25">
      <c r="A734" s="1" t="s">
        <v>13</v>
      </c>
      <c r="B734" s="1" t="s">
        <v>4746</v>
      </c>
      <c r="C734" s="1" t="s">
        <v>4747</v>
      </c>
      <c r="D734" s="1" t="s">
        <v>1827</v>
      </c>
      <c r="E734" s="1">
        <v>2019</v>
      </c>
      <c r="F734" s="1">
        <v>180</v>
      </c>
      <c r="G734" s="4"/>
      <c r="H734" s="1" t="s">
        <v>2975</v>
      </c>
      <c r="I734" s="1" t="s">
        <v>280</v>
      </c>
      <c r="J734" s="1">
        <v>2019</v>
      </c>
      <c r="K734" s="4"/>
      <c r="L734" s="4"/>
      <c r="M734" s="1" t="s">
        <v>1828</v>
      </c>
      <c r="N734" s="3" t="s">
        <v>4748</v>
      </c>
      <c r="O734" s="1" t="s">
        <v>4749</v>
      </c>
      <c r="P734" s="1" t="s">
        <v>4750</v>
      </c>
      <c r="Q734" s="1" t="s">
        <v>2942</v>
      </c>
      <c r="R734" s="4"/>
    </row>
    <row r="735" spans="1:18" x14ac:dyDescent="0.25">
      <c r="A735" s="1" t="s">
        <v>141</v>
      </c>
      <c r="B735" s="1" t="s">
        <v>4751</v>
      </c>
      <c r="C735" s="1" t="s">
        <v>4752</v>
      </c>
      <c r="D735" s="4"/>
      <c r="E735" s="1">
        <v>2019</v>
      </c>
      <c r="F735" s="4"/>
      <c r="G735" s="4"/>
      <c r="H735" s="1" t="s">
        <v>4753</v>
      </c>
      <c r="I735" s="1" t="s">
        <v>257</v>
      </c>
      <c r="J735" s="1">
        <v>2019</v>
      </c>
      <c r="K735" s="1">
        <v>9781728130941</v>
      </c>
      <c r="L735" s="4"/>
      <c r="M735" s="4"/>
      <c r="N735" s="3" t="s">
        <v>4754</v>
      </c>
      <c r="O735" s="1" t="s">
        <v>4755</v>
      </c>
      <c r="P735" s="1" t="s">
        <v>4756</v>
      </c>
      <c r="Q735" s="1" t="s">
        <v>185</v>
      </c>
      <c r="R735" s="4"/>
    </row>
    <row r="736" spans="1:18" x14ac:dyDescent="0.25">
      <c r="A736" s="1" t="s">
        <v>141</v>
      </c>
      <c r="B736" s="1" t="s">
        <v>4757</v>
      </c>
      <c r="C736" s="1" t="s">
        <v>4758</v>
      </c>
      <c r="D736" s="4"/>
      <c r="E736" s="1">
        <v>2019</v>
      </c>
      <c r="F736" s="7">
        <v>43586</v>
      </c>
      <c r="G736" s="4"/>
      <c r="H736" s="1" t="s">
        <v>4759</v>
      </c>
      <c r="I736" s="1" t="s">
        <v>196</v>
      </c>
      <c r="J736" s="1">
        <v>2019</v>
      </c>
      <c r="K736" s="1">
        <v>9781728134123</v>
      </c>
      <c r="L736" s="4"/>
      <c r="M736" s="1" t="s">
        <v>4352</v>
      </c>
      <c r="N736" s="3" t="s">
        <v>4760</v>
      </c>
      <c r="O736" s="1" t="s">
        <v>4761</v>
      </c>
      <c r="P736" s="1" t="s">
        <v>4762</v>
      </c>
      <c r="Q736" s="1" t="s">
        <v>2420</v>
      </c>
      <c r="R736" s="4"/>
    </row>
    <row r="737" spans="1:18" x14ac:dyDescent="0.25">
      <c r="A737" s="1" t="s">
        <v>141</v>
      </c>
      <c r="B737" s="1" t="s">
        <v>3177</v>
      </c>
      <c r="C737" s="1" t="s">
        <v>4763</v>
      </c>
      <c r="D737" s="4"/>
      <c r="E737" s="1">
        <v>2020</v>
      </c>
      <c r="F737" s="4"/>
      <c r="G737" s="4"/>
      <c r="H737" s="1" t="s">
        <v>3179</v>
      </c>
      <c r="I737" s="1" t="s">
        <v>196</v>
      </c>
      <c r="J737" s="1">
        <v>2020</v>
      </c>
      <c r="K737" s="1">
        <v>9781450371223</v>
      </c>
      <c r="L737" s="4"/>
      <c r="M737" s="1" t="s">
        <v>1458</v>
      </c>
      <c r="N737" s="3" t="s">
        <v>4764</v>
      </c>
      <c r="O737" s="1" t="s">
        <v>3181</v>
      </c>
      <c r="P737" s="1" t="s">
        <v>4765</v>
      </c>
      <c r="Q737" s="1" t="s">
        <v>176</v>
      </c>
      <c r="R737" s="4"/>
    </row>
    <row r="738" spans="1:18" x14ac:dyDescent="0.25">
      <c r="A738" s="1" t="s">
        <v>141</v>
      </c>
      <c r="B738" s="1" t="s">
        <v>4766</v>
      </c>
      <c r="C738" s="1" t="s">
        <v>4767</v>
      </c>
      <c r="D738" s="4"/>
      <c r="E738" s="1">
        <v>2019</v>
      </c>
      <c r="F738" s="4"/>
      <c r="G738" s="4"/>
      <c r="H738" s="1" t="s">
        <v>4768</v>
      </c>
      <c r="I738" s="1" t="s">
        <v>257</v>
      </c>
      <c r="J738" s="1">
        <v>2019</v>
      </c>
      <c r="K738" s="1">
        <v>9781728139272</v>
      </c>
      <c r="L738" s="4"/>
      <c r="M738" s="4"/>
      <c r="N738" s="3" t="s">
        <v>4769</v>
      </c>
      <c r="O738" s="1" t="s">
        <v>4770</v>
      </c>
      <c r="P738" s="1" t="s">
        <v>4771</v>
      </c>
      <c r="Q738" s="1" t="s">
        <v>1740</v>
      </c>
      <c r="R738" s="4"/>
    </row>
    <row r="739" spans="1:18" x14ac:dyDescent="0.25">
      <c r="A739" s="1" t="s">
        <v>141</v>
      </c>
      <c r="B739" s="1" t="s">
        <v>4772</v>
      </c>
      <c r="C739" s="1" t="s">
        <v>4773</v>
      </c>
      <c r="D739" s="4"/>
      <c r="E739" s="1">
        <v>2020</v>
      </c>
      <c r="F739" s="1">
        <v>2659</v>
      </c>
      <c r="G739" s="4"/>
      <c r="H739" s="1" t="s">
        <v>4774</v>
      </c>
      <c r="I739" s="1" t="s">
        <v>613</v>
      </c>
      <c r="J739" s="1">
        <v>2020</v>
      </c>
      <c r="K739" s="4"/>
      <c r="L739" s="4"/>
      <c r="M739" s="1" t="s">
        <v>614</v>
      </c>
      <c r="N739" s="3" t="s">
        <v>4775</v>
      </c>
      <c r="O739" s="4"/>
      <c r="P739" s="1" t="s">
        <v>4776</v>
      </c>
      <c r="Q739" s="1" t="s">
        <v>157</v>
      </c>
      <c r="R739" s="4"/>
    </row>
    <row r="740" spans="1:18" x14ac:dyDescent="0.25">
      <c r="A740" s="1" t="s">
        <v>13</v>
      </c>
      <c r="B740" s="1" t="s">
        <v>4777</v>
      </c>
      <c r="C740" s="1" t="s">
        <v>4778</v>
      </c>
      <c r="D740" s="1" t="s">
        <v>328</v>
      </c>
      <c r="E740" s="1">
        <v>2020</v>
      </c>
      <c r="F740" s="1">
        <v>29</v>
      </c>
      <c r="G740" s="1">
        <v>2</v>
      </c>
      <c r="H740" s="4"/>
      <c r="I740" s="1" t="s">
        <v>145</v>
      </c>
      <c r="J740" s="1">
        <v>2020</v>
      </c>
      <c r="K740" s="4"/>
      <c r="L740" s="4"/>
      <c r="M740" s="1" t="s">
        <v>329</v>
      </c>
      <c r="N740" s="3" t="s">
        <v>4779</v>
      </c>
      <c r="O740" s="1" t="s">
        <v>4780</v>
      </c>
      <c r="P740" s="1" t="s">
        <v>4781</v>
      </c>
      <c r="Q740" s="1" t="s">
        <v>2997</v>
      </c>
      <c r="R740" s="4"/>
    </row>
    <row r="741" spans="1:18" x14ac:dyDescent="0.25">
      <c r="A741" s="1" t="s">
        <v>141</v>
      </c>
      <c r="B741" s="1" t="s">
        <v>4782</v>
      </c>
      <c r="C741" s="1" t="s">
        <v>4783</v>
      </c>
      <c r="D741" s="4"/>
      <c r="E741" s="1">
        <v>2019</v>
      </c>
      <c r="F741" s="4"/>
      <c r="G741" s="4"/>
      <c r="H741" s="1" t="s">
        <v>4784</v>
      </c>
      <c r="I741" s="1" t="s">
        <v>153</v>
      </c>
      <c r="J741" s="1">
        <v>2019</v>
      </c>
      <c r="K741" s="1">
        <v>9781450369954</v>
      </c>
      <c r="L741" s="4"/>
      <c r="M741" s="4"/>
      <c r="N741" s="3" t="s">
        <v>4785</v>
      </c>
      <c r="O741" s="1" t="s">
        <v>4786</v>
      </c>
      <c r="P741" s="1" t="s">
        <v>4787</v>
      </c>
      <c r="Q741" s="1" t="s">
        <v>520</v>
      </c>
      <c r="R741" s="4"/>
    </row>
    <row r="742" spans="1:18" x14ac:dyDescent="0.25">
      <c r="A742" s="1" t="s">
        <v>13</v>
      </c>
      <c r="B742" s="1" t="s">
        <v>4788</v>
      </c>
      <c r="C742" s="1" t="s">
        <v>4789</v>
      </c>
      <c r="D742" s="1" t="s">
        <v>4790</v>
      </c>
      <c r="E742" s="1">
        <v>2020</v>
      </c>
      <c r="F742" s="1">
        <v>2020</v>
      </c>
      <c r="G742" s="1" t="s">
        <v>4791</v>
      </c>
      <c r="H742" s="1" t="s">
        <v>4792</v>
      </c>
      <c r="I742" s="1" t="s">
        <v>4793</v>
      </c>
      <c r="J742" s="1">
        <v>2020</v>
      </c>
      <c r="K742" s="4"/>
      <c r="L742" s="4"/>
      <c r="M742" s="1" t="s">
        <v>4794</v>
      </c>
      <c r="N742" s="3" t="s">
        <v>4795</v>
      </c>
      <c r="O742" s="4"/>
      <c r="P742" s="1" t="s">
        <v>4796</v>
      </c>
      <c r="Q742" s="1" t="s">
        <v>157</v>
      </c>
      <c r="R742" s="4"/>
    </row>
    <row r="743" spans="1:18" x14ac:dyDescent="0.25">
      <c r="A743" s="1" t="s">
        <v>13</v>
      </c>
      <c r="B743" s="1" t="s">
        <v>4797</v>
      </c>
      <c r="C743" s="1" t="s">
        <v>4798</v>
      </c>
      <c r="D743" s="1" t="s">
        <v>4637</v>
      </c>
      <c r="E743" s="1">
        <v>2020</v>
      </c>
      <c r="F743" s="1">
        <v>37</v>
      </c>
      <c r="G743" s="1">
        <v>4</v>
      </c>
      <c r="H743" s="1" t="s">
        <v>4799</v>
      </c>
      <c r="I743" s="1" t="s">
        <v>196</v>
      </c>
      <c r="J743" s="1">
        <v>2020</v>
      </c>
      <c r="K743" s="4"/>
      <c r="L743" s="4"/>
      <c r="M743" s="1" t="s">
        <v>4639</v>
      </c>
      <c r="N743" s="3" t="s">
        <v>4800</v>
      </c>
      <c r="O743" s="1" t="s">
        <v>4801</v>
      </c>
      <c r="P743" s="1" t="s">
        <v>4802</v>
      </c>
      <c r="Q743" s="1" t="s">
        <v>2823</v>
      </c>
      <c r="R743" s="4"/>
    </row>
    <row r="744" spans="1:18" x14ac:dyDescent="0.25">
      <c r="A744" s="1" t="s">
        <v>13</v>
      </c>
      <c r="B744" s="1" t="s">
        <v>4803</v>
      </c>
      <c r="C744" s="1" t="s">
        <v>4804</v>
      </c>
      <c r="D744" s="1" t="s">
        <v>4805</v>
      </c>
      <c r="E744" s="1">
        <v>2020</v>
      </c>
      <c r="F744" s="1">
        <v>108</v>
      </c>
      <c r="G744" s="1">
        <v>7</v>
      </c>
      <c r="H744" s="1" t="s">
        <v>4806</v>
      </c>
      <c r="I744" s="1" t="s">
        <v>257</v>
      </c>
      <c r="J744" s="1">
        <v>2020</v>
      </c>
      <c r="K744" s="4"/>
      <c r="L744" s="4"/>
      <c r="M744" s="1" t="s">
        <v>4807</v>
      </c>
      <c r="N744" s="3" t="s">
        <v>4808</v>
      </c>
      <c r="O744" s="1" t="s">
        <v>4809</v>
      </c>
      <c r="P744" s="1" t="s">
        <v>4810</v>
      </c>
      <c r="Q744" s="1" t="s">
        <v>2770</v>
      </c>
      <c r="R744" s="4"/>
    </row>
    <row r="745" spans="1:18" x14ac:dyDescent="0.25">
      <c r="A745" s="1" t="s">
        <v>13</v>
      </c>
      <c r="B745" s="1" t="s">
        <v>4811</v>
      </c>
      <c r="C745" s="1" t="s">
        <v>4812</v>
      </c>
      <c r="D745" s="1" t="s">
        <v>462</v>
      </c>
      <c r="E745" s="1">
        <v>2020</v>
      </c>
      <c r="F745" s="1">
        <v>1272</v>
      </c>
      <c r="G745" s="4"/>
      <c r="H745" s="1" t="s">
        <v>4813</v>
      </c>
      <c r="I745" s="1" t="s">
        <v>212</v>
      </c>
      <c r="J745" s="1">
        <v>2020</v>
      </c>
      <c r="K745" s="4"/>
      <c r="L745" s="4"/>
      <c r="M745" s="1" t="s">
        <v>465</v>
      </c>
      <c r="N745" s="3" t="s">
        <v>4814</v>
      </c>
      <c r="O745" s="1" t="s">
        <v>4815</v>
      </c>
      <c r="P745" s="1" t="s">
        <v>4816</v>
      </c>
      <c r="Q745" s="1" t="s">
        <v>157</v>
      </c>
      <c r="R745" s="4"/>
    </row>
    <row r="746" spans="1:18" x14ac:dyDescent="0.25">
      <c r="A746" s="1" t="s">
        <v>13</v>
      </c>
      <c r="B746" s="1" t="s">
        <v>4817</v>
      </c>
      <c r="C746" s="1" t="s">
        <v>4818</v>
      </c>
      <c r="D746" s="1" t="s">
        <v>255</v>
      </c>
      <c r="E746" s="1">
        <v>2019</v>
      </c>
      <c r="F746" s="1">
        <v>45</v>
      </c>
      <c r="G746" s="1">
        <v>2</v>
      </c>
      <c r="H746" s="1" t="s">
        <v>4819</v>
      </c>
      <c r="I746" s="1" t="s">
        <v>257</v>
      </c>
      <c r="J746" s="1">
        <v>2019</v>
      </c>
      <c r="K746" s="4"/>
      <c r="L746" s="4"/>
      <c r="M746" s="1" t="s">
        <v>18</v>
      </c>
      <c r="N746" s="3" t="s">
        <v>4820</v>
      </c>
      <c r="O746" s="1" t="s">
        <v>4821</v>
      </c>
      <c r="P746" s="1" t="s">
        <v>4822</v>
      </c>
      <c r="Q746" s="1" t="s">
        <v>4823</v>
      </c>
      <c r="R746" s="4"/>
    </row>
    <row r="747" spans="1:18" x14ac:dyDescent="0.25">
      <c r="A747" s="1" t="s">
        <v>13</v>
      </c>
      <c r="B747" s="1" t="s">
        <v>4824</v>
      </c>
      <c r="C747" s="1" t="s">
        <v>4825</v>
      </c>
      <c r="D747" s="1" t="s">
        <v>462</v>
      </c>
      <c r="E747" s="1">
        <v>2020</v>
      </c>
      <c r="F747" s="1">
        <v>1272</v>
      </c>
      <c r="G747" s="4"/>
      <c r="H747" s="1" t="s">
        <v>3012</v>
      </c>
      <c r="I747" s="1" t="s">
        <v>212</v>
      </c>
      <c r="J747" s="1">
        <v>2020</v>
      </c>
      <c r="K747" s="4"/>
      <c r="L747" s="4"/>
      <c r="M747" s="1" t="s">
        <v>465</v>
      </c>
      <c r="N747" s="3" t="s">
        <v>4826</v>
      </c>
      <c r="O747" s="1" t="s">
        <v>4827</v>
      </c>
      <c r="P747" s="1" t="s">
        <v>4828</v>
      </c>
      <c r="Q747" s="1" t="s">
        <v>1598</v>
      </c>
      <c r="R747" s="4"/>
    </row>
    <row r="748" spans="1:18" x14ac:dyDescent="0.25">
      <c r="A748" s="1" t="s">
        <v>13</v>
      </c>
      <c r="B748" s="1" t="s">
        <v>4829</v>
      </c>
      <c r="C748" s="1" t="s">
        <v>4830</v>
      </c>
      <c r="D748" s="1" t="s">
        <v>462</v>
      </c>
      <c r="E748" s="1">
        <v>2020</v>
      </c>
      <c r="F748" s="1" t="s">
        <v>4831</v>
      </c>
      <c r="G748" s="4"/>
      <c r="H748" s="1" t="s">
        <v>4832</v>
      </c>
      <c r="I748" s="1" t="s">
        <v>212</v>
      </c>
      <c r="J748" s="1">
        <v>2020</v>
      </c>
      <c r="K748" s="4"/>
      <c r="L748" s="4"/>
      <c r="M748" s="1" t="s">
        <v>465</v>
      </c>
      <c r="N748" s="3" t="s">
        <v>4833</v>
      </c>
      <c r="O748" s="1" t="s">
        <v>4834</v>
      </c>
      <c r="P748" s="1" t="s">
        <v>4835</v>
      </c>
      <c r="Q748" s="1" t="s">
        <v>157</v>
      </c>
      <c r="R748" s="4"/>
    </row>
    <row r="749" spans="1:18" x14ac:dyDescent="0.25">
      <c r="A749" s="1" t="s">
        <v>141</v>
      </c>
      <c r="B749" s="1" t="s">
        <v>4836</v>
      </c>
      <c r="C749" s="1" t="s">
        <v>4837</v>
      </c>
      <c r="D749" s="4"/>
      <c r="E749" s="1">
        <v>2020</v>
      </c>
      <c r="F749" s="4"/>
      <c r="G749" s="4"/>
      <c r="H749" s="4"/>
      <c r="I749" s="1" t="s">
        <v>257</v>
      </c>
      <c r="J749" s="1">
        <v>2020</v>
      </c>
      <c r="K749" s="1">
        <v>9781728169262</v>
      </c>
      <c r="L749" s="4"/>
      <c r="M749" s="4"/>
      <c r="N749" s="3" t="s">
        <v>4838</v>
      </c>
      <c r="O749" s="1" t="s">
        <v>4839</v>
      </c>
      <c r="P749" s="1" t="s">
        <v>4840</v>
      </c>
      <c r="Q749" s="1" t="s">
        <v>404</v>
      </c>
      <c r="R749" s="4"/>
    </row>
    <row r="750" spans="1:18" x14ac:dyDescent="0.25">
      <c r="A750" s="1" t="s">
        <v>141</v>
      </c>
      <c r="B750" s="1" t="s">
        <v>4739</v>
      </c>
      <c r="C750" s="1" t="s">
        <v>4841</v>
      </c>
      <c r="D750" s="4"/>
      <c r="E750" s="1">
        <v>2019</v>
      </c>
      <c r="F750" s="4"/>
      <c r="G750" s="4"/>
      <c r="H750" s="1" t="s">
        <v>4842</v>
      </c>
      <c r="I750" s="1" t="s">
        <v>196</v>
      </c>
      <c r="J750" s="1">
        <v>2019</v>
      </c>
      <c r="K750" s="1">
        <v>9781450368476</v>
      </c>
      <c r="L750" s="4"/>
      <c r="M750" s="1" t="s">
        <v>4843</v>
      </c>
      <c r="N750" s="3" t="s">
        <v>4844</v>
      </c>
      <c r="O750" s="1" t="s">
        <v>4845</v>
      </c>
      <c r="P750" s="1" t="s">
        <v>4846</v>
      </c>
      <c r="Q750" s="1" t="s">
        <v>185</v>
      </c>
      <c r="R750" s="4"/>
    </row>
    <row r="751" spans="1:18" x14ac:dyDescent="0.25">
      <c r="A751" s="1" t="s">
        <v>141</v>
      </c>
      <c r="B751" s="1" t="s">
        <v>4847</v>
      </c>
      <c r="C751" s="1" t="s">
        <v>4848</v>
      </c>
      <c r="D751" s="4"/>
      <c r="E751" s="1">
        <v>2019</v>
      </c>
      <c r="F751" s="4"/>
      <c r="G751" s="4"/>
      <c r="H751" s="1" t="s">
        <v>4849</v>
      </c>
      <c r="I751" s="1" t="s">
        <v>257</v>
      </c>
      <c r="J751" s="1">
        <v>2019</v>
      </c>
      <c r="K751" s="1">
        <v>9781728122649</v>
      </c>
      <c r="L751" s="4"/>
      <c r="M751" s="4"/>
      <c r="N751" s="3" t="s">
        <v>4850</v>
      </c>
      <c r="O751" s="1" t="s">
        <v>4851</v>
      </c>
      <c r="P751" s="1" t="s">
        <v>4852</v>
      </c>
      <c r="Q751" s="1" t="s">
        <v>4853</v>
      </c>
      <c r="R751" s="4"/>
    </row>
    <row r="752" spans="1:18" x14ac:dyDescent="0.25">
      <c r="A752" s="1" t="s">
        <v>141</v>
      </c>
      <c r="B752" s="1" t="s">
        <v>4854</v>
      </c>
      <c r="C752" s="1" t="s">
        <v>4855</v>
      </c>
      <c r="D752" s="4"/>
      <c r="E752" s="1">
        <v>2020</v>
      </c>
      <c r="F752" s="4"/>
      <c r="G752" s="4"/>
      <c r="H752" s="1" t="s">
        <v>4856</v>
      </c>
      <c r="I752" s="1" t="s">
        <v>145</v>
      </c>
      <c r="J752" s="1">
        <v>2020</v>
      </c>
      <c r="K752" s="1">
        <v>9781450368667</v>
      </c>
      <c r="L752" s="4"/>
      <c r="M752" s="4"/>
      <c r="N752" s="3" t="s">
        <v>4857</v>
      </c>
      <c r="O752" s="1" t="s">
        <v>4858</v>
      </c>
      <c r="P752" s="1" t="s">
        <v>4859</v>
      </c>
      <c r="Q752" s="1" t="s">
        <v>318</v>
      </c>
      <c r="R752" s="4"/>
    </row>
    <row r="753" spans="1:18" x14ac:dyDescent="0.25">
      <c r="A753" s="1" t="s">
        <v>141</v>
      </c>
      <c r="B753" s="1" t="s">
        <v>4860</v>
      </c>
      <c r="C753" s="1" t="s">
        <v>4861</v>
      </c>
      <c r="D753" s="4"/>
      <c r="E753" s="1">
        <v>2019</v>
      </c>
      <c r="F753" s="7">
        <v>43739</v>
      </c>
      <c r="G753" s="4"/>
      <c r="H753" s="1" t="s">
        <v>4862</v>
      </c>
      <c r="I753" s="1" t="s">
        <v>257</v>
      </c>
      <c r="J753" s="1">
        <v>2019</v>
      </c>
      <c r="K753" s="1">
        <v>9781728118956</v>
      </c>
      <c r="L753" s="4"/>
      <c r="M753" s="1" t="s">
        <v>4863</v>
      </c>
      <c r="N753" s="3" t="s">
        <v>4864</v>
      </c>
      <c r="O753" s="1" t="s">
        <v>4865</v>
      </c>
      <c r="P753" s="1" t="s">
        <v>4866</v>
      </c>
      <c r="Q753" s="1" t="s">
        <v>2110</v>
      </c>
      <c r="R753" s="4"/>
    </row>
    <row r="754" spans="1:18" x14ac:dyDescent="0.25">
      <c r="A754" s="1" t="s">
        <v>141</v>
      </c>
      <c r="B754" s="1" t="s">
        <v>4867</v>
      </c>
      <c r="C754" s="1" t="s">
        <v>4868</v>
      </c>
      <c r="D754" s="4"/>
      <c r="E754" s="1">
        <v>2020</v>
      </c>
      <c r="F754" s="4"/>
      <c r="G754" s="4"/>
      <c r="H754" s="1" t="s">
        <v>4869</v>
      </c>
      <c r="I754" s="1" t="s">
        <v>257</v>
      </c>
      <c r="J754" s="1">
        <v>2020</v>
      </c>
      <c r="K754" s="1">
        <v>9781728151434</v>
      </c>
      <c r="L754" s="4"/>
      <c r="M754" s="4"/>
      <c r="N754" s="3" t="s">
        <v>4870</v>
      </c>
      <c r="O754" s="1" t="s">
        <v>4871</v>
      </c>
      <c r="P754" s="1" t="s">
        <v>4872</v>
      </c>
      <c r="Q754" s="1" t="s">
        <v>2823</v>
      </c>
      <c r="R754" s="4"/>
    </row>
    <row r="755" spans="1:18" x14ac:dyDescent="0.25">
      <c r="A755" s="1" t="s">
        <v>141</v>
      </c>
      <c r="B755" s="1" t="s">
        <v>4873</v>
      </c>
      <c r="C755" s="1" t="s">
        <v>4874</v>
      </c>
      <c r="D755" s="4"/>
      <c r="E755" s="1">
        <v>2020</v>
      </c>
      <c r="F755" s="4"/>
      <c r="G755" s="4"/>
      <c r="H755" s="1" t="s">
        <v>4875</v>
      </c>
      <c r="I755" s="1" t="s">
        <v>153</v>
      </c>
      <c r="J755" s="1">
        <v>2020</v>
      </c>
      <c r="K755" s="1">
        <v>9781450369916</v>
      </c>
      <c r="L755" s="4"/>
      <c r="M755" s="4"/>
      <c r="N755" s="3" t="s">
        <v>4876</v>
      </c>
      <c r="O755" s="1" t="s">
        <v>4877</v>
      </c>
      <c r="P755" s="1" t="s">
        <v>4878</v>
      </c>
      <c r="Q755" s="1" t="s">
        <v>1094</v>
      </c>
      <c r="R755" s="4"/>
    </row>
    <row r="756" spans="1:18" x14ac:dyDescent="0.25">
      <c r="A756" s="1" t="s">
        <v>13</v>
      </c>
      <c r="B756" s="1" t="s">
        <v>4879</v>
      </c>
      <c r="C756" s="1" t="s">
        <v>4880</v>
      </c>
      <c r="D756" s="1" t="s">
        <v>462</v>
      </c>
      <c r="E756" s="1">
        <v>2019</v>
      </c>
      <c r="F756" s="1">
        <v>960</v>
      </c>
      <c r="G756" s="4"/>
      <c r="H756" s="1" t="s">
        <v>4881</v>
      </c>
      <c r="I756" s="1" t="s">
        <v>4155</v>
      </c>
      <c r="J756" s="1">
        <v>2019</v>
      </c>
      <c r="K756" s="4"/>
      <c r="L756" s="4"/>
      <c r="M756" s="1" t="s">
        <v>465</v>
      </c>
      <c r="N756" s="3" t="s">
        <v>4882</v>
      </c>
      <c r="O756" s="1" t="s">
        <v>4883</v>
      </c>
      <c r="P756" s="1" t="s">
        <v>4884</v>
      </c>
      <c r="Q756" s="1" t="s">
        <v>2723</v>
      </c>
      <c r="R756" s="4"/>
    </row>
    <row r="757" spans="1:18" x14ac:dyDescent="0.25">
      <c r="A757" s="1" t="s">
        <v>141</v>
      </c>
      <c r="B757" s="1" t="s">
        <v>4885</v>
      </c>
      <c r="C757" s="1" t="s">
        <v>4886</v>
      </c>
      <c r="D757" s="4"/>
      <c r="E757" s="1">
        <v>2019</v>
      </c>
      <c r="F757" s="4"/>
      <c r="G757" s="4"/>
      <c r="H757" s="1" t="s">
        <v>4887</v>
      </c>
      <c r="I757" s="1" t="s">
        <v>153</v>
      </c>
      <c r="J757" s="1">
        <v>2019</v>
      </c>
      <c r="K757" s="1">
        <v>9781450368551</v>
      </c>
      <c r="L757" s="4"/>
      <c r="M757" s="4"/>
      <c r="N757" s="3" t="s">
        <v>4888</v>
      </c>
      <c r="O757" s="1" t="s">
        <v>4889</v>
      </c>
      <c r="P757" s="1" t="s">
        <v>4890</v>
      </c>
      <c r="Q757" s="1" t="s">
        <v>4016</v>
      </c>
      <c r="R757" s="4"/>
    </row>
    <row r="758" spans="1:18" x14ac:dyDescent="0.25">
      <c r="A758" s="1" t="s">
        <v>141</v>
      </c>
      <c r="B758" s="1" t="s">
        <v>4891</v>
      </c>
      <c r="C758" s="1" t="s">
        <v>4892</v>
      </c>
      <c r="D758" s="4"/>
      <c r="E758" s="1">
        <v>2019</v>
      </c>
      <c r="F758" s="4"/>
      <c r="G758" s="4"/>
      <c r="H758" s="1" t="s">
        <v>4893</v>
      </c>
      <c r="I758" s="1" t="s">
        <v>257</v>
      </c>
      <c r="J758" s="1">
        <v>2019</v>
      </c>
      <c r="K758" s="1">
        <v>9781728141367</v>
      </c>
      <c r="L758" s="4"/>
      <c r="M758" s="4"/>
      <c r="N758" s="3" t="s">
        <v>4894</v>
      </c>
      <c r="O758" s="1" t="s">
        <v>4895</v>
      </c>
      <c r="P758" s="1" t="s">
        <v>4896</v>
      </c>
      <c r="Q758" s="1" t="s">
        <v>157</v>
      </c>
      <c r="R758" s="4"/>
    </row>
    <row r="759" spans="1:18" x14ac:dyDescent="0.25">
      <c r="A759" s="1" t="s">
        <v>13</v>
      </c>
      <c r="B759" s="1" t="s">
        <v>4897</v>
      </c>
      <c r="C759" s="1" t="s">
        <v>4898</v>
      </c>
      <c r="D759" s="1" t="s">
        <v>890</v>
      </c>
      <c r="E759" s="1">
        <v>2020</v>
      </c>
      <c r="F759" s="1">
        <v>2</v>
      </c>
      <c r="G759" s="4"/>
      <c r="H759" s="4"/>
      <c r="I759" s="1" t="s">
        <v>891</v>
      </c>
      <c r="J759" s="1">
        <v>2020</v>
      </c>
      <c r="K759" s="4"/>
      <c r="L759" s="4"/>
      <c r="M759" s="1" t="s">
        <v>892</v>
      </c>
      <c r="N759" s="3" t="s">
        <v>4899</v>
      </c>
      <c r="O759" s="1" t="s">
        <v>4900</v>
      </c>
      <c r="P759" s="4"/>
      <c r="Q759" s="1" t="s">
        <v>4901</v>
      </c>
      <c r="R759" s="4"/>
    </row>
    <row r="760" spans="1:18" x14ac:dyDescent="0.25">
      <c r="A760" s="1" t="s">
        <v>13</v>
      </c>
      <c r="B760" s="1" t="s">
        <v>4902</v>
      </c>
      <c r="C760" s="1" t="s">
        <v>4903</v>
      </c>
      <c r="D760" s="1" t="s">
        <v>4904</v>
      </c>
      <c r="E760" s="1">
        <v>2019</v>
      </c>
      <c r="F760" s="1">
        <v>9</v>
      </c>
      <c r="G760" s="1">
        <v>2</v>
      </c>
      <c r="H760" s="1" t="s">
        <v>4905</v>
      </c>
      <c r="I760" s="1" t="s">
        <v>4906</v>
      </c>
      <c r="J760" s="1">
        <v>2019</v>
      </c>
      <c r="K760" s="4"/>
      <c r="L760" s="4"/>
      <c r="M760" s="1" t="s">
        <v>4907</v>
      </c>
      <c r="N760" s="3" t="s">
        <v>4908</v>
      </c>
      <c r="O760" s="1" t="s">
        <v>4909</v>
      </c>
      <c r="P760" s="1" t="s">
        <v>4910</v>
      </c>
      <c r="Q760" s="1" t="s">
        <v>2636</v>
      </c>
      <c r="R760" s="4"/>
    </row>
    <row r="761" spans="1:18" x14ac:dyDescent="0.25">
      <c r="A761" s="1" t="s">
        <v>13</v>
      </c>
      <c r="B761" s="1" t="s">
        <v>4911</v>
      </c>
      <c r="C761" s="1" t="s">
        <v>4912</v>
      </c>
      <c r="D761" s="1" t="s">
        <v>4637</v>
      </c>
      <c r="E761" s="1">
        <v>2020</v>
      </c>
      <c r="F761" s="1">
        <v>37</v>
      </c>
      <c r="G761" s="1">
        <v>4</v>
      </c>
      <c r="H761" s="1" t="s">
        <v>4913</v>
      </c>
      <c r="I761" s="1" t="s">
        <v>196</v>
      </c>
      <c r="J761" s="1">
        <v>2020</v>
      </c>
      <c r="K761" s="4"/>
      <c r="L761" s="4"/>
      <c r="M761" s="1" t="s">
        <v>4639</v>
      </c>
      <c r="N761" s="3" t="s">
        <v>4914</v>
      </c>
      <c r="O761" s="1" t="s">
        <v>4915</v>
      </c>
      <c r="P761" s="1" t="s">
        <v>4916</v>
      </c>
      <c r="Q761" s="1" t="s">
        <v>4917</v>
      </c>
      <c r="R761" s="4"/>
    </row>
    <row r="762" spans="1:18" x14ac:dyDescent="0.25">
      <c r="A762" s="1" t="s">
        <v>13</v>
      </c>
      <c r="B762" s="1" t="s">
        <v>4918</v>
      </c>
      <c r="C762" s="1" t="s">
        <v>4919</v>
      </c>
      <c r="D762" s="1" t="s">
        <v>3475</v>
      </c>
      <c r="E762" s="1">
        <v>2020</v>
      </c>
      <c r="F762" s="1">
        <v>1294</v>
      </c>
      <c r="G762" s="4"/>
      <c r="H762" s="1" t="s">
        <v>4920</v>
      </c>
      <c r="I762" s="1" t="s">
        <v>212</v>
      </c>
      <c r="J762" s="1">
        <v>2020</v>
      </c>
      <c r="K762" s="4"/>
      <c r="L762" s="4"/>
      <c r="M762" s="1" t="s">
        <v>3478</v>
      </c>
      <c r="N762" s="3" t="s">
        <v>4921</v>
      </c>
      <c r="O762" s="1" t="s">
        <v>4922</v>
      </c>
      <c r="P762" s="1" t="s">
        <v>4923</v>
      </c>
      <c r="Q762" s="1" t="s">
        <v>318</v>
      </c>
      <c r="R762" s="4"/>
    </row>
    <row r="763" spans="1:18" x14ac:dyDescent="0.25">
      <c r="A763" s="1" t="s">
        <v>141</v>
      </c>
      <c r="B763" s="1" t="s">
        <v>4924</v>
      </c>
      <c r="C763" s="1" t="s">
        <v>4925</v>
      </c>
      <c r="D763" s="4"/>
      <c r="E763" s="1">
        <v>2019</v>
      </c>
      <c r="F763" s="4"/>
      <c r="G763" s="4"/>
      <c r="H763" s="1" t="s">
        <v>4926</v>
      </c>
      <c r="I763" s="1" t="s">
        <v>257</v>
      </c>
      <c r="J763" s="1">
        <v>2019</v>
      </c>
      <c r="K763" s="1">
        <v>9781728117607</v>
      </c>
      <c r="L763" s="4"/>
      <c r="M763" s="4"/>
      <c r="N763" s="3" t="s">
        <v>4927</v>
      </c>
      <c r="O763" s="1" t="s">
        <v>4928</v>
      </c>
      <c r="P763" s="1" t="s">
        <v>4929</v>
      </c>
      <c r="Q763" s="1" t="s">
        <v>4930</v>
      </c>
      <c r="R763" s="4"/>
    </row>
    <row r="764" spans="1:18" x14ac:dyDescent="0.25">
      <c r="A764" s="1" t="s">
        <v>141</v>
      </c>
      <c r="B764" s="1" t="s">
        <v>4931</v>
      </c>
      <c r="C764" s="1" t="s">
        <v>4932</v>
      </c>
      <c r="D764" s="4"/>
      <c r="E764" s="1">
        <v>2020</v>
      </c>
      <c r="F764" s="4"/>
      <c r="G764" s="4"/>
      <c r="H764" s="1" t="s">
        <v>4933</v>
      </c>
      <c r="I764" s="1" t="s">
        <v>3109</v>
      </c>
      <c r="J764" s="1">
        <v>2020</v>
      </c>
      <c r="K764" s="1">
        <v>9789897583995</v>
      </c>
      <c r="L764" s="4"/>
      <c r="M764" s="4"/>
      <c r="N764" s="3" t="s">
        <v>4934</v>
      </c>
      <c r="O764" s="4"/>
      <c r="P764" s="1" t="s">
        <v>4935</v>
      </c>
      <c r="Q764" s="1" t="s">
        <v>318</v>
      </c>
      <c r="R764" s="4"/>
    </row>
    <row r="765" spans="1:18" x14ac:dyDescent="0.25">
      <c r="A765" s="1" t="s">
        <v>13</v>
      </c>
      <c r="B765" s="4"/>
      <c r="C765" s="1" t="s">
        <v>4936</v>
      </c>
      <c r="D765" s="1" t="s">
        <v>209</v>
      </c>
      <c r="E765" s="1">
        <v>2019</v>
      </c>
      <c r="F765" s="1" t="s">
        <v>4937</v>
      </c>
      <c r="G765" s="4"/>
      <c r="H765" s="4"/>
      <c r="I765" s="1" t="s">
        <v>137</v>
      </c>
      <c r="J765" s="1">
        <v>2019</v>
      </c>
      <c r="K765" s="4"/>
      <c r="L765" s="4"/>
      <c r="M765" s="1" t="s">
        <v>213</v>
      </c>
      <c r="N765" s="3" t="s">
        <v>4938</v>
      </c>
      <c r="O765" s="4"/>
      <c r="P765" s="1" t="s">
        <v>4939</v>
      </c>
      <c r="Q765" s="1" t="s">
        <v>157</v>
      </c>
      <c r="R765" s="4"/>
    </row>
    <row r="766" spans="1:18" x14ac:dyDescent="0.25">
      <c r="A766" s="1" t="s">
        <v>141</v>
      </c>
      <c r="B766" s="1" t="s">
        <v>4940</v>
      </c>
      <c r="C766" s="1" t="s">
        <v>4941</v>
      </c>
      <c r="D766" s="4"/>
      <c r="E766" s="1">
        <v>2020</v>
      </c>
      <c r="F766" s="1" t="s">
        <v>4942</v>
      </c>
      <c r="G766" s="4"/>
      <c r="H766" s="1" t="s">
        <v>4943</v>
      </c>
      <c r="I766" s="1" t="s">
        <v>4944</v>
      </c>
      <c r="J766" s="1">
        <v>2020</v>
      </c>
      <c r="K766" s="1">
        <v>9783885797012</v>
      </c>
      <c r="L766" s="4"/>
      <c r="M766" s="1" t="s">
        <v>4945</v>
      </c>
      <c r="N766" s="3" t="s">
        <v>4946</v>
      </c>
      <c r="O766" s="1" t="s">
        <v>4947</v>
      </c>
      <c r="P766" s="1" t="s">
        <v>4948</v>
      </c>
      <c r="Q766" s="1" t="s">
        <v>157</v>
      </c>
      <c r="R766" s="4"/>
    </row>
    <row r="767" spans="1:18" x14ac:dyDescent="0.25">
      <c r="A767" s="1" t="s">
        <v>141</v>
      </c>
      <c r="B767" s="1" t="s">
        <v>3189</v>
      </c>
      <c r="C767" s="1" t="s">
        <v>4949</v>
      </c>
      <c r="D767" s="4"/>
      <c r="E767" s="1">
        <v>2019</v>
      </c>
      <c r="F767" s="4"/>
      <c r="G767" s="4"/>
      <c r="H767" s="1" t="s">
        <v>4950</v>
      </c>
      <c r="I767" s="1" t="s">
        <v>145</v>
      </c>
      <c r="J767" s="1">
        <v>2019</v>
      </c>
      <c r="K767" s="1">
        <v>9781450372336</v>
      </c>
      <c r="L767" s="4"/>
      <c r="M767" s="4"/>
      <c r="N767" s="3" t="s">
        <v>4951</v>
      </c>
      <c r="O767" s="1" t="s">
        <v>4952</v>
      </c>
      <c r="P767" s="1" t="s">
        <v>4953</v>
      </c>
      <c r="Q767" s="1" t="s">
        <v>4954</v>
      </c>
      <c r="R767" s="4"/>
    </row>
    <row r="768" spans="1:18" x14ac:dyDescent="0.25">
      <c r="A768" s="1" t="s">
        <v>13</v>
      </c>
      <c r="B768" s="1" t="s">
        <v>4955</v>
      </c>
      <c r="C768" s="1" t="s">
        <v>4956</v>
      </c>
      <c r="D768" s="1" t="s">
        <v>209</v>
      </c>
      <c r="E768" s="1">
        <v>2020</v>
      </c>
      <c r="F768" s="1" t="s">
        <v>4957</v>
      </c>
      <c r="G768" s="4"/>
      <c r="H768" s="1" t="s">
        <v>4958</v>
      </c>
      <c r="I768" s="1" t="s">
        <v>212</v>
      </c>
      <c r="J768" s="1">
        <v>2020</v>
      </c>
      <c r="K768" s="4"/>
      <c r="L768" s="4"/>
      <c r="M768" s="1" t="s">
        <v>213</v>
      </c>
      <c r="N768" s="3" t="s">
        <v>4959</v>
      </c>
      <c r="O768" s="1" t="s">
        <v>4960</v>
      </c>
      <c r="P768" s="1" t="s">
        <v>4961</v>
      </c>
      <c r="Q768" s="1" t="s">
        <v>157</v>
      </c>
      <c r="R768" s="4"/>
    </row>
    <row r="769" spans="1:18" x14ac:dyDescent="0.25">
      <c r="A769" s="1" t="s">
        <v>141</v>
      </c>
      <c r="B769" s="1" t="s">
        <v>4962</v>
      </c>
      <c r="C769" s="1" t="s">
        <v>4963</v>
      </c>
      <c r="D769" s="4"/>
      <c r="E769" s="1">
        <v>2020</v>
      </c>
      <c r="F769" s="4"/>
      <c r="G769" s="4"/>
      <c r="H769" s="4"/>
      <c r="I769" s="1" t="s">
        <v>3683</v>
      </c>
      <c r="J769" s="1">
        <v>2020</v>
      </c>
      <c r="K769" s="1">
        <v>9781733632508</v>
      </c>
      <c r="L769" s="4"/>
      <c r="M769" s="4"/>
      <c r="N769" s="3" t="s">
        <v>4964</v>
      </c>
      <c r="O769" s="4"/>
      <c r="P769" s="1" t="s">
        <v>4965</v>
      </c>
      <c r="Q769" s="1" t="s">
        <v>1813</v>
      </c>
      <c r="R769" s="4"/>
    </row>
    <row r="770" spans="1:18" x14ac:dyDescent="0.25">
      <c r="A770" s="1" t="s">
        <v>13</v>
      </c>
      <c r="B770" s="1" t="s">
        <v>4966</v>
      </c>
      <c r="C770" s="1" t="s">
        <v>4967</v>
      </c>
      <c r="D770" s="1" t="s">
        <v>3475</v>
      </c>
      <c r="E770" s="1">
        <v>2020</v>
      </c>
      <c r="F770" s="1">
        <v>959</v>
      </c>
      <c r="G770" s="4"/>
      <c r="H770" s="1" t="s">
        <v>4968</v>
      </c>
      <c r="I770" s="1" t="s">
        <v>4155</v>
      </c>
      <c r="J770" s="1">
        <v>2020</v>
      </c>
      <c r="K770" s="4"/>
      <c r="L770" s="4"/>
      <c r="M770" s="1" t="s">
        <v>3478</v>
      </c>
      <c r="N770" s="3" t="s">
        <v>4969</v>
      </c>
      <c r="O770" s="1" t="s">
        <v>4970</v>
      </c>
      <c r="P770" s="1" t="s">
        <v>4971</v>
      </c>
      <c r="Q770" s="1" t="s">
        <v>318</v>
      </c>
      <c r="R770" s="4"/>
    </row>
    <row r="771" spans="1:18" x14ac:dyDescent="0.25">
      <c r="A771" s="1" t="s">
        <v>141</v>
      </c>
      <c r="B771" s="1" t="s">
        <v>4972</v>
      </c>
      <c r="C771" s="1" t="s">
        <v>4973</v>
      </c>
      <c r="D771" s="4"/>
      <c r="E771" s="1">
        <v>2020</v>
      </c>
      <c r="F771" s="1">
        <v>2</v>
      </c>
      <c r="G771" s="4"/>
      <c r="H771" s="1" t="s">
        <v>4974</v>
      </c>
      <c r="I771" s="1" t="s">
        <v>3109</v>
      </c>
      <c r="J771" s="1">
        <v>2020</v>
      </c>
      <c r="K771" s="1">
        <v>9789897584237</v>
      </c>
      <c r="L771" s="4"/>
      <c r="M771" s="4"/>
      <c r="N771" s="3" t="s">
        <v>4975</v>
      </c>
      <c r="O771" s="4"/>
      <c r="P771" s="1" t="s">
        <v>4976</v>
      </c>
      <c r="Q771" s="1" t="s">
        <v>1813</v>
      </c>
      <c r="R771" s="4"/>
    </row>
    <row r="772" spans="1:18" x14ac:dyDescent="0.25">
      <c r="A772" s="1" t="s">
        <v>13</v>
      </c>
      <c r="B772" s="1" t="s">
        <v>4977</v>
      </c>
      <c r="C772" s="1" t="s">
        <v>4978</v>
      </c>
      <c r="D772" s="1" t="s">
        <v>209</v>
      </c>
      <c r="E772" s="1">
        <v>2020</v>
      </c>
      <c r="F772" s="1" t="s">
        <v>4979</v>
      </c>
      <c r="G772" s="4"/>
      <c r="H772" s="1" t="s">
        <v>4980</v>
      </c>
      <c r="I772" s="1" t="s">
        <v>212</v>
      </c>
      <c r="J772" s="1">
        <v>2020</v>
      </c>
      <c r="K772" s="4"/>
      <c r="L772" s="4"/>
      <c r="M772" s="1" t="s">
        <v>213</v>
      </c>
      <c r="N772" s="3" t="s">
        <v>4981</v>
      </c>
      <c r="O772" s="1" t="s">
        <v>4982</v>
      </c>
      <c r="P772" s="1" t="s">
        <v>4983</v>
      </c>
      <c r="Q772" s="1" t="s">
        <v>404</v>
      </c>
      <c r="R772" s="4"/>
    </row>
    <row r="773" spans="1:18" x14ac:dyDescent="0.25">
      <c r="A773" s="1" t="s">
        <v>13</v>
      </c>
      <c r="B773" s="1" t="s">
        <v>4984</v>
      </c>
      <c r="C773" s="1" t="s">
        <v>4985</v>
      </c>
      <c r="D773" s="1" t="s">
        <v>209</v>
      </c>
      <c r="E773" s="1">
        <v>2020</v>
      </c>
      <c r="F773" s="1" t="s">
        <v>4986</v>
      </c>
      <c r="G773" s="4"/>
      <c r="H773" s="1" t="s">
        <v>4987</v>
      </c>
      <c r="I773" s="1" t="s">
        <v>137</v>
      </c>
      <c r="J773" s="1">
        <v>2020</v>
      </c>
      <c r="K773" s="4"/>
      <c r="L773" s="4"/>
      <c r="M773" s="1" t="s">
        <v>213</v>
      </c>
      <c r="N773" s="3" t="s">
        <v>4988</v>
      </c>
      <c r="O773" s="1" t="s">
        <v>4989</v>
      </c>
      <c r="P773" s="1" t="s">
        <v>4990</v>
      </c>
      <c r="Q773" s="1" t="s">
        <v>818</v>
      </c>
      <c r="R773" s="4"/>
    </row>
    <row r="774" spans="1:18" x14ac:dyDescent="0.25">
      <c r="A774" s="1" t="s">
        <v>141</v>
      </c>
      <c r="B774" s="1" t="s">
        <v>4991</v>
      </c>
      <c r="C774" s="1" t="s">
        <v>4992</v>
      </c>
      <c r="D774" s="4"/>
      <c r="E774" s="1">
        <v>2019</v>
      </c>
      <c r="F774" s="4"/>
      <c r="G774" s="4"/>
      <c r="H774" s="1" t="s">
        <v>4993</v>
      </c>
      <c r="I774" s="1" t="s">
        <v>257</v>
      </c>
      <c r="J774" s="1">
        <v>2019</v>
      </c>
      <c r="K774" s="1">
        <v>9781728133713</v>
      </c>
      <c r="L774" s="4"/>
      <c r="M774" s="4"/>
      <c r="N774" s="3" t="s">
        <v>4994</v>
      </c>
      <c r="O774" s="1" t="s">
        <v>4995</v>
      </c>
      <c r="P774" s="1" t="s">
        <v>4996</v>
      </c>
      <c r="Q774" s="1" t="s">
        <v>1813</v>
      </c>
      <c r="R774" s="4"/>
    </row>
    <row r="775" spans="1:18" x14ac:dyDescent="0.25">
      <c r="A775" s="1" t="s">
        <v>13</v>
      </c>
      <c r="B775" s="1" t="s">
        <v>4997</v>
      </c>
      <c r="C775" s="1" t="s">
        <v>4998</v>
      </c>
      <c r="D775" s="1" t="s">
        <v>2179</v>
      </c>
      <c r="E775" s="1">
        <v>2019</v>
      </c>
      <c r="F775" s="1">
        <v>2019</v>
      </c>
      <c r="G775" s="1">
        <v>4</v>
      </c>
      <c r="H775" s="4"/>
      <c r="I775" s="1" t="s">
        <v>2180</v>
      </c>
      <c r="J775" s="1">
        <v>2019</v>
      </c>
      <c r="K775" s="4"/>
      <c r="L775" s="4"/>
      <c r="M775" s="1" t="s">
        <v>2181</v>
      </c>
      <c r="N775" s="3" t="s">
        <v>4999</v>
      </c>
      <c r="O775" s="1" t="s">
        <v>5000</v>
      </c>
      <c r="P775" s="1" t="s">
        <v>5001</v>
      </c>
      <c r="Q775" s="1" t="s">
        <v>3452</v>
      </c>
      <c r="R775" s="4"/>
    </row>
    <row r="776" spans="1:18" x14ac:dyDescent="0.25">
      <c r="A776" s="1" t="s">
        <v>13</v>
      </c>
      <c r="B776" s="1" t="s">
        <v>5002</v>
      </c>
      <c r="C776" s="1" t="s">
        <v>5003</v>
      </c>
      <c r="D776" s="1" t="s">
        <v>307</v>
      </c>
      <c r="E776" s="1">
        <v>2019</v>
      </c>
      <c r="F776" s="1">
        <v>113</v>
      </c>
      <c r="G776" s="4"/>
      <c r="H776" s="1" t="s">
        <v>5004</v>
      </c>
      <c r="I776" s="1" t="s">
        <v>280</v>
      </c>
      <c r="J776" s="1">
        <v>2019</v>
      </c>
      <c r="K776" s="4"/>
      <c r="L776" s="4"/>
      <c r="M776" s="1" t="s">
        <v>308</v>
      </c>
      <c r="N776" s="3" t="s">
        <v>5005</v>
      </c>
      <c r="O776" s="1" t="s">
        <v>5006</v>
      </c>
      <c r="P776" s="1" t="s">
        <v>5007</v>
      </c>
      <c r="Q776" s="1" t="s">
        <v>2286</v>
      </c>
      <c r="R776" s="4"/>
    </row>
    <row r="777" spans="1:18" x14ac:dyDescent="0.25">
      <c r="A777" s="1" t="s">
        <v>13</v>
      </c>
      <c r="B777" s="1" t="s">
        <v>5008</v>
      </c>
      <c r="C777" s="1" t="s">
        <v>5009</v>
      </c>
      <c r="D777" s="1" t="s">
        <v>1870</v>
      </c>
      <c r="E777" s="1">
        <v>2020</v>
      </c>
      <c r="F777" s="1">
        <v>410</v>
      </c>
      <c r="G777" s="4"/>
      <c r="H777" s="1" t="s">
        <v>5010</v>
      </c>
      <c r="I777" s="1" t="s">
        <v>212</v>
      </c>
      <c r="J777" s="1">
        <v>2020</v>
      </c>
      <c r="K777" s="4"/>
      <c r="L777" s="4"/>
      <c r="M777" s="1" t="s">
        <v>1873</v>
      </c>
      <c r="N777" s="3" t="s">
        <v>5011</v>
      </c>
      <c r="O777" s="1" t="s">
        <v>5012</v>
      </c>
      <c r="P777" s="1" t="s">
        <v>5013</v>
      </c>
      <c r="Q777" s="1" t="s">
        <v>176</v>
      </c>
      <c r="R777" s="4"/>
    </row>
    <row r="778" spans="1:18" x14ac:dyDescent="0.25">
      <c r="A778" s="1" t="s">
        <v>141</v>
      </c>
      <c r="B778" s="1" t="s">
        <v>5014</v>
      </c>
      <c r="C778" s="1" t="s">
        <v>5015</v>
      </c>
      <c r="D778" s="4"/>
      <c r="E778" s="1">
        <v>2019</v>
      </c>
      <c r="F778" s="4"/>
      <c r="G778" s="4"/>
      <c r="H778" s="1" t="s">
        <v>5016</v>
      </c>
      <c r="I778" s="1" t="s">
        <v>257</v>
      </c>
      <c r="J778" s="1">
        <v>2019</v>
      </c>
      <c r="K778" s="1">
        <v>9781728125084</v>
      </c>
      <c r="L778" s="4"/>
      <c r="M778" s="4"/>
      <c r="N778" s="3" t="s">
        <v>5017</v>
      </c>
      <c r="O778" s="1" t="s">
        <v>5018</v>
      </c>
      <c r="P778" s="1" t="s">
        <v>5019</v>
      </c>
      <c r="Q778" s="1" t="s">
        <v>2243</v>
      </c>
      <c r="R778" s="4"/>
    </row>
    <row r="779" spans="1:18" x14ac:dyDescent="0.25">
      <c r="A779" s="1" t="s">
        <v>141</v>
      </c>
      <c r="B779" s="1" t="s">
        <v>5020</v>
      </c>
      <c r="C779" s="1" t="s">
        <v>5021</v>
      </c>
      <c r="D779" s="4"/>
      <c r="E779" s="1">
        <v>2019</v>
      </c>
      <c r="F779" s="1">
        <v>2520</v>
      </c>
      <c r="G779" s="4"/>
      <c r="H779" s="1" t="s">
        <v>5022</v>
      </c>
      <c r="I779" s="1" t="s">
        <v>613</v>
      </c>
      <c r="J779" s="1">
        <v>2019</v>
      </c>
      <c r="K779" s="4"/>
      <c r="L779" s="4"/>
      <c r="M779" s="1" t="s">
        <v>614</v>
      </c>
      <c r="N779" s="3" t="s">
        <v>5023</v>
      </c>
      <c r="O779" s="4"/>
      <c r="P779" s="1" t="s">
        <v>5024</v>
      </c>
      <c r="Q779" s="1" t="s">
        <v>318</v>
      </c>
      <c r="R779" s="4"/>
    </row>
    <row r="780" spans="1:18" x14ac:dyDescent="0.25">
      <c r="A780" s="1" t="s">
        <v>13</v>
      </c>
      <c r="B780" s="1" t="s">
        <v>5025</v>
      </c>
      <c r="C780" s="1" t="s">
        <v>5026</v>
      </c>
      <c r="D780" s="1" t="s">
        <v>462</v>
      </c>
      <c r="E780" s="1">
        <v>2020</v>
      </c>
      <c r="F780" s="1" t="s">
        <v>5027</v>
      </c>
      <c r="G780" s="4"/>
      <c r="H780" s="1" t="s">
        <v>5028</v>
      </c>
      <c r="I780" s="1" t="s">
        <v>137</v>
      </c>
      <c r="J780" s="1">
        <v>2020</v>
      </c>
      <c r="K780" s="4"/>
      <c r="L780" s="4"/>
      <c r="M780" s="1" t="s">
        <v>465</v>
      </c>
      <c r="N780" s="3" t="s">
        <v>5029</v>
      </c>
      <c r="O780" s="1" t="s">
        <v>5030</v>
      </c>
      <c r="P780" s="1" t="s">
        <v>5031</v>
      </c>
      <c r="Q780" s="1" t="s">
        <v>176</v>
      </c>
      <c r="R780" s="4"/>
    </row>
    <row r="781" spans="1:18" x14ac:dyDescent="0.25">
      <c r="A781" s="1" t="s">
        <v>539</v>
      </c>
      <c r="B781" s="1" t="s">
        <v>5032</v>
      </c>
      <c r="C781" s="1" t="s">
        <v>5033</v>
      </c>
      <c r="D781" s="4"/>
      <c r="E781" s="1">
        <v>2019</v>
      </c>
      <c r="F781" s="4"/>
      <c r="G781" s="4"/>
      <c r="H781" s="4"/>
      <c r="I781" s="1" t="s">
        <v>5034</v>
      </c>
      <c r="J781" s="1">
        <v>2019</v>
      </c>
      <c r="K781" s="1">
        <v>9783658199388</v>
      </c>
      <c r="L781" s="1">
        <v>9783658199371</v>
      </c>
      <c r="M781" s="4"/>
      <c r="N781" s="3" t="s">
        <v>5035</v>
      </c>
      <c r="O781" s="1" t="s">
        <v>5036</v>
      </c>
      <c r="P781" s="1" t="s">
        <v>5037</v>
      </c>
      <c r="Q781" s="1" t="s">
        <v>818</v>
      </c>
      <c r="R781" s="1" t="s">
        <v>5038</v>
      </c>
    </row>
    <row r="782" spans="1:18" x14ac:dyDescent="0.25">
      <c r="A782" s="1" t="s">
        <v>141</v>
      </c>
      <c r="B782" s="1" t="s">
        <v>5039</v>
      </c>
      <c r="C782" s="1" t="s">
        <v>5040</v>
      </c>
      <c r="D782" s="4"/>
      <c r="E782" s="1">
        <v>2019</v>
      </c>
      <c r="F782" s="4"/>
      <c r="G782" s="4"/>
      <c r="H782" s="1" t="s">
        <v>5041</v>
      </c>
      <c r="I782" s="1" t="s">
        <v>257</v>
      </c>
      <c r="J782" s="1">
        <v>2019</v>
      </c>
      <c r="K782" s="1">
        <v>9781728122434</v>
      </c>
      <c r="L782" s="4"/>
      <c r="M782" s="4"/>
      <c r="N782" s="3" t="s">
        <v>5042</v>
      </c>
      <c r="O782" s="1" t="s">
        <v>5043</v>
      </c>
      <c r="P782" s="1" t="s">
        <v>5044</v>
      </c>
      <c r="Q782" s="1" t="s">
        <v>404</v>
      </c>
      <c r="R782" s="4"/>
    </row>
    <row r="783" spans="1:18" x14ac:dyDescent="0.25">
      <c r="A783" s="1" t="s">
        <v>141</v>
      </c>
      <c r="B783" s="1" t="s">
        <v>5045</v>
      </c>
      <c r="C783" s="1" t="s">
        <v>5046</v>
      </c>
      <c r="D783" s="4"/>
      <c r="E783" s="1">
        <v>2020</v>
      </c>
      <c r="F783" s="4"/>
      <c r="G783" s="4"/>
      <c r="H783" s="1" t="s">
        <v>5047</v>
      </c>
      <c r="I783" s="1" t="s">
        <v>153</v>
      </c>
      <c r="J783" s="1">
        <v>2020</v>
      </c>
      <c r="K783" s="1">
        <v>9781450379625</v>
      </c>
      <c r="L783" s="4"/>
      <c r="M783" s="4"/>
      <c r="N783" s="3" t="s">
        <v>5048</v>
      </c>
      <c r="O783" s="1" t="s">
        <v>5049</v>
      </c>
      <c r="P783" s="1" t="s">
        <v>5050</v>
      </c>
      <c r="Q783" s="1" t="s">
        <v>1094</v>
      </c>
      <c r="R783" s="4"/>
    </row>
    <row r="784" spans="1:18" x14ac:dyDescent="0.25">
      <c r="A784" s="1" t="s">
        <v>13</v>
      </c>
      <c r="B784" s="1" t="s">
        <v>5051</v>
      </c>
      <c r="C784" s="1" t="s">
        <v>5052</v>
      </c>
      <c r="D784" s="1" t="s">
        <v>136</v>
      </c>
      <c r="E784" s="1">
        <v>2020</v>
      </c>
      <c r="F784" s="1">
        <v>25</v>
      </c>
      <c r="G784" s="1">
        <v>1</v>
      </c>
      <c r="H784" s="1" t="s">
        <v>5053</v>
      </c>
      <c r="I784" s="1" t="s">
        <v>137</v>
      </c>
      <c r="J784" s="1">
        <v>2020</v>
      </c>
      <c r="K784" s="4"/>
      <c r="L784" s="4"/>
      <c r="M784" s="1" t="s">
        <v>33</v>
      </c>
      <c r="N784" s="3" t="s">
        <v>5054</v>
      </c>
      <c r="O784" s="1" t="s">
        <v>5055</v>
      </c>
      <c r="P784" s="1" t="s">
        <v>5056</v>
      </c>
      <c r="Q784" s="1" t="s">
        <v>3118</v>
      </c>
      <c r="R784" s="4"/>
    </row>
    <row r="785" spans="1:18" x14ac:dyDescent="0.25">
      <c r="A785" s="1" t="s">
        <v>141</v>
      </c>
      <c r="B785" s="1" t="s">
        <v>5057</v>
      </c>
      <c r="C785" s="1" t="s">
        <v>5058</v>
      </c>
      <c r="D785" s="4"/>
      <c r="E785" s="1">
        <v>2020</v>
      </c>
      <c r="F785" s="4"/>
      <c r="G785" s="4"/>
      <c r="H785" s="1" t="s">
        <v>5059</v>
      </c>
      <c r="I785" s="1" t="s">
        <v>153</v>
      </c>
      <c r="J785" s="1">
        <v>2020</v>
      </c>
      <c r="K785" s="1">
        <v>9781450379571</v>
      </c>
      <c r="L785" s="4"/>
      <c r="M785" s="4"/>
      <c r="N785" s="3" t="s">
        <v>5060</v>
      </c>
      <c r="O785" s="1" t="s">
        <v>5061</v>
      </c>
      <c r="P785" s="1" t="s">
        <v>5062</v>
      </c>
      <c r="Q785" s="1" t="s">
        <v>4286</v>
      </c>
      <c r="R785" s="4"/>
    </row>
    <row r="786" spans="1:18" x14ac:dyDescent="0.25">
      <c r="A786" s="1" t="s">
        <v>141</v>
      </c>
      <c r="B786" s="1" t="s">
        <v>5063</v>
      </c>
      <c r="C786" s="1" t="s">
        <v>5064</v>
      </c>
      <c r="D786" s="4"/>
      <c r="E786" s="1">
        <v>2020</v>
      </c>
      <c r="F786" s="4"/>
      <c r="G786" s="4"/>
      <c r="H786" s="1" t="s">
        <v>5065</v>
      </c>
      <c r="I786" s="1" t="s">
        <v>3109</v>
      </c>
      <c r="J786" s="1">
        <v>2020</v>
      </c>
      <c r="K786" s="1">
        <v>9789897584213</v>
      </c>
      <c r="L786" s="4"/>
      <c r="M786" s="4"/>
      <c r="N786" s="3" t="s">
        <v>5066</v>
      </c>
      <c r="O786" s="4"/>
      <c r="P786" s="1" t="s">
        <v>5067</v>
      </c>
      <c r="Q786" s="1" t="s">
        <v>176</v>
      </c>
      <c r="R786" s="4"/>
    </row>
    <row r="787" spans="1:18" x14ac:dyDescent="0.25">
      <c r="A787" s="1" t="s">
        <v>141</v>
      </c>
      <c r="B787" s="1" t="s">
        <v>2238</v>
      </c>
      <c r="C787" s="1" t="s">
        <v>5068</v>
      </c>
      <c r="D787" s="4"/>
      <c r="E787" s="1">
        <v>2019</v>
      </c>
      <c r="F787" s="4"/>
      <c r="G787" s="4"/>
      <c r="H787" s="1" t="s">
        <v>5069</v>
      </c>
      <c r="I787" s="1" t="s">
        <v>257</v>
      </c>
      <c r="J787" s="1">
        <v>2019</v>
      </c>
      <c r="K787" s="1">
        <v>9781728130941</v>
      </c>
      <c r="L787" s="4"/>
      <c r="M787" s="4"/>
      <c r="N787" s="3" t="s">
        <v>5070</v>
      </c>
      <c r="O787" s="1" t="s">
        <v>5071</v>
      </c>
      <c r="P787" s="1" t="s">
        <v>5072</v>
      </c>
      <c r="Q787" s="1" t="s">
        <v>2911</v>
      </c>
      <c r="R787" s="4"/>
    </row>
    <row r="788" spans="1:18" x14ac:dyDescent="0.25">
      <c r="A788" s="1" t="s">
        <v>141</v>
      </c>
      <c r="B788" s="1" t="s">
        <v>5073</v>
      </c>
      <c r="C788" s="1" t="s">
        <v>5074</v>
      </c>
      <c r="D788" s="4"/>
      <c r="E788" s="1">
        <v>2020</v>
      </c>
      <c r="F788" s="7">
        <v>43983</v>
      </c>
      <c r="G788" s="4"/>
      <c r="H788" s="1" t="s">
        <v>5075</v>
      </c>
      <c r="I788" s="1" t="s">
        <v>196</v>
      </c>
      <c r="J788" s="1">
        <v>2020</v>
      </c>
      <c r="K788" s="1">
        <v>9781728193601</v>
      </c>
      <c r="L788" s="4"/>
      <c r="M788" s="1" t="s">
        <v>5076</v>
      </c>
      <c r="N788" s="3" t="s">
        <v>5077</v>
      </c>
      <c r="O788" s="1" t="s">
        <v>5078</v>
      </c>
      <c r="P788" s="1" t="s">
        <v>5079</v>
      </c>
      <c r="Q788" s="1" t="s">
        <v>3633</v>
      </c>
      <c r="R788" s="4"/>
    </row>
    <row r="789" spans="1:18" x14ac:dyDescent="0.25">
      <c r="A789" s="1" t="s">
        <v>141</v>
      </c>
      <c r="B789" s="1" t="s">
        <v>5080</v>
      </c>
      <c r="C789" s="1" t="s">
        <v>5081</v>
      </c>
      <c r="D789" s="4"/>
      <c r="E789" s="1">
        <v>2019</v>
      </c>
      <c r="F789" s="4"/>
      <c r="G789" s="4"/>
      <c r="H789" s="1" t="s">
        <v>5082</v>
      </c>
      <c r="I789" s="1" t="s">
        <v>153</v>
      </c>
      <c r="J789" s="1">
        <v>2019</v>
      </c>
      <c r="K789" s="1">
        <v>9781450355728</v>
      </c>
      <c r="L789" s="4"/>
      <c r="M789" s="4"/>
      <c r="N789" s="3" t="s">
        <v>5083</v>
      </c>
      <c r="O789" s="1" t="s">
        <v>5084</v>
      </c>
      <c r="P789" s="1" t="s">
        <v>5085</v>
      </c>
      <c r="Q789" s="1" t="s">
        <v>2286</v>
      </c>
      <c r="R789" s="4"/>
    </row>
    <row r="790" spans="1:18" x14ac:dyDescent="0.25">
      <c r="A790" s="1" t="s">
        <v>141</v>
      </c>
      <c r="B790" s="1" t="s">
        <v>5086</v>
      </c>
      <c r="C790" s="1" t="s">
        <v>5087</v>
      </c>
      <c r="D790" s="4"/>
      <c r="E790" s="1">
        <v>2019</v>
      </c>
      <c r="F790" s="7">
        <v>43800</v>
      </c>
      <c r="G790" s="4"/>
      <c r="H790" s="1" t="s">
        <v>5088</v>
      </c>
      <c r="I790" s="1" t="s">
        <v>196</v>
      </c>
      <c r="J790" s="1">
        <v>2019</v>
      </c>
      <c r="K790" s="1">
        <v>9781728146485</v>
      </c>
      <c r="L790" s="4"/>
      <c r="M790" s="1" t="s">
        <v>3521</v>
      </c>
      <c r="N790" s="3" t="s">
        <v>5089</v>
      </c>
      <c r="O790" s="1" t="s">
        <v>5090</v>
      </c>
      <c r="P790" s="1" t="s">
        <v>5091</v>
      </c>
      <c r="Q790" s="1" t="s">
        <v>2811</v>
      </c>
      <c r="R790" s="4"/>
    </row>
    <row r="791" spans="1:18" x14ac:dyDescent="0.25">
      <c r="A791" s="1" t="s">
        <v>13</v>
      </c>
      <c r="B791" s="1" t="s">
        <v>5092</v>
      </c>
      <c r="C791" s="1" t="s">
        <v>5093</v>
      </c>
      <c r="D791" s="1" t="s">
        <v>5094</v>
      </c>
      <c r="E791" s="1">
        <v>2020</v>
      </c>
      <c r="F791" s="1">
        <v>109</v>
      </c>
      <c r="G791" s="1">
        <v>5</v>
      </c>
      <c r="H791" s="1" t="s">
        <v>5095</v>
      </c>
      <c r="I791" s="1" t="s">
        <v>137</v>
      </c>
      <c r="J791" s="1">
        <v>2020</v>
      </c>
      <c r="K791" s="4"/>
      <c r="L791" s="4"/>
      <c r="M791" s="1" t="s">
        <v>5096</v>
      </c>
      <c r="N791" s="3" t="s">
        <v>5097</v>
      </c>
      <c r="O791" s="1" t="s">
        <v>5098</v>
      </c>
      <c r="P791" s="1" t="s">
        <v>5099</v>
      </c>
      <c r="Q791" s="1" t="s">
        <v>5100</v>
      </c>
      <c r="R791" s="4"/>
    </row>
    <row r="792" spans="1:18" x14ac:dyDescent="0.25">
      <c r="A792" s="1" t="s">
        <v>141</v>
      </c>
      <c r="B792" s="1" t="s">
        <v>1784</v>
      </c>
      <c r="C792" s="1" t="s">
        <v>5101</v>
      </c>
      <c r="D792" s="4"/>
      <c r="E792" s="1">
        <v>2020</v>
      </c>
      <c r="F792" s="4"/>
      <c r="G792" s="4"/>
      <c r="H792" s="1" t="s">
        <v>3699</v>
      </c>
      <c r="I792" s="1" t="s">
        <v>153</v>
      </c>
      <c r="J792" s="1">
        <v>2020</v>
      </c>
      <c r="K792" s="1">
        <v>9781450375122</v>
      </c>
      <c r="L792" s="4"/>
      <c r="M792" s="4"/>
      <c r="N792" s="3" t="s">
        <v>5102</v>
      </c>
      <c r="O792" s="1" t="s">
        <v>5103</v>
      </c>
      <c r="P792" s="1" t="s">
        <v>5104</v>
      </c>
      <c r="Q792" s="1" t="s">
        <v>1573</v>
      </c>
      <c r="R792" s="4"/>
    </row>
    <row r="793" spans="1:18" x14ac:dyDescent="0.25">
      <c r="A793" s="1" t="s">
        <v>141</v>
      </c>
      <c r="B793" s="1" t="s">
        <v>5105</v>
      </c>
      <c r="C793" s="1" t="s">
        <v>5106</v>
      </c>
      <c r="D793" s="4"/>
      <c r="E793" s="1">
        <v>2020</v>
      </c>
      <c r="F793" s="4"/>
      <c r="G793" s="4"/>
      <c r="H793" s="1" t="s">
        <v>5107</v>
      </c>
      <c r="I793" s="1" t="s">
        <v>257</v>
      </c>
      <c r="J793" s="1">
        <v>2020</v>
      </c>
      <c r="K793" s="1">
        <v>9781728151434</v>
      </c>
      <c r="L793" s="4"/>
      <c r="M793" s="4"/>
      <c r="N793" s="3" t="s">
        <v>5108</v>
      </c>
      <c r="O793" s="1" t="s">
        <v>5109</v>
      </c>
      <c r="P793" s="1" t="s">
        <v>5110</v>
      </c>
      <c r="Q793" s="1" t="s">
        <v>5111</v>
      </c>
      <c r="R793" s="4"/>
    </row>
    <row r="794" spans="1:18" x14ac:dyDescent="0.25">
      <c r="A794" s="1" t="s">
        <v>141</v>
      </c>
      <c r="B794" s="1" t="s">
        <v>5112</v>
      </c>
      <c r="C794" s="1" t="s">
        <v>5113</v>
      </c>
      <c r="D794" s="4"/>
      <c r="E794" s="1">
        <v>2019</v>
      </c>
      <c r="F794" s="4"/>
      <c r="G794" s="4"/>
      <c r="H794" s="1" t="s">
        <v>5114</v>
      </c>
      <c r="I794" s="1" t="s">
        <v>257</v>
      </c>
      <c r="J794" s="1">
        <v>2019</v>
      </c>
      <c r="K794" s="1">
        <v>9781728163345</v>
      </c>
      <c r="L794" s="4"/>
      <c r="M794" s="4"/>
      <c r="N794" s="3" t="s">
        <v>5115</v>
      </c>
      <c r="O794" s="1" t="s">
        <v>5116</v>
      </c>
      <c r="P794" s="1" t="s">
        <v>5117</v>
      </c>
      <c r="Q794" s="1" t="s">
        <v>157</v>
      </c>
      <c r="R794" s="4"/>
    </row>
    <row r="795" spans="1:18" x14ac:dyDescent="0.25">
      <c r="A795" s="1" t="s">
        <v>13</v>
      </c>
      <c r="B795" s="1" t="s">
        <v>5118</v>
      </c>
      <c r="C795" s="1" t="s">
        <v>5119</v>
      </c>
      <c r="D795" s="1" t="s">
        <v>255</v>
      </c>
      <c r="E795" s="1">
        <v>2020</v>
      </c>
      <c r="F795" s="1">
        <v>46</v>
      </c>
      <c r="G795" s="1">
        <v>5</v>
      </c>
      <c r="H795" s="1" t="s">
        <v>5120</v>
      </c>
      <c r="I795" s="1" t="s">
        <v>257</v>
      </c>
      <c r="J795" s="1">
        <v>2020</v>
      </c>
      <c r="K795" s="4"/>
      <c r="L795" s="4"/>
      <c r="M795" s="1" t="s">
        <v>18</v>
      </c>
      <c r="N795" s="3" t="s">
        <v>5121</v>
      </c>
      <c r="O795" s="1" t="s">
        <v>5122</v>
      </c>
      <c r="P795" s="1" t="s">
        <v>5123</v>
      </c>
      <c r="Q795" s="1" t="s">
        <v>5124</v>
      </c>
      <c r="R795" s="4"/>
    </row>
    <row r="796" spans="1:18" x14ac:dyDescent="0.25">
      <c r="A796" s="1" t="s">
        <v>141</v>
      </c>
      <c r="B796" s="1" t="s">
        <v>5125</v>
      </c>
      <c r="C796" s="1" t="s">
        <v>5126</v>
      </c>
      <c r="D796" s="4"/>
      <c r="E796" s="1">
        <v>2020</v>
      </c>
      <c r="F796" s="4"/>
      <c r="G796" s="4"/>
      <c r="H796" s="4"/>
      <c r="I796" s="1" t="s">
        <v>145</v>
      </c>
      <c r="J796" s="1">
        <v>2020</v>
      </c>
      <c r="K796" s="1">
        <v>9781450367080</v>
      </c>
      <c r="L796" s="4"/>
      <c r="M796" s="4"/>
      <c r="N796" s="3" t="s">
        <v>5127</v>
      </c>
      <c r="O796" s="1" t="s">
        <v>5128</v>
      </c>
      <c r="P796" s="1" t="s">
        <v>5129</v>
      </c>
      <c r="Q796" s="1" t="s">
        <v>5130</v>
      </c>
      <c r="R796" s="4"/>
    </row>
    <row r="797" spans="1:18" x14ac:dyDescent="0.25">
      <c r="A797" s="1" t="s">
        <v>13</v>
      </c>
      <c r="B797" s="1" t="s">
        <v>5131</v>
      </c>
      <c r="C797" s="1" t="s">
        <v>5132</v>
      </c>
      <c r="D797" s="1" t="s">
        <v>255</v>
      </c>
      <c r="E797" s="1">
        <v>2019</v>
      </c>
      <c r="F797" s="1">
        <v>45</v>
      </c>
      <c r="G797" s="1">
        <v>7</v>
      </c>
      <c r="H797" s="1" t="s">
        <v>5133</v>
      </c>
      <c r="I797" s="1" t="s">
        <v>257</v>
      </c>
      <c r="J797" s="1">
        <v>2019</v>
      </c>
      <c r="K797" s="4"/>
      <c r="L797" s="4"/>
      <c r="M797" s="1" t="s">
        <v>18</v>
      </c>
      <c r="N797" s="3" t="s">
        <v>5134</v>
      </c>
      <c r="O797" s="1" t="s">
        <v>5135</v>
      </c>
      <c r="P797" s="1" t="s">
        <v>5136</v>
      </c>
      <c r="Q797" s="1" t="s">
        <v>2804</v>
      </c>
      <c r="R797" s="4"/>
    </row>
    <row r="798" spans="1:18" x14ac:dyDescent="0.25">
      <c r="A798" s="1" t="s">
        <v>141</v>
      </c>
      <c r="B798" s="1" t="s">
        <v>5137</v>
      </c>
      <c r="C798" s="1" t="s">
        <v>5138</v>
      </c>
      <c r="D798" s="4"/>
      <c r="E798" s="1">
        <v>2017</v>
      </c>
      <c r="F798" s="1">
        <v>15</v>
      </c>
      <c r="G798" s="4"/>
      <c r="H798" s="1" t="s">
        <v>5139</v>
      </c>
      <c r="I798" s="1" t="s">
        <v>196</v>
      </c>
      <c r="J798" s="1">
        <v>2017</v>
      </c>
      <c r="K798" s="4"/>
      <c r="L798" s="4"/>
      <c r="M798" s="1" t="s">
        <v>5140</v>
      </c>
      <c r="N798" s="3" t="s">
        <v>5141</v>
      </c>
      <c r="O798" s="1" t="s">
        <v>5142</v>
      </c>
      <c r="P798" s="1" t="s">
        <v>5143</v>
      </c>
      <c r="Q798" s="1" t="s">
        <v>176</v>
      </c>
      <c r="R798" s="4"/>
    </row>
    <row r="799" spans="1:18" x14ac:dyDescent="0.25">
      <c r="A799" s="1" t="s">
        <v>141</v>
      </c>
      <c r="B799" s="1" t="s">
        <v>5144</v>
      </c>
      <c r="C799" s="1" t="s">
        <v>5145</v>
      </c>
      <c r="D799" s="4"/>
      <c r="E799" s="1">
        <v>2018</v>
      </c>
      <c r="F799" s="4"/>
      <c r="G799" s="4"/>
      <c r="H799" s="1" t="s">
        <v>5146</v>
      </c>
      <c r="I799" s="1" t="s">
        <v>196</v>
      </c>
      <c r="J799" s="1">
        <v>2018</v>
      </c>
      <c r="K799" s="1">
        <v>9781450356619</v>
      </c>
      <c r="L799" s="4"/>
      <c r="M799" s="1" t="s">
        <v>1458</v>
      </c>
      <c r="N799" s="3" t="s">
        <v>5147</v>
      </c>
      <c r="O799" s="1" t="s">
        <v>5148</v>
      </c>
      <c r="P799" s="1" t="s">
        <v>5149</v>
      </c>
      <c r="Q799" s="1" t="s">
        <v>289</v>
      </c>
      <c r="R799" s="4"/>
    </row>
    <row r="800" spans="1:18" x14ac:dyDescent="0.25">
      <c r="A800" s="1" t="s">
        <v>141</v>
      </c>
      <c r="B800" s="1" t="s">
        <v>5150</v>
      </c>
      <c r="C800" s="1" t="s">
        <v>5151</v>
      </c>
      <c r="D800" s="4"/>
      <c r="E800" s="1">
        <v>2018</v>
      </c>
      <c r="F800" s="4"/>
      <c r="G800" s="4"/>
      <c r="H800" s="1" t="s">
        <v>2496</v>
      </c>
      <c r="I800" s="1" t="s">
        <v>145</v>
      </c>
      <c r="J800" s="1">
        <v>2018</v>
      </c>
      <c r="K800" s="1">
        <v>9781450365659</v>
      </c>
      <c r="L800" s="4"/>
      <c r="M800" s="4"/>
      <c r="N800" s="3" t="s">
        <v>5152</v>
      </c>
      <c r="O800" s="1" t="s">
        <v>5153</v>
      </c>
      <c r="P800" s="1" t="s">
        <v>5154</v>
      </c>
      <c r="Q800" s="1" t="s">
        <v>176</v>
      </c>
      <c r="R800" s="4"/>
    </row>
    <row r="801" spans="1:18" x14ac:dyDescent="0.25">
      <c r="A801" s="1" t="s">
        <v>141</v>
      </c>
      <c r="B801" s="1" t="s">
        <v>5155</v>
      </c>
      <c r="C801" s="1" t="s">
        <v>5156</v>
      </c>
      <c r="D801" s="4"/>
      <c r="E801" s="1">
        <v>2018</v>
      </c>
      <c r="F801" s="1">
        <v>1</v>
      </c>
      <c r="G801" s="4"/>
      <c r="H801" s="1" t="s">
        <v>1659</v>
      </c>
      <c r="I801" s="1" t="s">
        <v>196</v>
      </c>
      <c r="J801" s="1">
        <v>2018</v>
      </c>
      <c r="K801" s="1">
        <v>9781538626665</v>
      </c>
      <c r="L801" s="4"/>
      <c r="M801" s="1" t="s">
        <v>5157</v>
      </c>
      <c r="N801" s="3" t="s">
        <v>5158</v>
      </c>
      <c r="O801" s="1" t="s">
        <v>5159</v>
      </c>
      <c r="P801" s="1" t="s">
        <v>5160</v>
      </c>
      <c r="Q801" s="1" t="s">
        <v>2804</v>
      </c>
      <c r="R801" s="4"/>
    </row>
    <row r="802" spans="1:18" x14ac:dyDescent="0.25">
      <c r="A802" s="1" t="s">
        <v>13</v>
      </c>
      <c r="B802" s="1" t="s">
        <v>5161</v>
      </c>
      <c r="C802" s="1" t="s">
        <v>5162</v>
      </c>
      <c r="D802" s="1" t="s">
        <v>5163</v>
      </c>
      <c r="E802" s="1">
        <v>2017</v>
      </c>
      <c r="F802" s="1">
        <v>22</v>
      </c>
      <c r="G802" s="4"/>
      <c r="H802" s="1" t="s">
        <v>5164</v>
      </c>
      <c r="I802" s="1" t="s">
        <v>212</v>
      </c>
      <c r="J802" s="1">
        <v>2017</v>
      </c>
      <c r="K802" s="4"/>
      <c r="L802" s="4"/>
      <c r="M802" s="1" t="s">
        <v>5165</v>
      </c>
      <c r="N802" s="3" t="s">
        <v>5166</v>
      </c>
      <c r="O802" s="1" t="s">
        <v>5167</v>
      </c>
      <c r="P802" s="1" t="s">
        <v>5168</v>
      </c>
      <c r="Q802" s="1" t="s">
        <v>397</v>
      </c>
      <c r="R802" s="4"/>
    </row>
    <row r="803" spans="1:18" x14ac:dyDescent="0.25">
      <c r="A803" s="1" t="s">
        <v>141</v>
      </c>
      <c r="B803" s="1" t="s">
        <v>5169</v>
      </c>
      <c r="C803" s="1" t="s">
        <v>5170</v>
      </c>
      <c r="D803" s="4"/>
      <c r="E803" s="1">
        <v>2017</v>
      </c>
      <c r="F803" s="1" t="s">
        <v>5171</v>
      </c>
      <c r="G803" s="4"/>
      <c r="H803" s="1" t="s">
        <v>5172</v>
      </c>
      <c r="I803" s="1" t="s">
        <v>2919</v>
      </c>
      <c r="J803" s="1">
        <v>2017</v>
      </c>
      <c r="K803" s="1">
        <v>9781577357797</v>
      </c>
      <c r="L803" s="4"/>
      <c r="M803" s="4"/>
      <c r="N803" s="3" t="s">
        <v>5173</v>
      </c>
      <c r="O803" s="4"/>
      <c r="P803" s="1" t="s">
        <v>5174</v>
      </c>
      <c r="Q803" s="1" t="s">
        <v>157</v>
      </c>
      <c r="R803" s="4"/>
    </row>
    <row r="804" spans="1:18" x14ac:dyDescent="0.25">
      <c r="A804" s="1" t="s">
        <v>539</v>
      </c>
      <c r="B804" s="1" t="s">
        <v>5175</v>
      </c>
      <c r="C804" s="1" t="s">
        <v>5176</v>
      </c>
      <c r="D804" s="4"/>
      <c r="E804" s="1">
        <v>2015</v>
      </c>
      <c r="F804" s="4"/>
      <c r="G804" s="4"/>
      <c r="H804" s="4"/>
      <c r="I804" s="1" t="s">
        <v>1465</v>
      </c>
      <c r="J804" s="1">
        <v>2015</v>
      </c>
      <c r="K804" s="1">
        <v>9781466682276</v>
      </c>
      <c r="L804" s="1">
        <v>9781466682269</v>
      </c>
      <c r="M804" s="4"/>
      <c r="N804" s="3" t="s">
        <v>5177</v>
      </c>
      <c r="O804" s="1" t="s">
        <v>5178</v>
      </c>
      <c r="P804" s="1" t="s">
        <v>5179</v>
      </c>
      <c r="Q804" s="1" t="s">
        <v>3003</v>
      </c>
      <c r="R804" s="1" t="s">
        <v>5180</v>
      </c>
    </row>
    <row r="805" spans="1:18" x14ac:dyDescent="0.25">
      <c r="A805" s="1" t="s">
        <v>141</v>
      </c>
      <c r="B805" s="1" t="s">
        <v>5181</v>
      </c>
      <c r="C805" s="1" t="s">
        <v>5182</v>
      </c>
      <c r="D805" s="4"/>
      <c r="E805" s="1">
        <v>2018</v>
      </c>
      <c r="F805" s="4"/>
      <c r="G805" s="4"/>
      <c r="H805" s="1" t="s">
        <v>5183</v>
      </c>
      <c r="I805" s="1" t="s">
        <v>153</v>
      </c>
      <c r="J805" s="1">
        <v>2018</v>
      </c>
      <c r="K805" s="1">
        <v>9781450360562</v>
      </c>
      <c r="L805" s="4"/>
      <c r="M805" s="4"/>
      <c r="N805" s="3" t="s">
        <v>5184</v>
      </c>
      <c r="O805" s="1" t="s">
        <v>5185</v>
      </c>
      <c r="P805" s="1" t="s">
        <v>5186</v>
      </c>
      <c r="Q805" s="1" t="s">
        <v>176</v>
      </c>
      <c r="R805" s="4"/>
    </row>
    <row r="806" spans="1:18" x14ac:dyDescent="0.25">
      <c r="A806" s="1" t="s">
        <v>13</v>
      </c>
      <c r="B806" s="1" t="s">
        <v>5187</v>
      </c>
      <c r="C806" s="1" t="s">
        <v>5188</v>
      </c>
      <c r="D806" s="1" t="s">
        <v>209</v>
      </c>
      <c r="E806" s="1">
        <v>2018</v>
      </c>
      <c r="F806" s="1" t="s">
        <v>5189</v>
      </c>
      <c r="G806" s="4"/>
      <c r="H806" s="1" t="s">
        <v>5190</v>
      </c>
      <c r="I806" s="1" t="s">
        <v>4155</v>
      </c>
      <c r="J806" s="1">
        <v>2018</v>
      </c>
      <c r="K806" s="4"/>
      <c r="L806" s="4"/>
      <c r="M806" s="1" t="s">
        <v>213</v>
      </c>
      <c r="N806" s="3" t="s">
        <v>5191</v>
      </c>
      <c r="O806" s="1" t="s">
        <v>5192</v>
      </c>
      <c r="P806" s="1" t="s">
        <v>5193</v>
      </c>
      <c r="Q806" s="1" t="s">
        <v>2243</v>
      </c>
      <c r="R806" s="4"/>
    </row>
    <row r="807" spans="1:18" x14ac:dyDescent="0.25">
      <c r="A807" s="1" t="s">
        <v>13</v>
      </c>
      <c r="B807" s="1" t="s">
        <v>5194</v>
      </c>
      <c r="C807" s="1" t="s">
        <v>5195</v>
      </c>
      <c r="D807" s="1" t="s">
        <v>136</v>
      </c>
      <c r="E807" s="1">
        <v>2017</v>
      </c>
      <c r="F807" s="1">
        <v>22</v>
      </c>
      <c r="G807" s="1">
        <v>3</v>
      </c>
      <c r="H807" s="1" t="s">
        <v>5196</v>
      </c>
      <c r="I807" s="1" t="s">
        <v>3998</v>
      </c>
      <c r="J807" s="1">
        <v>2017</v>
      </c>
      <c r="K807" s="4"/>
      <c r="L807" s="4"/>
      <c r="M807" s="1" t="s">
        <v>33</v>
      </c>
      <c r="N807" s="3" t="s">
        <v>5197</v>
      </c>
      <c r="O807" s="1" t="s">
        <v>5198</v>
      </c>
      <c r="P807" s="1" t="s">
        <v>5199</v>
      </c>
      <c r="Q807" s="1" t="s">
        <v>4002</v>
      </c>
      <c r="R807" s="4"/>
    </row>
    <row r="808" spans="1:18" x14ac:dyDescent="0.25">
      <c r="A808" s="1" t="s">
        <v>141</v>
      </c>
      <c r="B808" s="1" t="s">
        <v>5200</v>
      </c>
      <c r="C808" s="1" t="s">
        <v>5201</v>
      </c>
      <c r="D808" s="4"/>
      <c r="E808" s="1">
        <v>2018</v>
      </c>
      <c r="F808" s="4"/>
      <c r="G808" s="4"/>
      <c r="H808" s="1" t="s">
        <v>5202</v>
      </c>
      <c r="I808" s="1" t="s">
        <v>257</v>
      </c>
      <c r="J808" s="1">
        <v>2018</v>
      </c>
      <c r="K808" s="1">
        <v>9781538673829</v>
      </c>
      <c r="L808" s="4"/>
      <c r="M808" s="4"/>
      <c r="N808" s="3" t="s">
        <v>5203</v>
      </c>
      <c r="O808" s="1" t="s">
        <v>5204</v>
      </c>
      <c r="P808" s="1" t="s">
        <v>5205</v>
      </c>
      <c r="Q808" s="1" t="s">
        <v>1573</v>
      </c>
      <c r="R808" s="4"/>
    </row>
    <row r="809" spans="1:18" x14ac:dyDescent="0.25">
      <c r="A809" s="1" t="s">
        <v>13</v>
      </c>
      <c r="B809" s="1" t="s">
        <v>5206</v>
      </c>
      <c r="C809" s="1" t="s">
        <v>5207</v>
      </c>
      <c r="D809" s="1" t="s">
        <v>209</v>
      </c>
      <c r="E809" s="1">
        <v>2017</v>
      </c>
      <c r="F809" s="1" t="s">
        <v>5208</v>
      </c>
      <c r="G809" s="4"/>
      <c r="H809" s="1" t="s">
        <v>4943</v>
      </c>
      <c r="I809" s="1" t="s">
        <v>4155</v>
      </c>
      <c r="J809" s="1">
        <v>2017</v>
      </c>
      <c r="K809" s="4"/>
      <c r="L809" s="4"/>
      <c r="M809" s="1" t="s">
        <v>213</v>
      </c>
      <c r="N809" s="3" t="s">
        <v>5209</v>
      </c>
      <c r="O809" s="1" t="s">
        <v>5210</v>
      </c>
      <c r="P809" s="1" t="s">
        <v>5211</v>
      </c>
      <c r="Q809" s="1" t="s">
        <v>1740</v>
      </c>
      <c r="R809" s="4"/>
    </row>
    <row r="810" spans="1:18" x14ac:dyDescent="0.25">
      <c r="A810" s="1" t="s">
        <v>141</v>
      </c>
      <c r="B810" s="1" t="s">
        <v>5212</v>
      </c>
      <c r="C810" s="1" t="s">
        <v>5213</v>
      </c>
      <c r="D810" s="4"/>
      <c r="E810" s="1">
        <v>2017</v>
      </c>
      <c r="F810" s="1">
        <v>11</v>
      </c>
      <c r="G810" s="4"/>
      <c r="H810" s="1" t="s">
        <v>5214</v>
      </c>
      <c r="I810" s="1" t="s">
        <v>145</v>
      </c>
      <c r="J810" s="1">
        <v>2017</v>
      </c>
      <c r="K810" s="4"/>
      <c r="L810" s="4"/>
      <c r="M810" s="1" t="s">
        <v>4235</v>
      </c>
      <c r="N810" s="3" t="s">
        <v>5215</v>
      </c>
      <c r="O810" s="1" t="s">
        <v>5216</v>
      </c>
      <c r="P810" s="1" t="s">
        <v>5217</v>
      </c>
      <c r="Q810" s="1" t="s">
        <v>2830</v>
      </c>
      <c r="R810" s="4"/>
    </row>
    <row r="811" spans="1:18" x14ac:dyDescent="0.25">
      <c r="A811" s="1" t="s">
        <v>13</v>
      </c>
      <c r="B811" s="1" t="s">
        <v>5218</v>
      </c>
      <c r="C811" s="1" t="s">
        <v>5219</v>
      </c>
      <c r="D811" s="1" t="s">
        <v>354</v>
      </c>
      <c r="E811" s="1">
        <v>2017</v>
      </c>
      <c r="F811" s="1">
        <v>133</v>
      </c>
      <c r="G811" s="4"/>
      <c r="H811" s="1" t="s">
        <v>5220</v>
      </c>
      <c r="I811" s="1" t="s">
        <v>355</v>
      </c>
      <c r="J811" s="1">
        <v>2017</v>
      </c>
      <c r="K811" s="4"/>
      <c r="L811" s="4"/>
      <c r="M811" s="1" t="s">
        <v>65</v>
      </c>
      <c r="N811" s="3" t="s">
        <v>5221</v>
      </c>
      <c r="O811" s="1" t="s">
        <v>5222</v>
      </c>
      <c r="P811" s="1" t="s">
        <v>5223</v>
      </c>
      <c r="Q811" s="1" t="s">
        <v>4634</v>
      </c>
      <c r="R811" s="4"/>
    </row>
    <row r="812" spans="1:18" x14ac:dyDescent="0.25">
      <c r="A812" s="1" t="s">
        <v>13</v>
      </c>
      <c r="B812" s="1" t="s">
        <v>5224</v>
      </c>
      <c r="C812" s="1" t="s">
        <v>5225</v>
      </c>
      <c r="D812" s="1" t="s">
        <v>5226</v>
      </c>
      <c r="E812" s="1">
        <v>2017</v>
      </c>
      <c r="F812" s="1">
        <v>23</v>
      </c>
      <c r="G812" s="1">
        <v>5</v>
      </c>
      <c r="H812" s="1" t="s">
        <v>5227</v>
      </c>
      <c r="I812" s="1" t="s">
        <v>5228</v>
      </c>
      <c r="J812" s="1">
        <v>2017</v>
      </c>
      <c r="K812" s="4"/>
      <c r="L812" s="4"/>
      <c r="M812" s="1" t="s">
        <v>5229</v>
      </c>
      <c r="N812" s="3" t="s">
        <v>5230</v>
      </c>
      <c r="O812" s="1" t="s">
        <v>5231</v>
      </c>
      <c r="P812" s="1" t="s">
        <v>5232</v>
      </c>
      <c r="Q812" s="1" t="s">
        <v>2420</v>
      </c>
      <c r="R812" s="4"/>
    </row>
    <row r="813" spans="1:18" x14ac:dyDescent="0.25">
      <c r="A813" s="1" t="s">
        <v>13</v>
      </c>
      <c r="B813" s="1" t="s">
        <v>5233</v>
      </c>
      <c r="C813" s="1" t="s">
        <v>5234</v>
      </c>
      <c r="D813" s="1" t="s">
        <v>209</v>
      </c>
      <c r="E813" s="1">
        <v>2017</v>
      </c>
      <c r="F813" s="1" t="s">
        <v>5208</v>
      </c>
      <c r="G813" s="4"/>
      <c r="H813" s="1" t="s">
        <v>5235</v>
      </c>
      <c r="I813" s="1" t="s">
        <v>4155</v>
      </c>
      <c r="J813" s="1">
        <v>2017</v>
      </c>
      <c r="K813" s="4"/>
      <c r="L813" s="4"/>
      <c r="M813" s="1" t="s">
        <v>213</v>
      </c>
      <c r="N813" s="3" t="s">
        <v>5236</v>
      </c>
      <c r="O813" s="1" t="s">
        <v>5237</v>
      </c>
      <c r="P813" s="1" t="s">
        <v>5238</v>
      </c>
      <c r="Q813" s="1" t="s">
        <v>176</v>
      </c>
      <c r="R813" s="4"/>
    </row>
    <row r="814" spans="1:18" x14ac:dyDescent="0.25">
      <c r="A814" s="1" t="s">
        <v>141</v>
      </c>
      <c r="B814" s="1" t="s">
        <v>5239</v>
      </c>
      <c r="C814" s="1" t="s">
        <v>5240</v>
      </c>
      <c r="D814" s="4"/>
      <c r="E814" s="1">
        <v>2017</v>
      </c>
      <c r="F814" s="7">
        <v>43101</v>
      </c>
      <c r="G814" s="4"/>
      <c r="H814" s="1" t="s">
        <v>5241</v>
      </c>
      <c r="I814" s="1" t="s">
        <v>257</v>
      </c>
      <c r="J814" s="1">
        <v>2017</v>
      </c>
      <c r="K814" s="1">
        <v>9781538627143</v>
      </c>
      <c r="L814" s="4"/>
      <c r="M814" s="4"/>
      <c r="N814" s="3" t="s">
        <v>5242</v>
      </c>
      <c r="O814" s="1" t="s">
        <v>5243</v>
      </c>
      <c r="P814" s="1" t="s">
        <v>5244</v>
      </c>
      <c r="Q814" s="1" t="s">
        <v>5245</v>
      </c>
      <c r="R814" s="4"/>
    </row>
    <row r="815" spans="1:18" x14ac:dyDescent="0.25">
      <c r="A815" s="1" t="s">
        <v>13</v>
      </c>
      <c r="B815" s="1" t="s">
        <v>5246</v>
      </c>
      <c r="C815" s="1" t="s">
        <v>5247</v>
      </c>
      <c r="D815" s="1" t="s">
        <v>5248</v>
      </c>
      <c r="E815" s="1">
        <v>2018</v>
      </c>
      <c r="F815" s="1">
        <v>9</v>
      </c>
      <c r="G815" s="1">
        <v>4</v>
      </c>
      <c r="H815" s="1" t="s">
        <v>5249</v>
      </c>
      <c r="I815" s="1" t="s">
        <v>5250</v>
      </c>
      <c r="J815" s="1">
        <v>2018</v>
      </c>
      <c r="K815" s="4"/>
      <c r="L815" s="4"/>
      <c r="M815" s="1" t="s">
        <v>5251</v>
      </c>
      <c r="N815" s="3" t="s">
        <v>5252</v>
      </c>
      <c r="O815" s="1" t="s">
        <v>5253</v>
      </c>
      <c r="P815" s="1" t="s">
        <v>5254</v>
      </c>
      <c r="Q815" s="1" t="s">
        <v>5255</v>
      </c>
      <c r="R815" s="4"/>
    </row>
    <row r="816" spans="1:18" x14ac:dyDescent="0.25">
      <c r="A816" s="1" t="s">
        <v>141</v>
      </c>
      <c r="B816" s="1" t="s">
        <v>5256</v>
      </c>
      <c r="C816" s="1" t="s">
        <v>5257</v>
      </c>
      <c r="D816" s="4"/>
      <c r="E816" s="1">
        <v>2015</v>
      </c>
      <c r="F816" s="4"/>
      <c r="G816" s="4"/>
      <c r="H816" s="1" t="s">
        <v>5258</v>
      </c>
      <c r="I816" s="1" t="s">
        <v>257</v>
      </c>
      <c r="J816" s="1">
        <v>2015</v>
      </c>
      <c r="K816" s="1">
        <v>9781467375320</v>
      </c>
      <c r="L816" s="4"/>
      <c r="M816" s="4"/>
      <c r="N816" s="3" t="s">
        <v>5259</v>
      </c>
      <c r="O816" s="1" t="s">
        <v>5260</v>
      </c>
      <c r="P816" s="1" t="s">
        <v>5261</v>
      </c>
      <c r="Q816" s="1" t="s">
        <v>2610</v>
      </c>
      <c r="R816" s="4"/>
    </row>
    <row r="817" spans="1:18" x14ac:dyDescent="0.25">
      <c r="A817" s="1" t="s">
        <v>141</v>
      </c>
      <c r="B817" s="1" t="s">
        <v>5262</v>
      </c>
      <c r="C817" s="1" t="s">
        <v>5263</v>
      </c>
      <c r="D817" s="4"/>
      <c r="E817" s="1">
        <v>2012</v>
      </c>
      <c r="F817" s="4"/>
      <c r="G817" s="4"/>
      <c r="H817" s="4"/>
      <c r="I817" s="4"/>
      <c r="J817" s="1">
        <v>2012</v>
      </c>
      <c r="K817" s="1">
        <v>9781450316149</v>
      </c>
      <c r="L817" s="4"/>
      <c r="M817" s="4"/>
      <c r="N817" s="3" t="s">
        <v>5264</v>
      </c>
      <c r="O817" s="1" t="s">
        <v>5265</v>
      </c>
      <c r="P817" s="1" t="s">
        <v>5266</v>
      </c>
      <c r="Q817" s="1" t="s">
        <v>5267</v>
      </c>
      <c r="R817" s="4"/>
    </row>
    <row r="818" spans="1:18" x14ac:dyDescent="0.25">
      <c r="A818" s="1" t="s">
        <v>141</v>
      </c>
      <c r="B818" s="1" t="s">
        <v>5268</v>
      </c>
      <c r="C818" s="1" t="s">
        <v>5269</v>
      </c>
      <c r="D818" s="4"/>
      <c r="E818" s="1">
        <v>2015</v>
      </c>
      <c r="F818" s="4"/>
      <c r="G818" s="4"/>
      <c r="H818" s="1" t="s">
        <v>3808</v>
      </c>
      <c r="I818" s="1" t="s">
        <v>153</v>
      </c>
      <c r="J818" s="1">
        <v>2015</v>
      </c>
      <c r="K818" s="1">
        <v>9781450334808</v>
      </c>
      <c r="L818" s="4"/>
      <c r="M818" s="4"/>
      <c r="N818" s="3" t="s">
        <v>5270</v>
      </c>
      <c r="O818" s="1" t="s">
        <v>5271</v>
      </c>
      <c r="P818" s="1" t="s">
        <v>5272</v>
      </c>
      <c r="Q818" s="1" t="s">
        <v>3003</v>
      </c>
      <c r="R818" s="4"/>
    </row>
    <row r="819" spans="1:18" x14ac:dyDescent="0.25">
      <c r="A819" s="1" t="s">
        <v>141</v>
      </c>
      <c r="B819" s="1" t="s">
        <v>5273</v>
      </c>
      <c r="C819" s="1" t="s">
        <v>5274</v>
      </c>
      <c r="D819" s="4"/>
      <c r="E819" s="1">
        <v>2013</v>
      </c>
      <c r="F819" s="4"/>
      <c r="G819" s="4"/>
      <c r="H819" s="1" t="s">
        <v>4039</v>
      </c>
      <c r="I819" s="1" t="s">
        <v>196</v>
      </c>
      <c r="J819" s="1">
        <v>2013</v>
      </c>
      <c r="K819" s="1">
        <v>9781467364430</v>
      </c>
      <c r="L819" s="4"/>
      <c r="M819" s="4"/>
      <c r="N819" s="3" t="s">
        <v>5275</v>
      </c>
      <c r="O819" s="1" t="s">
        <v>5276</v>
      </c>
      <c r="P819" s="1" t="s">
        <v>5277</v>
      </c>
      <c r="Q819" s="1" t="s">
        <v>3118</v>
      </c>
      <c r="R819" s="4"/>
    </row>
    <row r="820" spans="1:18" x14ac:dyDescent="0.25">
      <c r="A820" s="1" t="s">
        <v>141</v>
      </c>
      <c r="B820" s="1" t="s">
        <v>5278</v>
      </c>
      <c r="C820" s="1" t="s">
        <v>5279</v>
      </c>
      <c r="D820" s="4"/>
      <c r="E820" s="1">
        <v>2016</v>
      </c>
      <c r="F820" s="7">
        <v>42614</v>
      </c>
      <c r="G820" s="4"/>
      <c r="H820" s="1" t="s">
        <v>5280</v>
      </c>
      <c r="I820" s="1" t="s">
        <v>257</v>
      </c>
      <c r="J820" s="1">
        <v>2016</v>
      </c>
      <c r="K820" s="1">
        <v>9781450342292</v>
      </c>
      <c r="L820" s="4"/>
      <c r="M820" s="1" t="s">
        <v>5281</v>
      </c>
      <c r="N820" s="3" t="s">
        <v>5282</v>
      </c>
      <c r="O820" s="1" t="s">
        <v>5283</v>
      </c>
      <c r="P820" s="1" t="s">
        <v>5284</v>
      </c>
      <c r="Q820" s="1" t="s">
        <v>5285</v>
      </c>
      <c r="R820" s="4"/>
    </row>
    <row r="821" spans="1:18" x14ac:dyDescent="0.25">
      <c r="A821" s="1" t="s">
        <v>141</v>
      </c>
      <c r="B821" s="1" t="s">
        <v>5286</v>
      </c>
      <c r="C821" s="1" t="s">
        <v>5287</v>
      </c>
      <c r="D821" s="4"/>
      <c r="E821" s="1">
        <v>2015</v>
      </c>
      <c r="F821" s="4"/>
      <c r="G821" s="4"/>
      <c r="H821" s="1" t="s">
        <v>5288</v>
      </c>
      <c r="I821" s="1" t="s">
        <v>153</v>
      </c>
      <c r="J821" s="1">
        <v>2015</v>
      </c>
      <c r="K821" s="1">
        <v>9781450336758</v>
      </c>
      <c r="L821" s="4"/>
      <c r="M821" s="4"/>
      <c r="N821" s="3" t="s">
        <v>5289</v>
      </c>
      <c r="O821" s="1" t="s">
        <v>5290</v>
      </c>
      <c r="P821" s="1" t="s">
        <v>5291</v>
      </c>
      <c r="Q821" s="1" t="s">
        <v>5292</v>
      </c>
      <c r="R821" s="4"/>
    </row>
    <row r="822" spans="1:18" x14ac:dyDescent="0.25">
      <c r="A822" s="1" t="s">
        <v>141</v>
      </c>
      <c r="B822" s="1" t="s">
        <v>5293</v>
      </c>
      <c r="C822" s="1" t="s">
        <v>5294</v>
      </c>
      <c r="D822" s="4"/>
      <c r="E822" s="1">
        <v>2016</v>
      </c>
      <c r="F822" s="4"/>
      <c r="G822" s="4"/>
      <c r="H822" s="1" t="s">
        <v>5295</v>
      </c>
      <c r="I822" s="1" t="s">
        <v>257</v>
      </c>
      <c r="J822" s="1">
        <v>2016</v>
      </c>
      <c r="K822" s="1">
        <v>9781509036943</v>
      </c>
      <c r="L822" s="4"/>
      <c r="M822" s="4"/>
      <c r="N822" s="3" t="s">
        <v>5296</v>
      </c>
      <c r="O822" s="1" t="s">
        <v>5297</v>
      </c>
      <c r="P822" s="1" t="s">
        <v>5298</v>
      </c>
      <c r="Q822" s="1" t="s">
        <v>2286</v>
      </c>
      <c r="R822" s="4"/>
    </row>
    <row r="823" spans="1:18" x14ac:dyDescent="0.25">
      <c r="A823" s="1" t="s">
        <v>13</v>
      </c>
      <c r="B823" s="1" t="s">
        <v>5299</v>
      </c>
      <c r="C823" s="1" t="s">
        <v>5300</v>
      </c>
      <c r="D823" s="1" t="s">
        <v>209</v>
      </c>
      <c r="E823" s="1">
        <v>2017</v>
      </c>
      <c r="F823" s="1" t="s">
        <v>5301</v>
      </c>
      <c r="G823" s="4"/>
      <c r="H823" s="1" t="s">
        <v>5302</v>
      </c>
      <c r="I823" s="1" t="s">
        <v>4155</v>
      </c>
      <c r="J823" s="1">
        <v>2017</v>
      </c>
      <c r="K823" s="4"/>
      <c r="L823" s="4"/>
      <c r="M823" s="1" t="s">
        <v>213</v>
      </c>
      <c r="N823" s="3" t="s">
        <v>5303</v>
      </c>
      <c r="O823" s="1" t="s">
        <v>5304</v>
      </c>
      <c r="P823" s="1" t="s">
        <v>5305</v>
      </c>
      <c r="Q823" s="1" t="s">
        <v>5306</v>
      </c>
      <c r="R823" s="4"/>
    </row>
    <row r="824" spans="1:18" x14ac:dyDescent="0.25">
      <c r="A824" s="1" t="s">
        <v>13</v>
      </c>
      <c r="B824" s="1" t="s">
        <v>5307</v>
      </c>
      <c r="C824" s="1" t="s">
        <v>5308</v>
      </c>
      <c r="D824" s="1" t="s">
        <v>878</v>
      </c>
      <c r="E824" s="1">
        <v>2014</v>
      </c>
      <c r="F824" s="1">
        <v>26</v>
      </c>
      <c r="G824" s="1">
        <v>7</v>
      </c>
      <c r="H824" s="1" t="s">
        <v>5309</v>
      </c>
      <c r="I824" s="1" t="s">
        <v>266</v>
      </c>
      <c r="J824" s="1">
        <v>2014</v>
      </c>
      <c r="K824" s="4"/>
      <c r="L824" s="4"/>
      <c r="M824" s="1" t="s">
        <v>879</v>
      </c>
      <c r="N824" s="3" t="s">
        <v>5310</v>
      </c>
      <c r="O824" s="1" t="s">
        <v>5311</v>
      </c>
      <c r="P824" s="1" t="s">
        <v>5312</v>
      </c>
      <c r="Q824" s="1" t="s">
        <v>2579</v>
      </c>
      <c r="R824" s="4"/>
    </row>
    <row r="825" spans="1:18" x14ac:dyDescent="0.25">
      <c r="A825" s="1" t="s">
        <v>13</v>
      </c>
      <c r="B825" s="1" t="s">
        <v>5313</v>
      </c>
      <c r="C825" s="1" t="s">
        <v>5314</v>
      </c>
      <c r="D825" s="1" t="s">
        <v>307</v>
      </c>
      <c r="E825" s="1">
        <v>2018</v>
      </c>
      <c r="F825" s="1">
        <v>93</v>
      </c>
      <c r="G825" s="4"/>
      <c r="H825" s="1" t="s">
        <v>5315</v>
      </c>
      <c r="I825" s="1" t="s">
        <v>280</v>
      </c>
      <c r="J825" s="1">
        <v>2018</v>
      </c>
      <c r="K825" s="4"/>
      <c r="L825" s="4"/>
      <c r="M825" s="1" t="s">
        <v>308</v>
      </c>
      <c r="N825" s="3" t="s">
        <v>5316</v>
      </c>
      <c r="O825" s="1" t="s">
        <v>5317</v>
      </c>
      <c r="P825" s="1" t="s">
        <v>5318</v>
      </c>
      <c r="Q825" s="1" t="s">
        <v>3266</v>
      </c>
      <c r="R825" s="4"/>
    </row>
    <row r="826" spans="1:18" x14ac:dyDescent="0.25">
      <c r="A826" s="1" t="s">
        <v>141</v>
      </c>
      <c r="B826" s="1" t="s">
        <v>5319</v>
      </c>
      <c r="C826" s="1" t="s">
        <v>5320</v>
      </c>
      <c r="D826" s="4"/>
      <c r="E826" s="1">
        <v>2017</v>
      </c>
      <c r="F826" s="4"/>
      <c r="G826" s="4"/>
      <c r="H826" s="1" t="s">
        <v>5321</v>
      </c>
      <c r="I826" s="1" t="s">
        <v>257</v>
      </c>
      <c r="J826" s="1">
        <v>2017</v>
      </c>
      <c r="K826" s="1">
        <v>9781538626757</v>
      </c>
      <c r="L826" s="4"/>
      <c r="M826" s="4"/>
      <c r="N826" s="3" t="s">
        <v>5322</v>
      </c>
      <c r="O826" s="1" t="s">
        <v>5323</v>
      </c>
      <c r="P826" s="1" t="s">
        <v>5324</v>
      </c>
      <c r="Q826" s="1" t="s">
        <v>1656</v>
      </c>
      <c r="R826" s="4"/>
    </row>
    <row r="827" spans="1:18" x14ac:dyDescent="0.25">
      <c r="A827" s="1" t="s">
        <v>141</v>
      </c>
      <c r="B827" s="1" t="s">
        <v>5325</v>
      </c>
      <c r="C827" s="1" t="s">
        <v>5326</v>
      </c>
      <c r="D827" s="4"/>
      <c r="E827" s="1">
        <v>2017</v>
      </c>
      <c r="F827" s="4"/>
      <c r="G827" s="4"/>
      <c r="H827" s="1" t="s">
        <v>5327</v>
      </c>
      <c r="I827" s="1" t="s">
        <v>196</v>
      </c>
      <c r="J827" s="1">
        <v>2017</v>
      </c>
      <c r="K827" s="1">
        <v>9781509065431</v>
      </c>
      <c r="L827" s="4"/>
      <c r="M827" s="1" t="s">
        <v>5328</v>
      </c>
      <c r="N827" s="3" t="s">
        <v>5329</v>
      </c>
      <c r="O827" s="1" t="s">
        <v>5330</v>
      </c>
      <c r="P827" s="1" t="s">
        <v>5331</v>
      </c>
      <c r="Q827" s="1" t="s">
        <v>5332</v>
      </c>
      <c r="R827" s="4"/>
    </row>
    <row r="828" spans="1:18" x14ac:dyDescent="0.25">
      <c r="A828" s="1" t="s">
        <v>141</v>
      </c>
      <c r="B828" s="1" t="s">
        <v>5333</v>
      </c>
      <c r="C828" s="1" t="s">
        <v>5334</v>
      </c>
      <c r="D828" s="4"/>
      <c r="E828" s="1">
        <v>2017</v>
      </c>
      <c r="F828" s="7">
        <v>42856</v>
      </c>
      <c r="G828" s="4"/>
      <c r="H828" s="1" t="s">
        <v>5335</v>
      </c>
      <c r="I828" s="1" t="s">
        <v>145</v>
      </c>
      <c r="J828" s="1">
        <v>2017</v>
      </c>
      <c r="K828" s="1">
        <v>9781450346559</v>
      </c>
      <c r="L828" s="4"/>
      <c r="M828" s="4"/>
      <c r="N828" s="3" t="s">
        <v>5336</v>
      </c>
      <c r="O828" s="1" t="s">
        <v>5337</v>
      </c>
      <c r="P828" s="1" t="s">
        <v>5338</v>
      </c>
      <c r="Q828" s="1" t="s">
        <v>5339</v>
      </c>
      <c r="R828" s="4"/>
    </row>
    <row r="829" spans="1:18" x14ac:dyDescent="0.25">
      <c r="A829" s="1" t="s">
        <v>141</v>
      </c>
      <c r="B829" s="1" t="s">
        <v>5340</v>
      </c>
      <c r="C829" s="1" t="s">
        <v>5341</v>
      </c>
      <c r="D829" s="4"/>
      <c r="E829" s="1">
        <v>2018</v>
      </c>
      <c r="F829" s="4"/>
      <c r="G829" s="4"/>
      <c r="H829" s="1" t="s">
        <v>5342</v>
      </c>
      <c r="I829" s="1" t="s">
        <v>257</v>
      </c>
      <c r="J829" s="1">
        <v>2018</v>
      </c>
      <c r="K829" s="1">
        <v>9781538677575</v>
      </c>
      <c r="L829" s="4"/>
      <c r="M829" s="4"/>
      <c r="N829" s="3" t="s">
        <v>5343</v>
      </c>
      <c r="O829" s="1" t="s">
        <v>5344</v>
      </c>
      <c r="P829" s="1" t="s">
        <v>5345</v>
      </c>
      <c r="Q829" s="1" t="s">
        <v>1573</v>
      </c>
      <c r="R829" s="4"/>
    </row>
    <row r="830" spans="1:18" x14ac:dyDescent="0.25">
      <c r="A830" s="1" t="s">
        <v>13</v>
      </c>
      <c r="B830" s="1" t="s">
        <v>5346</v>
      </c>
      <c r="C830" s="1" t="s">
        <v>5347</v>
      </c>
      <c r="D830" s="1" t="s">
        <v>307</v>
      </c>
      <c r="E830" s="1">
        <v>2016</v>
      </c>
      <c r="F830" s="1">
        <v>70</v>
      </c>
      <c r="G830" s="4"/>
      <c r="H830" s="1" t="s">
        <v>5348</v>
      </c>
      <c r="I830" s="1" t="s">
        <v>280</v>
      </c>
      <c r="J830" s="1">
        <v>2016</v>
      </c>
      <c r="K830" s="4"/>
      <c r="L830" s="4"/>
      <c r="M830" s="1" t="s">
        <v>308</v>
      </c>
      <c r="N830" s="3" t="s">
        <v>5349</v>
      </c>
      <c r="O830" s="1" t="s">
        <v>5350</v>
      </c>
      <c r="P830" s="1" t="s">
        <v>5351</v>
      </c>
      <c r="Q830" s="1" t="s">
        <v>4560</v>
      </c>
      <c r="R830" s="4"/>
    </row>
    <row r="831" spans="1:18" x14ac:dyDescent="0.25">
      <c r="A831" s="1" t="s">
        <v>141</v>
      </c>
      <c r="B831" s="1" t="s">
        <v>5352</v>
      </c>
      <c r="C831" s="1" t="s">
        <v>5353</v>
      </c>
      <c r="D831" s="4"/>
      <c r="E831" s="1">
        <v>2016</v>
      </c>
      <c r="F831" s="1" t="s">
        <v>5354</v>
      </c>
      <c r="G831" s="4"/>
      <c r="H831" s="4"/>
      <c r="I831" s="1" t="s">
        <v>145</v>
      </c>
      <c r="J831" s="1">
        <v>2016</v>
      </c>
      <c r="K831" s="1">
        <v>9781450336918</v>
      </c>
      <c r="L831" s="4"/>
      <c r="M831" s="4"/>
      <c r="N831" s="3" t="s">
        <v>5355</v>
      </c>
      <c r="O831" s="1" t="s">
        <v>5356</v>
      </c>
      <c r="P831" s="1" t="s">
        <v>5357</v>
      </c>
      <c r="Q831" s="1" t="s">
        <v>5358</v>
      </c>
      <c r="R831" s="4"/>
    </row>
    <row r="832" spans="1:18" x14ac:dyDescent="0.25">
      <c r="A832" s="1" t="s">
        <v>141</v>
      </c>
      <c r="B832" s="1" t="s">
        <v>5359</v>
      </c>
      <c r="C832" s="1" t="s">
        <v>5360</v>
      </c>
      <c r="D832" s="4"/>
      <c r="E832" s="1">
        <v>2018</v>
      </c>
      <c r="F832" s="4"/>
      <c r="G832" s="4"/>
      <c r="H832" s="1" t="s">
        <v>5361</v>
      </c>
      <c r="I832" s="1" t="s">
        <v>145</v>
      </c>
      <c r="J832" s="1">
        <v>2018</v>
      </c>
      <c r="K832" s="1">
        <v>9781450365031</v>
      </c>
      <c r="L832" s="4"/>
      <c r="M832" s="4"/>
      <c r="N832" s="3" t="s">
        <v>5362</v>
      </c>
      <c r="O832" s="1" t="s">
        <v>5363</v>
      </c>
      <c r="P832" s="1" t="s">
        <v>5364</v>
      </c>
      <c r="Q832" s="1" t="s">
        <v>318</v>
      </c>
      <c r="R832" s="4"/>
    </row>
    <row r="833" spans="1:18" x14ac:dyDescent="0.25">
      <c r="A833" s="1" t="s">
        <v>13</v>
      </c>
      <c r="B833" s="1" t="s">
        <v>4803</v>
      </c>
      <c r="C833" s="1" t="s">
        <v>5365</v>
      </c>
      <c r="D833" s="1" t="s">
        <v>5366</v>
      </c>
      <c r="E833" s="1">
        <v>2018</v>
      </c>
      <c r="F833" s="1">
        <v>51</v>
      </c>
      <c r="G833" s="1">
        <v>3</v>
      </c>
      <c r="H833" s="4"/>
      <c r="I833" s="1" t="s">
        <v>145</v>
      </c>
      <c r="J833" s="1">
        <v>2018</v>
      </c>
      <c r="K833" s="4"/>
      <c r="L833" s="4"/>
      <c r="M833" s="1" t="s">
        <v>5367</v>
      </c>
      <c r="N833" s="3" t="s">
        <v>5368</v>
      </c>
      <c r="O833" s="1" t="s">
        <v>5369</v>
      </c>
      <c r="P833" s="1" t="s">
        <v>5370</v>
      </c>
      <c r="Q833" s="1" t="s">
        <v>5371</v>
      </c>
      <c r="R833" s="4"/>
    </row>
    <row r="834" spans="1:18" x14ac:dyDescent="0.25">
      <c r="A834" s="1" t="s">
        <v>13</v>
      </c>
      <c r="B834" s="1" t="s">
        <v>5372</v>
      </c>
      <c r="C834" s="1" t="s">
        <v>5373</v>
      </c>
      <c r="D834" s="1" t="s">
        <v>5374</v>
      </c>
      <c r="E834" s="1">
        <v>2018</v>
      </c>
      <c r="F834" s="1">
        <v>171</v>
      </c>
      <c r="G834" s="1">
        <v>1</v>
      </c>
      <c r="H834" s="1" t="s">
        <v>5375</v>
      </c>
      <c r="I834" s="1" t="s">
        <v>5376</v>
      </c>
      <c r="J834" s="1">
        <v>2018</v>
      </c>
      <c r="K834" s="4"/>
      <c r="L834" s="4"/>
      <c r="M834" s="1" t="s">
        <v>5377</v>
      </c>
      <c r="N834" s="3" t="s">
        <v>5378</v>
      </c>
      <c r="O834" s="1" t="s">
        <v>5379</v>
      </c>
      <c r="P834" s="1" t="s">
        <v>5380</v>
      </c>
      <c r="Q834" s="1" t="s">
        <v>1573</v>
      </c>
      <c r="R834" s="4"/>
    </row>
    <row r="835" spans="1:18" x14ac:dyDescent="0.25">
      <c r="A835" s="1" t="s">
        <v>141</v>
      </c>
      <c r="B835" s="1" t="s">
        <v>5381</v>
      </c>
      <c r="C835" s="1" t="s">
        <v>5382</v>
      </c>
      <c r="D835" s="4"/>
      <c r="E835" s="1">
        <v>2017</v>
      </c>
      <c r="F835" s="7">
        <v>43009</v>
      </c>
      <c r="G835" s="4"/>
      <c r="H835" s="1" t="s">
        <v>5383</v>
      </c>
      <c r="I835" s="1" t="s">
        <v>196</v>
      </c>
      <c r="J835" s="1">
        <v>2017</v>
      </c>
      <c r="K835" s="1">
        <v>9781538609415</v>
      </c>
      <c r="L835" s="4"/>
      <c r="M835" s="1" t="s">
        <v>2680</v>
      </c>
      <c r="N835" s="3" t="s">
        <v>5384</v>
      </c>
      <c r="O835" s="1" t="s">
        <v>5385</v>
      </c>
      <c r="P835" s="1" t="s">
        <v>5386</v>
      </c>
      <c r="Q835" s="1" t="s">
        <v>5387</v>
      </c>
      <c r="R835" s="4"/>
    </row>
    <row r="836" spans="1:18" x14ac:dyDescent="0.25">
      <c r="A836" s="1" t="s">
        <v>141</v>
      </c>
      <c r="B836" s="1" t="s">
        <v>5388</v>
      </c>
      <c r="C836" s="1" t="s">
        <v>5389</v>
      </c>
      <c r="D836" s="4"/>
      <c r="E836" s="1">
        <v>2017</v>
      </c>
      <c r="F836" s="1" t="s">
        <v>5390</v>
      </c>
      <c r="G836" s="4"/>
      <c r="H836" s="1" t="s">
        <v>5391</v>
      </c>
      <c r="I836" s="1" t="s">
        <v>145</v>
      </c>
      <c r="J836" s="1">
        <v>2017</v>
      </c>
      <c r="K836" s="1">
        <v>9781450348041</v>
      </c>
      <c r="L836" s="4"/>
      <c r="M836" s="4"/>
      <c r="N836" s="3" t="s">
        <v>5392</v>
      </c>
      <c r="O836" s="1" t="s">
        <v>5393</v>
      </c>
      <c r="P836" s="1" t="s">
        <v>5394</v>
      </c>
      <c r="Q836" s="1" t="s">
        <v>1733</v>
      </c>
      <c r="R836" s="4"/>
    </row>
    <row r="837" spans="1:18" x14ac:dyDescent="0.25">
      <c r="A837" s="1" t="s">
        <v>141</v>
      </c>
      <c r="B837" s="1" t="s">
        <v>5395</v>
      </c>
      <c r="C837" s="1" t="s">
        <v>5396</v>
      </c>
      <c r="D837" s="4"/>
      <c r="E837" s="1">
        <v>2017</v>
      </c>
      <c r="F837" s="1" t="s">
        <v>5397</v>
      </c>
      <c r="G837" s="4"/>
      <c r="H837" s="1" t="s">
        <v>5398</v>
      </c>
      <c r="I837" s="1" t="s">
        <v>196</v>
      </c>
      <c r="J837" s="1">
        <v>2017</v>
      </c>
      <c r="K837" s="1">
        <v>9781509040391</v>
      </c>
      <c r="L837" s="4"/>
      <c r="M837" s="1" t="s">
        <v>197</v>
      </c>
      <c r="N837" s="3" t="s">
        <v>5399</v>
      </c>
      <c r="O837" s="1" t="s">
        <v>5400</v>
      </c>
      <c r="P837" s="1" t="s">
        <v>5401</v>
      </c>
      <c r="Q837" s="1" t="s">
        <v>2804</v>
      </c>
      <c r="R837" s="4"/>
    </row>
    <row r="838" spans="1:18" x14ac:dyDescent="0.25">
      <c r="A838" s="1" t="s">
        <v>141</v>
      </c>
      <c r="B838" s="1" t="s">
        <v>5402</v>
      </c>
      <c r="C838" s="1" t="s">
        <v>5403</v>
      </c>
      <c r="D838" s="4"/>
      <c r="E838" s="1">
        <v>2018</v>
      </c>
      <c r="F838" s="4"/>
      <c r="G838" s="4"/>
      <c r="H838" s="4"/>
      <c r="I838" s="1" t="s">
        <v>5404</v>
      </c>
      <c r="J838" s="1">
        <v>2018</v>
      </c>
      <c r="K838" s="4"/>
      <c r="L838" s="4"/>
      <c r="M838" s="4"/>
      <c r="N838" s="3" t="s">
        <v>5405</v>
      </c>
      <c r="O838" s="4"/>
      <c r="P838" s="1" t="s">
        <v>5406</v>
      </c>
      <c r="Q838" s="1" t="s">
        <v>5407</v>
      </c>
      <c r="R838" s="4"/>
    </row>
    <row r="839" spans="1:18" x14ac:dyDescent="0.25">
      <c r="A839" s="1" t="s">
        <v>539</v>
      </c>
      <c r="B839" s="1" t="s">
        <v>5408</v>
      </c>
      <c r="C839" s="1" t="s">
        <v>5409</v>
      </c>
      <c r="D839" s="4"/>
      <c r="E839" s="1">
        <v>2018</v>
      </c>
      <c r="F839" s="4"/>
      <c r="G839" s="4"/>
      <c r="H839" s="4"/>
      <c r="I839" s="1" t="s">
        <v>5410</v>
      </c>
      <c r="J839" s="1">
        <v>2018</v>
      </c>
      <c r="K839" s="1">
        <v>9783319918365</v>
      </c>
      <c r="L839" s="1">
        <v>9783319918358</v>
      </c>
      <c r="M839" s="4"/>
      <c r="N839" s="3" t="s">
        <v>5411</v>
      </c>
      <c r="O839" s="1" t="s">
        <v>5412</v>
      </c>
      <c r="P839" s="1" t="s">
        <v>5413</v>
      </c>
      <c r="Q839" s="1" t="s">
        <v>1930</v>
      </c>
      <c r="R839" s="1" t="s">
        <v>5414</v>
      </c>
    </row>
    <row r="840" spans="1:18" x14ac:dyDescent="0.25">
      <c r="A840" s="1" t="s">
        <v>141</v>
      </c>
      <c r="B840" s="1" t="s">
        <v>5415</v>
      </c>
      <c r="C840" s="1" t="s">
        <v>5416</v>
      </c>
      <c r="D840" s="4"/>
      <c r="E840" s="1">
        <v>2016</v>
      </c>
      <c r="F840" s="4"/>
      <c r="G840" s="4"/>
      <c r="H840" s="1" t="s">
        <v>5417</v>
      </c>
      <c r="I840" s="1" t="s">
        <v>257</v>
      </c>
      <c r="J840" s="1">
        <v>2016</v>
      </c>
      <c r="K840" s="1">
        <v>9781509038824</v>
      </c>
      <c r="L840" s="4"/>
      <c r="M840" s="4"/>
      <c r="N840" s="3" t="s">
        <v>5418</v>
      </c>
      <c r="O840" s="1" t="s">
        <v>5419</v>
      </c>
      <c r="P840" s="1" t="s">
        <v>5420</v>
      </c>
      <c r="Q840" s="1" t="s">
        <v>2286</v>
      </c>
      <c r="R840" s="4"/>
    </row>
    <row r="841" spans="1:18" x14ac:dyDescent="0.25">
      <c r="A841" s="1" t="s">
        <v>141</v>
      </c>
      <c r="B841" s="1" t="s">
        <v>5421</v>
      </c>
      <c r="C841" s="1" t="s">
        <v>5422</v>
      </c>
      <c r="D841" s="4"/>
      <c r="E841" s="1">
        <v>2018</v>
      </c>
      <c r="F841" s="7">
        <v>43435</v>
      </c>
      <c r="G841" s="4"/>
      <c r="H841" s="1" t="s">
        <v>5423</v>
      </c>
      <c r="I841" s="1" t="s">
        <v>196</v>
      </c>
      <c r="J841" s="1">
        <v>2018</v>
      </c>
      <c r="K841" s="1">
        <v>9781728119700</v>
      </c>
      <c r="L841" s="4"/>
      <c r="M841" s="1" t="s">
        <v>3521</v>
      </c>
      <c r="N841" s="3" t="s">
        <v>5424</v>
      </c>
      <c r="O841" s="1" t="s">
        <v>5425</v>
      </c>
      <c r="P841" s="1" t="s">
        <v>5426</v>
      </c>
      <c r="Q841" s="1" t="s">
        <v>1573</v>
      </c>
      <c r="R841" s="4"/>
    </row>
    <row r="842" spans="1:18" x14ac:dyDescent="0.25">
      <c r="A842" s="1" t="s">
        <v>13</v>
      </c>
      <c r="B842" s="1" t="s">
        <v>5427</v>
      </c>
      <c r="C842" s="1" t="s">
        <v>5428</v>
      </c>
      <c r="D842" s="1" t="s">
        <v>354</v>
      </c>
      <c r="E842" s="1">
        <v>2018</v>
      </c>
      <c r="F842" s="1">
        <v>141</v>
      </c>
      <c r="G842" s="4"/>
      <c r="H842" s="1" t="s">
        <v>5429</v>
      </c>
      <c r="I842" s="1" t="s">
        <v>355</v>
      </c>
      <c r="J842" s="1">
        <v>2018</v>
      </c>
      <c r="K842" s="4"/>
      <c r="L842" s="4"/>
      <c r="M842" s="1" t="s">
        <v>65</v>
      </c>
      <c r="N842" s="3" t="s">
        <v>5430</v>
      </c>
      <c r="O842" s="1" t="s">
        <v>5431</v>
      </c>
      <c r="P842" s="1" t="s">
        <v>5432</v>
      </c>
      <c r="Q842" s="1" t="s">
        <v>5433</v>
      </c>
      <c r="R842" s="4"/>
    </row>
    <row r="843" spans="1:18" x14ac:dyDescent="0.25">
      <c r="A843" s="1" t="s">
        <v>141</v>
      </c>
      <c r="B843" s="1" t="s">
        <v>5434</v>
      </c>
      <c r="C843" s="1" t="s">
        <v>5435</v>
      </c>
      <c r="D843" s="4"/>
      <c r="E843" s="1">
        <v>2017</v>
      </c>
      <c r="F843" s="4"/>
      <c r="G843" s="4"/>
      <c r="H843" s="1" t="s">
        <v>850</v>
      </c>
      <c r="I843" s="1" t="s">
        <v>153</v>
      </c>
      <c r="J843" s="1">
        <v>2017</v>
      </c>
      <c r="K843" s="1">
        <v>9781450352024</v>
      </c>
      <c r="L843" s="4"/>
      <c r="M843" s="4"/>
      <c r="N843" s="3" t="s">
        <v>5436</v>
      </c>
      <c r="O843" s="1" t="s">
        <v>5437</v>
      </c>
      <c r="P843" s="1" t="s">
        <v>5438</v>
      </c>
      <c r="Q843" s="1" t="s">
        <v>5439</v>
      </c>
      <c r="R843" s="4"/>
    </row>
    <row r="844" spans="1:18" x14ac:dyDescent="0.25">
      <c r="A844" s="1" t="s">
        <v>141</v>
      </c>
      <c r="B844" s="1" t="s">
        <v>5440</v>
      </c>
      <c r="C844" s="1" t="s">
        <v>5441</v>
      </c>
      <c r="D844" s="4"/>
      <c r="E844" s="1">
        <v>2017</v>
      </c>
      <c r="F844" s="4"/>
      <c r="G844" s="4"/>
      <c r="H844" s="1" t="s">
        <v>5442</v>
      </c>
      <c r="I844" s="1" t="s">
        <v>196</v>
      </c>
      <c r="J844" s="1">
        <v>2017</v>
      </c>
      <c r="K844" s="1">
        <v>9781538605356</v>
      </c>
      <c r="L844" s="4"/>
      <c r="M844" s="4"/>
      <c r="N844" s="3" t="s">
        <v>5443</v>
      </c>
      <c r="O844" s="1" t="s">
        <v>5444</v>
      </c>
      <c r="P844" s="1" t="s">
        <v>5445</v>
      </c>
      <c r="Q844" s="1" t="s">
        <v>2110</v>
      </c>
      <c r="R844" s="4"/>
    </row>
    <row r="845" spans="1:18" x14ac:dyDescent="0.25">
      <c r="A845" s="1" t="s">
        <v>141</v>
      </c>
      <c r="B845" s="1" t="s">
        <v>5446</v>
      </c>
      <c r="C845" s="1" t="s">
        <v>5447</v>
      </c>
      <c r="D845" s="4"/>
      <c r="E845" s="1">
        <v>2016</v>
      </c>
      <c r="F845" s="1">
        <v>1771</v>
      </c>
      <c r="G845" s="4"/>
      <c r="H845" s="1" t="s">
        <v>5448</v>
      </c>
      <c r="I845" s="1" t="s">
        <v>613</v>
      </c>
      <c r="J845" s="1">
        <v>2016</v>
      </c>
      <c r="K845" s="4"/>
      <c r="L845" s="4"/>
      <c r="M845" s="1" t="s">
        <v>614</v>
      </c>
      <c r="N845" s="3" t="s">
        <v>5449</v>
      </c>
      <c r="O845" s="4"/>
      <c r="P845" s="1" t="s">
        <v>5450</v>
      </c>
      <c r="Q845" s="1" t="s">
        <v>2110</v>
      </c>
      <c r="R845" s="4"/>
    </row>
    <row r="846" spans="1:18" x14ac:dyDescent="0.25">
      <c r="A846" s="1" t="s">
        <v>141</v>
      </c>
      <c r="B846" s="1" t="s">
        <v>5451</v>
      </c>
      <c r="C846" s="1" t="s">
        <v>5452</v>
      </c>
      <c r="D846" s="4"/>
      <c r="E846" s="1">
        <v>2017</v>
      </c>
      <c r="F846" s="4"/>
      <c r="G846" s="4"/>
      <c r="H846" s="1" t="s">
        <v>5453</v>
      </c>
      <c r="I846" s="1" t="s">
        <v>153</v>
      </c>
      <c r="J846" s="1">
        <v>2017</v>
      </c>
      <c r="K846" s="1">
        <v>9781450355698</v>
      </c>
      <c r="L846" s="4"/>
      <c r="M846" s="4"/>
      <c r="N846" s="3" t="s">
        <v>5454</v>
      </c>
      <c r="O846" s="1" t="s">
        <v>5455</v>
      </c>
      <c r="P846" s="1" t="s">
        <v>5456</v>
      </c>
      <c r="Q846" s="1" t="s">
        <v>2811</v>
      </c>
      <c r="R846" s="4"/>
    </row>
    <row r="847" spans="1:18" x14ac:dyDescent="0.25">
      <c r="A847" s="1" t="s">
        <v>141</v>
      </c>
      <c r="B847" s="1" t="s">
        <v>5457</v>
      </c>
      <c r="C847" s="1" t="s">
        <v>5458</v>
      </c>
      <c r="D847" s="4"/>
      <c r="E847" s="1">
        <v>2016</v>
      </c>
      <c r="F847" s="1" t="s">
        <v>5459</v>
      </c>
      <c r="G847" s="4"/>
      <c r="H847" s="1" t="s">
        <v>5460</v>
      </c>
      <c r="I847" s="1" t="s">
        <v>196</v>
      </c>
      <c r="J847" s="1">
        <v>2016</v>
      </c>
      <c r="K847" s="1">
        <v>9781450339001</v>
      </c>
      <c r="L847" s="1">
        <v>9781450342056</v>
      </c>
      <c r="M847" s="1" t="s">
        <v>1458</v>
      </c>
      <c r="N847" s="3" t="s">
        <v>5461</v>
      </c>
      <c r="O847" s="1" t="s">
        <v>5462</v>
      </c>
      <c r="P847" s="1" t="s">
        <v>5463</v>
      </c>
      <c r="Q847" s="1" t="s">
        <v>5464</v>
      </c>
      <c r="R847" s="4"/>
    </row>
    <row r="848" spans="1:18" x14ac:dyDescent="0.25">
      <c r="A848" s="1" t="s">
        <v>13</v>
      </c>
      <c r="B848" s="1" t="s">
        <v>5465</v>
      </c>
      <c r="C848" s="1" t="s">
        <v>5466</v>
      </c>
      <c r="D848" s="1" t="s">
        <v>307</v>
      </c>
      <c r="E848" s="1">
        <v>2015</v>
      </c>
      <c r="F848" s="1">
        <v>57</v>
      </c>
      <c r="G848" s="1">
        <v>1</v>
      </c>
      <c r="H848" s="1" t="s">
        <v>5467</v>
      </c>
      <c r="I848" s="1" t="s">
        <v>280</v>
      </c>
      <c r="J848" s="1">
        <v>2015</v>
      </c>
      <c r="K848" s="4"/>
      <c r="L848" s="4"/>
      <c r="M848" s="1" t="s">
        <v>308</v>
      </c>
      <c r="N848" s="3" t="s">
        <v>5468</v>
      </c>
      <c r="O848" s="1" t="s">
        <v>5469</v>
      </c>
      <c r="P848" s="1" t="s">
        <v>5470</v>
      </c>
      <c r="Q848" s="1" t="s">
        <v>747</v>
      </c>
      <c r="R848" s="4"/>
    </row>
    <row r="849" spans="1:18" x14ac:dyDescent="0.25">
      <c r="A849" s="1" t="s">
        <v>141</v>
      </c>
      <c r="B849" s="1" t="s">
        <v>5471</v>
      </c>
      <c r="C849" s="1" t="s">
        <v>5472</v>
      </c>
      <c r="D849" s="4"/>
      <c r="E849" s="1">
        <v>2016</v>
      </c>
      <c r="F849" s="4"/>
      <c r="G849" s="4"/>
      <c r="H849" s="1" t="s">
        <v>5473</v>
      </c>
      <c r="I849" s="1" t="s">
        <v>257</v>
      </c>
      <c r="J849" s="1">
        <v>2016</v>
      </c>
      <c r="K849" s="1">
        <v>9781467390040</v>
      </c>
      <c r="L849" s="4"/>
      <c r="M849" s="4"/>
      <c r="N849" s="3" t="s">
        <v>5474</v>
      </c>
      <c r="O849" s="1" t="s">
        <v>5475</v>
      </c>
      <c r="P849" s="1" t="s">
        <v>5476</v>
      </c>
      <c r="Q849" s="1" t="s">
        <v>2110</v>
      </c>
      <c r="R849" s="4"/>
    </row>
    <row r="850" spans="1:18" x14ac:dyDescent="0.25">
      <c r="A850" s="1" t="s">
        <v>141</v>
      </c>
      <c r="B850" s="1" t="s">
        <v>5477</v>
      </c>
      <c r="C850" s="1" t="s">
        <v>5478</v>
      </c>
      <c r="D850" s="4"/>
      <c r="E850" s="1">
        <v>2018</v>
      </c>
      <c r="F850" s="4"/>
      <c r="G850" s="4"/>
      <c r="H850" s="1" t="s">
        <v>4489</v>
      </c>
      <c r="I850" s="1" t="s">
        <v>196</v>
      </c>
      <c r="J850" s="1">
        <v>2018</v>
      </c>
      <c r="K850" s="1">
        <v>9781450357135</v>
      </c>
      <c r="L850" s="4"/>
      <c r="M850" s="1" t="s">
        <v>1458</v>
      </c>
      <c r="N850" s="3" t="s">
        <v>5479</v>
      </c>
      <c r="O850" s="1" t="s">
        <v>5480</v>
      </c>
      <c r="P850" s="1" t="s">
        <v>5481</v>
      </c>
      <c r="Q850" s="1" t="s">
        <v>4286</v>
      </c>
      <c r="R850" s="4"/>
    </row>
    <row r="851" spans="1:18" x14ac:dyDescent="0.25">
      <c r="A851" s="1" t="s">
        <v>141</v>
      </c>
      <c r="B851" s="1" t="s">
        <v>5482</v>
      </c>
      <c r="C851" s="1" t="s">
        <v>5483</v>
      </c>
      <c r="D851" s="4"/>
      <c r="E851" s="1">
        <v>2015</v>
      </c>
      <c r="F851" s="7">
        <v>42005</v>
      </c>
      <c r="G851" s="4"/>
      <c r="H851" s="1" t="s">
        <v>5484</v>
      </c>
      <c r="I851" s="1" t="s">
        <v>3301</v>
      </c>
      <c r="J851" s="1">
        <v>2015</v>
      </c>
      <c r="K851" s="4"/>
      <c r="L851" s="4"/>
      <c r="M851" s="1" t="s">
        <v>3302</v>
      </c>
      <c r="N851" s="3" t="s">
        <v>5485</v>
      </c>
      <c r="O851" s="4"/>
      <c r="P851" s="1" t="s">
        <v>5486</v>
      </c>
      <c r="Q851" s="1" t="s">
        <v>5487</v>
      </c>
      <c r="R851" s="4"/>
    </row>
    <row r="852" spans="1:18" x14ac:dyDescent="0.25">
      <c r="A852" s="1" t="s">
        <v>13</v>
      </c>
      <c r="B852" s="1" t="s">
        <v>5488</v>
      </c>
      <c r="C852" s="1" t="s">
        <v>5489</v>
      </c>
      <c r="D852" s="1" t="s">
        <v>354</v>
      </c>
      <c r="E852" s="1">
        <v>2017</v>
      </c>
      <c r="F852" s="1">
        <v>125</v>
      </c>
      <c r="G852" s="4"/>
      <c r="H852" s="1" t="s">
        <v>5490</v>
      </c>
      <c r="I852" s="1" t="s">
        <v>355</v>
      </c>
      <c r="J852" s="1">
        <v>2017</v>
      </c>
      <c r="K852" s="4"/>
      <c r="L852" s="4"/>
      <c r="M852" s="1" t="s">
        <v>65</v>
      </c>
      <c r="N852" s="3" t="s">
        <v>5491</v>
      </c>
      <c r="O852" s="1" t="s">
        <v>5492</v>
      </c>
      <c r="P852" s="1" t="s">
        <v>5493</v>
      </c>
      <c r="Q852" s="1" t="s">
        <v>5494</v>
      </c>
      <c r="R852" s="4"/>
    </row>
    <row r="853" spans="1:18" x14ac:dyDescent="0.25">
      <c r="A853" s="1" t="s">
        <v>141</v>
      </c>
      <c r="B853" s="1" t="s">
        <v>5495</v>
      </c>
      <c r="C853" s="1" t="s">
        <v>5496</v>
      </c>
      <c r="D853" s="4"/>
      <c r="E853" s="1">
        <v>2017</v>
      </c>
      <c r="F853" s="4"/>
      <c r="G853" s="4"/>
      <c r="H853" s="1" t="s">
        <v>5497</v>
      </c>
      <c r="I853" s="1" t="s">
        <v>257</v>
      </c>
      <c r="J853" s="1">
        <v>2017</v>
      </c>
      <c r="K853" s="1">
        <v>9781509065974</v>
      </c>
      <c r="L853" s="4"/>
      <c r="M853" s="4"/>
      <c r="N853" s="3" t="s">
        <v>5498</v>
      </c>
      <c r="O853" s="1" t="s">
        <v>5499</v>
      </c>
      <c r="P853" s="1" t="s">
        <v>5500</v>
      </c>
      <c r="Q853" s="1" t="s">
        <v>4581</v>
      </c>
      <c r="R853" s="4"/>
    </row>
    <row r="854" spans="1:18" x14ac:dyDescent="0.25">
      <c r="A854" s="1" t="s">
        <v>141</v>
      </c>
      <c r="B854" s="1" t="s">
        <v>5501</v>
      </c>
      <c r="C854" s="1" t="s">
        <v>5502</v>
      </c>
      <c r="D854" s="4"/>
      <c r="E854" s="1">
        <v>2015</v>
      </c>
      <c r="F854" s="7">
        <v>42217</v>
      </c>
      <c r="G854" s="4"/>
      <c r="H854" s="1" t="s">
        <v>5503</v>
      </c>
      <c r="I854" s="1" t="s">
        <v>145</v>
      </c>
      <c r="J854" s="1">
        <v>2015</v>
      </c>
      <c r="K854" s="1">
        <v>9781450336642</v>
      </c>
      <c r="L854" s="4"/>
      <c r="M854" s="4"/>
      <c r="N854" s="3" t="s">
        <v>5504</v>
      </c>
      <c r="O854" s="1" t="s">
        <v>5505</v>
      </c>
      <c r="P854" s="1" t="s">
        <v>5506</v>
      </c>
      <c r="Q854" s="1" t="s">
        <v>4393</v>
      </c>
      <c r="R854" s="4"/>
    </row>
    <row r="855" spans="1:18" x14ac:dyDescent="0.25">
      <c r="A855" s="1" t="s">
        <v>141</v>
      </c>
      <c r="B855" s="1" t="s">
        <v>2972</v>
      </c>
      <c r="C855" s="1" t="s">
        <v>5507</v>
      </c>
      <c r="D855" s="4"/>
      <c r="E855" s="1">
        <v>2018</v>
      </c>
      <c r="F855" s="4"/>
      <c r="G855" s="4"/>
      <c r="H855" s="1" t="s">
        <v>2496</v>
      </c>
      <c r="I855" s="1" t="s">
        <v>196</v>
      </c>
      <c r="J855" s="1">
        <v>2018</v>
      </c>
      <c r="K855" s="1">
        <v>9781450357135</v>
      </c>
      <c r="L855" s="4"/>
      <c r="M855" s="1" t="s">
        <v>1458</v>
      </c>
      <c r="N855" s="3" t="s">
        <v>5508</v>
      </c>
      <c r="O855" s="1" t="s">
        <v>5509</v>
      </c>
      <c r="P855" s="1" t="s">
        <v>5510</v>
      </c>
      <c r="Q855" s="1" t="s">
        <v>2723</v>
      </c>
      <c r="R855" s="4"/>
    </row>
    <row r="856" spans="1:18" x14ac:dyDescent="0.25">
      <c r="A856" s="1" t="s">
        <v>13</v>
      </c>
      <c r="B856" s="1" t="s">
        <v>14</v>
      </c>
      <c r="C856" s="1" t="s">
        <v>15</v>
      </c>
      <c r="D856" s="1" t="s">
        <v>255</v>
      </c>
      <c r="E856" s="1">
        <v>2017</v>
      </c>
      <c r="F856" s="1">
        <v>43</v>
      </c>
      <c r="G856" s="1">
        <v>11</v>
      </c>
      <c r="H856" s="1" t="s">
        <v>5511</v>
      </c>
      <c r="I856" s="1" t="s">
        <v>257</v>
      </c>
      <c r="J856" s="1">
        <v>2017</v>
      </c>
      <c r="K856" s="4"/>
      <c r="L856" s="4"/>
      <c r="M856" s="1" t="s">
        <v>18</v>
      </c>
      <c r="N856" s="3" t="s">
        <v>5512</v>
      </c>
      <c r="O856" s="1" t="s">
        <v>20</v>
      </c>
      <c r="P856" s="1" t="s">
        <v>5513</v>
      </c>
      <c r="Q856" s="1" t="s">
        <v>5514</v>
      </c>
      <c r="R856" s="4"/>
    </row>
    <row r="857" spans="1:18" x14ac:dyDescent="0.25">
      <c r="A857" s="1" t="s">
        <v>13</v>
      </c>
      <c r="B857" s="1" t="s">
        <v>5515</v>
      </c>
      <c r="C857" s="1" t="s">
        <v>5516</v>
      </c>
      <c r="D857" s="1" t="s">
        <v>5517</v>
      </c>
      <c r="E857" s="1">
        <v>2012</v>
      </c>
      <c r="F857" s="1">
        <v>4</v>
      </c>
      <c r="G857" s="1">
        <v>19</v>
      </c>
      <c r="H857" s="1" t="s">
        <v>5518</v>
      </c>
      <c r="I857" s="1" t="s">
        <v>5519</v>
      </c>
      <c r="J857" s="1">
        <v>2012</v>
      </c>
      <c r="K857" s="4"/>
      <c r="L857" s="4"/>
      <c r="M857" s="1" t="s">
        <v>5520</v>
      </c>
      <c r="N857" s="3" t="s">
        <v>5521</v>
      </c>
      <c r="O857" s="1" t="s">
        <v>5522</v>
      </c>
      <c r="P857" s="1" t="s">
        <v>5523</v>
      </c>
      <c r="Q857" s="1" t="s">
        <v>1930</v>
      </c>
      <c r="R857" s="4"/>
    </row>
    <row r="858" spans="1:18" x14ac:dyDescent="0.25">
      <c r="A858" s="1" t="s">
        <v>13</v>
      </c>
      <c r="B858" s="1" t="s">
        <v>5524</v>
      </c>
      <c r="C858" s="1" t="s">
        <v>5525</v>
      </c>
      <c r="D858" s="1" t="s">
        <v>5526</v>
      </c>
      <c r="E858" s="1">
        <v>2017</v>
      </c>
      <c r="F858" s="1">
        <v>128</v>
      </c>
      <c r="G858" s="4"/>
      <c r="H858" s="1" t="s">
        <v>5527</v>
      </c>
      <c r="I858" s="1" t="s">
        <v>280</v>
      </c>
      <c r="J858" s="1">
        <v>2017</v>
      </c>
      <c r="K858" s="4"/>
      <c r="L858" s="4"/>
      <c r="M858" s="1" t="s">
        <v>5528</v>
      </c>
      <c r="N858" s="3" t="s">
        <v>5529</v>
      </c>
      <c r="O858" s="1" t="s">
        <v>5530</v>
      </c>
      <c r="P858" s="1" t="s">
        <v>5531</v>
      </c>
      <c r="Q858" s="1" t="s">
        <v>5532</v>
      </c>
      <c r="R858" s="4"/>
    </row>
    <row r="859" spans="1:18" x14ac:dyDescent="0.25">
      <c r="A859" s="1" t="s">
        <v>141</v>
      </c>
      <c r="B859" s="1" t="s">
        <v>5533</v>
      </c>
      <c r="C859" s="1" t="s">
        <v>5534</v>
      </c>
      <c r="D859" s="4"/>
      <c r="E859" s="1">
        <v>2017</v>
      </c>
      <c r="F859" s="1" t="s">
        <v>5535</v>
      </c>
      <c r="G859" s="4"/>
      <c r="H859" s="1" t="s">
        <v>5536</v>
      </c>
      <c r="I859" s="1" t="s">
        <v>145</v>
      </c>
      <c r="J859" s="1">
        <v>2017</v>
      </c>
      <c r="K859" s="1">
        <v>9781450341974</v>
      </c>
      <c r="L859" s="4"/>
      <c r="M859" s="1" t="s">
        <v>3308</v>
      </c>
      <c r="N859" s="3" t="s">
        <v>5537</v>
      </c>
      <c r="O859" s="1" t="s">
        <v>5538</v>
      </c>
      <c r="P859" s="1" t="s">
        <v>5539</v>
      </c>
      <c r="Q859" s="1" t="s">
        <v>5540</v>
      </c>
      <c r="R859" s="4"/>
    </row>
    <row r="860" spans="1:18" x14ac:dyDescent="0.25">
      <c r="A860" s="1" t="s">
        <v>13</v>
      </c>
      <c r="B860" s="1" t="s">
        <v>5541</v>
      </c>
      <c r="C860" s="1" t="s">
        <v>5542</v>
      </c>
      <c r="D860" s="1" t="s">
        <v>5543</v>
      </c>
      <c r="E860" s="1">
        <v>2018</v>
      </c>
      <c r="F860" s="1">
        <v>10</v>
      </c>
      <c r="G860" s="1" t="s">
        <v>5544</v>
      </c>
      <c r="H860" s="1" t="s">
        <v>3248</v>
      </c>
      <c r="I860" s="1" t="s">
        <v>5545</v>
      </c>
      <c r="J860" s="1">
        <v>2018</v>
      </c>
      <c r="K860" s="4"/>
      <c r="L860" s="4"/>
      <c r="M860" s="1" t="s">
        <v>5546</v>
      </c>
      <c r="N860" s="3" t="s">
        <v>5547</v>
      </c>
      <c r="O860" s="4"/>
      <c r="P860" s="1" t="s">
        <v>5548</v>
      </c>
      <c r="Q860" s="1" t="s">
        <v>157</v>
      </c>
      <c r="R860" s="4"/>
    </row>
    <row r="861" spans="1:18" x14ac:dyDescent="0.25">
      <c r="A861" s="1" t="s">
        <v>141</v>
      </c>
      <c r="B861" s="1" t="s">
        <v>5549</v>
      </c>
      <c r="C861" s="1" t="s">
        <v>5550</v>
      </c>
      <c r="D861" s="4"/>
      <c r="E861" s="1">
        <v>2018</v>
      </c>
      <c r="F861" s="4"/>
      <c r="G861" s="4"/>
      <c r="H861" s="1" t="s">
        <v>5551</v>
      </c>
      <c r="I861" s="1" t="s">
        <v>5552</v>
      </c>
      <c r="J861" s="1">
        <v>2018</v>
      </c>
      <c r="K861" s="1">
        <v>9781577358008</v>
      </c>
      <c r="L861" s="4"/>
      <c r="M861" s="4"/>
      <c r="N861" s="3" t="s">
        <v>5553</v>
      </c>
      <c r="O861" s="4"/>
      <c r="P861" s="1" t="s">
        <v>5554</v>
      </c>
      <c r="Q861" s="1" t="s">
        <v>5555</v>
      </c>
      <c r="R861" s="4"/>
    </row>
    <row r="862" spans="1:18" x14ac:dyDescent="0.25">
      <c r="A862" s="1" t="s">
        <v>141</v>
      </c>
      <c r="B862" s="1" t="s">
        <v>5556</v>
      </c>
      <c r="C862" s="1" t="s">
        <v>5557</v>
      </c>
      <c r="D862" s="4"/>
      <c r="E862" s="1">
        <v>2017</v>
      </c>
      <c r="F862" s="4"/>
      <c r="G862" s="4"/>
      <c r="H862" s="1" t="s">
        <v>1977</v>
      </c>
      <c r="I862" s="1" t="s">
        <v>257</v>
      </c>
      <c r="J862" s="1">
        <v>2017</v>
      </c>
      <c r="K862" s="1">
        <v>9789531842235</v>
      </c>
      <c r="L862" s="4"/>
      <c r="M862" s="4"/>
      <c r="N862" s="3" t="s">
        <v>5558</v>
      </c>
      <c r="O862" s="1" t="s">
        <v>5559</v>
      </c>
      <c r="P862" s="1" t="s">
        <v>5560</v>
      </c>
      <c r="Q862" s="1" t="s">
        <v>1573</v>
      </c>
      <c r="R862" s="4"/>
    </row>
    <row r="863" spans="1:18" x14ac:dyDescent="0.25">
      <c r="A863" s="1" t="s">
        <v>141</v>
      </c>
      <c r="B863" s="1" t="s">
        <v>5561</v>
      </c>
      <c r="C863" s="1" t="s">
        <v>5562</v>
      </c>
      <c r="D863" s="4"/>
      <c r="E863" s="1">
        <v>2017</v>
      </c>
      <c r="F863" s="1">
        <v>1810</v>
      </c>
      <c r="G863" s="4"/>
      <c r="H863" s="4"/>
      <c r="I863" s="1" t="s">
        <v>613</v>
      </c>
      <c r="J863" s="1">
        <v>2017</v>
      </c>
      <c r="K863" s="4"/>
      <c r="L863" s="4"/>
      <c r="M863" s="1" t="s">
        <v>614</v>
      </c>
      <c r="N863" s="3" t="s">
        <v>5563</v>
      </c>
      <c r="O863" s="4"/>
      <c r="P863" s="1" t="s">
        <v>5564</v>
      </c>
      <c r="Q863" s="1" t="s">
        <v>157</v>
      </c>
      <c r="R863" s="4"/>
    </row>
    <row r="864" spans="1:18" x14ac:dyDescent="0.25">
      <c r="A864" s="1" t="s">
        <v>13</v>
      </c>
      <c r="B864" s="1" t="s">
        <v>5565</v>
      </c>
      <c r="C864" s="1" t="s">
        <v>5566</v>
      </c>
      <c r="D864" s="1" t="s">
        <v>598</v>
      </c>
      <c r="E864" s="1">
        <v>2018</v>
      </c>
      <c r="F864" s="1">
        <v>29</v>
      </c>
      <c r="G864" s="1">
        <v>5</v>
      </c>
      <c r="H864" s="1" t="s">
        <v>5567</v>
      </c>
      <c r="I864" s="1" t="s">
        <v>600</v>
      </c>
      <c r="J864" s="1">
        <v>2018</v>
      </c>
      <c r="K864" s="4"/>
      <c r="L864" s="4"/>
      <c r="M864" s="1" t="s">
        <v>601</v>
      </c>
      <c r="N864" s="3" t="s">
        <v>5568</v>
      </c>
      <c r="O864" s="1" t="s">
        <v>5569</v>
      </c>
      <c r="P864" s="1" t="s">
        <v>5570</v>
      </c>
      <c r="Q864" s="1" t="s">
        <v>2723</v>
      </c>
      <c r="R864" s="4"/>
    </row>
    <row r="865" spans="1:18" x14ac:dyDescent="0.25">
      <c r="A865" s="1" t="s">
        <v>539</v>
      </c>
      <c r="B865" s="1" t="s">
        <v>5571</v>
      </c>
      <c r="C865" s="1" t="s">
        <v>5572</v>
      </c>
      <c r="D865" s="4"/>
      <c r="E865" s="1">
        <v>2014</v>
      </c>
      <c r="F865" s="4"/>
      <c r="G865" s="4"/>
      <c r="H865" s="4"/>
      <c r="I865" s="1" t="s">
        <v>5573</v>
      </c>
      <c r="J865" s="1">
        <v>2014</v>
      </c>
      <c r="K865" s="1">
        <v>9783642453984</v>
      </c>
      <c r="L865" s="1">
        <v>9783642453977</v>
      </c>
      <c r="M865" s="4"/>
      <c r="N865" s="3" t="s">
        <v>5574</v>
      </c>
      <c r="O865" s="1" t="s">
        <v>5575</v>
      </c>
      <c r="P865" s="1" t="s">
        <v>5576</v>
      </c>
      <c r="Q865" s="1" t="s">
        <v>5577</v>
      </c>
      <c r="R865" s="1" t="s">
        <v>5578</v>
      </c>
    </row>
    <row r="866" spans="1:18" x14ac:dyDescent="0.25">
      <c r="A866" s="1" t="s">
        <v>141</v>
      </c>
      <c r="B866" s="1" t="s">
        <v>5579</v>
      </c>
      <c r="C866" s="1" t="s">
        <v>5580</v>
      </c>
      <c r="D866" s="4"/>
      <c r="E866" s="1">
        <v>2017</v>
      </c>
      <c r="F866" s="1">
        <v>2017</v>
      </c>
      <c r="G866" s="4"/>
      <c r="H866" s="1" t="s">
        <v>5581</v>
      </c>
      <c r="I866" s="1" t="s">
        <v>613</v>
      </c>
      <c r="J866" s="1">
        <v>2017</v>
      </c>
      <c r="K866" s="4"/>
      <c r="L866" s="4"/>
      <c r="M866" s="1" t="s">
        <v>614</v>
      </c>
      <c r="N866" s="3" t="s">
        <v>5582</v>
      </c>
      <c r="O866" s="4"/>
      <c r="P866" s="1" t="s">
        <v>5583</v>
      </c>
      <c r="Q866" s="1" t="s">
        <v>2110</v>
      </c>
      <c r="R866" s="4"/>
    </row>
    <row r="867" spans="1:18" x14ac:dyDescent="0.25">
      <c r="A867" s="1" t="s">
        <v>141</v>
      </c>
      <c r="B867" s="1" t="s">
        <v>5584</v>
      </c>
      <c r="C867" s="1" t="s">
        <v>5585</v>
      </c>
      <c r="D867" s="4"/>
      <c r="E867" s="1">
        <v>2018</v>
      </c>
      <c r="F867" s="1">
        <v>2291</v>
      </c>
      <c r="G867" s="4"/>
      <c r="H867" s="1" t="s">
        <v>5586</v>
      </c>
      <c r="I867" s="1" t="s">
        <v>613</v>
      </c>
      <c r="J867" s="1">
        <v>2018</v>
      </c>
      <c r="K867" s="4"/>
      <c r="L867" s="4"/>
      <c r="M867" s="1" t="s">
        <v>614</v>
      </c>
      <c r="N867" s="3" t="s">
        <v>5587</v>
      </c>
      <c r="O867" s="4"/>
      <c r="P867" s="1" t="s">
        <v>5588</v>
      </c>
      <c r="Q867" s="1" t="s">
        <v>157</v>
      </c>
      <c r="R867" s="4"/>
    </row>
    <row r="868" spans="1:18" x14ac:dyDescent="0.25">
      <c r="A868" s="1" t="s">
        <v>141</v>
      </c>
      <c r="B868" s="1" t="s">
        <v>5589</v>
      </c>
      <c r="C868" s="1" t="s">
        <v>5590</v>
      </c>
      <c r="D868" s="4"/>
      <c r="E868" s="1">
        <v>2018</v>
      </c>
      <c r="F868" s="4"/>
      <c r="G868" s="4"/>
      <c r="H868" s="1" t="s">
        <v>5591</v>
      </c>
      <c r="I868" s="1" t="s">
        <v>257</v>
      </c>
      <c r="J868" s="1">
        <v>2018</v>
      </c>
      <c r="K868" s="1">
        <v>9781538673829</v>
      </c>
      <c r="L868" s="4"/>
      <c r="M868" s="4"/>
      <c r="N868" s="3" t="s">
        <v>5592</v>
      </c>
      <c r="O868" s="1" t="s">
        <v>5593</v>
      </c>
      <c r="P868" s="1" t="s">
        <v>5594</v>
      </c>
      <c r="Q868" s="1" t="s">
        <v>5595</v>
      </c>
      <c r="R868" s="4"/>
    </row>
    <row r="869" spans="1:18" x14ac:dyDescent="0.25">
      <c r="A869" s="1" t="s">
        <v>141</v>
      </c>
      <c r="B869" s="1" t="s">
        <v>5596</v>
      </c>
      <c r="C869" s="1" t="s">
        <v>5597</v>
      </c>
      <c r="D869" s="4"/>
      <c r="E869" s="1">
        <v>2018</v>
      </c>
      <c r="F869" s="4"/>
      <c r="G869" s="4"/>
      <c r="H869" s="1" t="s">
        <v>5598</v>
      </c>
      <c r="I869" s="1" t="s">
        <v>145</v>
      </c>
      <c r="J869" s="1">
        <v>2018</v>
      </c>
      <c r="K869" s="1">
        <v>9781450356930</v>
      </c>
      <c r="L869" s="4"/>
      <c r="M869" s="1" t="s">
        <v>5599</v>
      </c>
      <c r="N869" s="3" t="s">
        <v>5600</v>
      </c>
      <c r="O869" s="1" t="s">
        <v>5601</v>
      </c>
      <c r="P869" s="1" t="s">
        <v>5602</v>
      </c>
      <c r="Q869" s="1" t="s">
        <v>5603</v>
      </c>
      <c r="R869" s="4"/>
    </row>
    <row r="870" spans="1:18" x14ac:dyDescent="0.25">
      <c r="A870" s="1" t="s">
        <v>141</v>
      </c>
      <c r="B870" s="1" t="s">
        <v>5604</v>
      </c>
      <c r="C870" s="1" t="s">
        <v>5605</v>
      </c>
      <c r="D870" s="4"/>
      <c r="E870" s="1">
        <v>2015</v>
      </c>
      <c r="F870" s="7">
        <v>42248</v>
      </c>
      <c r="G870" s="4"/>
      <c r="H870" s="4"/>
      <c r="I870" s="1" t="s">
        <v>257</v>
      </c>
      <c r="J870" s="1">
        <v>2015</v>
      </c>
      <c r="K870" s="1">
        <v>9781479919604</v>
      </c>
      <c r="L870" s="4"/>
      <c r="M870" s="4"/>
      <c r="N870" s="3" t="s">
        <v>5606</v>
      </c>
      <c r="O870" s="1" t="s">
        <v>5607</v>
      </c>
      <c r="P870" s="1" t="s">
        <v>5608</v>
      </c>
      <c r="Q870" s="1" t="s">
        <v>520</v>
      </c>
      <c r="R870" s="4"/>
    </row>
    <row r="871" spans="1:18" x14ac:dyDescent="0.25">
      <c r="A871" s="1" t="s">
        <v>141</v>
      </c>
      <c r="B871" s="1" t="s">
        <v>5609</v>
      </c>
      <c r="C871" s="1" t="s">
        <v>5610</v>
      </c>
      <c r="D871" s="4"/>
      <c r="E871" s="1">
        <v>2018</v>
      </c>
      <c r="F871" s="4"/>
      <c r="G871" s="4"/>
      <c r="H871" s="1" t="s">
        <v>3417</v>
      </c>
      <c r="I871" s="1" t="s">
        <v>257</v>
      </c>
      <c r="J871" s="1">
        <v>2018</v>
      </c>
      <c r="K871" s="1">
        <v>9781538682906</v>
      </c>
      <c r="L871" s="4"/>
      <c r="M871" s="4"/>
      <c r="N871" s="3" t="s">
        <v>5611</v>
      </c>
      <c r="O871" s="1" t="s">
        <v>5612</v>
      </c>
      <c r="P871" s="1" t="s">
        <v>5613</v>
      </c>
      <c r="Q871" s="1" t="s">
        <v>2286</v>
      </c>
      <c r="R871" s="4"/>
    </row>
    <row r="872" spans="1:18" x14ac:dyDescent="0.25">
      <c r="A872" s="1" t="s">
        <v>13</v>
      </c>
      <c r="B872" s="1" t="s">
        <v>3236</v>
      </c>
      <c r="C872" s="1" t="s">
        <v>5614</v>
      </c>
      <c r="D872" s="1" t="s">
        <v>878</v>
      </c>
      <c r="E872" s="1">
        <v>2018</v>
      </c>
      <c r="F872" s="1">
        <v>30</v>
      </c>
      <c r="G872" s="1">
        <v>6</v>
      </c>
      <c r="H872" s="4"/>
      <c r="I872" s="1" t="s">
        <v>266</v>
      </c>
      <c r="J872" s="1">
        <v>2018</v>
      </c>
      <c r="K872" s="4"/>
      <c r="L872" s="4"/>
      <c r="M872" s="1" t="s">
        <v>879</v>
      </c>
      <c r="N872" s="3" t="s">
        <v>5615</v>
      </c>
      <c r="O872" s="1" t="s">
        <v>5616</v>
      </c>
      <c r="P872" s="1" t="s">
        <v>5617</v>
      </c>
      <c r="Q872" s="1" t="s">
        <v>5618</v>
      </c>
      <c r="R872" s="4"/>
    </row>
    <row r="873" spans="1:18" x14ac:dyDescent="0.25">
      <c r="A873" s="1" t="s">
        <v>13</v>
      </c>
      <c r="B873" s="1" t="s">
        <v>5619</v>
      </c>
      <c r="C873" s="1" t="s">
        <v>5620</v>
      </c>
      <c r="D873" s="1" t="s">
        <v>264</v>
      </c>
      <c r="E873" s="1">
        <v>2018</v>
      </c>
      <c r="F873" s="1">
        <v>48</v>
      </c>
      <c r="G873" s="1">
        <v>5</v>
      </c>
      <c r="H873" s="1" t="s">
        <v>5621</v>
      </c>
      <c r="I873" s="1" t="s">
        <v>266</v>
      </c>
      <c r="J873" s="1">
        <v>2018</v>
      </c>
      <c r="K873" s="4"/>
      <c r="L873" s="4"/>
      <c r="M873" s="1" t="s">
        <v>267</v>
      </c>
      <c r="N873" s="3" t="s">
        <v>5622</v>
      </c>
      <c r="O873" s="1" t="s">
        <v>5623</v>
      </c>
      <c r="P873" s="1" t="s">
        <v>5624</v>
      </c>
      <c r="Q873" s="1" t="s">
        <v>1813</v>
      </c>
      <c r="R873" s="4"/>
    </row>
    <row r="874" spans="1:18" x14ac:dyDescent="0.25">
      <c r="A874" s="1" t="s">
        <v>141</v>
      </c>
      <c r="B874" s="1" t="s">
        <v>5625</v>
      </c>
      <c r="C874" s="1" t="s">
        <v>5626</v>
      </c>
      <c r="D874" s="4"/>
      <c r="E874" s="1">
        <v>2018</v>
      </c>
      <c r="F874" s="7">
        <v>43160</v>
      </c>
      <c r="G874" s="4"/>
      <c r="H874" s="1" t="s">
        <v>5627</v>
      </c>
      <c r="I874" s="1" t="s">
        <v>153</v>
      </c>
      <c r="J874" s="1">
        <v>2018</v>
      </c>
      <c r="K874" s="1">
        <v>9781450350952</v>
      </c>
      <c r="L874" s="4"/>
      <c r="M874" s="4"/>
      <c r="N874" s="3" t="s">
        <v>5628</v>
      </c>
      <c r="O874" s="1" t="s">
        <v>5629</v>
      </c>
      <c r="P874" s="1" t="s">
        <v>5630</v>
      </c>
      <c r="Q874" s="1" t="s">
        <v>3067</v>
      </c>
      <c r="R874" s="4"/>
    </row>
    <row r="875" spans="1:18" x14ac:dyDescent="0.25">
      <c r="A875" s="1" t="s">
        <v>141</v>
      </c>
      <c r="B875" s="1" t="s">
        <v>4817</v>
      </c>
      <c r="C875" s="1" t="s">
        <v>5631</v>
      </c>
      <c r="D875" s="4"/>
      <c r="E875" s="1">
        <v>2016</v>
      </c>
      <c r="F875" s="4"/>
      <c r="G875" s="4"/>
      <c r="H875" s="1" t="s">
        <v>5632</v>
      </c>
      <c r="I875" s="1" t="s">
        <v>257</v>
      </c>
      <c r="J875" s="1">
        <v>2016</v>
      </c>
      <c r="K875" s="1">
        <v>9781509038060</v>
      </c>
      <c r="L875" s="4"/>
      <c r="M875" s="4"/>
      <c r="N875" s="3" t="s">
        <v>5633</v>
      </c>
      <c r="O875" s="1" t="s">
        <v>5634</v>
      </c>
      <c r="P875" s="1" t="s">
        <v>5635</v>
      </c>
      <c r="Q875" s="1" t="s">
        <v>5636</v>
      </c>
      <c r="R875" s="4"/>
    </row>
    <row r="876" spans="1:18" x14ac:dyDescent="0.25">
      <c r="A876" s="1" t="s">
        <v>141</v>
      </c>
      <c r="B876" s="1" t="s">
        <v>5637</v>
      </c>
      <c r="C876" s="1" t="s">
        <v>5638</v>
      </c>
      <c r="D876" s="4"/>
      <c r="E876" s="1">
        <v>2017</v>
      </c>
      <c r="F876" s="4"/>
      <c r="G876" s="4"/>
      <c r="H876" s="1" t="s">
        <v>5639</v>
      </c>
      <c r="I876" s="1" t="s">
        <v>196</v>
      </c>
      <c r="J876" s="1">
        <v>2017</v>
      </c>
      <c r="K876" s="1">
        <v>9781538605356</v>
      </c>
      <c r="L876" s="4"/>
      <c r="M876" s="4"/>
      <c r="N876" s="3" t="s">
        <v>5640</v>
      </c>
      <c r="O876" s="1" t="s">
        <v>5641</v>
      </c>
      <c r="P876" s="1" t="s">
        <v>5642</v>
      </c>
      <c r="Q876" s="1" t="s">
        <v>5643</v>
      </c>
      <c r="R876" s="4"/>
    </row>
    <row r="877" spans="1:18" x14ac:dyDescent="0.25">
      <c r="A877" s="1" t="s">
        <v>13</v>
      </c>
      <c r="B877" s="1" t="s">
        <v>5644</v>
      </c>
      <c r="C877" s="1" t="s">
        <v>5645</v>
      </c>
      <c r="D877" s="1" t="s">
        <v>188</v>
      </c>
      <c r="E877" s="1">
        <v>2018</v>
      </c>
      <c r="F877" s="1">
        <v>28</v>
      </c>
      <c r="G877" s="1">
        <v>3</v>
      </c>
      <c r="H877" s="1" t="s">
        <v>5646</v>
      </c>
      <c r="I877" s="1" t="s">
        <v>5647</v>
      </c>
      <c r="J877" s="1">
        <v>2018</v>
      </c>
      <c r="K877" s="4"/>
      <c r="L877" s="4"/>
      <c r="M877" s="1" t="s">
        <v>73</v>
      </c>
      <c r="N877" s="3" t="s">
        <v>5648</v>
      </c>
      <c r="O877" s="1" t="s">
        <v>5649</v>
      </c>
      <c r="P877" s="1" t="s">
        <v>5650</v>
      </c>
      <c r="Q877" s="1" t="s">
        <v>318</v>
      </c>
      <c r="R877" s="4"/>
    </row>
    <row r="878" spans="1:18" x14ac:dyDescent="0.25">
      <c r="A878" s="1" t="s">
        <v>141</v>
      </c>
      <c r="B878" s="1" t="s">
        <v>5651</v>
      </c>
      <c r="C878" s="1" t="s">
        <v>5652</v>
      </c>
      <c r="D878" s="4"/>
      <c r="E878" s="1">
        <v>2017</v>
      </c>
      <c r="F878" s="4"/>
      <c r="G878" s="4"/>
      <c r="H878" s="1" t="s">
        <v>1659</v>
      </c>
      <c r="I878" s="1" t="s">
        <v>145</v>
      </c>
      <c r="J878" s="1">
        <v>2017</v>
      </c>
      <c r="K878" s="1">
        <v>9781450353267</v>
      </c>
      <c r="L878" s="4"/>
      <c r="M878" s="4"/>
      <c r="N878" s="3" t="s">
        <v>5653</v>
      </c>
      <c r="O878" s="1" t="s">
        <v>5654</v>
      </c>
      <c r="P878" s="1" t="s">
        <v>5655</v>
      </c>
      <c r="Q878" s="1" t="s">
        <v>2243</v>
      </c>
      <c r="R878" s="4"/>
    </row>
    <row r="879" spans="1:18" x14ac:dyDescent="0.25">
      <c r="A879" s="1" t="s">
        <v>141</v>
      </c>
      <c r="B879" s="1" t="s">
        <v>5656</v>
      </c>
      <c r="C879" s="1" t="s">
        <v>5657</v>
      </c>
      <c r="D879" s="4"/>
      <c r="E879" s="1">
        <v>2018</v>
      </c>
      <c r="F879" s="4"/>
      <c r="G879" s="4"/>
      <c r="H879" s="1" t="s">
        <v>5658</v>
      </c>
      <c r="I879" s="1" t="s">
        <v>257</v>
      </c>
      <c r="J879" s="1">
        <v>2018</v>
      </c>
      <c r="K879" s="1">
        <v>9781538670880</v>
      </c>
      <c r="L879" s="4"/>
      <c r="M879" s="4"/>
      <c r="N879" s="3" t="s">
        <v>5659</v>
      </c>
      <c r="O879" s="1" t="s">
        <v>5660</v>
      </c>
      <c r="P879" s="1" t="s">
        <v>5661</v>
      </c>
      <c r="Q879" s="1" t="s">
        <v>818</v>
      </c>
      <c r="R879" s="4"/>
    </row>
    <row r="880" spans="1:18" x14ac:dyDescent="0.25">
      <c r="A880" s="1" t="s">
        <v>141</v>
      </c>
      <c r="B880" s="1" t="s">
        <v>5662</v>
      </c>
      <c r="C880" s="1" t="s">
        <v>5663</v>
      </c>
      <c r="D880" s="4"/>
      <c r="E880" s="1">
        <v>2018</v>
      </c>
      <c r="F880" s="4"/>
      <c r="G880" s="4"/>
      <c r="H880" s="1" t="s">
        <v>4893</v>
      </c>
      <c r="I880" s="1" t="s">
        <v>257</v>
      </c>
      <c r="J880" s="1">
        <v>2018</v>
      </c>
      <c r="K880" s="1">
        <v>9781538663523</v>
      </c>
      <c r="L880" s="4"/>
      <c r="M880" s="4"/>
      <c r="N880" s="3" t="s">
        <v>5664</v>
      </c>
      <c r="O880" s="1" t="s">
        <v>5665</v>
      </c>
      <c r="P880" s="1" t="s">
        <v>5666</v>
      </c>
      <c r="Q880" s="1" t="s">
        <v>2723</v>
      </c>
      <c r="R880" s="4"/>
    </row>
    <row r="881" spans="1:18" x14ac:dyDescent="0.25">
      <c r="A881" s="1" t="s">
        <v>141</v>
      </c>
      <c r="B881" s="1" t="s">
        <v>5667</v>
      </c>
      <c r="C881" s="1" t="s">
        <v>5668</v>
      </c>
      <c r="D881" s="4"/>
      <c r="E881" s="1">
        <v>2018</v>
      </c>
      <c r="F881" s="4"/>
      <c r="G881" s="4"/>
      <c r="H881" s="1" t="s">
        <v>5669</v>
      </c>
      <c r="I881" s="1" t="s">
        <v>257</v>
      </c>
      <c r="J881" s="1">
        <v>2018</v>
      </c>
      <c r="K881" s="1">
        <v>9781538672327</v>
      </c>
      <c r="L881" s="4"/>
      <c r="M881" s="4"/>
      <c r="N881" s="3" t="s">
        <v>5670</v>
      </c>
      <c r="O881" s="1" t="s">
        <v>5671</v>
      </c>
      <c r="P881" s="1" t="s">
        <v>5672</v>
      </c>
      <c r="Q881" s="1" t="s">
        <v>1404</v>
      </c>
      <c r="R881" s="4"/>
    </row>
    <row r="882" spans="1:18" x14ac:dyDescent="0.25">
      <c r="A882" s="1" t="s">
        <v>13</v>
      </c>
      <c r="B882" s="1" t="s">
        <v>5673</v>
      </c>
      <c r="C882" s="1" t="s">
        <v>5674</v>
      </c>
      <c r="D882" s="1" t="s">
        <v>188</v>
      </c>
      <c r="E882" s="1">
        <v>2015</v>
      </c>
      <c r="F882" s="1">
        <v>25</v>
      </c>
      <c r="G882" s="9">
        <v>45179</v>
      </c>
      <c r="H882" s="1" t="s">
        <v>5675</v>
      </c>
      <c r="I882" s="1" t="s">
        <v>5647</v>
      </c>
      <c r="J882" s="1">
        <v>2015</v>
      </c>
      <c r="K882" s="4"/>
      <c r="L882" s="4"/>
      <c r="M882" s="1" t="s">
        <v>73</v>
      </c>
      <c r="N882" s="3" t="s">
        <v>5676</v>
      </c>
      <c r="O882" s="1" t="s">
        <v>5677</v>
      </c>
      <c r="P882" s="1" t="s">
        <v>5678</v>
      </c>
      <c r="Q882" s="1" t="s">
        <v>1598</v>
      </c>
      <c r="R882" s="4"/>
    </row>
    <row r="883" spans="1:18" x14ac:dyDescent="0.25">
      <c r="A883" s="1" t="s">
        <v>13</v>
      </c>
      <c r="B883" s="1" t="s">
        <v>5679</v>
      </c>
      <c r="C883" s="1" t="s">
        <v>5680</v>
      </c>
      <c r="D883" s="1" t="s">
        <v>354</v>
      </c>
      <c r="E883" s="1">
        <v>2018</v>
      </c>
      <c r="F883" s="1">
        <v>144</v>
      </c>
      <c r="G883" s="4"/>
      <c r="H883" s="1" t="s">
        <v>5681</v>
      </c>
      <c r="I883" s="1" t="s">
        <v>355</v>
      </c>
      <c r="J883" s="1">
        <v>2018</v>
      </c>
      <c r="K883" s="4"/>
      <c r="L883" s="4"/>
      <c r="M883" s="1" t="s">
        <v>65</v>
      </c>
      <c r="N883" s="3" t="s">
        <v>5682</v>
      </c>
      <c r="O883" s="1" t="s">
        <v>5683</v>
      </c>
      <c r="P883" s="1" t="s">
        <v>5684</v>
      </c>
      <c r="Q883" s="1" t="s">
        <v>4634</v>
      </c>
      <c r="R883" s="4"/>
    </row>
    <row r="884" spans="1:18" x14ac:dyDescent="0.25">
      <c r="A884" s="1" t="s">
        <v>141</v>
      </c>
      <c r="B884" s="1" t="s">
        <v>5685</v>
      </c>
      <c r="C884" s="1" t="s">
        <v>5686</v>
      </c>
      <c r="D884" s="4"/>
      <c r="E884" s="1">
        <v>2018</v>
      </c>
      <c r="F884" s="7">
        <v>43221</v>
      </c>
      <c r="G884" s="4"/>
      <c r="H884" s="4"/>
      <c r="I884" s="1" t="s">
        <v>196</v>
      </c>
      <c r="J884" s="1">
        <v>2018</v>
      </c>
      <c r="K884" s="1">
        <v>9781450356633</v>
      </c>
      <c r="L884" s="4"/>
      <c r="M884" s="1" t="s">
        <v>1458</v>
      </c>
      <c r="N884" s="3" t="s">
        <v>5687</v>
      </c>
      <c r="O884" s="1" t="s">
        <v>5688</v>
      </c>
      <c r="P884" s="1" t="s">
        <v>5689</v>
      </c>
      <c r="Q884" s="1" t="s">
        <v>5690</v>
      </c>
      <c r="R884" s="4"/>
    </row>
    <row r="885" spans="1:18" x14ac:dyDescent="0.25">
      <c r="A885" s="1" t="s">
        <v>141</v>
      </c>
      <c r="B885" s="1" t="s">
        <v>5691</v>
      </c>
      <c r="C885" s="1" t="s">
        <v>5692</v>
      </c>
      <c r="D885" s="4"/>
      <c r="E885" s="1">
        <v>2016</v>
      </c>
      <c r="F885" s="4"/>
      <c r="G885" s="4"/>
      <c r="H885" s="1" t="s">
        <v>5693</v>
      </c>
      <c r="I885" s="1" t="s">
        <v>257</v>
      </c>
      <c r="J885" s="1">
        <v>2016</v>
      </c>
      <c r="K885" s="1">
        <v>9781509021314</v>
      </c>
      <c r="L885" s="4"/>
      <c r="M885" s="4"/>
      <c r="N885" s="3" t="s">
        <v>5694</v>
      </c>
      <c r="O885" s="1" t="s">
        <v>5695</v>
      </c>
      <c r="P885" s="1" t="s">
        <v>5696</v>
      </c>
      <c r="Q885" s="1" t="s">
        <v>4581</v>
      </c>
      <c r="R885" s="4"/>
    </row>
    <row r="886" spans="1:18" x14ac:dyDescent="0.25">
      <c r="A886" s="1" t="s">
        <v>141</v>
      </c>
      <c r="B886" s="1" t="s">
        <v>5697</v>
      </c>
      <c r="C886" s="1" t="s">
        <v>5698</v>
      </c>
      <c r="D886" s="4"/>
      <c r="E886" s="1">
        <v>2015</v>
      </c>
      <c r="F886" s="4"/>
      <c r="G886" s="4"/>
      <c r="H886" s="1" t="s">
        <v>1911</v>
      </c>
      <c r="I886" s="1" t="s">
        <v>257</v>
      </c>
      <c r="J886" s="1">
        <v>2015</v>
      </c>
      <c r="K886" s="1">
        <v>9781467373784</v>
      </c>
      <c r="L886" s="4"/>
      <c r="M886" s="4"/>
      <c r="N886" s="3" t="s">
        <v>5699</v>
      </c>
      <c r="O886" s="1" t="s">
        <v>5700</v>
      </c>
      <c r="P886" s="1" t="s">
        <v>5701</v>
      </c>
      <c r="Q886" s="1" t="s">
        <v>4634</v>
      </c>
      <c r="R886" s="4"/>
    </row>
    <row r="887" spans="1:18" x14ac:dyDescent="0.25">
      <c r="A887" s="1" t="s">
        <v>141</v>
      </c>
      <c r="B887" s="1" t="s">
        <v>5702</v>
      </c>
      <c r="C887" s="1" t="s">
        <v>5703</v>
      </c>
      <c r="D887" s="4"/>
      <c r="E887" s="1">
        <v>2018</v>
      </c>
      <c r="F887" s="4"/>
      <c r="G887" s="4"/>
      <c r="H887" s="1" t="s">
        <v>5704</v>
      </c>
      <c r="I887" s="1" t="s">
        <v>257</v>
      </c>
      <c r="J887" s="1">
        <v>2018</v>
      </c>
      <c r="K887" s="1">
        <v>9781538670972</v>
      </c>
      <c r="L887" s="4"/>
      <c r="M887" s="4"/>
      <c r="N887" s="3" t="s">
        <v>5705</v>
      </c>
      <c r="O887" s="1" t="s">
        <v>5706</v>
      </c>
      <c r="P887" s="1" t="s">
        <v>5707</v>
      </c>
      <c r="Q887" s="1" t="s">
        <v>5708</v>
      </c>
      <c r="R887" s="4"/>
    </row>
    <row r="888" spans="1:18" x14ac:dyDescent="0.25">
      <c r="A888" s="1" t="s">
        <v>141</v>
      </c>
      <c r="B888" s="1" t="s">
        <v>5709</v>
      </c>
      <c r="C888" s="1" t="s">
        <v>5710</v>
      </c>
      <c r="D888" s="4"/>
      <c r="E888" s="1">
        <v>2013</v>
      </c>
      <c r="F888" s="4"/>
      <c r="G888" s="4"/>
      <c r="H888" s="1" t="s">
        <v>5711</v>
      </c>
      <c r="I888" s="4"/>
      <c r="J888" s="1">
        <v>2013</v>
      </c>
      <c r="K888" s="4"/>
      <c r="L888" s="4"/>
      <c r="M888" s="4"/>
      <c r="N888" s="3" t="s">
        <v>5712</v>
      </c>
      <c r="O888" s="1" t="s">
        <v>5713</v>
      </c>
      <c r="P888" s="1" t="s">
        <v>5714</v>
      </c>
      <c r="Q888" s="1" t="s">
        <v>5715</v>
      </c>
      <c r="R888" s="4"/>
    </row>
    <row r="889" spans="1:18" x14ac:dyDescent="0.25">
      <c r="A889" s="1" t="s">
        <v>141</v>
      </c>
      <c r="B889" s="1" t="s">
        <v>5716</v>
      </c>
      <c r="C889" s="1" t="s">
        <v>5717</v>
      </c>
      <c r="D889" s="4"/>
      <c r="E889" s="1">
        <v>2014</v>
      </c>
      <c r="F889" s="4"/>
      <c r="G889" s="4"/>
      <c r="H889" s="1" t="s">
        <v>5718</v>
      </c>
      <c r="I889" s="1" t="s">
        <v>145</v>
      </c>
      <c r="J889" s="1">
        <v>2014</v>
      </c>
      <c r="K889" s="1">
        <v>9781450327688</v>
      </c>
      <c r="L889" s="4"/>
      <c r="M889" s="4"/>
      <c r="N889" s="3" t="s">
        <v>5719</v>
      </c>
      <c r="O889" s="1" t="s">
        <v>5720</v>
      </c>
      <c r="P889" s="1" t="s">
        <v>5721</v>
      </c>
      <c r="Q889" s="1" t="s">
        <v>318</v>
      </c>
      <c r="R889" s="4"/>
    </row>
    <row r="890" spans="1:18" x14ac:dyDescent="0.25">
      <c r="A890" s="1" t="s">
        <v>141</v>
      </c>
      <c r="B890" s="1" t="s">
        <v>5722</v>
      </c>
      <c r="C890" s="1" t="s">
        <v>5723</v>
      </c>
      <c r="D890" s="4"/>
      <c r="E890" s="1">
        <v>2018</v>
      </c>
      <c r="F890" s="1">
        <v>2319</v>
      </c>
      <c r="G890" s="4"/>
      <c r="H890" s="4"/>
      <c r="I890" s="1" t="s">
        <v>613</v>
      </c>
      <c r="J890" s="1">
        <v>2018</v>
      </c>
      <c r="K890" s="4"/>
      <c r="L890" s="4"/>
      <c r="M890" s="1" t="s">
        <v>614</v>
      </c>
      <c r="N890" s="3" t="s">
        <v>5724</v>
      </c>
      <c r="O890" s="4"/>
      <c r="P890" s="1" t="s">
        <v>5725</v>
      </c>
      <c r="Q890" s="1" t="s">
        <v>318</v>
      </c>
      <c r="R890" s="4"/>
    </row>
    <row r="891" spans="1:18" x14ac:dyDescent="0.25">
      <c r="A891" s="1" t="s">
        <v>13</v>
      </c>
      <c r="B891" s="1" t="s">
        <v>5726</v>
      </c>
      <c r="C891" s="1" t="s">
        <v>5727</v>
      </c>
      <c r="D891" s="1" t="s">
        <v>878</v>
      </c>
      <c r="E891" s="1">
        <v>2018</v>
      </c>
      <c r="F891" s="1">
        <v>30</v>
      </c>
      <c r="G891" s="1">
        <v>12</v>
      </c>
      <c r="H891" s="4"/>
      <c r="I891" s="1" t="s">
        <v>266</v>
      </c>
      <c r="J891" s="1">
        <v>2018</v>
      </c>
      <c r="K891" s="4"/>
      <c r="L891" s="4"/>
      <c r="M891" s="1" t="s">
        <v>879</v>
      </c>
      <c r="N891" s="3" t="s">
        <v>5728</v>
      </c>
      <c r="O891" s="1" t="s">
        <v>5729</v>
      </c>
      <c r="P891" s="1" t="s">
        <v>5730</v>
      </c>
      <c r="Q891" s="1" t="s">
        <v>157</v>
      </c>
      <c r="R891" s="4"/>
    </row>
    <row r="892" spans="1:18" x14ac:dyDescent="0.25">
      <c r="A892" s="1" t="s">
        <v>141</v>
      </c>
      <c r="B892" s="1" t="s">
        <v>5731</v>
      </c>
      <c r="C892" s="1" t="s">
        <v>5732</v>
      </c>
      <c r="D892" s="4"/>
      <c r="E892" s="1">
        <v>2018</v>
      </c>
      <c r="F892" s="4"/>
      <c r="G892" s="4"/>
      <c r="H892" s="1" t="s">
        <v>5733</v>
      </c>
      <c r="I892" s="1" t="s">
        <v>196</v>
      </c>
      <c r="J892" s="1">
        <v>2018</v>
      </c>
      <c r="K892" s="1">
        <v>9781450357166</v>
      </c>
      <c r="L892" s="4"/>
      <c r="M892" s="1" t="s">
        <v>1458</v>
      </c>
      <c r="N892" s="3" t="s">
        <v>5734</v>
      </c>
      <c r="O892" s="1" t="s">
        <v>5735</v>
      </c>
      <c r="P892" s="1" t="s">
        <v>5736</v>
      </c>
      <c r="Q892" s="1" t="s">
        <v>1598</v>
      </c>
      <c r="R892" s="4"/>
    </row>
    <row r="893" spans="1:18" x14ac:dyDescent="0.25">
      <c r="A893" s="1" t="s">
        <v>141</v>
      </c>
      <c r="B893" s="1" t="s">
        <v>5737</v>
      </c>
      <c r="C893" s="1" t="s">
        <v>5738</v>
      </c>
      <c r="D893" s="4"/>
      <c r="E893" s="1">
        <v>2018</v>
      </c>
      <c r="F893" s="4"/>
      <c r="G893" s="4"/>
      <c r="H893" s="1" t="s">
        <v>5739</v>
      </c>
      <c r="I893" s="1" t="s">
        <v>196</v>
      </c>
      <c r="J893" s="1">
        <v>2018</v>
      </c>
      <c r="K893" s="1">
        <v>9781450357166</v>
      </c>
      <c r="L893" s="4"/>
      <c r="M893" s="1" t="s">
        <v>1458</v>
      </c>
      <c r="N893" s="3" t="s">
        <v>5740</v>
      </c>
      <c r="O893" s="1" t="s">
        <v>5741</v>
      </c>
      <c r="P893" s="1" t="s">
        <v>5742</v>
      </c>
      <c r="Q893" s="1" t="s">
        <v>5743</v>
      </c>
      <c r="R893" s="4"/>
    </row>
    <row r="894" spans="1:18" x14ac:dyDescent="0.25">
      <c r="A894" s="1" t="s">
        <v>539</v>
      </c>
      <c r="B894" s="1" t="s">
        <v>5744</v>
      </c>
      <c r="C894" s="1" t="s">
        <v>5745</v>
      </c>
      <c r="D894" s="4"/>
      <c r="E894" s="1">
        <v>2017</v>
      </c>
      <c r="F894" s="4"/>
      <c r="G894" s="4"/>
      <c r="H894" s="4"/>
      <c r="I894" s="1" t="s">
        <v>355</v>
      </c>
      <c r="J894" s="1">
        <v>2017</v>
      </c>
      <c r="K894" s="1">
        <v>9780128052822</v>
      </c>
      <c r="L894" s="1">
        <v>9780128051955</v>
      </c>
      <c r="M894" s="4"/>
      <c r="N894" s="3" t="s">
        <v>5746</v>
      </c>
      <c r="O894" s="1" t="s">
        <v>5747</v>
      </c>
      <c r="P894" s="1" t="s">
        <v>5748</v>
      </c>
      <c r="Q894" s="1" t="s">
        <v>397</v>
      </c>
      <c r="R894" s="1" t="s">
        <v>5749</v>
      </c>
    </row>
    <row r="895" spans="1:18" x14ac:dyDescent="0.25">
      <c r="A895" s="1" t="s">
        <v>141</v>
      </c>
      <c r="B895" s="1" t="s">
        <v>5750</v>
      </c>
      <c r="C895" s="1" t="s">
        <v>5751</v>
      </c>
      <c r="D895" s="4"/>
      <c r="E895" s="1">
        <v>2018</v>
      </c>
      <c r="F895" s="4"/>
      <c r="G895" s="4"/>
      <c r="H895" s="1" t="s">
        <v>5752</v>
      </c>
      <c r="I895" s="1" t="s">
        <v>196</v>
      </c>
      <c r="J895" s="1">
        <v>2018</v>
      </c>
      <c r="K895" s="1">
        <v>9781450357401</v>
      </c>
      <c r="L895" s="4"/>
      <c r="M895" s="1" t="s">
        <v>1458</v>
      </c>
      <c r="N895" s="3" t="s">
        <v>5753</v>
      </c>
      <c r="O895" s="1" t="s">
        <v>5754</v>
      </c>
      <c r="P895" s="1" t="s">
        <v>5755</v>
      </c>
      <c r="Q895" s="1" t="s">
        <v>157</v>
      </c>
      <c r="R895" s="4"/>
    </row>
    <row r="896" spans="1:18" x14ac:dyDescent="0.25">
      <c r="A896" s="1" t="s">
        <v>141</v>
      </c>
      <c r="B896" s="1" t="s">
        <v>5756</v>
      </c>
      <c r="C896" s="1" t="s">
        <v>5757</v>
      </c>
      <c r="D896" s="4"/>
      <c r="E896" s="1">
        <v>2017</v>
      </c>
      <c r="F896" s="1" t="s">
        <v>5390</v>
      </c>
      <c r="G896" s="4"/>
      <c r="H896" s="1" t="s">
        <v>5758</v>
      </c>
      <c r="I896" s="1" t="s">
        <v>145</v>
      </c>
      <c r="J896" s="1">
        <v>2017</v>
      </c>
      <c r="K896" s="1">
        <v>9781450348041</v>
      </c>
      <c r="L896" s="4"/>
      <c r="M896" s="4"/>
      <c r="N896" s="3" t="s">
        <v>5759</v>
      </c>
      <c r="O896" s="1" t="s">
        <v>5760</v>
      </c>
      <c r="P896" s="1" t="s">
        <v>5761</v>
      </c>
      <c r="Q896" s="1" t="s">
        <v>5708</v>
      </c>
      <c r="R896" s="4"/>
    </row>
    <row r="897" spans="1:18" x14ac:dyDescent="0.25">
      <c r="A897" s="1" t="s">
        <v>141</v>
      </c>
      <c r="B897" s="1" t="s">
        <v>5762</v>
      </c>
      <c r="C897" s="1" t="s">
        <v>5763</v>
      </c>
      <c r="D897" s="4"/>
      <c r="E897" s="1">
        <v>2016</v>
      </c>
      <c r="F897" s="7">
        <v>42370</v>
      </c>
      <c r="G897" s="4"/>
      <c r="H897" s="1" t="s">
        <v>5764</v>
      </c>
      <c r="I897" s="1" t="s">
        <v>257</v>
      </c>
      <c r="J897" s="1">
        <v>2016</v>
      </c>
      <c r="K897" s="1">
        <v>9781509018550</v>
      </c>
      <c r="L897" s="4"/>
      <c r="M897" s="4"/>
      <c r="N897" s="3" t="s">
        <v>5765</v>
      </c>
      <c r="O897" s="1" t="s">
        <v>5766</v>
      </c>
      <c r="P897" s="1" t="s">
        <v>5767</v>
      </c>
      <c r="Q897" s="1" t="s">
        <v>5768</v>
      </c>
      <c r="R897" s="4"/>
    </row>
    <row r="898" spans="1:18" x14ac:dyDescent="0.25">
      <c r="A898" s="1" t="s">
        <v>141</v>
      </c>
      <c r="B898" s="1" t="s">
        <v>5769</v>
      </c>
      <c r="C898" s="1" t="s">
        <v>5770</v>
      </c>
      <c r="D898" s="4"/>
      <c r="E898" s="1">
        <v>2016</v>
      </c>
      <c r="F898" s="1" t="s">
        <v>5771</v>
      </c>
      <c r="G898" s="4"/>
      <c r="H898" s="1" t="s">
        <v>5327</v>
      </c>
      <c r="I898" s="1" t="s">
        <v>145</v>
      </c>
      <c r="J898" s="1">
        <v>2016</v>
      </c>
      <c r="K898" s="1">
        <v>9781450342186</v>
      </c>
      <c r="L898" s="4"/>
      <c r="M898" s="4"/>
      <c r="N898" s="3" t="s">
        <v>5772</v>
      </c>
      <c r="O898" s="1" t="s">
        <v>5773</v>
      </c>
      <c r="P898" s="1" t="s">
        <v>5774</v>
      </c>
      <c r="Q898" s="1" t="s">
        <v>5775</v>
      </c>
      <c r="R898" s="4"/>
    </row>
    <row r="899" spans="1:18" x14ac:dyDescent="0.25">
      <c r="A899" s="1" t="s">
        <v>13</v>
      </c>
      <c r="B899" s="1" t="s">
        <v>5776</v>
      </c>
      <c r="C899" s="1" t="s">
        <v>5777</v>
      </c>
      <c r="D899" s="1" t="s">
        <v>307</v>
      </c>
      <c r="E899" s="1">
        <v>2017</v>
      </c>
      <c r="F899" s="1">
        <v>88</v>
      </c>
      <c r="G899" s="4"/>
      <c r="H899" s="1" t="s">
        <v>5778</v>
      </c>
      <c r="I899" s="1" t="s">
        <v>280</v>
      </c>
      <c r="J899" s="1">
        <v>2017</v>
      </c>
      <c r="K899" s="4"/>
      <c r="L899" s="4"/>
      <c r="M899" s="1" t="s">
        <v>308</v>
      </c>
      <c r="N899" s="3" t="s">
        <v>5779</v>
      </c>
      <c r="O899" s="1" t="s">
        <v>5780</v>
      </c>
      <c r="P899" s="1" t="s">
        <v>5781</v>
      </c>
      <c r="Q899" s="1" t="s">
        <v>2830</v>
      </c>
      <c r="R899" s="4"/>
    </row>
    <row r="900" spans="1:18" x14ac:dyDescent="0.25">
      <c r="A900" s="1" t="s">
        <v>141</v>
      </c>
      <c r="B900" s="1" t="s">
        <v>5782</v>
      </c>
      <c r="C900" s="1" t="s">
        <v>5783</v>
      </c>
      <c r="D900" s="4"/>
      <c r="E900" s="1">
        <v>2018</v>
      </c>
      <c r="F900" s="4"/>
      <c r="G900" s="4"/>
      <c r="H900" s="1" t="s">
        <v>5784</v>
      </c>
      <c r="I900" s="1" t="s">
        <v>153</v>
      </c>
      <c r="J900" s="1">
        <v>2018</v>
      </c>
      <c r="K900" s="1">
        <v>9781450360555</v>
      </c>
      <c r="L900" s="4"/>
      <c r="M900" s="4"/>
      <c r="N900" s="3" t="s">
        <v>5785</v>
      </c>
      <c r="O900" s="1" t="s">
        <v>5786</v>
      </c>
      <c r="P900" s="1" t="s">
        <v>5787</v>
      </c>
      <c r="Q900" s="1" t="s">
        <v>1813</v>
      </c>
      <c r="R900" s="4"/>
    </row>
    <row r="901" spans="1:18" x14ac:dyDescent="0.25">
      <c r="A901" s="1" t="s">
        <v>141</v>
      </c>
      <c r="B901" s="1" t="s">
        <v>5788</v>
      </c>
      <c r="C901" s="1" t="s">
        <v>5789</v>
      </c>
      <c r="D901" s="4"/>
      <c r="E901" s="1">
        <v>2018</v>
      </c>
      <c r="F901" s="4"/>
      <c r="G901" s="4"/>
      <c r="H901" s="1" t="s">
        <v>5790</v>
      </c>
      <c r="I901" s="1" t="s">
        <v>196</v>
      </c>
      <c r="J901" s="1">
        <v>2018</v>
      </c>
      <c r="K901" s="1">
        <v>9781450356633</v>
      </c>
      <c r="L901" s="4"/>
      <c r="M901" s="1" t="s">
        <v>1458</v>
      </c>
      <c r="N901" s="3" t="s">
        <v>5791</v>
      </c>
      <c r="O901" s="1" t="s">
        <v>5792</v>
      </c>
      <c r="P901" s="1" t="s">
        <v>5793</v>
      </c>
      <c r="Q901" s="1" t="s">
        <v>5577</v>
      </c>
      <c r="R901" s="4"/>
    </row>
    <row r="902" spans="1:18" x14ac:dyDescent="0.25">
      <c r="A902" s="1" t="s">
        <v>141</v>
      </c>
      <c r="B902" s="1" t="s">
        <v>5794</v>
      </c>
      <c r="C902" s="1" t="s">
        <v>5795</v>
      </c>
      <c r="D902" s="4"/>
      <c r="E902" s="1">
        <v>2017</v>
      </c>
      <c r="F902" s="4"/>
      <c r="G902" s="4"/>
      <c r="H902" s="1" t="s">
        <v>5796</v>
      </c>
      <c r="I902" s="1" t="s">
        <v>257</v>
      </c>
      <c r="J902" s="1">
        <v>2017</v>
      </c>
      <c r="K902" s="1">
        <v>9781538609927</v>
      </c>
      <c r="L902" s="4"/>
      <c r="M902" s="4"/>
      <c r="N902" s="3" t="s">
        <v>5797</v>
      </c>
      <c r="O902" s="1" t="s">
        <v>5798</v>
      </c>
      <c r="P902" s="1" t="s">
        <v>5799</v>
      </c>
      <c r="Q902" s="1" t="s">
        <v>4052</v>
      </c>
      <c r="R902" s="4"/>
    </row>
    <row r="903" spans="1:18" x14ac:dyDescent="0.25">
      <c r="A903" s="1" t="s">
        <v>141</v>
      </c>
      <c r="B903" s="1" t="s">
        <v>5800</v>
      </c>
      <c r="C903" s="1" t="s">
        <v>5801</v>
      </c>
      <c r="D903" s="4"/>
      <c r="E903" s="1">
        <v>2016</v>
      </c>
      <c r="F903" s="1" t="s">
        <v>5802</v>
      </c>
      <c r="G903" s="4"/>
      <c r="H903" s="4"/>
      <c r="I903" s="1" t="s">
        <v>145</v>
      </c>
      <c r="J903" s="1">
        <v>2016</v>
      </c>
      <c r="K903" s="1">
        <v>9781450337342</v>
      </c>
      <c r="L903" s="4"/>
      <c r="M903" s="4"/>
      <c r="N903" s="3" t="s">
        <v>5803</v>
      </c>
      <c r="O903" s="1" t="s">
        <v>5804</v>
      </c>
      <c r="P903" s="1" t="s">
        <v>5805</v>
      </c>
      <c r="Q903" s="1" t="s">
        <v>318</v>
      </c>
      <c r="R903" s="4"/>
    </row>
    <row r="904" spans="1:18" x14ac:dyDescent="0.25">
      <c r="A904" s="1" t="s">
        <v>141</v>
      </c>
      <c r="B904" s="1" t="s">
        <v>5806</v>
      </c>
      <c r="C904" s="1" t="s">
        <v>5807</v>
      </c>
      <c r="D904" s="4"/>
      <c r="E904" s="1">
        <v>2018</v>
      </c>
      <c r="F904" s="4"/>
      <c r="G904" s="4"/>
      <c r="H904" s="1" t="s">
        <v>5808</v>
      </c>
      <c r="I904" s="1" t="s">
        <v>196</v>
      </c>
      <c r="J904" s="1">
        <v>2018</v>
      </c>
      <c r="K904" s="1">
        <v>9781450357166</v>
      </c>
      <c r="L904" s="4"/>
      <c r="M904" s="1" t="s">
        <v>1458</v>
      </c>
      <c r="N904" s="3" t="s">
        <v>5809</v>
      </c>
      <c r="O904" s="1" t="s">
        <v>5810</v>
      </c>
      <c r="P904" s="1" t="s">
        <v>5811</v>
      </c>
      <c r="Q904" s="1" t="s">
        <v>5812</v>
      </c>
      <c r="R904" s="4"/>
    </row>
    <row r="905" spans="1:18" x14ac:dyDescent="0.25">
      <c r="A905" s="1" t="s">
        <v>13</v>
      </c>
      <c r="B905" s="1" t="s">
        <v>5813</v>
      </c>
      <c r="C905" s="1" t="s">
        <v>5814</v>
      </c>
      <c r="D905" s="1" t="s">
        <v>209</v>
      </c>
      <c r="E905" s="1">
        <v>2016</v>
      </c>
      <c r="F905" s="1" t="s">
        <v>5815</v>
      </c>
      <c r="G905" s="4"/>
      <c r="H905" s="1" t="s">
        <v>5816</v>
      </c>
      <c r="I905" s="1" t="s">
        <v>4155</v>
      </c>
      <c r="J905" s="1">
        <v>2016</v>
      </c>
      <c r="K905" s="4"/>
      <c r="L905" s="4"/>
      <c r="M905" s="1" t="s">
        <v>213</v>
      </c>
      <c r="N905" s="3" t="s">
        <v>5817</v>
      </c>
      <c r="O905" s="1" t="s">
        <v>5818</v>
      </c>
      <c r="P905" s="1" t="s">
        <v>5819</v>
      </c>
      <c r="Q905" s="1" t="s">
        <v>3749</v>
      </c>
      <c r="R905" s="4"/>
    </row>
    <row r="906" spans="1:18" x14ac:dyDescent="0.25">
      <c r="A906" s="1" t="s">
        <v>13</v>
      </c>
      <c r="B906" s="1" t="s">
        <v>5820</v>
      </c>
      <c r="C906" s="1" t="s">
        <v>5821</v>
      </c>
      <c r="D906" s="1" t="s">
        <v>5822</v>
      </c>
      <c r="E906" s="1">
        <v>2018</v>
      </c>
      <c r="F906" s="1">
        <v>21</v>
      </c>
      <c r="G906" s="1">
        <v>5</v>
      </c>
      <c r="H906" s="1" t="s">
        <v>5823</v>
      </c>
      <c r="I906" s="1" t="s">
        <v>5824</v>
      </c>
      <c r="J906" s="1">
        <v>2018</v>
      </c>
      <c r="K906" s="4"/>
      <c r="L906" s="4"/>
      <c r="M906" s="1" t="s">
        <v>5825</v>
      </c>
      <c r="N906" s="3" t="s">
        <v>5826</v>
      </c>
      <c r="O906" s="1" t="s">
        <v>5827</v>
      </c>
      <c r="P906" s="1" t="s">
        <v>5828</v>
      </c>
      <c r="Q906" s="1" t="s">
        <v>2723</v>
      </c>
      <c r="R906" s="4"/>
    </row>
    <row r="907" spans="1:18" x14ac:dyDescent="0.25">
      <c r="A907" s="1" t="s">
        <v>141</v>
      </c>
      <c r="B907" s="1" t="s">
        <v>5829</v>
      </c>
      <c r="C907" s="1" t="s">
        <v>5830</v>
      </c>
      <c r="D907" s="4"/>
      <c r="E907" s="1">
        <v>2017</v>
      </c>
      <c r="F907" s="1" t="s">
        <v>5397</v>
      </c>
      <c r="G907" s="4"/>
      <c r="H907" s="1" t="s">
        <v>5831</v>
      </c>
      <c r="I907" s="1" t="s">
        <v>196</v>
      </c>
      <c r="J907" s="1">
        <v>2017</v>
      </c>
      <c r="K907" s="1">
        <v>9781509040391</v>
      </c>
      <c r="L907" s="4"/>
      <c r="M907" s="1" t="s">
        <v>197</v>
      </c>
      <c r="N907" s="3" t="s">
        <v>5832</v>
      </c>
      <c r="O907" s="1" t="s">
        <v>5833</v>
      </c>
      <c r="P907" s="1" t="s">
        <v>5834</v>
      </c>
      <c r="Q907" s="1" t="s">
        <v>5835</v>
      </c>
      <c r="R907" s="4"/>
    </row>
    <row r="908" spans="1:18" x14ac:dyDescent="0.25">
      <c r="A908" s="1" t="s">
        <v>141</v>
      </c>
      <c r="B908" s="1" t="s">
        <v>5836</v>
      </c>
      <c r="C908" s="1" t="s">
        <v>5837</v>
      </c>
      <c r="D908" s="4"/>
      <c r="E908" s="1">
        <v>2016</v>
      </c>
      <c r="F908" s="1" t="s">
        <v>5838</v>
      </c>
      <c r="G908" s="4"/>
      <c r="H908" s="1" t="s">
        <v>5839</v>
      </c>
      <c r="I908" s="1" t="s">
        <v>145</v>
      </c>
      <c r="J908" s="1">
        <v>2016</v>
      </c>
      <c r="K908" s="1">
        <v>9781450342322</v>
      </c>
      <c r="L908" s="4"/>
      <c r="M908" s="4"/>
      <c r="N908" s="3" t="s">
        <v>5840</v>
      </c>
      <c r="O908" s="1" t="s">
        <v>5841</v>
      </c>
      <c r="P908" s="1" t="s">
        <v>5842</v>
      </c>
      <c r="Q908" s="1" t="s">
        <v>318</v>
      </c>
      <c r="R908" s="4"/>
    </row>
    <row r="909" spans="1:18" x14ac:dyDescent="0.25">
      <c r="A909" s="1" t="s">
        <v>141</v>
      </c>
      <c r="B909" s="1" t="s">
        <v>4257</v>
      </c>
      <c r="C909" s="1" t="s">
        <v>5843</v>
      </c>
      <c r="D909" s="4"/>
      <c r="E909" s="1">
        <v>2017</v>
      </c>
      <c r="F909" s="4"/>
      <c r="G909" s="4"/>
      <c r="H909" s="1" t="s">
        <v>5844</v>
      </c>
      <c r="I909" s="1" t="s">
        <v>257</v>
      </c>
      <c r="J909" s="1">
        <v>2017</v>
      </c>
      <c r="K909" s="1">
        <v>9781538621400</v>
      </c>
      <c r="L909" s="4"/>
      <c r="M909" s="4"/>
      <c r="N909" s="3" t="s">
        <v>5845</v>
      </c>
      <c r="O909" s="1" t="s">
        <v>5846</v>
      </c>
      <c r="P909" s="1" t="s">
        <v>5847</v>
      </c>
      <c r="Q909" s="1" t="s">
        <v>3633</v>
      </c>
      <c r="R909" s="4"/>
    </row>
    <row r="910" spans="1:18" x14ac:dyDescent="0.25">
      <c r="A910" s="1" t="s">
        <v>141</v>
      </c>
      <c r="B910" s="1" t="s">
        <v>5848</v>
      </c>
      <c r="C910" s="1" t="s">
        <v>5849</v>
      </c>
      <c r="D910" s="4"/>
      <c r="E910" s="1">
        <v>2018</v>
      </c>
      <c r="F910" s="4"/>
      <c r="G910" s="4"/>
      <c r="H910" s="1" t="s">
        <v>5850</v>
      </c>
      <c r="I910" s="1" t="s">
        <v>196</v>
      </c>
      <c r="J910" s="1">
        <v>2018</v>
      </c>
      <c r="K910" s="1">
        <v>9781450356633</v>
      </c>
      <c r="L910" s="4"/>
      <c r="M910" s="1" t="s">
        <v>1458</v>
      </c>
      <c r="N910" s="3" t="s">
        <v>5851</v>
      </c>
      <c r="O910" s="1" t="s">
        <v>5852</v>
      </c>
      <c r="P910" s="1" t="s">
        <v>5853</v>
      </c>
      <c r="Q910" s="1" t="s">
        <v>2420</v>
      </c>
      <c r="R910" s="4"/>
    </row>
    <row r="911" spans="1:18" x14ac:dyDescent="0.25">
      <c r="A911" s="1" t="s">
        <v>141</v>
      </c>
      <c r="B911" s="1" t="s">
        <v>5854</v>
      </c>
      <c r="C911" s="1" t="s">
        <v>5855</v>
      </c>
      <c r="D911" s="4"/>
      <c r="E911" s="1">
        <v>2018</v>
      </c>
      <c r="F911" s="7">
        <v>43282</v>
      </c>
      <c r="G911" s="4"/>
      <c r="H911" s="1" t="s">
        <v>5856</v>
      </c>
      <c r="I911" s="1" t="s">
        <v>933</v>
      </c>
      <c r="J911" s="1">
        <v>2018</v>
      </c>
      <c r="K911" s="1">
        <v>9781891706448</v>
      </c>
      <c r="L911" s="4"/>
      <c r="M911" s="1" t="s">
        <v>934</v>
      </c>
      <c r="N911" s="3" t="s">
        <v>5857</v>
      </c>
      <c r="O911" s="1" t="s">
        <v>5858</v>
      </c>
      <c r="P911" s="1" t="s">
        <v>5859</v>
      </c>
      <c r="Q911" s="1" t="s">
        <v>5860</v>
      </c>
      <c r="R911" s="4"/>
    </row>
    <row r="912" spans="1:18" x14ac:dyDescent="0.25">
      <c r="A912" s="1" t="s">
        <v>13</v>
      </c>
      <c r="B912" s="1" t="s">
        <v>5861</v>
      </c>
      <c r="C912" s="1" t="s">
        <v>5862</v>
      </c>
      <c r="D912" s="1" t="s">
        <v>354</v>
      </c>
      <c r="E912" s="1">
        <v>2018</v>
      </c>
      <c r="F912" s="1">
        <v>135</v>
      </c>
      <c r="G912" s="4"/>
      <c r="H912" s="1" t="s">
        <v>5863</v>
      </c>
      <c r="I912" s="1" t="s">
        <v>355</v>
      </c>
      <c r="J912" s="1">
        <v>2018</v>
      </c>
      <c r="K912" s="4"/>
      <c r="L912" s="4"/>
      <c r="M912" s="1" t="s">
        <v>65</v>
      </c>
      <c r="N912" s="3" t="s">
        <v>5864</v>
      </c>
      <c r="O912" s="1" t="s">
        <v>5865</v>
      </c>
      <c r="P912" s="1" t="s">
        <v>5866</v>
      </c>
      <c r="Q912" s="1" t="s">
        <v>747</v>
      </c>
      <c r="R912" s="4"/>
    </row>
    <row r="913" spans="1:18" x14ac:dyDescent="0.25">
      <c r="A913" s="1" t="s">
        <v>141</v>
      </c>
      <c r="B913" s="1" t="s">
        <v>5867</v>
      </c>
      <c r="C913" s="1" t="s">
        <v>5868</v>
      </c>
      <c r="D913" s="4"/>
      <c r="E913" s="1">
        <v>2017</v>
      </c>
      <c r="F913" s="1">
        <v>2</v>
      </c>
      <c r="G913" s="4"/>
      <c r="H913" s="1" t="s">
        <v>5869</v>
      </c>
      <c r="I913" s="1" t="s">
        <v>2565</v>
      </c>
      <c r="J913" s="1">
        <v>2017</v>
      </c>
      <c r="K913" s="1">
        <v>9781945626760</v>
      </c>
      <c r="L913" s="4"/>
      <c r="M913" s="4"/>
      <c r="N913" s="3" t="s">
        <v>5870</v>
      </c>
      <c r="O913" s="1" t="s">
        <v>5871</v>
      </c>
      <c r="P913" s="1" t="s">
        <v>5872</v>
      </c>
      <c r="Q913" s="1" t="s">
        <v>3225</v>
      </c>
      <c r="R913" s="4"/>
    </row>
    <row r="914" spans="1:18" x14ac:dyDescent="0.25">
      <c r="A914" s="1" t="s">
        <v>539</v>
      </c>
      <c r="B914" s="1" t="s">
        <v>5873</v>
      </c>
      <c r="C914" s="1" t="s">
        <v>5874</v>
      </c>
      <c r="D914" s="4"/>
      <c r="E914" s="1">
        <v>2015</v>
      </c>
      <c r="F914" s="4"/>
      <c r="G914" s="4"/>
      <c r="H914" s="4"/>
      <c r="I914" s="1" t="s">
        <v>355</v>
      </c>
      <c r="J914" s="1">
        <v>2015</v>
      </c>
      <c r="K914" s="1">
        <v>9780124115439</v>
      </c>
      <c r="L914" s="1">
        <v>9780124115194</v>
      </c>
      <c r="M914" s="4"/>
      <c r="N914" s="3" t="s">
        <v>5875</v>
      </c>
      <c r="O914" s="1" t="s">
        <v>5876</v>
      </c>
      <c r="P914" s="1" t="s">
        <v>5877</v>
      </c>
      <c r="Q914" s="1" t="s">
        <v>3633</v>
      </c>
      <c r="R914" s="1" t="s">
        <v>5878</v>
      </c>
    </row>
    <row r="915" spans="1:18" x14ac:dyDescent="0.25">
      <c r="A915" s="1" t="s">
        <v>13</v>
      </c>
      <c r="B915" s="1" t="s">
        <v>5879</v>
      </c>
      <c r="C915" s="1" t="s">
        <v>5880</v>
      </c>
      <c r="D915" s="1" t="s">
        <v>523</v>
      </c>
      <c r="E915" s="1">
        <v>2017</v>
      </c>
      <c r="F915" s="1">
        <v>25</v>
      </c>
      <c r="G915" s="1">
        <v>3</v>
      </c>
      <c r="H915" s="1" t="s">
        <v>5881</v>
      </c>
      <c r="I915" s="1" t="s">
        <v>3998</v>
      </c>
      <c r="J915" s="1">
        <v>2017</v>
      </c>
      <c r="K915" s="4"/>
      <c r="L915" s="4"/>
      <c r="M915" s="1" t="s">
        <v>525</v>
      </c>
      <c r="N915" s="3" t="s">
        <v>5882</v>
      </c>
      <c r="O915" s="1" t="s">
        <v>5883</v>
      </c>
      <c r="P915" s="1" t="s">
        <v>5884</v>
      </c>
      <c r="Q915" s="1" t="s">
        <v>3003</v>
      </c>
      <c r="R915" s="4"/>
    </row>
    <row r="916" spans="1:18" x14ac:dyDescent="0.25">
      <c r="A916" s="1" t="s">
        <v>141</v>
      </c>
      <c r="B916" s="1" t="s">
        <v>5549</v>
      </c>
      <c r="C916" s="1" t="s">
        <v>5885</v>
      </c>
      <c r="D916" s="4"/>
      <c r="E916" s="1">
        <v>2016</v>
      </c>
      <c r="F916" s="1" t="s">
        <v>5838</v>
      </c>
      <c r="G916" s="4"/>
      <c r="H916" s="1" t="s">
        <v>5886</v>
      </c>
      <c r="I916" s="1" t="s">
        <v>145</v>
      </c>
      <c r="J916" s="1">
        <v>2016</v>
      </c>
      <c r="K916" s="1">
        <v>9781450342322</v>
      </c>
      <c r="L916" s="4"/>
      <c r="M916" s="4"/>
      <c r="N916" s="3" t="s">
        <v>5887</v>
      </c>
      <c r="O916" s="1" t="s">
        <v>5888</v>
      </c>
      <c r="P916" s="1" t="s">
        <v>5889</v>
      </c>
      <c r="Q916" s="1" t="s">
        <v>5890</v>
      </c>
      <c r="R916" s="4"/>
    </row>
    <row r="917" spans="1:18" x14ac:dyDescent="0.25">
      <c r="A917" s="1" t="s">
        <v>141</v>
      </c>
      <c r="B917" s="1" t="s">
        <v>5891</v>
      </c>
      <c r="C917" s="1" t="s">
        <v>5892</v>
      </c>
      <c r="D917" s="4"/>
      <c r="E917" s="1">
        <v>2015</v>
      </c>
      <c r="F917" s="4"/>
      <c r="G917" s="4"/>
      <c r="H917" s="1" t="s">
        <v>5893</v>
      </c>
      <c r="I917" s="1" t="s">
        <v>257</v>
      </c>
      <c r="J917" s="1">
        <v>2015</v>
      </c>
      <c r="K917" s="1">
        <v>9781467373784</v>
      </c>
      <c r="L917" s="4"/>
      <c r="M917" s="4"/>
      <c r="N917" s="3" t="s">
        <v>5894</v>
      </c>
      <c r="O917" s="1" t="s">
        <v>5895</v>
      </c>
      <c r="P917" s="1" t="s">
        <v>5896</v>
      </c>
      <c r="Q917" s="1" t="s">
        <v>4052</v>
      </c>
      <c r="R917" s="4"/>
    </row>
    <row r="918" spans="1:18" x14ac:dyDescent="0.25">
      <c r="A918" s="1" t="s">
        <v>13</v>
      </c>
      <c r="B918" s="1" t="s">
        <v>5897</v>
      </c>
      <c r="C918" s="1" t="s">
        <v>5898</v>
      </c>
      <c r="D918" s="1" t="s">
        <v>462</v>
      </c>
      <c r="E918" s="1">
        <v>2018</v>
      </c>
      <c r="F918" s="1">
        <v>918</v>
      </c>
      <c r="G918" s="4"/>
      <c r="H918" s="1" t="s">
        <v>5899</v>
      </c>
      <c r="I918" s="1" t="s">
        <v>4155</v>
      </c>
      <c r="J918" s="1">
        <v>2018</v>
      </c>
      <c r="K918" s="4"/>
      <c r="L918" s="4"/>
      <c r="M918" s="1" t="s">
        <v>465</v>
      </c>
      <c r="N918" s="3" t="s">
        <v>5900</v>
      </c>
      <c r="O918" s="1" t="s">
        <v>5901</v>
      </c>
      <c r="P918" s="1" t="s">
        <v>5902</v>
      </c>
      <c r="Q918" s="1" t="s">
        <v>176</v>
      </c>
      <c r="R918" s="4"/>
    </row>
    <row r="919" spans="1:18" x14ac:dyDescent="0.25">
      <c r="A919" s="1" t="s">
        <v>13</v>
      </c>
      <c r="B919" s="1" t="s">
        <v>5903</v>
      </c>
      <c r="C919" s="1" t="s">
        <v>5904</v>
      </c>
      <c r="D919" s="1" t="s">
        <v>5905</v>
      </c>
      <c r="E919" s="1">
        <v>2018</v>
      </c>
      <c r="F919" s="1">
        <v>11</v>
      </c>
      <c r="G919" s="1">
        <v>2</v>
      </c>
      <c r="H919" s="1" t="s">
        <v>5906</v>
      </c>
      <c r="I919" s="1" t="s">
        <v>5907</v>
      </c>
      <c r="J919" s="1">
        <v>2018</v>
      </c>
      <c r="K919" s="4"/>
      <c r="L919" s="4"/>
      <c r="M919" s="1" t="s">
        <v>5908</v>
      </c>
      <c r="N919" s="3" t="s">
        <v>5909</v>
      </c>
      <c r="O919" s="4"/>
      <c r="P919" s="1" t="s">
        <v>5910</v>
      </c>
      <c r="Q919" s="1" t="s">
        <v>185</v>
      </c>
      <c r="R919" s="4"/>
    </row>
    <row r="920" spans="1:18" x14ac:dyDescent="0.25">
      <c r="A920" s="1" t="s">
        <v>141</v>
      </c>
      <c r="B920" s="1" t="s">
        <v>5911</v>
      </c>
      <c r="C920" s="1" t="s">
        <v>5912</v>
      </c>
      <c r="D920" s="4"/>
      <c r="E920" s="1">
        <v>2018</v>
      </c>
      <c r="F920" s="4"/>
      <c r="G920" s="4"/>
      <c r="H920" s="1" t="s">
        <v>4109</v>
      </c>
      <c r="I920" s="1" t="s">
        <v>5913</v>
      </c>
      <c r="J920" s="1">
        <v>2018</v>
      </c>
      <c r="K920" s="4"/>
      <c r="L920" s="4"/>
      <c r="M920" s="4"/>
      <c r="N920" s="3" t="s">
        <v>5914</v>
      </c>
      <c r="O920" s="4"/>
      <c r="P920" s="1" t="s">
        <v>5915</v>
      </c>
      <c r="Q920" s="1" t="s">
        <v>318</v>
      </c>
      <c r="R920" s="4"/>
    </row>
    <row r="921" spans="1:18" x14ac:dyDescent="0.25">
      <c r="A921" s="1" t="s">
        <v>141</v>
      </c>
      <c r="B921" s="1" t="s">
        <v>5144</v>
      </c>
      <c r="C921" s="1" t="s">
        <v>5145</v>
      </c>
      <c r="D921" s="4"/>
      <c r="E921" s="1">
        <v>2018</v>
      </c>
      <c r="F921" s="4"/>
      <c r="G921" s="4"/>
      <c r="H921" s="1" t="s">
        <v>5146</v>
      </c>
      <c r="I921" s="1" t="s">
        <v>257</v>
      </c>
      <c r="J921" s="1">
        <v>2018</v>
      </c>
      <c r="K921" s="1">
        <v>9781450356619</v>
      </c>
      <c r="L921" s="4"/>
      <c r="M921" s="4"/>
      <c r="N921" s="3" t="s">
        <v>5916</v>
      </c>
      <c r="O921" s="1" t="s">
        <v>5148</v>
      </c>
      <c r="P921" s="1" t="s">
        <v>5149</v>
      </c>
      <c r="Q921" s="1" t="s">
        <v>1404</v>
      </c>
      <c r="R921" s="4"/>
    </row>
    <row r="922" spans="1:18" x14ac:dyDescent="0.25">
      <c r="A922" s="1" t="s">
        <v>141</v>
      </c>
      <c r="B922" s="1" t="s">
        <v>5917</v>
      </c>
      <c r="C922" s="1" t="s">
        <v>5918</v>
      </c>
      <c r="D922" s="4"/>
      <c r="E922" s="1">
        <v>2018</v>
      </c>
      <c r="F922" s="4"/>
      <c r="G922" s="4"/>
      <c r="H922" s="1" t="s">
        <v>5919</v>
      </c>
      <c r="I922" s="1" t="s">
        <v>196</v>
      </c>
      <c r="J922" s="1">
        <v>2018</v>
      </c>
      <c r="K922" s="1">
        <v>9781450357166</v>
      </c>
      <c r="L922" s="4"/>
      <c r="M922" s="1" t="s">
        <v>1458</v>
      </c>
      <c r="N922" s="3" t="s">
        <v>5920</v>
      </c>
      <c r="O922" s="1" t="s">
        <v>5921</v>
      </c>
      <c r="P922" s="1" t="s">
        <v>5922</v>
      </c>
      <c r="Q922" s="1" t="s">
        <v>5923</v>
      </c>
      <c r="R922" s="4"/>
    </row>
    <row r="923" spans="1:18" x14ac:dyDescent="0.25">
      <c r="A923" s="1" t="s">
        <v>13</v>
      </c>
      <c r="B923" s="1" t="s">
        <v>5924</v>
      </c>
      <c r="C923" s="1" t="s">
        <v>5925</v>
      </c>
      <c r="D923" s="1" t="s">
        <v>3475</v>
      </c>
      <c r="E923" s="1">
        <v>2019</v>
      </c>
      <c r="F923" s="1">
        <v>741</v>
      </c>
      <c r="G923" s="4"/>
      <c r="H923" s="1" t="s">
        <v>5926</v>
      </c>
      <c r="I923" s="1" t="s">
        <v>4155</v>
      </c>
      <c r="J923" s="1">
        <v>2019</v>
      </c>
      <c r="K923" s="4"/>
      <c r="L923" s="4"/>
      <c r="M923" s="1" t="s">
        <v>3478</v>
      </c>
      <c r="N923" s="3" t="s">
        <v>5927</v>
      </c>
      <c r="O923" s="1" t="s">
        <v>5928</v>
      </c>
      <c r="P923" s="1" t="s">
        <v>5929</v>
      </c>
      <c r="Q923" s="1" t="s">
        <v>5930</v>
      </c>
      <c r="R923" s="4"/>
    </row>
    <row r="924" spans="1:18" x14ac:dyDescent="0.25">
      <c r="A924" s="1" t="s">
        <v>141</v>
      </c>
      <c r="B924" s="1" t="s">
        <v>4452</v>
      </c>
      <c r="C924" s="1" t="s">
        <v>5931</v>
      </c>
      <c r="D924" s="4"/>
      <c r="E924" s="1">
        <v>2018</v>
      </c>
      <c r="F924" s="4"/>
      <c r="G924" s="4"/>
      <c r="H924" s="1" t="s">
        <v>5932</v>
      </c>
      <c r="I924" s="1" t="s">
        <v>257</v>
      </c>
      <c r="J924" s="1">
        <v>2018</v>
      </c>
      <c r="K924" s="1">
        <v>9781538673829</v>
      </c>
      <c r="L924" s="4"/>
      <c r="M924" s="4"/>
      <c r="N924" s="3" t="s">
        <v>5933</v>
      </c>
      <c r="O924" s="1" t="s">
        <v>5934</v>
      </c>
      <c r="P924" s="1" t="s">
        <v>5935</v>
      </c>
      <c r="Q924" s="1" t="s">
        <v>2286</v>
      </c>
      <c r="R924" s="4"/>
    </row>
    <row r="925" spans="1:18" x14ac:dyDescent="0.25">
      <c r="A925" s="1" t="s">
        <v>141</v>
      </c>
      <c r="B925" s="1" t="s">
        <v>5936</v>
      </c>
      <c r="C925" s="1" t="s">
        <v>5937</v>
      </c>
      <c r="D925" s="4"/>
      <c r="E925" s="1">
        <v>2018</v>
      </c>
      <c r="F925" s="1">
        <v>2</v>
      </c>
      <c r="G925" s="4"/>
      <c r="H925" s="1" t="s">
        <v>5938</v>
      </c>
      <c r="I925" s="1" t="s">
        <v>2565</v>
      </c>
      <c r="J925" s="1">
        <v>2018</v>
      </c>
      <c r="K925" s="1">
        <v>9781948087292</v>
      </c>
      <c r="L925" s="4"/>
      <c r="M925" s="4"/>
      <c r="N925" s="3" t="s">
        <v>5939</v>
      </c>
      <c r="O925" s="4"/>
      <c r="P925" s="1" t="s">
        <v>5940</v>
      </c>
      <c r="Q925" s="1" t="s">
        <v>5941</v>
      </c>
      <c r="R925" s="4"/>
    </row>
    <row r="926" spans="1:18" x14ac:dyDescent="0.25">
      <c r="A926" s="1" t="s">
        <v>141</v>
      </c>
      <c r="B926" s="1" t="s">
        <v>5942</v>
      </c>
      <c r="C926" s="1" t="s">
        <v>5943</v>
      </c>
      <c r="D926" s="4"/>
      <c r="E926" s="1">
        <v>2017</v>
      </c>
      <c r="F926" s="7">
        <v>42736</v>
      </c>
      <c r="G926" s="4"/>
      <c r="H926" s="1" t="s">
        <v>4741</v>
      </c>
      <c r="I926" s="1" t="s">
        <v>257</v>
      </c>
      <c r="J926" s="1">
        <v>2017</v>
      </c>
      <c r="K926" s="1">
        <v>9781538606834</v>
      </c>
      <c r="L926" s="4"/>
      <c r="M926" s="4"/>
      <c r="N926" s="3" t="s">
        <v>5944</v>
      </c>
      <c r="O926" s="1" t="s">
        <v>5945</v>
      </c>
      <c r="P926" s="1" t="s">
        <v>5946</v>
      </c>
      <c r="Q926" s="1" t="s">
        <v>5947</v>
      </c>
      <c r="R926" s="4"/>
    </row>
    <row r="927" spans="1:18" x14ac:dyDescent="0.25">
      <c r="A927" s="1" t="s">
        <v>13</v>
      </c>
      <c r="B927" s="1" t="s">
        <v>125</v>
      </c>
      <c r="C927" s="1" t="s">
        <v>126</v>
      </c>
      <c r="D927" s="1" t="s">
        <v>354</v>
      </c>
      <c r="E927" s="1">
        <v>2018</v>
      </c>
      <c r="F927" s="1">
        <v>138</v>
      </c>
      <c r="G927" s="4"/>
      <c r="H927" s="1" t="s">
        <v>5948</v>
      </c>
      <c r="I927" s="1" t="s">
        <v>355</v>
      </c>
      <c r="J927" s="1">
        <v>2018</v>
      </c>
      <c r="K927" s="4"/>
      <c r="L927" s="4"/>
      <c r="M927" s="1" t="s">
        <v>65</v>
      </c>
      <c r="N927" s="3" t="s">
        <v>5949</v>
      </c>
      <c r="O927" s="1" t="s">
        <v>129</v>
      </c>
      <c r="P927" s="1" t="s">
        <v>5950</v>
      </c>
      <c r="Q927" s="1" t="s">
        <v>5951</v>
      </c>
      <c r="R927" s="4"/>
    </row>
    <row r="928" spans="1:18" x14ac:dyDescent="0.25">
      <c r="A928" s="1" t="s">
        <v>141</v>
      </c>
      <c r="B928" s="1" t="s">
        <v>5952</v>
      </c>
      <c r="C928" s="1" t="s">
        <v>5953</v>
      </c>
      <c r="D928" s="4"/>
      <c r="E928" s="1">
        <v>2017</v>
      </c>
      <c r="F928" s="4"/>
      <c r="G928" s="4"/>
      <c r="H928" s="1" t="s">
        <v>5954</v>
      </c>
      <c r="I928" s="1" t="s">
        <v>257</v>
      </c>
      <c r="J928" s="1">
        <v>2017</v>
      </c>
      <c r="K928" s="1">
        <v>9781538631911</v>
      </c>
      <c r="L928" s="4"/>
      <c r="M928" s="4"/>
      <c r="N928" s="3" t="s">
        <v>5955</v>
      </c>
      <c r="O928" s="1" t="s">
        <v>5956</v>
      </c>
      <c r="P928" s="1" t="s">
        <v>5957</v>
      </c>
      <c r="Q928" s="1" t="s">
        <v>5958</v>
      </c>
      <c r="R928" s="4"/>
    </row>
    <row r="929" spans="1:18" x14ac:dyDescent="0.25">
      <c r="A929" s="1" t="s">
        <v>141</v>
      </c>
      <c r="B929" s="1" t="s">
        <v>5959</v>
      </c>
      <c r="C929" s="1" t="s">
        <v>5960</v>
      </c>
      <c r="D929" s="4"/>
      <c r="E929" s="1">
        <v>2018</v>
      </c>
      <c r="F929" s="1">
        <v>2361</v>
      </c>
      <c r="G929" s="4"/>
      <c r="H929" s="4"/>
      <c r="I929" s="1" t="s">
        <v>613</v>
      </c>
      <c r="J929" s="1">
        <v>2018</v>
      </c>
      <c r="K929" s="4"/>
      <c r="L929" s="4"/>
      <c r="M929" s="1" t="s">
        <v>614</v>
      </c>
      <c r="N929" s="3" t="s">
        <v>5961</v>
      </c>
      <c r="O929" s="4"/>
      <c r="P929" s="1" t="s">
        <v>5962</v>
      </c>
      <c r="Q929" s="1" t="s">
        <v>318</v>
      </c>
      <c r="R929" s="4"/>
    </row>
    <row r="930" spans="1:18" x14ac:dyDescent="0.25">
      <c r="A930" s="1" t="s">
        <v>13</v>
      </c>
      <c r="B930" s="1" t="s">
        <v>5963</v>
      </c>
      <c r="C930" s="1" t="s">
        <v>5964</v>
      </c>
      <c r="D930" s="1" t="s">
        <v>971</v>
      </c>
      <c r="E930" s="1">
        <v>2017</v>
      </c>
      <c r="F930" s="1">
        <v>72</v>
      </c>
      <c r="G930" s="4"/>
      <c r="H930" s="1" t="s">
        <v>5965</v>
      </c>
      <c r="I930" s="1" t="s">
        <v>280</v>
      </c>
      <c r="J930" s="1">
        <v>2017</v>
      </c>
      <c r="K930" s="4"/>
      <c r="L930" s="4"/>
      <c r="M930" s="1" t="s">
        <v>973</v>
      </c>
      <c r="N930" s="3" t="s">
        <v>5966</v>
      </c>
      <c r="O930" s="1" t="s">
        <v>5967</v>
      </c>
      <c r="P930" s="1" t="s">
        <v>5968</v>
      </c>
      <c r="Q930" s="1" t="s">
        <v>3407</v>
      </c>
      <c r="R930" s="4"/>
    </row>
    <row r="931" spans="1:18" x14ac:dyDescent="0.25">
      <c r="A931" s="1" t="s">
        <v>141</v>
      </c>
      <c r="B931" s="1" t="s">
        <v>5969</v>
      </c>
      <c r="C931" s="1" t="s">
        <v>5970</v>
      </c>
      <c r="D931" s="4"/>
      <c r="E931" s="1">
        <v>2018</v>
      </c>
      <c r="F931" s="4"/>
      <c r="G931" s="4"/>
      <c r="H931" s="1" t="s">
        <v>5971</v>
      </c>
      <c r="I931" s="1" t="s">
        <v>257</v>
      </c>
      <c r="J931" s="1">
        <v>2018</v>
      </c>
      <c r="K931" s="1">
        <v>9781538663523</v>
      </c>
      <c r="L931" s="4"/>
      <c r="M931" s="4"/>
      <c r="N931" s="3" t="s">
        <v>5972</v>
      </c>
      <c r="O931" s="1" t="s">
        <v>5973</v>
      </c>
      <c r="P931" s="1" t="s">
        <v>5974</v>
      </c>
      <c r="Q931" s="1" t="s">
        <v>4009</v>
      </c>
      <c r="R931" s="4"/>
    </row>
    <row r="932" spans="1:18" x14ac:dyDescent="0.25">
      <c r="A932" s="1" t="s">
        <v>141</v>
      </c>
      <c r="B932" s="1" t="s">
        <v>5975</v>
      </c>
      <c r="C932" s="1" t="s">
        <v>5976</v>
      </c>
      <c r="D932" s="4"/>
      <c r="E932" s="1">
        <v>2018</v>
      </c>
      <c r="F932" s="7">
        <v>43160</v>
      </c>
      <c r="G932" s="4"/>
      <c r="H932" s="1" t="s">
        <v>5977</v>
      </c>
      <c r="I932" s="1" t="s">
        <v>257</v>
      </c>
      <c r="J932" s="1">
        <v>2018</v>
      </c>
      <c r="K932" s="1">
        <v>9781538649695</v>
      </c>
      <c r="L932" s="4"/>
      <c r="M932" s="4"/>
      <c r="N932" s="3" t="s">
        <v>5978</v>
      </c>
      <c r="O932" s="1" t="s">
        <v>5979</v>
      </c>
      <c r="P932" s="1" t="s">
        <v>5980</v>
      </c>
      <c r="Q932" s="1" t="s">
        <v>5981</v>
      </c>
      <c r="R932" s="4"/>
    </row>
    <row r="933" spans="1:18" x14ac:dyDescent="0.25">
      <c r="A933" s="1" t="s">
        <v>13</v>
      </c>
      <c r="B933" s="1" t="s">
        <v>5982</v>
      </c>
      <c r="C933" s="1" t="s">
        <v>5983</v>
      </c>
      <c r="D933" s="1" t="s">
        <v>2974</v>
      </c>
      <c r="E933" s="1">
        <v>2016</v>
      </c>
      <c r="F933" s="1">
        <v>472</v>
      </c>
      <c r="G933" s="4"/>
      <c r="H933" s="1" t="s">
        <v>5984</v>
      </c>
      <c r="I933" s="1" t="s">
        <v>3998</v>
      </c>
      <c r="J933" s="1">
        <v>2016</v>
      </c>
      <c r="K933" s="4"/>
      <c r="L933" s="4"/>
      <c r="M933" s="1" t="s">
        <v>2976</v>
      </c>
      <c r="N933" s="3" t="s">
        <v>5985</v>
      </c>
      <c r="O933" s="1" t="s">
        <v>5986</v>
      </c>
      <c r="P933" s="1" t="s">
        <v>5987</v>
      </c>
      <c r="Q933" s="1" t="s">
        <v>818</v>
      </c>
      <c r="R933" s="4"/>
    </row>
    <row r="934" spans="1:18" x14ac:dyDescent="0.25">
      <c r="A934" s="1" t="s">
        <v>13</v>
      </c>
      <c r="B934" s="1" t="s">
        <v>5988</v>
      </c>
      <c r="C934" s="1" t="s">
        <v>5989</v>
      </c>
      <c r="D934" s="1" t="s">
        <v>307</v>
      </c>
      <c r="E934" s="1">
        <v>2016</v>
      </c>
      <c r="F934" s="1">
        <v>74</v>
      </c>
      <c r="G934" s="4"/>
      <c r="H934" s="1" t="s">
        <v>5990</v>
      </c>
      <c r="I934" s="1" t="s">
        <v>280</v>
      </c>
      <c r="J934" s="1">
        <v>2016</v>
      </c>
      <c r="K934" s="4"/>
      <c r="L934" s="4"/>
      <c r="M934" s="1" t="s">
        <v>308</v>
      </c>
      <c r="N934" s="3" t="s">
        <v>5991</v>
      </c>
      <c r="O934" s="1" t="s">
        <v>5992</v>
      </c>
      <c r="P934" s="1" t="s">
        <v>5993</v>
      </c>
      <c r="Q934" s="1" t="s">
        <v>5433</v>
      </c>
      <c r="R934" s="4"/>
    </row>
    <row r="935" spans="1:18" x14ac:dyDescent="0.25">
      <c r="A935" s="1" t="s">
        <v>13</v>
      </c>
      <c r="B935" s="1" t="s">
        <v>5994</v>
      </c>
      <c r="C935" s="1" t="s">
        <v>5995</v>
      </c>
      <c r="D935" s="1" t="s">
        <v>227</v>
      </c>
      <c r="E935" s="1">
        <v>2018</v>
      </c>
      <c r="F935" s="1">
        <v>8</v>
      </c>
      <c r="G935" s="1">
        <v>10</v>
      </c>
      <c r="H935" s="4"/>
      <c r="I935" s="1" t="s">
        <v>3431</v>
      </c>
      <c r="J935" s="1">
        <v>2018</v>
      </c>
      <c r="K935" s="4"/>
      <c r="L935" s="4"/>
      <c r="M935" s="1" t="s">
        <v>229</v>
      </c>
      <c r="N935" s="3" t="s">
        <v>5996</v>
      </c>
      <c r="O935" s="1" t="s">
        <v>5997</v>
      </c>
      <c r="P935" s="1" t="s">
        <v>5998</v>
      </c>
      <c r="Q935" s="1" t="s">
        <v>3452</v>
      </c>
      <c r="R935" s="4"/>
    </row>
    <row r="936" spans="1:18" x14ac:dyDescent="0.25">
      <c r="A936" s="1" t="s">
        <v>13</v>
      </c>
      <c r="B936" s="1" t="s">
        <v>5999</v>
      </c>
      <c r="C936" s="1" t="s">
        <v>6000</v>
      </c>
      <c r="D936" s="1" t="s">
        <v>307</v>
      </c>
      <c r="E936" s="1">
        <v>2018</v>
      </c>
      <c r="F936" s="1">
        <v>99</v>
      </c>
      <c r="G936" s="4"/>
      <c r="H936" s="1" t="s">
        <v>3699</v>
      </c>
      <c r="I936" s="1" t="s">
        <v>280</v>
      </c>
      <c r="J936" s="1">
        <v>2018</v>
      </c>
      <c r="K936" s="4"/>
      <c r="L936" s="4"/>
      <c r="M936" s="1" t="s">
        <v>308</v>
      </c>
      <c r="N936" s="3" t="s">
        <v>6001</v>
      </c>
      <c r="O936" s="1" t="s">
        <v>6002</v>
      </c>
      <c r="P936" s="1" t="s">
        <v>6003</v>
      </c>
      <c r="Q936" s="1" t="s">
        <v>6004</v>
      </c>
      <c r="R936" s="4"/>
    </row>
    <row r="937" spans="1:18" x14ac:dyDescent="0.25">
      <c r="A937" s="1" t="s">
        <v>13</v>
      </c>
      <c r="B937" s="1" t="s">
        <v>82</v>
      </c>
      <c r="C937" s="1" t="s">
        <v>83</v>
      </c>
      <c r="D937" s="1" t="s">
        <v>136</v>
      </c>
      <c r="E937" s="1">
        <v>2018</v>
      </c>
      <c r="F937" s="1">
        <v>23</v>
      </c>
      <c r="G937" s="1">
        <v>1</v>
      </c>
      <c r="H937" s="1" t="s">
        <v>6005</v>
      </c>
      <c r="I937" s="1" t="s">
        <v>3998</v>
      </c>
      <c r="J937" s="1">
        <v>2018</v>
      </c>
      <c r="K937" s="4"/>
      <c r="L937" s="4"/>
      <c r="M937" s="1" t="s">
        <v>33</v>
      </c>
      <c r="N937" s="3" t="s">
        <v>6006</v>
      </c>
      <c r="O937" s="1" t="s">
        <v>86</v>
      </c>
      <c r="P937" s="1" t="s">
        <v>6007</v>
      </c>
      <c r="Q937" s="1" t="s">
        <v>5595</v>
      </c>
      <c r="R937" s="4"/>
    </row>
    <row r="938" spans="1:18" x14ac:dyDescent="0.25">
      <c r="A938" s="1" t="s">
        <v>141</v>
      </c>
      <c r="B938" s="1" t="s">
        <v>6008</v>
      </c>
      <c r="C938" s="1" t="s">
        <v>6009</v>
      </c>
      <c r="D938" s="4"/>
      <c r="E938" s="1">
        <v>2018</v>
      </c>
      <c r="F938" s="4"/>
      <c r="G938" s="4"/>
      <c r="H938" s="1" t="s">
        <v>6010</v>
      </c>
      <c r="I938" s="1" t="s">
        <v>257</v>
      </c>
      <c r="J938" s="1">
        <v>2018</v>
      </c>
      <c r="K938" s="1">
        <v>9781538655207</v>
      </c>
      <c r="L938" s="4"/>
      <c r="M938" s="4"/>
      <c r="N938" s="3" t="s">
        <v>6011</v>
      </c>
      <c r="O938" s="1" t="s">
        <v>6012</v>
      </c>
      <c r="P938" s="1" t="s">
        <v>6013</v>
      </c>
      <c r="Q938" s="1" t="s">
        <v>176</v>
      </c>
      <c r="R938" s="4"/>
    </row>
    <row r="939" spans="1:18" x14ac:dyDescent="0.25">
      <c r="A939" s="1" t="s">
        <v>13</v>
      </c>
      <c r="B939" s="1" t="s">
        <v>6014</v>
      </c>
      <c r="C939" s="1" t="s">
        <v>6015</v>
      </c>
      <c r="D939" s="1" t="s">
        <v>255</v>
      </c>
      <c r="E939" s="1">
        <v>2018</v>
      </c>
      <c r="F939" s="1">
        <v>44</v>
      </c>
      <c r="G939" s="1">
        <v>10</v>
      </c>
      <c r="H939" s="1" t="s">
        <v>6016</v>
      </c>
      <c r="I939" s="1" t="s">
        <v>257</v>
      </c>
      <c r="J939" s="1">
        <v>2018</v>
      </c>
      <c r="K939" s="4"/>
      <c r="L939" s="4"/>
      <c r="M939" s="1" t="s">
        <v>18</v>
      </c>
      <c r="N939" s="3" t="s">
        <v>6017</v>
      </c>
      <c r="O939" s="1" t="s">
        <v>6018</v>
      </c>
      <c r="P939" s="1" t="s">
        <v>6019</v>
      </c>
      <c r="Q939" s="1" t="s">
        <v>6020</v>
      </c>
      <c r="R939" s="4"/>
    </row>
    <row r="940" spans="1:18" x14ac:dyDescent="0.25">
      <c r="A940" s="1" t="s">
        <v>141</v>
      </c>
      <c r="B940" s="1" t="s">
        <v>6021</v>
      </c>
      <c r="C940" s="1" t="s">
        <v>6022</v>
      </c>
      <c r="D940" s="4"/>
      <c r="E940" s="1">
        <v>2018</v>
      </c>
      <c r="F940" s="4"/>
      <c r="G940" s="4"/>
      <c r="H940" s="1" t="s">
        <v>6023</v>
      </c>
      <c r="I940" s="1" t="s">
        <v>196</v>
      </c>
      <c r="J940" s="1">
        <v>2018</v>
      </c>
      <c r="K940" s="1">
        <v>9781450357173</v>
      </c>
      <c r="L940" s="4"/>
      <c r="M940" s="1" t="s">
        <v>1458</v>
      </c>
      <c r="N940" s="3" t="s">
        <v>6024</v>
      </c>
      <c r="O940" s="1" t="s">
        <v>6025</v>
      </c>
      <c r="P940" s="1" t="s">
        <v>6026</v>
      </c>
      <c r="Q940" s="1" t="s">
        <v>157</v>
      </c>
      <c r="R940" s="4"/>
    </row>
    <row r="941" spans="1:18" x14ac:dyDescent="0.25">
      <c r="A941" s="1" t="s">
        <v>13</v>
      </c>
      <c r="B941" s="1" t="s">
        <v>6027</v>
      </c>
      <c r="C941" s="1" t="s">
        <v>6028</v>
      </c>
      <c r="D941" s="1" t="s">
        <v>6029</v>
      </c>
      <c r="E941" s="1">
        <v>2016</v>
      </c>
      <c r="F941" s="1">
        <v>3</v>
      </c>
      <c r="G941" s="1" t="s">
        <v>6030</v>
      </c>
      <c r="H941" s="4"/>
      <c r="I941" s="1" t="s">
        <v>891</v>
      </c>
      <c r="J941" s="1">
        <v>2016</v>
      </c>
      <c r="K941" s="4"/>
      <c r="L941" s="4"/>
      <c r="M941" s="1" t="s">
        <v>6031</v>
      </c>
      <c r="N941" s="3" t="s">
        <v>6032</v>
      </c>
      <c r="O941" s="1" t="s">
        <v>6033</v>
      </c>
      <c r="P941" s="1" t="s">
        <v>6034</v>
      </c>
      <c r="Q941" s="1" t="s">
        <v>6035</v>
      </c>
      <c r="R941" s="4"/>
    </row>
    <row r="942" spans="1:18" x14ac:dyDescent="0.25">
      <c r="A942" s="1" t="s">
        <v>141</v>
      </c>
      <c r="B942" s="1" t="s">
        <v>6036</v>
      </c>
      <c r="C942" s="1" t="s">
        <v>6037</v>
      </c>
      <c r="D942" s="4"/>
      <c r="E942" s="1">
        <v>2016</v>
      </c>
      <c r="F942" s="4"/>
      <c r="G942" s="4"/>
      <c r="H942" s="1" t="s">
        <v>6038</v>
      </c>
      <c r="I942" s="1" t="s">
        <v>257</v>
      </c>
      <c r="J942" s="1">
        <v>2016</v>
      </c>
      <c r="K942" s="1">
        <v>9781509036011</v>
      </c>
      <c r="L942" s="4"/>
      <c r="M942" s="4"/>
      <c r="N942" s="3" t="s">
        <v>6039</v>
      </c>
      <c r="O942" s="1" t="s">
        <v>6040</v>
      </c>
      <c r="P942" s="1" t="s">
        <v>6041</v>
      </c>
      <c r="Q942" s="1" t="s">
        <v>2420</v>
      </c>
      <c r="R942" s="4"/>
    </row>
    <row r="943" spans="1:18" x14ac:dyDescent="0.25">
      <c r="A943" s="1" t="s">
        <v>141</v>
      </c>
      <c r="B943" s="1" t="s">
        <v>6042</v>
      </c>
      <c r="C943" s="1" t="s">
        <v>6043</v>
      </c>
      <c r="D943" s="4"/>
      <c r="E943" s="1">
        <v>2018</v>
      </c>
      <c r="F943" s="4"/>
      <c r="G943" s="4"/>
      <c r="H943" s="4"/>
      <c r="I943" s="1" t="s">
        <v>3683</v>
      </c>
      <c r="J943" s="1">
        <v>2018</v>
      </c>
      <c r="K943" s="1">
        <v>9780996683173</v>
      </c>
      <c r="L943" s="4"/>
      <c r="M943" s="4"/>
      <c r="N943" s="3" t="s">
        <v>6044</v>
      </c>
      <c r="O943" s="4"/>
      <c r="P943" s="1" t="s">
        <v>6045</v>
      </c>
      <c r="Q943" s="1" t="s">
        <v>2110</v>
      </c>
      <c r="R943" s="4"/>
    </row>
    <row r="944" spans="1:18" x14ac:dyDescent="0.25">
      <c r="A944" s="1" t="s">
        <v>141</v>
      </c>
      <c r="B944" s="1" t="s">
        <v>6046</v>
      </c>
      <c r="C944" s="1" t="s">
        <v>6047</v>
      </c>
      <c r="D944" s="4"/>
      <c r="E944" s="1">
        <v>2017</v>
      </c>
      <c r="F944" s="4"/>
      <c r="G944" s="4"/>
      <c r="H944" s="1" t="s">
        <v>6048</v>
      </c>
      <c r="I944" s="1" t="s">
        <v>257</v>
      </c>
      <c r="J944" s="1">
        <v>2017</v>
      </c>
      <c r="K944" s="1">
        <v>9781538609927</v>
      </c>
      <c r="L944" s="4"/>
      <c r="M944" s="4"/>
      <c r="N944" s="3" t="s">
        <v>6049</v>
      </c>
      <c r="O944" s="1" t="s">
        <v>6050</v>
      </c>
      <c r="P944" s="1" t="s">
        <v>6051</v>
      </c>
      <c r="Q944" s="1" t="s">
        <v>5433</v>
      </c>
      <c r="R944" s="4"/>
    </row>
    <row r="945" spans="1:18" x14ac:dyDescent="0.25">
      <c r="A945" s="1" t="s">
        <v>13</v>
      </c>
      <c r="B945" s="1" t="s">
        <v>6052</v>
      </c>
      <c r="C945" s="1" t="s">
        <v>6053</v>
      </c>
      <c r="D945" s="1" t="s">
        <v>6054</v>
      </c>
      <c r="E945" s="1">
        <v>2018</v>
      </c>
      <c r="F945" s="1">
        <v>7</v>
      </c>
      <c r="G945" s="1">
        <v>4</v>
      </c>
      <c r="H945" s="1" t="s">
        <v>6055</v>
      </c>
      <c r="I945" s="1" t="s">
        <v>6056</v>
      </c>
      <c r="J945" s="1">
        <v>2018</v>
      </c>
      <c r="K945" s="4"/>
      <c r="L945" s="4"/>
      <c r="M945" s="1" t="s">
        <v>6057</v>
      </c>
      <c r="N945" s="3" t="s">
        <v>6058</v>
      </c>
      <c r="O945" s="1" t="s">
        <v>6059</v>
      </c>
      <c r="P945" s="1" t="s">
        <v>6060</v>
      </c>
      <c r="Q945" s="1" t="s">
        <v>1813</v>
      </c>
      <c r="R945" s="4"/>
    </row>
    <row r="946" spans="1:18" x14ac:dyDescent="0.25">
      <c r="A946" s="1" t="s">
        <v>141</v>
      </c>
      <c r="B946" s="1" t="s">
        <v>6061</v>
      </c>
      <c r="C946" s="1" t="s">
        <v>6062</v>
      </c>
      <c r="D946" s="4"/>
      <c r="E946" s="1">
        <v>2018</v>
      </c>
      <c r="F946" s="1">
        <v>12</v>
      </c>
      <c r="G946" s="4"/>
      <c r="H946" s="1" t="s">
        <v>6063</v>
      </c>
      <c r="I946" s="1" t="s">
        <v>145</v>
      </c>
      <c r="J946" s="1">
        <v>2018</v>
      </c>
      <c r="K946" s="4"/>
      <c r="L946" s="4"/>
      <c r="M946" s="1" t="s">
        <v>4235</v>
      </c>
      <c r="N946" s="3" t="s">
        <v>6064</v>
      </c>
      <c r="O946" s="1" t="s">
        <v>6065</v>
      </c>
      <c r="P946" s="1" t="s">
        <v>6066</v>
      </c>
      <c r="Q946" s="1" t="s">
        <v>261</v>
      </c>
      <c r="R946" s="4"/>
    </row>
    <row r="947" spans="1:18" x14ac:dyDescent="0.25">
      <c r="A947" s="1" t="s">
        <v>13</v>
      </c>
      <c r="B947" s="1" t="s">
        <v>6067</v>
      </c>
      <c r="C947" s="1" t="s">
        <v>6068</v>
      </c>
      <c r="D947" s="1" t="s">
        <v>255</v>
      </c>
      <c r="E947" s="1">
        <v>2018</v>
      </c>
      <c r="F947" s="1">
        <v>44</v>
      </c>
      <c r="G947" s="1">
        <v>2</v>
      </c>
      <c r="H947" s="1" t="s">
        <v>6069</v>
      </c>
      <c r="I947" s="1" t="s">
        <v>257</v>
      </c>
      <c r="J947" s="1">
        <v>2018</v>
      </c>
      <c r="K947" s="4"/>
      <c r="L947" s="4"/>
      <c r="M947" s="1" t="s">
        <v>18</v>
      </c>
      <c r="N947" s="3" t="s">
        <v>6070</v>
      </c>
      <c r="O947" s="1" t="s">
        <v>6071</v>
      </c>
      <c r="P947" s="1" t="s">
        <v>6072</v>
      </c>
      <c r="Q947" s="1" t="s">
        <v>6073</v>
      </c>
      <c r="R947" s="4"/>
    </row>
    <row r="948" spans="1:18" x14ac:dyDescent="0.25">
      <c r="A948" s="1" t="s">
        <v>13</v>
      </c>
      <c r="B948" s="1" t="s">
        <v>6074</v>
      </c>
      <c r="C948" s="1" t="s">
        <v>6075</v>
      </c>
      <c r="D948" s="1" t="s">
        <v>354</v>
      </c>
      <c r="E948" s="1">
        <v>2018</v>
      </c>
      <c r="F948" s="1">
        <v>136</v>
      </c>
      <c r="G948" s="4"/>
      <c r="H948" s="1" t="s">
        <v>2780</v>
      </c>
      <c r="I948" s="1" t="s">
        <v>355</v>
      </c>
      <c r="J948" s="1">
        <v>2018</v>
      </c>
      <c r="K948" s="4"/>
      <c r="L948" s="4"/>
      <c r="M948" s="1" t="s">
        <v>65</v>
      </c>
      <c r="N948" s="3" t="s">
        <v>6076</v>
      </c>
      <c r="O948" s="1" t="s">
        <v>6077</v>
      </c>
      <c r="P948" s="1" t="s">
        <v>6078</v>
      </c>
      <c r="Q948" s="1" t="s">
        <v>6079</v>
      </c>
      <c r="R948" s="4"/>
    </row>
    <row r="949" spans="1:18" x14ac:dyDescent="0.25">
      <c r="A949" s="1" t="s">
        <v>13</v>
      </c>
      <c r="B949" s="1" t="s">
        <v>6080</v>
      </c>
      <c r="C949" s="1" t="s">
        <v>6081</v>
      </c>
      <c r="D949" s="1" t="s">
        <v>209</v>
      </c>
      <c r="E949" s="1">
        <v>2018</v>
      </c>
      <c r="F949" s="1" t="s">
        <v>6082</v>
      </c>
      <c r="G949" s="4"/>
      <c r="H949" s="1" t="s">
        <v>6083</v>
      </c>
      <c r="I949" s="1" t="s">
        <v>4155</v>
      </c>
      <c r="J949" s="1">
        <v>2018</v>
      </c>
      <c r="K949" s="4"/>
      <c r="L949" s="4"/>
      <c r="M949" s="1" t="s">
        <v>213</v>
      </c>
      <c r="N949" s="3" t="s">
        <v>6084</v>
      </c>
      <c r="O949" s="1" t="s">
        <v>6085</v>
      </c>
      <c r="P949" s="1" t="s">
        <v>6086</v>
      </c>
      <c r="Q949" s="1" t="s">
        <v>2811</v>
      </c>
      <c r="R949" s="4"/>
    </row>
    <row r="950" spans="1:18" x14ac:dyDescent="0.25">
      <c r="A950" s="1" t="s">
        <v>13</v>
      </c>
      <c r="B950" s="1" t="s">
        <v>4257</v>
      </c>
      <c r="C950" s="1" t="s">
        <v>6087</v>
      </c>
      <c r="D950" s="1" t="s">
        <v>1870</v>
      </c>
      <c r="E950" s="1">
        <v>2018</v>
      </c>
      <c r="F950" s="1">
        <v>314</v>
      </c>
      <c r="G950" s="4"/>
      <c r="H950" s="1" t="s">
        <v>6088</v>
      </c>
      <c r="I950" s="1" t="s">
        <v>4155</v>
      </c>
      <c r="J950" s="1">
        <v>2018</v>
      </c>
      <c r="K950" s="4"/>
      <c r="L950" s="4"/>
      <c r="M950" s="1" t="s">
        <v>1873</v>
      </c>
      <c r="N950" s="3" t="s">
        <v>6089</v>
      </c>
      <c r="O950" s="1" t="s">
        <v>6090</v>
      </c>
      <c r="P950" s="1" t="s">
        <v>6091</v>
      </c>
      <c r="Q950" s="1" t="s">
        <v>5100</v>
      </c>
      <c r="R950" s="4"/>
    </row>
    <row r="951" spans="1:18" x14ac:dyDescent="0.25">
      <c r="A951" s="1" t="s">
        <v>13</v>
      </c>
      <c r="B951" s="1" t="s">
        <v>6092</v>
      </c>
      <c r="C951" s="1" t="s">
        <v>6093</v>
      </c>
      <c r="D951" s="1" t="s">
        <v>6094</v>
      </c>
      <c r="E951" s="1">
        <v>2018</v>
      </c>
      <c r="F951" s="1">
        <v>7</v>
      </c>
      <c r="G951" s="1">
        <v>2</v>
      </c>
      <c r="H951" s="1" t="s">
        <v>6095</v>
      </c>
      <c r="I951" s="1" t="s">
        <v>5573</v>
      </c>
      <c r="J951" s="1">
        <v>2018</v>
      </c>
      <c r="K951" s="4"/>
      <c r="L951" s="4"/>
      <c r="M951" s="1" t="s">
        <v>6096</v>
      </c>
      <c r="N951" s="3" t="s">
        <v>6097</v>
      </c>
      <c r="O951" s="1" t="s">
        <v>6098</v>
      </c>
      <c r="P951" s="1" t="s">
        <v>6099</v>
      </c>
      <c r="Q951" s="1" t="s">
        <v>6020</v>
      </c>
      <c r="R951" s="4"/>
    </row>
    <row r="952" spans="1:18" x14ac:dyDescent="0.25">
      <c r="A952" s="1" t="s">
        <v>13</v>
      </c>
      <c r="B952" s="1" t="s">
        <v>6100</v>
      </c>
      <c r="C952" s="1" t="s">
        <v>6101</v>
      </c>
      <c r="D952" s="1" t="s">
        <v>307</v>
      </c>
      <c r="E952" s="1">
        <v>2018</v>
      </c>
      <c r="F952" s="1">
        <v>102</v>
      </c>
      <c r="G952" s="4"/>
      <c r="H952" s="1" t="s">
        <v>6102</v>
      </c>
      <c r="I952" s="1" t="s">
        <v>280</v>
      </c>
      <c r="J952" s="1">
        <v>2018</v>
      </c>
      <c r="K952" s="4"/>
      <c r="L952" s="4"/>
      <c r="M952" s="1" t="s">
        <v>308</v>
      </c>
      <c r="N952" s="3" t="s">
        <v>6103</v>
      </c>
      <c r="O952" s="1" t="s">
        <v>6104</v>
      </c>
      <c r="P952" s="1" t="s">
        <v>6105</v>
      </c>
      <c r="Q952" s="1" t="s">
        <v>6106</v>
      </c>
      <c r="R952" s="4"/>
    </row>
  </sheetData>
  <hyperlinks>
    <hyperlink ref="N2" r:id="rId1" xr:uid="{00000000-0004-0000-0100-000000000000}"/>
    <hyperlink ref="N3" r:id="rId2" xr:uid="{00000000-0004-0000-0100-000001000000}"/>
    <hyperlink ref="N4" r:id="rId3" xr:uid="{00000000-0004-0000-0100-000002000000}"/>
    <hyperlink ref="N5" r:id="rId4" xr:uid="{00000000-0004-0000-0100-000003000000}"/>
    <hyperlink ref="N6" r:id="rId5" xr:uid="{00000000-0004-0000-0100-000004000000}"/>
    <hyperlink ref="N7" r:id="rId6" xr:uid="{00000000-0004-0000-0100-000005000000}"/>
    <hyperlink ref="N8" r:id="rId7" xr:uid="{00000000-0004-0000-0100-000006000000}"/>
    <hyperlink ref="N9" r:id="rId8" xr:uid="{00000000-0004-0000-0100-000007000000}"/>
    <hyperlink ref="N10" r:id="rId9" xr:uid="{00000000-0004-0000-0100-000008000000}"/>
    <hyperlink ref="N11" r:id="rId10" xr:uid="{00000000-0004-0000-0100-000009000000}"/>
    <hyperlink ref="N12" r:id="rId11" xr:uid="{00000000-0004-0000-0100-00000A000000}"/>
    <hyperlink ref="N13" r:id="rId12" xr:uid="{00000000-0004-0000-0100-00000B000000}"/>
    <hyperlink ref="N14" r:id="rId13" xr:uid="{00000000-0004-0000-0100-00000C000000}"/>
    <hyperlink ref="N15" r:id="rId14" xr:uid="{00000000-0004-0000-0100-00000D000000}"/>
    <hyperlink ref="N16" r:id="rId15" xr:uid="{00000000-0004-0000-0100-00000E000000}"/>
    <hyperlink ref="N17" r:id="rId16" xr:uid="{00000000-0004-0000-0100-00000F000000}"/>
    <hyperlink ref="N18" r:id="rId17" xr:uid="{00000000-0004-0000-0100-000010000000}"/>
    <hyperlink ref="N19" r:id="rId18" xr:uid="{00000000-0004-0000-0100-000011000000}"/>
    <hyperlink ref="N20" r:id="rId19" xr:uid="{00000000-0004-0000-0100-000012000000}"/>
    <hyperlink ref="N21" r:id="rId20" xr:uid="{00000000-0004-0000-0100-000013000000}"/>
    <hyperlink ref="N22" r:id="rId21" xr:uid="{00000000-0004-0000-0100-000014000000}"/>
    <hyperlink ref="N23" r:id="rId22" xr:uid="{00000000-0004-0000-0100-000015000000}"/>
    <hyperlink ref="N24" r:id="rId23" xr:uid="{00000000-0004-0000-0100-000016000000}"/>
    <hyperlink ref="N25" r:id="rId24" xr:uid="{00000000-0004-0000-0100-000017000000}"/>
    <hyperlink ref="N26" r:id="rId25" xr:uid="{00000000-0004-0000-0100-000018000000}"/>
    <hyperlink ref="N27" r:id="rId26" xr:uid="{00000000-0004-0000-0100-000019000000}"/>
    <hyperlink ref="N28" r:id="rId27" xr:uid="{00000000-0004-0000-0100-00001A000000}"/>
    <hyperlink ref="N29" r:id="rId28" xr:uid="{00000000-0004-0000-0100-00001B000000}"/>
    <hyperlink ref="N30" r:id="rId29" xr:uid="{00000000-0004-0000-0100-00001C000000}"/>
    <hyperlink ref="N31" r:id="rId30" xr:uid="{00000000-0004-0000-0100-00001D000000}"/>
    <hyperlink ref="N32" r:id="rId31" xr:uid="{00000000-0004-0000-0100-00001E000000}"/>
    <hyperlink ref="N33" r:id="rId32" xr:uid="{00000000-0004-0000-0100-00001F000000}"/>
    <hyperlink ref="N34" r:id="rId33" xr:uid="{00000000-0004-0000-0100-000020000000}"/>
    <hyperlink ref="N35" r:id="rId34" xr:uid="{00000000-0004-0000-0100-000021000000}"/>
    <hyperlink ref="N36" r:id="rId35" xr:uid="{00000000-0004-0000-0100-000022000000}"/>
    <hyperlink ref="N37" r:id="rId36" xr:uid="{00000000-0004-0000-0100-000023000000}"/>
    <hyperlink ref="N38" r:id="rId37" xr:uid="{00000000-0004-0000-0100-000024000000}"/>
    <hyperlink ref="N39" r:id="rId38" xr:uid="{00000000-0004-0000-0100-000025000000}"/>
    <hyperlink ref="N40" r:id="rId39" xr:uid="{00000000-0004-0000-0100-000026000000}"/>
    <hyperlink ref="N41" r:id="rId40" xr:uid="{00000000-0004-0000-0100-000027000000}"/>
    <hyperlink ref="N42" r:id="rId41" xr:uid="{00000000-0004-0000-0100-000028000000}"/>
    <hyperlink ref="N43" r:id="rId42" xr:uid="{00000000-0004-0000-0100-000029000000}"/>
    <hyperlink ref="N44" r:id="rId43" xr:uid="{00000000-0004-0000-0100-00002A000000}"/>
    <hyperlink ref="N45" r:id="rId44" xr:uid="{00000000-0004-0000-0100-00002B000000}"/>
    <hyperlink ref="N46" r:id="rId45" xr:uid="{00000000-0004-0000-0100-00002C000000}"/>
    <hyperlink ref="N47" r:id="rId46" xr:uid="{00000000-0004-0000-0100-00002D000000}"/>
    <hyperlink ref="N48" r:id="rId47" xr:uid="{00000000-0004-0000-0100-00002E000000}"/>
    <hyperlink ref="N49" r:id="rId48" xr:uid="{00000000-0004-0000-0100-00002F000000}"/>
    <hyperlink ref="N50" r:id="rId49" xr:uid="{00000000-0004-0000-0100-000030000000}"/>
    <hyperlink ref="N51" r:id="rId50" xr:uid="{00000000-0004-0000-0100-000031000000}"/>
    <hyperlink ref="N52" r:id="rId51" xr:uid="{00000000-0004-0000-0100-000032000000}"/>
    <hyperlink ref="N53" r:id="rId52" xr:uid="{00000000-0004-0000-0100-000033000000}"/>
    <hyperlink ref="N54" r:id="rId53" xr:uid="{00000000-0004-0000-0100-000034000000}"/>
    <hyperlink ref="N55" r:id="rId54" xr:uid="{00000000-0004-0000-0100-000035000000}"/>
    <hyperlink ref="N56" r:id="rId55" xr:uid="{00000000-0004-0000-0100-000036000000}"/>
    <hyperlink ref="N57" r:id="rId56" xr:uid="{00000000-0004-0000-0100-000037000000}"/>
    <hyperlink ref="N58" r:id="rId57" xr:uid="{00000000-0004-0000-0100-000038000000}"/>
    <hyperlink ref="N59" r:id="rId58" xr:uid="{00000000-0004-0000-0100-000039000000}"/>
    <hyperlink ref="N60" r:id="rId59" xr:uid="{00000000-0004-0000-0100-00003A000000}"/>
    <hyperlink ref="N61" r:id="rId60" xr:uid="{00000000-0004-0000-0100-00003B000000}"/>
    <hyperlink ref="N62" r:id="rId61" xr:uid="{00000000-0004-0000-0100-00003C000000}"/>
    <hyperlink ref="N63" r:id="rId62" xr:uid="{00000000-0004-0000-0100-00003D000000}"/>
    <hyperlink ref="N64" r:id="rId63" xr:uid="{00000000-0004-0000-0100-00003E000000}"/>
    <hyperlink ref="N65" r:id="rId64" xr:uid="{00000000-0004-0000-0100-00003F000000}"/>
    <hyperlink ref="N66" r:id="rId65" xr:uid="{00000000-0004-0000-0100-000040000000}"/>
    <hyperlink ref="N67" r:id="rId66" xr:uid="{00000000-0004-0000-0100-000041000000}"/>
    <hyperlink ref="N68" r:id="rId67" xr:uid="{00000000-0004-0000-0100-000042000000}"/>
    <hyperlink ref="N69" r:id="rId68" xr:uid="{00000000-0004-0000-0100-000043000000}"/>
    <hyperlink ref="N70" r:id="rId69" xr:uid="{00000000-0004-0000-0100-000044000000}"/>
    <hyperlink ref="N71" r:id="rId70" xr:uid="{00000000-0004-0000-0100-000045000000}"/>
    <hyperlink ref="N72" r:id="rId71" xr:uid="{00000000-0004-0000-0100-000046000000}"/>
    <hyperlink ref="N73" r:id="rId72" xr:uid="{00000000-0004-0000-0100-000047000000}"/>
    <hyperlink ref="N74" r:id="rId73" xr:uid="{00000000-0004-0000-0100-000048000000}"/>
    <hyperlink ref="N75" r:id="rId74" xr:uid="{00000000-0004-0000-0100-000049000000}"/>
    <hyperlink ref="N76" r:id="rId75" xr:uid="{00000000-0004-0000-0100-00004A000000}"/>
    <hyperlink ref="N77" r:id="rId76" xr:uid="{00000000-0004-0000-0100-00004B000000}"/>
    <hyperlink ref="N78" r:id="rId77" xr:uid="{00000000-0004-0000-0100-00004C000000}"/>
    <hyperlink ref="N79" r:id="rId78" xr:uid="{00000000-0004-0000-0100-00004D000000}"/>
    <hyperlink ref="N80" r:id="rId79" xr:uid="{00000000-0004-0000-0100-00004E000000}"/>
    <hyperlink ref="N81" r:id="rId80" xr:uid="{00000000-0004-0000-0100-00004F000000}"/>
    <hyperlink ref="N82" r:id="rId81" xr:uid="{00000000-0004-0000-0100-000050000000}"/>
    <hyperlink ref="N83" r:id="rId82" xr:uid="{00000000-0004-0000-0100-000051000000}"/>
    <hyperlink ref="N84" r:id="rId83" xr:uid="{00000000-0004-0000-0100-000052000000}"/>
    <hyperlink ref="N85" r:id="rId84" xr:uid="{00000000-0004-0000-0100-000053000000}"/>
    <hyperlink ref="N86" r:id="rId85" xr:uid="{00000000-0004-0000-0100-000054000000}"/>
    <hyperlink ref="N87" r:id="rId86" xr:uid="{00000000-0004-0000-0100-000055000000}"/>
    <hyperlink ref="N88" r:id="rId87" xr:uid="{00000000-0004-0000-0100-000056000000}"/>
    <hyperlink ref="N89" r:id="rId88" xr:uid="{00000000-0004-0000-0100-000057000000}"/>
    <hyperlink ref="N90" r:id="rId89" xr:uid="{00000000-0004-0000-0100-000058000000}"/>
    <hyperlink ref="N91" r:id="rId90" xr:uid="{00000000-0004-0000-0100-000059000000}"/>
    <hyperlink ref="N92" r:id="rId91" xr:uid="{00000000-0004-0000-0100-00005A000000}"/>
    <hyperlink ref="N93" r:id="rId92" xr:uid="{00000000-0004-0000-0100-00005B000000}"/>
    <hyperlink ref="N94" r:id="rId93" xr:uid="{00000000-0004-0000-0100-00005C000000}"/>
    <hyperlink ref="N95" r:id="rId94" xr:uid="{00000000-0004-0000-0100-00005D000000}"/>
    <hyperlink ref="N96" r:id="rId95" xr:uid="{00000000-0004-0000-0100-00005E000000}"/>
    <hyperlink ref="N97" r:id="rId96" xr:uid="{00000000-0004-0000-0100-00005F000000}"/>
    <hyperlink ref="N98" r:id="rId97" xr:uid="{00000000-0004-0000-0100-000060000000}"/>
    <hyperlink ref="N99" r:id="rId98" xr:uid="{00000000-0004-0000-0100-000061000000}"/>
    <hyperlink ref="N100" r:id="rId99" xr:uid="{00000000-0004-0000-0100-000062000000}"/>
    <hyperlink ref="N101" r:id="rId100" xr:uid="{00000000-0004-0000-0100-000063000000}"/>
    <hyperlink ref="N102" r:id="rId101" xr:uid="{00000000-0004-0000-0100-000064000000}"/>
    <hyperlink ref="N103" r:id="rId102" xr:uid="{00000000-0004-0000-0100-000065000000}"/>
    <hyperlink ref="N104" r:id="rId103" xr:uid="{00000000-0004-0000-0100-000066000000}"/>
    <hyperlink ref="N105" r:id="rId104" xr:uid="{00000000-0004-0000-0100-000067000000}"/>
    <hyperlink ref="N106" r:id="rId105" xr:uid="{00000000-0004-0000-0100-000068000000}"/>
    <hyperlink ref="N107" r:id="rId106" xr:uid="{00000000-0004-0000-0100-000069000000}"/>
    <hyperlink ref="N108" r:id="rId107" xr:uid="{00000000-0004-0000-0100-00006A000000}"/>
    <hyperlink ref="N109" r:id="rId108" xr:uid="{00000000-0004-0000-0100-00006B000000}"/>
    <hyperlink ref="N110" r:id="rId109" xr:uid="{00000000-0004-0000-0100-00006C000000}"/>
    <hyperlink ref="N111" r:id="rId110" xr:uid="{00000000-0004-0000-0100-00006D000000}"/>
    <hyperlink ref="N112" r:id="rId111" xr:uid="{00000000-0004-0000-0100-00006E000000}"/>
    <hyperlink ref="N113" r:id="rId112" xr:uid="{00000000-0004-0000-0100-00006F000000}"/>
    <hyperlink ref="N114" r:id="rId113" xr:uid="{00000000-0004-0000-0100-000070000000}"/>
    <hyperlink ref="N115" r:id="rId114" xr:uid="{00000000-0004-0000-0100-000071000000}"/>
    <hyperlink ref="N116" r:id="rId115" xr:uid="{00000000-0004-0000-0100-000072000000}"/>
    <hyperlink ref="N117" r:id="rId116" xr:uid="{00000000-0004-0000-0100-000073000000}"/>
    <hyperlink ref="N118" r:id="rId117" xr:uid="{00000000-0004-0000-0100-000074000000}"/>
    <hyperlink ref="N119" r:id="rId118" xr:uid="{00000000-0004-0000-0100-000075000000}"/>
    <hyperlink ref="N120" r:id="rId119" xr:uid="{00000000-0004-0000-0100-000076000000}"/>
    <hyperlink ref="N121" r:id="rId120" xr:uid="{00000000-0004-0000-0100-000077000000}"/>
    <hyperlink ref="N122" r:id="rId121" xr:uid="{00000000-0004-0000-0100-000078000000}"/>
    <hyperlink ref="N123" r:id="rId122" xr:uid="{00000000-0004-0000-0100-000079000000}"/>
    <hyperlink ref="N124" r:id="rId123" xr:uid="{00000000-0004-0000-0100-00007A000000}"/>
    <hyperlink ref="N125" r:id="rId124" xr:uid="{00000000-0004-0000-0100-00007B000000}"/>
    <hyperlink ref="N126" r:id="rId125" xr:uid="{00000000-0004-0000-0100-00007C000000}"/>
    <hyperlink ref="N127" r:id="rId126" xr:uid="{00000000-0004-0000-0100-00007D000000}"/>
    <hyperlink ref="N128" r:id="rId127" xr:uid="{00000000-0004-0000-0100-00007E000000}"/>
    <hyperlink ref="N129" r:id="rId128" xr:uid="{00000000-0004-0000-0100-00007F000000}"/>
    <hyperlink ref="N130" r:id="rId129" xr:uid="{00000000-0004-0000-0100-000080000000}"/>
    <hyperlink ref="N131" r:id="rId130" xr:uid="{00000000-0004-0000-0100-000081000000}"/>
    <hyperlink ref="N132" r:id="rId131" xr:uid="{00000000-0004-0000-0100-000082000000}"/>
    <hyperlink ref="N133" r:id="rId132" xr:uid="{00000000-0004-0000-0100-000083000000}"/>
    <hyperlink ref="N134" r:id="rId133" xr:uid="{00000000-0004-0000-0100-000084000000}"/>
    <hyperlink ref="N135" r:id="rId134" xr:uid="{00000000-0004-0000-0100-000085000000}"/>
    <hyperlink ref="N136" r:id="rId135" xr:uid="{00000000-0004-0000-0100-000086000000}"/>
    <hyperlink ref="N137" r:id="rId136" xr:uid="{00000000-0004-0000-0100-000087000000}"/>
    <hyperlink ref="N138" r:id="rId137" xr:uid="{00000000-0004-0000-0100-000088000000}"/>
    <hyperlink ref="N139" r:id="rId138" xr:uid="{00000000-0004-0000-0100-000089000000}"/>
    <hyperlink ref="N140" r:id="rId139" xr:uid="{00000000-0004-0000-0100-00008A000000}"/>
    <hyperlink ref="N141" r:id="rId140" xr:uid="{00000000-0004-0000-0100-00008B000000}"/>
    <hyperlink ref="N142" r:id="rId141" xr:uid="{00000000-0004-0000-0100-00008C000000}"/>
    <hyperlink ref="N143" r:id="rId142" xr:uid="{00000000-0004-0000-0100-00008D000000}"/>
    <hyperlink ref="N144" r:id="rId143" xr:uid="{00000000-0004-0000-0100-00008E000000}"/>
    <hyperlink ref="N145" r:id="rId144" xr:uid="{00000000-0004-0000-0100-00008F000000}"/>
    <hyperlink ref="N146" r:id="rId145" xr:uid="{00000000-0004-0000-0100-000090000000}"/>
    <hyperlink ref="N147" r:id="rId146" xr:uid="{00000000-0004-0000-0100-000091000000}"/>
    <hyperlink ref="N148" r:id="rId147" xr:uid="{00000000-0004-0000-0100-000092000000}"/>
    <hyperlink ref="N149" r:id="rId148" xr:uid="{00000000-0004-0000-0100-000093000000}"/>
    <hyperlink ref="N150" r:id="rId149" xr:uid="{00000000-0004-0000-0100-000094000000}"/>
    <hyperlink ref="N151" r:id="rId150" xr:uid="{00000000-0004-0000-0100-000095000000}"/>
    <hyperlink ref="N152" r:id="rId151" xr:uid="{00000000-0004-0000-0100-000096000000}"/>
    <hyperlink ref="N153" r:id="rId152" xr:uid="{00000000-0004-0000-0100-000097000000}"/>
    <hyperlink ref="N154" r:id="rId153" xr:uid="{00000000-0004-0000-0100-000098000000}"/>
    <hyperlink ref="N155" r:id="rId154" xr:uid="{00000000-0004-0000-0100-000099000000}"/>
    <hyperlink ref="N156" r:id="rId155" xr:uid="{00000000-0004-0000-0100-00009A000000}"/>
    <hyperlink ref="N157" r:id="rId156" xr:uid="{00000000-0004-0000-0100-00009B000000}"/>
    <hyperlink ref="N158" r:id="rId157" xr:uid="{00000000-0004-0000-0100-00009C000000}"/>
    <hyperlink ref="N159" r:id="rId158" xr:uid="{00000000-0004-0000-0100-00009D000000}"/>
    <hyperlink ref="N160" r:id="rId159" xr:uid="{00000000-0004-0000-0100-00009E000000}"/>
    <hyperlink ref="N161" r:id="rId160" xr:uid="{00000000-0004-0000-0100-00009F000000}"/>
    <hyperlink ref="N162" r:id="rId161" xr:uid="{00000000-0004-0000-0100-0000A0000000}"/>
    <hyperlink ref="N163" r:id="rId162" xr:uid="{00000000-0004-0000-0100-0000A1000000}"/>
    <hyperlink ref="N164" r:id="rId163" xr:uid="{00000000-0004-0000-0100-0000A2000000}"/>
    <hyperlink ref="N165" r:id="rId164" xr:uid="{00000000-0004-0000-0100-0000A3000000}"/>
    <hyperlink ref="N166" r:id="rId165" xr:uid="{00000000-0004-0000-0100-0000A4000000}"/>
    <hyperlink ref="N167" r:id="rId166" xr:uid="{00000000-0004-0000-0100-0000A5000000}"/>
    <hyperlink ref="N168" r:id="rId167" xr:uid="{00000000-0004-0000-0100-0000A6000000}"/>
    <hyperlink ref="N169" r:id="rId168" xr:uid="{00000000-0004-0000-0100-0000A7000000}"/>
    <hyperlink ref="N170" r:id="rId169" xr:uid="{00000000-0004-0000-0100-0000A8000000}"/>
    <hyperlink ref="N171" r:id="rId170" xr:uid="{00000000-0004-0000-0100-0000A9000000}"/>
    <hyperlink ref="N172" r:id="rId171" xr:uid="{00000000-0004-0000-0100-0000AA000000}"/>
    <hyperlink ref="N173" r:id="rId172" xr:uid="{00000000-0004-0000-0100-0000AB000000}"/>
    <hyperlink ref="N174" r:id="rId173" xr:uid="{00000000-0004-0000-0100-0000AC000000}"/>
    <hyperlink ref="N175" r:id="rId174" xr:uid="{00000000-0004-0000-0100-0000AD000000}"/>
    <hyperlink ref="N176" r:id="rId175" xr:uid="{00000000-0004-0000-0100-0000AE000000}"/>
    <hyperlink ref="N177" r:id="rId176" xr:uid="{00000000-0004-0000-0100-0000AF000000}"/>
    <hyperlink ref="N178" r:id="rId177" xr:uid="{00000000-0004-0000-0100-0000B0000000}"/>
    <hyperlink ref="N179" r:id="rId178" xr:uid="{00000000-0004-0000-0100-0000B1000000}"/>
    <hyperlink ref="N180" r:id="rId179" xr:uid="{00000000-0004-0000-0100-0000B2000000}"/>
    <hyperlink ref="N181" r:id="rId180" xr:uid="{00000000-0004-0000-0100-0000B3000000}"/>
    <hyperlink ref="N182" r:id="rId181" xr:uid="{00000000-0004-0000-0100-0000B4000000}"/>
    <hyperlink ref="N183" r:id="rId182" xr:uid="{00000000-0004-0000-0100-0000B5000000}"/>
    <hyperlink ref="N184" r:id="rId183" xr:uid="{00000000-0004-0000-0100-0000B6000000}"/>
    <hyperlink ref="N185" r:id="rId184" xr:uid="{00000000-0004-0000-0100-0000B7000000}"/>
    <hyperlink ref="N186" r:id="rId185" xr:uid="{00000000-0004-0000-0100-0000B8000000}"/>
    <hyperlink ref="N187" r:id="rId186" xr:uid="{00000000-0004-0000-0100-0000B9000000}"/>
    <hyperlink ref="N188" r:id="rId187" xr:uid="{00000000-0004-0000-0100-0000BA000000}"/>
    <hyperlink ref="N189" r:id="rId188" xr:uid="{00000000-0004-0000-0100-0000BB000000}"/>
    <hyperlink ref="N190" r:id="rId189" xr:uid="{00000000-0004-0000-0100-0000BC000000}"/>
    <hyperlink ref="N191" r:id="rId190" xr:uid="{00000000-0004-0000-0100-0000BD000000}"/>
    <hyperlink ref="N192" r:id="rId191" xr:uid="{00000000-0004-0000-0100-0000BE000000}"/>
    <hyperlink ref="N193" r:id="rId192" xr:uid="{00000000-0004-0000-0100-0000BF000000}"/>
    <hyperlink ref="N194" r:id="rId193" xr:uid="{00000000-0004-0000-0100-0000C0000000}"/>
    <hyperlink ref="N195" r:id="rId194" xr:uid="{00000000-0004-0000-0100-0000C1000000}"/>
    <hyperlink ref="N196" r:id="rId195" xr:uid="{00000000-0004-0000-0100-0000C2000000}"/>
    <hyperlink ref="N197" r:id="rId196" xr:uid="{00000000-0004-0000-0100-0000C3000000}"/>
    <hyperlink ref="N198" r:id="rId197" xr:uid="{00000000-0004-0000-0100-0000C4000000}"/>
    <hyperlink ref="N199" r:id="rId198" xr:uid="{00000000-0004-0000-0100-0000C5000000}"/>
    <hyperlink ref="N200" r:id="rId199" xr:uid="{00000000-0004-0000-0100-0000C6000000}"/>
    <hyperlink ref="N201" r:id="rId200" xr:uid="{00000000-0004-0000-0100-0000C7000000}"/>
    <hyperlink ref="N202" r:id="rId201" xr:uid="{00000000-0004-0000-0100-0000C8000000}"/>
    <hyperlink ref="N203" r:id="rId202" xr:uid="{00000000-0004-0000-0100-0000C9000000}"/>
    <hyperlink ref="N204" r:id="rId203" xr:uid="{00000000-0004-0000-0100-0000CA000000}"/>
    <hyperlink ref="N205" r:id="rId204" xr:uid="{00000000-0004-0000-0100-0000CB000000}"/>
    <hyperlink ref="N206" r:id="rId205" xr:uid="{00000000-0004-0000-0100-0000CC000000}"/>
    <hyperlink ref="N207" r:id="rId206" xr:uid="{00000000-0004-0000-0100-0000CD000000}"/>
    <hyperlink ref="N208" r:id="rId207" xr:uid="{00000000-0004-0000-0100-0000CE000000}"/>
    <hyperlink ref="N209" r:id="rId208" xr:uid="{00000000-0004-0000-0100-0000CF000000}"/>
    <hyperlink ref="N210" r:id="rId209" xr:uid="{00000000-0004-0000-0100-0000D0000000}"/>
    <hyperlink ref="N211" r:id="rId210" xr:uid="{00000000-0004-0000-0100-0000D1000000}"/>
    <hyperlink ref="N212" r:id="rId211" xr:uid="{00000000-0004-0000-0100-0000D2000000}"/>
    <hyperlink ref="N213" r:id="rId212" xr:uid="{00000000-0004-0000-0100-0000D3000000}"/>
    <hyperlink ref="N214" r:id="rId213" xr:uid="{00000000-0004-0000-0100-0000D4000000}"/>
    <hyperlink ref="N215" r:id="rId214" xr:uid="{00000000-0004-0000-0100-0000D5000000}"/>
    <hyperlink ref="N216" r:id="rId215" xr:uid="{00000000-0004-0000-0100-0000D6000000}"/>
    <hyperlink ref="N217" r:id="rId216" xr:uid="{00000000-0004-0000-0100-0000D7000000}"/>
    <hyperlink ref="N218" r:id="rId217" xr:uid="{00000000-0004-0000-0100-0000D8000000}"/>
    <hyperlink ref="N219" r:id="rId218" xr:uid="{00000000-0004-0000-0100-0000D9000000}"/>
    <hyperlink ref="N220" r:id="rId219" xr:uid="{00000000-0004-0000-0100-0000DA000000}"/>
    <hyperlink ref="N221" r:id="rId220" xr:uid="{00000000-0004-0000-0100-0000DB000000}"/>
    <hyperlink ref="N222" r:id="rId221" xr:uid="{00000000-0004-0000-0100-0000DC000000}"/>
    <hyperlink ref="N223" r:id="rId222" xr:uid="{00000000-0004-0000-0100-0000DD000000}"/>
    <hyperlink ref="N224" r:id="rId223" xr:uid="{00000000-0004-0000-0100-0000DE000000}"/>
    <hyperlink ref="N225" r:id="rId224" xr:uid="{00000000-0004-0000-0100-0000DF000000}"/>
    <hyperlink ref="N226" r:id="rId225" xr:uid="{00000000-0004-0000-0100-0000E0000000}"/>
    <hyperlink ref="N227" r:id="rId226" xr:uid="{00000000-0004-0000-0100-0000E1000000}"/>
    <hyperlink ref="N228" r:id="rId227" xr:uid="{00000000-0004-0000-0100-0000E2000000}"/>
    <hyperlink ref="N229" r:id="rId228" xr:uid="{00000000-0004-0000-0100-0000E3000000}"/>
    <hyperlink ref="N230" r:id="rId229" xr:uid="{00000000-0004-0000-0100-0000E4000000}"/>
    <hyperlink ref="N231" r:id="rId230" xr:uid="{00000000-0004-0000-0100-0000E5000000}"/>
    <hyperlink ref="N232" r:id="rId231" xr:uid="{00000000-0004-0000-0100-0000E6000000}"/>
    <hyperlink ref="N233" r:id="rId232" xr:uid="{00000000-0004-0000-0100-0000E7000000}"/>
    <hyperlink ref="N234" r:id="rId233" xr:uid="{00000000-0004-0000-0100-0000E8000000}"/>
    <hyperlink ref="N235" r:id="rId234" xr:uid="{00000000-0004-0000-0100-0000E9000000}"/>
    <hyperlink ref="N236" r:id="rId235" xr:uid="{00000000-0004-0000-0100-0000EA000000}"/>
    <hyperlink ref="N237" r:id="rId236" xr:uid="{00000000-0004-0000-0100-0000EB000000}"/>
    <hyperlink ref="N238" r:id="rId237" xr:uid="{00000000-0004-0000-0100-0000EC000000}"/>
    <hyperlink ref="N239" r:id="rId238" xr:uid="{00000000-0004-0000-0100-0000ED000000}"/>
    <hyperlink ref="N240" r:id="rId239" xr:uid="{00000000-0004-0000-0100-0000EE000000}"/>
    <hyperlink ref="N241" r:id="rId240" xr:uid="{00000000-0004-0000-0100-0000EF000000}"/>
    <hyperlink ref="N242" r:id="rId241" xr:uid="{00000000-0004-0000-0100-0000F0000000}"/>
    <hyperlink ref="N243" r:id="rId242" xr:uid="{00000000-0004-0000-0100-0000F1000000}"/>
    <hyperlink ref="N244" r:id="rId243" xr:uid="{00000000-0004-0000-0100-0000F2000000}"/>
    <hyperlink ref="N245" r:id="rId244" xr:uid="{00000000-0004-0000-0100-0000F3000000}"/>
    <hyperlink ref="N246" r:id="rId245" xr:uid="{00000000-0004-0000-0100-0000F4000000}"/>
    <hyperlink ref="N247" r:id="rId246" xr:uid="{00000000-0004-0000-0100-0000F5000000}"/>
    <hyperlink ref="N248" r:id="rId247" xr:uid="{00000000-0004-0000-0100-0000F6000000}"/>
    <hyperlink ref="N249" r:id="rId248" xr:uid="{00000000-0004-0000-0100-0000F7000000}"/>
    <hyperlink ref="N250" r:id="rId249" xr:uid="{00000000-0004-0000-0100-0000F8000000}"/>
    <hyperlink ref="N251" r:id="rId250" xr:uid="{00000000-0004-0000-0100-0000F9000000}"/>
    <hyperlink ref="N252" r:id="rId251" xr:uid="{00000000-0004-0000-0100-0000FA000000}"/>
    <hyperlink ref="N253" r:id="rId252" xr:uid="{00000000-0004-0000-0100-0000FB000000}"/>
    <hyperlink ref="N254" r:id="rId253" xr:uid="{00000000-0004-0000-0100-0000FC000000}"/>
    <hyperlink ref="N255" r:id="rId254" xr:uid="{00000000-0004-0000-0100-0000FD000000}"/>
    <hyperlink ref="N256" r:id="rId255" xr:uid="{00000000-0004-0000-0100-0000FE000000}"/>
    <hyperlink ref="N257" r:id="rId256" xr:uid="{00000000-0004-0000-0100-0000FF000000}"/>
    <hyperlink ref="N258" r:id="rId257" xr:uid="{00000000-0004-0000-0100-000000010000}"/>
    <hyperlink ref="N259" r:id="rId258" xr:uid="{00000000-0004-0000-0100-000001010000}"/>
    <hyperlink ref="N260" r:id="rId259" xr:uid="{00000000-0004-0000-0100-000002010000}"/>
    <hyperlink ref="N261" r:id="rId260" xr:uid="{00000000-0004-0000-0100-000003010000}"/>
    <hyperlink ref="N262" r:id="rId261" xr:uid="{00000000-0004-0000-0100-000004010000}"/>
    <hyperlink ref="N263" r:id="rId262" xr:uid="{00000000-0004-0000-0100-000005010000}"/>
    <hyperlink ref="N264" r:id="rId263" xr:uid="{00000000-0004-0000-0100-000006010000}"/>
    <hyperlink ref="N265" r:id="rId264" xr:uid="{00000000-0004-0000-0100-000007010000}"/>
    <hyperlink ref="N266" r:id="rId265" xr:uid="{00000000-0004-0000-0100-000008010000}"/>
    <hyperlink ref="N267" r:id="rId266" xr:uid="{00000000-0004-0000-0100-000009010000}"/>
    <hyperlink ref="N268" r:id="rId267" xr:uid="{00000000-0004-0000-0100-00000A010000}"/>
    <hyperlink ref="N269" r:id="rId268" xr:uid="{00000000-0004-0000-0100-00000B010000}"/>
    <hyperlink ref="N270" r:id="rId269" xr:uid="{00000000-0004-0000-0100-00000C010000}"/>
    <hyperlink ref="N271" r:id="rId270" xr:uid="{00000000-0004-0000-0100-00000D010000}"/>
    <hyperlink ref="N272" r:id="rId271" xr:uid="{00000000-0004-0000-0100-00000E010000}"/>
    <hyperlink ref="N273" r:id="rId272" xr:uid="{00000000-0004-0000-0100-00000F010000}"/>
    <hyperlink ref="N274" r:id="rId273" xr:uid="{00000000-0004-0000-0100-000010010000}"/>
    <hyperlink ref="N275" r:id="rId274" xr:uid="{00000000-0004-0000-0100-000011010000}"/>
    <hyperlink ref="N276" r:id="rId275" xr:uid="{00000000-0004-0000-0100-000012010000}"/>
    <hyperlink ref="N277" r:id="rId276" xr:uid="{00000000-0004-0000-0100-000013010000}"/>
    <hyperlink ref="N278" r:id="rId277" xr:uid="{00000000-0004-0000-0100-000014010000}"/>
    <hyperlink ref="N279" r:id="rId278" xr:uid="{00000000-0004-0000-0100-000015010000}"/>
    <hyperlink ref="N280" r:id="rId279" xr:uid="{00000000-0004-0000-0100-000016010000}"/>
    <hyperlink ref="N281" r:id="rId280" xr:uid="{00000000-0004-0000-0100-000017010000}"/>
    <hyperlink ref="N282" r:id="rId281" xr:uid="{00000000-0004-0000-0100-000018010000}"/>
    <hyperlink ref="N283" r:id="rId282" xr:uid="{00000000-0004-0000-0100-000019010000}"/>
    <hyperlink ref="N284" r:id="rId283" xr:uid="{00000000-0004-0000-0100-00001A010000}"/>
    <hyperlink ref="N285" r:id="rId284" xr:uid="{00000000-0004-0000-0100-00001B010000}"/>
    <hyperlink ref="N286" r:id="rId285" xr:uid="{00000000-0004-0000-0100-00001C010000}"/>
    <hyperlink ref="N287" r:id="rId286" xr:uid="{00000000-0004-0000-0100-00001D010000}"/>
    <hyperlink ref="N288" r:id="rId287" xr:uid="{00000000-0004-0000-0100-00001E010000}"/>
    <hyperlink ref="N289" r:id="rId288" xr:uid="{00000000-0004-0000-0100-00001F010000}"/>
    <hyperlink ref="N290" r:id="rId289" xr:uid="{00000000-0004-0000-0100-000020010000}"/>
    <hyperlink ref="N291" r:id="rId290" xr:uid="{00000000-0004-0000-0100-000021010000}"/>
    <hyperlink ref="N292" r:id="rId291" xr:uid="{00000000-0004-0000-0100-000022010000}"/>
    <hyperlink ref="N293" r:id="rId292" xr:uid="{00000000-0004-0000-0100-000023010000}"/>
    <hyperlink ref="N294" r:id="rId293" xr:uid="{00000000-0004-0000-0100-000024010000}"/>
    <hyperlink ref="N295" r:id="rId294" xr:uid="{00000000-0004-0000-0100-000025010000}"/>
    <hyperlink ref="N296" r:id="rId295" xr:uid="{00000000-0004-0000-0100-000026010000}"/>
    <hyperlink ref="N297" r:id="rId296" xr:uid="{00000000-0004-0000-0100-000027010000}"/>
    <hyperlink ref="N298" r:id="rId297" xr:uid="{00000000-0004-0000-0100-000028010000}"/>
    <hyperlink ref="N299" r:id="rId298" xr:uid="{00000000-0004-0000-0100-000029010000}"/>
    <hyperlink ref="N300" r:id="rId299" xr:uid="{00000000-0004-0000-0100-00002A010000}"/>
    <hyperlink ref="N301" r:id="rId300" xr:uid="{00000000-0004-0000-0100-00002B010000}"/>
    <hyperlink ref="N302" r:id="rId301" xr:uid="{00000000-0004-0000-0100-00002C010000}"/>
    <hyperlink ref="N303" r:id="rId302" xr:uid="{00000000-0004-0000-0100-00002D010000}"/>
    <hyperlink ref="N304" r:id="rId303" xr:uid="{00000000-0004-0000-0100-00002E010000}"/>
    <hyperlink ref="N305" r:id="rId304" xr:uid="{00000000-0004-0000-0100-00002F010000}"/>
    <hyperlink ref="N306" r:id="rId305" xr:uid="{00000000-0004-0000-0100-000030010000}"/>
    <hyperlink ref="N307" r:id="rId306" xr:uid="{00000000-0004-0000-0100-000031010000}"/>
    <hyperlink ref="N308" r:id="rId307" xr:uid="{00000000-0004-0000-0100-000032010000}"/>
    <hyperlink ref="N309" r:id="rId308" xr:uid="{00000000-0004-0000-0100-000033010000}"/>
    <hyperlink ref="N310" r:id="rId309" xr:uid="{00000000-0004-0000-0100-000034010000}"/>
    <hyperlink ref="N311" r:id="rId310" xr:uid="{00000000-0004-0000-0100-000035010000}"/>
    <hyperlink ref="N312" r:id="rId311" xr:uid="{00000000-0004-0000-0100-000036010000}"/>
    <hyperlink ref="N313" r:id="rId312" xr:uid="{00000000-0004-0000-0100-000037010000}"/>
    <hyperlink ref="N314" r:id="rId313" xr:uid="{00000000-0004-0000-0100-000038010000}"/>
    <hyperlink ref="N315" r:id="rId314" xr:uid="{00000000-0004-0000-0100-000039010000}"/>
    <hyperlink ref="N316" r:id="rId315" xr:uid="{00000000-0004-0000-0100-00003A010000}"/>
    <hyperlink ref="N317" r:id="rId316" xr:uid="{00000000-0004-0000-0100-00003B010000}"/>
    <hyperlink ref="N318" r:id="rId317" xr:uid="{00000000-0004-0000-0100-00003C010000}"/>
    <hyperlink ref="N319" r:id="rId318" xr:uid="{00000000-0004-0000-0100-00003D010000}"/>
    <hyperlink ref="N320" r:id="rId319" xr:uid="{00000000-0004-0000-0100-00003E010000}"/>
    <hyperlink ref="N321" r:id="rId320" xr:uid="{00000000-0004-0000-0100-00003F010000}"/>
    <hyperlink ref="N322" r:id="rId321" xr:uid="{00000000-0004-0000-0100-000040010000}"/>
    <hyperlink ref="N323" r:id="rId322" xr:uid="{00000000-0004-0000-0100-000041010000}"/>
    <hyperlink ref="N324" r:id="rId323" xr:uid="{00000000-0004-0000-0100-000042010000}"/>
    <hyperlink ref="N325" r:id="rId324" xr:uid="{00000000-0004-0000-0100-000043010000}"/>
    <hyperlink ref="N326" r:id="rId325" xr:uid="{00000000-0004-0000-0100-000044010000}"/>
    <hyperlink ref="N327" r:id="rId326" xr:uid="{00000000-0004-0000-0100-000045010000}"/>
    <hyperlink ref="N328" r:id="rId327" xr:uid="{00000000-0004-0000-0100-000046010000}"/>
    <hyperlink ref="N329" r:id="rId328" xr:uid="{00000000-0004-0000-0100-000047010000}"/>
    <hyperlink ref="N330" r:id="rId329" xr:uid="{00000000-0004-0000-0100-000048010000}"/>
    <hyperlink ref="N331" r:id="rId330" xr:uid="{00000000-0004-0000-0100-000049010000}"/>
    <hyperlink ref="N332" r:id="rId331" xr:uid="{00000000-0004-0000-0100-00004A010000}"/>
    <hyperlink ref="N333" r:id="rId332" xr:uid="{00000000-0004-0000-0100-00004B010000}"/>
    <hyperlink ref="N334" r:id="rId333" xr:uid="{00000000-0004-0000-0100-00004C010000}"/>
    <hyperlink ref="N335" r:id="rId334" xr:uid="{00000000-0004-0000-0100-00004D010000}"/>
    <hyperlink ref="N336" r:id="rId335" xr:uid="{00000000-0004-0000-0100-00004E010000}"/>
    <hyperlink ref="N337" r:id="rId336" xr:uid="{00000000-0004-0000-0100-00004F010000}"/>
    <hyperlink ref="N338" r:id="rId337" xr:uid="{00000000-0004-0000-0100-000050010000}"/>
    <hyperlink ref="N339" r:id="rId338" xr:uid="{00000000-0004-0000-0100-000051010000}"/>
    <hyperlink ref="N340" r:id="rId339" xr:uid="{00000000-0004-0000-0100-000052010000}"/>
    <hyperlink ref="N341" r:id="rId340" xr:uid="{00000000-0004-0000-0100-000053010000}"/>
    <hyperlink ref="N342" r:id="rId341" xr:uid="{00000000-0004-0000-0100-000054010000}"/>
    <hyperlink ref="N343" r:id="rId342" xr:uid="{00000000-0004-0000-0100-000055010000}"/>
    <hyperlink ref="N344" r:id="rId343" xr:uid="{00000000-0004-0000-0100-000056010000}"/>
    <hyperlink ref="N345" r:id="rId344" xr:uid="{00000000-0004-0000-0100-000057010000}"/>
    <hyperlink ref="N346" r:id="rId345" xr:uid="{00000000-0004-0000-0100-000058010000}"/>
    <hyperlink ref="N347" r:id="rId346" xr:uid="{00000000-0004-0000-0100-000059010000}"/>
    <hyperlink ref="N348" r:id="rId347" xr:uid="{00000000-0004-0000-0100-00005A010000}"/>
    <hyperlink ref="N349" r:id="rId348" xr:uid="{00000000-0004-0000-0100-00005B010000}"/>
    <hyperlink ref="N350" r:id="rId349" xr:uid="{00000000-0004-0000-0100-00005C010000}"/>
    <hyperlink ref="N351" r:id="rId350" xr:uid="{00000000-0004-0000-0100-00005D010000}"/>
    <hyperlink ref="N352" r:id="rId351" xr:uid="{00000000-0004-0000-0100-00005E010000}"/>
    <hyperlink ref="N353" r:id="rId352" xr:uid="{00000000-0004-0000-0100-00005F010000}"/>
    <hyperlink ref="N354" r:id="rId353" xr:uid="{00000000-0004-0000-0100-000060010000}"/>
    <hyperlink ref="N355" r:id="rId354" xr:uid="{00000000-0004-0000-0100-000061010000}"/>
    <hyperlink ref="N356" r:id="rId355" xr:uid="{00000000-0004-0000-0100-000062010000}"/>
    <hyperlink ref="N357" r:id="rId356" xr:uid="{00000000-0004-0000-0100-000063010000}"/>
    <hyperlink ref="N358" r:id="rId357" xr:uid="{00000000-0004-0000-0100-000064010000}"/>
    <hyperlink ref="N359" r:id="rId358" xr:uid="{00000000-0004-0000-0100-000065010000}"/>
    <hyperlink ref="N360" r:id="rId359" xr:uid="{00000000-0004-0000-0100-000066010000}"/>
    <hyperlink ref="N361" r:id="rId360" xr:uid="{00000000-0004-0000-0100-000067010000}"/>
    <hyperlink ref="N362" r:id="rId361" xr:uid="{00000000-0004-0000-0100-000068010000}"/>
    <hyperlink ref="N363" r:id="rId362" xr:uid="{00000000-0004-0000-0100-000069010000}"/>
    <hyperlink ref="N364" r:id="rId363" xr:uid="{00000000-0004-0000-0100-00006A010000}"/>
    <hyperlink ref="N365" r:id="rId364" xr:uid="{00000000-0004-0000-0100-00006B010000}"/>
    <hyperlink ref="N366" r:id="rId365" xr:uid="{00000000-0004-0000-0100-00006C010000}"/>
    <hyperlink ref="N367" r:id="rId366" xr:uid="{00000000-0004-0000-0100-00006D010000}"/>
    <hyperlink ref="N368" r:id="rId367" xr:uid="{00000000-0004-0000-0100-00006E010000}"/>
    <hyperlink ref="N369" r:id="rId368" xr:uid="{00000000-0004-0000-0100-00006F010000}"/>
    <hyperlink ref="N370" r:id="rId369" xr:uid="{00000000-0004-0000-0100-000070010000}"/>
    <hyperlink ref="N371" r:id="rId370" xr:uid="{00000000-0004-0000-0100-000071010000}"/>
    <hyperlink ref="N372" r:id="rId371" xr:uid="{00000000-0004-0000-0100-000072010000}"/>
    <hyperlink ref="N373" r:id="rId372" xr:uid="{00000000-0004-0000-0100-000073010000}"/>
    <hyperlink ref="N374" r:id="rId373" xr:uid="{00000000-0004-0000-0100-000074010000}"/>
    <hyperlink ref="N375" r:id="rId374" xr:uid="{00000000-0004-0000-0100-000075010000}"/>
    <hyperlink ref="N376" r:id="rId375" xr:uid="{00000000-0004-0000-0100-000076010000}"/>
    <hyperlink ref="N377" r:id="rId376" xr:uid="{00000000-0004-0000-0100-000077010000}"/>
    <hyperlink ref="N378" r:id="rId377" xr:uid="{00000000-0004-0000-0100-000078010000}"/>
    <hyperlink ref="N379" r:id="rId378" xr:uid="{00000000-0004-0000-0100-000079010000}"/>
    <hyperlink ref="N380" r:id="rId379" xr:uid="{00000000-0004-0000-0100-00007A010000}"/>
    <hyperlink ref="N381" r:id="rId380" xr:uid="{00000000-0004-0000-0100-00007B010000}"/>
    <hyperlink ref="N382" r:id="rId381" xr:uid="{00000000-0004-0000-0100-00007C010000}"/>
    <hyperlink ref="N383" r:id="rId382" xr:uid="{00000000-0004-0000-0100-00007D010000}"/>
    <hyperlink ref="N384" r:id="rId383" xr:uid="{00000000-0004-0000-0100-00007E010000}"/>
    <hyperlink ref="N385" r:id="rId384" xr:uid="{00000000-0004-0000-0100-00007F010000}"/>
    <hyperlink ref="N386" r:id="rId385" xr:uid="{00000000-0004-0000-0100-000080010000}"/>
    <hyperlink ref="N387" r:id="rId386" xr:uid="{00000000-0004-0000-0100-000081010000}"/>
    <hyperlink ref="N388" r:id="rId387" xr:uid="{00000000-0004-0000-0100-000082010000}"/>
    <hyperlink ref="N389" r:id="rId388" xr:uid="{00000000-0004-0000-0100-000083010000}"/>
    <hyperlink ref="N390" r:id="rId389" xr:uid="{00000000-0004-0000-0100-000084010000}"/>
    <hyperlink ref="N391" r:id="rId390" xr:uid="{00000000-0004-0000-0100-000085010000}"/>
    <hyperlink ref="N392" r:id="rId391" xr:uid="{00000000-0004-0000-0100-000086010000}"/>
    <hyperlink ref="N393" r:id="rId392" xr:uid="{00000000-0004-0000-0100-000087010000}"/>
    <hyperlink ref="N394" r:id="rId393" xr:uid="{00000000-0004-0000-0100-000088010000}"/>
    <hyperlink ref="N395" r:id="rId394" xr:uid="{00000000-0004-0000-0100-000089010000}"/>
    <hyperlink ref="N396" r:id="rId395" xr:uid="{00000000-0004-0000-0100-00008A010000}"/>
    <hyperlink ref="N397" r:id="rId396" xr:uid="{00000000-0004-0000-0100-00008B010000}"/>
    <hyperlink ref="N398" r:id="rId397" xr:uid="{00000000-0004-0000-0100-00008C010000}"/>
    <hyperlink ref="N399" r:id="rId398" xr:uid="{00000000-0004-0000-0100-00008D010000}"/>
    <hyperlink ref="N400" r:id="rId399" xr:uid="{00000000-0004-0000-0100-00008E010000}"/>
    <hyperlink ref="N401" r:id="rId400" xr:uid="{00000000-0004-0000-0100-00008F010000}"/>
    <hyperlink ref="N402" r:id="rId401" xr:uid="{00000000-0004-0000-0100-000090010000}"/>
    <hyperlink ref="N403" r:id="rId402" xr:uid="{00000000-0004-0000-0100-000091010000}"/>
    <hyperlink ref="N404" r:id="rId403" xr:uid="{00000000-0004-0000-0100-000092010000}"/>
    <hyperlink ref="N405" r:id="rId404" xr:uid="{00000000-0004-0000-0100-000093010000}"/>
    <hyperlink ref="N406" r:id="rId405" xr:uid="{00000000-0004-0000-0100-000094010000}"/>
    <hyperlink ref="N407" r:id="rId406" xr:uid="{00000000-0004-0000-0100-000095010000}"/>
    <hyperlink ref="N408" r:id="rId407" xr:uid="{00000000-0004-0000-0100-000096010000}"/>
    <hyperlink ref="N409" r:id="rId408" xr:uid="{00000000-0004-0000-0100-000097010000}"/>
    <hyperlink ref="N410" r:id="rId409" xr:uid="{00000000-0004-0000-0100-000098010000}"/>
    <hyperlink ref="N411" r:id="rId410" xr:uid="{00000000-0004-0000-0100-000099010000}"/>
    <hyperlink ref="N412" r:id="rId411" xr:uid="{00000000-0004-0000-0100-00009A010000}"/>
    <hyperlink ref="N413" r:id="rId412" xr:uid="{00000000-0004-0000-0100-00009B010000}"/>
    <hyperlink ref="N414" r:id="rId413" xr:uid="{00000000-0004-0000-0100-00009C010000}"/>
    <hyperlink ref="N415" r:id="rId414" xr:uid="{00000000-0004-0000-0100-00009D010000}"/>
    <hyperlink ref="N416" r:id="rId415" xr:uid="{00000000-0004-0000-0100-00009E010000}"/>
    <hyperlink ref="N417" r:id="rId416" xr:uid="{00000000-0004-0000-0100-00009F010000}"/>
    <hyperlink ref="N418" r:id="rId417" xr:uid="{00000000-0004-0000-0100-0000A0010000}"/>
    <hyperlink ref="N419" r:id="rId418" xr:uid="{00000000-0004-0000-0100-0000A1010000}"/>
    <hyperlink ref="N420" r:id="rId419" xr:uid="{00000000-0004-0000-0100-0000A2010000}"/>
    <hyperlink ref="N421" r:id="rId420" xr:uid="{00000000-0004-0000-0100-0000A3010000}"/>
    <hyperlink ref="N422" r:id="rId421" xr:uid="{00000000-0004-0000-0100-0000A4010000}"/>
    <hyperlink ref="N423" r:id="rId422" xr:uid="{00000000-0004-0000-0100-0000A5010000}"/>
    <hyperlink ref="N424" r:id="rId423" xr:uid="{00000000-0004-0000-0100-0000A6010000}"/>
    <hyperlink ref="N425" r:id="rId424" xr:uid="{00000000-0004-0000-0100-0000A7010000}"/>
    <hyperlink ref="N426" r:id="rId425" xr:uid="{00000000-0004-0000-0100-0000A8010000}"/>
    <hyperlink ref="N427" r:id="rId426" xr:uid="{00000000-0004-0000-0100-0000A9010000}"/>
    <hyperlink ref="N428" r:id="rId427" xr:uid="{00000000-0004-0000-0100-0000AA010000}"/>
    <hyperlink ref="N429" r:id="rId428" xr:uid="{00000000-0004-0000-0100-0000AB010000}"/>
    <hyperlink ref="N430" r:id="rId429" xr:uid="{00000000-0004-0000-0100-0000AC010000}"/>
    <hyperlink ref="N431" r:id="rId430" xr:uid="{00000000-0004-0000-0100-0000AD010000}"/>
    <hyperlink ref="N432" r:id="rId431" xr:uid="{00000000-0004-0000-0100-0000AE010000}"/>
    <hyperlink ref="N433" r:id="rId432" xr:uid="{00000000-0004-0000-0100-0000AF010000}"/>
    <hyperlink ref="N434" r:id="rId433" xr:uid="{00000000-0004-0000-0100-0000B0010000}"/>
    <hyperlink ref="N435" r:id="rId434" xr:uid="{00000000-0004-0000-0100-0000B1010000}"/>
    <hyperlink ref="N436" r:id="rId435" xr:uid="{00000000-0004-0000-0100-0000B2010000}"/>
    <hyperlink ref="N437" r:id="rId436" xr:uid="{00000000-0004-0000-0100-0000B3010000}"/>
    <hyperlink ref="N438" r:id="rId437" xr:uid="{00000000-0004-0000-0100-0000B4010000}"/>
    <hyperlink ref="N439" r:id="rId438" xr:uid="{00000000-0004-0000-0100-0000B5010000}"/>
    <hyperlink ref="N440" r:id="rId439" xr:uid="{00000000-0004-0000-0100-0000B6010000}"/>
    <hyperlink ref="N441" r:id="rId440" xr:uid="{00000000-0004-0000-0100-0000B7010000}"/>
    <hyperlink ref="N442" r:id="rId441" xr:uid="{00000000-0004-0000-0100-0000B8010000}"/>
    <hyperlink ref="N443" r:id="rId442" xr:uid="{00000000-0004-0000-0100-0000B9010000}"/>
    <hyperlink ref="N444" r:id="rId443" xr:uid="{00000000-0004-0000-0100-0000BA010000}"/>
    <hyperlink ref="N445" r:id="rId444" xr:uid="{00000000-0004-0000-0100-0000BB010000}"/>
    <hyperlink ref="N446" r:id="rId445" xr:uid="{00000000-0004-0000-0100-0000BC010000}"/>
    <hyperlink ref="N447" r:id="rId446" xr:uid="{00000000-0004-0000-0100-0000BD010000}"/>
    <hyperlink ref="N448" r:id="rId447" xr:uid="{00000000-0004-0000-0100-0000BE010000}"/>
    <hyperlink ref="N449" r:id="rId448" xr:uid="{00000000-0004-0000-0100-0000BF010000}"/>
    <hyperlink ref="N450" r:id="rId449" xr:uid="{00000000-0004-0000-0100-0000C0010000}"/>
    <hyperlink ref="N451" r:id="rId450" xr:uid="{00000000-0004-0000-0100-0000C1010000}"/>
    <hyperlink ref="N452" r:id="rId451" xr:uid="{00000000-0004-0000-0100-0000C2010000}"/>
    <hyperlink ref="N453" r:id="rId452" xr:uid="{00000000-0004-0000-0100-0000C3010000}"/>
    <hyperlink ref="N454" r:id="rId453" xr:uid="{00000000-0004-0000-0100-0000C4010000}"/>
    <hyperlink ref="N455" r:id="rId454" xr:uid="{00000000-0004-0000-0100-0000C5010000}"/>
    <hyperlink ref="N456" r:id="rId455" xr:uid="{00000000-0004-0000-0100-0000C6010000}"/>
    <hyperlink ref="N457" r:id="rId456" xr:uid="{00000000-0004-0000-0100-0000C7010000}"/>
    <hyperlink ref="N458" r:id="rId457" xr:uid="{00000000-0004-0000-0100-0000C8010000}"/>
    <hyperlink ref="N459" r:id="rId458" xr:uid="{00000000-0004-0000-0100-0000C9010000}"/>
    <hyperlink ref="N460" r:id="rId459" xr:uid="{00000000-0004-0000-0100-0000CA010000}"/>
    <hyperlink ref="N461" r:id="rId460" xr:uid="{00000000-0004-0000-0100-0000CB010000}"/>
    <hyperlink ref="N462" r:id="rId461" xr:uid="{00000000-0004-0000-0100-0000CC010000}"/>
    <hyperlink ref="N463" r:id="rId462" xr:uid="{00000000-0004-0000-0100-0000CD010000}"/>
    <hyperlink ref="N464" r:id="rId463" xr:uid="{00000000-0004-0000-0100-0000CE010000}"/>
    <hyperlink ref="N465" r:id="rId464" xr:uid="{00000000-0004-0000-0100-0000CF010000}"/>
    <hyperlink ref="N466" r:id="rId465" xr:uid="{00000000-0004-0000-0100-0000D0010000}"/>
    <hyperlink ref="N467" r:id="rId466" xr:uid="{00000000-0004-0000-0100-0000D1010000}"/>
    <hyperlink ref="N468" r:id="rId467" xr:uid="{00000000-0004-0000-0100-0000D2010000}"/>
    <hyperlink ref="N469" r:id="rId468" xr:uid="{00000000-0004-0000-0100-0000D3010000}"/>
    <hyperlink ref="N470" r:id="rId469" xr:uid="{00000000-0004-0000-0100-0000D4010000}"/>
    <hyperlink ref="N471" r:id="rId470" xr:uid="{00000000-0004-0000-0100-0000D5010000}"/>
    <hyperlink ref="N472" r:id="rId471" xr:uid="{00000000-0004-0000-0100-0000D6010000}"/>
    <hyperlink ref="N473" r:id="rId472" xr:uid="{00000000-0004-0000-0100-0000D7010000}"/>
    <hyperlink ref="N474" r:id="rId473" xr:uid="{00000000-0004-0000-0100-0000D8010000}"/>
    <hyperlink ref="N475" r:id="rId474" xr:uid="{00000000-0004-0000-0100-0000D9010000}"/>
    <hyperlink ref="N476" r:id="rId475" xr:uid="{00000000-0004-0000-0100-0000DA010000}"/>
    <hyperlink ref="N477" r:id="rId476" xr:uid="{00000000-0004-0000-0100-0000DB010000}"/>
    <hyperlink ref="N478" r:id="rId477" xr:uid="{00000000-0004-0000-0100-0000DC010000}"/>
    <hyperlink ref="N479" r:id="rId478" xr:uid="{00000000-0004-0000-0100-0000DD010000}"/>
    <hyperlink ref="N480" r:id="rId479" xr:uid="{00000000-0004-0000-0100-0000DE010000}"/>
    <hyperlink ref="N481" r:id="rId480" xr:uid="{00000000-0004-0000-0100-0000DF010000}"/>
    <hyperlink ref="N482" r:id="rId481" xr:uid="{00000000-0004-0000-0100-0000E0010000}"/>
    <hyperlink ref="N483" r:id="rId482" xr:uid="{00000000-0004-0000-0100-0000E1010000}"/>
    <hyperlink ref="N484" r:id="rId483" xr:uid="{00000000-0004-0000-0100-0000E2010000}"/>
    <hyperlink ref="N485" r:id="rId484" xr:uid="{00000000-0004-0000-0100-0000E3010000}"/>
    <hyperlink ref="N486" r:id="rId485" xr:uid="{00000000-0004-0000-0100-0000E4010000}"/>
    <hyperlink ref="N487" r:id="rId486" xr:uid="{00000000-0004-0000-0100-0000E5010000}"/>
    <hyperlink ref="N488" r:id="rId487" xr:uid="{00000000-0004-0000-0100-0000E6010000}"/>
    <hyperlink ref="N489" r:id="rId488" xr:uid="{00000000-0004-0000-0100-0000E7010000}"/>
    <hyperlink ref="N490" r:id="rId489" xr:uid="{00000000-0004-0000-0100-0000E8010000}"/>
    <hyperlink ref="N491" r:id="rId490" xr:uid="{00000000-0004-0000-0100-0000E9010000}"/>
    <hyperlink ref="N492" r:id="rId491" xr:uid="{00000000-0004-0000-0100-0000EA010000}"/>
    <hyperlink ref="N493" r:id="rId492" xr:uid="{00000000-0004-0000-0100-0000EB010000}"/>
    <hyperlink ref="N494" r:id="rId493" xr:uid="{00000000-0004-0000-0100-0000EC010000}"/>
    <hyperlink ref="N495" r:id="rId494" xr:uid="{00000000-0004-0000-0100-0000ED010000}"/>
    <hyperlink ref="N496" r:id="rId495" xr:uid="{00000000-0004-0000-0100-0000EE010000}"/>
    <hyperlink ref="N497" r:id="rId496" xr:uid="{00000000-0004-0000-0100-0000EF010000}"/>
    <hyperlink ref="N498" r:id="rId497" xr:uid="{00000000-0004-0000-0100-0000F0010000}"/>
    <hyperlink ref="N499" r:id="rId498" xr:uid="{00000000-0004-0000-0100-0000F1010000}"/>
    <hyperlink ref="N500" r:id="rId499" xr:uid="{00000000-0004-0000-0100-0000F2010000}"/>
    <hyperlink ref="N501" r:id="rId500" xr:uid="{00000000-0004-0000-0100-0000F3010000}"/>
    <hyperlink ref="N502" r:id="rId501" xr:uid="{00000000-0004-0000-0100-0000F4010000}"/>
    <hyperlink ref="N503" r:id="rId502" xr:uid="{00000000-0004-0000-0100-0000F5010000}"/>
    <hyperlink ref="N504" r:id="rId503" xr:uid="{00000000-0004-0000-0100-0000F6010000}"/>
    <hyperlink ref="N505" r:id="rId504" xr:uid="{00000000-0004-0000-0100-0000F7010000}"/>
    <hyperlink ref="N506" r:id="rId505" xr:uid="{00000000-0004-0000-0100-0000F8010000}"/>
    <hyperlink ref="N507" r:id="rId506" xr:uid="{00000000-0004-0000-0100-0000F9010000}"/>
    <hyperlink ref="N508" r:id="rId507" xr:uid="{00000000-0004-0000-0100-0000FA010000}"/>
    <hyperlink ref="N509" r:id="rId508" xr:uid="{00000000-0004-0000-0100-0000FB010000}"/>
    <hyperlink ref="N510" r:id="rId509" xr:uid="{00000000-0004-0000-0100-0000FC010000}"/>
    <hyperlink ref="N511" r:id="rId510" xr:uid="{00000000-0004-0000-0100-0000FD010000}"/>
    <hyperlink ref="N512" r:id="rId511" xr:uid="{00000000-0004-0000-0100-0000FE010000}"/>
    <hyperlink ref="N513" r:id="rId512" xr:uid="{00000000-0004-0000-0100-0000FF010000}"/>
    <hyperlink ref="N514" r:id="rId513" xr:uid="{00000000-0004-0000-0100-000000020000}"/>
    <hyperlink ref="N515" r:id="rId514" xr:uid="{00000000-0004-0000-0100-000001020000}"/>
    <hyperlink ref="N516" r:id="rId515" xr:uid="{00000000-0004-0000-0100-000002020000}"/>
    <hyperlink ref="N517" r:id="rId516" xr:uid="{00000000-0004-0000-0100-000003020000}"/>
    <hyperlink ref="N518" r:id="rId517" xr:uid="{00000000-0004-0000-0100-000004020000}"/>
    <hyperlink ref="N519" r:id="rId518" xr:uid="{00000000-0004-0000-0100-000005020000}"/>
    <hyperlink ref="N520" r:id="rId519" xr:uid="{00000000-0004-0000-0100-000006020000}"/>
    <hyperlink ref="N521" r:id="rId520" xr:uid="{00000000-0004-0000-0100-000007020000}"/>
    <hyperlink ref="N522" r:id="rId521" xr:uid="{00000000-0004-0000-0100-000008020000}"/>
    <hyperlink ref="N523" r:id="rId522" xr:uid="{00000000-0004-0000-0100-000009020000}"/>
    <hyperlink ref="N524" r:id="rId523" xr:uid="{00000000-0004-0000-0100-00000A020000}"/>
    <hyperlink ref="N525" r:id="rId524" xr:uid="{00000000-0004-0000-0100-00000B020000}"/>
    <hyperlink ref="N526" r:id="rId525" xr:uid="{00000000-0004-0000-0100-00000C020000}"/>
    <hyperlink ref="N527" r:id="rId526" xr:uid="{00000000-0004-0000-0100-00000D020000}"/>
    <hyperlink ref="N528" r:id="rId527" xr:uid="{00000000-0004-0000-0100-00000E020000}"/>
    <hyperlink ref="N529" r:id="rId528" xr:uid="{00000000-0004-0000-0100-00000F020000}"/>
    <hyperlink ref="N530" r:id="rId529" xr:uid="{00000000-0004-0000-0100-000010020000}"/>
    <hyperlink ref="N531" r:id="rId530" xr:uid="{00000000-0004-0000-0100-000011020000}"/>
    <hyperlink ref="N532" r:id="rId531" xr:uid="{00000000-0004-0000-0100-000012020000}"/>
    <hyperlink ref="N533" r:id="rId532" xr:uid="{00000000-0004-0000-0100-000013020000}"/>
    <hyperlink ref="N534" r:id="rId533" xr:uid="{00000000-0004-0000-0100-000014020000}"/>
    <hyperlink ref="N535" r:id="rId534" xr:uid="{00000000-0004-0000-0100-000015020000}"/>
    <hyperlink ref="N536" r:id="rId535" xr:uid="{00000000-0004-0000-0100-000016020000}"/>
    <hyperlink ref="N537" r:id="rId536" xr:uid="{00000000-0004-0000-0100-000017020000}"/>
    <hyperlink ref="N538" r:id="rId537" xr:uid="{00000000-0004-0000-0100-000018020000}"/>
    <hyperlink ref="N539" r:id="rId538" xr:uid="{00000000-0004-0000-0100-000019020000}"/>
    <hyperlink ref="N540" r:id="rId539" xr:uid="{00000000-0004-0000-0100-00001A020000}"/>
    <hyperlink ref="N541" r:id="rId540" xr:uid="{00000000-0004-0000-0100-00001B020000}"/>
    <hyperlink ref="N542" r:id="rId541" xr:uid="{00000000-0004-0000-0100-00001C020000}"/>
    <hyperlink ref="N543" r:id="rId542" xr:uid="{00000000-0004-0000-0100-00001D020000}"/>
    <hyperlink ref="N544" r:id="rId543" xr:uid="{00000000-0004-0000-0100-00001E020000}"/>
    <hyperlink ref="N545" r:id="rId544" xr:uid="{00000000-0004-0000-0100-00001F020000}"/>
    <hyperlink ref="N546" r:id="rId545" xr:uid="{00000000-0004-0000-0100-000020020000}"/>
    <hyperlink ref="N547" r:id="rId546" xr:uid="{00000000-0004-0000-0100-000021020000}"/>
    <hyperlink ref="N548" r:id="rId547" xr:uid="{00000000-0004-0000-0100-000022020000}"/>
    <hyperlink ref="N549" r:id="rId548" xr:uid="{00000000-0004-0000-0100-000023020000}"/>
    <hyperlink ref="N550" r:id="rId549" xr:uid="{00000000-0004-0000-0100-000024020000}"/>
    <hyperlink ref="N551" r:id="rId550" xr:uid="{00000000-0004-0000-0100-000025020000}"/>
    <hyperlink ref="N552" r:id="rId551" xr:uid="{00000000-0004-0000-0100-000026020000}"/>
    <hyperlink ref="N553" r:id="rId552" xr:uid="{00000000-0004-0000-0100-000027020000}"/>
    <hyperlink ref="N554" r:id="rId553" xr:uid="{00000000-0004-0000-0100-000028020000}"/>
    <hyperlink ref="N555" r:id="rId554" xr:uid="{00000000-0004-0000-0100-000029020000}"/>
    <hyperlink ref="N556" r:id="rId555" xr:uid="{00000000-0004-0000-0100-00002A020000}"/>
    <hyperlink ref="N557" r:id="rId556" xr:uid="{00000000-0004-0000-0100-00002B020000}"/>
    <hyperlink ref="N558" r:id="rId557" xr:uid="{00000000-0004-0000-0100-00002C020000}"/>
    <hyperlink ref="N559" r:id="rId558" xr:uid="{00000000-0004-0000-0100-00002D020000}"/>
    <hyperlink ref="N560" r:id="rId559" xr:uid="{00000000-0004-0000-0100-00002E020000}"/>
    <hyperlink ref="N561" r:id="rId560" xr:uid="{00000000-0004-0000-0100-00002F020000}"/>
    <hyperlink ref="N562" r:id="rId561" xr:uid="{00000000-0004-0000-0100-000030020000}"/>
    <hyperlink ref="N563" r:id="rId562" xr:uid="{00000000-0004-0000-0100-000031020000}"/>
    <hyperlink ref="N564" r:id="rId563" xr:uid="{00000000-0004-0000-0100-000032020000}"/>
    <hyperlink ref="N565" r:id="rId564" xr:uid="{00000000-0004-0000-0100-000033020000}"/>
    <hyperlink ref="N566" r:id="rId565" xr:uid="{00000000-0004-0000-0100-000034020000}"/>
    <hyperlink ref="N567" r:id="rId566" xr:uid="{00000000-0004-0000-0100-000035020000}"/>
    <hyperlink ref="N568" r:id="rId567" xr:uid="{00000000-0004-0000-0100-000036020000}"/>
    <hyperlink ref="N569" r:id="rId568" xr:uid="{00000000-0004-0000-0100-000037020000}"/>
    <hyperlink ref="N570" r:id="rId569" xr:uid="{00000000-0004-0000-0100-000038020000}"/>
    <hyperlink ref="N571" r:id="rId570" xr:uid="{00000000-0004-0000-0100-000039020000}"/>
    <hyperlink ref="N572" r:id="rId571" xr:uid="{00000000-0004-0000-0100-00003A020000}"/>
    <hyperlink ref="N573" r:id="rId572" xr:uid="{00000000-0004-0000-0100-00003B020000}"/>
    <hyperlink ref="N574" r:id="rId573" xr:uid="{00000000-0004-0000-0100-00003C020000}"/>
    <hyperlink ref="N575" r:id="rId574" xr:uid="{00000000-0004-0000-0100-00003D020000}"/>
    <hyperlink ref="N576" r:id="rId575" xr:uid="{00000000-0004-0000-0100-00003E020000}"/>
    <hyperlink ref="N577" r:id="rId576" xr:uid="{00000000-0004-0000-0100-00003F020000}"/>
    <hyperlink ref="N578" r:id="rId577" xr:uid="{00000000-0004-0000-0100-000040020000}"/>
    <hyperlink ref="N579" r:id="rId578" xr:uid="{00000000-0004-0000-0100-000041020000}"/>
    <hyperlink ref="N580" r:id="rId579" xr:uid="{00000000-0004-0000-0100-000042020000}"/>
    <hyperlink ref="N581" r:id="rId580" xr:uid="{00000000-0004-0000-0100-000043020000}"/>
    <hyperlink ref="N582" r:id="rId581" xr:uid="{00000000-0004-0000-0100-000044020000}"/>
    <hyperlink ref="N583" r:id="rId582" xr:uid="{00000000-0004-0000-0100-000045020000}"/>
    <hyperlink ref="N584" r:id="rId583" xr:uid="{00000000-0004-0000-0100-000046020000}"/>
    <hyperlink ref="N585" r:id="rId584" xr:uid="{00000000-0004-0000-0100-000047020000}"/>
    <hyperlink ref="N586" r:id="rId585" xr:uid="{00000000-0004-0000-0100-000048020000}"/>
    <hyperlink ref="N587" r:id="rId586" xr:uid="{00000000-0004-0000-0100-000049020000}"/>
    <hyperlink ref="N588" r:id="rId587" xr:uid="{00000000-0004-0000-0100-00004A020000}"/>
    <hyperlink ref="N589" r:id="rId588" xr:uid="{00000000-0004-0000-0100-00004B020000}"/>
    <hyperlink ref="N590" r:id="rId589" xr:uid="{00000000-0004-0000-0100-00004C020000}"/>
    <hyperlink ref="N591" r:id="rId590" xr:uid="{00000000-0004-0000-0100-00004D020000}"/>
    <hyperlink ref="N592" r:id="rId591" xr:uid="{00000000-0004-0000-0100-00004E020000}"/>
    <hyperlink ref="N593" r:id="rId592" xr:uid="{00000000-0004-0000-0100-00004F020000}"/>
    <hyperlink ref="N594" r:id="rId593" xr:uid="{00000000-0004-0000-0100-000050020000}"/>
    <hyperlink ref="N595" r:id="rId594" xr:uid="{00000000-0004-0000-0100-000051020000}"/>
    <hyperlink ref="N596" r:id="rId595" xr:uid="{00000000-0004-0000-0100-000052020000}"/>
    <hyperlink ref="N597" r:id="rId596" xr:uid="{00000000-0004-0000-0100-000053020000}"/>
    <hyperlink ref="N598" r:id="rId597" xr:uid="{00000000-0004-0000-0100-000054020000}"/>
    <hyperlink ref="N599" r:id="rId598" xr:uid="{00000000-0004-0000-0100-000055020000}"/>
    <hyperlink ref="N600" r:id="rId599" xr:uid="{00000000-0004-0000-0100-000056020000}"/>
    <hyperlink ref="N601" r:id="rId600" xr:uid="{00000000-0004-0000-0100-000057020000}"/>
    <hyperlink ref="N602" r:id="rId601" xr:uid="{00000000-0004-0000-0100-000058020000}"/>
    <hyperlink ref="N603" r:id="rId602" xr:uid="{00000000-0004-0000-0100-000059020000}"/>
    <hyperlink ref="N604" r:id="rId603" xr:uid="{00000000-0004-0000-0100-00005A020000}"/>
    <hyperlink ref="N605" r:id="rId604" xr:uid="{00000000-0004-0000-0100-00005B020000}"/>
    <hyperlink ref="N606" r:id="rId605" xr:uid="{00000000-0004-0000-0100-00005C020000}"/>
    <hyperlink ref="N607" r:id="rId606" xr:uid="{00000000-0004-0000-0100-00005D020000}"/>
    <hyperlink ref="N608" r:id="rId607" xr:uid="{00000000-0004-0000-0100-00005E020000}"/>
    <hyperlink ref="N609" r:id="rId608" xr:uid="{00000000-0004-0000-0100-00005F020000}"/>
    <hyperlink ref="N610" r:id="rId609" xr:uid="{00000000-0004-0000-0100-000060020000}"/>
    <hyperlink ref="N611" r:id="rId610" xr:uid="{00000000-0004-0000-0100-000061020000}"/>
    <hyperlink ref="N612" r:id="rId611" xr:uid="{00000000-0004-0000-0100-000062020000}"/>
    <hyperlink ref="N613" r:id="rId612" xr:uid="{00000000-0004-0000-0100-000063020000}"/>
    <hyperlink ref="N614" r:id="rId613" xr:uid="{00000000-0004-0000-0100-000064020000}"/>
    <hyperlink ref="N615" r:id="rId614" xr:uid="{00000000-0004-0000-0100-000065020000}"/>
    <hyperlink ref="N616" r:id="rId615" xr:uid="{00000000-0004-0000-0100-000066020000}"/>
    <hyperlink ref="N617" r:id="rId616" xr:uid="{00000000-0004-0000-0100-000067020000}"/>
    <hyperlink ref="N618" r:id="rId617" xr:uid="{00000000-0004-0000-0100-000068020000}"/>
    <hyperlink ref="N619" r:id="rId618" xr:uid="{00000000-0004-0000-0100-000069020000}"/>
    <hyperlink ref="N620" r:id="rId619" xr:uid="{00000000-0004-0000-0100-00006A020000}"/>
    <hyperlink ref="N621" r:id="rId620" xr:uid="{00000000-0004-0000-0100-00006B020000}"/>
    <hyperlink ref="N622" r:id="rId621" xr:uid="{00000000-0004-0000-0100-00006C020000}"/>
    <hyperlink ref="N623" r:id="rId622" xr:uid="{00000000-0004-0000-0100-00006D020000}"/>
    <hyperlink ref="N624" r:id="rId623" xr:uid="{00000000-0004-0000-0100-00006E020000}"/>
    <hyperlink ref="N625" r:id="rId624" xr:uid="{00000000-0004-0000-0100-00006F020000}"/>
    <hyperlink ref="N626" r:id="rId625" xr:uid="{00000000-0004-0000-0100-000070020000}"/>
    <hyperlink ref="N627" r:id="rId626" xr:uid="{00000000-0004-0000-0100-000071020000}"/>
    <hyperlink ref="N628" r:id="rId627" xr:uid="{00000000-0004-0000-0100-000072020000}"/>
    <hyperlink ref="N629" r:id="rId628" xr:uid="{00000000-0004-0000-0100-000073020000}"/>
    <hyperlink ref="N630" r:id="rId629" xr:uid="{00000000-0004-0000-0100-000074020000}"/>
    <hyperlink ref="N631" r:id="rId630" xr:uid="{00000000-0004-0000-0100-000075020000}"/>
    <hyperlink ref="N632" r:id="rId631" xr:uid="{00000000-0004-0000-0100-000076020000}"/>
    <hyperlink ref="N633" r:id="rId632" xr:uid="{00000000-0004-0000-0100-000077020000}"/>
    <hyperlink ref="N634" r:id="rId633" xr:uid="{00000000-0004-0000-0100-000078020000}"/>
    <hyperlink ref="N635" r:id="rId634" xr:uid="{00000000-0004-0000-0100-000079020000}"/>
    <hyperlink ref="N636" r:id="rId635" xr:uid="{00000000-0004-0000-0100-00007A020000}"/>
    <hyperlink ref="N637" r:id="rId636" xr:uid="{00000000-0004-0000-0100-00007B020000}"/>
    <hyperlink ref="N638" r:id="rId637" xr:uid="{00000000-0004-0000-0100-00007C020000}"/>
    <hyperlink ref="N639" r:id="rId638" xr:uid="{00000000-0004-0000-0100-00007D020000}"/>
    <hyperlink ref="N640" r:id="rId639" xr:uid="{00000000-0004-0000-0100-00007E020000}"/>
    <hyperlink ref="N641" r:id="rId640" xr:uid="{00000000-0004-0000-0100-00007F020000}"/>
    <hyperlink ref="N642" r:id="rId641" xr:uid="{00000000-0004-0000-0100-000080020000}"/>
    <hyperlink ref="N643" r:id="rId642" xr:uid="{00000000-0004-0000-0100-000081020000}"/>
    <hyperlink ref="N644" r:id="rId643" xr:uid="{00000000-0004-0000-0100-000082020000}"/>
    <hyperlink ref="N645" r:id="rId644" xr:uid="{00000000-0004-0000-0100-000083020000}"/>
    <hyperlink ref="N646" r:id="rId645" xr:uid="{00000000-0004-0000-0100-000084020000}"/>
    <hyperlink ref="N647" r:id="rId646" xr:uid="{00000000-0004-0000-0100-000085020000}"/>
    <hyperlink ref="N648" r:id="rId647" xr:uid="{00000000-0004-0000-0100-000086020000}"/>
    <hyperlink ref="N649" r:id="rId648" xr:uid="{00000000-0004-0000-0100-000087020000}"/>
    <hyperlink ref="N650" r:id="rId649" xr:uid="{00000000-0004-0000-0100-000088020000}"/>
    <hyperlink ref="N651" r:id="rId650" xr:uid="{00000000-0004-0000-0100-000089020000}"/>
    <hyperlink ref="N652" r:id="rId651" xr:uid="{00000000-0004-0000-0100-00008A020000}"/>
    <hyperlink ref="N653" r:id="rId652" xr:uid="{00000000-0004-0000-0100-00008B020000}"/>
    <hyperlink ref="N654" r:id="rId653" xr:uid="{00000000-0004-0000-0100-00008C020000}"/>
    <hyperlink ref="N655" r:id="rId654" xr:uid="{00000000-0004-0000-0100-00008D020000}"/>
    <hyperlink ref="N656" r:id="rId655" xr:uid="{00000000-0004-0000-0100-00008E020000}"/>
    <hyperlink ref="N657" r:id="rId656" xr:uid="{00000000-0004-0000-0100-00008F020000}"/>
    <hyperlink ref="N658" r:id="rId657" xr:uid="{00000000-0004-0000-0100-000090020000}"/>
    <hyperlink ref="N659" r:id="rId658" xr:uid="{00000000-0004-0000-0100-000091020000}"/>
    <hyperlink ref="N660" r:id="rId659" xr:uid="{00000000-0004-0000-0100-000092020000}"/>
    <hyperlink ref="N661" r:id="rId660" xr:uid="{00000000-0004-0000-0100-000093020000}"/>
    <hyperlink ref="N662" r:id="rId661" xr:uid="{00000000-0004-0000-0100-000094020000}"/>
    <hyperlink ref="N663" r:id="rId662" xr:uid="{00000000-0004-0000-0100-000095020000}"/>
    <hyperlink ref="N664" r:id="rId663" xr:uid="{00000000-0004-0000-0100-000096020000}"/>
    <hyperlink ref="N665" r:id="rId664" xr:uid="{00000000-0004-0000-0100-000097020000}"/>
    <hyperlink ref="N666" r:id="rId665" xr:uid="{00000000-0004-0000-0100-000098020000}"/>
    <hyperlink ref="N667" r:id="rId666" xr:uid="{00000000-0004-0000-0100-000099020000}"/>
    <hyperlink ref="N668" r:id="rId667" xr:uid="{00000000-0004-0000-0100-00009A020000}"/>
    <hyperlink ref="N669" r:id="rId668" xr:uid="{00000000-0004-0000-0100-00009B020000}"/>
    <hyperlink ref="N670" r:id="rId669" xr:uid="{00000000-0004-0000-0100-00009C020000}"/>
    <hyperlink ref="N671" r:id="rId670" xr:uid="{00000000-0004-0000-0100-00009D020000}"/>
    <hyperlink ref="N672" r:id="rId671" xr:uid="{00000000-0004-0000-0100-00009E020000}"/>
    <hyperlink ref="N673" r:id="rId672" xr:uid="{00000000-0004-0000-0100-00009F020000}"/>
    <hyperlink ref="N674" r:id="rId673" xr:uid="{00000000-0004-0000-0100-0000A0020000}"/>
    <hyperlink ref="N675" r:id="rId674" xr:uid="{00000000-0004-0000-0100-0000A1020000}"/>
    <hyperlink ref="N676" r:id="rId675" xr:uid="{00000000-0004-0000-0100-0000A2020000}"/>
    <hyperlink ref="N677" r:id="rId676" xr:uid="{00000000-0004-0000-0100-0000A3020000}"/>
    <hyperlink ref="N678" r:id="rId677" xr:uid="{00000000-0004-0000-0100-0000A4020000}"/>
    <hyperlink ref="N679" r:id="rId678" xr:uid="{00000000-0004-0000-0100-0000A5020000}"/>
    <hyperlink ref="N680" r:id="rId679" xr:uid="{00000000-0004-0000-0100-0000A6020000}"/>
    <hyperlink ref="N681" r:id="rId680" xr:uid="{00000000-0004-0000-0100-0000A7020000}"/>
    <hyperlink ref="N682" r:id="rId681" xr:uid="{00000000-0004-0000-0100-0000A8020000}"/>
    <hyperlink ref="N683" r:id="rId682" xr:uid="{00000000-0004-0000-0100-0000A9020000}"/>
    <hyperlink ref="N684" r:id="rId683" xr:uid="{00000000-0004-0000-0100-0000AA020000}"/>
    <hyperlink ref="N685" r:id="rId684" xr:uid="{00000000-0004-0000-0100-0000AB020000}"/>
    <hyperlink ref="N686" r:id="rId685" xr:uid="{00000000-0004-0000-0100-0000AC020000}"/>
    <hyperlink ref="N687" r:id="rId686" xr:uid="{00000000-0004-0000-0100-0000AD020000}"/>
    <hyperlink ref="N688" r:id="rId687" xr:uid="{00000000-0004-0000-0100-0000AE020000}"/>
    <hyperlink ref="N689" r:id="rId688" xr:uid="{00000000-0004-0000-0100-0000AF020000}"/>
    <hyperlink ref="N690" r:id="rId689" xr:uid="{00000000-0004-0000-0100-0000B0020000}"/>
    <hyperlink ref="N691" r:id="rId690" xr:uid="{00000000-0004-0000-0100-0000B1020000}"/>
    <hyperlink ref="N692" r:id="rId691" xr:uid="{00000000-0004-0000-0100-0000B2020000}"/>
    <hyperlink ref="N693" r:id="rId692" xr:uid="{00000000-0004-0000-0100-0000B3020000}"/>
    <hyperlink ref="N694" r:id="rId693" xr:uid="{00000000-0004-0000-0100-0000B4020000}"/>
    <hyperlink ref="N695" r:id="rId694" xr:uid="{00000000-0004-0000-0100-0000B5020000}"/>
    <hyperlink ref="N696" r:id="rId695" xr:uid="{00000000-0004-0000-0100-0000B6020000}"/>
    <hyperlink ref="N697" r:id="rId696" xr:uid="{00000000-0004-0000-0100-0000B7020000}"/>
    <hyperlink ref="N698" r:id="rId697" xr:uid="{00000000-0004-0000-0100-0000B8020000}"/>
    <hyperlink ref="N699" r:id="rId698" xr:uid="{00000000-0004-0000-0100-0000B9020000}"/>
    <hyperlink ref="N700" r:id="rId699" xr:uid="{00000000-0004-0000-0100-0000BA020000}"/>
    <hyperlink ref="N701" r:id="rId700" xr:uid="{00000000-0004-0000-0100-0000BB020000}"/>
    <hyperlink ref="N702" r:id="rId701" xr:uid="{00000000-0004-0000-0100-0000BC020000}"/>
    <hyperlink ref="N703" r:id="rId702" xr:uid="{00000000-0004-0000-0100-0000BD020000}"/>
    <hyperlink ref="N704" r:id="rId703" xr:uid="{00000000-0004-0000-0100-0000BE020000}"/>
    <hyperlink ref="N705" r:id="rId704" xr:uid="{00000000-0004-0000-0100-0000BF020000}"/>
    <hyperlink ref="N706" r:id="rId705" xr:uid="{00000000-0004-0000-0100-0000C0020000}"/>
    <hyperlink ref="N707" r:id="rId706" xr:uid="{00000000-0004-0000-0100-0000C1020000}"/>
    <hyperlink ref="N708" r:id="rId707" xr:uid="{00000000-0004-0000-0100-0000C2020000}"/>
    <hyperlink ref="N709" r:id="rId708" xr:uid="{00000000-0004-0000-0100-0000C3020000}"/>
    <hyperlink ref="N710" r:id="rId709" xr:uid="{00000000-0004-0000-0100-0000C4020000}"/>
    <hyperlink ref="N711" r:id="rId710" xr:uid="{00000000-0004-0000-0100-0000C5020000}"/>
    <hyperlink ref="N712" r:id="rId711" xr:uid="{00000000-0004-0000-0100-0000C6020000}"/>
    <hyperlink ref="N713" r:id="rId712" xr:uid="{00000000-0004-0000-0100-0000C7020000}"/>
    <hyperlink ref="N714" r:id="rId713" xr:uid="{00000000-0004-0000-0100-0000C8020000}"/>
    <hyperlink ref="N715" r:id="rId714" xr:uid="{00000000-0004-0000-0100-0000C9020000}"/>
    <hyperlink ref="N716" r:id="rId715" xr:uid="{00000000-0004-0000-0100-0000CA020000}"/>
    <hyperlink ref="N717" r:id="rId716" xr:uid="{00000000-0004-0000-0100-0000CB020000}"/>
    <hyperlink ref="N718" r:id="rId717" xr:uid="{00000000-0004-0000-0100-0000CC020000}"/>
    <hyperlink ref="N719" r:id="rId718" xr:uid="{00000000-0004-0000-0100-0000CD020000}"/>
    <hyperlink ref="N720" r:id="rId719" xr:uid="{00000000-0004-0000-0100-0000CE020000}"/>
    <hyperlink ref="N721" r:id="rId720" xr:uid="{00000000-0004-0000-0100-0000CF020000}"/>
    <hyperlink ref="N722" r:id="rId721" xr:uid="{00000000-0004-0000-0100-0000D0020000}"/>
    <hyperlink ref="N723" r:id="rId722" xr:uid="{00000000-0004-0000-0100-0000D1020000}"/>
    <hyperlink ref="N724" r:id="rId723" xr:uid="{00000000-0004-0000-0100-0000D2020000}"/>
    <hyperlink ref="N725" r:id="rId724" xr:uid="{00000000-0004-0000-0100-0000D3020000}"/>
    <hyperlink ref="N726" r:id="rId725" xr:uid="{00000000-0004-0000-0100-0000D4020000}"/>
    <hyperlink ref="N727" r:id="rId726" xr:uid="{00000000-0004-0000-0100-0000D5020000}"/>
    <hyperlink ref="N728" r:id="rId727" xr:uid="{00000000-0004-0000-0100-0000D6020000}"/>
    <hyperlink ref="N729" r:id="rId728" xr:uid="{00000000-0004-0000-0100-0000D7020000}"/>
    <hyperlink ref="N730" r:id="rId729" xr:uid="{00000000-0004-0000-0100-0000D8020000}"/>
    <hyperlink ref="N731" r:id="rId730" xr:uid="{00000000-0004-0000-0100-0000D9020000}"/>
    <hyperlink ref="N732" r:id="rId731" xr:uid="{00000000-0004-0000-0100-0000DA020000}"/>
    <hyperlink ref="N733" r:id="rId732" xr:uid="{00000000-0004-0000-0100-0000DB020000}"/>
    <hyperlink ref="N734" r:id="rId733" xr:uid="{00000000-0004-0000-0100-0000DC020000}"/>
    <hyperlink ref="N735" r:id="rId734" xr:uid="{00000000-0004-0000-0100-0000DD020000}"/>
    <hyperlink ref="N736" r:id="rId735" xr:uid="{00000000-0004-0000-0100-0000DE020000}"/>
    <hyperlink ref="N737" r:id="rId736" xr:uid="{00000000-0004-0000-0100-0000DF020000}"/>
    <hyperlink ref="N738" r:id="rId737" xr:uid="{00000000-0004-0000-0100-0000E0020000}"/>
    <hyperlink ref="N739" r:id="rId738" xr:uid="{00000000-0004-0000-0100-0000E1020000}"/>
    <hyperlink ref="N740" r:id="rId739" xr:uid="{00000000-0004-0000-0100-0000E2020000}"/>
    <hyperlink ref="N741" r:id="rId740" xr:uid="{00000000-0004-0000-0100-0000E3020000}"/>
    <hyperlink ref="N742" r:id="rId741" xr:uid="{00000000-0004-0000-0100-0000E4020000}"/>
    <hyperlink ref="N743" r:id="rId742" xr:uid="{00000000-0004-0000-0100-0000E5020000}"/>
    <hyperlink ref="N744" r:id="rId743" xr:uid="{00000000-0004-0000-0100-0000E6020000}"/>
    <hyperlink ref="N745" r:id="rId744" xr:uid="{00000000-0004-0000-0100-0000E7020000}"/>
    <hyperlink ref="N746" r:id="rId745" xr:uid="{00000000-0004-0000-0100-0000E8020000}"/>
    <hyperlink ref="N747" r:id="rId746" xr:uid="{00000000-0004-0000-0100-0000E9020000}"/>
    <hyperlink ref="N748" r:id="rId747" xr:uid="{00000000-0004-0000-0100-0000EA020000}"/>
    <hyperlink ref="N749" r:id="rId748" xr:uid="{00000000-0004-0000-0100-0000EB020000}"/>
    <hyperlink ref="N750" r:id="rId749" xr:uid="{00000000-0004-0000-0100-0000EC020000}"/>
    <hyperlink ref="N751" r:id="rId750" xr:uid="{00000000-0004-0000-0100-0000ED020000}"/>
    <hyperlink ref="N752" r:id="rId751" xr:uid="{00000000-0004-0000-0100-0000EE020000}"/>
    <hyperlink ref="N753" r:id="rId752" xr:uid="{00000000-0004-0000-0100-0000EF020000}"/>
    <hyperlink ref="N754" r:id="rId753" xr:uid="{00000000-0004-0000-0100-0000F0020000}"/>
    <hyperlink ref="N755" r:id="rId754" xr:uid="{00000000-0004-0000-0100-0000F1020000}"/>
    <hyperlink ref="N756" r:id="rId755" xr:uid="{00000000-0004-0000-0100-0000F2020000}"/>
    <hyperlink ref="N757" r:id="rId756" xr:uid="{00000000-0004-0000-0100-0000F3020000}"/>
    <hyperlink ref="N758" r:id="rId757" xr:uid="{00000000-0004-0000-0100-0000F4020000}"/>
    <hyperlink ref="N759" r:id="rId758" xr:uid="{00000000-0004-0000-0100-0000F5020000}"/>
    <hyperlink ref="N760" r:id="rId759" xr:uid="{00000000-0004-0000-0100-0000F6020000}"/>
    <hyperlink ref="N761" r:id="rId760" xr:uid="{00000000-0004-0000-0100-0000F7020000}"/>
    <hyperlink ref="N762" r:id="rId761" xr:uid="{00000000-0004-0000-0100-0000F8020000}"/>
    <hyperlink ref="N763" r:id="rId762" xr:uid="{00000000-0004-0000-0100-0000F9020000}"/>
    <hyperlink ref="N764" r:id="rId763" xr:uid="{00000000-0004-0000-0100-0000FA020000}"/>
    <hyperlink ref="N765" r:id="rId764" xr:uid="{00000000-0004-0000-0100-0000FB020000}"/>
    <hyperlink ref="N766" r:id="rId765" xr:uid="{00000000-0004-0000-0100-0000FC020000}"/>
    <hyperlink ref="N767" r:id="rId766" xr:uid="{00000000-0004-0000-0100-0000FD020000}"/>
    <hyperlink ref="N768" r:id="rId767" xr:uid="{00000000-0004-0000-0100-0000FE020000}"/>
    <hyperlink ref="N769" r:id="rId768" xr:uid="{00000000-0004-0000-0100-0000FF020000}"/>
    <hyperlink ref="N770" r:id="rId769" xr:uid="{00000000-0004-0000-0100-000000030000}"/>
    <hyperlink ref="N771" r:id="rId770" xr:uid="{00000000-0004-0000-0100-000001030000}"/>
    <hyperlink ref="N772" r:id="rId771" xr:uid="{00000000-0004-0000-0100-000002030000}"/>
    <hyperlink ref="N773" r:id="rId772" xr:uid="{00000000-0004-0000-0100-000003030000}"/>
    <hyperlink ref="N774" r:id="rId773" xr:uid="{00000000-0004-0000-0100-000004030000}"/>
    <hyperlink ref="N775" r:id="rId774" xr:uid="{00000000-0004-0000-0100-000005030000}"/>
    <hyperlink ref="N776" r:id="rId775" xr:uid="{00000000-0004-0000-0100-000006030000}"/>
    <hyperlink ref="N777" r:id="rId776" xr:uid="{00000000-0004-0000-0100-000007030000}"/>
    <hyperlink ref="N778" r:id="rId777" xr:uid="{00000000-0004-0000-0100-000008030000}"/>
    <hyperlink ref="N779" r:id="rId778" xr:uid="{00000000-0004-0000-0100-000009030000}"/>
    <hyperlink ref="N780" r:id="rId779" xr:uid="{00000000-0004-0000-0100-00000A030000}"/>
    <hyperlink ref="N781" r:id="rId780" xr:uid="{00000000-0004-0000-0100-00000B030000}"/>
    <hyperlink ref="N782" r:id="rId781" xr:uid="{00000000-0004-0000-0100-00000C030000}"/>
    <hyperlink ref="N783" r:id="rId782" xr:uid="{00000000-0004-0000-0100-00000D030000}"/>
    <hyperlink ref="N784" r:id="rId783" xr:uid="{00000000-0004-0000-0100-00000E030000}"/>
    <hyperlink ref="N785" r:id="rId784" xr:uid="{00000000-0004-0000-0100-00000F030000}"/>
    <hyperlink ref="N786" r:id="rId785" xr:uid="{00000000-0004-0000-0100-000010030000}"/>
    <hyperlink ref="N787" r:id="rId786" xr:uid="{00000000-0004-0000-0100-000011030000}"/>
    <hyperlink ref="N788" r:id="rId787" xr:uid="{00000000-0004-0000-0100-000012030000}"/>
    <hyperlink ref="N789" r:id="rId788" xr:uid="{00000000-0004-0000-0100-000013030000}"/>
    <hyperlink ref="N790" r:id="rId789" xr:uid="{00000000-0004-0000-0100-000014030000}"/>
    <hyperlink ref="N791" r:id="rId790" xr:uid="{00000000-0004-0000-0100-000015030000}"/>
    <hyperlink ref="N792" r:id="rId791" xr:uid="{00000000-0004-0000-0100-000016030000}"/>
    <hyperlink ref="N793" r:id="rId792" xr:uid="{00000000-0004-0000-0100-000017030000}"/>
    <hyperlink ref="N794" r:id="rId793" xr:uid="{00000000-0004-0000-0100-000018030000}"/>
    <hyperlink ref="N795" r:id="rId794" xr:uid="{00000000-0004-0000-0100-000019030000}"/>
    <hyperlink ref="N796" r:id="rId795" xr:uid="{00000000-0004-0000-0100-00001A030000}"/>
    <hyperlink ref="N797" r:id="rId796" xr:uid="{00000000-0004-0000-0100-00001B030000}"/>
    <hyperlink ref="N798" r:id="rId797" xr:uid="{00000000-0004-0000-0100-00001C030000}"/>
    <hyperlink ref="N799" r:id="rId798" xr:uid="{00000000-0004-0000-0100-00001D030000}"/>
    <hyperlink ref="N800" r:id="rId799" xr:uid="{00000000-0004-0000-0100-00001E030000}"/>
    <hyperlink ref="N801" r:id="rId800" xr:uid="{00000000-0004-0000-0100-00001F030000}"/>
    <hyperlink ref="N802" r:id="rId801" xr:uid="{00000000-0004-0000-0100-000020030000}"/>
    <hyperlink ref="N803" r:id="rId802" xr:uid="{00000000-0004-0000-0100-000021030000}"/>
    <hyperlink ref="N804" r:id="rId803" xr:uid="{00000000-0004-0000-0100-000022030000}"/>
    <hyperlink ref="N805" r:id="rId804" xr:uid="{00000000-0004-0000-0100-000023030000}"/>
    <hyperlink ref="N806" r:id="rId805" xr:uid="{00000000-0004-0000-0100-000024030000}"/>
    <hyperlink ref="N807" r:id="rId806" xr:uid="{00000000-0004-0000-0100-000025030000}"/>
    <hyperlink ref="N808" r:id="rId807" xr:uid="{00000000-0004-0000-0100-000026030000}"/>
    <hyperlink ref="N809" r:id="rId808" xr:uid="{00000000-0004-0000-0100-000027030000}"/>
    <hyperlink ref="N810" r:id="rId809" xr:uid="{00000000-0004-0000-0100-000028030000}"/>
    <hyperlink ref="N811" r:id="rId810" xr:uid="{00000000-0004-0000-0100-000029030000}"/>
    <hyperlink ref="N812" r:id="rId811" xr:uid="{00000000-0004-0000-0100-00002A030000}"/>
    <hyperlink ref="N813" r:id="rId812" xr:uid="{00000000-0004-0000-0100-00002B030000}"/>
    <hyperlink ref="N814" r:id="rId813" xr:uid="{00000000-0004-0000-0100-00002C030000}"/>
    <hyperlink ref="N815" r:id="rId814" xr:uid="{00000000-0004-0000-0100-00002D030000}"/>
    <hyperlink ref="N816" r:id="rId815" xr:uid="{00000000-0004-0000-0100-00002E030000}"/>
    <hyperlink ref="N817" r:id="rId816" xr:uid="{00000000-0004-0000-0100-00002F030000}"/>
    <hyperlink ref="N818" r:id="rId817" xr:uid="{00000000-0004-0000-0100-000030030000}"/>
    <hyperlink ref="N819" r:id="rId818" xr:uid="{00000000-0004-0000-0100-000031030000}"/>
    <hyperlink ref="N820" r:id="rId819" xr:uid="{00000000-0004-0000-0100-000032030000}"/>
    <hyperlink ref="N821" r:id="rId820" xr:uid="{00000000-0004-0000-0100-000033030000}"/>
    <hyperlink ref="N822" r:id="rId821" xr:uid="{00000000-0004-0000-0100-000034030000}"/>
    <hyperlink ref="N823" r:id="rId822" xr:uid="{00000000-0004-0000-0100-000035030000}"/>
    <hyperlink ref="N824" r:id="rId823" xr:uid="{00000000-0004-0000-0100-000036030000}"/>
    <hyperlink ref="N825" r:id="rId824" xr:uid="{00000000-0004-0000-0100-000037030000}"/>
    <hyperlink ref="N826" r:id="rId825" xr:uid="{00000000-0004-0000-0100-000038030000}"/>
    <hyperlink ref="N827" r:id="rId826" xr:uid="{00000000-0004-0000-0100-000039030000}"/>
    <hyperlink ref="N828" r:id="rId827" xr:uid="{00000000-0004-0000-0100-00003A030000}"/>
    <hyperlink ref="N829" r:id="rId828" xr:uid="{00000000-0004-0000-0100-00003B030000}"/>
    <hyperlink ref="N830" r:id="rId829" xr:uid="{00000000-0004-0000-0100-00003C030000}"/>
    <hyperlink ref="N831" r:id="rId830" xr:uid="{00000000-0004-0000-0100-00003D030000}"/>
    <hyperlink ref="N832" r:id="rId831" xr:uid="{00000000-0004-0000-0100-00003E030000}"/>
    <hyperlink ref="N833" r:id="rId832" xr:uid="{00000000-0004-0000-0100-00003F030000}"/>
    <hyperlink ref="N834" r:id="rId833" xr:uid="{00000000-0004-0000-0100-000040030000}"/>
    <hyperlink ref="N835" r:id="rId834" xr:uid="{00000000-0004-0000-0100-000041030000}"/>
    <hyperlink ref="N836" r:id="rId835" xr:uid="{00000000-0004-0000-0100-000042030000}"/>
    <hyperlink ref="N837" r:id="rId836" xr:uid="{00000000-0004-0000-0100-000043030000}"/>
    <hyperlink ref="N838" r:id="rId837" xr:uid="{00000000-0004-0000-0100-000044030000}"/>
    <hyperlink ref="N839" r:id="rId838" xr:uid="{00000000-0004-0000-0100-000045030000}"/>
    <hyperlink ref="N840" r:id="rId839" xr:uid="{00000000-0004-0000-0100-000046030000}"/>
    <hyperlink ref="N841" r:id="rId840" xr:uid="{00000000-0004-0000-0100-000047030000}"/>
    <hyperlink ref="N842" r:id="rId841" xr:uid="{00000000-0004-0000-0100-000048030000}"/>
    <hyperlink ref="N843" r:id="rId842" xr:uid="{00000000-0004-0000-0100-000049030000}"/>
    <hyperlink ref="N844" r:id="rId843" xr:uid="{00000000-0004-0000-0100-00004A030000}"/>
    <hyperlink ref="N845" r:id="rId844" xr:uid="{00000000-0004-0000-0100-00004B030000}"/>
    <hyperlink ref="N846" r:id="rId845" xr:uid="{00000000-0004-0000-0100-00004C030000}"/>
    <hyperlink ref="N847" r:id="rId846" xr:uid="{00000000-0004-0000-0100-00004D030000}"/>
    <hyperlink ref="N848" r:id="rId847" xr:uid="{00000000-0004-0000-0100-00004E030000}"/>
    <hyperlink ref="N849" r:id="rId848" xr:uid="{00000000-0004-0000-0100-00004F030000}"/>
    <hyperlink ref="N850" r:id="rId849" xr:uid="{00000000-0004-0000-0100-000050030000}"/>
    <hyperlink ref="N851" r:id="rId850" xr:uid="{00000000-0004-0000-0100-000051030000}"/>
    <hyperlink ref="N852" r:id="rId851" xr:uid="{00000000-0004-0000-0100-000052030000}"/>
    <hyperlink ref="N853" r:id="rId852" xr:uid="{00000000-0004-0000-0100-000053030000}"/>
    <hyperlink ref="N854" r:id="rId853" xr:uid="{00000000-0004-0000-0100-000054030000}"/>
    <hyperlink ref="N855" r:id="rId854" xr:uid="{00000000-0004-0000-0100-000055030000}"/>
    <hyperlink ref="N856" r:id="rId855" xr:uid="{00000000-0004-0000-0100-000056030000}"/>
    <hyperlink ref="N857" r:id="rId856" xr:uid="{00000000-0004-0000-0100-000057030000}"/>
    <hyperlink ref="N858" r:id="rId857" xr:uid="{00000000-0004-0000-0100-000058030000}"/>
    <hyperlink ref="N859" r:id="rId858" xr:uid="{00000000-0004-0000-0100-000059030000}"/>
    <hyperlink ref="N860" r:id="rId859" xr:uid="{00000000-0004-0000-0100-00005A030000}"/>
    <hyperlink ref="N861" r:id="rId860" xr:uid="{00000000-0004-0000-0100-00005B030000}"/>
    <hyperlink ref="N862" r:id="rId861" xr:uid="{00000000-0004-0000-0100-00005C030000}"/>
    <hyperlink ref="N863" r:id="rId862" xr:uid="{00000000-0004-0000-0100-00005D030000}"/>
    <hyperlink ref="N864" r:id="rId863" xr:uid="{00000000-0004-0000-0100-00005E030000}"/>
    <hyperlink ref="N865" r:id="rId864" xr:uid="{00000000-0004-0000-0100-00005F030000}"/>
    <hyperlink ref="N866" r:id="rId865" xr:uid="{00000000-0004-0000-0100-000060030000}"/>
    <hyperlink ref="N867" r:id="rId866" xr:uid="{00000000-0004-0000-0100-000061030000}"/>
    <hyperlink ref="N868" r:id="rId867" xr:uid="{00000000-0004-0000-0100-000062030000}"/>
    <hyperlink ref="N869" r:id="rId868" xr:uid="{00000000-0004-0000-0100-000063030000}"/>
    <hyperlink ref="N870" r:id="rId869" xr:uid="{00000000-0004-0000-0100-000064030000}"/>
    <hyperlink ref="N871" r:id="rId870" xr:uid="{00000000-0004-0000-0100-000065030000}"/>
    <hyperlink ref="N872" r:id="rId871" xr:uid="{00000000-0004-0000-0100-000066030000}"/>
    <hyperlink ref="N873" r:id="rId872" xr:uid="{00000000-0004-0000-0100-000067030000}"/>
    <hyperlink ref="N874" r:id="rId873" xr:uid="{00000000-0004-0000-0100-000068030000}"/>
    <hyperlink ref="N875" r:id="rId874" xr:uid="{00000000-0004-0000-0100-000069030000}"/>
    <hyperlink ref="N876" r:id="rId875" xr:uid="{00000000-0004-0000-0100-00006A030000}"/>
    <hyperlink ref="N877" r:id="rId876" xr:uid="{00000000-0004-0000-0100-00006B030000}"/>
    <hyperlink ref="N878" r:id="rId877" xr:uid="{00000000-0004-0000-0100-00006C030000}"/>
    <hyperlink ref="N879" r:id="rId878" xr:uid="{00000000-0004-0000-0100-00006D030000}"/>
    <hyperlink ref="N880" r:id="rId879" xr:uid="{00000000-0004-0000-0100-00006E030000}"/>
    <hyperlink ref="N881" r:id="rId880" xr:uid="{00000000-0004-0000-0100-00006F030000}"/>
    <hyperlink ref="N882" r:id="rId881" xr:uid="{00000000-0004-0000-0100-000070030000}"/>
    <hyperlink ref="N883" r:id="rId882" xr:uid="{00000000-0004-0000-0100-000071030000}"/>
    <hyperlink ref="N884" r:id="rId883" xr:uid="{00000000-0004-0000-0100-000072030000}"/>
    <hyperlink ref="N885" r:id="rId884" xr:uid="{00000000-0004-0000-0100-000073030000}"/>
    <hyperlink ref="N886" r:id="rId885" xr:uid="{00000000-0004-0000-0100-000074030000}"/>
    <hyperlink ref="N887" r:id="rId886" xr:uid="{00000000-0004-0000-0100-000075030000}"/>
    <hyperlink ref="N888" r:id="rId887" xr:uid="{00000000-0004-0000-0100-000076030000}"/>
    <hyperlink ref="N889" r:id="rId888" xr:uid="{00000000-0004-0000-0100-000077030000}"/>
    <hyperlink ref="N890" r:id="rId889" xr:uid="{00000000-0004-0000-0100-000078030000}"/>
    <hyperlink ref="N891" r:id="rId890" xr:uid="{00000000-0004-0000-0100-000079030000}"/>
    <hyperlink ref="N892" r:id="rId891" xr:uid="{00000000-0004-0000-0100-00007A030000}"/>
    <hyperlink ref="N893" r:id="rId892" xr:uid="{00000000-0004-0000-0100-00007B030000}"/>
    <hyperlink ref="N894" r:id="rId893" xr:uid="{00000000-0004-0000-0100-00007C030000}"/>
    <hyperlink ref="N895" r:id="rId894" xr:uid="{00000000-0004-0000-0100-00007D030000}"/>
    <hyperlink ref="N896" r:id="rId895" xr:uid="{00000000-0004-0000-0100-00007E030000}"/>
    <hyperlink ref="N897" r:id="rId896" xr:uid="{00000000-0004-0000-0100-00007F030000}"/>
    <hyperlink ref="N898" r:id="rId897" xr:uid="{00000000-0004-0000-0100-000080030000}"/>
    <hyperlink ref="N899" r:id="rId898" xr:uid="{00000000-0004-0000-0100-000081030000}"/>
    <hyperlink ref="N900" r:id="rId899" xr:uid="{00000000-0004-0000-0100-000082030000}"/>
    <hyperlink ref="N901" r:id="rId900" xr:uid="{00000000-0004-0000-0100-000083030000}"/>
    <hyperlink ref="N902" r:id="rId901" xr:uid="{00000000-0004-0000-0100-000084030000}"/>
    <hyperlink ref="N903" r:id="rId902" xr:uid="{00000000-0004-0000-0100-000085030000}"/>
    <hyperlink ref="N904" r:id="rId903" xr:uid="{00000000-0004-0000-0100-000086030000}"/>
    <hyperlink ref="N905" r:id="rId904" xr:uid="{00000000-0004-0000-0100-000087030000}"/>
    <hyperlink ref="N906" r:id="rId905" xr:uid="{00000000-0004-0000-0100-000088030000}"/>
    <hyperlink ref="N907" r:id="rId906" xr:uid="{00000000-0004-0000-0100-000089030000}"/>
    <hyperlink ref="N908" r:id="rId907" xr:uid="{00000000-0004-0000-0100-00008A030000}"/>
    <hyperlink ref="N909" r:id="rId908" xr:uid="{00000000-0004-0000-0100-00008B030000}"/>
    <hyperlink ref="N910" r:id="rId909" xr:uid="{00000000-0004-0000-0100-00008C030000}"/>
    <hyperlink ref="N911" r:id="rId910" xr:uid="{00000000-0004-0000-0100-00008D030000}"/>
    <hyperlink ref="N912" r:id="rId911" xr:uid="{00000000-0004-0000-0100-00008E030000}"/>
    <hyperlink ref="N913" r:id="rId912" xr:uid="{00000000-0004-0000-0100-00008F030000}"/>
    <hyperlink ref="N914" r:id="rId913" xr:uid="{00000000-0004-0000-0100-000090030000}"/>
    <hyperlink ref="N915" r:id="rId914" xr:uid="{00000000-0004-0000-0100-000091030000}"/>
    <hyperlink ref="N916" r:id="rId915" xr:uid="{00000000-0004-0000-0100-000092030000}"/>
    <hyperlink ref="N917" r:id="rId916" xr:uid="{00000000-0004-0000-0100-000093030000}"/>
    <hyperlink ref="N918" r:id="rId917" xr:uid="{00000000-0004-0000-0100-000094030000}"/>
    <hyperlink ref="N919" r:id="rId918" xr:uid="{00000000-0004-0000-0100-000095030000}"/>
    <hyperlink ref="N920" r:id="rId919" xr:uid="{00000000-0004-0000-0100-000096030000}"/>
    <hyperlink ref="N921" r:id="rId920" xr:uid="{00000000-0004-0000-0100-000097030000}"/>
    <hyperlink ref="N922" r:id="rId921" xr:uid="{00000000-0004-0000-0100-000098030000}"/>
    <hyperlink ref="N923" r:id="rId922" xr:uid="{00000000-0004-0000-0100-000099030000}"/>
    <hyperlink ref="N924" r:id="rId923" xr:uid="{00000000-0004-0000-0100-00009A030000}"/>
    <hyperlink ref="N925" r:id="rId924" xr:uid="{00000000-0004-0000-0100-00009B030000}"/>
    <hyperlink ref="N926" r:id="rId925" xr:uid="{00000000-0004-0000-0100-00009C030000}"/>
    <hyperlink ref="N927" r:id="rId926" xr:uid="{00000000-0004-0000-0100-00009D030000}"/>
    <hyperlink ref="N928" r:id="rId927" xr:uid="{00000000-0004-0000-0100-00009E030000}"/>
    <hyperlink ref="N929" r:id="rId928" xr:uid="{00000000-0004-0000-0100-00009F030000}"/>
    <hyperlink ref="N930" r:id="rId929" xr:uid="{00000000-0004-0000-0100-0000A0030000}"/>
    <hyperlink ref="N931" r:id="rId930" xr:uid="{00000000-0004-0000-0100-0000A1030000}"/>
    <hyperlink ref="N932" r:id="rId931" xr:uid="{00000000-0004-0000-0100-0000A2030000}"/>
    <hyperlink ref="N933" r:id="rId932" xr:uid="{00000000-0004-0000-0100-0000A3030000}"/>
    <hyperlink ref="N934" r:id="rId933" xr:uid="{00000000-0004-0000-0100-0000A4030000}"/>
    <hyperlink ref="N935" r:id="rId934" xr:uid="{00000000-0004-0000-0100-0000A5030000}"/>
    <hyperlink ref="N936" r:id="rId935" xr:uid="{00000000-0004-0000-0100-0000A6030000}"/>
    <hyperlink ref="N937" r:id="rId936" xr:uid="{00000000-0004-0000-0100-0000A7030000}"/>
    <hyperlink ref="N938" r:id="rId937" xr:uid="{00000000-0004-0000-0100-0000A8030000}"/>
    <hyperlink ref="N939" r:id="rId938" xr:uid="{00000000-0004-0000-0100-0000A9030000}"/>
    <hyperlink ref="N940" r:id="rId939" xr:uid="{00000000-0004-0000-0100-0000AA030000}"/>
    <hyperlink ref="N941" r:id="rId940" xr:uid="{00000000-0004-0000-0100-0000AB030000}"/>
    <hyperlink ref="N942" r:id="rId941" xr:uid="{00000000-0004-0000-0100-0000AC030000}"/>
    <hyperlink ref="N943" r:id="rId942" xr:uid="{00000000-0004-0000-0100-0000AD030000}"/>
    <hyperlink ref="N944" r:id="rId943" xr:uid="{00000000-0004-0000-0100-0000AE030000}"/>
    <hyperlink ref="N945" r:id="rId944" xr:uid="{00000000-0004-0000-0100-0000AF030000}"/>
    <hyperlink ref="N946" r:id="rId945" xr:uid="{00000000-0004-0000-0100-0000B0030000}"/>
    <hyperlink ref="N947" r:id="rId946" xr:uid="{00000000-0004-0000-0100-0000B1030000}"/>
    <hyperlink ref="N948" r:id="rId947" xr:uid="{00000000-0004-0000-0100-0000B2030000}"/>
    <hyperlink ref="N949" r:id="rId948" xr:uid="{00000000-0004-0000-0100-0000B3030000}"/>
    <hyperlink ref="N950" r:id="rId949" xr:uid="{00000000-0004-0000-0100-0000B4030000}"/>
    <hyperlink ref="N951" r:id="rId950" xr:uid="{00000000-0004-0000-0100-0000B5030000}"/>
    <hyperlink ref="N952" r:id="rId951" xr:uid="{00000000-0004-0000-0100-0000B6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R385"/>
  <sheetViews>
    <sheetView workbookViewId="0"/>
  </sheetViews>
  <sheetFormatPr defaultColWidth="12.5703125" defaultRowHeight="15.75" customHeight="1" x14ac:dyDescent="0.2"/>
  <sheetData>
    <row r="1" spans="1:18" ht="15.75" customHeight="1" x14ac:dyDescent="0.25">
      <c r="A1" s="1" t="s">
        <v>0</v>
      </c>
      <c r="B1" s="1" t="s">
        <v>1</v>
      </c>
      <c r="C1" s="1" t="s">
        <v>2</v>
      </c>
      <c r="D1" s="1" t="s">
        <v>3</v>
      </c>
      <c r="E1" s="1" t="s">
        <v>4</v>
      </c>
      <c r="F1" s="1" t="s">
        <v>5</v>
      </c>
      <c r="G1" s="1" t="s">
        <v>6</v>
      </c>
      <c r="H1" s="1" t="s">
        <v>7</v>
      </c>
      <c r="I1" s="1" t="s">
        <v>131</v>
      </c>
      <c r="J1" s="1" t="s">
        <v>6107</v>
      </c>
      <c r="K1" s="1" t="s">
        <v>6108</v>
      </c>
      <c r="L1" s="1" t="s">
        <v>8</v>
      </c>
      <c r="M1" s="1" t="s">
        <v>132</v>
      </c>
      <c r="N1" s="1" t="s">
        <v>9</v>
      </c>
      <c r="O1" s="1" t="s">
        <v>10</v>
      </c>
      <c r="P1" s="1" t="s">
        <v>11</v>
      </c>
      <c r="Q1" s="1" t="s">
        <v>12</v>
      </c>
      <c r="R1" s="1" t="s">
        <v>6109</v>
      </c>
    </row>
    <row r="2" spans="1:18" ht="15.75" customHeight="1" x14ac:dyDescent="0.25">
      <c r="A2" s="1" t="s">
        <v>141</v>
      </c>
      <c r="B2" s="1" t="s">
        <v>3101</v>
      </c>
      <c r="C2" s="1" t="s">
        <v>3102</v>
      </c>
      <c r="D2" s="4"/>
      <c r="E2" s="1">
        <v>2020</v>
      </c>
      <c r="F2" s="4"/>
      <c r="G2" s="4"/>
      <c r="H2" s="1" t="s">
        <v>6110</v>
      </c>
      <c r="I2" s="4"/>
      <c r="J2" s="4"/>
      <c r="K2" s="1" t="s">
        <v>6111</v>
      </c>
      <c r="L2" s="2">
        <v>44105</v>
      </c>
      <c r="M2" s="4"/>
      <c r="N2" s="1" t="s">
        <v>6112</v>
      </c>
      <c r="O2" s="4"/>
      <c r="P2" s="4"/>
      <c r="Q2" s="1" t="s">
        <v>6113</v>
      </c>
      <c r="R2" s="1" t="s">
        <v>6114</v>
      </c>
    </row>
    <row r="3" spans="1:18" ht="15.75" customHeight="1" x14ac:dyDescent="0.25">
      <c r="A3" s="1" t="s">
        <v>13</v>
      </c>
      <c r="B3" s="1" t="s">
        <v>14</v>
      </c>
      <c r="C3" s="1" t="s">
        <v>15</v>
      </c>
      <c r="D3" s="1" t="s">
        <v>255</v>
      </c>
      <c r="E3" s="1">
        <v>2017</v>
      </c>
      <c r="F3" s="1">
        <v>43</v>
      </c>
      <c r="G3" s="1">
        <v>11</v>
      </c>
      <c r="H3" s="1" t="s">
        <v>17</v>
      </c>
      <c r="I3" s="4"/>
      <c r="J3" s="4"/>
      <c r="K3" s="4"/>
      <c r="L3" s="2">
        <v>43040</v>
      </c>
      <c r="M3" s="4"/>
      <c r="N3" s="1" t="s">
        <v>6115</v>
      </c>
      <c r="O3" s="3" t="s">
        <v>19</v>
      </c>
      <c r="P3" s="1" t="s">
        <v>20</v>
      </c>
      <c r="Q3" s="1" t="s">
        <v>21</v>
      </c>
      <c r="R3" s="1" t="s">
        <v>6116</v>
      </c>
    </row>
    <row r="4" spans="1:18" ht="15.75" customHeight="1" x14ac:dyDescent="0.25">
      <c r="A4" s="1" t="s">
        <v>141</v>
      </c>
      <c r="B4" s="1" t="s">
        <v>2031</v>
      </c>
      <c r="C4" s="1" t="s">
        <v>2032</v>
      </c>
      <c r="D4" s="4"/>
      <c r="E4" s="1">
        <v>2022</v>
      </c>
      <c r="F4" s="4"/>
      <c r="G4" s="4"/>
      <c r="H4" s="1" t="s">
        <v>6117</v>
      </c>
      <c r="I4" s="4"/>
      <c r="J4" s="4"/>
      <c r="K4" s="1" t="s">
        <v>6118</v>
      </c>
      <c r="L4" s="6">
        <v>44682</v>
      </c>
      <c r="M4" s="4"/>
      <c r="N4" s="4"/>
      <c r="O4" s="3" t="s">
        <v>6119</v>
      </c>
      <c r="P4" s="1" t="s">
        <v>2035</v>
      </c>
      <c r="Q4" s="1" t="s">
        <v>6120</v>
      </c>
      <c r="R4" s="1" t="s">
        <v>6121</v>
      </c>
    </row>
    <row r="5" spans="1:18" ht="15.75" customHeight="1" x14ac:dyDescent="0.25">
      <c r="A5" s="1" t="s">
        <v>141</v>
      </c>
      <c r="B5" s="1" t="s">
        <v>6122</v>
      </c>
      <c r="C5" s="1" t="s">
        <v>6123</v>
      </c>
      <c r="D5" s="4"/>
      <c r="E5" s="1">
        <v>2018</v>
      </c>
      <c r="F5" s="4"/>
      <c r="G5" s="4"/>
      <c r="H5" s="1" t="s">
        <v>6124</v>
      </c>
      <c r="I5" s="4"/>
      <c r="J5" s="4"/>
      <c r="K5" s="1" t="s">
        <v>6125</v>
      </c>
      <c r="L5" s="6">
        <v>43221</v>
      </c>
      <c r="M5" s="4"/>
      <c r="N5" s="4"/>
      <c r="O5" s="4"/>
      <c r="P5" s="4"/>
      <c r="Q5" s="1" t="s">
        <v>6126</v>
      </c>
      <c r="R5" s="1" t="s">
        <v>6127</v>
      </c>
    </row>
    <row r="6" spans="1:18" ht="15.75" customHeight="1" x14ac:dyDescent="0.25">
      <c r="A6" s="1" t="s">
        <v>141</v>
      </c>
      <c r="B6" s="1" t="s">
        <v>6128</v>
      </c>
      <c r="C6" s="1" t="s">
        <v>6129</v>
      </c>
      <c r="D6" s="4"/>
      <c r="E6" s="1">
        <v>2019</v>
      </c>
      <c r="F6" s="4"/>
      <c r="G6" s="4"/>
      <c r="H6" s="1" t="s">
        <v>6130</v>
      </c>
      <c r="I6" s="4"/>
      <c r="J6" s="4"/>
      <c r="K6" s="1" t="s">
        <v>6131</v>
      </c>
      <c r="L6" s="6">
        <v>43586</v>
      </c>
      <c r="M6" s="4"/>
      <c r="N6" s="4"/>
      <c r="O6" s="3" t="s">
        <v>6132</v>
      </c>
      <c r="P6" s="1" t="s">
        <v>6133</v>
      </c>
      <c r="Q6" s="1" t="s">
        <v>6134</v>
      </c>
      <c r="R6" s="1" t="s">
        <v>6135</v>
      </c>
    </row>
    <row r="7" spans="1:18" ht="15.75" customHeight="1" x14ac:dyDescent="0.25">
      <c r="A7" s="1" t="s">
        <v>141</v>
      </c>
      <c r="B7" s="1" t="s">
        <v>6136</v>
      </c>
      <c r="C7" s="1" t="s">
        <v>6137</v>
      </c>
      <c r="D7" s="4"/>
      <c r="E7" s="1">
        <v>2021</v>
      </c>
      <c r="F7" s="4"/>
      <c r="G7" s="4"/>
      <c r="H7" s="9">
        <v>44932</v>
      </c>
      <c r="I7" s="4"/>
      <c r="J7" s="4"/>
      <c r="K7" s="1" t="s">
        <v>6138</v>
      </c>
      <c r="L7" s="2">
        <v>44531</v>
      </c>
      <c r="M7" s="4"/>
      <c r="N7" s="4"/>
      <c r="O7" s="3" t="s">
        <v>6139</v>
      </c>
      <c r="P7" s="1" t="s">
        <v>6140</v>
      </c>
      <c r="Q7" s="1" t="s">
        <v>6141</v>
      </c>
      <c r="R7" s="1" t="s">
        <v>6142</v>
      </c>
    </row>
    <row r="8" spans="1:18" ht="15.75" customHeight="1" x14ac:dyDescent="0.25">
      <c r="A8" s="1" t="s">
        <v>141</v>
      </c>
      <c r="B8" s="1" t="s">
        <v>4452</v>
      </c>
      <c r="C8" s="1" t="s">
        <v>6143</v>
      </c>
      <c r="D8" s="4"/>
      <c r="E8" s="1">
        <v>2018</v>
      </c>
      <c r="F8" s="4"/>
      <c r="G8" s="4"/>
      <c r="H8" s="1" t="s">
        <v>6144</v>
      </c>
      <c r="I8" s="4"/>
      <c r="J8" s="4"/>
      <c r="K8" s="1" t="s">
        <v>6145</v>
      </c>
      <c r="L8" s="6">
        <v>43313</v>
      </c>
      <c r="M8" s="4"/>
      <c r="N8" s="4"/>
      <c r="O8" s="3" t="s">
        <v>6146</v>
      </c>
      <c r="P8" s="1" t="s">
        <v>5934</v>
      </c>
      <c r="Q8" s="1" t="s">
        <v>6147</v>
      </c>
      <c r="R8" s="1" t="s">
        <v>6148</v>
      </c>
    </row>
    <row r="9" spans="1:18" ht="15.75" customHeight="1" x14ac:dyDescent="0.25">
      <c r="A9" s="1" t="s">
        <v>141</v>
      </c>
      <c r="B9" s="1" t="s">
        <v>5917</v>
      </c>
      <c r="C9" s="1" t="s">
        <v>6149</v>
      </c>
      <c r="D9" s="4"/>
      <c r="E9" s="1">
        <v>2018</v>
      </c>
      <c r="F9" s="4"/>
      <c r="G9" s="4"/>
      <c r="H9" s="1" t="s">
        <v>6150</v>
      </c>
      <c r="I9" s="4"/>
      <c r="J9" s="4"/>
      <c r="K9" s="1" t="s">
        <v>6151</v>
      </c>
      <c r="L9" s="6">
        <v>43221</v>
      </c>
      <c r="M9" s="4"/>
      <c r="N9" s="1" t="s">
        <v>6152</v>
      </c>
      <c r="O9" s="4"/>
      <c r="P9" s="4"/>
      <c r="Q9" s="1" t="s">
        <v>6153</v>
      </c>
      <c r="R9" s="1" t="s">
        <v>6154</v>
      </c>
    </row>
    <row r="10" spans="1:18" ht="15.75" customHeight="1" x14ac:dyDescent="0.25">
      <c r="A10" s="1" t="s">
        <v>141</v>
      </c>
      <c r="B10" s="1" t="s">
        <v>6155</v>
      </c>
      <c r="C10" s="1" t="s">
        <v>6156</v>
      </c>
      <c r="D10" s="4"/>
      <c r="E10" s="1">
        <v>2017</v>
      </c>
      <c r="F10" s="4"/>
      <c r="G10" s="4"/>
      <c r="H10" s="1" t="s">
        <v>6157</v>
      </c>
      <c r="I10" s="4"/>
      <c r="J10" s="4"/>
      <c r="K10" s="1" t="s">
        <v>6158</v>
      </c>
      <c r="L10" s="6">
        <v>42856</v>
      </c>
      <c r="M10" s="4"/>
      <c r="N10" s="4"/>
      <c r="O10" s="3" t="s">
        <v>6159</v>
      </c>
      <c r="P10" s="1" t="s">
        <v>6160</v>
      </c>
      <c r="Q10" s="1" t="s">
        <v>6161</v>
      </c>
      <c r="R10" s="1" t="s">
        <v>6162</v>
      </c>
    </row>
    <row r="11" spans="1:18" ht="15.75" customHeight="1" x14ac:dyDescent="0.25">
      <c r="A11" s="1" t="s">
        <v>141</v>
      </c>
      <c r="B11" s="1" t="s">
        <v>6163</v>
      </c>
      <c r="C11" s="1" t="s">
        <v>6164</v>
      </c>
      <c r="D11" s="4"/>
      <c r="E11" s="1">
        <v>2022</v>
      </c>
      <c r="F11" s="4"/>
      <c r="G11" s="4"/>
      <c r="H11" s="1" t="s">
        <v>6165</v>
      </c>
      <c r="I11" s="4"/>
      <c r="J11" s="4"/>
      <c r="K11" s="1" t="s">
        <v>6166</v>
      </c>
      <c r="L11" s="6">
        <v>44774</v>
      </c>
      <c r="M11" s="4"/>
      <c r="N11" s="4"/>
      <c r="O11" s="3" t="s">
        <v>6167</v>
      </c>
      <c r="P11" s="1" t="s">
        <v>6168</v>
      </c>
      <c r="Q11" s="1" t="s">
        <v>6169</v>
      </c>
      <c r="R11" s="1" t="s">
        <v>6170</v>
      </c>
    </row>
    <row r="12" spans="1:18" ht="15.75" customHeight="1" x14ac:dyDescent="0.25">
      <c r="A12" s="1" t="s">
        <v>141</v>
      </c>
      <c r="B12" s="1" t="s">
        <v>2068</v>
      </c>
      <c r="C12" s="1" t="s">
        <v>6171</v>
      </c>
      <c r="D12" s="4"/>
      <c r="E12" s="1">
        <v>2022</v>
      </c>
      <c r="F12" s="4"/>
      <c r="G12" s="4"/>
      <c r="H12" s="1" t="s">
        <v>6172</v>
      </c>
      <c r="I12" s="4"/>
      <c r="J12" s="4"/>
      <c r="K12" s="1" t="s">
        <v>6118</v>
      </c>
      <c r="L12" s="6">
        <v>44682</v>
      </c>
      <c r="M12" s="4"/>
      <c r="N12" s="4"/>
      <c r="O12" s="3" t="s">
        <v>6173</v>
      </c>
      <c r="P12" s="1" t="s">
        <v>2072</v>
      </c>
      <c r="Q12" s="1" t="s">
        <v>6174</v>
      </c>
      <c r="R12" s="1" t="s">
        <v>6175</v>
      </c>
    </row>
    <row r="13" spans="1:18" ht="15.75" customHeight="1" x14ac:dyDescent="0.25">
      <c r="A13" s="1" t="s">
        <v>141</v>
      </c>
      <c r="B13" s="1" t="s">
        <v>6176</v>
      </c>
      <c r="C13" s="1" t="s">
        <v>6177</v>
      </c>
      <c r="D13" s="4"/>
      <c r="E13" s="1">
        <v>2021</v>
      </c>
      <c r="F13" s="4"/>
      <c r="G13" s="4"/>
      <c r="H13" s="1" t="s">
        <v>6178</v>
      </c>
      <c r="I13" s="4"/>
      <c r="J13" s="4"/>
      <c r="K13" s="1" t="s">
        <v>6179</v>
      </c>
      <c r="L13" s="6">
        <v>44440</v>
      </c>
      <c r="M13" s="4"/>
      <c r="N13" s="4"/>
      <c r="O13" s="3" t="s">
        <v>6180</v>
      </c>
      <c r="P13" s="1" t="s">
        <v>6181</v>
      </c>
      <c r="Q13" s="1" t="s">
        <v>6182</v>
      </c>
      <c r="R13" s="1" t="s">
        <v>6183</v>
      </c>
    </row>
    <row r="14" spans="1:18" ht="15.75" customHeight="1" x14ac:dyDescent="0.25">
      <c r="A14" s="1" t="s">
        <v>141</v>
      </c>
      <c r="B14" s="1" t="s">
        <v>2307</v>
      </c>
      <c r="C14" s="1" t="s">
        <v>2308</v>
      </c>
      <c r="D14" s="4"/>
      <c r="E14" s="1">
        <v>2022</v>
      </c>
      <c r="F14" s="4"/>
      <c r="G14" s="4"/>
      <c r="H14" s="1" t="s">
        <v>6184</v>
      </c>
      <c r="I14" s="4"/>
      <c r="J14" s="4"/>
      <c r="K14" s="1" t="s">
        <v>6118</v>
      </c>
      <c r="L14" s="6">
        <v>44682</v>
      </c>
      <c r="M14" s="4"/>
      <c r="N14" s="4"/>
      <c r="O14" s="3" t="s">
        <v>6185</v>
      </c>
      <c r="P14" s="1" t="s">
        <v>2311</v>
      </c>
      <c r="Q14" s="1" t="s">
        <v>6186</v>
      </c>
      <c r="R14" s="1" t="s">
        <v>6187</v>
      </c>
    </row>
    <row r="15" spans="1:18" ht="15.75" customHeight="1" x14ac:dyDescent="0.25">
      <c r="A15" s="1" t="s">
        <v>141</v>
      </c>
      <c r="B15" s="1" t="s">
        <v>3357</v>
      </c>
      <c r="C15" s="1" t="s">
        <v>3358</v>
      </c>
      <c r="D15" s="4"/>
      <c r="E15" s="1">
        <v>2021</v>
      </c>
      <c r="F15" s="4"/>
      <c r="G15" s="4"/>
      <c r="H15" s="1" t="s">
        <v>6188</v>
      </c>
      <c r="I15" s="4"/>
      <c r="J15" s="4"/>
      <c r="K15" s="1" t="s">
        <v>6189</v>
      </c>
      <c r="L15" s="2">
        <v>44501</v>
      </c>
      <c r="M15" s="4"/>
      <c r="N15" s="1" t="s">
        <v>6190</v>
      </c>
      <c r="O15" s="3" t="s">
        <v>6191</v>
      </c>
      <c r="P15" s="1" t="s">
        <v>3361</v>
      </c>
      <c r="Q15" s="1" t="s">
        <v>6192</v>
      </c>
      <c r="R15" s="1" t="s">
        <v>6193</v>
      </c>
    </row>
    <row r="16" spans="1:18" ht="15.75" customHeight="1" x14ac:dyDescent="0.25">
      <c r="A16" s="1" t="s">
        <v>141</v>
      </c>
      <c r="B16" s="1" t="s">
        <v>2494</v>
      </c>
      <c r="C16" s="1" t="s">
        <v>2495</v>
      </c>
      <c r="D16" s="4"/>
      <c r="E16" s="1">
        <v>2022</v>
      </c>
      <c r="F16" s="4"/>
      <c r="G16" s="4"/>
      <c r="H16" s="1" t="s">
        <v>6194</v>
      </c>
      <c r="I16" s="4"/>
      <c r="J16" s="4"/>
      <c r="K16" s="1" t="s">
        <v>6118</v>
      </c>
      <c r="L16" s="6">
        <v>44682</v>
      </c>
      <c r="M16" s="4"/>
      <c r="N16" s="4"/>
      <c r="O16" s="3" t="s">
        <v>6195</v>
      </c>
      <c r="P16" s="1" t="s">
        <v>2498</v>
      </c>
      <c r="Q16" s="1" t="s">
        <v>6196</v>
      </c>
      <c r="R16" s="1" t="s">
        <v>6197</v>
      </c>
    </row>
    <row r="17" spans="1:18" ht="15.75" customHeight="1" x14ac:dyDescent="0.25">
      <c r="A17" s="1" t="s">
        <v>141</v>
      </c>
      <c r="B17" s="1" t="s">
        <v>6198</v>
      </c>
      <c r="C17" s="1" t="s">
        <v>6199</v>
      </c>
      <c r="D17" s="4"/>
      <c r="E17" s="1">
        <v>2016</v>
      </c>
      <c r="F17" s="4"/>
      <c r="G17" s="4"/>
      <c r="H17" s="1" t="s">
        <v>6200</v>
      </c>
      <c r="I17" s="4"/>
      <c r="J17" s="4"/>
      <c r="K17" s="1" t="s">
        <v>6201</v>
      </c>
      <c r="L17" s="6">
        <v>42491</v>
      </c>
      <c r="M17" s="4"/>
      <c r="N17" s="4"/>
      <c r="O17" s="4"/>
      <c r="P17" s="4"/>
      <c r="Q17" s="1" t="s">
        <v>6202</v>
      </c>
      <c r="R17" s="1" t="s">
        <v>6203</v>
      </c>
    </row>
    <row r="18" spans="1:18" ht="15.75" customHeight="1" x14ac:dyDescent="0.25">
      <c r="A18" s="1" t="s">
        <v>13</v>
      </c>
      <c r="B18" s="1" t="s">
        <v>6204</v>
      </c>
      <c r="C18" s="1" t="s">
        <v>6205</v>
      </c>
      <c r="D18" s="1" t="s">
        <v>4637</v>
      </c>
      <c r="E18" s="1">
        <v>2016</v>
      </c>
      <c r="F18" s="1">
        <v>33</v>
      </c>
      <c r="G18" s="1">
        <v>1</v>
      </c>
      <c r="H18" s="1" t="s">
        <v>6206</v>
      </c>
      <c r="I18" s="4"/>
      <c r="J18" s="4"/>
      <c r="K18" s="4"/>
      <c r="L18" s="6">
        <v>42370</v>
      </c>
      <c r="M18" s="4"/>
      <c r="N18" s="1" t="s">
        <v>6207</v>
      </c>
      <c r="O18" s="3" t="s">
        <v>6208</v>
      </c>
      <c r="P18" s="1" t="s">
        <v>6209</v>
      </c>
      <c r="Q18" s="1" t="s">
        <v>6210</v>
      </c>
      <c r="R18" s="1" t="s">
        <v>6211</v>
      </c>
    </row>
    <row r="19" spans="1:18" ht="15.75" customHeight="1" x14ac:dyDescent="0.25">
      <c r="A19" s="1" t="s">
        <v>13</v>
      </c>
      <c r="B19" s="1" t="s">
        <v>6212</v>
      </c>
      <c r="C19" s="1" t="s">
        <v>6213</v>
      </c>
      <c r="D19" s="1" t="s">
        <v>4637</v>
      </c>
      <c r="E19" s="1">
        <v>2021</v>
      </c>
      <c r="F19" s="1">
        <v>38</v>
      </c>
      <c r="G19" s="1">
        <v>6</v>
      </c>
      <c r="H19" s="1" t="s">
        <v>6214</v>
      </c>
      <c r="I19" s="4"/>
      <c r="J19" s="4"/>
      <c r="K19" s="4"/>
      <c r="L19" s="2">
        <v>44501</v>
      </c>
      <c r="M19" s="4"/>
      <c r="N19" s="1" t="s">
        <v>6207</v>
      </c>
      <c r="O19" s="3" t="s">
        <v>6215</v>
      </c>
      <c r="P19" s="1" t="s">
        <v>6216</v>
      </c>
      <c r="Q19" s="1" t="s">
        <v>6217</v>
      </c>
      <c r="R19" s="1" t="s">
        <v>6218</v>
      </c>
    </row>
    <row r="20" spans="1:18" ht="15.75" customHeight="1" x14ac:dyDescent="0.25">
      <c r="A20" s="1" t="s">
        <v>141</v>
      </c>
      <c r="B20" s="1" t="s">
        <v>6219</v>
      </c>
      <c r="C20" s="1" t="s">
        <v>6220</v>
      </c>
      <c r="D20" s="4"/>
      <c r="E20" s="1">
        <v>2018</v>
      </c>
      <c r="F20" s="4"/>
      <c r="G20" s="4"/>
      <c r="H20" s="9">
        <v>44936</v>
      </c>
      <c r="I20" s="4"/>
      <c r="J20" s="4"/>
      <c r="K20" s="1" t="s">
        <v>6125</v>
      </c>
      <c r="L20" s="6">
        <v>43221</v>
      </c>
      <c r="M20" s="4"/>
      <c r="N20" s="4"/>
      <c r="O20" s="4"/>
      <c r="P20" s="4"/>
      <c r="Q20" s="1" t="s">
        <v>6221</v>
      </c>
      <c r="R20" s="1" t="s">
        <v>6222</v>
      </c>
    </row>
    <row r="21" spans="1:18" ht="15.75" customHeight="1" x14ac:dyDescent="0.25">
      <c r="A21" s="1" t="s">
        <v>141</v>
      </c>
      <c r="B21" s="1" t="s">
        <v>2729</v>
      </c>
      <c r="C21" s="1" t="s">
        <v>6223</v>
      </c>
      <c r="D21" s="4"/>
      <c r="E21" s="1">
        <v>2021</v>
      </c>
      <c r="F21" s="4"/>
      <c r="G21" s="4"/>
      <c r="H21" s="1" t="s">
        <v>6224</v>
      </c>
      <c r="I21" s="4"/>
      <c r="J21" s="4"/>
      <c r="K21" s="1" t="s">
        <v>6225</v>
      </c>
      <c r="L21" s="6">
        <v>44317</v>
      </c>
      <c r="M21" s="4"/>
      <c r="N21" s="1" t="s">
        <v>6226</v>
      </c>
      <c r="O21" s="3" t="s">
        <v>6227</v>
      </c>
      <c r="P21" s="1" t="s">
        <v>2733</v>
      </c>
      <c r="Q21" s="1" t="s">
        <v>6228</v>
      </c>
      <c r="R21" s="1" t="s">
        <v>6229</v>
      </c>
    </row>
    <row r="22" spans="1:18" ht="15.75" customHeight="1" x14ac:dyDescent="0.25">
      <c r="A22" s="1" t="s">
        <v>141</v>
      </c>
      <c r="B22" s="1" t="s">
        <v>6230</v>
      </c>
      <c r="C22" s="1" t="s">
        <v>6231</v>
      </c>
      <c r="D22" s="4"/>
      <c r="E22" s="1">
        <v>2022</v>
      </c>
      <c r="F22" s="4"/>
      <c r="G22" s="4"/>
      <c r="H22" s="1" t="s">
        <v>6232</v>
      </c>
      <c r="I22" s="4"/>
      <c r="J22" s="4"/>
      <c r="K22" s="1" t="s">
        <v>6118</v>
      </c>
      <c r="L22" s="6">
        <v>44682</v>
      </c>
      <c r="M22" s="4"/>
      <c r="N22" s="4"/>
      <c r="O22" s="3" t="s">
        <v>6233</v>
      </c>
      <c r="P22" s="1" t="s">
        <v>6234</v>
      </c>
      <c r="Q22" s="1" t="s">
        <v>6235</v>
      </c>
      <c r="R22" s="1" t="s">
        <v>6236</v>
      </c>
    </row>
    <row r="23" spans="1:18" ht="15.75" customHeight="1" x14ac:dyDescent="0.25">
      <c r="A23" s="1" t="s">
        <v>141</v>
      </c>
      <c r="B23" s="1" t="s">
        <v>5788</v>
      </c>
      <c r="C23" s="1" t="s">
        <v>6237</v>
      </c>
      <c r="D23" s="4"/>
      <c r="E23" s="1">
        <v>2018</v>
      </c>
      <c r="F23" s="4"/>
      <c r="G23" s="4"/>
      <c r="H23" s="9">
        <v>45181</v>
      </c>
      <c r="I23" s="4"/>
      <c r="J23" s="4"/>
      <c r="K23" s="1" t="s">
        <v>6238</v>
      </c>
      <c r="L23" s="6">
        <v>43221</v>
      </c>
      <c r="M23" s="4"/>
      <c r="N23" s="1" t="s">
        <v>6239</v>
      </c>
      <c r="O23" s="4"/>
      <c r="P23" s="4"/>
      <c r="Q23" s="1" t="s">
        <v>6240</v>
      </c>
      <c r="R23" s="1" t="s">
        <v>6241</v>
      </c>
    </row>
    <row r="24" spans="1:18" ht="15.75" customHeight="1" x14ac:dyDescent="0.25">
      <c r="A24" s="1" t="s">
        <v>141</v>
      </c>
      <c r="B24" s="1" t="s">
        <v>6242</v>
      </c>
      <c r="C24" s="1" t="s">
        <v>3178</v>
      </c>
      <c r="D24" s="4"/>
      <c r="E24" s="1">
        <v>2020</v>
      </c>
      <c r="F24" s="4"/>
      <c r="G24" s="4"/>
      <c r="H24" s="1" t="s">
        <v>6243</v>
      </c>
      <c r="I24" s="4"/>
      <c r="J24" s="4"/>
      <c r="K24" s="1" t="s">
        <v>6111</v>
      </c>
      <c r="L24" s="2">
        <v>44105</v>
      </c>
      <c r="M24" s="4"/>
      <c r="N24" s="1" t="s">
        <v>6112</v>
      </c>
      <c r="O24" s="4"/>
      <c r="P24" s="4"/>
      <c r="Q24" s="1" t="s">
        <v>6244</v>
      </c>
      <c r="R24" s="1" t="s">
        <v>6245</v>
      </c>
    </row>
    <row r="25" spans="1:18" ht="15.75" customHeight="1" x14ac:dyDescent="0.25">
      <c r="A25" s="1" t="s">
        <v>13</v>
      </c>
      <c r="B25" s="1" t="s">
        <v>6246</v>
      </c>
      <c r="C25" s="1" t="s">
        <v>6247</v>
      </c>
      <c r="D25" s="1" t="s">
        <v>255</v>
      </c>
      <c r="E25" s="1">
        <v>2021</v>
      </c>
      <c r="F25" s="1">
        <v>47</v>
      </c>
      <c r="G25" s="1">
        <v>9</v>
      </c>
      <c r="H25" s="1" t="s">
        <v>6248</v>
      </c>
      <c r="I25" s="4"/>
      <c r="J25" s="4"/>
      <c r="K25" s="4"/>
      <c r="L25" s="6">
        <v>44440</v>
      </c>
      <c r="M25" s="4"/>
      <c r="N25" s="1" t="s">
        <v>6115</v>
      </c>
      <c r="O25" s="3" t="s">
        <v>6249</v>
      </c>
      <c r="P25" s="1" t="s">
        <v>6250</v>
      </c>
      <c r="Q25" s="1" t="s">
        <v>6251</v>
      </c>
      <c r="R25" s="1" t="s">
        <v>6252</v>
      </c>
    </row>
    <row r="26" spans="1:18" ht="15.75" customHeight="1" x14ac:dyDescent="0.25">
      <c r="A26" s="1" t="s">
        <v>141</v>
      </c>
      <c r="B26" s="1" t="s">
        <v>6253</v>
      </c>
      <c r="C26" s="1" t="s">
        <v>6254</v>
      </c>
      <c r="D26" s="4"/>
      <c r="E26" s="1">
        <v>2015</v>
      </c>
      <c r="F26" s="4"/>
      <c r="G26" s="4"/>
      <c r="H26" s="1" t="s">
        <v>6255</v>
      </c>
      <c r="I26" s="4"/>
      <c r="J26" s="4"/>
      <c r="K26" s="1" t="s">
        <v>6256</v>
      </c>
      <c r="L26" s="2">
        <v>42278</v>
      </c>
      <c r="M26" s="4"/>
      <c r="N26" s="4"/>
      <c r="O26" s="3" t="s">
        <v>6257</v>
      </c>
      <c r="P26" s="1" t="s">
        <v>6258</v>
      </c>
      <c r="Q26" s="1" t="s">
        <v>6259</v>
      </c>
      <c r="R26" s="1" t="s">
        <v>6260</v>
      </c>
    </row>
    <row r="27" spans="1:18" ht="15.75" customHeight="1" x14ac:dyDescent="0.25">
      <c r="A27" s="1" t="s">
        <v>141</v>
      </c>
      <c r="B27" s="1" t="s">
        <v>6261</v>
      </c>
      <c r="C27" s="1" t="s">
        <v>6262</v>
      </c>
      <c r="D27" s="4"/>
      <c r="E27" s="1">
        <v>2015</v>
      </c>
      <c r="F27" s="4"/>
      <c r="G27" s="4"/>
      <c r="H27" s="9">
        <v>45184</v>
      </c>
      <c r="I27" s="4"/>
      <c r="J27" s="4"/>
      <c r="K27" s="1" t="s">
        <v>6256</v>
      </c>
      <c r="L27" s="2">
        <v>42278</v>
      </c>
      <c r="M27" s="4"/>
      <c r="N27" s="4"/>
      <c r="O27" s="3" t="s">
        <v>6263</v>
      </c>
      <c r="P27" s="1" t="s">
        <v>6264</v>
      </c>
      <c r="Q27" s="1" t="s">
        <v>6265</v>
      </c>
      <c r="R27" s="1" t="s">
        <v>6266</v>
      </c>
    </row>
    <row r="28" spans="1:18" ht="15.75" customHeight="1" x14ac:dyDescent="0.25">
      <c r="A28" s="1" t="s">
        <v>141</v>
      </c>
      <c r="B28" s="1" t="s">
        <v>6267</v>
      </c>
      <c r="C28" s="1" t="s">
        <v>2654</v>
      </c>
      <c r="D28" s="4"/>
      <c r="E28" s="1">
        <v>2022</v>
      </c>
      <c r="F28" s="4"/>
      <c r="G28" s="4"/>
      <c r="H28" s="1" t="s">
        <v>6268</v>
      </c>
      <c r="I28" s="4"/>
      <c r="J28" s="4"/>
      <c r="K28" s="1" t="s">
        <v>6269</v>
      </c>
      <c r="L28" s="6">
        <v>44682</v>
      </c>
      <c r="M28" s="4"/>
      <c r="N28" s="4"/>
      <c r="O28" s="3" t="s">
        <v>6270</v>
      </c>
      <c r="P28" s="1" t="s">
        <v>2657</v>
      </c>
      <c r="Q28" s="1" t="s">
        <v>6271</v>
      </c>
      <c r="R28" s="1" t="s">
        <v>6272</v>
      </c>
    </row>
    <row r="29" spans="1:18" ht="15.75" customHeight="1" x14ac:dyDescent="0.25">
      <c r="A29" s="1" t="s">
        <v>141</v>
      </c>
      <c r="B29" s="1" t="s">
        <v>4924</v>
      </c>
      <c r="C29" s="1" t="s">
        <v>4925</v>
      </c>
      <c r="D29" s="4"/>
      <c r="E29" s="1">
        <v>2019</v>
      </c>
      <c r="F29" s="4"/>
      <c r="G29" s="4"/>
      <c r="H29" s="1" t="s">
        <v>6273</v>
      </c>
      <c r="I29" s="4"/>
      <c r="J29" s="4"/>
      <c r="K29" s="1" t="s">
        <v>6274</v>
      </c>
      <c r="L29" s="6">
        <v>43586</v>
      </c>
      <c r="M29" s="4"/>
      <c r="N29" s="4"/>
      <c r="O29" s="3" t="s">
        <v>6275</v>
      </c>
      <c r="P29" s="1" t="s">
        <v>4928</v>
      </c>
      <c r="Q29" s="1" t="s">
        <v>6276</v>
      </c>
      <c r="R29" s="1" t="s">
        <v>6277</v>
      </c>
    </row>
    <row r="30" spans="1:18" ht="15.75" customHeight="1" x14ac:dyDescent="0.25">
      <c r="A30" s="1" t="s">
        <v>141</v>
      </c>
      <c r="B30" s="1" t="s">
        <v>6278</v>
      </c>
      <c r="C30" s="1" t="s">
        <v>2087</v>
      </c>
      <c r="D30" s="4"/>
      <c r="E30" s="1">
        <v>2021</v>
      </c>
      <c r="F30" s="4"/>
      <c r="G30" s="4"/>
      <c r="H30" s="1" t="s">
        <v>6279</v>
      </c>
      <c r="I30" s="4"/>
      <c r="J30" s="4"/>
      <c r="K30" s="1" t="s">
        <v>6179</v>
      </c>
      <c r="L30" s="6">
        <v>44440</v>
      </c>
      <c r="M30" s="4"/>
      <c r="N30" s="4"/>
      <c r="O30" s="3" t="s">
        <v>6280</v>
      </c>
      <c r="P30" s="1" t="s">
        <v>2090</v>
      </c>
      <c r="Q30" s="1" t="s">
        <v>6281</v>
      </c>
      <c r="R30" s="1" t="s">
        <v>6282</v>
      </c>
    </row>
    <row r="31" spans="1:18" ht="15.75" customHeight="1" x14ac:dyDescent="0.25">
      <c r="A31" s="1" t="s">
        <v>13</v>
      </c>
      <c r="B31" s="1" t="s">
        <v>6283</v>
      </c>
      <c r="C31" s="1" t="s">
        <v>6284</v>
      </c>
      <c r="D31" s="1" t="s">
        <v>668</v>
      </c>
      <c r="E31" s="1">
        <v>2021</v>
      </c>
      <c r="F31" s="1">
        <v>9</v>
      </c>
      <c r="G31" s="4"/>
      <c r="H31" s="1" t="s">
        <v>6285</v>
      </c>
      <c r="I31" s="4"/>
      <c r="J31" s="4"/>
      <c r="K31" s="4"/>
      <c r="L31" s="1">
        <v>2021</v>
      </c>
      <c r="M31" s="4"/>
      <c r="N31" s="1" t="s">
        <v>670</v>
      </c>
      <c r="O31" s="3" t="s">
        <v>6286</v>
      </c>
      <c r="P31" s="1" t="s">
        <v>6287</v>
      </c>
      <c r="Q31" s="1" t="s">
        <v>6288</v>
      </c>
      <c r="R31" s="1" t="s">
        <v>6289</v>
      </c>
    </row>
    <row r="32" spans="1:18" ht="15.75" customHeight="1" x14ac:dyDescent="0.25">
      <c r="A32" s="1" t="s">
        <v>13</v>
      </c>
      <c r="B32" s="1" t="s">
        <v>6290</v>
      </c>
      <c r="C32" s="1" t="s">
        <v>6291</v>
      </c>
      <c r="D32" s="1" t="s">
        <v>668</v>
      </c>
      <c r="E32" s="1">
        <v>2020</v>
      </c>
      <c r="F32" s="1">
        <v>8</v>
      </c>
      <c r="G32" s="4"/>
      <c r="H32" s="1" t="s">
        <v>6292</v>
      </c>
      <c r="I32" s="4"/>
      <c r="J32" s="4"/>
      <c r="K32" s="4"/>
      <c r="L32" s="1">
        <v>2020</v>
      </c>
      <c r="M32" s="4"/>
      <c r="N32" s="1" t="s">
        <v>670</v>
      </c>
      <c r="O32" s="3" t="s">
        <v>6293</v>
      </c>
      <c r="P32" s="1" t="s">
        <v>6294</v>
      </c>
      <c r="Q32" s="1" t="s">
        <v>6295</v>
      </c>
      <c r="R32" s="1" t="s">
        <v>6296</v>
      </c>
    </row>
    <row r="33" spans="1:18" ht="15.75" customHeight="1" x14ac:dyDescent="0.25">
      <c r="A33" s="1" t="s">
        <v>141</v>
      </c>
      <c r="B33" s="1" t="s">
        <v>6297</v>
      </c>
      <c r="C33" s="1" t="s">
        <v>6298</v>
      </c>
      <c r="D33" s="4"/>
      <c r="E33" s="1">
        <v>2021</v>
      </c>
      <c r="F33" s="4"/>
      <c r="G33" s="4"/>
      <c r="H33" s="1" t="s">
        <v>6299</v>
      </c>
      <c r="I33" s="4"/>
      <c r="J33" s="4"/>
      <c r="K33" s="1" t="s">
        <v>6300</v>
      </c>
      <c r="L33" s="6">
        <v>44317</v>
      </c>
      <c r="M33" s="4"/>
      <c r="N33" s="1" t="s">
        <v>6112</v>
      </c>
      <c r="O33" s="3" t="s">
        <v>6301</v>
      </c>
      <c r="P33" s="1" t="s">
        <v>6302</v>
      </c>
      <c r="Q33" s="1" t="s">
        <v>6303</v>
      </c>
      <c r="R33" s="1" t="s">
        <v>6304</v>
      </c>
    </row>
    <row r="34" spans="1:18" ht="15.75" customHeight="1" x14ac:dyDescent="0.25">
      <c r="A34" s="1" t="s">
        <v>13</v>
      </c>
      <c r="B34" s="1" t="s">
        <v>6305</v>
      </c>
      <c r="C34" s="1" t="s">
        <v>6306</v>
      </c>
      <c r="D34" s="1" t="s">
        <v>6307</v>
      </c>
      <c r="E34" s="1">
        <v>2015</v>
      </c>
      <c r="F34" s="1">
        <v>17</v>
      </c>
      <c r="G34" s="1">
        <v>6</v>
      </c>
      <c r="H34" s="1" t="s">
        <v>6308</v>
      </c>
      <c r="I34" s="4"/>
      <c r="J34" s="4"/>
      <c r="K34" s="4"/>
      <c r="L34" s="2">
        <v>42309</v>
      </c>
      <c r="M34" s="4"/>
      <c r="N34" s="1" t="s">
        <v>6309</v>
      </c>
      <c r="O34" s="3" t="s">
        <v>6310</v>
      </c>
      <c r="P34" s="1" t="s">
        <v>6311</v>
      </c>
      <c r="Q34" s="1" t="s">
        <v>6312</v>
      </c>
      <c r="R34" s="1" t="s">
        <v>6313</v>
      </c>
    </row>
    <row r="35" spans="1:18" ht="15.75" customHeight="1" x14ac:dyDescent="0.25">
      <c r="A35" s="1" t="s">
        <v>141</v>
      </c>
      <c r="B35" s="1" t="s">
        <v>4688</v>
      </c>
      <c r="C35" s="1" t="s">
        <v>6314</v>
      </c>
      <c r="D35" s="4"/>
      <c r="E35" s="1">
        <v>2018</v>
      </c>
      <c r="F35" s="4"/>
      <c r="G35" s="4"/>
      <c r="H35" s="9">
        <v>45119</v>
      </c>
      <c r="I35" s="4"/>
      <c r="J35" s="4"/>
      <c r="K35" s="1" t="s">
        <v>6315</v>
      </c>
      <c r="L35" s="2">
        <v>43435</v>
      </c>
      <c r="M35" s="4"/>
      <c r="N35" s="1" t="s">
        <v>6316</v>
      </c>
      <c r="O35" s="3" t="s">
        <v>6317</v>
      </c>
      <c r="P35" s="1" t="s">
        <v>4691</v>
      </c>
      <c r="Q35" s="1" t="s">
        <v>6318</v>
      </c>
      <c r="R35" s="1" t="s">
        <v>6319</v>
      </c>
    </row>
    <row r="36" spans="1:18" ht="15.75" customHeight="1" x14ac:dyDescent="0.25">
      <c r="A36" s="1" t="s">
        <v>141</v>
      </c>
      <c r="B36" s="1" t="s">
        <v>30</v>
      </c>
      <c r="C36" s="1" t="s">
        <v>6320</v>
      </c>
      <c r="D36" s="4"/>
      <c r="E36" s="1">
        <v>2020</v>
      </c>
      <c r="F36" s="4"/>
      <c r="G36" s="4"/>
      <c r="H36" s="1" t="s">
        <v>6321</v>
      </c>
      <c r="I36" s="4"/>
      <c r="J36" s="4"/>
      <c r="K36" s="1" t="s">
        <v>6322</v>
      </c>
      <c r="L36" s="6">
        <v>44044</v>
      </c>
      <c r="M36" s="4"/>
      <c r="N36" s="4"/>
      <c r="O36" s="3" t="s">
        <v>6323</v>
      </c>
      <c r="P36" s="1" t="s">
        <v>6324</v>
      </c>
      <c r="Q36" s="1" t="s">
        <v>6325</v>
      </c>
      <c r="R36" s="1" t="s">
        <v>6326</v>
      </c>
    </row>
    <row r="37" spans="1:18" ht="15.75" customHeight="1" x14ac:dyDescent="0.25">
      <c r="A37" s="1" t="s">
        <v>141</v>
      </c>
      <c r="B37" s="1" t="s">
        <v>2924</v>
      </c>
      <c r="C37" s="1" t="s">
        <v>6327</v>
      </c>
      <c r="D37" s="4"/>
      <c r="E37" s="1">
        <v>2021</v>
      </c>
      <c r="F37" s="4"/>
      <c r="G37" s="4"/>
      <c r="H37" s="1" t="s">
        <v>6328</v>
      </c>
      <c r="I37" s="4"/>
      <c r="J37" s="4"/>
      <c r="K37" s="1" t="s">
        <v>6329</v>
      </c>
      <c r="L37" s="6">
        <v>44317</v>
      </c>
      <c r="M37" s="4"/>
      <c r="N37" s="1" t="s">
        <v>6152</v>
      </c>
      <c r="O37" s="3" t="s">
        <v>6330</v>
      </c>
      <c r="P37" s="1" t="s">
        <v>2928</v>
      </c>
      <c r="Q37" s="1" t="s">
        <v>6331</v>
      </c>
      <c r="R37" s="1" t="s">
        <v>6332</v>
      </c>
    </row>
    <row r="38" spans="1:18" ht="15.75" customHeight="1" x14ac:dyDescent="0.25">
      <c r="A38" s="1" t="s">
        <v>141</v>
      </c>
      <c r="B38" s="1" t="s">
        <v>3166</v>
      </c>
      <c r="C38" s="1" t="s">
        <v>6333</v>
      </c>
      <c r="D38" s="4"/>
      <c r="E38" s="1">
        <v>2021</v>
      </c>
      <c r="F38" s="4"/>
      <c r="G38" s="4"/>
      <c r="H38" s="1" t="s">
        <v>6334</v>
      </c>
      <c r="I38" s="4"/>
      <c r="J38" s="4"/>
      <c r="K38" s="1" t="s">
        <v>6335</v>
      </c>
      <c r="L38" s="6">
        <v>44317</v>
      </c>
      <c r="M38" s="4"/>
      <c r="N38" s="1" t="s">
        <v>6336</v>
      </c>
      <c r="O38" s="3" t="s">
        <v>6337</v>
      </c>
      <c r="P38" s="1" t="s">
        <v>3170</v>
      </c>
      <c r="Q38" s="1" t="s">
        <v>6338</v>
      </c>
      <c r="R38" s="1" t="s">
        <v>6339</v>
      </c>
    </row>
    <row r="39" spans="1:18" ht="15.75" customHeight="1" x14ac:dyDescent="0.25">
      <c r="A39" s="1" t="s">
        <v>13</v>
      </c>
      <c r="B39" s="1" t="s">
        <v>6340</v>
      </c>
      <c r="C39" s="1" t="s">
        <v>6341</v>
      </c>
      <c r="D39" s="1" t="s">
        <v>4637</v>
      </c>
      <c r="E39" s="1">
        <v>2017</v>
      </c>
      <c r="F39" s="1">
        <v>34</v>
      </c>
      <c r="G39" s="1">
        <v>2</v>
      </c>
      <c r="H39" s="1" t="s">
        <v>6342</v>
      </c>
      <c r="I39" s="4"/>
      <c r="J39" s="4"/>
      <c r="K39" s="4"/>
      <c r="L39" s="6">
        <v>42795</v>
      </c>
      <c r="M39" s="4"/>
      <c r="N39" s="1" t="s">
        <v>6207</v>
      </c>
      <c r="O39" s="3" t="s">
        <v>6343</v>
      </c>
      <c r="P39" s="1" t="s">
        <v>6344</v>
      </c>
      <c r="Q39" s="1" t="s">
        <v>6345</v>
      </c>
      <c r="R39" s="1" t="s">
        <v>6346</v>
      </c>
    </row>
    <row r="40" spans="1:18" ht="15.75" customHeight="1" x14ac:dyDescent="0.25">
      <c r="A40" s="1" t="s">
        <v>13</v>
      </c>
      <c r="B40" s="1" t="s">
        <v>6347</v>
      </c>
      <c r="C40" s="1" t="s">
        <v>6348</v>
      </c>
      <c r="D40" s="1" t="s">
        <v>4637</v>
      </c>
      <c r="E40" s="1">
        <v>2018</v>
      </c>
      <c r="F40" s="1">
        <v>35</v>
      </c>
      <c r="G40" s="1">
        <v>2</v>
      </c>
      <c r="H40" s="1" t="s">
        <v>6349</v>
      </c>
      <c r="I40" s="4"/>
      <c r="J40" s="4"/>
      <c r="K40" s="4"/>
      <c r="L40" s="6">
        <v>43160</v>
      </c>
      <c r="M40" s="4"/>
      <c r="N40" s="1" t="s">
        <v>6207</v>
      </c>
      <c r="O40" s="3" t="s">
        <v>6350</v>
      </c>
      <c r="P40" s="1" t="s">
        <v>6351</v>
      </c>
      <c r="Q40" s="1" t="s">
        <v>6352</v>
      </c>
      <c r="R40" s="1" t="s">
        <v>6353</v>
      </c>
    </row>
    <row r="41" spans="1:18" ht="15.75" customHeight="1" x14ac:dyDescent="0.25">
      <c r="A41" s="1" t="s">
        <v>13</v>
      </c>
      <c r="B41" s="1" t="s">
        <v>977</v>
      </c>
      <c r="C41" s="1" t="s">
        <v>6354</v>
      </c>
      <c r="D41" s="1" t="s">
        <v>255</v>
      </c>
      <c r="E41" s="1">
        <v>2022</v>
      </c>
      <c r="F41" s="1">
        <v>48</v>
      </c>
      <c r="G41" s="1">
        <v>12</v>
      </c>
      <c r="H41" s="1" t="s">
        <v>6355</v>
      </c>
      <c r="I41" s="4"/>
      <c r="J41" s="4"/>
      <c r="K41" s="4"/>
      <c r="L41" s="2">
        <v>44896</v>
      </c>
      <c r="M41" s="4"/>
      <c r="N41" s="1" t="s">
        <v>6115</v>
      </c>
      <c r="O41" s="3" t="s">
        <v>6356</v>
      </c>
      <c r="P41" s="1" t="s">
        <v>981</v>
      </c>
      <c r="Q41" s="1" t="s">
        <v>6357</v>
      </c>
      <c r="R41" s="1" t="s">
        <v>6358</v>
      </c>
    </row>
    <row r="42" spans="1:18" ht="15.75" customHeight="1" x14ac:dyDescent="0.25">
      <c r="A42" s="1" t="s">
        <v>141</v>
      </c>
      <c r="B42" s="1" t="s">
        <v>6359</v>
      </c>
      <c r="C42" s="1" t="s">
        <v>6360</v>
      </c>
      <c r="D42" s="4"/>
      <c r="E42" s="1">
        <v>2019</v>
      </c>
      <c r="F42" s="4"/>
      <c r="G42" s="4"/>
      <c r="H42" s="1" t="s">
        <v>6361</v>
      </c>
      <c r="I42" s="4"/>
      <c r="J42" s="4"/>
      <c r="K42" s="1" t="s">
        <v>6362</v>
      </c>
      <c r="L42" s="2">
        <v>43800</v>
      </c>
      <c r="M42" s="4"/>
      <c r="N42" s="1" t="s">
        <v>6316</v>
      </c>
      <c r="O42" s="3" t="s">
        <v>6363</v>
      </c>
      <c r="P42" s="1" t="s">
        <v>6364</v>
      </c>
      <c r="Q42" s="1" t="s">
        <v>6365</v>
      </c>
      <c r="R42" s="1" t="s">
        <v>6366</v>
      </c>
    </row>
    <row r="43" spans="1:18" ht="15.75" customHeight="1" x14ac:dyDescent="0.25">
      <c r="A43" s="1" t="s">
        <v>13</v>
      </c>
      <c r="B43" s="1" t="s">
        <v>6367</v>
      </c>
      <c r="C43" s="1" t="s">
        <v>5094</v>
      </c>
      <c r="D43" s="1" t="s">
        <v>4637</v>
      </c>
      <c r="E43" s="1">
        <v>2016</v>
      </c>
      <c r="F43" s="1">
        <v>33</v>
      </c>
      <c r="G43" s="1">
        <v>5</v>
      </c>
      <c r="H43" s="1" t="s">
        <v>6368</v>
      </c>
      <c r="I43" s="4"/>
      <c r="J43" s="4"/>
      <c r="K43" s="4"/>
      <c r="L43" s="6">
        <v>42614</v>
      </c>
      <c r="M43" s="4"/>
      <c r="N43" s="1" t="s">
        <v>6207</v>
      </c>
      <c r="O43" s="3" t="s">
        <v>6369</v>
      </c>
      <c r="P43" s="1" t="s">
        <v>6370</v>
      </c>
      <c r="Q43" s="1" t="s">
        <v>6371</v>
      </c>
      <c r="R43" s="1" t="s">
        <v>6372</v>
      </c>
    </row>
    <row r="44" spans="1:18" x14ac:dyDescent="0.25">
      <c r="A44" s="1" t="s">
        <v>141</v>
      </c>
      <c r="B44" s="1" t="s">
        <v>4537</v>
      </c>
      <c r="C44" s="1" t="s">
        <v>6373</v>
      </c>
      <c r="D44" s="4"/>
      <c r="E44" s="1">
        <v>2020</v>
      </c>
      <c r="F44" s="4"/>
      <c r="G44" s="4"/>
      <c r="H44" s="1" t="s">
        <v>6374</v>
      </c>
      <c r="I44" s="4"/>
      <c r="J44" s="4"/>
      <c r="K44" s="1" t="s">
        <v>6375</v>
      </c>
      <c r="L44" s="2">
        <v>44105</v>
      </c>
      <c r="M44" s="4"/>
      <c r="N44" s="4"/>
      <c r="O44" s="4"/>
      <c r="P44" s="4"/>
      <c r="Q44" s="1" t="s">
        <v>6376</v>
      </c>
      <c r="R44" s="1" t="s">
        <v>6377</v>
      </c>
    </row>
    <row r="45" spans="1:18" x14ac:dyDescent="0.25">
      <c r="A45" s="1" t="s">
        <v>141</v>
      </c>
      <c r="B45" s="1" t="s">
        <v>1747</v>
      </c>
      <c r="C45" s="1" t="s">
        <v>1748</v>
      </c>
      <c r="D45" s="4"/>
      <c r="E45" s="1">
        <v>2022</v>
      </c>
      <c r="F45" s="4"/>
      <c r="G45" s="4"/>
      <c r="H45" s="1" t="s">
        <v>6378</v>
      </c>
      <c r="I45" s="4"/>
      <c r="J45" s="4"/>
      <c r="K45" s="1" t="s">
        <v>6269</v>
      </c>
      <c r="L45" s="6">
        <v>44682</v>
      </c>
      <c r="M45" s="4"/>
      <c r="N45" s="4"/>
      <c r="O45" s="3" t="s">
        <v>6379</v>
      </c>
      <c r="P45" s="1" t="s">
        <v>1751</v>
      </c>
      <c r="Q45" s="1" t="s">
        <v>6380</v>
      </c>
      <c r="R45" s="1" t="s">
        <v>6381</v>
      </c>
    </row>
    <row r="46" spans="1:18" x14ac:dyDescent="0.25">
      <c r="A46" s="1" t="s">
        <v>13</v>
      </c>
      <c r="B46" s="1" t="s">
        <v>1243</v>
      </c>
      <c r="C46" s="1" t="s">
        <v>1244</v>
      </c>
      <c r="D46" s="1" t="s">
        <v>255</v>
      </c>
      <c r="E46" s="1">
        <v>2022</v>
      </c>
      <c r="F46" s="1">
        <v>48</v>
      </c>
      <c r="G46" s="1">
        <v>4</v>
      </c>
      <c r="H46" s="1" t="s">
        <v>6382</v>
      </c>
      <c r="I46" s="4"/>
      <c r="J46" s="4"/>
      <c r="K46" s="4"/>
      <c r="L46" s="6">
        <v>44652</v>
      </c>
      <c r="M46" s="4"/>
      <c r="N46" s="1" t="s">
        <v>6115</v>
      </c>
      <c r="O46" s="3" t="s">
        <v>6383</v>
      </c>
      <c r="P46" s="1" t="s">
        <v>1247</v>
      </c>
      <c r="Q46" s="1" t="s">
        <v>6384</v>
      </c>
      <c r="R46" s="1" t="s">
        <v>6385</v>
      </c>
    </row>
    <row r="47" spans="1:18" x14ac:dyDescent="0.25">
      <c r="A47" s="1" t="s">
        <v>141</v>
      </c>
      <c r="B47" s="1" t="s">
        <v>1784</v>
      </c>
      <c r="C47" s="1" t="s">
        <v>1785</v>
      </c>
      <c r="D47" s="4"/>
      <c r="E47" s="1">
        <v>2021</v>
      </c>
      <c r="F47" s="4"/>
      <c r="G47" s="4"/>
      <c r="H47" s="9">
        <v>44934</v>
      </c>
      <c r="I47" s="4"/>
      <c r="J47" s="4"/>
      <c r="K47" s="1" t="s">
        <v>6179</v>
      </c>
      <c r="L47" s="6">
        <v>44440</v>
      </c>
      <c r="M47" s="4"/>
      <c r="N47" s="4"/>
      <c r="O47" s="3" t="s">
        <v>6386</v>
      </c>
      <c r="P47" s="1" t="s">
        <v>1788</v>
      </c>
      <c r="Q47" s="1" t="s">
        <v>6387</v>
      </c>
      <c r="R47" s="1" t="s">
        <v>6388</v>
      </c>
    </row>
    <row r="48" spans="1:18" x14ac:dyDescent="0.25">
      <c r="A48" s="1" t="s">
        <v>13</v>
      </c>
      <c r="B48" s="1" t="s">
        <v>6389</v>
      </c>
      <c r="C48" s="1" t="s">
        <v>1125</v>
      </c>
      <c r="D48" s="1" t="s">
        <v>255</v>
      </c>
      <c r="E48" s="1">
        <v>2022</v>
      </c>
      <c r="F48" s="4"/>
      <c r="G48" s="4"/>
      <c r="H48" s="9">
        <v>44945</v>
      </c>
      <c r="I48" s="4"/>
      <c r="J48" s="4"/>
      <c r="K48" s="4"/>
      <c r="L48" s="1">
        <v>2022</v>
      </c>
      <c r="M48" s="4"/>
      <c r="N48" s="1" t="s">
        <v>6115</v>
      </c>
      <c r="O48" s="3" t="s">
        <v>6390</v>
      </c>
      <c r="P48" s="1" t="s">
        <v>1128</v>
      </c>
      <c r="Q48" s="1" t="s">
        <v>6391</v>
      </c>
      <c r="R48" s="1" t="s">
        <v>6392</v>
      </c>
    </row>
    <row r="49" spans="1:18" x14ac:dyDescent="0.25">
      <c r="A49" s="1" t="s">
        <v>141</v>
      </c>
      <c r="B49" s="1" t="s">
        <v>3344</v>
      </c>
      <c r="C49" s="1" t="s">
        <v>3698</v>
      </c>
      <c r="D49" s="4"/>
      <c r="E49" s="1">
        <v>2020</v>
      </c>
      <c r="F49" s="4"/>
      <c r="G49" s="4"/>
      <c r="H49" s="9">
        <v>44936</v>
      </c>
      <c r="I49" s="4"/>
      <c r="J49" s="4"/>
      <c r="K49" s="1" t="s">
        <v>6393</v>
      </c>
      <c r="L49" s="2">
        <v>44105</v>
      </c>
      <c r="M49" s="4"/>
      <c r="N49" s="4"/>
      <c r="O49" s="4"/>
      <c r="P49" s="4"/>
      <c r="Q49" s="1" t="s">
        <v>6394</v>
      </c>
      <c r="R49" s="1" t="s">
        <v>6395</v>
      </c>
    </row>
    <row r="50" spans="1:18" x14ac:dyDescent="0.25">
      <c r="A50" s="1" t="s">
        <v>141</v>
      </c>
      <c r="B50" s="1" t="s">
        <v>6396</v>
      </c>
      <c r="C50" s="1" t="s">
        <v>6397</v>
      </c>
      <c r="D50" s="4"/>
      <c r="E50" s="1">
        <v>2019</v>
      </c>
      <c r="F50" s="4"/>
      <c r="G50" s="4"/>
      <c r="H50" s="1" t="s">
        <v>6398</v>
      </c>
      <c r="I50" s="4"/>
      <c r="J50" s="4"/>
      <c r="K50" s="1" t="s">
        <v>6399</v>
      </c>
      <c r="L50" s="6">
        <v>43678</v>
      </c>
      <c r="M50" s="4"/>
      <c r="N50" s="4"/>
      <c r="O50" s="3" t="s">
        <v>6400</v>
      </c>
      <c r="P50" s="1" t="s">
        <v>6401</v>
      </c>
      <c r="Q50" s="1" t="s">
        <v>6402</v>
      </c>
      <c r="R50" s="1" t="s">
        <v>6403</v>
      </c>
    </row>
    <row r="51" spans="1:18" x14ac:dyDescent="0.25">
      <c r="A51" s="1" t="s">
        <v>13</v>
      </c>
      <c r="B51" s="1" t="s">
        <v>37</v>
      </c>
      <c r="C51" s="1" t="s">
        <v>38</v>
      </c>
      <c r="D51" s="1" t="s">
        <v>255</v>
      </c>
      <c r="E51" s="1">
        <v>2022</v>
      </c>
      <c r="F51" s="1">
        <v>48</v>
      </c>
      <c r="G51" s="1">
        <v>12</v>
      </c>
      <c r="H51" s="1" t="s">
        <v>39</v>
      </c>
      <c r="I51" s="4"/>
      <c r="J51" s="4"/>
      <c r="K51" s="4"/>
      <c r="L51" s="2">
        <v>44896</v>
      </c>
      <c r="M51" s="4"/>
      <c r="N51" s="1" t="s">
        <v>6115</v>
      </c>
      <c r="O51" s="3" t="s">
        <v>40</v>
      </c>
      <c r="P51" s="1" t="s">
        <v>41</v>
      </c>
      <c r="Q51" s="1" t="s">
        <v>42</v>
      </c>
      <c r="R51" s="1" t="s">
        <v>6404</v>
      </c>
    </row>
    <row r="52" spans="1:18" x14ac:dyDescent="0.25">
      <c r="A52" s="1" t="s">
        <v>13</v>
      </c>
      <c r="B52" s="1" t="s">
        <v>88</v>
      </c>
      <c r="C52" s="1" t="s">
        <v>89</v>
      </c>
      <c r="D52" s="1" t="s">
        <v>347</v>
      </c>
      <c r="E52" s="1">
        <v>2022</v>
      </c>
      <c r="F52" s="1">
        <v>71</v>
      </c>
      <c r="G52" s="1">
        <v>3</v>
      </c>
      <c r="H52" s="1" t="s">
        <v>91</v>
      </c>
      <c r="I52" s="4"/>
      <c r="J52" s="4"/>
      <c r="K52" s="4"/>
      <c r="L52" s="6">
        <v>44805</v>
      </c>
      <c r="M52" s="4"/>
      <c r="N52" s="1" t="s">
        <v>6405</v>
      </c>
      <c r="O52" s="3" t="s">
        <v>93</v>
      </c>
      <c r="P52" s="1" t="s">
        <v>94</v>
      </c>
      <c r="Q52" s="1" t="s">
        <v>6406</v>
      </c>
      <c r="R52" s="1" t="s">
        <v>6407</v>
      </c>
    </row>
    <row r="53" spans="1:18" x14ac:dyDescent="0.25">
      <c r="A53" s="1" t="s">
        <v>141</v>
      </c>
      <c r="B53" s="1" t="s">
        <v>6128</v>
      </c>
      <c r="C53" s="1" t="s">
        <v>6408</v>
      </c>
      <c r="D53" s="4"/>
      <c r="E53" s="1">
        <v>2018</v>
      </c>
      <c r="F53" s="4"/>
      <c r="G53" s="4"/>
      <c r="H53" s="1" t="s">
        <v>6409</v>
      </c>
      <c r="I53" s="4"/>
      <c r="J53" s="4"/>
      <c r="K53" s="1" t="s">
        <v>6238</v>
      </c>
      <c r="L53" s="6">
        <v>43221</v>
      </c>
      <c r="M53" s="4"/>
      <c r="N53" s="1" t="s">
        <v>6239</v>
      </c>
      <c r="O53" s="4"/>
      <c r="P53" s="4"/>
      <c r="Q53" s="1" t="s">
        <v>6410</v>
      </c>
      <c r="R53" s="1" t="s">
        <v>6411</v>
      </c>
    </row>
    <row r="54" spans="1:18" x14ac:dyDescent="0.25">
      <c r="A54" s="1" t="s">
        <v>141</v>
      </c>
      <c r="B54" s="1" t="s">
        <v>2545</v>
      </c>
      <c r="C54" s="1" t="s">
        <v>2546</v>
      </c>
      <c r="D54" s="4"/>
      <c r="E54" s="1">
        <v>2021</v>
      </c>
      <c r="F54" s="4"/>
      <c r="G54" s="4"/>
      <c r="H54" s="9">
        <v>44934</v>
      </c>
      <c r="I54" s="4"/>
      <c r="J54" s="4"/>
      <c r="K54" s="1" t="s">
        <v>6412</v>
      </c>
      <c r="L54" s="6">
        <v>44378</v>
      </c>
      <c r="M54" s="4"/>
      <c r="N54" s="1" t="s">
        <v>6413</v>
      </c>
      <c r="O54" s="3" t="s">
        <v>6414</v>
      </c>
      <c r="P54" s="1" t="s">
        <v>2548</v>
      </c>
      <c r="Q54" s="1" t="s">
        <v>6415</v>
      </c>
      <c r="R54" s="1" t="s">
        <v>6416</v>
      </c>
    </row>
    <row r="55" spans="1:18" x14ac:dyDescent="0.25">
      <c r="A55" s="1" t="s">
        <v>13</v>
      </c>
      <c r="B55" s="1" t="s">
        <v>3901</v>
      </c>
      <c r="C55" s="1" t="s">
        <v>3902</v>
      </c>
      <c r="D55" s="1" t="s">
        <v>255</v>
      </c>
      <c r="E55" s="1">
        <v>2019</v>
      </c>
      <c r="F55" s="1">
        <v>45</v>
      </c>
      <c r="G55" s="1">
        <v>12</v>
      </c>
      <c r="H55" s="1" t="s">
        <v>6417</v>
      </c>
      <c r="I55" s="4"/>
      <c r="J55" s="4"/>
      <c r="K55" s="4"/>
      <c r="L55" s="2">
        <v>43800</v>
      </c>
      <c r="M55" s="4"/>
      <c r="N55" s="1" t="s">
        <v>6115</v>
      </c>
      <c r="O55" s="3" t="s">
        <v>6418</v>
      </c>
      <c r="P55" s="1" t="s">
        <v>3905</v>
      </c>
      <c r="Q55" s="1" t="s">
        <v>6419</v>
      </c>
      <c r="R55" s="1" t="s">
        <v>6420</v>
      </c>
    </row>
    <row r="56" spans="1:18" x14ac:dyDescent="0.25">
      <c r="A56" s="1" t="s">
        <v>141</v>
      </c>
      <c r="B56" s="1" t="s">
        <v>5556</v>
      </c>
      <c r="C56" s="1" t="s">
        <v>5557</v>
      </c>
      <c r="D56" s="4"/>
      <c r="E56" s="1">
        <v>2017</v>
      </c>
      <c r="F56" s="4"/>
      <c r="G56" s="4"/>
      <c r="H56" s="9">
        <v>45119</v>
      </c>
      <c r="I56" s="4"/>
      <c r="J56" s="4"/>
      <c r="K56" s="1" t="s">
        <v>6421</v>
      </c>
      <c r="L56" s="6">
        <v>42887</v>
      </c>
      <c r="M56" s="4"/>
      <c r="N56" s="4"/>
      <c r="O56" s="3" t="s">
        <v>6422</v>
      </c>
      <c r="P56" s="1" t="s">
        <v>5559</v>
      </c>
      <c r="Q56" s="1" t="s">
        <v>6423</v>
      </c>
      <c r="R56" s="1" t="s">
        <v>6424</v>
      </c>
    </row>
    <row r="57" spans="1:18" x14ac:dyDescent="0.25">
      <c r="A57" s="1" t="s">
        <v>141</v>
      </c>
      <c r="B57" s="1" t="s">
        <v>6425</v>
      </c>
      <c r="C57" s="1" t="s">
        <v>3381</v>
      </c>
      <c r="D57" s="4"/>
      <c r="E57" s="1">
        <v>2020</v>
      </c>
      <c r="F57" s="4"/>
      <c r="G57" s="4"/>
      <c r="H57" s="1" t="s">
        <v>6426</v>
      </c>
      <c r="I57" s="4"/>
      <c r="J57" s="4"/>
      <c r="K57" s="1" t="s">
        <v>6322</v>
      </c>
      <c r="L57" s="6">
        <v>44044</v>
      </c>
      <c r="M57" s="4"/>
      <c r="N57" s="4"/>
      <c r="O57" s="3" t="s">
        <v>6427</v>
      </c>
      <c r="P57" s="1" t="s">
        <v>3384</v>
      </c>
      <c r="Q57" s="1" t="s">
        <v>6428</v>
      </c>
      <c r="R57" s="1" t="s">
        <v>6429</v>
      </c>
    </row>
    <row r="58" spans="1:18" x14ac:dyDescent="0.25">
      <c r="A58" s="1" t="s">
        <v>13</v>
      </c>
      <c r="B58" s="1" t="s">
        <v>109</v>
      </c>
      <c r="C58" s="1" t="s">
        <v>110</v>
      </c>
      <c r="D58" s="1" t="s">
        <v>255</v>
      </c>
      <c r="E58" s="1">
        <v>2022</v>
      </c>
      <c r="F58" s="1">
        <v>48</v>
      </c>
      <c r="G58" s="1">
        <v>5</v>
      </c>
      <c r="H58" s="1" t="s">
        <v>111</v>
      </c>
      <c r="I58" s="4"/>
      <c r="J58" s="4"/>
      <c r="K58" s="4"/>
      <c r="L58" s="6">
        <v>44682</v>
      </c>
      <c r="M58" s="4"/>
      <c r="N58" s="1" t="s">
        <v>6115</v>
      </c>
      <c r="O58" s="3" t="s">
        <v>112</v>
      </c>
      <c r="P58" s="1" t="s">
        <v>113</v>
      </c>
      <c r="Q58" s="1" t="s">
        <v>6430</v>
      </c>
      <c r="R58" s="1" t="s">
        <v>6431</v>
      </c>
    </row>
    <row r="59" spans="1:18" x14ac:dyDescent="0.25">
      <c r="A59" s="1" t="s">
        <v>141</v>
      </c>
      <c r="B59" s="1" t="s">
        <v>5589</v>
      </c>
      <c r="C59" s="1" t="s">
        <v>6432</v>
      </c>
      <c r="D59" s="4"/>
      <c r="E59" s="1">
        <v>2018</v>
      </c>
      <c r="F59" s="4"/>
      <c r="G59" s="4"/>
      <c r="H59" s="1" t="s">
        <v>6433</v>
      </c>
      <c r="I59" s="4"/>
      <c r="J59" s="4"/>
      <c r="K59" s="1" t="s">
        <v>6145</v>
      </c>
      <c r="L59" s="6">
        <v>43313</v>
      </c>
      <c r="M59" s="4"/>
      <c r="N59" s="4"/>
      <c r="O59" s="3" t="s">
        <v>6434</v>
      </c>
      <c r="P59" s="1" t="s">
        <v>5593</v>
      </c>
      <c r="Q59" s="1" t="s">
        <v>6435</v>
      </c>
      <c r="R59" s="1" t="s">
        <v>6436</v>
      </c>
    </row>
    <row r="60" spans="1:18" x14ac:dyDescent="0.25">
      <c r="A60" s="1" t="s">
        <v>141</v>
      </c>
      <c r="B60" s="1" t="s">
        <v>6046</v>
      </c>
      <c r="C60" s="1" t="s">
        <v>6437</v>
      </c>
      <c r="D60" s="4"/>
      <c r="E60" s="1">
        <v>2017</v>
      </c>
      <c r="F60" s="4"/>
      <c r="G60" s="4"/>
      <c r="H60" s="1" t="s">
        <v>6438</v>
      </c>
      <c r="I60" s="4"/>
      <c r="J60" s="4"/>
      <c r="K60" s="1" t="s">
        <v>6439</v>
      </c>
      <c r="L60" s="6">
        <v>42979</v>
      </c>
      <c r="M60" s="4"/>
      <c r="N60" s="4"/>
      <c r="O60" s="3" t="s">
        <v>6440</v>
      </c>
      <c r="P60" s="1" t="s">
        <v>6050</v>
      </c>
      <c r="Q60" s="1" t="s">
        <v>6441</v>
      </c>
      <c r="R60" s="1" t="s">
        <v>6442</v>
      </c>
    </row>
    <row r="61" spans="1:18" x14ac:dyDescent="0.25">
      <c r="A61" s="1" t="s">
        <v>141</v>
      </c>
      <c r="B61" s="1" t="s">
        <v>2972</v>
      </c>
      <c r="C61" s="1" t="s">
        <v>6443</v>
      </c>
      <c r="D61" s="4"/>
      <c r="E61" s="1">
        <v>2018</v>
      </c>
      <c r="F61" s="4"/>
      <c r="G61" s="4"/>
      <c r="H61" s="1" t="s">
        <v>6194</v>
      </c>
      <c r="I61" s="4"/>
      <c r="J61" s="4"/>
      <c r="K61" s="1" t="s">
        <v>6125</v>
      </c>
      <c r="L61" s="6">
        <v>43221</v>
      </c>
      <c r="M61" s="4"/>
      <c r="N61" s="4"/>
      <c r="O61" s="4"/>
      <c r="P61" s="4"/>
      <c r="Q61" s="1" t="s">
        <v>6444</v>
      </c>
      <c r="R61" s="1" t="s">
        <v>6445</v>
      </c>
    </row>
    <row r="62" spans="1:18" x14ac:dyDescent="0.25">
      <c r="A62" s="1" t="s">
        <v>141</v>
      </c>
      <c r="B62" s="1" t="s">
        <v>2862</v>
      </c>
      <c r="C62" s="1" t="s">
        <v>6446</v>
      </c>
      <c r="D62" s="4"/>
      <c r="E62" s="1">
        <v>2020</v>
      </c>
      <c r="F62" s="4"/>
      <c r="G62" s="4"/>
      <c r="H62" s="1" t="s">
        <v>6447</v>
      </c>
      <c r="I62" s="4"/>
      <c r="J62" s="4"/>
      <c r="K62" s="1" t="s">
        <v>6448</v>
      </c>
      <c r="L62" s="6">
        <v>44075</v>
      </c>
      <c r="M62" s="4"/>
      <c r="N62" s="1" t="s">
        <v>6449</v>
      </c>
      <c r="O62" s="3" t="s">
        <v>6450</v>
      </c>
      <c r="P62" s="1" t="s">
        <v>2866</v>
      </c>
      <c r="Q62" s="1" t="s">
        <v>6451</v>
      </c>
      <c r="R62" s="1" t="s">
        <v>6452</v>
      </c>
    </row>
    <row r="63" spans="1:18" x14ac:dyDescent="0.25">
      <c r="A63" s="1" t="s">
        <v>141</v>
      </c>
      <c r="B63" s="1" t="s">
        <v>4420</v>
      </c>
      <c r="C63" s="1" t="s">
        <v>4421</v>
      </c>
      <c r="D63" s="4"/>
      <c r="E63" s="1">
        <v>2020</v>
      </c>
      <c r="F63" s="4"/>
      <c r="G63" s="4"/>
      <c r="H63" s="1" t="s">
        <v>6453</v>
      </c>
      <c r="I63" s="4"/>
      <c r="J63" s="4"/>
      <c r="K63" s="1" t="s">
        <v>6454</v>
      </c>
      <c r="L63" s="6">
        <v>43983</v>
      </c>
      <c r="M63" s="4"/>
      <c r="N63" s="4"/>
      <c r="O63" s="3" t="s">
        <v>6455</v>
      </c>
      <c r="P63" s="1" t="s">
        <v>4424</v>
      </c>
      <c r="Q63" s="1" t="s">
        <v>6456</v>
      </c>
      <c r="R63" s="1" t="s">
        <v>6457</v>
      </c>
    </row>
    <row r="64" spans="1:18" x14ac:dyDescent="0.25">
      <c r="A64" s="1" t="s">
        <v>13</v>
      </c>
      <c r="B64" s="1" t="s">
        <v>2158</v>
      </c>
      <c r="C64" s="1" t="s">
        <v>2159</v>
      </c>
      <c r="D64" s="1" t="s">
        <v>255</v>
      </c>
      <c r="E64" s="1">
        <v>2021</v>
      </c>
      <c r="F64" s="1">
        <v>47</v>
      </c>
      <c r="G64" s="1">
        <v>12</v>
      </c>
      <c r="H64" s="1" t="s">
        <v>6458</v>
      </c>
      <c r="I64" s="4"/>
      <c r="J64" s="4"/>
      <c r="K64" s="4"/>
      <c r="L64" s="2">
        <v>44531</v>
      </c>
      <c r="M64" s="4"/>
      <c r="N64" s="1" t="s">
        <v>6115</v>
      </c>
      <c r="O64" s="3" t="s">
        <v>6459</v>
      </c>
      <c r="P64" s="1" t="s">
        <v>2162</v>
      </c>
      <c r="Q64" s="1" t="s">
        <v>6460</v>
      </c>
      <c r="R64" s="1" t="s">
        <v>6461</v>
      </c>
    </row>
    <row r="65" spans="1:18" x14ac:dyDescent="0.25">
      <c r="A65" s="1" t="s">
        <v>141</v>
      </c>
      <c r="B65" s="1" t="s">
        <v>3183</v>
      </c>
      <c r="C65" s="1" t="s">
        <v>3184</v>
      </c>
      <c r="D65" s="4"/>
      <c r="E65" s="1">
        <v>2020</v>
      </c>
      <c r="F65" s="4"/>
      <c r="G65" s="4"/>
      <c r="H65" s="1" t="s">
        <v>6462</v>
      </c>
      <c r="I65" s="4"/>
      <c r="J65" s="4"/>
      <c r="K65" s="1" t="s">
        <v>6463</v>
      </c>
      <c r="L65" s="6">
        <v>44075</v>
      </c>
      <c r="M65" s="4"/>
      <c r="N65" s="1" t="s">
        <v>6190</v>
      </c>
      <c r="O65" s="4"/>
      <c r="P65" s="4"/>
      <c r="Q65" s="1" t="s">
        <v>6464</v>
      </c>
      <c r="R65" s="1" t="s">
        <v>6465</v>
      </c>
    </row>
    <row r="66" spans="1:18" x14ac:dyDescent="0.25">
      <c r="A66" s="1" t="s">
        <v>141</v>
      </c>
      <c r="B66" s="1" t="s">
        <v>6466</v>
      </c>
      <c r="C66" s="1" t="s">
        <v>6467</v>
      </c>
      <c r="D66" s="4"/>
      <c r="E66" s="1">
        <v>2022</v>
      </c>
      <c r="F66" s="4"/>
      <c r="G66" s="4"/>
      <c r="H66" s="1" t="s">
        <v>6468</v>
      </c>
      <c r="I66" s="4"/>
      <c r="J66" s="4"/>
      <c r="K66" s="1" t="s">
        <v>6469</v>
      </c>
      <c r="L66" s="6">
        <v>44682</v>
      </c>
      <c r="M66" s="4"/>
      <c r="N66" s="1" t="s">
        <v>6152</v>
      </c>
      <c r="O66" s="3" t="s">
        <v>6470</v>
      </c>
      <c r="P66" s="1" t="s">
        <v>6471</v>
      </c>
      <c r="Q66" s="1" t="s">
        <v>6472</v>
      </c>
      <c r="R66" s="1" t="s">
        <v>6473</v>
      </c>
    </row>
    <row r="67" spans="1:18" x14ac:dyDescent="0.25">
      <c r="A67" s="1" t="s">
        <v>141</v>
      </c>
      <c r="B67" s="1" t="s">
        <v>6474</v>
      </c>
      <c r="C67" s="1" t="s">
        <v>6475</v>
      </c>
      <c r="D67" s="4"/>
      <c r="E67" s="1">
        <v>2014</v>
      </c>
      <c r="F67" s="4"/>
      <c r="G67" s="4"/>
      <c r="H67" s="9">
        <v>44932</v>
      </c>
      <c r="I67" s="4"/>
      <c r="J67" s="4"/>
      <c r="K67" s="1" t="s">
        <v>6476</v>
      </c>
      <c r="L67" s="6">
        <v>41760</v>
      </c>
      <c r="M67" s="4"/>
      <c r="N67" s="1" t="s">
        <v>6477</v>
      </c>
      <c r="O67" s="3" t="s">
        <v>6478</v>
      </c>
      <c r="P67" s="1" t="s">
        <v>6479</v>
      </c>
      <c r="Q67" s="1" t="s">
        <v>6480</v>
      </c>
      <c r="R67" s="1" t="s">
        <v>6481</v>
      </c>
    </row>
    <row r="68" spans="1:18" x14ac:dyDescent="0.25">
      <c r="A68" s="1" t="s">
        <v>141</v>
      </c>
      <c r="B68" s="1" t="s">
        <v>1657</v>
      </c>
      <c r="C68" s="1" t="s">
        <v>1658</v>
      </c>
      <c r="D68" s="4"/>
      <c r="E68" s="1">
        <v>2021</v>
      </c>
      <c r="F68" s="4"/>
      <c r="G68" s="4"/>
      <c r="H68" s="1" t="s">
        <v>6482</v>
      </c>
      <c r="I68" s="4"/>
      <c r="J68" s="4"/>
      <c r="K68" s="1" t="s">
        <v>6483</v>
      </c>
      <c r="L68" s="6">
        <v>44317</v>
      </c>
      <c r="M68" s="4"/>
      <c r="N68" s="4"/>
      <c r="O68" s="3" t="s">
        <v>6484</v>
      </c>
      <c r="P68" s="1" t="s">
        <v>1661</v>
      </c>
      <c r="Q68" s="1" t="s">
        <v>6485</v>
      </c>
      <c r="R68" s="1" t="s">
        <v>6486</v>
      </c>
    </row>
    <row r="69" spans="1:18" x14ac:dyDescent="0.25">
      <c r="A69" s="1" t="s">
        <v>13</v>
      </c>
      <c r="B69" s="1" t="s">
        <v>480</v>
      </c>
      <c r="C69" s="1" t="s">
        <v>481</v>
      </c>
      <c r="D69" s="1" t="s">
        <v>255</v>
      </c>
      <c r="E69" s="1">
        <v>2022</v>
      </c>
      <c r="F69" s="1">
        <v>48</v>
      </c>
      <c r="G69" s="1">
        <v>10</v>
      </c>
      <c r="H69" s="1" t="s">
        <v>6487</v>
      </c>
      <c r="I69" s="4"/>
      <c r="J69" s="4"/>
      <c r="K69" s="4"/>
      <c r="L69" s="2">
        <v>44835</v>
      </c>
      <c r="M69" s="4"/>
      <c r="N69" s="1" t="s">
        <v>6115</v>
      </c>
      <c r="O69" s="3" t="s">
        <v>6488</v>
      </c>
      <c r="P69" s="1" t="s">
        <v>484</v>
      </c>
      <c r="Q69" s="1" t="s">
        <v>6489</v>
      </c>
      <c r="R69" s="1" t="s">
        <v>6490</v>
      </c>
    </row>
    <row r="70" spans="1:18" x14ac:dyDescent="0.25">
      <c r="A70" s="1" t="s">
        <v>141</v>
      </c>
      <c r="B70" s="1" t="s">
        <v>3590</v>
      </c>
      <c r="C70" s="1" t="s">
        <v>3591</v>
      </c>
      <c r="D70" s="4"/>
      <c r="E70" s="1">
        <v>2021</v>
      </c>
      <c r="F70" s="4"/>
      <c r="G70" s="4"/>
      <c r="H70" s="1" t="s">
        <v>6491</v>
      </c>
      <c r="I70" s="4"/>
      <c r="J70" s="4"/>
      <c r="K70" s="1" t="s">
        <v>6189</v>
      </c>
      <c r="L70" s="2">
        <v>44501</v>
      </c>
      <c r="M70" s="4"/>
      <c r="N70" s="1" t="s">
        <v>6190</v>
      </c>
      <c r="O70" s="3" t="s">
        <v>6492</v>
      </c>
      <c r="P70" s="1" t="s">
        <v>3594</v>
      </c>
      <c r="Q70" s="1" t="s">
        <v>6493</v>
      </c>
      <c r="R70" s="1" t="s">
        <v>6494</v>
      </c>
    </row>
    <row r="71" spans="1:18" x14ac:dyDescent="0.25">
      <c r="A71" s="1" t="s">
        <v>13</v>
      </c>
      <c r="B71" s="1" t="s">
        <v>2513</v>
      </c>
      <c r="C71" s="1" t="s">
        <v>2514</v>
      </c>
      <c r="D71" s="1" t="s">
        <v>2515</v>
      </c>
      <c r="E71" s="1">
        <v>2021</v>
      </c>
      <c r="F71" s="1">
        <v>18</v>
      </c>
      <c r="G71" s="1">
        <v>3</v>
      </c>
      <c r="H71" s="1" t="s">
        <v>6495</v>
      </c>
      <c r="I71" s="4"/>
      <c r="J71" s="4"/>
      <c r="K71" s="4"/>
      <c r="L71" s="6">
        <v>44378</v>
      </c>
      <c r="M71" s="4"/>
      <c r="N71" s="1" t="s">
        <v>6496</v>
      </c>
      <c r="O71" s="3" t="s">
        <v>6497</v>
      </c>
      <c r="P71" s="1" t="s">
        <v>2519</v>
      </c>
      <c r="Q71" s="1" t="s">
        <v>6498</v>
      </c>
      <c r="R71" s="1" t="s">
        <v>6499</v>
      </c>
    </row>
    <row r="72" spans="1:18" x14ac:dyDescent="0.25">
      <c r="A72" s="1" t="s">
        <v>141</v>
      </c>
      <c r="B72" s="1" t="s">
        <v>2980</v>
      </c>
      <c r="C72" s="1" t="s">
        <v>2981</v>
      </c>
      <c r="D72" s="4"/>
      <c r="E72" s="1">
        <v>2020</v>
      </c>
      <c r="F72" s="4"/>
      <c r="G72" s="4"/>
      <c r="H72" s="9">
        <v>44932</v>
      </c>
      <c r="I72" s="4"/>
      <c r="J72" s="4"/>
      <c r="K72" s="1" t="s">
        <v>6500</v>
      </c>
      <c r="L72" s="2">
        <v>44136</v>
      </c>
      <c r="M72" s="4"/>
      <c r="N72" s="4"/>
      <c r="O72" s="3" t="s">
        <v>6501</v>
      </c>
      <c r="P72" s="1" t="s">
        <v>2983</v>
      </c>
      <c r="Q72" s="1" t="s">
        <v>6502</v>
      </c>
      <c r="R72" s="1" t="s">
        <v>6503</v>
      </c>
    </row>
    <row r="73" spans="1:18" x14ac:dyDescent="0.25">
      <c r="A73" s="1" t="s">
        <v>141</v>
      </c>
      <c r="B73" s="1" t="s">
        <v>6504</v>
      </c>
      <c r="C73" s="1" t="s">
        <v>6505</v>
      </c>
      <c r="D73" s="4"/>
      <c r="E73" s="1">
        <v>2014</v>
      </c>
      <c r="F73" s="4"/>
      <c r="G73" s="4"/>
      <c r="H73" s="1" t="s">
        <v>6506</v>
      </c>
      <c r="I73" s="4"/>
      <c r="J73" s="4"/>
      <c r="K73" s="1" t="s">
        <v>6507</v>
      </c>
      <c r="L73" s="6">
        <v>41883</v>
      </c>
      <c r="M73" s="4"/>
      <c r="N73" s="1" t="s">
        <v>6508</v>
      </c>
      <c r="O73" s="3" t="s">
        <v>6509</v>
      </c>
      <c r="P73" s="1" t="s">
        <v>6510</v>
      </c>
      <c r="Q73" s="1" t="s">
        <v>6511</v>
      </c>
      <c r="R73" s="1" t="s">
        <v>6512</v>
      </c>
    </row>
    <row r="74" spans="1:18" x14ac:dyDescent="0.25">
      <c r="A74" s="1" t="s">
        <v>141</v>
      </c>
      <c r="B74" s="1" t="s">
        <v>3662</v>
      </c>
      <c r="C74" s="1" t="s">
        <v>3663</v>
      </c>
      <c r="D74" s="4"/>
      <c r="E74" s="1">
        <v>2021</v>
      </c>
      <c r="F74" s="4"/>
      <c r="G74" s="4"/>
      <c r="H74" s="10">
        <v>44930</v>
      </c>
      <c r="I74" s="4"/>
      <c r="J74" s="4"/>
      <c r="K74" s="1" t="s">
        <v>6513</v>
      </c>
      <c r="L74" s="6">
        <v>44440</v>
      </c>
      <c r="M74" s="4"/>
      <c r="N74" s="4"/>
      <c r="O74" s="3" t="s">
        <v>6514</v>
      </c>
      <c r="P74" s="1" t="s">
        <v>3666</v>
      </c>
      <c r="Q74" s="1" t="s">
        <v>6515</v>
      </c>
      <c r="R74" s="1" t="s">
        <v>6516</v>
      </c>
    </row>
    <row r="75" spans="1:18" x14ac:dyDescent="0.25">
      <c r="A75" s="1" t="s">
        <v>141</v>
      </c>
      <c r="B75" s="1" t="s">
        <v>5239</v>
      </c>
      <c r="C75" s="1" t="s">
        <v>5240</v>
      </c>
      <c r="D75" s="4"/>
      <c r="E75" s="1">
        <v>2017</v>
      </c>
      <c r="F75" s="4"/>
      <c r="G75" s="4"/>
      <c r="H75" s="1" t="s">
        <v>6517</v>
      </c>
      <c r="I75" s="4"/>
      <c r="J75" s="4"/>
      <c r="K75" s="1" t="s">
        <v>6518</v>
      </c>
      <c r="L75" s="2">
        <v>43070</v>
      </c>
      <c r="M75" s="4"/>
      <c r="N75" s="4"/>
      <c r="O75" s="3" t="s">
        <v>6519</v>
      </c>
      <c r="P75" s="1" t="s">
        <v>5243</v>
      </c>
      <c r="Q75" s="1" t="s">
        <v>6520</v>
      </c>
      <c r="R75" s="1" t="s">
        <v>6521</v>
      </c>
    </row>
    <row r="76" spans="1:18" x14ac:dyDescent="0.25">
      <c r="A76" s="1" t="s">
        <v>141</v>
      </c>
      <c r="B76" s="1" t="s">
        <v>6522</v>
      </c>
      <c r="C76" s="1" t="s">
        <v>6523</v>
      </c>
      <c r="D76" s="4"/>
      <c r="E76" s="1">
        <v>2017</v>
      </c>
      <c r="F76" s="4"/>
      <c r="G76" s="4"/>
      <c r="H76" s="1" t="s">
        <v>6524</v>
      </c>
      <c r="I76" s="4"/>
      <c r="J76" s="4"/>
      <c r="K76" s="1" t="s">
        <v>6439</v>
      </c>
      <c r="L76" s="6">
        <v>42979</v>
      </c>
      <c r="M76" s="4"/>
      <c r="N76" s="4"/>
      <c r="O76" s="3" t="s">
        <v>6525</v>
      </c>
      <c r="P76" s="1" t="s">
        <v>5798</v>
      </c>
      <c r="Q76" s="1" t="s">
        <v>6526</v>
      </c>
      <c r="R76" s="1" t="s">
        <v>6527</v>
      </c>
    </row>
    <row r="77" spans="1:18" x14ac:dyDescent="0.25">
      <c r="A77" s="1" t="s">
        <v>141</v>
      </c>
      <c r="B77" s="1" t="s">
        <v>6528</v>
      </c>
      <c r="C77" s="1" t="s">
        <v>6529</v>
      </c>
      <c r="D77" s="4"/>
      <c r="E77" s="1">
        <v>2018</v>
      </c>
      <c r="F77" s="4"/>
      <c r="G77" s="4"/>
      <c r="H77" s="1" t="s">
        <v>6530</v>
      </c>
      <c r="I77" s="4"/>
      <c r="J77" s="4"/>
      <c r="K77" s="1" t="s">
        <v>6531</v>
      </c>
      <c r="L77" s="6">
        <v>43344</v>
      </c>
      <c r="M77" s="4"/>
      <c r="N77" s="4"/>
      <c r="O77" s="3" t="s">
        <v>6532</v>
      </c>
      <c r="P77" s="1" t="s">
        <v>6533</v>
      </c>
      <c r="Q77" s="1" t="s">
        <v>6534</v>
      </c>
      <c r="R77" s="1" t="s">
        <v>6535</v>
      </c>
    </row>
    <row r="78" spans="1:18" x14ac:dyDescent="0.25">
      <c r="A78" s="1" t="s">
        <v>13</v>
      </c>
      <c r="B78" s="1" t="s">
        <v>6536</v>
      </c>
      <c r="C78" s="1" t="s">
        <v>6537</v>
      </c>
      <c r="D78" s="1" t="s">
        <v>255</v>
      </c>
      <c r="E78" s="1">
        <v>2021</v>
      </c>
      <c r="F78" s="1">
        <v>47</v>
      </c>
      <c r="G78" s="1">
        <v>3</v>
      </c>
      <c r="H78" s="1" t="s">
        <v>6538</v>
      </c>
      <c r="I78" s="4"/>
      <c r="J78" s="4"/>
      <c r="K78" s="4"/>
      <c r="L78" s="6">
        <v>44256</v>
      </c>
      <c r="M78" s="4"/>
      <c r="N78" s="1" t="s">
        <v>6115</v>
      </c>
      <c r="O78" s="3" t="s">
        <v>6539</v>
      </c>
      <c r="P78" s="1" t="s">
        <v>6540</v>
      </c>
      <c r="Q78" s="1" t="s">
        <v>6541</v>
      </c>
      <c r="R78" s="1" t="s">
        <v>6542</v>
      </c>
    </row>
    <row r="79" spans="1:18" x14ac:dyDescent="0.25">
      <c r="A79" s="1" t="s">
        <v>141</v>
      </c>
      <c r="B79" s="1" t="s">
        <v>6543</v>
      </c>
      <c r="C79" s="1" t="s">
        <v>6544</v>
      </c>
      <c r="D79" s="4"/>
      <c r="E79" s="1">
        <v>2018</v>
      </c>
      <c r="F79" s="4"/>
      <c r="G79" s="4"/>
      <c r="H79" s="1" t="s">
        <v>6545</v>
      </c>
      <c r="I79" s="4"/>
      <c r="J79" s="4"/>
      <c r="K79" s="1" t="s">
        <v>6145</v>
      </c>
      <c r="L79" s="6">
        <v>43313</v>
      </c>
      <c r="M79" s="4"/>
      <c r="N79" s="4"/>
      <c r="O79" s="3" t="s">
        <v>6546</v>
      </c>
      <c r="P79" s="1" t="s">
        <v>6547</v>
      </c>
      <c r="Q79" s="1" t="s">
        <v>6548</v>
      </c>
      <c r="R79" s="1" t="s">
        <v>6549</v>
      </c>
    </row>
    <row r="80" spans="1:18" x14ac:dyDescent="0.25">
      <c r="A80" s="1" t="s">
        <v>141</v>
      </c>
      <c r="B80" s="1" t="s">
        <v>1909</v>
      </c>
      <c r="C80" s="1" t="s">
        <v>1910</v>
      </c>
      <c r="D80" s="4"/>
      <c r="E80" s="1">
        <v>2022</v>
      </c>
      <c r="F80" s="4"/>
      <c r="G80" s="4"/>
      <c r="H80" s="9">
        <v>44934</v>
      </c>
      <c r="I80" s="4"/>
      <c r="J80" s="4"/>
      <c r="K80" s="1" t="s">
        <v>6550</v>
      </c>
      <c r="L80" s="6">
        <v>44682</v>
      </c>
      <c r="M80" s="4"/>
      <c r="N80" s="4"/>
      <c r="O80" s="3" t="s">
        <v>6551</v>
      </c>
      <c r="P80" s="1" t="s">
        <v>1913</v>
      </c>
      <c r="Q80" s="1" t="s">
        <v>6552</v>
      </c>
      <c r="R80" s="1" t="s">
        <v>6553</v>
      </c>
    </row>
    <row r="81" spans="1:18" x14ac:dyDescent="0.25">
      <c r="A81" s="1" t="s">
        <v>13</v>
      </c>
      <c r="B81" s="1" t="s">
        <v>6554</v>
      </c>
      <c r="C81" s="1" t="s">
        <v>6555</v>
      </c>
      <c r="D81" s="1" t="s">
        <v>4637</v>
      </c>
      <c r="E81" s="1">
        <v>2018</v>
      </c>
      <c r="F81" s="1">
        <v>35</v>
      </c>
      <c r="G81" s="1">
        <v>6</v>
      </c>
      <c r="H81" s="9">
        <v>45275</v>
      </c>
      <c r="I81" s="4"/>
      <c r="J81" s="4"/>
      <c r="K81" s="4"/>
      <c r="L81" s="2">
        <v>43405</v>
      </c>
      <c r="M81" s="4"/>
      <c r="N81" s="1" t="s">
        <v>6207</v>
      </c>
      <c r="O81" s="3" t="s">
        <v>6556</v>
      </c>
      <c r="P81" s="1" t="s">
        <v>6557</v>
      </c>
      <c r="Q81" s="1" t="s">
        <v>6558</v>
      </c>
      <c r="R81" s="1" t="s">
        <v>6559</v>
      </c>
    </row>
    <row r="82" spans="1:18" x14ac:dyDescent="0.25">
      <c r="A82" s="1" t="s">
        <v>13</v>
      </c>
      <c r="B82" s="1" t="s">
        <v>4635</v>
      </c>
      <c r="C82" s="1" t="s">
        <v>4636</v>
      </c>
      <c r="D82" s="1" t="s">
        <v>4637</v>
      </c>
      <c r="E82" s="1">
        <v>2019</v>
      </c>
      <c r="F82" s="1">
        <v>36</v>
      </c>
      <c r="G82" s="1">
        <v>5</v>
      </c>
      <c r="H82" s="1" t="s">
        <v>6560</v>
      </c>
      <c r="I82" s="4"/>
      <c r="J82" s="4"/>
      <c r="K82" s="4"/>
      <c r="L82" s="6">
        <v>43709</v>
      </c>
      <c r="M82" s="4"/>
      <c r="N82" s="1" t="s">
        <v>6207</v>
      </c>
      <c r="O82" s="3" t="s">
        <v>6561</v>
      </c>
      <c r="P82" s="1" t="s">
        <v>4641</v>
      </c>
      <c r="Q82" s="1" t="s">
        <v>6562</v>
      </c>
      <c r="R82" s="1" t="s">
        <v>6563</v>
      </c>
    </row>
    <row r="83" spans="1:18" x14ac:dyDescent="0.25">
      <c r="A83" s="1" t="s">
        <v>141</v>
      </c>
      <c r="B83" s="1" t="s">
        <v>6564</v>
      </c>
      <c r="C83" s="1" t="s">
        <v>6565</v>
      </c>
      <c r="D83" s="4"/>
      <c r="E83" s="1">
        <v>2021</v>
      </c>
      <c r="F83" s="4"/>
      <c r="G83" s="4"/>
      <c r="H83" s="1" t="s">
        <v>6566</v>
      </c>
      <c r="I83" s="4"/>
      <c r="J83" s="4"/>
      <c r="K83" s="1" t="s">
        <v>6567</v>
      </c>
      <c r="L83" s="6">
        <v>44440</v>
      </c>
      <c r="M83" s="4"/>
      <c r="N83" s="4"/>
      <c r="O83" s="3" t="s">
        <v>6568</v>
      </c>
      <c r="P83" s="1" t="s">
        <v>6569</v>
      </c>
      <c r="Q83" s="1" t="s">
        <v>6570</v>
      </c>
      <c r="R83" s="1" t="s">
        <v>6571</v>
      </c>
    </row>
    <row r="84" spans="1:18" x14ac:dyDescent="0.25">
      <c r="A84" s="1" t="s">
        <v>141</v>
      </c>
      <c r="B84" s="1" t="s">
        <v>6572</v>
      </c>
      <c r="C84" s="1" t="s">
        <v>6573</v>
      </c>
      <c r="D84" s="4"/>
      <c r="E84" s="1">
        <v>2019</v>
      </c>
      <c r="F84" s="4"/>
      <c r="G84" s="4"/>
      <c r="H84" s="1" t="s">
        <v>6574</v>
      </c>
      <c r="I84" s="4"/>
      <c r="J84" s="4"/>
      <c r="K84" s="1" t="s">
        <v>6575</v>
      </c>
      <c r="L84" s="6">
        <v>43556</v>
      </c>
      <c r="M84" s="4"/>
      <c r="N84" s="4"/>
      <c r="O84" s="3" t="s">
        <v>6576</v>
      </c>
      <c r="P84" s="1" t="s">
        <v>6577</v>
      </c>
      <c r="Q84" s="1" t="s">
        <v>6578</v>
      </c>
      <c r="R84" s="1" t="s">
        <v>6579</v>
      </c>
    </row>
    <row r="85" spans="1:18" x14ac:dyDescent="0.25">
      <c r="A85" s="1" t="s">
        <v>13</v>
      </c>
      <c r="B85" s="4"/>
      <c r="C85" s="1" t="s">
        <v>6580</v>
      </c>
      <c r="D85" s="1" t="s">
        <v>6581</v>
      </c>
      <c r="E85" s="1">
        <v>2017</v>
      </c>
      <c r="F85" s="4"/>
      <c r="G85" s="4"/>
      <c r="H85" s="1" t="s">
        <v>6582</v>
      </c>
      <c r="I85" s="4"/>
      <c r="J85" s="4"/>
      <c r="K85" s="4"/>
      <c r="L85" s="6">
        <v>42948</v>
      </c>
      <c r="M85" s="4"/>
      <c r="N85" s="4"/>
      <c r="O85" s="3" t="s">
        <v>6583</v>
      </c>
      <c r="P85" s="1" t="s">
        <v>6584</v>
      </c>
      <c r="Q85" s="1" t="s">
        <v>6585</v>
      </c>
      <c r="R85" s="1" t="s">
        <v>6586</v>
      </c>
    </row>
    <row r="86" spans="1:18" x14ac:dyDescent="0.25">
      <c r="A86" s="1" t="s">
        <v>13</v>
      </c>
      <c r="B86" s="1" t="s">
        <v>4452</v>
      </c>
      <c r="C86" s="1" t="s">
        <v>4453</v>
      </c>
      <c r="D86" s="1" t="s">
        <v>668</v>
      </c>
      <c r="E86" s="1">
        <v>2019</v>
      </c>
      <c r="F86" s="1">
        <v>7</v>
      </c>
      <c r="G86" s="4"/>
      <c r="H86" s="1" t="s">
        <v>6587</v>
      </c>
      <c r="I86" s="4"/>
      <c r="J86" s="4"/>
      <c r="K86" s="4"/>
      <c r="L86" s="1">
        <v>2019</v>
      </c>
      <c r="M86" s="4"/>
      <c r="N86" s="1" t="s">
        <v>670</v>
      </c>
      <c r="O86" s="3" t="s">
        <v>6588</v>
      </c>
      <c r="P86" s="1" t="s">
        <v>4456</v>
      </c>
      <c r="Q86" s="1" t="s">
        <v>6589</v>
      </c>
      <c r="R86" s="1" t="s">
        <v>6590</v>
      </c>
    </row>
    <row r="87" spans="1:18" x14ac:dyDescent="0.25">
      <c r="A87" s="1" t="s">
        <v>141</v>
      </c>
      <c r="B87" s="1" t="s">
        <v>1416</v>
      </c>
      <c r="C87" s="1" t="s">
        <v>1417</v>
      </c>
      <c r="D87" s="4"/>
      <c r="E87" s="1">
        <v>2022</v>
      </c>
      <c r="F87" s="4"/>
      <c r="G87" s="4"/>
      <c r="H87" s="1" t="s">
        <v>6591</v>
      </c>
      <c r="I87" s="4"/>
      <c r="J87" s="4"/>
      <c r="K87" s="1" t="s">
        <v>6592</v>
      </c>
      <c r="L87" s="6">
        <v>44621</v>
      </c>
      <c r="M87" s="4"/>
      <c r="N87" s="1" t="s">
        <v>6593</v>
      </c>
      <c r="O87" s="3" t="s">
        <v>6594</v>
      </c>
      <c r="P87" s="1" t="s">
        <v>1420</v>
      </c>
      <c r="Q87" s="1" t="s">
        <v>6595</v>
      </c>
      <c r="R87" s="1" t="s">
        <v>6596</v>
      </c>
    </row>
    <row r="88" spans="1:18" x14ac:dyDescent="0.25">
      <c r="A88" s="1" t="s">
        <v>141</v>
      </c>
      <c r="B88" s="1" t="s">
        <v>3147</v>
      </c>
      <c r="C88" s="1" t="s">
        <v>3148</v>
      </c>
      <c r="D88" s="4"/>
      <c r="E88" s="1">
        <v>2021</v>
      </c>
      <c r="F88" s="4"/>
      <c r="G88" s="4"/>
      <c r="H88" s="9">
        <v>44936</v>
      </c>
      <c r="I88" s="4"/>
      <c r="J88" s="4"/>
      <c r="K88" s="1" t="s">
        <v>6597</v>
      </c>
      <c r="L88" s="6">
        <v>44256</v>
      </c>
      <c r="M88" s="4"/>
      <c r="N88" s="1" t="s">
        <v>2902</v>
      </c>
      <c r="O88" s="3" t="s">
        <v>6598</v>
      </c>
      <c r="P88" s="1" t="s">
        <v>3150</v>
      </c>
      <c r="Q88" s="1" t="s">
        <v>6599</v>
      </c>
      <c r="R88" s="1" t="s">
        <v>6600</v>
      </c>
    </row>
    <row r="89" spans="1:18" x14ac:dyDescent="0.25">
      <c r="A89" s="1" t="s">
        <v>141</v>
      </c>
      <c r="B89" s="1" t="s">
        <v>5806</v>
      </c>
      <c r="C89" s="1" t="s">
        <v>6601</v>
      </c>
      <c r="D89" s="4"/>
      <c r="E89" s="1">
        <v>2018</v>
      </c>
      <c r="F89" s="4"/>
      <c r="G89" s="4"/>
      <c r="H89" s="1" t="s">
        <v>6602</v>
      </c>
      <c r="I89" s="4"/>
      <c r="J89" s="4"/>
      <c r="K89" s="1" t="s">
        <v>6151</v>
      </c>
      <c r="L89" s="6">
        <v>43221</v>
      </c>
      <c r="M89" s="4"/>
      <c r="N89" s="1" t="s">
        <v>6152</v>
      </c>
      <c r="O89" s="4"/>
      <c r="P89" s="4"/>
      <c r="Q89" s="1" t="s">
        <v>6603</v>
      </c>
      <c r="R89" s="1" t="s">
        <v>6604</v>
      </c>
    </row>
    <row r="90" spans="1:18" x14ac:dyDescent="0.25">
      <c r="A90" s="1" t="s">
        <v>13</v>
      </c>
      <c r="B90" s="1" t="s">
        <v>6605</v>
      </c>
      <c r="C90" s="1" t="s">
        <v>6606</v>
      </c>
      <c r="D90" s="1" t="s">
        <v>4637</v>
      </c>
      <c r="E90" s="1">
        <v>2021</v>
      </c>
      <c r="F90" s="1">
        <v>38</v>
      </c>
      <c r="G90" s="1">
        <v>6</v>
      </c>
      <c r="H90" s="1" t="s">
        <v>6607</v>
      </c>
      <c r="I90" s="4"/>
      <c r="J90" s="4"/>
      <c r="K90" s="4"/>
      <c r="L90" s="2">
        <v>44501</v>
      </c>
      <c r="M90" s="4"/>
      <c r="N90" s="1" t="s">
        <v>6207</v>
      </c>
      <c r="O90" s="3" t="s">
        <v>6608</v>
      </c>
      <c r="P90" s="1" t="s">
        <v>6609</v>
      </c>
      <c r="Q90" s="1" t="s">
        <v>6610</v>
      </c>
      <c r="R90" s="1" t="s">
        <v>6611</v>
      </c>
    </row>
    <row r="91" spans="1:18" x14ac:dyDescent="0.25">
      <c r="A91" s="1" t="s">
        <v>141</v>
      </c>
      <c r="B91" s="1" t="s">
        <v>1960</v>
      </c>
      <c r="C91" s="1" t="s">
        <v>6612</v>
      </c>
      <c r="D91" s="4"/>
      <c r="E91" s="1">
        <v>2021</v>
      </c>
      <c r="F91" s="4"/>
      <c r="G91" s="4"/>
      <c r="H91" s="9">
        <v>44931</v>
      </c>
      <c r="I91" s="4"/>
      <c r="J91" s="4"/>
      <c r="K91" s="1" t="s">
        <v>6613</v>
      </c>
      <c r="L91" s="6">
        <v>44409</v>
      </c>
      <c r="M91" s="4"/>
      <c r="N91" s="4"/>
      <c r="O91" s="3" t="s">
        <v>6614</v>
      </c>
      <c r="P91" s="1" t="s">
        <v>1963</v>
      </c>
      <c r="Q91" s="1" t="s">
        <v>6615</v>
      </c>
      <c r="R91" s="1" t="s">
        <v>6616</v>
      </c>
    </row>
    <row r="92" spans="1:18" x14ac:dyDescent="0.25">
      <c r="A92" s="1" t="s">
        <v>141</v>
      </c>
      <c r="B92" s="1" t="s">
        <v>5969</v>
      </c>
      <c r="C92" s="1" t="s">
        <v>6617</v>
      </c>
      <c r="D92" s="4"/>
      <c r="E92" s="1">
        <v>2018</v>
      </c>
      <c r="F92" s="4"/>
      <c r="G92" s="4"/>
      <c r="H92" s="1" t="s">
        <v>6618</v>
      </c>
      <c r="I92" s="4"/>
      <c r="J92" s="4"/>
      <c r="K92" s="1" t="s">
        <v>6619</v>
      </c>
      <c r="L92" s="6">
        <v>43191</v>
      </c>
      <c r="M92" s="4"/>
      <c r="N92" s="4"/>
      <c r="O92" s="3" t="s">
        <v>6620</v>
      </c>
      <c r="P92" s="1" t="s">
        <v>5973</v>
      </c>
      <c r="Q92" s="1" t="s">
        <v>6621</v>
      </c>
      <c r="R92" s="1" t="s">
        <v>6622</v>
      </c>
    </row>
    <row r="93" spans="1:18" x14ac:dyDescent="0.25">
      <c r="A93" s="1" t="s">
        <v>141</v>
      </c>
      <c r="B93" s="1" t="s">
        <v>6623</v>
      </c>
      <c r="C93" s="1" t="s">
        <v>6624</v>
      </c>
      <c r="D93" s="4"/>
      <c r="E93" s="1">
        <v>2022</v>
      </c>
      <c r="F93" s="4"/>
      <c r="G93" s="4"/>
      <c r="H93" s="1" t="s">
        <v>6625</v>
      </c>
      <c r="I93" s="4"/>
      <c r="J93" s="4"/>
      <c r="K93" s="1" t="s">
        <v>6626</v>
      </c>
      <c r="L93" s="6">
        <v>44682</v>
      </c>
      <c r="M93" s="4"/>
      <c r="N93" s="4"/>
      <c r="O93" s="3" t="s">
        <v>6627</v>
      </c>
      <c r="P93" s="1" t="s">
        <v>6628</v>
      </c>
      <c r="Q93" s="1" t="s">
        <v>6629</v>
      </c>
      <c r="R93" s="1" t="s">
        <v>6630</v>
      </c>
    </row>
    <row r="94" spans="1:18" x14ac:dyDescent="0.25">
      <c r="A94" s="1" t="s">
        <v>141</v>
      </c>
      <c r="B94" s="1" t="s">
        <v>4561</v>
      </c>
      <c r="C94" s="1" t="s">
        <v>6631</v>
      </c>
      <c r="D94" s="4"/>
      <c r="E94" s="1">
        <v>2020</v>
      </c>
      <c r="F94" s="4"/>
      <c r="G94" s="4"/>
      <c r="H94" s="1" t="s">
        <v>6632</v>
      </c>
      <c r="I94" s="4"/>
      <c r="J94" s="4"/>
      <c r="K94" s="1" t="s">
        <v>6633</v>
      </c>
      <c r="L94" s="2">
        <v>44105</v>
      </c>
      <c r="M94" s="4"/>
      <c r="N94" s="1" t="s">
        <v>6336</v>
      </c>
      <c r="O94" s="4"/>
      <c r="P94" s="4"/>
      <c r="Q94" s="1" t="s">
        <v>6634</v>
      </c>
      <c r="R94" s="1" t="s">
        <v>6635</v>
      </c>
    </row>
    <row r="95" spans="1:18" x14ac:dyDescent="0.25">
      <c r="A95" s="1" t="s">
        <v>13</v>
      </c>
      <c r="B95" s="1" t="s">
        <v>6636</v>
      </c>
      <c r="C95" s="1" t="s">
        <v>6637</v>
      </c>
      <c r="D95" s="1" t="s">
        <v>4637</v>
      </c>
      <c r="E95" s="1">
        <v>2019</v>
      </c>
      <c r="F95" s="1">
        <v>36</v>
      </c>
      <c r="G95" s="1">
        <v>2</v>
      </c>
      <c r="H95" s="1" t="s">
        <v>6638</v>
      </c>
      <c r="I95" s="4"/>
      <c r="J95" s="4"/>
      <c r="K95" s="4"/>
      <c r="L95" s="6">
        <v>43525</v>
      </c>
      <c r="M95" s="4"/>
      <c r="N95" s="1" t="s">
        <v>6207</v>
      </c>
      <c r="O95" s="3" t="s">
        <v>6639</v>
      </c>
      <c r="P95" s="1" t="s">
        <v>6640</v>
      </c>
      <c r="Q95" s="1" t="s">
        <v>6641</v>
      </c>
      <c r="R95" s="1" t="s">
        <v>6642</v>
      </c>
    </row>
    <row r="96" spans="1:18" x14ac:dyDescent="0.25">
      <c r="A96" s="1" t="s">
        <v>141</v>
      </c>
      <c r="B96" s="1" t="s">
        <v>3922</v>
      </c>
      <c r="C96" s="1" t="s">
        <v>3923</v>
      </c>
      <c r="D96" s="4"/>
      <c r="E96" s="1">
        <v>2019</v>
      </c>
      <c r="F96" s="4"/>
      <c r="G96" s="4"/>
      <c r="H96" s="1" t="s">
        <v>6643</v>
      </c>
      <c r="I96" s="4"/>
      <c r="J96" s="4"/>
      <c r="K96" s="1" t="s">
        <v>6644</v>
      </c>
      <c r="L96" s="6">
        <v>43497</v>
      </c>
      <c r="M96" s="4"/>
      <c r="N96" s="1" t="s">
        <v>6593</v>
      </c>
      <c r="O96" s="3" t="s">
        <v>6645</v>
      </c>
      <c r="P96" s="1" t="s">
        <v>3926</v>
      </c>
      <c r="Q96" s="1" t="s">
        <v>6646</v>
      </c>
      <c r="R96" s="1" t="s">
        <v>6647</v>
      </c>
    </row>
    <row r="97" spans="1:18" x14ac:dyDescent="0.25">
      <c r="A97" s="1" t="s">
        <v>141</v>
      </c>
      <c r="B97" s="1" t="s">
        <v>5086</v>
      </c>
      <c r="C97" s="1" t="s">
        <v>5087</v>
      </c>
      <c r="D97" s="4"/>
      <c r="E97" s="1">
        <v>2019</v>
      </c>
      <c r="F97" s="4"/>
      <c r="G97" s="4"/>
      <c r="H97" s="1" t="s">
        <v>6648</v>
      </c>
      <c r="I97" s="4"/>
      <c r="J97" s="4"/>
      <c r="K97" s="1" t="s">
        <v>6649</v>
      </c>
      <c r="L97" s="2">
        <v>43800</v>
      </c>
      <c r="M97" s="4"/>
      <c r="N97" s="1" t="s">
        <v>6650</v>
      </c>
      <c r="O97" s="3" t="s">
        <v>6651</v>
      </c>
      <c r="P97" s="1" t="s">
        <v>5090</v>
      </c>
      <c r="Q97" s="1" t="s">
        <v>6652</v>
      </c>
      <c r="R97" s="1" t="s">
        <v>6653</v>
      </c>
    </row>
    <row r="98" spans="1:18" x14ac:dyDescent="0.25">
      <c r="A98" s="1" t="s">
        <v>141</v>
      </c>
      <c r="B98" s="1" t="s">
        <v>3719</v>
      </c>
      <c r="C98" s="1" t="s">
        <v>3720</v>
      </c>
      <c r="D98" s="4"/>
      <c r="E98" s="1">
        <v>2020</v>
      </c>
      <c r="F98" s="4"/>
      <c r="G98" s="4"/>
      <c r="H98" s="1" t="s">
        <v>6654</v>
      </c>
      <c r="I98" s="4"/>
      <c r="J98" s="4"/>
      <c r="K98" s="1" t="s">
        <v>6655</v>
      </c>
      <c r="L98" s="2">
        <v>44136</v>
      </c>
      <c r="M98" s="4"/>
      <c r="N98" s="4"/>
      <c r="O98" s="3" t="s">
        <v>6656</v>
      </c>
      <c r="P98" s="1" t="s">
        <v>3722</v>
      </c>
      <c r="Q98" s="1" t="s">
        <v>6657</v>
      </c>
      <c r="R98" s="1" t="s">
        <v>6658</v>
      </c>
    </row>
    <row r="99" spans="1:18" x14ac:dyDescent="0.25">
      <c r="A99" s="1" t="s">
        <v>13</v>
      </c>
      <c r="B99" s="1" t="s">
        <v>6659</v>
      </c>
      <c r="C99" s="1" t="s">
        <v>6660</v>
      </c>
      <c r="D99" s="1" t="s">
        <v>255</v>
      </c>
      <c r="E99" s="1">
        <v>2022</v>
      </c>
      <c r="F99" s="4"/>
      <c r="G99" s="4"/>
      <c r="H99" s="9">
        <v>44948</v>
      </c>
      <c r="I99" s="4"/>
      <c r="J99" s="4"/>
      <c r="K99" s="4"/>
      <c r="L99" s="1">
        <v>2022</v>
      </c>
      <c r="M99" s="4"/>
      <c r="N99" s="1" t="s">
        <v>6115</v>
      </c>
      <c r="O99" s="3" t="s">
        <v>6661</v>
      </c>
      <c r="P99" s="1" t="s">
        <v>6662</v>
      </c>
      <c r="Q99" s="1" t="s">
        <v>6663</v>
      </c>
      <c r="R99" s="1" t="s">
        <v>6664</v>
      </c>
    </row>
    <row r="100" spans="1:18" x14ac:dyDescent="0.25">
      <c r="A100" s="1" t="s">
        <v>141</v>
      </c>
      <c r="B100" s="1" t="s">
        <v>1747</v>
      </c>
      <c r="C100" s="1" t="s">
        <v>2250</v>
      </c>
      <c r="D100" s="4"/>
      <c r="E100" s="1">
        <v>2022</v>
      </c>
      <c r="F100" s="4"/>
      <c r="G100" s="4"/>
      <c r="H100" s="1" t="s">
        <v>6665</v>
      </c>
      <c r="I100" s="4"/>
      <c r="J100" s="4"/>
      <c r="K100" s="1" t="s">
        <v>6550</v>
      </c>
      <c r="L100" s="6">
        <v>44682</v>
      </c>
      <c r="M100" s="4"/>
      <c r="N100" s="4"/>
      <c r="O100" s="3" t="s">
        <v>6666</v>
      </c>
      <c r="P100" s="1" t="s">
        <v>2253</v>
      </c>
      <c r="Q100" s="1" t="s">
        <v>6667</v>
      </c>
      <c r="R100" s="1" t="s">
        <v>6668</v>
      </c>
    </row>
    <row r="101" spans="1:18" x14ac:dyDescent="0.25">
      <c r="A101" s="1" t="s">
        <v>141</v>
      </c>
      <c r="B101" s="1" t="s">
        <v>1937</v>
      </c>
      <c r="C101" s="1" t="s">
        <v>1938</v>
      </c>
      <c r="D101" s="4"/>
      <c r="E101" s="1">
        <v>2022</v>
      </c>
      <c r="F101" s="4"/>
      <c r="G101" s="4"/>
      <c r="H101" s="1" t="s">
        <v>6669</v>
      </c>
      <c r="I101" s="4"/>
      <c r="J101" s="4"/>
      <c r="K101" s="1" t="s">
        <v>6670</v>
      </c>
      <c r="L101" s="6">
        <v>44682</v>
      </c>
      <c r="M101" s="4"/>
      <c r="N101" s="1" t="s">
        <v>6112</v>
      </c>
      <c r="O101" s="3" t="s">
        <v>6671</v>
      </c>
      <c r="P101" s="1" t="s">
        <v>6672</v>
      </c>
      <c r="Q101" s="1" t="s">
        <v>6673</v>
      </c>
      <c r="R101" s="1" t="s">
        <v>6674</v>
      </c>
    </row>
    <row r="102" spans="1:18" x14ac:dyDescent="0.25">
      <c r="A102" s="1" t="s">
        <v>141</v>
      </c>
      <c r="B102" s="1" t="s">
        <v>6675</v>
      </c>
      <c r="C102" s="1" t="s">
        <v>6676</v>
      </c>
      <c r="D102" s="4"/>
      <c r="E102" s="1">
        <v>2021</v>
      </c>
      <c r="F102" s="4"/>
      <c r="G102" s="4"/>
      <c r="H102" s="9">
        <v>44934</v>
      </c>
      <c r="I102" s="4"/>
      <c r="J102" s="4"/>
      <c r="K102" s="1" t="s">
        <v>6677</v>
      </c>
      <c r="L102" s="6">
        <v>44317</v>
      </c>
      <c r="M102" s="4"/>
      <c r="N102" s="4"/>
      <c r="O102" s="3" t="s">
        <v>6678</v>
      </c>
      <c r="P102" s="1" t="s">
        <v>3810</v>
      </c>
      <c r="Q102" s="1" t="s">
        <v>6679</v>
      </c>
      <c r="R102" s="1" t="s">
        <v>6680</v>
      </c>
    </row>
    <row r="103" spans="1:18" x14ac:dyDescent="0.25">
      <c r="A103" s="1" t="s">
        <v>141</v>
      </c>
      <c r="B103" s="1" t="s">
        <v>6681</v>
      </c>
      <c r="C103" s="1" t="s">
        <v>6682</v>
      </c>
      <c r="D103" s="4"/>
      <c r="E103" s="1">
        <v>2019</v>
      </c>
      <c r="F103" s="4"/>
      <c r="G103" s="4"/>
      <c r="H103" s="1" t="s">
        <v>6683</v>
      </c>
      <c r="I103" s="4"/>
      <c r="J103" s="4"/>
      <c r="K103" s="1" t="s">
        <v>6684</v>
      </c>
      <c r="L103" s="6">
        <v>43709</v>
      </c>
      <c r="M103" s="4"/>
      <c r="N103" s="4"/>
      <c r="O103" s="3" t="s">
        <v>6685</v>
      </c>
      <c r="P103" s="1" t="s">
        <v>3943</v>
      </c>
      <c r="Q103" s="1" t="s">
        <v>6686</v>
      </c>
      <c r="R103" s="1" t="s">
        <v>6687</v>
      </c>
    </row>
    <row r="104" spans="1:18" x14ac:dyDescent="0.25">
      <c r="A104" s="1" t="s">
        <v>13</v>
      </c>
      <c r="B104" s="1" t="s">
        <v>6688</v>
      </c>
      <c r="C104" s="1" t="s">
        <v>6689</v>
      </c>
      <c r="D104" s="1" t="s">
        <v>4637</v>
      </c>
      <c r="E104" s="1">
        <v>2017</v>
      </c>
      <c r="F104" s="1">
        <v>34</v>
      </c>
      <c r="G104" s="1">
        <v>3</v>
      </c>
      <c r="H104" s="9">
        <v>45182</v>
      </c>
      <c r="I104" s="4"/>
      <c r="J104" s="4"/>
      <c r="K104" s="4"/>
      <c r="L104" s="6">
        <v>42856</v>
      </c>
      <c r="M104" s="4"/>
      <c r="N104" s="1" t="s">
        <v>6207</v>
      </c>
      <c r="O104" s="3" t="s">
        <v>6690</v>
      </c>
      <c r="P104" s="1" t="s">
        <v>6691</v>
      </c>
      <c r="Q104" s="1" t="s">
        <v>6692</v>
      </c>
      <c r="R104" s="1" t="s">
        <v>6693</v>
      </c>
    </row>
    <row r="105" spans="1:18" x14ac:dyDescent="0.25">
      <c r="A105" s="1" t="s">
        <v>141</v>
      </c>
      <c r="B105" s="1" t="s">
        <v>4090</v>
      </c>
      <c r="C105" s="1" t="s">
        <v>4091</v>
      </c>
      <c r="D105" s="4"/>
      <c r="E105" s="1">
        <v>2019</v>
      </c>
      <c r="F105" s="4"/>
      <c r="G105" s="4"/>
      <c r="H105" s="1" t="s">
        <v>6694</v>
      </c>
      <c r="I105" s="4"/>
      <c r="J105" s="4"/>
      <c r="K105" s="1" t="s">
        <v>6399</v>
      </c>
      <c r="L105" s="6">
        <v>43678</v>
      </c>
      <c r="M105" s="4"/>
      <c r="N105" s="4"/>
      <c r="O105" s="3" t="s">
        <v>6695</v>
      </c>
      <c r="P105" s="1" t="s">
        <v>4094</v>
      </c>
      <c r="Q105" s="1" t="s">
        <v>6696</v>
      </c>
      <c r="R105" s="1" t="s">
        <v>6697</v>
      </c>
    </row>
    <row r="106" spans="1:18" x14ac:dyDescent="0.25">
      <c r="A106" s="1" t="s">
        <v>13</v>
      </c>
      <c r="B106" s="1" t="s">
        <v>4693</v>
      </c>
      <c r="C106" s="1" t="s">
        <v>4694</v>
      </c>
      <c r="D106" s="1" t="s">
        <v>4637</v>
      </c>
      <c r="E106" s="1">
        <v>2020</v>
      </c>
      <c r="F106" s="1">
        <v>37</v>
      </c>
      <c r="G106" s="1">
        <v>1</v>
      </c>
      <c r="H106" s="1" t="s">
        <v>6698</v>
      </c>
      <c r="I106" s="4"/>
      <c r="J106" s="4"/>
      <c r="K106" s="4"/>
      <c r="L106" s="6">
        <v>43831</v>
      </c>
      <c r="M106" s="4"/>
      <c r="N106" s="1" t="s">
        <v>6207</v>
      </c>
      <c r="O106" s="3" t="s">
        <v>6699</v>
      </c>
      <c r="P106" s="1" t="s">
        <v>4697</v>
      </c>
      <c r="Q106" s="1" t="s">
        <v>6700</v>
      </c>
      <c r="R106" s="1" t="s">
        <v>6701</v>
      </c>
    </row>
    <row r="107" spans="1:18" x14ac:dyDescent="0.25">
      <c r="A107" s="1" t="s">
        <v>13</v>
      </c>
      <c r="B107" s="1" t="s">
        <v>1574</v>
      </c>
      <c r="C107" s="1" t="s">
        <v>1575</v>
      </c>
      <c r="D107" s="1" t="s">
        <v>668</v>
      </c>
      <c r="E107" s="1">
        <v>2022</v>
      </c>
      <c r="F107" s="1">
        <v>10</v>
      </c>
      <c r="G107" s="4"/>
      <c r="H107" s="1" t="s">
        <v>6702</v>
      </c>
      <c r="I107" s="4"/>
      <c r="J107" s="4"/>
      <c r="K107" s="4"/>
      <c r="L107" s="1">
        <v>2022</v>
      </c>
      <c r="M107" s="4"/>
      <c r="N107" s="1" t="s">
        <v>670</v>
      </c>
      <c r="O107" s="3" t="s">
        <v>6703</v>
      </c>
      <c r="P107" s="1" t="s">
        <v>1578</v>
      </c>
      <c r="Q107" s="1" t="s">
        <v>6704</v>
      </c>
      <c r="R107" s="1" t="s">
        <v>6705</v>
      </c>
    </row>
    <row r="108" spans="1:18" x14ac:dyDescent="0.25">
      <c r="A108" s="1" t="s">
        <v>141</v>
      </c>
      <c r="B108" s="1" t="s">
        <v>3421</v>
      </c>
      <c r="C108" s="1" t="s">
        <v>3422</v>
      </c>
      <c r="D108" s="4"/>
      <c r="E108" s="1">
        <v>2021</v>
      </c>
      <c r="F108" s="4"/>
      <c r="G108" s="4"/>
      <c r="H108" s="9">
        <v>45248</v>
      </c>
      <c r="I108" s="4"/>
      <c r="J108" s="4"/>
      <c r="K108" s="1" t="s">
        <v>6677</v>
      </c>
      <c r="L108" s="6">
        <v>44317</v>
      </c>
      <c r="M108" s="4"/>
      <c r="N108" s="4"/>
      <c r="O108" s="3" t="s">
        <v>6706</v>
      </c>
      <c r="P108" s="1" t="s">
        <v>3425</v>
      </c>
      <c r="Q108" s="1" t="s">
        <v>6707</v>
      </c>
      <c r="R108" s="1" t="s">
        <v>6708</v>
      </c>
    </row>
    <row r="109" spans="1:18" x14ac:dyDescent="0.25">
      <c r="A109" s="1" t="s">
        <v>141</v>
      </c>
      <c r="B109" s="1" t="s">
        <v>5975</v>
      </c>
      <c r="C109" s="1" t="s">
        <v>5976</v>
      </c>
      <c r="D109" s="4"/>
      <c r="E109" s="1">
        <v>2018</v>
      </c>
      <c r="F109" s="4"/>
      <c r="G109" s="4"/>
      <c r="H109" s="1" t="s">
        <v>6709</v>
      </c>
      <c r="I109" s="4"/>
      <c r="J109" s="4"/>
      <c r="K109" s="1" t="s">
        <v>6710</v>
      </c>
      <c r="L109" s="6">
        <v>43160</v>
      </c>
      <c r="M109" s="4"/>
      <c r="N109" s="4"/>
      <c r="O109" s="3" t="s">
        <v>6711</v>
      </c>
      <c r="P109" s="1" t="s">
        <v>5979</v>
      </c>
      <c r="Q109" s="1" t="s">
        <v>6712</v>
      </c>
      <c r="R109" s="1" t="s">
        <v>6713</v>
      </c>
    </row>
    <row r="110" spans="1:18" x14ac:dyDescent="0.25">
      <c r="A110" s="1" t="s">
        <v>141</v>
      </c>
      <c r="B110" s="1" t="s">
        <v>5806</v>
      </c>
      <c r="C110" s="1" t="s">
        <v>4868</v>
      </c>
      <c r="D110" s="4"/>
      <c r="E110" s="1">
        <v>2020</v>
      </c>
      <c r="F110" s="4"/>
      <c r="G110" s="4"/>
      <c r="H110" s="1" t="s">
        <v>6714</v>
      </c>
      <c r="I110" s="4"/>
      <c r="J110" s="4"/>
      <c r="K110" s="1" t="s">
        <v>6715</v>
      </c>
      <c r="L110" s="6">
        <v>43862</v>
      </c>
      <c r="M110" s="4"/>
      <c r="N110" s="1" t="s">
        <v>6593</v>
      </c>
      <c r="O110" s="3" t="s">
        <v>6716</v>
      </c>
      <c r="P110" s="1" t="s">
        <v>4871</v>
      </c>
      <c r="Q110" s="1" t="s">
        <v>6717</v>
      </c>
      <c r="R110" s="1" t="s">
        <v>6718</v>
      </c>
    </row>
    <row r="111" spans="1:18" x14ac:dyDescent="0.25">
      <c r="A111" s="1" t="s">
        <v>141</v>
      </c>
      <c r="B111" s="1" t="s">
        <v>6719</v>
      </c>
      <c r="C111" s="1" t="s">
        <v>6720</v>
      </c>
      <c r="D111" s="4"/>
      <c r="E111" s="1">
        <v>2022</v>
      </c>
      <c r="F111" s="4"/>
      <c r="G111" s="4"/>
      <c r="H111" s="1" t="s">
        <v>6721</v>
      </c>
      <c r="I111" s="4"/>
      <c r="J111" s="4"/>
      <c r="K111" s="1" t="s">
        <v>6722</v>
      </c>
      <c r="L111" s="6">
        <v>44682</v>
      </c>
      <c r="M111" s="4"/>
      <c r="N111" s="1" t="s">
        <v>6226</v>
      </c>
      <c r="O111" s="3" t="s">
        <v>6723</v>
      </c>
      <c r="P111" s="1" t="s">
        <v>6724</v>
      </c>
      <c r="Q111" s="1" t="s">
        <v>6725</v>
      </c>
      <c r="R111" s="1" t="s">
        <v>6726</v>
      </c>
    </row>
    <row r="112" spans="1:18" x14ac:dyDescent="0.25">
      <c r="A112" s="1" t="s">
        <v>141</v>
      </c>
      <c r="B112" s="1" t="s">
        <v>3096</v>
      </c>
      <c r="C112" s="1" t="s">
        <v>3097</v>
      </c>
      <c r="D112" s="4"/>
      <c r="E112" s="1">
        <v>2020</v>
      </c>
      <c r="F112" s="4"/>
      <c r="G112" s="4"/>
      <c r="H112" s="9">
        <v>44933</v>
      </c>
      <c r="I112" s="4"/>
      <c r="J112" s="4"/>
      <c r="K112" s="1" t="s">
        <v>6727</v>
      </c>
      <c r="L112" s="2">
        <v>44166</v>
      </c>
      <c r="M112" s="4"/>
      <c r="N112" s="4"/>
      <c r="O112" s="3" t="s">
        <v>6728</v>
      </c>
      <c r="P112" s="1" t="s">
        <v>3099</v>
      </c>
      <c r="Q112" s="1" t="s">
        <v>6729</v>
      </c>
      <c r="R112" s="1" t="s">
        <v>6730</v>
      </c>
    </row>
    <row r="113" spans="1:18" x14ac:dyDescent="0.25">
      <c r="A113" s="1" t="s">
        <v>141</v>
      </c>
      <c r="B113" s="1" t="s">
        <v>6731</v>
      </c>
      <c r="C113" s="1" t="s">
        <v>6732</v>
      </c>
      <c r="D113" s="4"/>
      <c r="E113" s="1">
        <v>2022</v>
      </c>
      <c r="F113" s="4"/>
      <c r="G113" s="4"/>
      <c r="H113" s="1" t="s">
        <v>6733</v>
      </c>
      <c r="I113" s="4"/>
      <c r="J113" s="4"/>
      <c r="K113" s="1" t="s">
        <v>6118</v>
      </c>
      <c r="L113" s="6">
        <v>44682</v>
      </c>
      <c r="M113" s="4"/>
      <c r="N113" s="4"/>
      <c r="O113" s="3" t="s">
        <v>6734</v>
      </c>
      <c r="P113" s="1" t="s">
        <v>6735</v>
      </c>
      <c r="Q113" s="1" t="s">
        <v>6736</v>
      </c>
      <c r="R113" s="1" t="s">
        <v>6737</v>
      </c>
    </row>
    <row r="114" spans="1:18" x14ac:dyDescent="0.25">
      <c r="A114" s="1" t="s">
        <v>13</v>
      </c>
      <c r="B114" s="1" t="s">
        <v>819</v>
      </c>
      <c r="C114" s="1" t="s">
        <v>820</v>
      </c>
      <c r="D114" s="1" t="s">
        <v>255</v>
      </c>
      <c r="E114" s="1">
        <v>2022</v>
      </c>
      <c r="F114" s="1">
        <v>48</v>
      </c>
      <c r="G114" s="1">
        <v>9</v>
      </c>
      <c r="H114" s="1" t="s">
        <v>6738</v>
      </c>
      <c r="I114" s="4"/>
      <c r="J114" s="4"/>
      <c r="K114" s="4"/>
      <c r="L114" s="6">
        <v>44805</v>
      </c>
      <c r="M114" s="4"/>
      <c r="N114" s="1" t="s">
        <v>6115</v>
      </c>
      <c r="O114" s="3" t="s">
        <v>6739</v>
      </c>
      <c r="P114" s="1" t="s">
        <v>823</v>
      </c>
      <c r="Q114" s="1" t="s">
        <v>6740</v>
      </c>
      <c r="R114" s="1" t="s">
        <v>6741</v>
      </c>
    </row>
    <row r="115" spans="1:18" x14ac:dyDescent="0.25">
      <c r="A115" s="1" t="s">
        <v>141</v>
      </c>
      <c r="B115" s="1" t="s">
        <v>6742</v>
      </c>
      <c r="C115" s="1" t="s">
        <v>6743</v>
      </c>
      <c r="D115" s="4"/>
      <c r="E115" s="1">
        <v>2013</v>
      </c>
      <c r="F115" s="4"/>
      <c r="G115" s="4"/>
      <c r="H115" s="1" t="s">
        <v>6744</v>
      </c>
      <c r="I115" s="4"/>
      <c r="J115" s="4"/>
      <c r="K115" s="1" t="s">
        <v>6745</v>
      </c>
      <c r="L115" s="6">
        <v>41395</v>
      </c>
      <c r="M115" s="4"/>
      <c r="N115" s="1" t="s">
        <v>6336</v>
      </c>
      <c r="O115" s="3" t="s">
        <v>6746</v>
      </c>
      <c r="P115" s="1" t="s">
        <v>6747</v>
      </c>
      <c r="Q115" s="1" t="s">
        <v>6748</v>
      </c>
      <c r="R115" s="1" t="s">
        <v>6749</v>
      </c>
    </row>
    <row r="116" spans="1:18" x14ac:dyDescent="0.25">
      <c r="A116" s="1" t="s">
        <v>141</v>
      </c>
      <c r="B116" s="1" t="s">
        <v>6750</v>
      </c>
      <c r="C116" s="1" t="s">
        <v>6751</v>
      </c>
      <c r="D116" s="4"/>
      <c r="E116" s="1">
        <v>2020</v>
      </c>
      <c r="F116" s="4"/>
      <c r="G116" s="4"/>
      <c r="H116" s="1" t="s">
        <v>6752</v>
      </c>
      <c r="I116" s="4"/>
      <c r="J116" s="4"/>
      <c r="K116" s="1" t="s">
        <v>6322</v>
      </c>
      <c r="L116" s="6">
        <v>44044</v>
      </c>
      <c r="M116" s="4"/>
      <c r="N116" s="4"/>
      <c r="O116" s="3" t="s">
        <v>6753</v>
      </c>
      <c r="P116" s="1" t="s">
        <v>6754</v>
      </c>
      <c r="Q116" s="1" t="s">
        <v>6755</v>
      </c>
      <c r="R116" s="1" t="s">
        <v>6756</v>
      </c>
    </row>
    <row r="117" spans="1:18" x14ac:dyDescent="0.25">
      <c r="A117" s="1" t="s">
        <v>141</v>
      </c>
      <c r="B117" s="1" t="s">
        <v>3561</v>
      </c>
      <c r="C117" s="1" t="s">
        <v>6757</v>
      </c>
      <c r="D117" s="4"/>
      <c r="E117" s="1">
        <v>2020</v>
      </c>
      <c r="F117" s="4"/>
      <c r="G117" s="4"/>
      <c r="H117" s="1" t="s">
        <v>6758</v>
      </c>
      <c r="I117" s="4"/>
      <c r="J117" s="4"/>
      <c r="K117" s="1" t="s">
        <v>6322</v>
      </c>
      <c r="L117" s="6">
        <v>44044</v>
      </c>
      <c r="M117" s="4"/>
      <c r="N117" s="4"/>
      <c r="O117" s="3" t="s">
        <v>6759</v>
      </c>
      <c r="P117" s="1" t="s">
        <v>6760</v>
      </c>
      <c r="Q117" s="1" t="s">
        <v>6761</v>
      </c>
      <c r="R117" s="1" t="s">
        <v>6762</v>
      </c>
    </row>
    <row r="118" spans="1:18" x14ac:dyDescent="0.25">
      <c r="A118" s="1" t="s">
        <v>141</v>
      </c>
      <c r="B118" s="4"/>
      <c r="C118" s="1" t="s">
        <v>6763</v>
      </c>
      <c r="D118" s="4"/>
      <c r="E118" s="1">
        <v>2021</v>
      </c>
      <c r="F118" s="4"/>
      <c r="G118" s="4"/>
      <c r="H118" s="1" t="s">
        <v>6764</v>
      </c>
      <c r="I118" s="4"/>
      <c r="J118" s="4"/>
      <c r="K118" s="1" t="s">
        <v>6329</v>
      </c>
      <c r="L118" s="6">
        <v>44317</v>
      </c>
      <c r="M118" s="4"/>
      <c r="N118" s="1" t="s">
        <v>6152</v>
      </c>
      <c r="O118" s="3" t="s">
        <v>6765</v>
      </c>
      <c r="P118" s="1" t="s">
        <v>1811</v>
      </c>
      <c r="Q118" s="1" t="s">
        <v>6766</v>
      </c>
      <c r="R118" s="1" t="s">
        <v>6767</v>
      </c>
    </row>
    <row r="119" spans="1:18" x14ac:dyDescent="0.25">
      <c r="A119" s="1" t="s">
        <v>141</v>
      </c>
      <c r="B119" s="1" t="s">
        <v>2080</v>
      </c>
      <c r="C119" s="1" t="s">
        <v>6768</v>
      </c>
      <c r="D119" s="4"/>
      <c r="E119" s="1">
        <v>2021</v>
      </c>
      <c r="F119" s="4"/>
      <c r="G119" s="4"/>
      <c r="H119" s="1" t="s">
        <v>6769</v>
      </c>
      <c r="I119" s="4"/>
      <c r="J119" s="4"/>
      <c r="K119" s="1" t="s">
        <v>6329</v>
      </c>
      <c r="L119" s="6">
        <v>44317</v>
      </c>
      <c r="M119" s="4"/>
      <c r="N119" s="1" t="s">
        <v>6152</v>
      </c>
      <c r="O119" s="3" t="s">
        <v>6770</v>
      </c>
      <c r="P119" s="1" t="s">
        <v>2084</v>
      </c>
      <c r="Q119" s="1" t="s">
        <v>6771</v>
      </c>
      <c r="R119" s="1" t="s">
        <v>6772</v>
      </c>
    </row>
    <row r="120" spans="1:18" x14ac:dyDescent="0.25">
      <c r="A120" s="1" t="s">
        <v>141</v>
      </c>
      <c r="B120" s="1" t="s">
        <v>1981</v>
      </c>
      <c r="C120" s="1" t="s">
        <v>1982</v>
      </c>
      <c r="D120" s="4"/>
      <c r="E120" s="1">
        <v>2022</v>
      </c>
      <c r="F120" s="4"/>
      <c r="G120" s="4"/>
      <c r="H120" s="1" t="s">
        <v>6773</v>
      </c>
      <c r="I120" s="4"/>
      <c r="J120" s="4"/>
      <c r="K120" s="1" t="s">
        <v>6469</v>
      </c>
      <c r="L120" s="6">
        <v>44682</v>
      </c>
      <c r="M120" s="4"/>
      <c r="N120" s="1" t="s">
        <v>6152</v>
      </c>
      <c r="O120" s="3" t="s">
        <v>6774</v>
      </c>
      <c r="P120" s="1" t="s">
        <v>1985</v>
      </c>
      <c r="Q120" s="1" t="s">
        <v>6775</v>
      </c>
      <c r="R120" s="1" t="s">
        <v>6776</v>
      </c>
    </row>
    <row r="121" spans="1:18" x14ac:dyDescent="0.25">
      <c r="A121" s="1" t="s">
        <v>141</v>
      </c>
      <c r="B121" s="1" t="s">
        <v>6777</v>
      </c>
      <c r="C121" s="1" t="s">
        <v>6778</v>
      </c>
      <c r="D121" s="4"/>
      <c r="E121" s="1">
        <v>2019</v>
      </c>
      <c r="F121" s="4"/>
      <c r="G121" s="4"/>
      <c r="H121" s="1" t="s">
        <v>6779</v>
      </c>
      <c r="I121" s="4"/>
      <c r="J121" s="4"/>
      <c r="K121" s="1" t="s">
        <v>6780</v>
      </c>
      <c r="L121" s="2">
        <v>43800</v>
      </c>
      <c r="M121" s="4"/>
      <c r="N121" s="4"/>
      <c r="O121" s="3" t="s">
        <v>6781</v>
      </c>
      <c r="P121" s="1" t="s">
        <v>6782</v>
      </c>
      <c r="Q121" s="1" t="s">
        <v>6783</v>
      </c>
      <c r="R121" s="1" t="s">
        <v>6784</v>
      </c>
    </row>
    <row r="122" spans="1:18" x14ac:dyDescent="0.25">
      <c r="A122" s="1" t="s">
        <v>13</v>
      </c>
      <c r="B122" s="1" t="s">
        <v>2998</v>
      </c>
      <c r="C122" s="1" t="s">
        <v>6785</v>
      </c>
      <c r="D122" s="1" t="s">
        <v>668</v>
      </c>
      <c r="E122" s="1">
        <v>2020</v>
      </c>
      <c r="F122" s="1">
        <v>8</v>
      </c>
      <c r="G122" s="4"/>
      <c r="H122" s="1" t="s">
        <v>6786</v>
      </c>
      <c r="I122" s="4"/>
      <c r="J122" s="4"/>
      <c r="K122" s="4"/>
      <c r="L122" s="1">
        <v>2020</v>
      </c>
      <c r="M122" s="4"/>
      <c r="N122" s="1" t="s">
        <v>670</v>
      </c>
      <c r="O122" s="3" t="s">
        <v>6787</v>
      </c>
      <c r="P122" s="1" t="s">
        <v>4679</v>
      </c>
      <c r="Q122" s="1" t="s">
        <v>6788</v>
      </c>
      <c r="R122" s="1" t="s">
        <v>6789</v>
      </c>
    </row>
    <row r="123" spans="1:18" x14ac:dyDescent="0.25">
      <c r="A123" s="1" t="s">
        <v>13</v>
      </c>
      <c r="B123" s="1" t="s">
        <v>6790</v>
      </c>
      <c r="C123" s="1" t="s">
        <v>6791</v>
      </c>
      <c r="D123" s="1" t="s">
        <v>255</v>
      </c>
      <c r="E123" s="1">
        <v>2022</v>
      </c>
      <c r="F123" s="4"/>
      <c r="G123" s="4"/>
      <c r="H123" s="9">
        <v>44941</v>
      </c>
      <c r="I123" s="4"/>
      <c r="J123" s="4"/>
      <c r="K123" s="4"/>
      <c r="L123" s="1">
        <v>2022</v>
      </c>
      <c r="M123" s="4"/>
      <c r="N123" s="1" t="s">
        <v>6115</v>
      </c>
      <c r="O123" s="3" t="s">
        <v>6792</v>
      </c>
      <c r="P123" s="1" t="s">
        <v>6793</v>
      </c>
      <c r="Q123" s="1" t="s">
        <v>6794</v>
      </c>
      <c r="R123" s="1" t="s">
        <v>6795</v>
      </c>
    </row>
    <row r="124" spans="1:18" x14ac:dyDescent="0.25">
      <c r="A124" s="1" t="s">
        <v>141</v>
      </c>
      <c r="B124" s="1" t="s">
        <v>6796</v>
      </c>
      <c r="C124" s="1" t="s">
        <v>6797</v>
      </c>
      <c r="D124" s="4"/>
      <c r="E124" s="1">
        <v>2022</v>
      </c>
      <c r="F124" s="4"/>
      <c r="G124" s="4"/>
      <c r="H124" s="1" t="s">
        <v>6798</v>
      </c>
      <c r="I124" s="4"/>
      <c r="J124" s="4"/>
      <c r="K124" s="1" t="s">
        <v>6626</v>
      </c>
      <c r="L124" s="6">
        <v>44682</v>
      </c>
      <c r="M124" s="4"/>
      <c r="N124" s="4"/>
      <c r="O124" s="3" t="s">
        <v>6799</v>
      </c>
      <c r="P124" s="1" t="s">
        <v>6800</v>
      </c>
      <c r="Q124" s="1" t="s">
        <v>6801</v>
      </c>
      <c r="R124" s="1" t="s">
        <v>6802</v>
      </c>
    </row>
    <row r="125" spans="1:18" x14ac:dyDescent="0.25">
      <c r="A125" s="1" t="s">
        <v>141</v>
      </c>
      <c r="B125" s="1" t="s">
        <v>4349</v>
      </c>
      <c r="C125" s="1" t="s">
        <v>6803</v>
      </c>
      <c r="D125" s="4"/>
      <c r="E125" s="1">
        <v>2019</v>
      </c>
      <c r="F125" s="4"/>
      <c r="G125" s="4"/>
      <c r="H125" s="1" t="s">
        <v>6804</v>
      </c>
      <c r="I125" s="4"/>
      <c r="J125" s="4"/>
      <c r="K125" s="1" t="s">
        <v>6805</v>
      </c>
      <c r="L125" s="6">
        <v>43586</v>
      </c>
      <c r="M125" s="4"/>
      <c r="N125" s="1" t="s">
        <v>6152</v>
      </c>
      <c r="O125" s="3" t="s">
        <v>6806</v>
      </c>
      <c r="P125" s="1" t="s">
        <v>4354</v>
      </c>
      <c r="Q125" s="1" t="s">
        <v>6807</v>
      </c>
      <c r="R125" s="1" t="s">
        <v>6808</v>
      </c>
    </row>
    <row r="126" spans="1:18" x14ac:dyDescent="0.25">
      <c r="A126" s="1" t="s">
        <v>141</v>
      </c>
      <c r="B126" s="1" t="s">
        <v>2442</v>
      </c>
      <c r="C126" s="1" t="s">
        <v>2443</v>
      </c>
      <c r="D126" s="4"/>
      <c r="E126" s="1">
        <v>2022</v>
      </c>
      <c r="F126" s="4"/>
      <c r="G126" s="4"/>
      <c r="H126" s="1" t="s">
        <v>6733</v>
      </c>
      <c r="I126" s="4"/>
      <c r="J126" s="4"/>
      <c r="K126" s="1" t="s">
        <v>6809</v>
      </c>
      <c r="L126" s="6">
        <v>44682</v>
      </c>
      <c r="M126" s="4"/>
      <c r="N126" s="4"/>
      <c r="O126" s="3" t="s">
        <v>6810</v>
      </c>
      <c r="P126" s="1" t="s">
        <v>6811</v>
      </c>
      <c r="Q126" s="1" t="s">
        <v>6812</v>
      </c>
      <c r="R126" s="1" t="s">
        <v>6813</v>
      </c>
    </row>
    <row r="127" spans="1:18" x14ac:dyDescent="0.25">
      <c r="A127" s="1" t="s">
        <v>141</v>
      </c>
      <c r="B127" s="1" t="s">
        <v>6814</v>
      </c>
      <c r="C127" s="1" t="s">
        <v>6815</v>
      </c>
      <c r="D127" s="4"/>
      <c r="E127" s="1">
        <v>2022</v>
      </c>
      <c r="F127" s="4"/>
      <c r="G127" s="4"/>
      <c r="H127" s="1" t="s">
        <v>6816</v>
      </c>
      <c r="I127" s="4"/>
      <c r="J127" s="4"/>
      <c r="K127" s="1" t="s">
        <v>6817</v>
      </c>
      <c r="L127" s="2">
        <v>44835</v>
      </c>
      <c r="M127" s="4"/>
      <c r="N127" s="1" t="s">
        <v>6818</v>
      </c>
      <c r="O127" s="3" t="s">
        <v>6819</v>
      </c>
      <c r="P127" s="1" t="s">
        <v>6820</v>
      </c>
      <c r="Q127" s="1" t="s">
        <v>6821</v>
      </c>
      <c r="R127" s="1" t="s">
        <v>6822</v>
      </c>
    </row>
    <row r="128" spans="1:18" x14ac:dyDescent="0.25">
      <c r="A128" s="1" t="s">
        <v>141</v>
      </c>
      <c r="B128" s="1" t="s">
        <v>4273</v>
      </c>
      <c r="C128" s="1" t="s">
        <v>6823</v>
      </c>
      <c r="D128" s="4"/>
      <c r="E128" s="1">
        <v>2019</v>
      </c>
      <c r="F128" s="4"/>
      <c r="G128" s="4"/>
      <c r="H128" s="1" t="s">
        <v>6824</v>
      </c>
      <c r="I128" s="4"/>
      <c r="J128" s="4"/>
      <c r="K128" s="1" t="s">
        <v>6825</v>
      </c>
      <c r="L128" s="6">
        <v>43586</v>
      </c>
      <c r="M128" s="4"/>
      <c r="N128" s="1" t="s">
        <v>6226</v>
      </c>
      <c r="O128" s="3" t="s">
        <v>6826</v>
      </c>
      <c r="P128" s="1" t="s">
        <v>4277</v>
      </c>
      <c r="Q128" s="1" t="s">
        <v>6827</v>
      </c>
      <c r="R128" s="1" t="s">
        <v>6828</v>
      </c>
    </row>
    <row r="129" spans="1:18" x14ac:dyDescent="0.25">
      <c r="A129" s="1" t="s">
        <v>141</v>
      </c>
      <c r="B129" s="1" t="s">
        <v>6829</v>
      </c>
      <c r="C129" s="1" t="s">
        <v>6830</v>
      </c>
      <c r="D129" s="4"/>
      <c r="E129" s="1">
        <v>2022</v>
      </c>
      <c r="F129" s="4"/>
      <c r="G129" s="4"/>
      <c r="H129" s="1" t="s">
        <v>6831</v>
      </c>
      <c r="I129" s="4"/>
      <c r="J129" s="4"/>
      <c r="K129" s="1" t="s">
        <v>6626</v>
      </c>
      <c r="L129" s="6">
        <v>44682</v>
      </c>
      <c r="M129" s="4"/>
      <c r="N129" s="4"/>
      <c r="O129" s="3" t="s">
        <v>6832</v>
      </c>
      <c r="P129" s="1" t="s">
        <v>6833</v>
      </c>
      <c r="Q129" s="1" t="s">
        <v>6834</v>
      </c>
      <c r="R129" s="1" t="s">
        <v>6835</v>
      </c>
    </row>
    <row r="130" spans="1:18" x14ac:dyDescent="0.25">
      <c r="A130" s="1" t="s">
        <v>141</v>
      </c>
      <c r="B130" s="1" t="s">
        <v>5702</v>
      </c>
      <c r="C130" s="1" t="s">
        <v>5703</v>
      </c>
      <c r="D130" s="4"/>
      <c r="E130" s="1">
        <v>2018</v>
      </c>
      <c r="F130" s="4"/>
      <c r="G130" s="4"/>
      <c r="H130" s="1" t="s">
        <v>6836</v>
      </c>
      <c r="I130" s="4"/>
      <c r="J130" s="4"/>
      <c r="K130" s="1" t="s">
        <v>6837</v>
      </c>
      <c r="L130" s="6">
        <v>43344</v>
      </c>
      <c r="M130" s="4"/>
      <c r="N130" s="1" t="s">
        <v>6838</v>
      </c>
      <c r="O130" s="3" t="s">
        <v>6839</v>
      </c>
      <c r="P130" s="1" t="s">
        <v>5706</v>
      </c>
      <c r="Q130" s="1" t="s">
        <v>6840</v>
      </c>
      <c r="R130" s="1" t="s">
        <v>6841</v>
      </c>
    </row>
    <row r="131" spans="1:18" x14ac:dyDescent="0.25">
      <c r="A131" s="1" t="s">
        <v>141</v>
      </c>
      <c r="B131" s="1" t="s">
        <v>6842</v>
      </c>
      <c r="C131" s="1" t="s">
        <v>6843</v>
      </c>
      <c r="D131" s="4"/>
      <c r="E131" s="1">
        <v>2020</v>
      </c>
      <c r="F131" s="4"/>
      <c r="G131" s="4"/>
      <c r="H131" s="1" t="s">
        <v>6844</v>
      </c>
      <c r="I131" s="4"/>
      <c r="J131" s="4"/>
      <c r="K131" s="1" t="s">
        <v>6463</v>
      </c>
      <c r="L131" s="6">
        <v>44075</v>
      </c>
      <c r="M131" s="4"/>
      <c r="N131" s="1" t="s">
        <v>6190</v>
      </c>
      <c r="O131" s="4"/>
      <c r="P131" s="4"/>
      <c r="Q131" s="1" t="s">
        <v>6845</v>
      </c>
      <c r="R131" s="1" t="s">
        <v>6846</v>
      </c>
    </row>
    <row r="132" spans="1:18" x14ac:dyDescent="0.25">
      <c r="A132" s="1" t="s">
        <v>141</v>
      </c>
      <c r="B132" s="1" t="s">
        <v>2313</v>
      </c>
      <c r="C132" s="1" t="s">
        <v>2314</v>
      </c>
      <c r="D132" s="4"/>
      <c r="E132" s="1">
        <v>2022</v>
      </c>
      <c r="F132" s="4"/>
      <c r="G132" s="4"/>
      <c r="H132" s="1" t="s">
        <v>6847</v>
      </c>
      <c r="I132" s="4"/>
      <c r="J132" s="4"/>
      <c r="K132" s="1" t="s">
        <v>6848</v>
      </c>
      <c r="L132" s="6">
        <v>44621</v>
      </c>
      <c r="M132" s="4"/>
      <c r="N132" s="4"/>
      <c r="O132" s="3" t="s">
        <v>6849</v>
      </c>
      <c r="P132" s="1" t="s">
        <v>2316</v>
      </c>
      <c r="Q132" s="1" t="s">
        <v>6850</v>
      </c>
      <c r="R132" s="1" t="s">
        <v>6851</v>
      </c>
    </row>
    <row r="133" spans="1:18" x14ac:dyDescent="0.25">
      <c r="A133" s="1" t="s">
        <v>141</v>
      </c>
      <c r="B133" s="1" t="s">
        <v>6852</v>
      </c>
      <c r="C133" s="1" t="s">
        <v>6853</v>
      </c>
      <c r="D133" s="4"/>
      <c r="E133" s="1">
        <v>2021</v>
      </c>
      <c r="F133" s="4"/>
      <c r="G133" s="4"/>
      <c r="H133" s="9">
        <v>44930</v>
      </c>
      <c r="I133" s="4"/>
      <c r="J133" s="4"/>
      <c r="K133" s="1" t="s">
        <v>6854</v>
      </c>
      <c r="L133" s="2">
        <v>44531</v>
      </c>
      <c r="M133" s="4"/>
      <c r="N133" s="4"/>
      <c r="O133" s="3" t="s">
        <v>6855</v>
      </c>
      <c r="P133" s="1" t="s">
        <v>6856</v>
      </c>
      <c r="Q133" s="1" t="s">
        <v>6857</v>
      </c>
      <c r="R133" s="1" t="s">
        <v>6858</v>
      </c>
    </row>
    <row r="134" spans="1:18" x14ac:dyDescent="0.25">
      <c r="A134" s="1" t="s">
        <v>141</v>
      </c>
      <c r="B134" s="1" t="s">
        <v>2386</v>
      </c>
      <c r="C134" s="1" t="s">
        <v>2387</v>
      </c>
      <c r="D134" s="4"/>
      <c r="E134" s="1">
        <v>2022</v>
      </c>
      <c r="F134" s="4"/>
      <c r="G134" s="4"/>
      <c r="H134" s="1" t="s">
        <v>6859</v>
      </c>
      <c r="I134" s="4"/>
      <c r="J134" s="4"/>
      <c r="K134" s="1" t="s">
        <v>6269</v>
      </c>
      <c r="L134" s="6">
        <v>44682</v>
      </c>
      <c r="M134" s="4"/>
      <c r="N134" s="4"/>
      <c r="O134" s="3" t="s">
        <v>6860</v>
      </c>
      <c r="P134" s="1" t="s">
        <v>2390</v>
      </c>
      <c r="Q134" s="1" t="s">
        <v>6861</v>
      </c>
      <c r="R134" s="1" t="s">
        <v>6862</v>
      </c>
    </row>
    <row r="135" spans="1:18" x14ac:dyDescent="0.25">
      <c r="A135" s="1" t="s">
        <v>141</v>
      </c>
      <c r="B135" s="1" t="s">
        <v>1802</v>
      </c>
      <c r="C135" s="1" t="s">
        <v>1803</v>
      </c>
      <c r="D135" s="4"/>
      <c r="E135" s="1">
        <v>2022</v>
      </c>
      <c r="F135" s="4"/>
      <c r="G135" s="4"/>
      <c r="H135" s="1" t="s">
        <v>6863</v>
      </c>
      <c r="I135" s="4"/>
      <c r="J135" s="4"/>
      <c r="K135" s="1" t="s">
        <v>6592</v>
      </c>
      <c r="L135" s="6">
        <v>44621</v>
      </c>
      <c r="M135" s="4"/>
      <c r="N135" s="1" t="s">
        <v>6593</v>
      </c>
      <c r="O135" s="3" t="s">
        <v>6864</v>
      </c>
      <c r="P135" s="1" t="s">
        <v>1806</v>
      </c>
      <c r="Q135" s="1" t="s">
        <v>6865</v>
      </c>
      <c r="R135" s="1" t="s">
        <v>6866</v>
      </c>
    </row>
    <row r="136" spans="1:18" x14ac:dyDescent="0.25">
      <c r="A136" s="1" t="s">
        <v>13</v>
      </c>
      <c r="B136" s="1" t="s">
        <v>6867</v>
      </c>
      <c r="C136" s="1" t="s">
        <v>6868</v>
      </c>
      <c r="D136" s="1" t="s">
        <v>255</v>
      </c>
      <c r="E136" s="1">
        <v>2016</v>
      </c>
      <c r="F136" s="1">
        <v>42</v>
      </c>
      <c r="G136" s="1">
        <v>11</v>
      </c>
      <c r="H136" s="1" t="s">
        <v>6869</v>
      </c>
      <c r="I136" s="4"/>
      <c r="J136" s="4"/>
      <c r="K136" s="4"/>
      <c r="L136" s="2">
        <v>42675</v>
      </c>
      <c r="M136" s="4"/>
      <c r="N136" s="1" t="s">
        <v>6115</v>
      </c>
      <c r="O136" s="3" t="s">
        <v>6870</v>
      </c>
      <c r="P136" s="1" t="s">
        <v>6871</v>
      </c>
      <c r="Q136" s="1" t="s">
        <v>6872</v>
      </c>
      <c r="R136" s="1" t="s">
        <v>6873</v>
      </c>
    </row>
    <row r="137" spans="1:18" x14ac:dyDescent="0.25">
      <c r="A137" s="1" t="s">
        <v>141</v>
      </c>
      <c r="B137" s="1" t="s">
        <v>5750</v>
      </c>
      <c r="C137" s="1" t="s">
        <v>6874</v>
      </c>
      <c r="D137" s="4"/>
      <c r="E137" s="1">
        <v>2018</v>
      </c>
      <c r="F137" s="4"/>
      <c r="G137" s="4"/>
      <c r="H137" s="9">
        <v>45054</v>
      </c>
      <c r="I137" s="4"/>
      <c r="J137" s="4"/>
      <c r="K137" s="1" t="s">
        <v>6875</v>
      </c>
      <c r="L137" s="6">
        <v>43221</v>
      </c>
      <c r="M137" s="4"/>
      <c r="N137" s="4"/>
      <c r="O137" s="4"/>
      <c r="P137" s="4"/>
      <c r="Q137" s="1" t="s">
        <v>6876</v>
      </c>
      <c r="R137" s="1" t="s">
        <v>6877</v>
      </c>
    </row>
    <row r="138" spans="1:18" x14ac:dyDescent="0.25">
      <c r="A138" s="1" t="s">
        <v>13</v>
      </c>
      <c r="B138" s="1" t="s">
        <v>6878</v>
      </c>
      <c r="C138" s="1" t="s">
        <v>6879</v>
      </c>
      <c r="D138" s="1" t="s">
        <v>4637</v>
      </c>
      <c r="E138" s="1">
        <v>2019</v>
      </c>
      <c r="F138" s="1">
        <v>36</v>
      </c>
      <c r="G138" s="1">
        <v>6</v>
      </c>
      <c r="H138" s="1" t="s">
        <v>6880</v>
      </c>
      <c r="I138" s="4"/>
      <c r="J138" s="4"/>
      <c r="K138" s="4"/>
      <c r="L138" s="2">
        <v>43770</v>
      </c>
      <c r="M138" s="4"/>
      <c r="N138" s="1" t="s">
        <v>6207</v>
      </c>
      <c r="O138" s="3" t="s">
        <v>6881</v>
      </c>
      <c r="P138" s="1" t="s">
        <v>6882</v>
      </c>
      <c r="Q138" s="1" t="s">
        <v>6883</v>
      </c>
      <c r="R138" s="1" t="s">
        <v>6884</v>
      </c>
    </row>
    <row r="139" spans="1:18" x14ac:dyDescent="0.25">
      <c r="A139" s="1" t="s">
        <v>141</v>
      </c>
      <c r="B139" s="1" t="s">
        <v>6885</v>
      </c>
      <c r="C139" s="1" t="s">
        <v>6886</v>
      </c>
      <c r="D139" s="4"/>
      <c r="E139" s="1">
        <v>2018</v>
      </c>
      <c r="F139" s="4"/>
      <c r="G139" s="4"/>
      <c r="H139" s="1" t="s">
        <v>6887</v>
      </c>
      <c r="I139" s="4"/>
      <c r="J139" s="4"/>
      <c r="K139" s="1" t="s">
        <v>6145</v>
      </c>
      <c r="L139" s="6">
        <v>43313</v>
      </c>
      <c r="M139" s="4"/>
      <c r="N139" s="4"/>
      <c r="O139" s="3" t="s">
        <v>6888</v>
      </c>
      <c r="P139" s="1" t="s">
        <v>6889</v>
      </c>
      <c r="Q139" s="1" t="s">
        <v>6890</v>
      </c>
      <c r="R139" s="1" t="s">
        <v>6891</v>
      </c>
    </row>
    <row r="140" spans="1:18" x14ac:dyDescent="0.25">
      <c r="A140" s="1" t="s">
        <v>141</v>
      </c>
      <c r="B140" s="1" t="s">
        <v>6892</v>
      </c>
      <c r="C140" s="1" t="s">
        <v>6893</v>
      </c>
      <c r="D140" s="4"/>
      <c r="E140" s="1">
        <v>2018</v>
      </c>
      <c r="F140" s="4"/>
      <c r="G140" s="4"/>
      <c r="H140" s="1" t="s">
        <v>6894</v>
      </c>
      <c r="I140" s="4"/>
      <c r="J140" s="4"/>
      <c r="K140" s="1" t="s">
        <v>6895</v>
      </c>
      <c r="L140" s="6">
        <v>43282</v>
      </c>
      <c r="M140" s="4"/>
      <c r="N140" s="4"/>
      <c r="O140" s="3" t="s">
        <v>6896</v>
      </c>
      <c r="P140" s="1" t="s">
        <v>6897</v>
      </c>
      <c r="Q140" s="1" t="s">
        <v>6898</v>
      </c>
      <c r="R140" s="1" t="s">
        <v>6899</v>
      </c>
    </row>
    <row r="141" spans="1:18" x14ac:dyDescent="0.25">
      <c r="A141" s="1" t="s">
        <v>141</v>
      </c>
      <c r="B141" s="1" t="s">
        <v>2711</v>
      </c>
      <c r="C141" s="1" t="s">
        <v>2712</v>
      </c>
      <c r="D141" s="4"/>
      <c r="E141" s="1">
        <v>2021</v>
      </c>
      <c r="F141" s="4"/>
      <c r="G141" s="4"/>
      <c r="H141" s="1" t="s">
        <v>6900</v>
      </c>
      <c r="I141" s="4"/>
      <c r="J141" s="4"/>
      <c r="K141" s="1" t="s">
        <v>6901</v>
      </c>
      <c r="L141" s="6">
        <v>44440</v>
      </c>
      <c r="M141" s="4"/>
      <c r="N141" s="1" t="s">
        <v>6902</v>
      </c>
      <c r="O141" s="3" t="s">
        <v>6903</v>
      </c>
      <c r="P141" s="1" t="s">
        <v>2715</v>
      </c>
      <c r="Q141" s="1" t="s">
        <v>6904</v>
      </c>
      <c r="R141" s="1" t="s">
        <v>6905</v>
      </c>
    </row>
    <row r="142" spans="1:18" x14ac:dyDescent="0.25">
      <c r="A142" s="1" t="s">
        <v>141</v>
      </c>
      <c r="B142" s="1" t="s">
        <v>6906</v>
      </c>
      <c r="C142" s="1" t="s">
        <v>6907</v>
      </c>
      <c r="D142" s="4"/>
      <c r="E142" s="1">
        <v>2016</v>
      </c>
      <c r="F142" s="4"/>
      <c r="G142" s="4"/>
      <c r="H142" s="9">
        <v>44933</v>
      </c>
      <c r="I142" s="4"/>
      <c r="J142" s="4"/>
      <c r="K142" s="1" t="s">
        <v>6908</v>
      </c>
      <c r="L142" s="6">
        <v>42491</v>
      </c>
      <c r="M142" s="4"/>
      <c r="N142" s="4"/>
      <c r="O142" s="3" t="s">
        <v>6909</v>
      </c>
      <c r="P142" s="1" t="s">
        <v>6910</v>
      </c>
      <c r="Q142" s="1" t="s">
        <v>6911</v>
      </c>
      <c r="R142" s="1" t="s">
        <v>6912</v>
      </c>
    </row>
    <row r="143" spans="1:18" x14ac:dyDescent="0.25">
      <c r="A143" s="1" t="s">
        <v>141</v>
      </c>
      <c r="B143" s="1" t="s">
        <v>6913</v>
      </c>
      <c r="C143" s="1" t="s">
        <v>6914</v>
      </c>
      <c r="D143" s="4"/>
      <c r="E143" s="1">
        <v>2019</v>
      </c>
      <c r="F143" s="4"/>
      <c r="G143" s="4"/>
      <c r="H143" s="1" t="s">
        <v>6915</v>
      </c>
      <c r="I143" s="4"/>
      <c r="J143" s="4"/>
      <c r="K143" s="1" t="s">
        <v>6916</v>
      </c>
      <c r="L143" s="2">
        <v>43739</v>
      </c>
      <c r="M143" s="4"/>
      <c r="N143" s="1" t="s">
        <v>6917</v>
      </c>
      <c r="O143" s="3" t="s">
        <v>6918</v>
      </c>
      <c r="P143" s="1" t="s">
        <v>6919</v>
      </c>
      <c r="Q143" s="1" t="s">
        <v>6920</v>
      </c>
      <c r="R143" s="1" t="s">
        <v>6921</v>
      </c>
    </row>
    <row r="144" spans="1:18" x14ac:dyDescent="0.25">
      <c r="A144" s="1" t="s">
        <v>141</v>
      </c>
      <c r="B144" s="1" t="s">
        <v>3215</v>
      </c>
      <c r="C144" s="1" t="s">
        <v>6922</v>
      </c>
      <c r="D144" s="4"/>
      <c r="E144" s="1">
        <v>2020</v>
      </c>
      <c r="F144" s="4"/>
      <c r="G144" s="4"/>
      <c r="H144" s="9">
        <v>44932</v>
      </c>
      <c r="I144" s="4"/>
      <c r="J144" s="4"/>
      <c r="K144" s="1" t="s">
        <v>6923</v>
      </c>
      <c r="L144" s="6">
        <v>44075</v>
      </c>
      <c r="M144" s="4"/>
      <c r="N144" s="1" t="s">
        <v>6924</v>
      </c>
      <c r="O144" s="3" t="s">
        <v>6925</v>
      </c>
      <c r="P144" s="1" t="s">
        <v>3218</v>
      </c>
      <c r="Q144" s="1" t="s">
        <v>6926</v>
      </c>
      <c r="R144" s="1" t="s">
        <v>6927</v>
      </c>
    </row>
    <row r="145" spans="1:18" x14ac:dyDescent="0.25">
      <c r="A145" s="1" t="s">
        <v>141</v>
      </c>
      <c r="B145" s="1" t="s">
        <v>3844</v>
      </c>
      <c r="C145" s="1" t="s">
        <v>6928</v>
      </c>
      <c r="D145" s="4"/>
      <c r="E145" s="1">
        <v>2021</v>
      </c>
      <c r="F145" s="4"/>
      <c r="G145" s="4"/>
      <c r="H145" s="1" t="s">
        <v>6929</v>
      </c>
      <c r="I145" s="4"/>
      <c r="J145" s="4"/>
      <c r="K145" s="1" t="s">
        <v>6930</v>
      </c>
      <c r="L145" s="6">
        <v>44317</v>
      </c>
      <c r="M145" s="4"/>
      <c r="N145" s="4"/>
      <c r="O145" s="3" t="s">
        <v>6931</v>
      </c>
      <c r="P145" s="1" t="s">
        <v>3848</v>
      </c>
      <c r="Q145" s="1" t="s">
        <v>6932</v>
      </c>
      <c r="R145" s="1" t="s">
        <v>6933</v>
      </c>
    </row>
    <row r="146" spans="1:18" x14ac:dyDescent="0.25">
      <c r="A146" s="1" t="s">
        <v>13</v>
      </c>
      <c r="B146" s="1" t="s">
        <v>6934</v>
      </c>
      <c r="C146" s="1" t="s">
        <v>6935</v>
      </c>
      <c r="D146" s="1" t="s">
        <v>668</v>
      </c>
      <c r="E146" s="1">
        <v>2019</v>
      </c>
      <c r="F146" s="1">
        <v>7</v>
      </c>
      <c r="G146" s="4"/>
      <c r="H146" s="1" t="s">
        <v>6936</v>
      </c>
      <c r="I146" s="4"/>
      <c r="J146" s="4"/>
      <c r="K146" s="4"/>
      <c r="L146" s="1">
        <v>2019</v>
      </c>
      <c r="M146" s="4"/>
      <c r="N146" s="1" t="s">
        <v>670</v>
      </c>
      <c r="O146" s="3" t="s">
        <v>6937</v>
      </c>
      <c r="P146" s="1" t="s">
        <v>6938</v>
      </c>
      <c r="Q146" s="1" t="s">
        <v>6939</v>
      </c>
      <c r="R146" s="1" t="s">
        <v>6940</v>
      </c>
    </row>
    <row r="147" spans="1:18" x14ac:dyDescent="0.25">
      <c r="A147" s="1" t="s">
        <v>141</v>
      </c>
      <c r="B147" s="1" t="s">
        <v>6941</v>
      </c>
      <c r="C147" s="1" t="s">
        <v>6942</v>
      </c>
      <c r="D147" s="4"/>
      <c r="E147" s="1">
        <v>2019</v>
      </c>
      <c r="F147" s="4"/>
      <c r="G147" s="4"/>
      <c r="H147" s="9">
        <v>44931</v>
      </c>
      <c r="I147" s="4"/>
      <c r="J147" s="4"/>
      <c r="K147" s="1" t="s">
        <v>6943</v>
      </c>
      <c r="L147" s="6">
        <v>43709</v>
      </c>
      <c r="M147" s="4"/>
      <c r="N147" s="1" t="s">
        <v>6944</v>
      </c>
      <c r="O147" s="3" t="s">
        <v>6945</v>
      </c>
      <c r="P147" s="1" t="s">
        <v>6946</v>
      </c>
      <c r="Q147" s="1" t="s">
        <v>6947</v>
      </c>
      <c r="R147" s="1" t="s">
        <v>6948</v>
      </c>
    </row>
    <row r="148" spans="1:18" x14ac:dyDescent="0.25">
      <c r="A148" s="1" t="s">
        <v>141</v>
      </c>
      <c r="B148" s="1" t="s">
        <v>6949</v>
      </c>
      <c r="C148" s="1" t="s">
        <v>6950</v>
      </c>
      <c r="D148" s="4"/>
      <c r="E148" s="1">
        <v>2018</v>
      </c>
      <c r="F148" s="4"/>
      <c r="G148" s="4"/>
      <c r="H148" s="1" t="s">
        <v>6951</v>
      </c>
      <c r="I148" s="4"/>
      <c r="J148" s="4"/>
      <c r="K148" s="1" t="s">
        <v>6952</v>
      </c>
      <c r="L148" s="6">
        <v>43313</v>
      </c>
      <c r="M148" s="4"/>
      <c r="N148" s="4"/>
      <c r="O148" s="3" t="s">
        <v>6953</v>
      </c>
      <c r="P148" s="1" t="s">
        <v>6954</v>
      </c>
      <c r="Q148" s="1" t="s">
        <v>6955</v>
      </c>
      <c r="R148" s="1" t="s">
        <v>6956</v>
      </c>
    </row>
    <row r="149" spans="1:18" x14ac:dyDescent="0.25">
      <c r="A149" s="1" t="s">
        <v>141</v>
      </c>
      <c r="B149" s="1" t="s">
        <v>6957</v>
      </c>
      <c r="C149" s="1" t="s">
        <v>6958</v>
      </c>
      <c r="D149" s="4"/>
      <c r="E149" s="1">
        <v>2019</v>
      </c>
      <c r="F149" s="4"/>
      <c r="G149" s="4"/>
      <c r="H149" s="1" t="s">
        <v>6959</v>
      </c>
      <c r="I149" s="4"/>
      <c r="J149" s="4"/>
      <c r="K149" s="1" t="s">
        <v>6960</v>
      </c>
      <c r="L149" s="6">
        <v>43525</v>
      </c>
      <c r="M149" s="4"/>
      <c r="N149" s="4"/>
      <c r="O149" s="3" t="s">
        <v>6961</v>
      </c>
      <c r="P149" s="1" t="s">
        <v>6962</v>
      </c>
      <c r="Q149" s="1" t="s">
        <v>6963</v>
      </c>
      <c r="R149" s="1" t="s">
        <v>6964</v>
      </c>
    </row>
    <row r="150" spans="1:18" x14ac:dyDescent="0.25">
      <c r="A150" s="1" t="s">
        <v>141</v>
      </c>
      <c r="B150" s="1" t="s">
        <v>339</v>
      </c>
      <c r="C150" s="1" t="s">
        <v>340</v>
      </c>
      <c r="D150" s="4"/>
      <c r="E150" s="1">
        <v>2022</v>
      </c>
      <c r="F150" s="4"/>
      <c r="G150" s="4"/>
      <c r="H150" s="1" t="s">
        <v>6965</v>
      </c>
      <c r="I150" s="4"/>
      <c r="J150" s="4"/>
      <c r="K150" s="1" t="s">
        <v>6966</v>
      </c>
      <c r="L150" s="6">
        <v>44713</v>
      </c>
      <c r="M150" s="4"/>
      <c r="N150" s="1" t="s">
        <v>5157</v>
      </c>
      <c r="O150" s="3" t="s">
        <v>6967</v>
      </c>
      <c r="P150" s="1" t="s">
        <v>343</v>
      </c>
      <c r="Q150" s="1" t="s">
        <v>6968</v>
      </c>
      <c r="R150" s="1" t="s">
        <v>6969</v>
      </c>
    </row>
    <row r="151" spans="1:18" x14ac:dyDescent="0.25">
      <c r="A151" s="1" t="s">
        <v>141</v>
      </c>
      <c r="B151" s="1" t="s">
        <v>6970</v>
      </c>
      <c r="C151" s="1" t="s">
        <v>6971</v>
      </c>
      <c r="D151" s="4"/>
      <c r="E151" s="1">
        <v>2016</v>
      </c>
      <c r="F151" s="4"/>
      <c r="G151" s="4"/>
      <c r="H151" s="1" t="s">
        <v>6972</v>
      </c>
      <c r="I151" s="4"/>
      <c r="J151" s="4"/>
      <c r="K151" s="1" t="s">
        <v>6973</v>
      </c>
      <c r="L151" s="6">
        <v>42583</v>
      </c>
      <c r="M151" s="4"/>
      <c r="N151" s="1" t="s">
        <v>6974</v>
      </c>
      <c r="O151" s="3" t="s">
        <v>6975</v>
      </c>
      <c r="P151" s="1" t="s">
        <v>6976</v>
      </c>
      <c r="Q151" s="1" t="s">
        <v>6977</v>
      </c>
      <c r="R151" s="1" t="s">
        <v>6978</v>
      </c>
    </row>
    <row r="152" spans="1:18" x14ac:dyDescent="0.25">
      <c r="A152" s="1" t="s">
        <v>141</v>
      </c>
      <c r="B152" s="1" t="s">
        <v>3621</v>
      </c>
      <c r="C152" s="1" t="s">
        <v>3622</v>
      </c>
      <c r="D152" s="4"/>
      <c r="E152" s="1">
        <v>2020</v>
      </c>
      <c r="F152" s="4"/>
      <c r="G152" s="4"/>
      <c r="H152" s="1" t="s">
        <v>6979</v>
      </c>
      <c r="I152" s="4"/>
      <c r="J152" s="4"/>
      <c r="K152" s="1" t="s">
        <v>6980</v>
      </c>
      <c r="L152" s="6">
        <v>44075</v>
      </c>
      <c r="M152" s="4"/>
      <c r="N152" s="1" t="s">
        <v>6818</v>
      </c>
      <c r="O152" s="3" t="s">
        <v>6981</v>
      </c>
      <c r="P152" s="1" t="s">
        <v>3625</v>
      </c>
      <c r="Q152" s="1" t="s">
        <v>6982</v>
      </c>
      <c r="R152" s="1" t="s">
        <v>6983</v>
      </c>
    </row>
    <row r="153" spans="1:18" x14ac:dyDescent="0.25">
      <c r="A153" s="1" t="s">
        <v>141</v>
      </c>
      <c r="B153" s="1" t="s">
        <v>6984</v>
      </c>
      <c r="C153" s="1" t="s">
        <v>6985</v>
      </c>
      <c r="D153" s="4"/>
      <c r="E153" s="1">
        <v>2019</v>
      </c>
      <c r="F153" s="4"/>
      <c r="G153" s="4"/>
      <c r="H153" s="1" t="s">
        <v>6863</v>
      </c>
      <c r="I153" s="4"/>
      <c r="J153" s="4"/>
      <c r="K153" s="1" t="s">
        <v>6986</v>
      </c>
      <c r="L153" s="6">
        <v>43586</v>
      </c>
      <c r="M153" s="4"/>
      <c r="N153" s="1" t="s">
        <v>6336</v>
      </c>
      <c r="O153" s="3" t="s">
        <v>6987</v>
      </c>
      <c r="P153" s="1" t="s">
        <v>6988</v>
      </c>
      <c r="Q153" s="1" t="s">
        <v>6989</v>
      </c>
      <c r="R153" s="1" t="s">
        <v>6990</v>
      </c>
    </row>
    <row r="154" spans="1:18" x14ac:dyDescent="0.25">
      <c r="A154" s="1" t="s">
        <v>141</v>
      </c>
      <c r="B154" s="1" t="s">
        <v>6991</v>
      </c>
      <c r="C154" s="1" t="s">
        <v>6992</v>
      </c>
      <c r="D154" s="4"/>
      <c r="E154" s="1">
        <v>2018</v>
      </c>
      <c r="F154" s="4"/>
      <c r="G154" s="4"/>
      <c r="H154" s="1" t="s">
        <v>6993</v>
      </c>
      <c r="I154" s="4"/>
      <c r="J154" s="4"/>
      <c r="K154" s="1" t="s">
        <v>6994</v>
      </c>
      <c r="L154" s="6">
        <v>43221</v>
      </c>
      <c r="M154" s="4"/>
      <c r="N154" s="4"/>
      <c r="O154" s="4"/>
      <c r="P154" s="4"/>
      <c r="Q154" s="1" t="s">
        <v>6995</v>
      </c>
      <c r="R154" s="1" t="s">
        <v>6996</v>
      </c>
    </row>
    <row r="155" spans="1:18" x14ac:dyDescent="0.25">
      <c r="A155" s="1" t="s">
        <v>141</v>
      </c>
      <c r="B155" s="1" t="s">
        <v>6997</v>
      </c>
      <c r="C155" s="1" t="s">
        <v>6998</v>
      </c>
      <c r="D155" s="4"/>
      <c r="E155" s="1">
        <v>2015</v>
      </c>
      <c r="F155" s="4"/>
      <c r="G155" s="4"/>
      <c r="H155" s="1" t="s">
        <v>6999</v>
      </c>
      <c r="I155" s="4"/>
      <c r="J155" s="4"/>
      <c r="K155" s="1" t="s">
        <v>7000</v>
      </c>
      <c r="L155" s="6">
        <v>42186</v>
      </c>
      <c r="M155" s="4"/>
      <c r="N155" s="1" t="s">
        <v>6974</v>
      </c>
      <c r="O155" s="3" t="s">
        <v>7001</v>
      </c>
      <c r="P155" s="1" t="s">
        <v>7002</v>
      </c>
      <c r="Q155" s="1" t="s">
        <v>7003</v>
      </c>
      <c r="R155" s="1" t="s">
        <v>7004</v>
      </c>
    </row>
    <row r="156" spans="1:18" x14ac:dyDescent="0.25">
      <c r="A156" s="1" t="s">
        <v>141</v>
      </c>
      <c r="B156" s="1" t="s">
        <v>7005</v>
      </c>
      <c r="C156" s="1" t="s">
        <v>7006</v>
      </c>
      <c r="D156" s="4"/>
      <c r="E156" s="1">
        <v>2020</v>
      </c>
      <c r="F156" s="4"/>
      <c r="G156" s="4"/>
      <c r="H156" s="9">
        <v>44932</v>
      </c>
      <c r="I156" s="4"/>
      <c r="J156" s="4"/>
      <c r="K156" s="1" t="s">
        <v>7007</v>
      </c>
      <c r="L156" s="6">
        <v>43891</v>
      </c>
      <c r="M156" s="4"/>
      <c r="N156" s="4"/>
      <c r="O156" s="3" t="s">
        <v>7008</v>
      </c>
      <c r="P156" s="1" t="s">
        <v>7009</v>
      </c>
      <c r="Q156" s="1" t="s">
        <v>7010</v>
      </c>
      <c r="R156" s="1" t="s">
        <v>7011</v>
      </c>
    </row>
    <row r="157" spans="1:18" x14ac:dyDescent="0.25">
      <c r="A157" s="1" t="s">
        <v>13</v>
      </c>
      <c r="B157" s="1" t="s">
        <v>7012</v>
      </c>
      <c r="C157" s="1" t="s">
        <v>7013</v>
      </c>
      <c r="D157" s="1" t="s">
        <v>4637</v>
      </c>
      <c r="E157" s="1">
        <v>2022</v>
      </c>
      <c r="F157" s="1">
        <v>39</v>
      </c>
      <c r="G157" s="1">
        <v>6</v>
      </c>
      <c r="H157" s="1" t="s">
        <v>7014</v>
      </c>
      <c r="I157" s="4"/>
      <c r="J157" s="4"/>
      <c r="K157" s="4"/>
      <c r="L157" s="2">
        <v>44866</v>
      </c>
      <c r="M157" s="4"/>
      <c r="N157" s="1" t="s">
        <v>6207</v>
      </c>
      <c r="O157" s="3" t="s">
        <v>7015</v>
      </c>
      <c r="P157" s="1" t="s">
        <v>7016</v>
      </c>
      <c r="Q157" s="1" t="s">
        <v>7017</v>
      </c>
      <c r="R157" s="1" t="s">
        <v>7018</v>
      </c>
    </row>
    <row r="158" spans="1:18" x14ac:dyDescent="0.25">
      <c r="A158" s="1" t="s">
        <v>13</v>
      </c>
      <c r="B158" s="1" t="s">
        <v>7019</v>
      </c>
      <c r="C158" s="1" t="s">
        <v>7020</v>
      </c>
      <c r="D158" s="1" t="s">
        <v>7021</v>
      </c>
      <c r="E158" s="1">
        <v>2016</v>
      </c>
      <c r="F158" s="1">
        <v>27</v>
      </c>
      <c r="G158" s="1">
        <v>3</v>
      </c>
      <c r="H158" s="1" t="s">
        <v>7022</v>
      </c>
      <c r="I158" s="4"/>
      <c r="J158" s="4"/>
      <c r="K158" s="4"/>
      <c r="L158" s="6">
        <v>42430</v>
      </c>
      <c r="M158" s="4"/>
      <c r="N158" s="1" t="s">
        <v>7023</v>
      </c>
      <c r="O158" s="3" t="s">
        <v>7024</v>
      </c>
      <c r="P158" s="1" t="s">
        <v>7025</v>
      </c>
      <c r="Q158" s="1" t="s">
        <v>7026</v>
      </c>
      <c r="R158" s="1" t="s">
        <v>7027</v>
      </c>
    </row>
    <row r="159" spans="1:18" x14ac:dyDescent="0.25">
      <c r="A159" s="1" t="s">
        <v>13</v>
      </c>
      <c r="B159" s="1" t="s">
        <v>3081</v>
      </c>
      <c r="C159" s="1" t="s">
        <v>3082</v>
      </c>
      <c r="D159" s="1" t="s">
        <v>255</v>
      </c>
      <c r="E159" s="1">
        <v>2021</v>
      </c>
      <c r="F159" s="1">
        <v>47</v>
      </c>
      <c r="G159" s="1">
        <v>1</v>
      </c>
      <c r="H159" s="1" t="s">
        <v>7028</v>
      </c>
      <c r="I159" s="4"/>
      <c r="J159" s="4"/>
      <c r="K159" s="4"/>
      <c r="L159" s="6">
        <v>44197</v>
      </c>
      <c r="M159" s="4"/>
      <c r="N159" s="1" t="s">
        <v>6115</v>
      </c>
      <c r="O159" s="3" t="s">
        <v>7029</v>
      </c>
      <c r="P159" s="1" t="s">
        <v>3085</v>
      </c>
      <c r="Q159" s="1" t="s">
        <v>7030</v>
      </c>
      <c r="R159" s="1" t="s">
        <v>7031</v>
      </c>
    </row>
    <row r="160" spans="1:18" x14ac:dyDescent="0.25">
      <c r="A160" s="1" t="s">
        <v>13</v>
      </c>
      <c r="B160" s="4"/>
      <c r="C160" s="1" t="s">
        <v>7032</v>
      </c>
      <c r="D160" s="1" t="s">
        <v>7033</v>
      </c>
      <c r="E160" s="1">
        <v>2016</v>
      </c>
      <c r="F160" s="4"/>
      <c r="G160" s="4"/>
      <c r="H160" s="1" t="s">
        <v>7034</v>
      </c>
      <c r="I160" s="4"/>
      <c r="J160" s="4"/>
      <c r="K160" s="4"/>
      <c r="L160" s="6">
        <v>42370</v>
      </c>
      <c r="M160" s="4"/>
      <c r="N160" s="4"/>
      <c r="O160" s="4"/>
      <c r="P160" s="4"/>
      <c r="Q160" s="1" t="s">
        <v>7035</v>
      </c>
      <c r="R160" s="1" t="s">
        <v>7036</v>
      </c>
    </row>
    <row r="161" spans="1:18" x14ac:dyDescent="0.25">
      <c r="A161" s="1" t="s">
        <v>13</v>
      </c>
      <c r="B161" s="4"/>
      <c r="C161" s="1" t="s">
        <v>7037</v>
      </c>
      <c r="D161" s="1" t="s">
        <v>7038</v>
      </c>
      <c r="E161" s="1">
        <v>2017</v>
      </c>
      <c r="F161" s="4"/>
      <c r="G161" s="4"/>
      <c r="H161" s="1" t="s">
        <v>7039</v>
      </c>
      <c r="I161" s="4"/>
      <c r="J161" s="4"/>
      <c r="K161" s="4"/>
      <c r="L161" s="6">
        <v>42736</v>
      </c>
      <c r="M161" s="4"/>
      <c r="N161" s="4"/>
      <c r="O161" s="4"/>
      <c r="P161" s="4"/>
      <c r="Q161" s="1" t="s">
        <v>7035</v>
      </c>
      <c r="R161" s="1" t="s">
        <v>7040</v>
      </c>
    </row>
    <row r="162" spans="1:18" x14ac:dyDescent="0.25">
      <c r="A162" s="1" t="s">
        <v>13</v>
      </c>
      <c r="B162" s="4"/>
      <c r="C162" s="1" t="s">
        <v>7032</v>
      </c>
      <c r="D162" s="1" t="s">
        <v>7041</v>
      </c>
      <c r="E162" s="1">
        <v>2017</v>
      </c>
      <c r="F162" s="4"/>
      <c r="G162" s="4"/>
      <c r="H162" s="1" t="s">
        <v>7042</v>
      </c>
      <c r="I162" s="4"/>
      <c r="J162" s="4"/>
      <c r="K162" s="4"/>
      <c r="L162" s="6">
        <v>42736</v>
      </c>
      <c r="M162" s="4"/>
      <c r="N162" s="4"/>
      <c r="O162" s="4"/>
      <c r="P162" s="4"/>
      <c r="Q162" s="1" t="s">
        <v>7035</v>
      </c>
      <c r="R162" s="1" t="s">
        <v>7043</v>
      </c>
    </row>
    <row r="163" spans="1:18" x14ac:dyDescent="0.25">
      <c r="A163" s="1" t="s">
        <v>13</v>
      </c>
      <c r="B163" s="1" t="s">
        <v>7044</v>
      </c>
      <c r="C163" s="1" t="s">
        <v>7045</v>
      </c>
      <c r="D163" s="1" t="s">
        <v>4637</v>
      </c>
      <c r="E163" s="1">
        <v>2022</v>
      </c>
      <c r="F163" s="1">
        <v>39</v>
      </c>
      <c r="G163" s="1">
        <v>3</v>
      </c>
      <c r="H163" s="1" t="s">
        <v>7046</v>
      </c>
      <c r="I163" s="4"/>
      <c r="J163" s="4"/>
      <c r="K163" s="4"/>
      <c r="L163" s="6">
        <v>44682</v>
      </c>
      <c r="M163" s="4"/>
      <c r="N163" s="1" t="s">
        <v>6207</v>
      </c>
      <c r="O163" s="3" t="s">
        <v>7047</v>
      </c>
      <c r="P163" s="1" t="s">
        <v>7048</v>
      </c>
      <c r="Q163" s="1" t="s">
        <v>7049</v>
      </c>
      <c r="R163" s="4"/>
    </row>
    <row r="164" spans="1:18" x14ac:dyDescent="0.25">
      <c r="A164" s="1" t="s">
        <v>13</v>
      </c>
      <c r="B164" s="1" t="s">
        <v>6984</v>
      </c>
      <c r="C164" s="1" t="s">
        <v>7050</v>
      </c>
      <c r="D164" s="1" t="s">
        <v>255</v>
      </c>
      <c r="E164" s="1">
        <v>2022</v>
      </c>
      <c r="F164" s="1">
        <v>48</v>
      </c>
      <c r="G164" s="1">
        <v>7</v>
      </c>
      <c r="H164" s="1" t="s">
        <v>7051</v>
      </c>
      <c r="I164" s="4"/>
      <c r="J164" s="4"/>
      <c r="K164" s="4"/>
      <c r="L164" s="6">
        <v>44743</v>
      </c>
      <c r="M164" s="4"/>
      <c r="N164" s="1" t="s">
        <v>6115</v>
      </c>
      <c r="O164" s="3" t="s">
        <v>7052</v>
      </c>
      <c r="P164" s="1" t="s">
        <v>7053</v>
      </c>
      <c r="Q164" s="1" t="s">
        <v>7054</v>
      </c>
      <c r="R164" s="1" t="s">
        <v>7055</v>
      </c>
    </row>
    <row r="165" spans="1:18" x14ac:dyDescent="0.25">
      <c r="A165" s="1" t="s">
        <v>13</v>
      </c>
      <c r="B165" s="1" t="s">
        <v>2232</v>
      </c>
      <c r="C165" s="1" t="s">
        <v>7056</v>
      </c>
      <c r="D165" s="1" t="s">
        <v>255</v>
      </c>
      <c r="E165" s="1">
        <v>2022</v>
      </c>
      <c r="F165" s="1">
        <v>48</v>
      </c>
      <c r="G165" s="1">
        <v>1</v>
      </c>
      <c r="H165" s="1" t="s">
        <v>7057</v>
      </c>
      <c r="I165" s="4"/>
      <c r="J165" s="4"/>
      <c r="K165" s="4"/>
      <c r="L165" s="6">
        <v>44562</v>
      </c>
      <c r="M165" s="4"/>
      <c r="N165" s="1" t="s">
        <v>6115</v>
      </c>
      <c r="O165" s="3" t="s">
        <v>7058</v>
      </c>
      <c r="P165" s="1" t="s">
        <v>2236</v>
      </c>
      <c r="Q165" s="1" t="s">
        <v>7059</v>
      </c>
      <c r="R165" s="1" t="s">
        <v>7060</v>
      </c>
    </row>
    <row r="166" spans="1:18" x14ac:dyDescent="0.25">
      <c r="A166" s="1" t="s">
        <v>141</v>
      </c>
      <c r="B166" s="1" t="s">
        <v>7061</v>
      </c>
      <c r="C166" s="1" t="s">
        <v>7062</v>
      </c>
      <c r="D166" s="4"/>
      <c r="E166" s="1">
        <v>2019</v>
      </c>
      <c r="F166" s="4"/>
      <c r="G166" s="4"/>
      <c r="H166" s="1" t="s">
        <v>7063</v>
      </c>
      <c r="I166" s="4"/>
      <c r="J166" s="4"/>
      <c r="K166" s="1" t="s">
        <v>7064</v>
      </c>
      <c r="L166" s="6">
        <v>43586</v>
      </c>
      <c r="M166" s="4"/>
      <c r="N166" s="1" t="s">
        <v>7065</v>
      </c>
      <c r="O166" s="3" t="s">
        <v>7066</v>
      </c>
      <c r="P166" s="1" t="s">
        <v>7067</v>
      </c>
      <c r="Q166" s="1" t="s">
        <v>7068</v>
      </c>
      <c r="R166" s="1" t="s">
        <v>7069</v>
      </c>
    </row>
    <row r="167" spans="1:18" x14ac:dyDescent="0.25">
      <c r="A167" s="1" t="s">
        <v>141</v>
      </c>
      <c r="B167" s="1" t="s">
        <v>7070</v>
      </c>
      <c r="C167" s="1" t="s">
        <v>7071</v>
      </c>
      <c r="D167" s="4"/>
      <c r="E167" s="1">
        <v>2022</v>
      </c>
      <c r="F167" s="4"/>
      <c r="G167" s="4"/>
      <c r="H167" s="1" t="s">
        <v>7072</v>
      </c>
      <c r="I167" s="4"/>
      <c r="J167" s="4"/>
      <c r="K167" s="1" t="s">
        <v>6722</v>
      </c>
      <c r="L167" s="6">
        <v>44682</v>
      </c>
      <c r="M167" s="4"/>
      <c r="N167" s="1" t="s">
        <v>6226</v>
      </c>
      <c r="O167" s="3" t="s">
        <v>7073</v>
      </c>
      <c r="P167" s="1" t="s">
        <v>7074</v>
      </c>
      <c r="Q167" s="1" t="s">
        <v>7075</v>
      </c>
      <c r="R167" s="1" t="s">
        <v>7076</v>
      </c>
    </row>
    <row r="168" spans="1:18" x14ac:dyDescent="0.25">
      <c r="A168" s="1" t="s">
        <v>141</v>
      </c>
      <c r="B168" s="1" t="s">
        <v>4860</v>
      </c>
      <c r="C168" s="1" t="s">
        <v>4861</v>
      </c>
      <c r="D168" s="4"/>
      <c r="E168" s="1">
        <v>2019</v>
      </c>
      <c r="F168" s="4"/>
      <c r="G168" s="4"/>
      <c r="H168" s="1" t="s">
        <v>7077</v>
      </c>
      <c r="I168" s="4"/>
      <c r="J168" s="4"/>
      <c r="K168" s="1" t="s">
        <v>7078</v>
      </c>
      <c r="L168" s="2">
        <v>43739</v>
      </c>
      <c r="M168" s="4"/>
      <c r="N168" s="1" t="s">
        <v>7079</v>
      </c>
      <c r="O168" s="3" t="s">
        <v>7080</v>
      </c>
      <c r="P168" s="1" t="s">
        <v>4865</v>
      </c>
      <c r="Q168" s="1" t="s">
        <v>7081</v>
      </c>
      <c r="R168" s="1" t="s">
        <v>7082</v>
      </c>
    </row>
    <row r="169" spans="1:18" x14ac:dyDescent="0.25">
      <c r="A169" s="1" t="s">
        <v>141</v>
      </c>
      <c r="B169" s="1" t="s">
        <v>7083</v>
      </c>
      <c r="C169" s="1" t="s">
        <v>7084</v>
      </c>
      <c r="D169" s="4"/>
      <c r="E169" s="1">
        <v>2019</v>
      </c>
      <c r="F169" s="4"/>
      <c r="G169" s="4"/>
      <c r="H169" s="1" t="s">
        <v>7085</v>
      </c>
      <c r="I169" s="4"/>
      <c r="J169" s="4"/>
      <c r="K169" s="1" t="s">
        <v>6684</v>
      </c>
      <c r="L169" s="6">
        <v>43709</v>
      </c>
      <c r="M169" s="4"/>
      <c r="N169" s="4"/>
      <c r="O169" s="3" t="s">
        <v>7086</v>
      </c>
      <c r="P169" s="1" t="s">
        <v>4647</v>
      </c>
      <c r="Q169" s="1" t="s">
        <v>7087</v>
      </c>
      <c r="R169" s="1" t="s">
        <v>7088</v>
      </c>
    </row>
    <row r="170" spans="1:18" x14ac:dyDescent="0.25">
      <c r="A170" s="1" t="s">
        <v>141</v>
      </c>
      <c r="B170" s="1" t="s">
        <v>7089</v>
      </c>
      <c r="C170" s="1" t="s">
        <v>7090</v>
      </c>
      <c r="D170" s="4"/>
      <c r="E170" s="1">
        <v>2019</v>
      </c>
      <c r="F170" s="4"/>
      <c r="G170" s="4"/>
      <c r="H170" s="1" t="s">
        <v>6482</v>
      </c>
      <c r="I170" s="4"/>
      <c r="J170" s="4"/>
      <c r="K170" s="1" t="s">
        <v>7091</v>
      </c>
      <c r="L170" s="6">
        <v>43586</v>
      </c>
      <c r="M170" s="4"/>
      <c r="N170" s="4"/>
      <c r="O170" s="3" t="s">
        <v>7092</v>
      </c>
      <c r="P170" s="1" t="s">
        <v>7093</v>
      </c>
      <c r="Q170" s="1" t="s">
        <v>7094</v>
      </c>
      <c r="R170" s="1" t="s">
        <v>7095</v>
      </c>
    </row>
    <row r="171" spans="1:18" x14ac:dyDescent="0.25">
      <c r="A171" s="1" t="s">
        <v>141</v>
      </c>
      <c r="B171" s="1" t="s">
        <v>7096</v>
      </c>
      <c r="C171" s="1" t="s">
        <v>7097</v>
      </c>
      <c r="D171" s="4"/>
      <c r="E171" s="1">
        <v>2022</v>
      </c>
      <c r="F171" s="4"/>
      <c r="G171" s="4"/>
      <c r="H171" s="1" t="s">
        <v>7098</v>
      </c>
      <c r="I171" s="4"/>
      <c r="J171" s="4"/>
      <c r="K171" s="1" t="s">
        <v>7099</v>
      </c>
      <c r="L171" s="6">
        <v>44562</v>
      </c>
      <c r="M171" s="4"/>
      <c r="N171" s="4"/>
      <c r="O171" s="3" t="s">
        <v>7100</v>
      </c>
      <c r="P171" s="1" t="s">
        <v>7101</v>
      </c>
      <c r="Q171" s="1" t="s">
        <v>7102</v>
      </c>
      <c r="R171" s="1" t="s">
        <v>7103</v>
      </c>
    </row>
    <row r="172" spans="1:18" x14ac:dyDescent="0.25">
      <c r="A172" s="1" t="s">
        <v>13</v>
      </c>
      <c r="B172" s="1" t="s">
        <v>7104</v>
      </c>
      <c r="C172" s="1" t="s">
        <v>7105</v>
      </c>
      <c r="D172" s="1" t="s">
        <v>4637</v>
      </c>
      <c r="E172" s="1">
        <v>2022</v>
      </c>
      <c r="F172" s="1">
        <v>39</v>
      </c>
      <c r="G172" s="1">
        <v>5</v>
      </c>
      <c r="H172" s="1" t="s">
        <v>7106</v>
      </c>
      <c r="I172" s="4"/>
      <c r="J172" s="4"/>
      <c r="K172" s="4"/>
      <c r="L172" s="6">
        <v>44805</v>
      </c>
      <c r="M172" s="4"/>
      <c r="N172" s="1" t="s">
        <v>6207</v>
      </c>
      <c r="O172" s="3" t="s">
        <v>7107</v>
      </c>
      <c r="P172" s="1" t="s">
        <v>7108</v>
      </c>
      <c r="Q172" s="1" t="s">
        <v>7109</v>
      </c>
      <c r="R172" s="4"/>
    </row>
    <row r="173" spans="1:18" x14ac:dyDescent="0.25">
      <c r="A173" s="1" t="s">
        <v>141</v>
      </c>
      <c r="B173" s="1" t="s">
        <v>4107</v>
      </c>
      <c r="C173" s="1" t="s">
        <v>4108</v>
      </c>
      <c r="D173" s="4"/>
      <c r="E173" s="1">
        <v>2019</v>
      </c>
      <c r="F173" s="4"/>
      <c r="G173" s="4"/>
      <c r="H173" s="1" t="s">
        <v>7110</v>
      </c>
      <c r="I173" s="4"/>
      <c r="J173" s="4"/>
      <c r="K173" s="1" t="s">
        <v>7111</v>
      </c>
      <c r="L173" s="6">
        <v>43647</v>
      </c>
      <c r="M173" s="4"/>
      <c r="N173" s="4"/>
      <c r="O173" s="3" t="s">
        <v>7112</v>
      </c>
      <c r="P173" s="1" t="s">
        <v>4111</v>
      </c>
      <c r="Q173" s="1" t="s">
        <v>7113</v>
      </c>
      <c r="R173" s="1" t="s">
        <v>7114</v>
      </c>
    </row>
    <row r="174" spans="1:18" x14ac:dyDescent="0.25">
      <c r="A174" s="1" t="s">
        <v>141</v>
      </c>
      <c r="B174" s="1" t="s">
        <v>7115</v>
      </c>
      <c r="C174" s="1" t="s">
        <v>7116</v>
      </c>
      <c r="D174" s="4"/>
      <c r="E174" s="1">
        <v>2021</v>
      </c>
      <c r="F174" s="4"/>
      <c r="G174" s="4"/>
      <c r="H174" s="1" t="s">
        <v>7117</v>
      </c>
      <c r="I174" s="4"/>
      <c r="J174" s="4"/>
      <c r="K174" s="1" t="s">
        <v>7118</v>
      </c>
      <c r="L174" s="2">
        <v>44501</v>
      </c>
      <c r="M174" s="4"/>
      <c r="N174" s="1" t="s">
        <v>7119</v>
      </c>
      <c r="O174" s="3" t="s">
        <v>7120</v>
      </c>
      <c r="P174" s="1" t="s">
        <v>7121</v>
      </c>
      <c r="Q174" s="1" t="s">
        <v>7122</v>
      </c>
      <c r="R174" s="1" t="s">
        <v>7123</v>
      </c>
    </row>
    <row r="175" spans="1:18" x14ac:dyDescent="0.25">
      <c r="A175" s="1" t="s">
        <v>141</v>
      </c>
      <c r="B175" s="1" t="s">
        <v>7124</v>
      </c>
      <c r="C175" s="1" t="s">
        <v>7125</v>
      </c>
      <c r="D175" s="4"/>
      <c r="E175" s="1">
        <v>2020</v>
      </c>
      <c r="F175" s="4"/>
      <c r="G175" s="4"/>
      <c r="H175" s="9">
        <v>44934</v>
      </c>
      <c r="I175" s="4"/>
      <c r="J175" s="4"/>
      <c r="K175" s="1" t="s">
        <v>7126</v>
      </c>
      <c r="L175" s="6">
        <v>44013</v>
      </c>
      <c r="M175" s="4"/>
      <c r="N175" s="1" t="s">
        <v>6413</v>
      </c>
      <c r="O175" s="3" t="s">
        <v>7127</v>
      </c>
      <c r="P175" s="1" t="s">
        <v>7128</v>
      </c>
      <c r="Q175" s="1" t="s">
        <v>7129</v>
      </c>
      <c r="R175" s="1" t="s">
        <v>7130</v>
      </c>
    </row>
    <row r="176" spans="1:18" x14ac:dyDescent="0.25">
      <c r="A176" s="1" t="s">
        <v>141</v>
      </c>
      <c r="B176" s="1" t="s">
        <v>7131</v>
      </c>
      <c r="C176" s="1" t="s">
        <v>7132</v>
      </c>
      <c r="D176" s="4"/>
      <c r="E176" s="1">
        <v>2022</v>
      </c>
      <c r="F176" s="4"/>
      <c r="G176" s="4"/>
      <c r="H176" s="1" t="s">
        <v>7133</v>
      </c>
      <c r="I176" s="4"/>
      <c r="J176" s="4"/>
      <c r="K176" s="1" t="s">
        <v>6817</v>
      </c>
      <c r="L176" s="2">
        <v>44835</v>
      </c>
      <c r="M176" s="4"/>
      <c r="N176" s="1" t="s">
        <v>6818</v>
      </c>
      <c r="O176" s="3" t="s">
        <v>7134</v>
      </c>
      <c r="P176" s="1" t="s">
        <v>7135</v>
      </c>
      <c r="Q176" s="1" t="s">
        <v>7136</v>
      </c>
      <c r="R176" s="1" t="s">
        <v>7137</v>
      </c>
    </row>
    <row r="177" spans="1:18" x14ac:dyDescent="0.25">
      <c r="A177" s="1" t="s">
        <v>13</v>
      </c>
      <c r="B177" s="1" t="s">
        <v>7138</v>
      </c>
      <c r="C177" s="1" t="s">
        <v>7139</v>
      </c>
      <c r="D177" s="1" t="s">
        <v>255</v>
      </c>
      <c r="E177" s="1">
        <v>2022</v>
      </c>
      <c r="F177" s="1">
        <v>48</v>
      </c>
      <c r="G177" s="1">
        <v>10</v>
      </c>
      <c r="H177" s="1" t="s">
        <v>7140</v>
      </c>
      <c r="I177" s="4"/>
      <c r="J177" s="4"/>
      <c r="K177" s="4"/>
      <c r="L177" s="2">
        <v>44835</v>
      </c>
      <c r="M177" s="4"/>
      <c r="N177" s="1" t="s">
        <v>6115</v>
      </c>
      <c r="O177" s="3" t="s">
        <v>7141</v>
      </c>
      <c r="P177" s="1" t="s">
        <v>7142</v>
      </c>
      <c r="Q177" s="1" t="s">
        <v>7143</v>
      </c>
      <c r="R177" s="1" t="s">
        <v>7144</v>
      </c>
    </row>
    <row r="178" spans="1:18" x14ac:dyDescent="0.25">
      <c r="A178" s="1" t="s">
        <v>141</v>
      </c>
      <c r="B178" s="1" t="s">
        <v>7145</v>
      </c>
      <c r="C178" s="1" t="s">
        <v>7146</v>
      </c>
      <c r="D178" s="4"/>
      <c r="E178" s="1">
        <v>2021</v>
      </c>
      <c r="F178" s="4"/>
      <c r="G178" s="4"/>
      <c r="H178" s="1" t="s">
        <v>7147</v>
      </c>
      <c r="I178" s="4"/>
      <c r="J178" s="4"/>
      <c r="K178" s="1" t="s">
        <v>6189</v>
      </c>
      <c r="L178" s="2">
        <v>44501</v>
      </c>
      <c r="M178" s="4"/>
      <c r="N178" s="1" t="s">
        <v>6190</v>
      </c>
      <c r="O178" s="3" t="s">
        <v>7148</v>
      </c>
      <c r="P178" s="1" t="s">
        <v>7149</v>
      </c>
      <c r="Q178" s="1" t="s">
        <v>7150</v>
      </c>
      <c r="R178" s="1" t="s">
        <v>7151</v>
      </c>
    </row>
    <row r="179" spans="1:18" x14ac:dyDescent="0.25">
      <c r="A179" s="1" t="s">
        <v>141</v>
      </c>
      <c r="B179" s="1" t="s">
        <v>5395</v>
      </c>
      <c r="C179" s="1" t="s">
        <v>7152</v>
      </c>
      <c r="D179" s="4"/>
      <c r="E179" s="1">
        <v>2017</v>
      </c>
      <c r="F179" s="4"/>
      <c r="G179" s="4"/>
      <c r="H179" s="1" t="s">
        <v>7153</v>
      </c>
      <c r="I179" s="4"/>
      <c r="J179" s="4"/>
      <c r="K179" s="1" t="s">
        <v>7154</v>
      </c>
      <c r="L179" s="2">
        <v>43040</v>
      </c>
      <c r="M179" s="4"/>
      <c r="N179" s="4"/>
      <c r="O179" s="3" t="s">
        <v>7155</v>
      </c>
      <c r="P179" s="1" t="s">
        <v>5400</v>
      </c>
      <c r="Q179" s="1" t="s">
        <v>7156</v>
      </c>
      <c r="R179" s="1" t="s">
        <v>7157</v>
      </c>
    </row>
    <row r="180" spans="1:18" x14ac:dyDescent="0.25">
      <c r="A180" s="1" t="s">
        <v>13</v>
      </c>
      <c r="B180" s="1" t="s">
        <v>7158</v>
      </c>
      <c r="C180" s="1" t="s">
        <v>7159</v>
      </c>
      <c r="D180" s="1" t="s">
        <v>255</v>
      </c>
      <c r="E180" s="1">
        <v>2021</v>
      </c>
      <c r="F180" s="1">
        <v>47</v>
      </c>
      <c r="G180" s="1">
        <v>11</v>
      </c>
      <c r="H180" s="1" t="s">
        <v>7160</v>
      </c>
      <c r="I180" s="4"/>
      <c r="J180" s="4"/>
      <c r="K180" s="4"/>
      <c r="L180" s="2">
        <v>44501</v>
      </c>
      <c r="M180" s="4"/>
      <c r="N180" s="1" t="s">
        <v>6115</v>
      </c>
      <c r="O180" s="3" t="s">
        <v>7161</v>
      </c>
      <c r="P180" s="1" t="s">
        <v>7162</v>
      </c>
      <c r="Q180" s="1" t="s">
        <v>7163</v>
      </c>
      <c r="R180" s="1" t="s">
        <v>7164</v>
      </c>
    </row>
    <row r="181" spans="1:18" x14ac:dyDescent="0.25">
      <c r="A181" s="1" t="s">
        <v>141</v>
      </c>
      <c r="B181" s="1" t="s">
        <v>7165</v>
      </c>
      <c r="C181" s="1" t="s">
        <v>7166</v>
      </c>
      <c r="D181" s="4"/>
      <c r="E181" s="1">
        <v>2020</v>
      </c>
      <c r="F181" s="4"/>
      <c r="G181" s="4"/>
      <c r="H181" s="1" t="s">
        <v>7167</v>
      </c>
      <c r="I181" s="4"/>
      <c r="J181" s="4"/>
      <c r="K181" s="1" t="s">
        <v>7168</v>
      </c>
      <c r="L181" s="2">
        <v>44105</v>
      </c>
      <c r="M181" s="4"/>
      <c r="N181" s="4"/>
      <c r="O181" s="4"/>
      <c r="P181" s="4"/>
      <c r="Q181" s="1" t="s">
        <v>7169</v>
      </c>
      <c r="R181" s="1" t="s">
        <v>7170</v>
      </c>
    </row>
    <row r="182" spans="1:18" x14ac:dyDescent="0.25">
      <c r="A182" s="1" t="s">
        <v>141</v>
      </c>
      <c r="B182" s="1" t="s">
        <v>7171</v>
      </c>
      <c r="C182" s="1" t="s">
        <v>7172</v>
      </c>
      <c r="D182" s="4"/>
      <c r="E182" s="1">
        <v>2020</v>
      </c>
      <c r="F182" s="4"/>
      <c r="G182" s="4"/>
      <c r="H182" s="9">
        <v>44938</v>
      </c>
      <c r="I182" s="4"/>
      <c r="J182" s="4"/>
      <c r="K182" s="1" t="s">
        <v>7173</v>
      </c>
      <c r="L182" s="6">
        <v>43952</v>
      </c>
      <c r="M182" s="4"/>
      <c r="N182" s="4"/>
      <c r="O182" s="3" t="s">
        <v>7174</v>
      </c>
      <c r="P182" s="1" t="s">
        <v>7175</v>
      </c>
      <c r="Q182" s="1" t="s">
        <v>7176</v>
      </c>
      <c r="R182" s="1" t="s">
        <v>7177</v>
      </c>
    </row>
    <row r="183" spans="1:18" x14ac:dyDescent="0.25">
      <c r="A183" s="1" t="s">
        <v>141</v>
      </c>
      <c r="B183" s="1" t="s">
        <v>1819</v>
      </c>
      <c r="C183" s="1" t="s">
        <v>1820</v>
      </c>
      <c r="D183" s="4"/>
      <c r="E183" s="1">
        <v>2022</v>
      </c>
      <c r="F183" s="4"/>
      <c r="G183" s="4"/>
      <c r="H183" s="1" t="s">
        <v>7178</v>
      </c>
      <c r="I183" s="4"/>
      <c r="J183" s="4"/>
      <c r="K183" s="1" t="s">
        <v>7179</v>
      </c>
      <c r="L183" s="6">
        <v>44682</v>
      </c>
      <c r="M183" s="4"/>
      <c r="N183" s="1" t="s">
        <v>7180</v>
      </c>
      <c r="O183" s="3" t="s">
        <v>7181</v>
      </c>
      <c r="P183" s="1" t="s">
        <v>1823</v>
      </c>
      <c r="Q183" s="1" t="s">
        <v>7182</v>
      </c>
      <c r="R183" s="1" t="s">
        <v>7183</v>
      </c>
    </row>
    <row r="184" spans="1:18" x14ac:dyDescent="0.25">
      <c r="A184" s="1" t="s">
        <v>141</v>
      </c>
      <c r="B184" s="1" t="s">
        <v>7184</v>
      </c>
      <c r="C184" s="1" t="s">
        <v>2955</v>
      </c>
      <c r="D184" s="4"/>
      <c r="E184" s="1">
        <v>2021</v>
      </c>
      <c r="F184" s="4"/>
      <c r="G184" s="4"/>
      <c r="H184" s="1" t="s">
        <v>7185</v>
      </c>
      <c r="I184" s="4"/>
      <c r="J184" s="4"/>
      <c r="K184" s="1" t="s">
        <v>7186</v>
      </c>
      <c r="L184" s="2">
        <v>44470</v>
      </c>
      <c r="M184" s="4"/>
      <c r="N184" s="4"/>
      <c r="O184" s="3" t="s">
        <v>7187</v>
      </c>
      <c r="P184" s="1" t="s">
        <v>2958</v>
      </c>
      <c r="Q184" s="1" t="s">
        <v>7188</v>
      </c>
      <c r="R184" s="1" t="s">
        <v>7189</v>
      </c>
    </row>
    <row r="185" spans="1:18" x14ac:dyDescent="0.25">
      <c r="A185" s="1" t="s">
        <v>13</v>
      </c>
      <c r="B185" s="1" t="s">
        <v>7190</v>
      </c>
      <c r="C185" s="1" t="s">
        <v>7191</v>
      </c>
      <c r="D185" s="1" t="s">
        <v>255</v>
      </c>
      <c r="E185" s="1">
        <v>2022</v>
      </c>
      <c r="F185" s="1">
        <v>48</v>
      </c>
      <c r="G185" s="1">
        <v>9</v>
      </c>
      <c r="H185" s="1" t="s">
        <v>7192</v>
      </c>
      <c r="I185" s="4"/>
      <c r="J185" s="4"/>
      <c r="K185" s="4"/>
      <c r="L185" s="6">
        <v>44805</v>
      </c>
      <c r="M185" s="4"/>
      <c r="N185" s="1" t="s">
        <v>6115</v>
      </c>
      <c r="O185" s="3" t="s">
        <v>7193</v>
      </c>
      <c r="P185" s="1" t="s">
        <v>7194</v>
      </c>
      <c r="Q185" s="1" t="s">
        <v>7195</v>
      </c>
      <c r="R185" s="1" t="s">
        <v>7196</v>
      </c>
    </row>
    <row r="186" spans="1:18" x14ac:dyDescent="0.25">
      <c r="A186" s="1" t="s">
        <v>141</v>
      </c>
      <c r="B186" s="1" t="s">
        <v>7197</v>
      </c>
      <c r="C186" s="1" t="s">
        <v>3731</v>
      </c>
      <c r="D186" s="4"/>
      <c r="E186" s="1">
        <v>2021</v>
      </c>
      <c r="F186" s="4"/>
      <c r="G186" s="4"/>
      <c r="H186" s="1" t="s">
        <v>7198</v>
      </c>
      <c r="I186" s="4"/>
      <c r="J186" s="4"/>
      <c r="K186" s="1" t="s">
        <v>7199</v>
      </c>
      <c r="L186" s="2">
        <v>44531</v>
      </c>
      <c r="M186" s="4"/>
      <c r="N186" s="1" t="s">
        <v>3734</v>
      </c>
      <c r="O186" s="3" t="s">
        <v>7200</v>
      </c>
      <c r="P186" s="1" t="s">
        <v>3736</v>
      </c>
      <c r="Q186" s="1" t="s">
        <v>7201</v>
      </c>
      <c r="R186" s="1" t="s">
        <v>7202</v>
      </c>
    </row>
    <row r="187" spans="1:18" x14ac:dyDescent="0.25">
      <c r="A187" s="1" t="s">
        <v>13</v>
      </c>
      <c r="B187" s="1" t="s">
        <v>5131</v>
      </c>
      <c r="C187" s="1" t="s">
        <v>5132</v>
      </c>
      <c r="D187" s="1" t="s">
        <v>255</v>
      </c>
      <c r="E187" s="1">
        <v>2019</v>
      </c>
      <c r="F187" s="1">
        <v>45</v>
      </c>
      <c r="G187" s="1">
        <v>7</v>
      </c>
      <c r="H187" s="1" t="s">
        <v>7203</v>
      </c>
      <c r="I187" s="4"/>
      <c r="J187" s="4"/>
      <c r="K187" s="4"/>
      <c r="L187" s="6">
        <v>43647</v>
      </c>
      <c r="M187" s="4"/>
      <c r="N187" s="1" t="s">
        <v>6115</v>
      </c>
      <c r="O187" s="3" t="s">
        <v>7204</v>
      </c>
      <c r="P187" s="1" t="s">
        <v>5135</v>
      </c>
      <c r="Q187" s="1" t="s">
        <v>7205</v>
      </c>
      <c r="R187" s="1" t="s">
        <v>7206</v>
      </c>
    </row>
    <row r="188" spans="1:18" x14ac:dyDescent="0.25">
      <c r="A188" s="1" t="s">
        <v>141</v>
      </c>
      <c r="B188" s="1" t="s">
        <v>7207</v>
      </c>
      <c r="C188" s="1" t="s">
        <v>7208</v>
      </c>
      <c r="D188" s="4"/>
      <c r="E188" s="1">
        <v>2020</v>
      </c>
      <c r="F188" s="4"/>
      <c r="G188" s="4"/>
      <c r="H188" s="1" t="s">
        <v>7209</v>
      </c>
      <c r="I188" s="4"/>
      <c r="J188" s="4"/>
      <c r="K188" s="1" t="s">
        <v>7210</v>
      </c>
      <c r="L188" s="2">
        <v>44166</v>
      </c>
      <c r="M188" s="4"/>
      <c r="N188" s="4"/>
      <c r="O188" s="3" t="s">
        <v>7211</v>
      </c>
      <c r="P188" s="1" t="s">
        <v>7212</v>
      </c>
      <c r="Q188" s="1" t="s">
        <v>7213</v>
      </c>
      <c r="R188" s="1" t="s">
        <v>7214</v>
      </c>
    </row>
    <row r="189" spans="1:18" x14ac:dyDescent="0.25">
      <c r="A189" s="1" t="s">
        <v>141</v>
      </c>
      <c r="B189" s="1" t="s">
        <v>7215</v>
      </c>
      <c r="C189" s="1" t="s">
        <v>7216</v>
      </c>
      <c r="D189" s="4"/>
      <c r="E189" s="1">
        <v>2016</v>
      </c>
      <c r="F189" s="4"/>
      <c r="G189" s="4"/>
      <c r="H189" s="1" t="s">
        <v>7217</v>
      </c>
      <c r="I189" s="4"/>
      <c r="J189" s="4"/>
      <c r="K189" s="1" t="s">
        <v>7218</v>
      </c>
      <c r="L189" s="6">
        <v>42614</v>
      </c>
      <c r="M189" s="4"/>
      <c r="N189" s="1" t="s">
        <v>7219</v>
      </c>
      <c r="O189" s="3" t="s">
        <v>7220</v>
      </c>
      <c r="P189" s="1" t="s">
        <v>7221</v>
      </c>
      <c r="Q189" s="1" t="s">
        <v>7222</v>
      </c>
      <c r="R189" s="1" t="s">
        <v>7223</v>
      </c>
    </row>
    <row r="190" spans="1:18" x14ac:dyDescent="0.25">
      <c r="A190" s="1" t="s">
        <v>141</v>
      </c>
      <c r="B190" s="1" t="s">
        <v>7224</v>
      </c>
      <c r="C190" s="1" t="s">
        <v>7225</v>
      </c>
      <c r="D190" s="4"/>
      <c r="E190" s="1">
        <v>2020</v>
      </c>
      <c r="F190" s="4"/>
      <c r="G190" s="4"/>
      <c r="H190" s="1" t="s">
        <v>7226</v>
      </c>
      <c r="I190" s="4"/>
      <c r="J190" s="4"/>
      <c r="K190" s="1" t="s">
        <v>7227</v>
      </c>
      <c r="L190" s="2">
        <v>44105</v>
      </c>
      <c r="M190" s="4"/>
      <c r="N190" s="4"/>
      <c r="O190" s="3" t="s">
        <v>7228</v>
      </c>
      <c r="P190" s="1" t="s">
        <v>7229</v>
      </c>
      <c r="Q190" s="1" t="s">
        <v>7230</v>
      </c>
      <c r="R190" s="1" t="s">
        <v>7231</v>
      </c>
    </row>
    <row r="191" spans="1:18" x14ac:dyDescent="0.25">
      <c r="A191" s="1" t="s">
        <v>141</v>
      </c>
      <c r="B191" s="1" t="s">
        <v>7232</v>
      </c>
      <c r="C191" s="1" t="s">
        <v>7233</v>
      </c>
      <c r="D191" s="4"/>
      <c r="E191" s="1">
        <v>2021</v>
      </c>
      <c r="F191" s="4"/>
      <c r="G191" s="4"/>
      <c r="H191" s="1" t="s">
        <v>7234</v>
      </c>
      <c r="I191" s="4"/>
      <c r="J191" s="4"/>
      <c r="K191" s="1" t="s">
        <v>6677</v>
      </c>
      <c r="L191" s="6">
        <v>44317</v>
      </c>
      <c r="M191" s="4"/>
      <c r="N191" s="4"/>
      <c r="O191" s="3" t="s">
        <v>7235</v>
      </c>
      <c r="P191" s="1" t="s">
        <v>7236</v>
      </c>
      <c r="Q191" s="1" t="s">
        <v>7237</v>
      </c>
      <c r="R191" s="1" t="s">
        <v>7238</v>
      </c>
    </row>
    <row r="192" spans="1:18" x14ac:dyDescent="0.25">
      <c r="A192" s="1" t="s">
        <v>141</v>
      </c>
      <c r="B192" s="1" t="s">
        <v>3857</v>
      </c>
      <c r="C192" s="1" t="s">
        <v>7239</v>
      </c>
      <c r="D192" s="4"/>
      <c r="E192" s="1">
        <v>2021</v>
      </c>
      <c r="F192" s="4"/>
      <c r="G192" s="4"/>
      <c r="H192" s="1" t="s">
        <v>7240</v>
      </c>
      <c r="I192" s="4"/>
      <c r="J192" s="4"/>
      <c r="K192" s="1" t="s">
        <v>6329</v>
      </c>
      <c r="L192" s="6">
        <v>44317</v>
      </c>
      <c r="M192" s="4"/>
      <c r="N192" s="1" t="s">
        <v>6152</v>
      </c>
      <c r="O192" s="3" t="s">
        <v>7241</v>
      </c>
      <c r="P192" s="1" t="s">
        <v>3861</v>
      </c>
      <c r="Q192" s="1" t="s">
        <v>7242</v>
      </c>
      <c r="R192" s="1" t="s">
        <v>7243</v>
      </c>
    </row>
    <row r="193" spans="1:18" x14ac:dyDescent="0.25">
      <c r="A193" s="1" t="s">
        <v>141</v>
      </c>
      <c r="B193" s="1" t="s">
        <v>1455</v>
      </c>
      <c r="C193" s="1" t="s">
        <v>1456</v>
      </c>
      <c r="D193" s="4"/>
      <c r="E193" s="1">
        <v>2022</v>
      </c>
      <c r="F193" s="4"/>
      <c r="G193" s="4"/>
      <c r="H193" s="1" t="s">
        <v>7244</v>
      </c>
      <c r="I193" s="4"/>
      <c r="J193" s="4"/>
      <c r="K193" s="1" t="s">
        <v>7245</v>
      </c>
      <c r="L193" s="6">
        <v>44682</v>
      </c>
      <c r="M193" s="4"/>
      <c r="N193" s="1" t="s">
        <v>6336</v>
      </c>
      <c r="O193" s="3" t="s">
        <v>7246</v>
      </c>
      <c r="P193" s="1" t="s">
        <v>1460</v>
      </c>
      <c r="Q193" s="1" t="s">
        <v>7247</v>
      </c>
      <c r="R193" s="1" t="s">
        <v>7248</v>
      </c>
    </row>
    <row r="194" spans="1:18" x14ac:dyDescent="0.25">
      <c r="A194" s="1" t="s">
        <v>13</v>
      </c>
      <c r="B194" s="1" t="s">
        <v>6014</v>
      </c>
      <c r="C194" s="1" t="s">
        <v>7249</v>
      </c>
      <c r="D194" s="1" t="s">
        <v>255</v>
      </c>
      <c r="E194" s="1">
        <v>2018</v>
      </c>
      <c r="F194" s="1">
        <v>44</v>
      </c>
      <c r="G194" s="1">
        <v>10</v>
      </c>
      <c r="H194" s="1" t="s">
        <v>7250</v>
      </c>
      <c r="I194" s="4"/>
      <c r="J194" s="4"/>
      <c r="K194" s="4"/>
      <c r="L194" s="2">
        <v>43374</v>
      </c>
      <c r="M194" s="4"/>
      <c r="N194" s="1" t="s">
        <v>6115</v>
      </c>
      <c r="O194" s="3" t="s">
        <v>7251</v>
      </c>
      <c r="P194" s="1" t="s">
        <v>6018</v>
      </c>
      <c r="Q194" s="1" t="s">
        <v>7252</v>
      </c>
      <c r="R194" s="1" t="s">
        <v>7253</v>
      </c>
    </row>
    <row r="195" spans="1:18" x14ac:dyDescent="0.25">
      <c r="A195" s="1" t="s">
        <v>141</v>
      </c>
      <c r="B195" s="1" t="s">
        <v>3049</v>
      </c>
      <c r="C195" s="1" t="s">
        <v>3050</v>
      </c>
      <c r="D195" s="4"/>
      <c r="E195" s="1">
        <v>2021</v>
      </c>
      <c r="F195" s="4"/>
      <c r="G195" s="4"/>
      <c r="H195" s="1" t="s">
        <v>7254</v>
      </c>
      <c r="I195" s="4"/>
      <c r="J195" s="4"/>
      <c r="K195" s="1" t="s">
        <v>7255</v>
      </c>
      <c r="L195" s="2">
        <v>44501</v>
      </c>
      <c r="M195" s="4"/>
      <c r="N195" s="1" t="s">
        <v>7256</v>
      </c>
      <c r="O195" s="3" t="s">
        <v>7257</v>
      </c>
      <c r="P195" s="1" t="s">
        <v>3053</v>
      </c>
      <c r="Q195" s="1" t="s">
        <v>7258</v>
      </c>
      <c r="R195" s="1" t="s">
        <v>7259</v>
      </c>
    </row>
    <row r="196" spans="1:18" x14ac:dyDescent="0.25">
      <c r="A196" s="1" t="s">
        <v>141</v>
      </c>
      <c r="B196" s="1" t="s">
        <v>7260</v>
      </c>
      <c r="C196" s="1" t="s">
        <v>7261</v>
      </c>
      <c r="D196" s="4"/>
      <c r="E196" s="1">
        <v>2019</v>
      </c>
      <c r="F196" s="4"/>
      <c r="G196" s="4"/>
      <c r="H196" s="9">
        <v>44936</v>
      </c>
      <c r="I196" s="4"/>
      <c r="J196" s="4"/>
      <c r="K196" s="1" t="s">
        <v>6274</v>
      </c>
      <c r="L196" s="6">
        <v>43586</v>
      </c>
      <c r="M196" s="4"/>
      <c r="N196" s="4"/>
      <c r="O196" s="3" t="s">
        <v>7262</v>
      </c>
      <c r="P196" s="1" t="s">
        <v>7263</v>
      </c>
      <c r="Q196" s="1" t="s">
        <v>7264</v>
      </c>
      <c r="R196" s="1" t="s">
        <v>7265</v>
      </c>
    </row>
    <row r="197" spans="1:18" x14ac:dyDescent="0.25">
      <c r="A197" s="1" t="s">
        <v>13</v>
      </c>
      <c r="B197" s="1" t="s">
        <v>7266</v>
      </c>
      <c r="C197" s="1" t="s">
        <v>7267</v>
      </c>
      <c r="D197" s="1" t="s">
        <v>7268</v>
      </c>
      <c r="E197" s="1">
        <v>2022</v>
      </c>
      <c r="F197" s="1">
        <v>5</v>
      </c>
      <c r="G197" s="1">
        <v>1</v>
      </c>
      <c r="H197" s="1" t="s">
        <v>7269</v>
      </c>
      <c r="I197" s="4"/>
      <c r="J197" s="4"/>
      <c r="K197" s="4"/>
      <c r="L197" s="6">
        <v>44621</v>
      </c>
      <c r="M197" s="4"/>
      <c r="N197" s="1" t="s">
        <v>7270</v>
      </c>
      <c r="O197" s="3" t="s">
        <v>7271</v>
      </c>
      <c r="P197" s="1" t="s">
        <v>7272</v>
      </c>
      <c r="Q197" s="1" t="s">
        <v>7273</v>
      </c>
      <c r="R197" s="1" t="s">
        <v>7274</v>
      </c>
    </row>
    <row r="198" spans="1:18" x14ac:dyDescent="0.25">
      <c r="A198" s="1" t="s">
        <v>141</v>
      </c>
      <c r="B198" s="1" t="s">
        <v>7275</v>
      </c>
      <c r="C198" s="1" t="s">
        <v>7276</v>
      </c>
      <c r="D198" s="4"/>
      <c r="E198" s="1">
        <v>2021</v>
      </c>
      <c r="F198" s="4"/>
      <c r="G198" s="4"/>
      <c r="H198" s="1" t="s">
        <v>7277</v>
      </c>
      <c r="I198" s="4"/>
      <c r="J198" s="4"/>
      <c r="K198" s="1" t="s">
        <v>7278</v>
      </c>
      <c r="L198" s="6">
        <v>44256</v>
      </c>
      <c r="M198" s="4"/>
      <c r="N198" s="1" t="s">
        <v>6593</v>
      </c>
      <c r="O198" s="3" t="s">
        <v>7279</v>
      </c>
      <c r="P198" s="1" t="s">
        <v>7280</v>
      </c>
      <c r="Q198" s="1" t="s">
        <v>7281</v>
      </c>
      <c r="R198" s="1" t="s">
        <v>7282</v>
      </c>
    </row>
    <row r="199" spans="1:18" x14ac:dyDescent="0.25">
      <c r="A199" s="1" t="s">
        <v>141</v>
      </c>
      <c r="B199" s="1" t="s">
        <v>2888</v>
      </c>
      <c r="C199" s="1" t="s">
        <v>7283</v>
      </c>
      <c r="D199" s="4"/>
      <c r="E199" s="1">
        <v>2021</v>
      </c>
      <c r="F199" s="4"/>
      <c r="G199" s="4"/>
      <c r="H199" s="1" t="s">
        <v>7284</v>
      </c>
      <c r="I199" s="4"/>
      <c r="J199" s="4"/>
      <c r="K199" s="1" t="s">
        <v>7285</v>
      </c>
      <c r="L199" s="6">
        <v>44256</v>
      </c>
      <c r="M199" s="4"/>
      <c r="N199" s="4"/>
      <c r="O199" s="3" t="s">
        <v>7286</v>
      </c>
      <c r="P199" s="1" t="s">
        <v>2892</v>
      </c>
      <c r="Q199" s="1" t="s">
        <v>7287</v>
      </c>
      <c r="R199" s="1" t="s">
        <v>7288</v>
      </c>
    </row>
    <row r="200" spans="1:18" x14ac:dyDescent="0.25">
      <c r="A200" s="1" t="s">
        <v>141</v>
      </c>
      <c r="B200" s="1" t="s">
        <v>7289</v>
      </c>
      <c r="C200" s="1" t="s">
        <v>7290</v>
      </c>
      <c r="D200" s="4"/>
      <c r="E200" s="1">
        <v>2013</v>
      </c>
      <c r="F200" s="4"/>
      <c r="G200" s="4"/>
      <c r="H200" s="1" t="s">
        <v>7291</v>
      </c>
      <c r="I200" s="4"/>
      <c r="J200" s="4"/>
      <c r="K200" s="1" t="s">
        <v>6745</v>
      </c>
      <c r="L200" s="6">
        <v>41395</v>
      </c>
      <c r="M200" s="4"/>
      <c r="N200" s="1" t="s">
        <v>6336</v>
      </c>
      <c r="O200" s="3" t="s">
        <v>7292</v>
      </c>
      <c r="P200" s="1" t="s">
        <v>7293</v>
      </c>
      <c r="Q200" s="1" t="s">
        <v>7294</v>
      </c>
      <c r="R200" s="1" t="s">
        <v>7295</v>
      </c>
    </row>
    <row r="201" spans="1:18" x14ac:dyDescent="0.25">
      <c r="A201" s="1" t="s">
        <v>141</v>
      </c>
      <c r="B201" s="1" t="s">
        <v>7296</v>
      </c>
      <c r="C201" s="1" t="s">
        <v>1664</v>
      </c>
      <c r="D201" s="4"/>
      <c r="E201" s="1">
        <v>2022</v>
      </c>
      <c r="F201" s="4"/>
      <c r="G201" s="4"/>
      <c r="H201" s="1" t="s">
        <v>7297</v>
      </c>
      <c r="I201" s="4"/>
      <c r="J201" s="4"/>
      <c r="K201" s="1" t="s">
        <v>6269</v>
      </c>
      <c r="L201" s="6">
        <v>44682</v>
      </c>
      <c r="M201" s="4"/>
      <c r="N201" s="4"/>
      <c r="O201" s="3" t="s">
        <v>7298</v>
      </c>
      <c r="P201" s="1" t="s">
        <v>1667</v>
      </c>
      <c r="Q201" s="1" t="s">
        <v>7299</v>
      </c>
      <c r="R201" s="1" t="s">
        <v>7300</v>
      </c>
    </row>
    <row r="202" spans="1:18" x14ac:dyDescent="0.25">
      <c r="A202" s="1" t="s">
        <v>141</v>
      </c>
      <c r="B202" s="1" t="s">
        <v>7301</v>
      </c>
      <c r="C202" s="1" t="s">
        <v>7302</v>
      </c>
      <c r="D202" s="4"/>
      <c r="E202" s="1">
        <v>2018</v>
      </c>
      <c r="F202" s="4"/>
      <c r="G202" s="4"/>
      <c r="H202" s="1" t="s">
        <v>7303</v>
      </c>
      <c r="I202" s="4"/>
      <c r="J202" s="4"/>
      <c r="K202" s="1" t="s">
        <v>7304</v>
      </c>
      <c r="L202" s="6">
        <v>43221</v>
      </c>
      <c r="M202" s="4"/>
      <c r="N202" s="4"/>
      <c r="O202" s="4"/>
      <c r="P202" s="4"/>
      <c r="Q202" s="1" t="s">
        <v>7305</v>
      </c>
      <c r="R202" s="1" t="s">
        <v>7306</v>
      </c>
    </row>
    <row r="203" spans="1:18" x14ac:dyDescent="0.25">
      <c r="A203" s="1" t="s">
        <v>141</v>
      </c>
      <c r="B203" s="1" t="s">
        <v>7307</v>
      </c>
      <c r="C203" s="1" t="s">
        <v>7308</v>
      </c>
      <c r="D203" s="4"/>
      <c r="E203" s="1">
        <v>2016</v>
      </c>
      <c r="F203" s="4"/>
      <c r="G203" s="4"/>
      <c r="H203" s="1" t="s">
        <v>7309</v>
      </c>
      <c r="I203" s="4"/>
      <c r="J203" s="4"/>
      <c r="K203" s="1" t="s">
        <v>7310</v>
      </c>
      <c r="L203" s="6">
        <v>42491</v>
      </c>
      <c r="M203" s="4"/>
      <c r="N203" s="4"/>
      <c r="O203" s="3" t="s">
        <v>7311</v>
      </c>
      <c r="P203" s="1" t="s">
        <v>7312</v>
      </c>
      <c r="Q203" s="1" t="s">
        <v>7313</v>
      </c>
      <c r="R203" s="1" t="s">
        <v>7314</v>
      </c>
    </row>
    <row r="204" spans="1:18" x14ac:dyDescent="0.25">
      <c r="A204" s="1" t="s">
        <v>141</v>
      </c>
      <c r="B204" s="1" t="s">
        <v>7315</v>
      </c>
      <c r="C204" s="1" t="s">
        <v>7316</v>
      </c>
      <c r="D204" s="4"/>
      <c r="E204" s="1">
        <v>2022</v>
      </c>
      <c r="F204" s="4"/>
      <c r="G204" s="4"/>
      <c r="H204" s="1" t="s">
        <v>7317</v>
      </c>
      <c r="I204" s="4"/>
      <c r="J204" s="4"/>
      <c r="K204" s="1" t="s">
        <v>6166</v>
      </c>
      <c r="L204" s="6">
        <v>44774</v>
      </c>
      <c r="M204" s="4"/>
      <c r="N204" s="4"/>
      <c r="O204" s="3" t="s">
        <v>7318</v>
      </c>
      <c r="P204" s="1" t="s">
        <v>7319</v>
      </c>
      <c r="Q204" s="1" t="s">
        <v>7320</v>
      </c>
      <c r="R204" s="1" t="s">
        <v>7321</v>
      </c>
    </row>
    <row r="205" spans="1:18" x14ac:dyDescent="0.25">
      <c r="A205" s="1" t="s">
        <v>141</v>
      </c>
      <c r="B205" s="1" t="s">
        <v>7322</v>
      </c>
      <c r="C205" s="1" t="s">
        <v>7323</v>
      </c>
      <c r="D205" s="4"/>
      <c r="E205" s="1">
        <v>2020</v>
      </c>
      <c r="F205" s="4"/>
      <c r="G205" s="4"/>
      <c r="H205" s="1" t="s">
        <v>7324</v>
      </c>
      <c r="I205" s="4"/>
      <c r="J205" s="4"/>
      <c r="K205" s="1" t="s">
        <v>7325</v>
      </c>
      <c r="L205" s="6">
        <v>44013</v>
      </c>
      <c r="M205" s="4"/>
      <c r="N205" s="1" t="s">
        <v>7326</v>
      </c>
      <c r="O205" s="3" t="s">
        <v>7327</v>
      </c>
      <c r="P205" s="1" t="s">
        <v>7328</v>
      </c>
      <c r="Q205" s="1" t="s">
        <v>7329</v>
      </c>
      <c r="R205" s="1" t="s">
        <v>7330</v>
      </c>
    </row>
    <row r="206" spans="1:18" x14ac:dyDescent="0.25">
      <c r="A206" s="1" t="s">
        <v>141</v>
      </c>
      <c r="B206" s="1" t="s">
        <v>7331</v>
      </c>
      <c r="C206" s="1" t="s">
        <v>3813</v>
      </c>
      <c r="D206" s="4"/>
      <c r="E206" s="1">
        <v>2021</v>
      </c>
      <c r="F206" s="4"/>
      <c r="G206" s="4"/>
      <c r="H206" s="1" t="s">
        <v>7332</v>
      </c>
      <c r="I206" s="4"/>
      <c r="J206" s="4"/>
      <c r="K206" s="1" t="s">
        <v>7186</v>
      </c>
      <c r="L206" s="2">
        <v>44470</v>
      </c>
      <c r="M206" s="4"/>
      <c r="N206" s="4"/>
      <c r="O206" s="3" t="s">
        <v>7333</v>
      </c>
      <c r="P206" s="1" t="s">
        <v>3816</v>
      </c>
      <c r="Q206" s="1" t="s">
        <v>7334</v>
      </c>
      <c r="R206" s="1" t="s">
        <v>7335</v>
      </c>
    </row>
    <row r="207" spans="1:18" x14ac:dyDescent="0.25">
      <c r="A207" s="1" t="s">
        <v>13</v>
      </c>
      <c r="B207" s="1" t="s">
        <v>783</v>
      </c>
      <c r="C207" s="1" t="s">
        <v>7336</v>
      </c>
      <c r="D207" s="1" t="s">
        <v>255</v>
      </c>
      <c r="E207" s="1">
        <v>2022</v>
      </c>
      <c r="F207" s="1">
        <v>48</v>
      </c>
      <c r="G207" s="1">
        <v>7</v>
      </c>
      <c r="H207" s="1" t="s">
        <v>7337</v>
      </c>
      <c r="I207" s="4"/>
      <c r="J207" s="4"/>
      <c r="K207" s="4"/>
      <c r="L207" s="6">
        <v>44743</v>
      </c>
      <c r="M207" s="4"/>
      <c r="N207" s="1" t="s">
        <v>6115</v>
      </c>
      <c r="O207" s="3" t="s">
        <v>7338</v>
      </c>
      <c r="P207" s="1" t="s">
        <v>787</v>
      </c>
      <c r="Q207" s="1" t="s">
        <v>7339</v>
      </c>
      <c r="R207" s="1" t="s">
        <v>7340</v>
      </c>
    </row>
    <row r="208" spans="1:18" x14ac:dyDescent="0.25">
      <c r="A208" s="1" t="s">
        <v>13</v>
      </c>
      <c r="B208" s="1" t="s">
        <v>1272</v>
      </c>
      <c r="C208" s="1" t="s">
        <v>1273</v>
      </c>
      <c r="D208" s="1" t="s">
        <v>255</v>
      </c>
      <c r="E208" s="1">
        <v>2022</v>
      </c>
      <c r="F208" s="1">
        <v>48</v>
      </c>
      <c r="G208" s="1">
        <v>5</v>
      </c>
      <c r="H208" s="1" t="s">
        <v>7341</v>
      </c>
      <c r="I208" s="4"/>
      <c r="J208" s="4"/>
      <c r="K208" s="4"/>
      <c r="L208" s="6">
        <v>44682</v>
      </c>
      <c r="M208" s="4"/>
      <c r="N208" s="1" t="s">
        <v>6115</v>
      </c>
      <c r="O208" s="3" t="s">
        <v>7342</v>
      </c>
      <c r="P208" s="1" t="s">
        <v>1276</v>
      </c>
      <c r="Q208" s="1" t="s">
        <v>7343</v>
      </c>
      <c r="R208" s="1" t="s">
        <v>7344</v>
      </c>
    </row>
    <row r="209" spans="1:18" x14ac:dyDescent="0.25">
      <c r="A209" s="1" t="s">
        <v>141</v>
      </c>
      <c r="B209" s="1" t="s">
        <v>7345</v>
      </c>
      <c r="C209" s="1" t="s">
        <v>7346</v>
      </c>
      <c r="D209" s="4"/>
      <c r="E209" s="1">
        <v>2016</v>
      </c>
      <c r="F209" s="4"/>
      <c r="G209" s="4"/>
      <c r="H209" s="1" t="s">
        <v>7347</v>
      </c>
      <c r="I209" s="4"/>
      <c r="J209" s="4"/>
      <c r="K209" s="1" t="s">
        <v>7348</v>
      </c>
      <c r="L209" s="6">
        <v>42491</v>
      </c>
      <c r="M209" s="4"/>
      <c r="N209" s="4"/>
      <c r="O209" s="4"/>
      <c r="P209" s="4"/>
      <c r="Q209" s="1" t="s">
        <v>7349</v>
      </c>
      <c r="R209" s="1" t="s">
        <v>7350</v>
      </c>
    </row>
    <row r="210" spans="1:18" x14ac:dyDescent="0.25">
      <c r="A210" s="1" t="s">
        <v>141</v>
      </c>
      <c r="B210" s="1" t="s">
        <v>7351</v>
      </c>
      <c r="C210" s="1" t="s">
        <v>7352</v>
      </c>
      <c r="D210" s="4"/>
      <c r="E210" s="1">
        <v>2022</v>
      </c>
      <c r="F210" s="4"/>
      <c r="G210" s="4"/>
      <c r="H210" s="1" t="s">
        <v>7353</v>
      </c>
      <c r="I210" s="4"/>
      <c r="J210" s="4"/>
      <c r="K210" s="1" t="s">
        <v>7354</v>
      </c>
      <c r="L210" s="2">
        <v>44835</v>
      </c>
      <c r="M210" s="4"/>
      <c r="N210" s="4"/>
      <c r="O210" s="3" t="s">
        <v>7355</v>
      </c>
      <c r="P210" s="1" t="s">
        <v>7356</v>
      </c>
      <c r="Q210" s="1" t="s">
        <v>7357</v>
      </c>
      <c r="R210" s="1" t="s">
        <v>7358</v>
      </c>
    </row>
    <row r="211" spans="1:18" x14ac:dyDescent="0.25">
      <c r="A211" s="1" t="s">
        <v>13</v>
      </c>
      <c r="B211" s="1" t="s">
        <v>7359</v>
      </c>
      <c r="C211" s="1" t="s">
        <v>7360</v>
      </c>
      <c r="D211" s="1" t="s">
        <v>668</v>
      </c>
      <c r="E211" s="1">
        <v>2021</v>
      </c>
      <c r="F211" s="1">
        <v>9</v>
      </c>
      <c r="G211" s="4"/>
      <c r="H211" s="1" t="s">
        <v>7361</v>
      </c>
      <c r="I211" s="4"/>
      <c r="J211" s="4"/>
      <c r="K211" s="4"/>
      <c r="L211" s="1">
        <v>2021</v>
      </c>
      <c r="M211" s="4"/>
      <c r="N211" s="1" t="s">
        <v>670</v>
      </c>
      <c r="O211" s="3" t="s">
        <v>7362</v>
      </c>
      <c r="P211" s="1" t="s">
        <v>7363</v>
      </c>
      <c r="Q211" s="1" t="s">
        <v>7364</v>
      </c>
      <c r="R211" s="1" t="s">
        <v>7365</v>
      </c>
    </row>
    <row r="212" spans="1:18" x14ac:dyDescent="0.25">
      <c r="A212" s="1" t="s">
        <v>13</v>
      </c>
      <c r="B212" s="1" t="s">
        <v>7366</v>
      </c>
      <c r="C212" s="1" t="s">
        <v>7367</v>
      </c>
      <c r="D212" s="1" t="s">
        <v>255</v>
      </c>
      <c r="E212" s="1">
        <v>2021</v>
      </c>
      <c r="F212" s="1">
        <v>47</v>
      </c>
      <c r="G212" s="1">
        <v>5</v>
      </c>
      <c r="H212" s="1" t="s">
        <v>7368</v>
      </c>
      <c r="I212" s="4"/>
      <c r="J212" s="4"/>
      <c r="K212" s="4"/>
      <c r="L212" s="6">
        <v>44317</v>
      </c>
      <c r="M212" s="4"/>
      <c r="N212" s="1" t="s">
        <v>6115</v>
      </c>
      <c r="O212" s="3" t="s">
        <v>7369</v>
      </c>
      <c r="P212" s="1" t="s">
        <v>7370</v>
      </c>
      <c r="Q212" s="1" t="s">
        <v>7371</v>
      </c>
      <c r="R212" s="1" t="s">
        <v>7372</v>
      </c>
    </row>
    <row r="213" spans="1:18" x14ac:dyDescent="0.25">
      <c r="A213" s="1" t="s">
        <v>141</v>
      </c>
      <c r="B213" s="1" t="s">
        <v>7373</v>
      </c>
      <c r="C213" s="1" t="s">
        <v>7374</v>
      </c>
      <c r="D213" s="4"/>
      <c r="E213" s="1">
        <v>2022</v>
      </c>
      <c r="F213" s="4"/>
      <c r="G213" s="4"/>
      <c r="H213" s="1" t="s">
        <v>7375</v>
      </c>
      <c r="I213" s="4"/>
      <c r="J213" s="4"/>
      <c r="K213" s="1" t="s">
        <v>6269</v>
      </c>
      <c r="L213" s="6">
        <v>44682</v>
      </c>
      <c r="M213" s="4"/>
      <c r="N213" s="4"/>
      <c r="O213" s="3" t="s">
        <v>7376</v>
      </c>
      <c r="P213" s="1" t="s">
        <v>7377</v>
      </c>
      <c r="Q213" s="1" t="s">
        <v>7378</v>
      </c>
      <c r="R213" s="1" t="s">
        <v>7379</v>
      </c>
    </row>
    <row r="214" spans="1:18" x14ac:dyDescent="0.25">
      <c r="A214" s="1" t="s">
        <v>13</v>
      </c>
      <c r="B214" s="1" t="s">
        <v>6122</v>
      </c>
      <c r="C214" s="1" t="s">
        <v>7380</v>
      </c>
      <c r="D214" s="1" t="s">
        <v>4637</v>
      </c>
      <c r="E214" s="1">
        <v>2016</v>
      </c>
      <c r="F214" s="1">
        <v>33</v>
      </c>
      <c r="G214" s="1">
        <v>6</v>
      </c>
      <c r="H214" s="1" t="s">
        <v>7381</v>
      </c>
      <c r="I214" s="4"/>
      <c r="J214" s="4"/>
      <c r="K214" s="4"/>
      <c r="L214" s="2">
        <v>42675</v>
      </c>
      <c r="M214" s="4"/>
      <c r="N214" s="1" t="s">
        <v>6207</v>
      </c>
      <c r="O214" s="3" t="s">
        <v>7382</v>
      </c>
      <c r="P214" s="1" t="s">
        <v>7383</v>
      </c>
      <c r="Q214" s="1" t="s">
        <v>7384</v>
      </c>
      <c r="R214" s="1" t="s">
        <v>7385</v>
      </c>
    </row>
    <row r="215" spans="1:18" x14ac:dyDescent="0.25">
      <c r="A215" s="1" t="s">
        <v>13</v>
      </c>
      <c r="B215" s="1" t="s">
        <v>2792</v>
      </c>
      <c r="C215" s="1" t="s">
        <v>2793</v>
      </c>
      <c r="D215" s="1" t="s">
        <v>255</v>
      </c>
      <c r="E215" s="1">
        <v>2021</v>
      </c>
      <c r="F215" s="1">
        <v>47</v>
      </c>
      <c r="G215" s="1">
        <v>4</v>
      </c>
      <c r="H215" s="1" t="s">
        <v>7386</v>
      </c>
      <c r="I215" s="4"/>
      <c r="J215" s="4"/>
      <c r="K215" s="4"/>
      <c r="L215" s="6">
        <v>44287</v>
      </c>
      <c r="M215" s="4"/>
      <c r="N215" s="1" t="s">
        <v>6115</v>
      </c>
      <c r="O215" s="3" t="s">
        <v>7387</v>
      </c>
      <c r="P215" s="1" t="s">
        <v>2796</v>
      </c>
      <c r="Q215" s="1" t="s">
        <v>7388</v>
      </c>
      <c r="R215" s="1" t="s">
        <v>7389</v>
      </c>
    </row>
    <row r="216" spans="1:18" x14ac:dyDescent="0.25">
      <c r="A216" s="1" t="s">
        <v>141</v>
      </c>
      <c r="B216" s="1" t="s">
        <v>7390</v>
      </c>
      <c r="C216" s="1" t="s">
        <v>7391</v>
      </c>
      <c r="D216" s="4"/>
      <c r="E216" s="1">
        <v>2019</v>
      </c>
      <c r="F216" s="4"/>
      <c r="G216" s="4"/>
      <c r="H216" s="1" t="s">
        <v>7392</v>
      </c>
      <c r="I216" s="4"/>
      <c r="J216" s="4"/>
      <c r="K216" s="1" t="s">
        <v>7393</v>
      </c>
      <c r="L216" s="6">
        <v>43586</v>
      </c>
      <c r="M216" s="4"/>
      <c r="N216" s="4"/>
      <c r="O216" s="3" t="s">
        <v>7394</v>
      </c>
      <c r="P216" s="1" t="s">
        <v>7395</v>
      </c>
      <c r="Q216" s="1" t="s">
        <v>7396</v>
      </c>
      <c r="R216" s="1" t="s">
        <v>7397</v>
      </c>
    </row>
    <row r="217" spans="1:18" x14ac:dyDescent="0.25">
      <c r="A217" s="1" t="s">
        <v>13</v>
      </c>
      <c r="B217" s="1" t="s">
        <v>741</v>
      </c>
      <c r="C217" s="1" t="s">
        <v>742</v>
      </c>
      <c r="D217" s="1" t="s">
        <v>255</v>
      </c>
      <c r="E217" s="1">
        <v>2022</v>
      </c>
      <c r="F217" s="1">
        <v>48</v>
      </c>
      <c r="G217" s="1">
        <v>3</v>
      </c>
      <c r="H217" s="1" t="s">
        <v>7398</v>
      </c>
      <c r="I217" s="4"/>
      <c r="J217" s="4"/>
      <c r="K217" s="4"/>
      <c r="L217" s="6">
        <v>44621</v>
      </c>
      <c r="M217" s="4"/>
      <c r="N217" s="1" t="s">
        <v>6115</v>
      </c>
      <c r="O217" s="3" t="s">
        <v>7399</v>
      </c>
      <c r="P217" s="1" t="s">
        <v>745</v>
      </c>
      <c r="Q217" s="1" t="s">
        <v>7400</v>
      </c>
      <c r="R217" s="1" t="s">
        <v>7401</v>
      </c>
    </row>
    <row r="218" spans="1:18" x14ac:dyDescent="0.25">
      <c r="A218" s="1" t="s">
        <v>141</v>
      </c>
      <c r="B218" s="1" t="s">
        <v>5667</v>
      </c>
      <c r="C218" s="1" t="s">
        <v>5668</v>
      </c>
      <c r="D218" s="4"/>
      <c r="E218" s="1">
        <v>2018</v>
      </c>
      <c r="F218" s="4"/>
      <c r="G218" s="4"/>
      <c r="H218" s="1" t="s">
        <v>7402</v>
      </c>
      <c r="I218" s="4"/>
      <c r="J218" s="4"/>
      <c r="K218" s="1" t="s">
        <v>7403</v>
      </c>
      <c r="L218" s="6">
        <v>43282</v>
      </c>
      <c r="M218" s="4"/>
      <c r="N218" s="4"/>
      <c r="O218" s="3" t="s">
        <v>7404</v>
      </c>
      <c r="P218" s="1" t="s">
        <v>5671</v>
      </c>
      <c r="Q218" s="1" t="s">
        <v>7405</v>
      </c>
      <c r="R218" s="1" t="s">
        <v>7406</v>
      </c>
    </row>
    <row r="219" spans="1:18" x14ac:dyDescent="0.25">
      <c r="A219" s="1" t="s">
        <v>13</v>
      </c>
      <c r="B219" s="1" t="s">
        <v>2313</v>
      </c>
      <c r="C219" s="1" t="s">
        <v>7407</v>
      </c>
      <c r="D219" s="1" t="s">
        <v>532</v>
      </c>
      <c r="E219" s="1">
        <v>2022</v>
      </c>
      <c r="F219" s="1">
        <v>55</v>
      </c>
      <c r="G219" s="1">
        <v>3</v>
      </c>
      <c r="H219" s="1" t="s">
        <v>7408</v>
      </c>
      <c r="I219" s="4"/>
      <c r="J219" s="4"/>
      <c r="K219" s="4"/>
      <c r="L219" s="6">
        <v>44621</v>
      </c>
      <c r="M219" s="4"/>
      <c r="N219" s="1" t="s">
        <v>7409</v>
      </c>
      <c r="O219" s="3" t="s">
        <v>7410</v>
      </c>
      <c r="P219" s="1" t="s">
        <v>7411</v>
      </c>
      <c r="Q219" s="1" t="s">
        <v>7412</v>
      </c>
      <c r="R219" s="1" t="s">
        <v>7413</v>
      </c>
    </row>
    <row r="220" spans="1:18" x14ac:dyDescent="0.25">
      <c r="A220" s="1" t="s">
        <v>13</v>
      </c>
      <c r="B220" s="1" t="s">
        <v>7414</v>
      </c>
      <c r="C220" s="1" t="s">
        <v>7415</v>
      </c>
      <c r="D220" s="1" t="s">
        <v>255</v>
      </c>
      <c r="E220" s="1">
        <v>2023</v>
      </c>
      <c r="F220" s="4"/>
      <c r="G220" s="4"/>
      <c r="H220" s="9">
        <v>44945</v>
      </c>
      <c r="I220" s="4"/>
      <c r="J220" s="4"/>
      <c r="K220" s="4"/>
      <c r="L220" s="1">
        <v>2023</v>
      </c>
      <c r="M220" s="4"/>
      <c r="N220" s="1" t="s">
        <v>6115</v>
      </c>
      <c r="O220" s="3" t="s">
        <v>7416</v>
      </c>
      <c r="P220" s="1" t="s">
        <v>7417</v>
      </c>
      <c r="Q220" s="1" t="s">
        <v>7418</v>
      </c>
      <c r="R220" s="1" t="s">
        <v>7419</v>
      </c>
    </row>
    <row r="221" spans="1:18" x14ac:dyDescent="0.25">
      <c r="A221" s="1" t="s">
        <v>141</v>
      </c>
      <c r="B221" s="1" t="s">
        <v>7420</v>
      </c>
      <c r="C221" s="1" t="s">
        <v>7421</v>
      </c>
      <c r="D221" s="4"/>
      <c r="E221" s="1">
        <v>2017</v>
      </c>
      <c r="F221" s="4"/>
      <c r="G221" s="4"/>
      <c r="H221" s="9">
        <v>44995</v>
      </c>
      <c r="I221" s="4"/>
      <c r="J221" s="4"/>
      <c r="K221" s="1" t="s">
        <v>7422</v>
      </c>
      <c r="L221" s="6">
        <v>42826</v>
      </c>
      <c r="M221" s="4"/>
      <c r="N221" s="1" t="s">
        <v>7423</v>
      </c>
      <c r="O221" s="3" t="s">
        <v>7424</v>
      </c>
      <c r="P221" s="1" t="s">
        <v>7425</v>
      </c>
      <c r="Q221" s="1" t="s">
        <v>7426</v>
      </c>
      <c r="R221" s="1" t="s">
        <v>7427</v>
      </c>
    </row>
    <row r="222" spans="1:18" x14ac:dyDescent="0.25">
      <c r="A222" s="1" t="s">
        <v>141</v>
      </c>
      <c r="B222" s="1" t="s">
        <v>4531</v>
      </c>
      <c r="C222" s="1" t="s">
        <v>4532</v>
      </c>
      <c r="D222" s="4"/>
      <c r="E222" s="1">
        <v>2019</v>
      </c>
      <c r="F222" s="4"/>
      <c r="G222" s="4"/>
      <c r="H222" s="1" t="s">
        <v>7428</v>
      </c>
      <c r="I222" s="4"/>
      <c r="J222" s="4"/>
      <c r="K222" s="1" t="s">
        <v>7429</v>
      </c>
      <c r="L222" s="6">
        <v>43709</v>
      </c>
      <c r="M222" s="4"/>
      <c r="N222" s="1" t="s">
        <v>6818</v>
      </c>
      <c r="O222" s="3" t="s">
        <v>7430</v>
      </c>
      <c r="P222" s="1" t="s">
        <v>4535</v>
      </c>
      <c r="Q222" s="1" t="s">
        <v>7431</v>
      </c>
      <c r="R222" s="1" t="s">
        <v>7432</v>
      </c>
    </row>
    <row r="223" spans="1:18" x14ac:dyDescent="0.25">
      <c r="A223" s="1" t="s">
        <v>141</v>
      </c>
      <c r="B223" s="1" t="s">
        <v>7433</v>
      </c>
      <c r="C223" s="1" t="s">
        <v>7434</v>
      </c>
      <c r="D223" s="4"/>
      <c r="E223" s="1">
        <v>2021</v>
      </c>
      <c r="F223" s="1">
        <v>2</v>
      </c>
      <c r="G223" s="4"/>
      <c r="H223" s="1" t="s">
        <v>7435</v>
      </c>
      <c r="I223" s="4"/>
      <c r="J223" s="4"/>
      <c r="K223" s="1" t="s">
        <v>7436</v>
      </c>
      <c r="L223" s="6">
        <v>44440</v>
      </c>
      <c r="M223" s="4"/>
      <c r="N223" s="1" t="s">
        <v>7437</v>
      </c>
      <c r="O223" s="3" t="s">
        <v>7438</v>
      </c>
      <c r="P223" s="1" t="s">
        <v>7439</v>
      </c>
      <c r="Q223" s="1" t="s">
        <v>7440</v>
      </c>
      <c r="R223" s="1" t="s">
        <v>7441</v>
      </c>
    </row>
    <row r="224" spans="1:18" x14ac:dyDescent="0.25">
      <c r="A224" s="1" t="s">
        <v>141</v>
      </c>
      <c r="B224" s="1" t="s">
        <v>7442</v>
      </c>
      <c r="C224" s="1" t="s">
        <v>7443</v>
      </c>
      <c r="D224" s="4"/>
      <c r="E224" s="1">
        <v>2016</v>
      </c>
      <c r="F224" s="4"/>
      <c r="G224" s="4"/>
      <c r="H224" s="9">
        <v>44934</v>
      </c>
      <c r="I224" s="4"/>
      <c r="J224" s="4"/>
      <c r="K224" s="1" t="s">
        <v>7444</v>
      </c>
      <c r="L224" s="2">
        <v>42644</v>
      </c>
      <c r="M224" s="4"/>
      <c r="N224" s="4"/>
      <c r="O224" s="3" t="s">
        <v>7445</v>
      </c>
      <c r="P224" s="1" t="s">
        <v>7446</v>
      </c>
      <c r="Q224" s="1" t="s">
        <v>7447</v>
      </c>
      <c r="R224" s="1" t="s">
        <v>7448</v>
      </c>
    </row>
    <row r="225" spans="1:18" x14ac:dyDescent="0.25">
      <c r="A225" s="1" t="s">
        <v>141</v>
      </c>
      <c r="B225" s="1" t="s">
        <v>7449</v>
      </c>
      <c r="C225" s="1" t="s">
        <v>7450</v>
      </c>
      <c r="D225" s="4"/>
      <c r="E225" s="1">
        <v>2017</v>
      </c>
      <c r="F225" s="4"/>
      <c r="G225" s="4"/>
      <c r="H225" s="1" t="s">
        <v>7451</v>
      </c>
      <c r="I225" s="4"/>
      <c r="J225" s="4"/>
      <c r="K225" s="1" t="s">
        <v>7452</v>
      </c>
      <c r="L225" s="6">
        <v>42826</v>
      </c>
      <c r="M225" s="4"/>
      <c r="N225" s="4"/>
      <c r="O225" s="3" t="s">
        <v>7453</v>
      </c>
      <c r="P225" s="1" t="s">
        <v>7454</v>
      </c>
      <c r="Q225" s="1" t="s">
        <v>7455</v>
      </c>
      <c r="R225" s="1" t="s">
        <v>7456</v>
      </c>
    </row>
    <row r="226" spans="1:18" x14ac:dyDescent="0.25">
      <c r="A226" s="1" t="s">
        <v>13</v>
      </c>
      <c r="B226" s="1" t="s">
        <v>1371</v>
      </c>
      <c r="C226" s="1" t="s">
        <v>1372</v>
      </c>
      <c r="D226" s="1" t="s">
        <v>1373</v>
      </c>
      <c r="E226" s="1">
        <v>2022</v>
      </c>
      <c r="F226" s="1">
        <v>8</v>
      </c>
      <c r="G226" s="1">
        <v>1</v>
      </c>
      <c r="H226" s="1" t="s">
        <v>7457</v>
      </c>
      <c r="I226" s="4"/>
      <c r="J226" s="4"/>
      <c r="K226" s="4"/>
      <c r="L226" s="6">
        <v>44593</v>
      </c>
      <c r="M226" s="4"/>
      <c r="N226" s="1" t="s">
        <v>1375</v>
      </c>
      <c r="O226" s="3" t="s">
        <v>7458</v>
      </c>
      <c r="P226" s="1" t="s">
        <v>1377</v>
      </c>
      <c r="Q226" s="1" t="s">
        <v>7459</v>
      </c>
      <c r="R226" s="1" t="s">
        <v>7460</v>
      </c>
    </row>
    <row r="227" spans="1:18" x14ac:dyDescent="0.25">
      <c r="A227" s="1" t="s">
        <v>141</v>
      </c>
      <c r="B227" s="1" t="s">
        <v>7461</v>
      </c>
      <c r="C227" s="1" t="s">
        <v>7462</v>
      </c>
      <c r="D227" s="4"/>
      <c r="E227" s="1">
        <v>2020</v>
      </c>
      <c r="F227" s="4"/>
      <c r="G227" s="4"/>
      <c r="H227" s="1" t="s">
        <v>7463</v>
      </c>
      <c r="I227" s="4"/>
      <c r="J227" s="4"/>
      <c r="K227" s="1" t="s">
        <v>7464</v>
      </c>
      <c r="L227" s="2">
        <v>44105</v>
      </c>
      <c r="M227" s="4"/>
      <c r="N227" s="4"/>
      <c r="O227" s="3" t="s">
        <v>7465</v>
      </c>
      <c r="P227" s="1" t="s">
        <v>7466</v>
      </c>
      <c r="Q227" s="1" t="s">
        <v>7467</v>
      </c>
      <c r="R227" s="1" t="s">
        <v>7468</v>
      </c>
    </row>
    <row r="228" spans="1:18" x14ac:dyDescent="0.25">
      <c r="A228" s="1" t="s">
        <v>141</v>
      </c>
      <c r="B228" s="1" t="s">
        <v>7469</v>
      </c>
      <c r="C228" s="1" t="s">
        <v>7470</v>
      </c>
      <c r="D228" s="4"/>
      <c r="E228" s="1">
        <v>2019</v>
      </c>
      <c r="F228" s="4"/>
      <c r="G228" s="4"/>
      <c r="H228" s="1" t="s">
        <v>7471</v>
      </c>
      <c r="I228" s="4"/>
      <c r="J228" s="4"/>
      <c r="K228" s="1" t="s">
        <v>7472</v>
      </c>
      <c r="L228" s="6">
        <v>43586</v>
      </c>
      <c r="M228" s="4"/>
      <c r="N228" s="4"/>
      <c r="O228" s="3" t="s">
        <v>7473</v>
      </c>
      <c r="P228" s="1" t="s">
        <v>4558</v>
      </c>
      <c r="Q228" s="1" t="s">
        <v>7474</v>
      </c>
      <c r="R228" s="1" t="s">
        <v>7475</v>
      </c>
    </row>
    <row r="229" spans="1:18" x14ac:dyDescent="0.25">
      <c r="A229" s="1" t="s">
        <v>141</v>
      </c>
      <c r="B229" s="1" t="s">
        <v>7476</v>
      </c>
      <c r="C229" s="1" t="s">
        <v>7477</v>
      </c>
      <c r="D229" s="4"/>
      <c r="E229" s="1">
        <v>2022</v>
      </c>
      <c r="F229" s="4"/>
      <c r="G229" s="4"/>
      <c r="H229" s="9">
        <v>44933</v>
      </c>
      <c r="I229" s="4"/>
      <c r="J229" s="4"/>
      <c r="K229" s="1" t="s">
        <v>7478</v>
      </c>
      <c r="L229" s="6">
        <v>44621</v>
      </c>
      <c r="M229" s="4"/>
      <c r="N229" s="1" t="s">
        <v>2902</v>
      </c>
      <c r="O229" s="3" t="s">
        <v>7479</v>
      </c>
      <c r="P229" s="1" t="s">
        <v>7480</v>
      </c>
      <c r="Q229" s="1" t="s">
        <v>7481</v>
      </c>
      <c r="R229" s="1" t="s">
        <v>7482</v>
      </c>
    </row>
    <row r="230" spans="1:18" x14ac:dyDescent="0.25">
      <c r="A230" s="1" t="s">
        <v>13</v>
      </c>
      <c r="B230" s="1" t="s">
        <v>7483</v>
      </c>
      <c r="C230" s="1" t="s">
        <v>7484</v>
      </c>
      <c r="D230" s="1" t="s">
        <v>668</v>
      </c>
      <c r="E230" s="1">
        <v>2020</v>
      </c>
      <c r="F230" s="1">
        <v>8</v>
      </c>
      <c r="G230" s="4"/>
      <c r="H230" s="1" t="s">
        <v>7485</v>
      </c>
      <c r="I230" s="4"/>
      <c r="J230" s="4"/>
      <c r="K230" s="4"/>
      <c r="L230" s="1">
        <v>2020</v>
      </c>
      <c r="M230" s="4"/>
      <c r="N230" s="1" t="s">
        <v>670</v>
      </c>
      <c r="O230" s="3" t="s">
        <v>7486</v>
      </c>
      <c r="P230" s="1" t="s">
        <v>7487</v>
      </c>
      <c r="Q230" s="1" t="s">
        <v>7488</v>
      </c>
      <c r="R230" s="1" t="s">
        <v>7489</v>
      </c>
    </row>
    <row r="231" spans="1:18" x14ac:dyDescent="0.25">
      <c r="A231" s="1" t="s">
        <v>141</v>
      </c>
      <c r="B231" s="1" t="s">
        <v>7490</v>
      </c>
      <c r="C231" s="1" t="s">
        <v>7491</v>
      </c>
      <c r="D231" s="4"/>
      <c r="E231" s="1">
        <v>2022</v>
      </c>
      <c r="F231" s="4"/>
      <c r="G231" s="4"/>
      <c r="H231" s="1" t="s">
        <v>7492</v>
      </c>
      <c r="I231" s="4"/>
      <c r="J231" s="4"/>
      <c r="K231" s="1" t="s">
        <v>7493</v>
      </c>
      <c r="L231" s="2">
        <v>44835</v>
      </c>
      <c r="M231" s="4"/>
      <c r="N231" s="4"/>
      <c r="O231" s="3" t="s">
        <v>7494</v>
      </c>
      <c r="P231" s="1" t="s">
        <v>7495</v>
      </c>
      <c r="Q231" s="1" t="s">
        <v>7496</v>
      </c>
      <c r="R231" s="1" t="s">
        <v>7497</v>
      </c>
    </row>
    <row r="232" spans="1:18" x14ac:dyDescent="0.25">
      <c r="A232" s="1" t="s">
        <v>141</v>
      </c>
      <c r="B232" s="1" t="s">
        <v>5737</v>
      </c>
      <c r="C232" s="1" t="s">
        <v>7498</v>
      </c>
      <c r="D232" s="4"/>
      <c r="E232" s="1">
        <v>2018</v>
      </c>
      <c r="F232" s="4"/>
      <c r="G232" s="4"/>
      <c r="H232" s="1" t="s">
        <v>7499</v>
      </c>
      <c r="I232" s="4"/>
      <c r="J232" s="4"/>
      <c r="K232" s="1" t="s">
        <v>6151</v>
      </c>
      <c r="L232" s="6">
        <v>43221</v>
      </c>
      <c r="M232" s="4"/>
      <c r="N232" s="1" t="s">
        <v>6152</v>
      </c>
      <c r="O232" s="4"/>
      <c r="P232" s="4"/>
      <c r="Q232" s="1" t="s">
        <v>7500</v>
      </c>
      <c r="R232" s="1" t="s">
        <v>7501</v>
      </c>
    </row>
    <row r="233" spans="1:18" x14ac:dyDescent="0.25">
      <c r="A233" s="1" t="s">
        <v>141</v>
      </c>
      <c r="B233" s="1" t="s">
        <v>6219</v>
      </c>
      <c r="C233" s="1" t="s">
        <v>7502</v>
      </c>
      <c r="D233" s="4"/>
      <c r="E233" s="1">
        <v>2017</v>
      </c>
      <c r="F233" s="4"/>
      <c r="G233" s="4"/>
      <c r="H233" s="9">
        <v>44934</v>
      </c>
      <c r="I233" s="4"/>
      <c r="J233" s="4"/>
      <c r="K233" s="1" t="s">
        <v>7503</v>
      </c>
      <c r="L233" s="6">
        <v>42979</v>
      </c>
      <c r="M233" s="4"/>
      <c r="N233" s="4"/>
      <c r="O233" s="3" t="s">
        <v>7504</v>
      </c>
      <c r="P233" s="1" t="s">
        <v>7505</v>
      </c>
      <c r="Q233" s="1" t="s">
        <v>7506</v>
      </c>
      <c r="R233" s="1" t="s">
        <v>7507</v>
      </c>
    </row>
    <row r="234" spans="1:18" x14ac:dyDescent="0.25">
      <c r="A234" s="1" t="s">
        <v>141</v>
      </c>
      <c r="B234" s="1" t="s">
        <v>7508</v>
      </c>
      <c r="C234" s="1" t="s">
        <v>7509</v>
      </c>
      <c r="D234" s="4"/>
      <c r="E234" s="1">
        <v>2021</v>
      </c>
      <c r="F234" s="4"/>
      <c r="G234" s="4"/>
      <c r="H234" s="1" t="s">
        <v>7510</v>
      </c>
      <c r="I234" s="4"/>
      <c r="J234" s="4"/>
      <c r="K234" s="1" t="s">
        <v>6179</v>
      </c>
      <c r="L234" s="6">
        <v>44440</v>
      </c>
      <c r="M234" s="4"/>
      <c r="N234" s="4"/>
      <c r="O234" s="3" t="s">
        <v>7511</v>
      </c>
      <c r="P234" s="1" t="s">
        <v>7512</v>
      </c>
      <c r="Q234" s="1" t="s">
        <v>7513</v>
      </c>
      <c r="R234" s="1" t="s">
        <v>7514</v>
      </c>
    </row>
    <row r="235" spans="1:18" x14ac:dyDescent="0.25">
      <c r="A235" s="1" t="s">
        <v>13</v>
      </c>
      <c r="B235" s="1" t="s">
        <v>7515</v>
      </c>
      <c r="C235" s="1" t="s">
        <v>7516</v>
      </c>
      <c r="D235" s="1" t="s">
        <v>255</v>
      </c>
      <c r="E235" s="1">
        <v>2022</v>
      </c>
      <c r="F235" s="4"/>
      <c r="G235" s="4"/>
      <c r="H235" s="9">
        <v>44946</v>
      </c>
      <c r="I235" s="4"/>
      <c r="J235" s="4"/>
      <c r="K235" s="4"/>
      <c r="L235" s="1">
        <v>2022</v>
      </c>
      <c r="M235" s="4"/>
      <c r="N235" s="1" t="s">
        <v>6115</v>
      </c>
      <c r="O235" s="3" t="s">
        <v>7517</v>
      </c>
      <c r="P235" s="1" t="s">
        <v>7518</v>
      </c>
      <c r="Q235" s="1" t="s">
        <v>7519</v>
      </c>
      <c r="R235" s="1" t="s">
        <v>7520</v>
      </c>
    </row>
    <row r="236" spans="1:18" x14ac:dyDescent="0.25">
      <c r="A236" s="1" t="s">
        <v>141</v>
      </c>
      <c r="B236" s="1" t="s">
        <v>7521</v>
      </c>
      <c r="C236" s="1" t="s">
        <v>7522</v>
      </c>
      <c r="D236" s="4"/>
      <c r="E236" s="1">
        <v>2021</v>
      </c>
      <c r="F236" s="4"/>
      <c r="G236" s="4"/>
      <c r="H236" s="1" t="s">
        <v>7523</v>
      </c>
      <c r="I236" s="4"/>
      <c r="J236" s="4"/>
      <c r="K236" s="1" t="s">
        <v>6335</v>
      </c>
      <c r="L236" s="6">
        <v>44317</v>
      </c>
      <c r="M236" s="4"/>
      <c r="N236" s="1" t="s">
        <v>6336</v>
      </c>
      <c r="O236" s="3" t="s">
        <v>7524</v>
      </c>
      <c r="P236" s="1" t="s">
        <v>7525</v>
      </c>
      <c r="Q236" s="1" t="s">
        <v>7526</v>
      </c>
      <c r="R236" s="1" t="s">
        <v>7527</v>
      </c>
    </row>
    <row r="237" spans="1:18" x14ac:dyDescent="0.25">
      <c r="A237" s="1" t="s">
        <v>13</v>
      </c>
      <c r="B237" s="1" t="s">
        <v>7528</v>
      </c>
      <c r="C237" s="1" t="s">
        <v>7529</v>
      </c>
      <c r="D237" s="1" t="s">
        <v>255</v>
      </c>
      <c r="E237" s="1">
        <v>2021</v>
      </c>
      <c r="F237" s="1">
        <v>47</v>
      </c>
      <c r="G237" s="1">
        <v>7</v>
      </c>
      <c r="H237" s="1" t="s">
        <v>7530</v>
      </c>
      <c r="I237" s="4"/>
      <c r="J237" s="4"/>
      <c r="K237" s="4"/>
      <c r="L237" s="6">
        <v>44378</v>
      </c>
      <c r="M237" s="4"/>
      <c r="N237" s="1" t="s">
        <v>6115</v>
      </c>
      <c r="O237" s="3" t="s">
        <v>7531</v>
      </c>
      <c r="P237" s="1" t="s">
        <v>7532</v>
      </c>
      <c r="Q237" s="1" t="s">
        <v>7533</v>
      </c>
      <c r="R237" s="1" t="s">
        <v>7534</v>
      </c>
    </row>
    <row r="238" spans="1:18" x14ac:dyDescent="0.25">
      <c r="A238" s="1" t="s">
        <v>13</v>
      </c>
      <c r="B238" s="1" t="s">
        <v>7535</v>
      </c>
      <c r="C238" s="1" t="s">
        <v>7536</v>
      </c>
      <c r="D238" s="1" t="s">
        <v>255</v>
      </c>
      <c r="E238" s="1">
        <v>2022</v>
      </c>
      <c r="F238" s="1">
        <v>48</v>
      </c>
      <c r="G238" s="1">
        <v>10</v>
      </c>
      <c r="H238" s="1" t="s">
        <v>7537</v>
      </c>
      <c r="I238" s="4"/>
      <c r="J238" s="4"/>
      <c r="K238" s="4"/>
      <c r="L238" s="2">
        <v>44835</v>
      </c>
      <c r="M238" s="4"/>
      <c r="N238" s="1" t="s">
        <v>6115</v>
      </c>
      <c r="O238" s="3" t="s">
        <v>7538</v>
      </c>
      <c r="P238" s="1" t="s">
        <v>7539</v>
      </c>
      <c r="Q238" s="1" t="s">
        <v>7540</v>
      </c>
      <c r="R238" s="1" t="s">
        <v>7541</v>
      </c>
    </row>
    <row r="239" spans="1:18" x14ac:dyDescent="0.25">
      <c r="A239" s="1" t="s">
        <v>141</v>
      </c>
      <c r="B239" s="1" t="s">
        <v>4481</v>
      </c>
      <c r="C239" s="1" t="s">
        <v>4482</v>
      </c>
      <c r="D239" s="4"/>
      <c r="E239" s="1">
        <v>2019</v>
      </c>
      <c r="F239" s="4"/>
      <c r="G239" s="4"/>
      <c r="H239" s="1" t="s">
        <v>7542</v>
      </c>
      <c r="I239" s="4"/>
      <c r="J239" s="4"/>
      <c r="K239" s="1" t="s">
        <v>6960</v>
      </c>
      <c r="L239" s="6">
        <v>43525</v>
      </c>
      <c r="M239" s="4"/>
      <c r="N239" s="4"/>
      <c r="O239" s="3" t="s">
        <v>7543</v>
      </c>
      <c r="P239" s="1" t="s">
        <v>4485</v>
      </c>
      <c r="Q239" s="1" t="s">
        <v>7544</v>
      </c>
      <c r="R239" s="1" t="s">
        <v>7545</v>
      </c>
    </row>
    <row r="240" spans="1:18" x14ac:dyDescent="0.25">
      <c r="A240" s="1" t="s">
        <v>141</v>
      </c>
      <c r="B240" s="1" t="s">
        <v>7546</v>
      </c>
      <c r="C240" s="1" t="s">
        <v>7547</v>
      </c>
      <c r="D240" s="4"/>
      <c r="E240" s="1">
        <v>2017</v>
      </c>
      <c r="F240" s="4"/>
      <c r="G240" s="4"/>
      <c r="H240" s="1" t="s">
        <v>7548</v>
      </c>
      <c r="I240" s="4"/>
      <c r="J240" s="4"/>
      <c r="K240" s="1" t="s">
        <v>7549</v>
      </c>
      <c r="L240" s="2">
        <v>43040</v>
      </c>
      <c r="M240" s="4"/>
      <c r="N240" s="1" t="s">
        <v>7550</v>
      </c>
      <c r="O240" s="3" t="s">
        <v>7551</v>
      </c>
      <c r="P240" s="1" t="s">
        <v>7552</v>
      </c>
      <c r="Q240" s="1" t="s">
        <v>7553</v>
      </c>
      <c r="R240" s="1" t="s">
        <v>7554</v>
      </c>
    </row>
    <row r="241" spans="1:18" x14ac:dyDescent="0.25">
      <c r="A241" s="1" t="s">
        <v>141</v>
      </c>
      <c r="B241" s="1" t="s">
        <v>7555</v>
      </c>
      <c r="C241" s="1" t="s">
        <v>7556</v>
      </c>
      <c r="D241" s="4"/>
      <c r="E241" s="1">
        <v>2022</v>
      </c>
      <c r="F241" s="4"/>
      <c r="G241" s="4"/>
      <c r="H241" s="1" t="s">
        <v>7557</v>
      </c>
      <c r="I241" s="4"/>
      <c r="J241" s="4"/>
      <c r="K241" s="1" t="s">
        <v>7558</v>
      </c>
      <c r="L241" s="2">
        <v>44835</v>
      </c>
      <c r="M241" s="4"/>
      <c r="N241" s="1" t="s">
        <v>6449</v>
      </c>
      <c r="O241" s="3" t="s">
        <v>7559</v>
      </c>
      <c r="P241" s="1" t="s">
        <v>7560</v>
      </c>
      <c r="Q241" s="1" t="s">
        <v>7561</v>
      </c>
      <c r="R241" s="1" t="s">
        <v>7562</v>
      </c>
    </row>
    <row r="242" spans="1:18" x14ac:dyDescent="0.25">
      <c r="A242" s="1" t="s">
        <v>13</v>
      </c>
      <c r="B242" s="1" t="s">
        <v>7563</v>
      </c>
      <c r="C242" s="1" t="s">
        <v>7564</v>
      </c>
      <c r="D242" s="1" t="s">
        <v>4637</v>
      </c>
      <c r="E242" s="1">
        <v>2021</v>
      </c>
      <c r="F242" s="1">
        <v>38</v>
      </c>
      <c r="G242" s="1">
        <v>4</v>
      </c>
      <c r="H242" s="9">
        <v>45122</v>
      </c>
      <c r="I242" s="4"/>
      <c r="J242" s="4"/>
      <c r="K242" s="4"/>
      <c r="L242" s="6">
        <v>44378</v>
      </c>
      <c r="M242" s="4"/>
      <c r="N242" s="1" t="s">
        <v>6207</v>
      </c>
      <c r="O242" s="3" t="s">
        <v>7565</v>
      </c>
      <c r="P242" s="1" t="s">
        <v>7566</v>
      </c>
      <c r="Q242" s="1" t="s">
        <v>7567</v>
      </c>
      <c r="R242" s="1" t="s">
        <v>7568</v>
      </c>
    </row>
    <row r="243" spans="1:18" x14ac:dyDescent="0.25">
      <c r="A243" s="1" t="s">
        <v>13</v>
      </c>
      <c r="B243" s="1" t="s">
        <v>7569</v>
      </c>
      <c r="C243" s="1" t="s">
        <v>7570</v>
      </c>
      <c r="D243" s="1" t="s">
        <v>255</v>
      </c>
      <c r="E243" s="1">
        <v>2021</v>
      </c>
      <c r="F243" s="1">
        <v>47</v>
      </c>
      <c r="G243" s="1">
        <v>5</v>
      </c>
      <c r="H243" s="1" t="s">
        <v>7571</v>
      </c>
      <c r="I243" s="4"/>
      <c r="J243" s="4"/>
      <c r="K243" s="4"/>
      <c r="L243" s="6">
        <v>44317</v>
      </c>
      <c r="M243" s="4"/>
      <c r="N243" s="1" t="s">
        <v>6115</v>
      </c>
      <c r="O243" s="3" t="s">
        <v>7572</v>
      </c>
      <c r="P243" s="1" t="s">
        <v>7573</v>
      </c>
      <c r="Q243" s="1" t="s">
        <v>7574</v>
      </c>
      <c r="R243" s="1" t="s">
        <v>7575</v>
      </c>
    </row>
    <row r="244" spans="1:18" x14ac:dyDescent="0.25">
      <c r="A244" s="1" t="s">
        <v>141</v>
      </c>
      <c r="B244" s="1" t="s">
        <v>7576</v>
      </c>
      <c r="C244" s="1" t="s">
        <v>7577</v>
      </c>
      <c r="D244" s="4"/>
      <c r="E244" s="1">
        <v>2022</v>
      </c>
      <c r="F244" s="4"/>
      <c r="G244" s="4"/>
      <c r="H244" s="9">
        <v>44935</v>
      </c>
      <c r="I244" s="4"/>
      <c r="J244" s="4"/>
      <c r="K244" s="1" t="s">
        <v>6269</v>
      </c>
      <c r="L244" s="6">
        <v>44682</v>
      </c>
      <c r="M244" s="4"/>
      <c r="N244" s="4"/>
      <c r="O244" s="3" t="s">
        <v>7578</v>
      </c>
      <c r="P244" s="1" t="s">
        <v>7579</v>
      </c>
      <c r="Q244" s="1" t="s">
        <v>7580</v>
      </c>
      <c r="R244" s="1" t="s">
        <v>7581</v>
      </c>
    </row>
    <row r="245" spans="1:18" x14ac:dyDescent="0.25">
      <c r="A245" s="1" t="s">
        <v>141</v>
      </c>
      <c r="B245" s="1" t="s">
        <v>5829</v>
      </c>
      <c r="C245" s="1" t="s">
        <v>5830</v>
      </c>
      <c r="D245" s="4"/>
      <c r="E245" s="1">
        <v>2017</v>
      </c>
      <c r="F245" s="4"/>
      <c r="G245" s="4"/>
      <c r="H245" s="1" t="s">
        <v>7582</v>
      </c>
      <c r="I245" s="4"/>
      <c r="J245" s="4"/>
      <c r="K245" s="1" t="s">
        <v>7154</v>
      </c>
      <c r="L245" s="2">
        <v>43040</v>
      </c>
      <c r="M245" s="4"/>
      <c r="N245" s="4"/>
      <c r="O245" s="3" t="s">
        <v>7583</v>
      </c>
      <c r="P245" s="1" t="s">
        <v>5833</v>
      </c>
      <c r="Q245" s="1" t="s">
        <v>7584</v>
      </c>
      <c r="R245" s="1" t="s">
        <v>7585</v>
      </c>
    </row>
    <row r="246" spans="1:18" x14ac:dyDescent="0.25">
      <c r="A246" s="1" t="s">
        <v>141</v>
      </c>
      <c r="B246" s="1" t="s">
        <v>7586</v>
      </c>
      <c r="C246" s="1" t="s">
        <v>7587</v>
      </c>
      <c r="D246" s="4"/>
      <c r="E246" s="1">
        <v>2022</v>
      </c>
      <c r="F246" s="4"/>
      <c r="G246" s="4"/>
      <c r="H246" s="1" t="s">
        <v>7588</v>
      </c>
      <c r="I246" s="4"/>
      <c r="J246" s="4"/>
      <c r="K246" s="1" t="s">
        <v>7589</v>
      </c>
      <c r="L246" s="2">
        <v>44835</v>
      </c>
      <c r="M246" s="4"/>
      <c r="N246" s="1" t="s">
        <v>7590</v>
      </c>
      <c r="O246" s="3" t="s">
        <v>7591</v>
      </c>
      <c r="P246" s="1" t="s">
        <v>7592</v>
      </c>
      <c r="Q246" s="1" t="s">
        <v>7593</v>
      </c>
      <c r="R246" s="1" t="s">
        <v>7594</v>
      </c>
    </row>
    <row r="247" spans="1:18" x14ac:dyDescent="0.25">
      <c r="A247" s="1" t="s">
        <v>13</v>
      </c>
      <c r="B247" s="1" t="s">
        <v>7595</v>
      </c>
      <c r="C247" s="1" t="s">
        <v>7596</v>
      </c>
      <c r="D247" s="1" t="s">
        <v>255</v>
      </c>
      <c r="E247" s="1">
        <v>2022</v>
      </c>
      <c r="F247" s="4"/>
      <c r="G247" s="4"/>
      <c r="H247" s="9">
        <v>44950</v>
      </c>
      <c r="I247" s="4"/>
      <c r="J247" s="4"/>
      <c r="K247" s="4"/>
      <c r="L247" s="1">
        <v>2022</v>
      </c>
      <c r="M247" s="4"/>
      <c r="N247" s="1" t="s">
        <v>6115</v>
      </c>
      <c r="O247" s="3" t="s">
        <v>7597</v>
      </c>
      <c r="P247" s="1" t="s">
        <v>7598</v>
      </c>
      <c r="Q247" s="1" t="s">
        <v>7599</v>
      </c>
      <c r="R247" s="1" t="s">
        <v>7600</v>
      </c>
    </row>
    <row r="248" spans="1:18" x14ac:dyDescent="0.25">
      <c r="A248" s="1" t="s">
        <v>141</v>
      </c>
      <c r="B248" s="1" t="s">
        <v>7601</v>
      </c>
      <c r="C248" s="1" t="s">
        <v>7602</v>
      </c>
      <c r="D248" s="4"/>
      <c r="E248" s="1">
        <v>2021</v>
      </c>
      <c r="F248" s="4"/>
      <c r="G248" s="4"/>
      <c r="H248" s="1" t="s">
        <v>7603</v>
      </c>
      <c r="I248" s="4"/>
      <c r="J248" s="4"/>
      <c r="K248" s="1" t="s">
        <v>6335</v>
      </c>
      <c r="L248" s="6">
        <v>44317</v>
      </c>
      <c r="M248" s="4"/>
      <c r="N248" s="1" t="s">
        <v>6336</v>
      </c>
      <c r="O248" s="3" t="s">
        <v>7604</v>
      </c>
      <c r="P248" s="1" t="s">
        <v>7605</v>
      </c>
      <c r="Q248" s="1" t="s">
        <v>7606</v>
      </c>
      <c r="R248" s="1" t="s">
        <v>7607</v>
      </c>
    </row>
    <row r="249" spans="1:18" x14ac:dyDescent="0.25">
      <c r="A249" s="1" t="s">
        <v>141</v>
      </c>
      <c r="B249" s="1" t="s">
        <v>7608</v>
      </c>
      <c r="C249" s="1" t="s">
        <v>7609</v>
      </c>
      <c r="D249" s="4"/>
      <c r="E249" s="1">
        <v>2021</v>
      </c>
      <c r="F249" s="4"/>
      <c r="G249" s="4"/>
      <c r="H249" s="1" t="s">
        <v>7610</v>
      </c>
      <c r="I249" s="4"/>
      <c r="J249" s="4"/>
      <c r="K249" s="1" t="s">
        <v>7611</v>
      </c>
      <c r="L249" s="6">
        <v>44440</v>
      </c>
      <c r="M249" s="4"/>
      <c r="N249" s="1" t="s">
        <v>7612</v>
      </c>
      <c r="O249" s="3" t="s">
        <v>7613</v>
      </c>
      <c r="P249" s="1" t="s">
        <v>7614</v>
      </c>
      <c r="Q249" s="1" t="s">
        <v>7615</v>
      </c>
      <c r="R249" s="1" t="s">
        <v>7616</v>
      </c>
    </row>
    <row r="250" spans="1:18" x14ac:dyDescent="0.25">
      <c r="A250" s="1" t="s">
        <v>13</v>
      </c>
      <c r="B250" s="1" t="s">
        <v>7617</v>
      </c>
      <c r="C250" s="1" t="s">
        <v>7618</v>
      </c>
      <c r="D250" s="1" t="s">
        <v>4637</v>
      </c>
      <c r="E250" s="1">
        <v>2017</v>
      </c>
      <c r="F250" s="1">
        <v>34</v>
      </c>
      <c r="G250" s="1">
        <v>2</v>
      </c>
      <c r="H250" s="1" t="s">
        <v>7619</v>
      </c>
      <c r="I250" s="4"/>
      <c r="J250" s="4"/>
      <c r="K250" s="4"/>
      <c r="L250" s="6">
        <v>42795</v>
      </c>
      <c r="M250" s="4"/>
      <c r="N250" s="1" t="s">
        <v>6207</v>
      </c>
      <c r="O250" s="3" t="s">
        <v>7620</v>
      </c>
      <c r="P250" s="1" t="s">
        <v>7621</v>
      </c>
      <c r="Q250" s="1" t="s">
        <v>7622</v>
      </c>
      <c r="R250" s="1" t="s">
        <v>7623</v>
      </c>
    </row>
    <row r="251" spans="1:18" x14ac:dyDescent="0.25">
      <c r="A251" s="1" t="s">
        <v>141</v>
      </c>
      <c r="B251" s="1" t="s">
        <v>2630</v>
      </c>
      <c r="C251" s="1" t="s">
        <v>2631</v>
      </c>
      <c r="D251" s="4"/>
      <c r="E251" s="1">
        <v>2022</v>
      </c>
      <c r="F251" s="4"/>
      <c r="G251" s="4"/>
      <c r="H251" s="1" t="s">
        <v>7624</v>
      </c>
      <c r="I251" s="4"/>
      <c r="J251" s="4"/>
      <c r="K251" s="1" t="s">
        <v>7245</v>
      </c>
      <c r="L251" s="6">
        <v>44682</v>
      </c>
      <c r="M251" s="4"/>
      <c r="N251" s="1" t="s">
        <v>6336</v>
      </c>
      <c r="O251" s="3" t="s">
        <v>7625</v>
      </c>
      <c r="P251" s="1" t="s">
        <v>2634</v>
      </c>
      <c r="Q251" s="1" t="s">
        <v>7626</v>
      </c>
      <c r="R251" s="1" t="s">
        <v>7627</v>
      </c>
    </row>
    <row r="252" spans="1:18" x14ac:dyDescent="0.25">
      <c r="A252" s="1" t="s">
        <v>141</v>
      </c>
      <c r="B252" s="1" t="s">
        <v>7628</v>
      </c>
      <c r="C252" s="1" t="s">
        <v>7629</v>
      </c>
      <c r="D252" s="4"/>
      <c r="E252" s="1">
        <v>2019</v>
      </c>
      <c r="F252" s="4"/>
      <c r="G252" s="4"/>
      <c r="H252" s="1" t="s">
        <v>7630</v>
      </c>
      <c r="I252" s="4"/>
      <c r="J252" s="4"/>
      <c r="K252" s="1" t="s">
        <v>7631</v>
      </c>
      <c r="L252" s="6">
        <v>43586</v>
      </c>
      <c r="M252" s="4"/>
      <c r="N252" s="4"/>
      <c r="O252" s="3" t="s">
        <v>7632</v>
      </c>
      <c r="P252" s="1" t="s">
        <v>7633</v>
      </c>
      <c r="Q252" s="1" t="s">
        <v>7634</v>
      </c>
      <c r="R252" s="1" t="s">
        <v>7635</v>
      </c>
    </row>
    <row r="253" spans="1:18" x14ac:dyDescent="0.25">
      <c r="A253" s="1" t="s">
        <v>13</v>
      </c>
      <c r="B253" s="1" t="s">
        <v>7636</v>
      </c>
      <c r="C253" s="1" t="s">
        <v>7637</v>
      </c>
      <c r="D253" s="1" t="s">
        <v>255</v>
      </c>
      <c r="E253" s="1">
        <v>2020</v>
      </c>
      <c r="F253" s="1">
        <v>46</v>
      </c>
      <c r="G253" s="1">
        <v>10</v>
      </c>
      <c r="H253" s="1" t="s">
        <v>7638</v>
      </c>
      <c r="I253" s="4"/>
      <c r="J253" s="4"/>
      <c r="K253" s="4"/>
      <c r="L253" s="2">
        <v>44105</v>
      </c>
      <c r="M253" s="4"/>
      <c r="N253" s="1" t="s">
        <v>6115</v>
      </c>
      <c r="O253" s="3" t="s">
        <v>7639</v>
      </c>
      <c r="P253" s="1" t="s">
        <v>7640</v>
      </c>
      <c r="Q253" s="1" t="s">
        <v>7641</v>
      </c>
      <c r="R253" s="1" t="s">
        <v>7642</v>
      </c>
    </row>
    <row r="254" spans="1:18" x14ac:dyDescent="0.25">
      <c r="A254" s="1" t="s">
        <v>141</v>
      </c>
      <c r="B254" s="1" t="s">
        <v>4257</v>
      </c>
      <c r="C254" s="1" t="s">
        <v>7643</v>
      </c>
      <c r="D254" s="4"/>
      <c r="E254" s="1">
        <v>2017</v>
      </c>
      <c r="F254" s="4"/>
      <c r="G254" s="4"/>
      <c r="H254" s="1" t="s">
        <v>7644</v>
      </c>
      <c r="I254" s="4"/>
      <c r="J254" s="4"/>
      <c r="K254" s="1" t="s">
        <v>7645</v>
      </c>
      <c r="L254" s="6">
        <v>42948</v>
      </c>
      <c r="M254" s="4"/>
      <c r="N254" s="4"/>
      <c r="O254" s="3" t="s">
        <v>7646</v>
      </c>
      <c r="P254" s="1" t="s">
        <v>5846</v>
      </c>
      <c r="Q254" s="1" t="s">
        <v>7647</v>
      </c>
      <c r="R254" s="1" t="s">
        <v>7648</v>
      </c>
    </row>
    <row r="255" spans="1:18" x14ac:dyDescent="0.25">
      <c r="A255" s="1" t="s">
        <v>141</v>
      </c>
      <c r="B255" s="1" t="s">
        <v>96</v>
      </c>
      <c r="C255" s="1" t="s">
        <v>3363</v>
      </c>
      <c r="D255" s="4"/>
      <c r="E255" s="1">
        <v>2021</v>
      </c>
      <c r="F255" s="4"/>
      <c r="G255" s="4"/>
      <c r="H255" s="1" t="s">
        <v>7649</v>
      </c>
      <c r="I255" s="4"/>
      <c r="J255" s="4"/>
      <c r="K255" s="1" t="s">
        <v>6189</v>
      </c>
      <c r="L255" s="2">
        <v>44501</v>
      </c>
      <c r="M255" s="4"/>
      <c r="N255" s="1" t="s">
        <v>6190</v>
      </c>
      <c r="O255" s="3" t="s">
        <v>7650</v>
      </c>
      <c r="P255" s="1" t="s">
        <v>3366</v>
      </c>
      <c r="Q255" s="1" t="s">
        <v>7651</v>
      </c>
      <c r="R255" s="1" t="s">
        <v>7652</v>
      </c>
    </row>
    <row r="256" spans="1:18" x14ac:dyDescent="0.25">
      <c r="A256" s="1" t="s">
        <v>141</v>
      </c>
      <c r="B256" s="1" t="s">
        <v>7653</v>
      </c>
      <c r="C256" s="1" t="s">
        <v>7654</v>
      </c>
      <c r="D256" s="4"/>
      <c r="E256" s="1">
        <v>2018</v>
      </c>
      <c r="F256" s="4"/>
      <c r="G256" s="4"/>
      <c r="H256" s="1" t="s">
        <v>7655</v>
      </c>
      <c r="I256" s="4"/>
      <c r="J256" s="4"/>
      <c r="K256" s="1" t="s">
        <v>7656</v>
      </c>
      <c r="L256" s="6">
        <v>43221</v>
      </c>
      <c r="M256" s="4"/>
      <c r="N256" s="1" t="s">
        <v>6226</v>
      </c>
      <c r="O256" s="4"/>
      <c r="P256" s="4"/>
      <c r="Q256" s="1" t="s">
        <v>7657</v>
      </c>
      <c r="R256" s="1" t="s">
        <v>7658</v>
      </c>
    </row>
    <row r="257" spans="1:18" x14ac:dyDescent="0.25">
      <c r="A257" s="1" t="s">
        <v>141</v>
      </c>
      <c r="B257" s="1" t="s">
        <v>7659</v>
      </c>
      <c r="C257" s="1" t="s">
        <v>7660</v>
      </c>
      <c r="D257" s="4"/>
      <c r="E257" s="1">
        <v>2021</v>
      </c>
      <c r="F257" s="4"/>
      <c r="G257" s="4"/>
      <c r="H257" s="1" t="s">
        <v>7661</v>
      </c>
      <c r="I257" s="4"/>
      <c r="J257" s="4"/>
      <c r="K257" s="1" t="s">
        <v>7662</v>
      </c>
      <c r="L257" s="2">
        <v>44501</v>
      </c>
      <c r="M257" s="4"/>
      <c r="N257" s="4"/>
      <c r="O257" s="3" t="s">
        <v>7663</v>
      </c>
      <c r="P257" s="1" t="s">
        <v>7664</v>
      </c>
      <c r="Q257" s="1" t="s">
        <v>7665</v>
      </c>
      <c r="R257" s="1" t="s">
        <v>7666</v>
      </c>
    </row>
    <row r="258" spans="1:18" x14ac:dyDescent="0.25">
      <c r="A258" s="1" t="s">
        <v>13</v>
      </c>
      <c r="B258" s="1" t="s">
        <v>7667</v>
      </c>
      <c r="C258" s="1" t="s">
        <v>7668</v>
      </c>
      <c r="D258" s="1" t="s">
        <v>255</v>
      </c>
      <c r="E258" s="1">
        <v>2020</v>
      </c>
      <c r="F258" s="1">
        <v>46</v>
      </c>
      <c r="G258" s="1">
        <v>6</v>
      </c>
      <c r="H258" s="1" t="s">
        <v>7669</v>
      </c>
      <c r="I258" s="4"/>
      <c r="J258" s="4"/>
      <c r="K258" s="4"/>
      <c r="L258" s="6">
        <v>43983</v>
      </c>
      <c r="M258" s="4"/>
      <c r="N258" s="1" t="s">
        <v>6115</v>
      </c>
      <c r="O258" s="3" t="s">
        <v>7670</v>
      </c>
      <c r="P258" s="1" t="s">
        <v>7671</v>
      </c>
      <c r="Q258" s="1" t="s">
        <v>7672</v>
      </c>
      <c r="R258" s="1" t="s">
        <v>7673</v>
      </c>
    </row>
    <row r="259" spans="1:18" x14ac:dyDescent="0.25">
      <c r="A259" s="1" t="s">
        <v>141</v>
      </c>
      <c r="B259" s="1" t="s">
        <v>1371</v>
      </c>
      <c r="C259" s="1" t="s">
        <v>7674</v>
      </c>
      <c r="D259" s="4"/>
      <c r="E259" s="1">
        <v>2018</v>
      </c>
      <c r="F259" s="4"/>
      <c r="G259" s="4"/>
      <c r="H259" s="1" t="s">
        <v>7675</v>
      </c>
      <c r="I259" s="4"/>
      <c r="J259" s="4"/>
      <c r="K259" s="1" t="s">
        <v>7403</v>
      </c>
      <c r="L259" s="6">
        <v>43282</v>
      </c>
      <c r="M259" s="4"/>
      <c r="N259" s="4"/>
      <c r="O259" s="3" t="s">
        <v>7676</v>
      </c>
      <c r="P259" s="1" t="s">
        <v>7677</v>
      </c>
      <c r="Q259" s="1" t="s">
        <v>7678</v>
      </c>
      <c r="R259" s="1" t="s">
        <v>7679</v>
      </c>
    </row>
    <row r="260" spans="1:18" x14ac:dyDescent="0.25">
      <c r="A260" s="1" t="s">
        <v>13</v>
      </c>
      <c r="B260" s="4"/>
      <c r="C260" s="1" t="s">
        <v>7680</v>
      </c>
      <c r="D260" s="1" t="s">
        <v>7681</v>
      </c>
      <c r="E260" s="1">
        <v>2020</v>
      </c>
      <c r="F260" s="4"/>
      <c r="G260" s="4"/>
      <c r="H260" s="1" t="s">
        <v>7682</v>
      </c>
      <c r="I260" s="4"/>
      <c r="J260" s="4"/>
      <c r="K260" s="4"/>
      <c r="L260" s="6">
        <v>44044</v>
      </c>
      <c r="M260" s="4"/>
      <c r="N260" s="4"/>
      <c r="O260" s="4"/>
      <c r="P260" s="4"/>
      <c r="Q260" s="1" t="s">
        <v>7683</v>
      </c>
      <c r="R260" s="1" t="s">
        <v>7684</v>
      </c>
    </row>
    <row r="261" spans="1:18" x14ac:dyDescent="0.25">
      <c r="A261" s="1" t="s">
        <v>141</v>
      </c>
      <c r="B261" s="1" t="s">
        <v>6842</v>
      </c>
      <c r="C261" s="1" t="s">
        <v>7685</v>
      </c>
      <c r="D261" s="4"/>
      <c r="E261" s="1">
        <v>2019</v>
      </c>
      <c r="F261" s="4"/>
      <c r="G261" s="4"/>
      <c r="H261" s="1" t="s">
        <v>7686</v>
      </c>
      <c r="I261" s="4"/>
      <c r="J261" s="4"/>
      <c r="K261" s="1" t="s">
        <v>7687</v>
      </c>
      <c r="L261" s="2">
        <v>43770</v>
      </c>
      <c r="M261" s="4"/>
      <c r="N261" s="1" t="s">
        <v>6190</v>
      </c>
      <c r="O261" s="3" t="s">
        <v>7688</v>
      </c>
      <c r="P261" s="1" t="s">
        <v>5018</v>
      </c>
      <c r="Q261" s="1" t="s">
        <v>7689</v>
      </c>
      <c r="R261" s="1" t="s">
        <v>7690</v>
      </c>
    </row>
    <row r="262" spans="1:18" x14ac:dyDescent="0.25">
      <c r="A262" s="1" t="s">
        <v>13</v>
      </c>
      <c r="B262" s="1" t="s">
        <v>7691</v>
      </c>
      <c r="C262" s="1" t="s">
        <v>7692</v>
      </c>
      <c r="D262" s="1" t="s">
        <v>255</v>
      </c>
      <c r="E262" s="1">
        <v>2022</v>
      </c>
      <c r="F262" s="4"/>
      <c r="G262" s="4"/>
      <c r="H262" s="9">
        <v>44945</v>
      </c>
      <c r="I262" s="4"/>
      <c r="J262" s="4"/>
      <c r="K262" s="4"/>
      <c r="L262" s="1">
        <v>2022</v>
      </c>
      <c r="M262" s="4"/>
      <c r="N262" s="1" t="s">
        <v>6115</v>
      </c>
      <c r="O262" s="3" t="s">
        <v>7693</v>
      </c>
      <c r="P262" s="1" t="s">
        <v>7694</v>
      </c>
      <c r="Q262" s="1" t="s">
        <v>7695</v>
      </c>
      <c r="R262" s="1" t="s">
        <v>7696</v>
      </c>
    </row>
    <row r="263" spans="1:18" x14ac:dyDescent="0.25">
      <c r="A263" s="1" t="s">
        <v>13</v>
      </c>
      <c r="B263" s="1" t="s">
        <v>7697</v>
      </c>
      <c r="C263" s="1" t="s">
        <v>7698</v>
      </c>
      <c r="D263" s="1" t="s">
        <v>7699</v>
      </c>
      <c r="E263" s="1">
        <v>2019</v>
      </c>
      <c r="F263" s="1">
        <v>36</v>
      </c>
      <c r="G263" s="1">
        <v>1</v>
      </c>
      <c r="H263" s="1" t="s">
        <v>7700</v>
      </c>
      <c r="I263" s="4"/>
      <c r="J263" s="4"/>
      <c r="K263" s="4"/>
      <c r="L263" s="6">
        <v>43466</v>
      </c>
      <c r="M263" s="4"/>
      <c r="N263" s="1" t="s">
        <v>7701</v>
      </c>
      <c r="O263" s="3" t="s">
        <v>7702</v>
      </c>
      <c r="P263" s="1" t="s">
        <v>7703</v>
      </c>
      <c r="Q263" s="1" t="s">
        <v>7704</v>
      </c>
      <c r="R263" s="1" t="s">
        <v>7705</v>
      </c>
    </row>
    <row r="264" spans="1:18" x14ac:dyDescent="0.25">
      <c r="A264" s="1" t="s">
        <v>13</v>
      </c>
      <c r="B264" s="1" t="s">
        <v>7706</v>
      </c>
      <c r="C264" s="1" t="s">
        <v>7707</v>
      </c>
      <c r="D264" s="1" t="s">
        <v>668</v>
      </c>
      <c r="E264" s="1">
        <v>2022</v>
      </c>
      <c r="F264" s="1">
        <v>10</v>
      </c>
      <c r="G264" s="4"/>
      <c r="H264" s="1" t="s">
        <v>7708</v>
      </c>
      <c r="I264" s="4"/>
      <c r="J264" s="4"/>
      <c r="K264" s="4"/>
      <c r="L264" s="1">
        <v>2022</v>
      </c>
      <c r="M264" s="4"/>
      <c r="N264" s="1" t="s">
        <v>670</v>
      </c>
      <c r="O264" s="3" t="s">
        <v>7709</v>
      </c>
      <c r="P264" s="1" t="s">
        <v>7710</v>
      </c>
      <c r="Q264" s="1" t="s">
        <v>7711</v>
      </c>
      <c r="R264" s="1" t="s">
        <v>7712</v>
      </c>
    </row>
    <row r="265" spans="1:18" x14ac:dyDescent="0.25">
      <c r="A265" s="1" t="s">
        <v>141</v>
      </c>
      <c r="B265" s="1" t="s">
        <v>7713</v>
      </c>
      <c r="C265" s="1" t="s">
        <v>7714</v>
      </c>
      <c r="D265" s="4"/>
      <c r="E265" s="1">
        <v>2022</v>
      </c>
      <c r="F265" s="4"/>
      <c r="G265" s="4"/>
      <c r="H265" s="1" t="s">
        <v>7715</v>
      </c>
      <c r="I265" s="4"/>
      <c r="J265" s="4"/>
      <c r="K265" s="1" t="s">
        <v>7716</v>
      </c>
      <c r="L265" s="6">
        <v>44682</v>
      </c>
      <c r="M265" s="4"/>
      <c r="N265" s="4"/>
      <c r="O265" s="3" t="s">
        <v>7717</v>
      </c>
      <c r="P265" s="1" t="s">
        <v>7718</v>
      </c>
      <c r="Q265" s="1" t="s">
        <v>7719</v>
      </c>
      <c r="R265" s="1" t="s">
        <v>7720</v>
      </c>
    </row>
    <row r="266" spans="1:18" x14ac:dyDescent="0.25">
      <c r="A266" s="1" t="s">
        <v>141</v>
      </c>
      <c r="B266" s="1" t="s">
        <v>2220</v>
      </c>
      <c r="C266" s="1" t="s">
        <v>2221</v>
      </c>
      <c r="D266" s="4"/>
      <c r="E266" s="1">
        <v>2022</v>
      </c>
      <c r="F266" s="4"/>
      <c r="G266" s="4"/>
      <c r="H266" s="1" t="s">
        <v>7721</v>
      </c>
      <c r="I266" s="4"/>
      <c r="J266" s="4"/>
      <c r="K266" s="1" t="s">
        <v>6592</v>
      </c>
      <c r="L266" s="6">
        <v>44621</v>
      </c>
      <c r="M266" s="4"/>
      <c r="N266" s="1" t="s">
        <v>6593</v>
      </c>
      <c r="O266" s="3" t="s">
        <v>7722</v>
      </c>
      <c r="P266" s="1" t="s">
        <v>2224</v>
      </c>
      <c r="Q266" s="1" t="s">
        <v>7723</v>
      </c>
      <c r="R266" s="1" t="s">
        <v>7724</v>
      </c>
    </row>
    <row r="267" spans="1:18" x14ac:dyDescent="0.25">
      <c r="A267" s="1" t="s">
        <v>13</v>
      </c>
      <c r="B267" s="1" t="s">
        <v>7725</v>
      </c>
      <c r="C267" s="1" t="s">
        <v>7726</v>
      </c>
      <c r="D267" s="1" t="s">
        <v>255</v>
      </c>
      <c r="E267" s="1">
        <v>2022</v>
      </c>
      <c r="F267" s="4"/>
      <c r="G267" s="4"/>
      <c r="H267" s="9">
        <v>44939</v>
      </c>
      <c r="I267" s="4"/>
      <c r="J267" s="4"/>
      <c r="K267" s="4"/>
      <c r="L267" s="1">
        <v>2022</v>
      </c>
      <c r="M267" s="4"/>
      <c r="N267" s="1" t="s">
        <v>6115</v>
      </c>
      <c r="O267" s="3" t="s">
        <v>7727</v>
      </c>
      <c r="P267" s="1" t="s">
        <v>7728</v>
      </c>
      <c r="Q267" s="1" t="s">
        <v>7729</v>
      </c>
      <c r="R267" s="1" t="s">
        <v>7730</v>
      </c>
    </row>
    <row r="268" spans="1:18" x14ac:dyDescent="0.25">
      <c r="A268" s="1" t="s">
        <v>141</v>
      </c>
      <c r="B268" s="1" t="s">
        <v>1130</v>
      </c>
      <c r="C268" s="1" t="s">
        <v>3482</v>
      </c>
      <c r="D268" s="4"/>
      <c r="E268" s="1">
        <v>2021</v>
      </c>
      <c r="F268" s="4"/>
      <c r="G268" s="4"/>
      <c r="H268" s="1" t="s">
        <v>7731</v>
      </c>
      <c r="I268" s="4"/>
      <c r="J268" s="4"/>
      <c r="K268" s="1" t="s">
        <v>6225</v>
      </c>
      <c r="L268" s="6">
        <v>44317</v>
      </c>
      <c r="M268" s="4"/>
      <c r="N268" s="1" t="s">
        <v>6226</v>
      </c>
      <c r="O268" s="3" t="s">
        <v>7732</v>
      </c>
      <c r="P268" s="1" t="s">
        <v>3485</v>
      </c>
      <c r="Q268" s="1" t="s">
        <v>7733</v>
      </c>
      <c r="R268" s="1" t="s">
        <v>7734</v>
      </c>
    </row>
    <row r="269" spans="1:18" x14ac:dyDescent="0.25">
      <c r="A269" s="1" t="s">
        <v>13</v>
      </c>
      <c r="B269" s="1" t="s">
        <v>7735</v>
      </c>
      <c r="C269" s="1" t="s">
        <v>7736</v>
      </c>
      <c r="D269" s="1" t="s">
        <v>255</v>
      </c>
      <c r="E269" s="1">
        <v>2023</v>
      </c>
      <c r="F269" s="4"/>
      <c r="G269" s="4"/>
      <c r="H269" s="9">
        <v>44943</v>
      </c>
      <c r="I269" s="4"/>
      <c r="J269" s="4"/>
      <c r="K269" s="4"/>
      <c r="L269" s="1">
        <v>2023</v>
      </c>
      <c r="M269" s="4"/>
      <c r="N269" s="1" t="s">
        <v>6115</v>
      </c>
      <c r="O269" s="3" t="s">
        <v>7737</v>
      </c>
      <c r="P269" s="1" t="s">
        <v>7738</v>
      </c>
      <c r="Q269" s="1" t="s">
        <v>7739</v>
      </c>
      <c r="R269" s="1" t="s">
        <v>7740</v>
      </c>
    </row>
    <row r="270" spans="1:18" x14ac:dyDescent="0.25">
      <c r="A270" s="1" t="s">
        <v>141</v>
      </c>
      <c r="B270" s="1" t="s">
        <v>7741</v>
      </c>
      <c r="C270" s="1" t="s">
        <v>7742</v>
      </c>
      <c r="D270" s="4"/>
      <c r="E270" s="1">
        <v>2021</v>
      </c>
      <c r="F270" s="4"/>
      <c r="G270" s="4"/>
      <c r="H270" s="1" t="s">
        <v>7743</v>
      </c>
      <c r="I270" s="4"/>
      <c r="J270" s="4"/>
      <c r="K270" s="1" t="s">
        <v>7744</v>
      </c>
      <c r="L270" s="2">
        <v>44531</v>
      </c>
      <c r="M270" s="4"/>
      <c r="N270" s="4"/>
      <c r="O270" s="3" t="s">
        <v>7745</v>
      </c>
      <c r="P270" s="1" t="s">
        <v>7746</v>
      </c>
      <c r="Q270" s="1" t="s">
        <v>7747</v>
      </c>
      <c r="R270" s="1" t="s">
        <v>7748</v>
      </c>
    </row>
    <row r="271" spans="1:18" x14ac:dyDescent="0.25">
      <c r="A271" s="1" t="s">
        <v>13</v>
      </c>
      <c r="B271" s="1" t="s">
        <v>7749</v>
      </c>
      <c r="C271" s="1" t="s">
        <v>7750</v>
      </c>
      <c r="D271" s="1" t="s">
        <v>7751</v>
      </c>
      <c r="E271" s="1">
        <v>2021</v>
      </c>
      <c r="F271" s="1">
        <v>19</v>
      </c>
      <c r="G271" s="1">
        <v>3</v>
      </c>
      <c r="H271" s="1" t="s">
        <v>7752</v>
      </c>
      <c r="I271" s="4"/>
      <c r="J271" s="4"/>
      <c r="K271" s="4"/>
      <c r="L271" s="6">
        <v>44256</v>
      </c>
      <c r="M271" s="4"/>
      <c r="N271" s="1" t="s">
        <v>5140</v>
      </c>
      <c r="O271" s="3" t="s">
        <v>7753</v>
      </c>
      <c r="P271" s="1" t="s">
        <v>7754</v>
      </c>
      <c r="Q271" s="1" t="s">
        <v>7755</v>
      </c>
      <c r="R271" s="1" t="s">
        <v>7756</v>
      </c>
    </row>
    <row r="272" spans="1:18" x14ac:dyDescent="0.25">
      <c r="A272" s="1" t="s">
        <v>141</v>
      </c>
      <c r="B272" s="1" t="s">
        <v>7757</v>
      </c>
      <c r="C272" s="1" t="s">
        <v>7758</v>
      </c>
      <c r="D272" s="4"/>
      <c r="E272" s="1">
        <v>2022</v>
      </c>
      <c r="F272" s="4"/>
      <c r="G272" s="4"/>
      <c r="H272" s="1" t="s">
        <v>7759</v>
      </c>
      <c r="I272" s="4"/>
      <c r="J272" s="4"/>
      <c r="K272" s="1" t="s">
        <v>7760</v>
      </c>
      <c r="L272" s="2">
        <v>44835</v>
      </c>
      <c r="M272" s="4"/>
      <c r="N272" s="4"/>
      <c r="O272" s="3" t="s">
        <v>7761</v>
      </c>
      <c r="P272" s="1" t="s">
        <v>7762</v>
      </c>
      <c r="Q272" s="1" t="s">
        <v>7763</v>
      </c>
      <c r="R272" s="1" t="s">
        <v>7764</v>
      </c>
    </row>
    <row r="273" spans="1:18" x14ac:dyDescent="0.25">
      <c r="A273" s="1" t="s">
        <v>13</v>
      </c>
      <c r="B273" s="1" t="s">
        <v>7765</v>
      </c>
      <c r="C273" s="1" t="s">
        <v>7766</v>
      </c>
      <c r="D273" s="1" t="s">
        <v>255</v>
      </c>
      <c r="E273" s="1">
        <v>2022</v>
      </c>
      <c r="F273" s="1">
        <v>48</v>
      </c>
      <c r="G273" s="1">
        <v>12</v>
      </c>
      <c r="H273" s="1" t="s">
        <v>7767</v>
      </c>
      <c r="I273" s="4"/>
      <c r="J273" s="4"/>
      <c r="K273" s="4"/>
      <c r="L273" s="2">
        <v>44896</v>
      </c>
      <c r="M273" s="4"/>
      <c r="N273" s="1" t="s">
        <v>6115</v>
      </c>
      <c r="O273" s="3" t="s">
        <v>7768</v>
      </c>
      <c r="P273" s="1" t="s">
        <v>7769</v>
      </c>
      <c r="Q273" s="1" t="s">
        <v>7770</v>
      </c>
      <c r="R273" s="1" t="s">
        <v>7771</v>
      </c>
    </row>
    <row r="274" spans="1:18" x14ac:dyDescent="0.25">
      <c r="A274" s="1" t="s">
        <v>141</v>
      </c>
      <c r="B274" s="1" t="s">
        <v>7772</v>
      </c>
      <c r="C274" s="1" t="s">
        <v>7773</v>
      </c>
      <c r="D274" s="4"/>
      <c r="E274" s="1">
        <v>2018</v>
      </c>
      <c r="F274" s="4"/>
      <c r="G274" s="4"/>
      <c r="H274" s="1" t="s">
        <v>7774</v>
      </c>
      <c r="I274" s="4"/>
      <c r="J274" s="4"/>
      <c r="K274" s="1" t="s">
        <v>7775</v>
      </c>
      <c r="L274" s="6">
        <v>43344</v>
      </c>
      <c r="M274" s="4"/>
      <c r="N274" s="1" t="s">
        <v>6190</v>
      </c>
      <c r="O274" s="3" t="s">
        <v>7776</v>
      </c>
      <c r="P274" s="1" t="s">
        <v>7777</v>
      </c>
      <c r="Q274" s="1" t="s">
        <v>7778</v>
      </c>
      <c r="R274" s="1" t="s">
        <v>7779</v>
      </c>
    </row>
    <row r="275" spans="1:18" x14ac:dyDescent="0.25">
      <c r="A275" s="1" t="s">
        <v>141</v>
      </c>
      <c r="B275" s="1" t="s">
        <v>7780</v>
      </c>
      <c r="C275" s="1" t="s">
        <v>7781</v>
      </c>
      <c r="D275" s="4"/>
      <c r="E275" s="1">
        <v>2020</v>
      </c>
      <c r="F275" s="4"/>
      <c r="G275" s="4"/>
      <c r="H275" s="9">
        <v>44938</v>
      </c>
      <c r="I275" s="4"/>
      <c r="J275" s="4"/>
      <c r="K275" s="1" t="s">
        <v>7782</v>
      </c>
      <c r="L275" s="6">
        <v>43891</v>
      </c>
      <c r="M275" s="4"/>
      <c r="N275" s="1" t="s">
        <v>2902</v>
      </c>
      <c r="O275" s="3" t="s">
        <v>7783</v>
      </c>
      <c r="P275" s="1" t="s">
        <v>7784</v>
      </c>
      <c r="Q275" s="1" t="s">
        <v>7785</v>
      </c>
      <c r="R275" s="1" t="s">
        <v>7786</v>
      </c>
    </row>
    <row r="276" spans="1:18" x14ac:dyDescent="0.25">
      <c r="A276" s="1" t="s">
        <v>13</v>
      </c>
      <c r="B276" s="1" t="s">
        <v>1441</v>
      </c>
      <c r="C276" s="1" t="s">
        <v>1442</v>
      </c>
      <c r="D276" s="1" t="s">
        <v>1443</v>
      </c>
      <c r="E276" s="1">
        <v>2021</v>
      </c>
      <c r="F276" s="1">
        <v>2</v>
      </c>
      <c r="G276" s="1">
        <v>4</v>
      </c>
      <c r="H276" s="1" t="s">
        <v>7787</v>
      </c>
      <c r="I276" s="4"/>
      <c r="J276" s="4"/>
      <c r="K276" s="4"/>
      <c r="L276" s="2">
        <v>44531</v>
      </c>
      <c r="M276" s="4"/>
      <c r="N276" s="1" t="s">
        <v>1445</v>
      </c>
      <c r="O276" s="3" t="s">
        <v>7788</v>
      </c>
      <c r="P276" s="1" t="s">
        <v>1447</v>
      </c>
      <c r="Q276" s="1" t="s">
        <v>7789</v>
      </c>
      <c r="R276" s="1" t="s">
        <v>7790</v>
      </c>
    </row>
    <row r="277" spans="1:18" x14ac:dyDescent="0.25">
      <c r="A277" s="1" t="s">
        <v>141</v>
      </c>
      <c r="B277" s="1" t="s">
        <v>7791</v>
      </c>
      <c r="C277" s="1" t="s">
        <v>7792</v>
      </c>
      <c r="D277" s="4"/>
      <c r="E277" s="1">
        <v>2018</v>
      </c>
      <c r="F277" s="4"/>
      <c r="G277" s="4"/>
      <c r="H277" s="9">
        <v>44937</v>
      </c>
      <c r="I277" s="4"/>
      <c r="J277" s="4"/>
      <c r="K277" s="1" t="s">
        <v>7793</v>
      </c>
      <c r="L277" s="6">
        <v>43344</v>
      </c>
      <c r="M277" s="4"/>
      <c r="N277" s="4"/>
      <c r="O277" s="3" t="s">
        <v>7794</v>
      </c>
      <c r="P277" s="1" t="s">
        <v>7795</v>
      </c>
      <c r="Q277" s="1" t="s">
        <v>7796</v>
      </c>
      <c r="R277" s="1" t="s">
        <v>7797</v>
      </c>
    </row>
    <row r="278" spans="1:18" x14ac:dyDescent="0.25">
      <c r="A278" s="1" t="s">
        <v>141</v>
      </c>
      <c r="B278" s="1" t="s">
        <v>7798</v>
      </c>
      <c r="C278" s="1" t="s">
        <v>7799</v>
      </c>
      <c r="D278" s="4"/>
      <c r="E278" s="1">
        <v>2021</v>
      </c>
      <c r="F278" s="4"/>
      <c r="G278" s="4"/>
      <c r="H278" s="1" t="s">
        <v>7800</v>
      </c>
      <c r="I278" s="4"/>
      <c r="J278" s="4"/>
      <c r="K278" s="1" t="s">
        <v>6329</v>
      </c>
      <c r="L278" s="6">
        <v>44317</v>
      </c>
      <c r="M278" s="4"/>
      <c r="N278" s="1" t="s">
        <v>6152</v>
      </c>
      <c r="O278" s="3" t="s">
        <v>7801</v>
      </c>
      <c r="P278" s="1" t="s">
        <v>7802</v>
      </c>
      <c r="Q278" s="1" t="s">
        <v>7803</v>
      </c>
      <c r="R278" s="1" t="s">
        <v>7804</v>
      </c>
    </row>
    <row r="279" spans="1:18" x14ac:dyDescent="0.25">
      <c r="A279" s="1" t="s">
        <v>13</v>
      </c>
      <c r="B279" s="1" t="s">
        <v>2991</v>
      </c>
      <c r="C279" s="1" t="s">
        <v>7805</v>
      </c>
      <c r="D279" s="1" t="s">
        <v>255</v>
      </c>
      <c r="E279" s="1">
        <v>2021</v>
      </c>
      <c r="F279" s="1">
        <v>47</v>
      </c>
      <c r="G279" s="1">
        <v>1</v>
      </c>
      <c r="H279" s="1" t="s">
        <v>7806</v>
      </c>
      <c r="I279" s="4"/>
      <c r="J279" s="4"/>
      <c r="K279" s="4"/>
      <c r="L279" s="6">
        <v>44197</v>
      </c>
      <c r="M279" s="4"/>
      <c r="N279" s="1" t="s">
        <v>6115</v>
      </c>
      <c r="O279" s="3" t="s">
        <v>7807</v>
      </c>
      <c r="P279" s="1" t="s">
        <v>2995</v>
      </c>
      <c r="Q279" s="1" t="s">
        <v>7808</v>
      </c>
      <c r="R279" s="1" t="s">
        <v>7809</v>
      </c>
    </row>
    <row r="280" spans="1:18" x14ac:dyDescent="0.25">
      <c r="A280" s="1" t="s">
        <v>141</v>
      </c>
      <c r="B280" s="1" t="s">
        <v>7810</v>
      </c>
      <c r="C280" s="1" t="s">
        <v>7811</v>
      </c>
      <c r="D280" s="4"/>
      <c r="E280" s="1">
        <v>2020</v>
      </c>
      <c r="F280" s="4"/>
      <c r="G280" s="4"/>
      <c r="H280" s="1" t="s">
        <v>7812</v>
      </c>
      <c r="I280" s="4"/>
      <c r="J280" s="4"/>
      <c r="K280" s="1" t="s">
        <v>6322</v>
      </c>
      <c r="L280" s="6">
        <v>44044</v>
      </c>
      <c r="M280" s="4"/>
      <c r="N280" s="4"/>
      <c r="O280" s="3" t="s">
        <v>7813</v>
      </c>
      <c r="P280" s="1" t="s">
        <v>7814</v>
      </c>
      <c r="Q280" s="1" t="s">
        <v>7815</v>
      </c>
      <c r="R280" s="1" t="s">
        <v>7816</v>
      </c>
    </row>
    <row r="281" spans="1:18" x14ac:dyDescent="0.25">
      <c r="A281" s="1" t="s">
        <v>141</v>
      </c>
      <c r="B281" s="1" t="s">
        <v>7569</v>
      </c>
      <c r="C281" s="1" t="s">
        <v>7817</v>
      </c>
      <c r="D281" s="4"/>
      <c r="E281" s="1">
        <v>2016</v>
      </c>
      <c r="F281" s="4"/>
      <c r="G281" s="4"/>
      <c r="H281" s="1" t="s">
        <v>7818</v>
      </c>
      <c r="I281" s="4"/>
      <c r="J281" s="4"/>
      <c r="K281" s="1" t="s">
        <v>7819</v>
      </c>
      <c r="L281" s="6">
        <v>42491</v>
      </c>
      <c r="M281" s="4"/>
      <c r="N281" s="1" t="s">
        <v>6336</v>
      </c>
      <c r="O281" s="3" t="s">
        <v>7820</v>
      </c>
      <c r="P281" s="1" t="s">
        <v>7821</v>
      </c>
      <c r="Q281" s="1" t="s">
        <v>7822</v>
      </c>
      <c r="R281" s="1" t="s">
        <v>7823</v>
      </c>
    </row>
    <row r="282" spans="1:18" x14ac:dyDescent="0.25">
      <c r="A282" s="1" t="s">
        <v>141</v>
      </c>
      <c r="B282" s="1" t="s">
        <v>7824</v>
      </c>
      <c r="C282" s="1" t="s">
        <v>7825</v>
      </c>
      <c r="D282" s="4"/>
      <c r="E282" s="1">
        <v>2019</v>
      </c>
      <c r="F282" s="4"/>
      <c r="G282" s="4"/>
      <c r="H282" s="1" t="s">
        <v>7826</v>
      </c>
      <c r="I282" s="4"/>
      <c r="J282" s="4"/>
      <c r="K282" s="1" t="s">
        <v>6986</v>
      </c>
      <c r="L282" s="6">
        <v>43586</v>
      </c>
      <c r="M282" s="4"/>
      <c r="N282" s="1" t="s">
        <v>6336</v>
      </c>
      <c r="O282" s="3" t="s">
        <v>7827</v>
      </c>
      <c r="P282" s="1" t="s">
        <v>7828</v>
      </c>
      <c r="Q282" s="1" t="s">
        <v>7829</v>
      </c>
      <c r="R282" s="1" t="s">
        <v>7830</v>
      </c>
    </row>
    <row r="283" spans="1:18" x14ac:dyDescent="0.25">
      <c r="A283" s="1" t="s">
        <v>141</v>
      </c>
      <c r="B283" s="1" t="s">
        <v>7831</v>
      </c>
      <c r="C283" s="1" t="s">
        <v>7832</v>
      </c>
      <c r="D283" s="4"/>
      <c r="E283" s="1">
        <v>2021</v>
      </c>
      <c r="F283" s="4"/>
      <c r="G283" s="4"/>
      <c r="H283" s="1" t="s">
        <v>7833</v>
      </c>
      <c r="I283" s="4"/>
      <c r="J283" s="4"/>
      <c r="K283" s="1" t="s">
        <v>7834</v>
      </c>
      <c r="L283" s="6">
        <v>44317</v>
      </c>
      <c r="M283" s="4"/>
      <c r="N283" s="4"/>
      <c r="O283" s="3" t="s">
        <v>7835</v>
      </c>
      <c r="P283" s="1" t="s">
        <v>7836</v>
      </c>
      <c r="Q283" s="1" t="s">
        <v>7837</v>
      </c>
      <c r="R283" s="1" t="s">
        <v>7838</v>
      </c>
    </row>
    <row r="284" spans="1:18" x14ac:dyDescent="0.25">
      <c r="A284" s="1" t="s">
        <v>141</v>
      </c>
      <c r="B284" s="1" t="s">
        <v>7839</v>
      </c>
      <c r="C284" s="1" t="s">
        <v>7840</v>
      </c>
      <c r="D284" s="4"/>
      <c r="E284" s="1">
        <v>2022</v>
      </c>
      <c r="F284" s="4"/>
      <c r="G284" s="4"/>
      <c r="H284" s="1" t="s">
        <v>7841</v>
      </c>
      <c r="I284" s="4"/>
      <c r="J284" s="4"/>
      <c r="K284" s="1" t="s">
        <v>6166</v>
      </c>
      <c r="L284" s="6">
        <v>44774</v>
      </c>
      <c r="M284" s="4"/>
      <c r="N284" s="4"/>
      <c r="O284" s="3" t="s">
        <v>7842</v>
      </c>
      <c r="P284" s="1" t="s">
        <v>7843</v>
      </c>
      <c r="Q284" s="1" t="s">
        <v>7844</v>
      </c>
      <c r="R284" s="1" t="s">
        <v>7845</v>
      </c>
    </row>
    <row r="285" spans="1:18" x14ac:dyDescent="0.25">
      <c r="A285" s="1" t="s">
        <v>141</v>
      </c>
      <c r="B285" s="1" t="s">
        <v>7846</v>
      </c>
      <c r="C285" s="1" t="s">
        <v>7847</v>
      </c>
      <c r="D285" s="4"/>
      <c r="E285" s="1">
        <v>2019</v>
      </c>
      <c r="F285" s="4"/>
      <c r="G285" s="4"/>
      <c r="H285" s="1" t="s">
        <v>7848</v>
      </c>
      <c r="I285" s="4"/>
      <c r="J285" s="4"/>
      <c r="K285" s="1" t="s">
        <v>7849</v>
      </c>
      <c r="L285" s="6">
        <v>43709</v>
      </c>
      <c r="M285" s="4"/>
      <c r="N285" s="1" t="s">
        <v>6449</v>
      </c>
      <c r="O285" s="3" t="s">
        <v>7850</v>
      </c>
      <c r="P285" s="1" t="s">
        <v>7851</v>
      </c>
      <c r="Q285" s="1" t="s">
        <v>7852</v>
      </c>
      <c r="R285" s="1" t="s">
        <v>7853</v>
      </c>
    </row>
    <row r="286" spans="1:18" x14ac:dyDescent="0.25">
      <c r="A286" s="1" t="s">
        <v>141</v>
      </c>
      <c r="B286" s="1" t="s">
        <v>7854</v>
      </c>
      <c r="C286" s="1" t="s">
        <v>7855</v>
      </c>
      <c r="D286" s="4"/>
      <c r="E286" s="1">
        <v>2018</v>
      </c>
      <c r="F286" s="4"/>
      <c r="G286" s="4"/>
      <c r="H286" s="9">
        <v>44930</v>
      </c>
      <c r="I286" s="4"/>
      <c r="J286" s="4"/>
      <c r="K286" s="1" t="s">
        <v>7856</v>
      </c>
      <c r="L286" s="6">
        <v>43221</v>
      </c>
      <c r="M286" s="4"/>
      <c r="N286" s="4"/>
      <c r="O286" s="4"/>
      <c r="P286" s="4"/>
      <c r="Q286" s="1" t="s">
        <v>7857</v>
      </c>
      <c r="R286" s="1" t="s">
        <v>7858</v>
      </c>
    </row>
    <row r="287" spans="1:18" x14ac:dyDescent="0.25">
      <c r="A287" s="1" t="s">
        <v>141</v>
      </c>
      <c r="B287" s="1" t="s">
        <v>7859</v>
      </c>
      <c r="C287" s="1" t="s">
        <v>7860</v>
      </c>
      <c r="D287" s="4"/>
      <c r="E287" s="1">
        <v>2022</v>
      </c>
      <c r="F287" s="4"/>
      <c r="G287" s="4"/>
      <c r="H287" s="1" t="s">
        <v>7861</v>
      </c>
      <c r="I287" s="4"/>
      <c r="J287" s="4"/>
      <c r="K287" s="1" t="s">
        <v>7862</v>
      </c>
      <c r="L287" s="6">
        <v>44621</v>
      </c>
      <c r="M287" s="4"/>
      <c r="N287" s="1" t="s">
        <v>7863</v>
      </c>
      <c r="O287" s="3" t="s">
        <v>7864</v>
      </c>
      <c r="P287" s="1" t="s">
        <v>7865</v>
      </c>
      <c r="Q287" s="1" t="s">
        <v>7866</v>
      </c>
      <c r="R287" s="1" t="s">
        <v>7867</v>
      </c>
    </row>
    <row r="288" spans="1:18" x14ac:dyDescent="0.25">
      <c r="A288" s="1" t="s">
        <v>141</v>
      </c>
      <c r="B288" s="1" t="s">
        <v>2647</v>
      </c>
      <c r="C288" s="1" t="s">
        <v>2648</v>
      </c>
      <c r="D288" s="4"/>
      <c r="E288" s="1">
        <v>2021</v>
      </c>
      <c r="F288" s="4"/>
      <c r="G288" s="4"/>
      <c r="H288" s="1" t="s">
        <v>7868</v>
      </c>
      <c r="I288" s="4"/>
      <c r="J288" s="4"/>
      <c r="K288" s="1" t="s">
        <v>7869</v>
      </c>
      <c r="L288" s="6">
        <v>44348</v>
      </c>
      <c r="M288" s="4"/>
      <c r="N288" s="1" t="s">
        <v>7870</v>
      </c>
      <c r="O288" s="3" t="s">
        <v>7871</v>
      </c>
      <c r="P288" s="1" t="s">
        <v>2651</v>
      </c>
      <c r="Q288" s="1" t="s">
        <v>7872</v>
      </c>
      <c r="R288" s="1" t="s">
        <v>7873</v>
      </c>
    </row>
    <row r="289" spans="1:18" x14ac:dyDescent="0.25">
      <c r="A289" s="1" t="s">
        <v>141</v>
      </c>
      <c r="B289" s="1" t="s">
        <v>4628</v>
      </c>
      <c r="C289" s="1" t="s">
        <v>4629</v>
      </c>
      <c r="D289" s="4"/>
      <c r="E289" s="1">
        <v>2018</v>
      </c>
      <c r="F289" s="4"/>
      <c r="G289" s="4"/>
      <c r="H289" s="1" t="s">
        <v>7874</v>
      </c>
      <c r="I289" s="4"/>
      <c r="J289" s="4"/>
      <c r="K289" s="1" t="s">
        <v>7875</v>
      </c>
      <c r="L289" s="2">
        <v>43435</v>
      </c>
      <c r="M289" s="4"/>
      <c r="N289" s="4"/>
      <c r="O289" s="3" t="s">
        <v>7876</v>
      </c>
      <c r="P289" s="1" t="s">
        <v>4632</v>
      </c>
      <c r="Q289" s="1" t="s">
        <v>7877</v>
      </c>
      <c r="R289" s="1" t="s">
        <v>7878</v>
      </c>
    </row>
    <row r="290" spans="1:18" x14ac:dyDescent="0.25">
      <c r="A290" s="1" t="s">
        <v>141</v>
      </c>
      <c r="B290" s="1" t="s">
        <v>7879</v>
      </c>
      <c r="C290" s="1" t="s">
        <v>7880</v>
      </c>
      <c r="D290" s="4"/>
      <c r="E290" s="1">
        <v>2020</v>
      </c>
      <c r="F290" s="4"/>
      <c r="G290" s="4"/>
      <c r="H290" s="9">
        <v>44932</v>
      </c>
      <c r="I290" s="4"/>
      <c r="J290" s="4"/>
      <c r="K290" s="1" t="s">
        <v>7881</v>
      </c>
      <c r="L290" s="6">
        <v>43983</v>
      </c>
      <c r="M290" s="4"/>
      <c r="N290" s="4"/>
      <c r="O290" s="3" t="s">
        <v>7882</v>
      </c>
      <c r="P290" s="1" t="s">
        <v>7883</v>
      </c>
      <c r="Q290" s="1" t="s">
        <v>7884</v>
      </c>
      <c r="R290" s="1" t="s">
        <v>7885</v>
      </c>
    </row>
    <row r="291" spans="1:18" x14ac:dyDescent="0.25">
      <c r="A291" s="1" t="s">
        <v>141</v>
      </c>
      <c r="B291" s="1" t="s">
        <v>7886</v>
      </c>
      <c r="C291" s="1" t="s">
        <v>7887</v>
      </c>
      <c r="D291" s="4"/>
      <c r="E291" s="1">
        <v>2022</v>
      </c>
      <c r="F291" s="1">
        <v>1</v>
      </c>
      <c r="G291" s="4"/>
      <c r="H291" s="1" t="s">
        <v>7888</v>
      </c>
      <c r="I291" s="4"/>
      <c r="J291" s="4"/>
      <c r="K291" s="1" t="s">
        <v>7889</v>
      </c>
      <c r="L291" s="6">
        <v>44621</v>
      </c>
      <c r="M291" s="4"/>
      <c r="N291" s="1" t="s">
        <v>7890</v>
      </c>
      <c r="O291" s="3" t="s">
        <v>7891</v>
      </c>
      <c r="P291" s="1" t="s">
        <v>7892</v>
      </c>
      <c r="Q291" s="1" t="s">
        <v>7893</v>
      </c>
      <c r="R291" s="1" t="s">
        <v>7894</v>
      </c>
    </row>
    <row r="292" spans="1:18" x14ac:dyDescent="0.25">
      <c r="A292" s="1" t="s">
        <v>141</v>
      </c>
      <c r="B292" s="1" t="s">
        <v>7895</v>
      </c>
      <c r="C292" s="1" t="s">
        <v>3161</v>
      </c>
      <c r="D292" s="4"/>
      <c r="E292" s="1">
        <v>2021</v>
      </c>
      <c r="F292" s="4"/>
      <c r="G292" s="4"/>
      <c r="H292" s="1" t="s">
        <v>7896</v>
      </c>
      <c r="I292" s="4"/>
      <c r="J292" s="4"/>
      <c r="K292" s="1" t="s">
        <v>7285</v>
      </c>
      <c r="L292" s="6">
        <v>44256</v>
      </c>
      <c r="M292" s="4"/>
      <c r="N292" s="4"/>
      <c r="O292" s="3" t="s">
        <v>7897</v>
      </c>
      <c r="P292" s="1" t="s">
        <v>3164</v>
      </c>
      <c r="Q292" s="1" t="s">
        <v>7898</v>
      </c>
      <c r="R292" s="1" t="s">
        <v>7899</v>
      </c>
    </row>
    <row r="293" spans="1:18" x14ac:dyDescent="0.25">
      <c r="A293" s="1" t="s">
        <v>13</v>
      </c>
      <c r="B293" s="1" t="s">
        <v>7900</v>
      </c>
      <c r="C293" s="1" t="s">
        <v>3314</v>
      </c>
      <c r="D293" s="1" t="s">
        <v>668</v>
      </c>
      <c r="E293" s="1">
        <v>2021</v>
      </c>
      <c r="F293" s="1">
        <v>9</v>
      </c>
      <c r="G293" s="4"/>
      <c r="H293" s="1" t="s">
        <v>7901</v>
      </c>
      <c r="I293" s="4"/>
      <c r="J293" s="4"/>
      <c r="K293" s="4"/>
      <c r="L293" s="1">
        <v>2021</v>
      </c>
      <c r="M293" s="4"/>
      <c r="N293" s="1" t="s">
        <v>670</v>
      </c>
      <c r="O293" s="3" t="s">
        <v>7902</v>
      </c>
      <c r="P293" s="1" t="s">
        <v>3317</v>
      </c>
      <c r="Q293" s="1" t="s">
        <v>7903</v>
      </c>
      <c r="R293" s="1" t="s">
        <v>7904</v>
      </c>
    </row>
    <row r="294" spans="1:18" x14ac:dyDescent="0.25">
      <c r="A294" s="1" t="s">
        <v>141</v>
      </c>
      <c r="B294" s="1" t="s">
        <v>7905</v>
      </c>
      <c r="C294" s="1" t="s">
        <v>7906</v>
      </c>
      <c r="D294" s="4"/>
      <c r="E294" s="1">
        <v>2013</v>
      </c>
      <c r="F294" s="4"/>
      <c r="G294" s="4"/>
      <c r="H294" s="1" t="s">
        <v>7907</v>
      </c>
      <c r="I294" s="4"/>
      <c r="J294" s="4"/>
      <c r="K294" s="1" t="s">
        <v>7908</v>
      </c>
      <c r="L294" s="6">
        <v>41518</v>
      </c>
      <c r="M294" s="4"/>
      <c r="N294" s="1" t="s">
        <v>6508</v>
      </c>
      <c r="O294" s="3" t="s">
        <v>7909</v>
      </c>
      <c r="P294" s="1" t="s">
        <v>7910</v>
      </c>
      <c r="Q294" s="1" t="s">
        <v>7911</v>
      </c>
      <c r="R294" s="1" t="s">
        <v>7912</v>
      </c>
    </row>
    <row r="295" spans="1:18" x14ac:dyDescent="0.25">
      <c r="A295" s="1" t="s">
        <v>141</v>
      </c>
      <c r="B295" s="1" t="s">
        <v>7913</v>
      </c>
      <c r="C295" s="1" t="s">
        <v>2245</v>
      </c>
      <c r="D295" s="4"/>
      <c r="E295" s="1">
        <v>2022</v>
      </c>
      <c r="F295" s="4"/>
      <c r="G295" s="4"/>
      <c r="H295" s="1" t="s">
        <v>7914</v>
      </c>
      <c r="I295" s="4"/>
      <c r="J295" s="4"/>
      <c r="K295" s="1" t="s">
        <v>7915</v>
      </c>
      <c r="L295" s="6">
        <v>44621</v>
      </c>
      <c r="M295" s="4"/>
      <c r="N295" s="1" t="s">
        <v>7916</v>
      </c>
      <c r="O295" s="3" t="s">
        <v>7917</v>
      </c>
      <c r="P295" s="1" t="s">
        <v>2248</v>
      </c>
      <c r="Q295" s="1" t="s">
        <v>7918</v>
      </c>
      <c r="R295" s="1" t="s">
        <v>7919</v>
      </c>
    </row>
    <row r="296" spans="1:18" x14ac:dyDescent="0.25">
      <c r="A296" s="1" t="s">
        <v>141</v>
      </c>
      <c r="B296" s="1" t="s">
        <v>7920</v>
      </c>
      <c r="C296" s="1" t="s">
        <v>7921</v>
      </c>
      <c r="D296" s="4"/>
      <c r="E296" s="1">
        <v>2019</v>
      </c>
      <c r="F296" s="4"/>
      <c r="G296" s="4"/>
      <c r="H296" s="1" t="s">
        <v>6506</v>
      </c>
      <c r="I296" s="4"/>
      <c r="J296" s="4"/>
      <c r="K296" s="1" t="s">
        <v>7922</v>
      </c>
      <c r="L296" s="6">
        <v>43525</v>
      </c>
      <c r="M296" s="4"/>
      <c r="N296" s="4"/>
      <c r="O296" s="3" t="s">
        <v>7923</v>
      </c>
      <c r="P296" s="1" t="s">
        <v>7924</v>
      </c>
      <c r="Q296" s="1" t="s">
        <v>7925</v>
      </c>
      <c r="R296" s="1" t="s">
        <v>7926</v>
      </c>
    </row>
    <row r="297" spans="1:18" x14ac:dyDescent="0.25">
      <c r="A297" s="1" t="s">
        <v>141</v>
      </c>
      <c r="B297" s="1" t="s">
        <v>7927</v>
      </c>
      <c r="C297" s="1" t="s">
        <v>7928</v>
      </c>
      <c r="D297" s="4"/>
      <c r="E297" s="1">
        <v>2017</v>
      </c>
      <c r="F297" s="4"/>
      <c r="G297" s="4"/>
      <c r="H297" s="1" t="s">
        <v>7929</v>
      </c>
      <c r="I297" s="4"/>
      <c r="J297" s="4"/>
      <c r="K297" s="1" t="s">
        <v>6518</v>
      </c>
      <c r="L297" s="2">
        <v>43070</v>
      </c>
      <c r="M297" s="4"/>
      <c r="N297" s="4"/>
      <c r="O297" s="3" t="s">
        <v>7930</v>
      </c>
      <c r="P297" s="1" t="s">
        <v>7931</v>
      </c>
      <c r="Q297" s="1" t="s">
        <v>7932</v>
      </c>
      <c r="R297" s="1" t="s">
        <v>7933</v>
      </c>
    </row>
    <row r="298" spans="1:18" x14ac:dyDescent="0.25">
      <c r="A298" s="1" t="s">
        <v>13</v>
      </c>
      <c r="B298" s="4"/>
      <c r="C298" s="1" t="s">
        <v>7934</v>
      </c>
      <c r="D298" s="1" t="s">
        <v>7935</v>
      </c>
      <c r="E298" s="1">
        <v>2021</v>
      </c>
      <c r="F298" s="4"/>
      <c r="G298" s="4"/>
      <c r="H298" s="1" t="s">
        <v>7936</v>
      </c>
      <c r="I298" s="4"/>
      <c r="J298" s="4"/>
      <c r="K298" s="4"/>
      <c r="L298" s="6">
        <v>44287</v>
      </c>
      <c r="M298" s="4"/>
      <c r="N298" s="4"/>
      <c r="O298" s="3" t="s">
        <v>7937</v>
      </c>
      <c r="P298" s="1" t="s">
        <v>7938</v>
      </c>
      <c r="Q298" s="1" t="s">
        <v>7683</v>
      </c>
      <c r="R298" s="1" t="s">
        <v>7939</v>
      </c>
    </row>
    <row r="299" spans="1:18" x14ac:dyDescent="0.25">
      <c r="A299" s="1" t="s">
        <v>13</v>
      </c>
      <c r="B299" s="1" t="s">
        <v>7940</v>
      </c>
      <c r="C299" s="1" t="s">
        <v>7941</v>
      </c>
      <c r="D299" s="1" t="s">
        <v>4805</v>
      </c>
      <c r="E299" s="1">
        <v>2022</v>
      </c>
      <c r="F299" s="4"/>
      <c r="G299" s="4"/>
      <c r="H299" s="9">
        <v>44952</v>
      </c>
      <c r="I299" s="4"/>
      <c r="J299" s="4"/>
      <c r="K299" s="4"/>
      <c r="L299" s="1">
        <v>2022</v>
      </c>
      <c r="M299" s="4"/>
      <c r="N299" s="1" t="s">
        <v>7942</v>
      </c>
      <c r="O299" s="3" t="s">
        <v>7943</v>
      </c>
      <c r="P299" s="1" t="s">
        <v>7944</v>
      </c>
      <c r="Q299" s="1" t="s">
        <v>7945</v>
      </c>
      <c r="R299" s="1" t="s">
        <v>7946</v>
      </c>
    </row>
    <row r="300" spans="1:18" x14ac:dyDescent="0.25">
      <c r="A300" s="1" t="s">
        <v>141</v>
      </c>
      <c r="B300" s="1" t="s">
        <v>4766</v>
      </c>
      <c r="C300" s="1" t="s">
        <v>4767</v>
      </c>
      <c r="D300" s="4"/>
      <c r="E300" s="1">
        <v>2019</v>
      </c>
      <c r="F300" s="4"/>
      <c r="G300" s="4"/>
      <c r="H300" s="1" t="s">
        <v>7947</v>
      </c>
      <c r="I300" s="4"/>
      <c r="J300" s="4"/>
      <c r="K300" s="1" t="s">
        <v>7111</v>
      </c>
      <c r="L300" s="6">
        <v>43647</v>
      </c>
      <c r="M300" s="4"/>
      <c r="N300" s="4"/>
      <c r="O300" s="3" t="s">
        <v>7948</v>
      </c>
      <c r="P300" s="1" t="s">
        <v>4770</v>
      </c>
      <c r="Q300" s="1" t="s">
        <v>7949</v>
      </c>
      <c r="R300" s="1" t="s">
        <v>7950</v>
      </c>
    </row>
    <row r="301" spans="1:18" x14ac:dyDescent="0.25">
      <c r="A301" s="1" t="s">
        <v>141</v>
      </c>
      <c r="B301" s="1" t="s">
        <v>7951</v>
      </c>
      <c r="C301" s="1" t="s">
        <v>7952</v>
      </c>
      <c r="D301" s="4"/>
      <c r="E301" s="1">
        <v>2021</v>
      </c>
      <c r="F301" s="4"/>
      <c r="G301" s="4"/>
      <c r="H301" s="1" t="s">
        <v>7953</v>
      </c>
      <c r="I301" s="4"/>
      <c r="J301" s="4"/>
      <c r="K301" s="1" t="s">
        <v>7954</v>
      </c>
      <c r="L301" s="6">
        <v>44256</v>
      </c>
      <c r="M301" s="4"/>
      <c r="N301" s="4"/>
      <c r="O301" s="3" t="s">
        <v>7955</v>
      </c>
      <c r="P301" s="1" t="s">
        <v>7956</v>
      </c>
      <c r="Q301" s="1" t="s">
        <v>7957</v>
      </c>
      <c r="R301" s="1" t="s">
        <v>7958</v>
      </c>
    </row>
    <row r="302" spans="1:18" x14ac:dyDescent="0.25">
      <c r="A302" s="1" t="s">
        <v>13</v>
      </c>
      <c r="B302" s="1" t="s">
        <v>7959</v>
      </c>
      <c r="C302" s="1" t="s">
        <v>7960</v>
      </c>
      <c r="D302" s="1" t="s">
        <v>668</v>
      </c>
      <c r="E302" s="1">
        <v>2021</v>
      </c>
      <c r="F302" s="1">
        <v>9</v>
      </c>
      <c r="G302" s="4"/>
      <c r="H302" s="1" t="s">
        <v>7961</v>
      </c>
      <c r="I302" s="4"/>
      <c r="J302" s="4"/>
      <c r="K302" s="4"/>
      <c r="L302" s="1">
        <v>2021</v>
      </c>
      <c r="M302" s="4"/>
      <c r="N302" s="1" t="s">
        <v>670</v>
      </c>
      <c r="O302" s="3" t="s">
        <v>7962</v>
      </c>
      <c r="P302" s="1" t="s">
        <v>7963</v>
      </c>
      <c r="Q302" s="1" t="s">
        <v>7964</v>
      </c>
      <c r="R302" s="1" t="s">
        <v>7965</v>
      </c>
    </row>
    <row r="303" spans="1:18" x14ac:dyDescent="0.25">
      <c r="A303" s="1" t="s">
        <v>141</v>
      </c>
      <c r="B303" s="1" t="s">
        <v>7966</v>
      </c>
      <c r="C303" s="1" t="s">
        <v>1490</v>
      </c>
      <c r="D303" s="4"/>
      <c r="E303" s="1">
        <v>2022</v>
      </c>
      <c r="F303" s="4"/>
      <c r="G303" s="4"/>
      <c r="H303" s="1" t="s">
        <v>7967</v>
      </c>
      <c r="I303" s="4"/>
      <c r="J303" s="4"/>
      <c r="K303" s="1" t="s">
        <v>7968</v>
      </c>
      <c r="L303" s="6">
        <v>44652</v>
      </c>
      <c r="M303" s="4"/>
      <c r="N303" s="4"/>
      <c r="O303" s="3" t="s">
        <v>7969</v>
      </c>
      <c r="P303" s="1" t="s">
        <v>1493</v>
      </c>
      <c r="Q303" s="1" t="s">
        <v>7970</v>
      </c>
      <c r="R303" s="1" t="s">
        <v>7971</v>
      </c>
    </row>
    <row r="304" spans="1:18" x14ac:dyDescent="0.25">
      <c r="A304" s="1" t="s">
        <v>7972</v>
      </c>
      <c r="B304" s="1" t="s">
        <v>7973</v>
      </c>
      <c r="C304" s="1" t="s">
        <v>7974</v>
      </c>
      <c r="D304" s="4"/>
      <c r="E304" s="1">
        <v>2022</v>
      </c>
      <c r="F304" s="4"/>
      <c r="G304" s="4"/>
      <c r="H304" s="1" t="s">
        <v>7975</v>
      </c>
      <c r="I304" s="1" t="s">
        <v>7976</v>
      </c>
      <c r="J304" s="1" t="s">
        <v>7977</v>
      </c>
      <c r="K304" s="4"/>
      <c r="L304" s="1">
        <v>2022</v>
      </c>
      <c r="M304" s="1">
        <v>9781119854333</v>
      </c>
      <c r="N304" s="4"/>
      <c r="O304" s="3" t="s">
        <v>7978</v>
      </c>
      <c r="P304" s="4"/>
      <c r="Q304" s="1" t="s">
        <v>7979</v>
      </c>
      <c r="R304" s="1" t="s">
        <v>7980</v>
      </c>
    </row>
    <row r="305" spans="1:18" x14ac:dyDescent="0.25">
      <c r="A305" s="1" t="s">
        <v>141</v>
      </c>
      <c r="B305" s="1" t="s">
        <v>7981</v>
      </c>
      <c r="C305" s="1" t="s">
        <v>7982</v>
      </c>
      <c r="D305" s="4"/>
      <c r="E305" s="1">
        <v>2020</v>
      </c>
      <c r="F305" s="4"/>
      <c r="G305" s="4"/>
      <c r="H305" s="1" t="s">
        <v>7983</v>
      </c>
      <c r="I305" s="4"/>
      <c r="J305" s="4"/>
      <c r="K305" s="1" t="s">
        <v>7984</v>
      </c>
      <c r="L305" s="6">
        <v>43922</v>
      </c>
      <c r="M305" s="4"/>
      <c r="N305" s="4"/>
      <c r="O305" s="3" t="s">
        <v>7985</v>
      </c>
      <c r="P305" s="1" t="s">
        <v>7986</v>
      </c>
      <c r="Q305" s="1" t="s">
        <v>7987</v>
      </c>
      <c r="R305" s="1" t="s">
        <v>7988</v>
      </c>
    </row>
    <row r="306" spans="1:18" x14ac:dyDescent="0.25">
      <c r="A306" s="1" t="s">
        <v>141</v>
      </c>
      <c r="B306" s="1" t="s">
        <v>7989</v>
      </c>
      <c r="C306" s="1" t="s">
        <v>7990</v>
      </c>
      <c r="D306" s="4"/>
      <c r="E306" s="1">
        <v>2020</v>
      </c>
      <c r="F306" s="4"/>
      <c r="G306" s="4"/>
      <c r="H306" s="9">
        <v>44935</v>
      </c>
      <c r="I306" s="4"/>
      <c r="J306" s="4"/>
      <c r="K306" s="1" t="s">
        <v>7991</v>
      </c>
      <c r="L306" s="6">
        <v>44044</v>
      </c>
      <c r="M306" s="4"/>
      <c r="N306" s="1" t="s">
        <v>7219</v>
      </c>
      <c r="O306" s="3" t="s">
        <v>7992</v>
      </c>
      <c r="P306" s="1" t="s">
        <v>7993</v>
      </c>
      <c r="Q306" s="1" t="s">
        <v>7994</v>
      </c>
      <c r="R306" s="1" t="s">
        <v>7995</v>
      </c>
    </row>
    <row r="307" spans="1:18" x14ac:dyDescent="0.25">
      <c r="A307" s="1" t="s">
        <v>141</v>
      </c>
      <c r="B307" s="1" t="s">
        <v>7996</v>
      </c>
      <c r="C307" s="1" t="s">
        <v>7997</v>
      </c>
      <c r="D307" s="4"/>
      <c r="E307" s="1">
        <v>2020</v>
      </c>
      <c r="F307" s="4"/>
      <c r="G307" s="4"/>
      <c r="H307" s="1" t="s">
        <v>7998</v>
      </c>
      <c r="I307" s="4"/>
      <c r="J307" s="4"/>
      <c r="K307" s="1" t="s">
        <v>7999</v>
      </c>
      <c r="L307" s="2">
        <v>44105</v>
      </c>
      <c r="M307" s="4"/>
      <c r="N307" s="4"/>
      <c r="O307" s="3" t="s">
        <v>8000</v>
      </c>
      <c r="P307" s="1" t="s">
        <v>8001</v>
      </c>
      <c r="Q307" s="1" t="s">
        <v>8002</v>
      </c>
      <c r="R307" s="1" t="s">
        <v>8003</v>
      </c>
    </row>
    <row r="308" spans="1:18" x14ac:dyDescent="0.25">
      <c r="A308" s="1" t="s">
        <v>141</v>
      </c>
      <c r="B308" s="1" t="s">
        <v>8004</v>
      </c>
      <c r="C308" s="1" t="s">
        <v>8005</v>
      </c>
      <c r="D308" s="4"/>
      <c r="E308" s="1">
        <v>2011</v>
      </c>
      <c r="F308" s="4"/>
      <c r="G308" s="4"/>
      <c r="H308" s="1" t="s">
        <v>8006</v>
      </c>
      <c r="I308" s="4"/>
      <c r="J308" s="4"/>
      <c r="K308" s="1" t="s">
        <v>8007</v>
      </c>
      <c r="L308" s="2">
        <v>40848</v>
      </c>
      <c r="M308" s="4"/>
      <c r="N308" s="4"/>
      <c r="O308" s="3" t="s">
        <v>8008</v>
      </c>
      <c r="P308" s="1" t="s">
        <v>8009</v>
      </c>
      <c r="Q308" s="1" t="s">
        <v>8010</v>
      </c>
      <c r="R308" s="1" t="s">
        <v>8011</v>
      </c>
    </row>
    <row r="309" spans="1:18" x14ac:dyDescent="0.25">
      <c r="A309" s="1" t="s">
        <v>141</v>
      </c>
      <c r="B309" s="1" t="s">
        <v>8012</v>
      </c>
      <c r="C309" s="1" t="s">
        <v>8013</v>
      </c>
      <c r="D309" s="4"/>
      <c r="E309" s="1">
        <v>2021</v>
      </c>
      <c r="F309" s="4"/>
      <c r="G309" s="4"/>
      <c r="H309" s="1" t="s">
        <v>8014</v>
      </c>
      <c r="I309" s="4"/>
      <c r="J309" s="4"/>
      <c r="K309" s="1" t="s">
        <v>7278</v>
      </c>
      <c r="L309" s="6">
        <v>44256</v>
      </c>
      <c r="M309" s="4"/>
      <c r="N309" s="1" t="s">
        <v>6593</v>
      </c>
      <c r="O309" s="3" t="s">
        <v>8015</v>
      </c>
      <c r="P309" s="1" t="s">
        <v>8016</v>
      </c>
      <c r="Q309" s="1" t="s">
        <v>8017</v>
      </c>
      <c r="R309" s="1" t="s">
        <v>8018</v>
      </c>
    </row>
    <row r="310" spans="1:18" x14ac:dyDescent="0.25">
      <c r="A310" s="1" t="s">
        <v>13</v>
      </c>
      <c r="B310" s="1" t="s">
        <v>8019</v>
      </c>
      <c r="C310" s="1" t="s">
        <v>8020</v>
      </c>
      <c r="D310" s="1" t="s">
        <v>668</v>
      </c>
      <c r="E310" s="1">
        <v>2022</v>
      </c>
      <c r="F310" s="1">
        <v>10</v>
      </c>
      <c r="G310" s="4"/>
      <c r="H310" s="1" t="s">
        <v>8021</v>
      </c>
      <c r="I310" s="4"/>
      <c r="J310" s="4"/>
      <c r="K310" s="4"/>
      <c r="L310" s="1">
        <v>2022</v>
      </c>
      <c r="M310" s="4"/>
      <c r="N310" s="1" t="s">
        <v>670</v>
      </c>
      <c r="O310" s="3" t="s">
        <v>8022</v>
      </c>
      <c r="P310" s="1" t="s">
        <v>8023</v>
      </c>
      <c r="Q310" s="1" t="s">
        <v>8024</v>
      </c>
      <c r="R310" s="1" t="s">
        <v>8025</v>
      </c>
    </row>
    <row r="311" spans="1:18" x14ac:dyDescent="0.25">
      <c r="A311" s="1" t="s">
        <v>141</v>
      </c>
      <c r="B311" s="1" t="s">
        <v>8026</v>
      </c>
      <c r="C311" s="1" t="s">
        <v>8027</v>
      </c>
      <c r="D311" s="4"/>
      <c r="E311" s="1">
        <v>2022</v>
      </c>
      <c r="F311" s="4"/>
      <c r="G311" s="4"/>
      <c r="H311" s="9">
        <v>44934</v>
      </c>
      <c r="I311" s="4"/>
      <c r="J311" s="4"/>
      <c r="K311" s="1" t="s">
        <v>8028</v>
      </c>
      <c r="L311" s="6">
        <v>44805</v>
      </c>
      <c r="M311" s="4"/>
      <c r="N311" s="4"/>
      <c r="O311" s="3" t="s">
        <v>8029</v>
      </c>
      <c r="P311" s="1" t="s">
        <v>8030</v>
      </c>
      <c r="Q311" s="1" t="s">
        <v>8031</v>
      </c>
      <c r="R311" s="1" t="s">
        <v>8032</v>
      </c>
    </row>
    <row r="312" spans="1:18" x14ac:dyDescent="0.25">
      <c r="A312" s="1" t="s">
        <v>141</v>
      </c>
      <c r="B312" s="1" t="s">
        <v>8033</v>
      </c>
      <c r="C312" s="1" t="s">
        <v>8034</v>
      </c>
      <c r="D312" s="4"/>
      <c r="E312" s="1">
        <v>2022</v>
      </c>
      <c r="F312" s="4"/>
      <c r="G312" s="4"/>
      <c r="H312" s="1" t="s">
        <v>8035</v>
      </c>
      <c r="I312" s="4"/>
      <c r="J312" s="4"/>
      <c r="K312" s="1" t="s">
        <v>7558</v>
      </c>
      <c r="L312" s="2">
        <v>44835</v>
      </c>
      <c r="M312" s="4"/>
      <c r="N312" s="1" t="s">
        <v>6449</v>
      </c>
      <c r="O312" s="3" t="s">
        <v>8036</v>
      </c>
      <c r="P312" s="1" t="s">
        <v>8037</v>
      </c>
      <c r="Q312" s="1" t="s">
        <v>8038</v>
      </c>
      <c r="R312" s="1" t="s">
        <v>8039</v>
      </c>
    </row>
    <row r="313" spans="1:18" x14ac:dyDescent="0.25">
      <c r="A313" s="1" t="s">
        <v>141</v>
      </c>
      <c r="B313" s="1" t="s">
        <v>8040</v>
      </c>
      <c r="C313" s="1" t="s">
        <v>8041</v>
      </c>
      <c r="D313" s="4"/>
      <c r="E313" s="1">
        <v>2014</v>
      </c>
      <c r="F313" s="4"/>
      <c r="G313" s="4"/>
      <c r="H313" s="1" t="s">
        <v>8042</v>
      </c>
      <c r="I313" s="4"/>
      <c r="J313" s="4"/>
      <c r="K313" s="1" t="s">
        <v>8043</v>
      </c>
      <c r="L313" s="6">
        <v>41671</v>
      </c>
      <c r="M313" s="4"/>
      <c r="N313" s="4"/>
      <c r="O313" s="3" t="s">
        <v>8044</v>
      </c>
      <c r="P313" s="1" t="s">
        <v>8045</v>
      </c>
      <c r="Q313" s="1" t="s">
        <v>8046</v>
      </c>
      <c r="R313" s="1" t="s">
        <v>8047</v>
      </c>
    </row>
    <row r="314" spans="1:18" x14ac:dyDescent="0.25">
      <c r="A314" s="1" t="s">
        <v>141</v>
      </c>
      <c r="B314" s="1" t="s">
        <v>8048</v>
      </c>
      <c r="C314" s="1" t="s">
        <v>8049</v>
      </c>
      <c r="D314" s="4"/>
      <c r="E314" s="1">
        <v>2019</v>
      </c>
      <c r="F314" s="4"/>
      <c r="G314" s="4"/>
      <c r="H314" s="1" t="s">
        <v>8050</v>
      </c>
      <c r="I314" s="4"/>
      <c r="J314" s="4"/>
      <c r="K314" s="1" t="s">
        <v>8051</v>
      </c>
      <c r="L314" s="6">
        <v>43617</v>
      </c>
      <c r="M314" s="4"/>
      <c r="N314" s="4"/>
      <c r="O314" s="3" t="s">
        <v>8052</v>
      </c>
      <c r="P314" s="1" t="s">
        <v>8053</v>
      </c>
      <c r="Q314" s="1" t="s">
        <v>8054</v>
      </c>
      <c r="R314" s="1" t="s">
        <v>8055</v>
      </c>
    </row>
    <row r="315" spans="1:18" x14ac:dyDescent="0.25">
      <c r="A315" s="1" t="s">
        <v>141</v>
      </c>
      <c r="B315" s="1" t="s">
        <v>8056</v>
      </c>
      <c r="C315" s="1" t="s">
        <v>8057</v>
      </c>
      <c r="D315" s="4"/>
      <c r="E315" s="1">
        <v>2020</v>
      </c>
      <c r="F315" s="4"/>
      <c r="G315" s="4"/>
      <c r="H315" s="1" t="s">
        <v>8058</v>
      </c>
      <c r="I315" s="4"/>
      <c r="J315" s="4"/>
      <c r="K315" s="1" t="s">
        <v>8059</v>
      </c>
      <c r="L315" s="6">
        <v>43891</v>
      </c>
      <c r="M315" s="4"/>
      <c r="N315" s="4"/>
      <c r="O315" s="3" t="s">
        <v>8060</v>
      </c>
      <c r="P315" s="1" t="s">
        <v>8061</v>
      </c>
      <c r="Q315" s="1" t="s">
        <v>8062</v>
      </c>
      <c r="R315" s="1" t="s">
        <v>8063</v>
      </c>
    </row>
    <row r="316" spans="1:18" x14ac:dyDescent="0.25">
      <c r="A316" s="1" t="s">
        <v>141</v>
      </c>
      <c r="B316" s="1" t="s">
        <v>8064</v>
      </c>
      <c r="C316" s="1" t="s">
        <v>3410</v>
      </c>
      <c r="D316" s="4"/>
      <c r="E316" s="1">
        <v>2021</v>
      </c>
      <c r="F316" s="4"/>
      <c r="G316" s="4"/>
      <c r="H316" s="1" t="s">
        <v>8065</v>
      </c>
      <c r="I316" s="4"/>
      <c r="J316" s="4"/>
      <c r="K316" s="1" t="s">
        <v>6225</v>
      </c>
      <c r="L316" s="6">
        <v>44317</v>
      </c>
      <c r="M316" s="4"/>
      <c r="N316" s="1" t="s">
        <v>6226</v>
      </c>
      <c r="O316" s="3" t="s">
        <v>8066</v>
      </c>
      <c r="P316" s="1" t="s">
        <v>3413</v>
      </c>
      <c r="Q316" s="1" t="s">
        <v>8067</v>
      </c>
      <c r="R316" s="1" t="s">
        <v>8068</v>
      </c>
    </row>
    <row r="317" spans="1:18" x14ac:dyDescent="0.25">
      <c r="A317" s="1" t="s">
        <v>13</v>
      </c>
      <c r="B317" s="1" t="s">
        <v>4803</v>
      </c>
      <c r="C317" s="1" t="s">
        <v>8069</v>
      </c>
      <c r="D317" s="1" t="s">
        <v>4805</v>
      </c>
      <c r="E317" s="1">
        <v>2020</v>
      </c>
      <c r="F317" s="1">
        <v>108</v>
      </c>
      <c r="G317" s="1">
        <v>7</v>
      </c>
      <c r="H317" s="1" t="s">
        <v>8070</v>
      </c>
      <c r="I317" s="4"/>
      <c r="J317" s="4"/>
      <c r="K317" s="4"/>
      <c r="L317" s="6">
        <v>44013</v>
      </c>
      <c r="M317" s="4"/>
      <c r="N317" s="1" t="s">
        <v>7942</v>
      </c>
      <c r="O317" s="3" t="s">
        <v>8071</v>
      </c>
      <c r="P317" s="1" t="s">
        <v>4809</v>
      </c>
      <c r="Q317" s="1" t="s">
        <v>8072</v>
      </c>
      <c r="R317" s="1" t="s">
        <v>8073</v>
      </c>
    </row>
    <row r="318" spans="1:18" x14ac:dyDescent="0.25">
      <c r="A318" s="1" t="s">
        <v>13</v>
      </c>
      <c r="B318" s="1" t="s">
        <v>6305</v>
      </c>
      <c r="C318" s="1" t="s">
        <v>8074</v>
      </c>
      <c r="D318" s="1" t="s">
        <v>6307</v>
      </c>
      <c r="E318" s="1">
        <v>2019</v>
      </c>
      <c r="F318" s="1">
        <v>21</v>
      </c>
      <c r="G318" s="1">
        <v>3</v>
      </c>
      <c r="H318" s="1" t="s">
        <v>8075</v>
      </c>
      <c r="I318" s="4"/>
      <c r="J318" s="4"/>
      <c r="K318" s="4"/>
      <c r="L318" s="6">
        <v>43586</v>
      </c>
      <c r="M318" s="4"/>
      <c r="N318" s="1" t="s">
        <v>6309</v>
      </c>
      <c r="O318" s="3" t="s">
        <v>8076</v>
      </c>
      <c r="P318" s="1" t="s">
        <v>8077</v>
      </c>
      <c r="Q318" s="1" t="s">
        <v>8078</v>
      </c>
      <c r="R318" s="1" t="s">
        <v>8079</v>
      </c>
    </row>
    <row r="319" spans="1:18" x14ac:dyDescent="0.25">
      <c r="A319" s="1" t="s">
        <v>141</v>
      </c>
      <c r="B319" s="1" t="s">
        <v>8080</v>
      </c>
      <c r="C319" s="1" t="s">
        <v>8081</v>
      </c>
      <c r="D319" s="4"/>
      <c r="E319" s="1">
        <v>2017</v>
      </c>
      <c r="F319" s="4"/>
      <c r="G319" s="4"/>
      <c r="H319" s="9">
        <v>45184</v>
      </c>
      <c r="I319" s="4"/>
      <c r="J319" s="4"/>
      <c r="K319" s="1" t="s">
        <v>8082</v>
      </c>
      <c r="L319" s="6">
        <v>42856</v>
      </c>
      <c r="M319" s="4"/>
      <c r="N319" s="4"/>
      <c r="O319" s="3" t="s">
        <v>8083</v>
      </c>
      <c r="P319" s="1" t="s">
        <v>8084</v>
      </c>
      <c r="Q319" s="1" t="s">
        <v>8085</v>
      </c>
      <c r="R319" s="1" t="s">
        <v>8086</v>
      </c>
    </row>
    <row r="320" spans="1:18" x14ac:dyDescent="0.25">
      <c r="A320" s="1" t="s">
        <v>13</v>
      </c>
      <c r="B320" s="1" t="s">
        <v>1684</v>
      </c>
      <c r="C320" s="1" t="s">
        <v>1685</v>
      </c>
      <c r="D320" s="1" t="s">
        <v>1686</v>
      </c>
      <c r="E320" s="1">
        <v>2021</v>
      </c>
      <c r="F320" s="1">
        <v>8</v>
      </c>
      <c r="G320" s="1">
        <v>22</v>
      </c>
      <c r="H320" s="1" t="s">
        <v>8087</v>
      </c>
      <c r="I320" s="4"/>
      <c r="J320" s="4"/>
      <c r="K320" s="4"/>
      <c r="L320" s="2">
        <v>44501</v>
      </c>
      <c r="M320" s="4"/>
      <c r="N320" s="1" t="s">
        <v>1688</v>
      </c>
      <c r="O320" s="3" t="s">
        <v>8088</v>
      </c>
      <c r="P320" s="1" t="s">
        <v>1690</v>
      </c>
      <c r="Q320" s="1" t="s">
        <v>8089</v>
      </c>
      <c r="R320" s="1" t="s">
        <v>8090</v>
      </c>
    </row>
    <row r="321" spans="1:18" x14ac:dyDescent="0.25">
      <c r="A321" s="1" t="s">
        <v>13</v>
      </c>
      <c r="B321" s="1" t="s">
        <v>8091</v>
      </c>
      <c r="C321" s="1" t="s">
        <v>8092</v>
      </c>
      <c r="D321" s="1" t="s">
        <v>4637</v>
      </c>
      <c r="E321" s="1">
        <v>2019</v>
      </c>
      <c r="F321" s="1">
        <v>36</v>
      </c>
      <c r="G321" s="1">
        <v>6</v>
      </c>
      <c r="H321" s="9">
        <v>45118</v>
      </c>
      <c r="I321" s="4"/>
      <c r="J321" s="4"/>
      <c r="K321" s="4"/>
      <c r="L321" s="2">
        <v>43770</v>
      </c>
      <c r="M321" s="4"/>
      <c r="N321" s="1" t="s">
        <v>6207</v>
      </c>
      <c r="O321" s="3" t="s">
        <v>8093</v>
      </c>
      <c r="P321" s="1" t="s">
        <v>8094</v>
      </c>
      <c r="Q321" s="1" t="s">
        <v>8095</v>
      </c>
      <c r="R321" s="1" t="s">
        <v>8096</v>
      </c>
    </row>
    <row r="322" spans="1:18" x14ac:dyDescent="0.25">
      <c r="A322" s="1" t="s">
        <v>141</v>
      </c>
      <c r="B322" s="1" t="s">
        <v>8097</v>
      </c>
      <c r="C322" s="1" t="s">
        <v>8098</v>
      </c>
      <c r="D322" s="4"/>
      <c r="E322" s="1">
        <v>2020</v>
      </c>
      <c r="F322" s="4"/>
      <c r="G322" s="4"/>
      <c r="H322" s="1" t="s">
        <v>8099</v>
      </c>
      <c r="I322" s="4"/>
      <c r="J322" s="4"/>
      <c r="K322" s="1" t="s">
        <v>8100</v>
      </c>
      <c r="L322" s="6">
        <v>43922</v>
      </c>
      <c r="M322" s="4"/>
      <c r="N322" s="1" t="s">
        <v>8101</v>
      </c>
      <c r="O322" s="3" t="s">
        <v>8102</v>
      </c>
      <c r="P322" s="1" t="s">
        <v>8103</v>
      </c>
      <c r="Q322" s="1" t="s">
        <v>8104</v>
      </c>
      <c r="R322" s="1" t="s">
        <v>8105</v>
      </c>
    </row>
    <row r="323" spans="1:18" x14ac:dyDescent="0.25">
      <c r="A323" s="1" t="s">
        <v>13</v>
      </c>
      <c r="B323" s="1" t="s">
        <v>8106</v>
      </c>
      <c r="C323" s="1" t="s">
        <v>8107</v>
      </c>
      <c r="D323" s="1" t="s">
        <v>4637</v>
      </c>
      <c r="E323" s="1">
        <v>2022</v>
      </c>
      <c r="F323" s="1">
        <v>39</v>
      </c>
      <c r="G323" s="1">
        <v>3</v>
      </c>
      <c r="H323" s="9">
        <v>45280</v>
      </c>
      <c r="I323" s="4"/>
      <c r="J323" s="4"/>
      <c r="K323" s="4"/>
      <c r="L323" s="6">
        <v>44682</v>
      </c>
      <c r="M323" s="4"/>
      <c r="N323" s="1" t="s">
        <v>6207</v>
      </c>
      <c r="O323" s="3" t="s">
        <v>8108</v>
      </c>
      <c r="P323" s="1" t="s">
        <v>8109</v>
      </c>
      <c r="Q323" s="1" t="s">
        <v>8110</v>
      </c>
      <c r="R323" s="1" t="s">
        <v>8111</v>
      </c>
    </row>
    <row r="324" spans="1:18" x14ac:dyDescent="0.25">
      <c r="A324" s="1" t="s">
        <v>13</v>
      </c>
      <c r="B324" s="1" t="s">
        <v>8112</v>
      </c>
      <c r="C324" s="1" t="s">
        <v>8113</v>
      </c>
      <c r="D324" s="1" t="s">
        <v>8114</v>
      </c>
      <c r="E324" s="1">
        <v>2020</v>
      </c>
      <c r="F324" s="1">
        <v>64</v>
      </c>
      <c r="G324" s="11">
        <v>44989</v>
      </c>
      <c r="H324" s="1" t="s">
        <v>8115</v>
      </c>
      <c r="I324" s="4"/>
      <c r="J324" s="4"/>
      <c r="K324" s="4"/>
      <c r="L324" s="6">
        <v>43952</v>
      </c>
      <c r="M324" s="4"/>
      <c r="N324" s="1" t="s">
        <v>8116</v>
      </c>
      <c r="O324" s="3" t="s">
        <v>8117</v>
      </c>
      <c r="P324" s="1" t="s">
        <v>8118</v>
      </c>
      <c r="Q324" s="1" t="s">
        <v>8119</v>
      </c>
      <c r="R324" s="1" t="s">
        <v>8120</v>
      </c>
    </row>
    <row r="325" spans="1:18" x14ac:dyDescent="0.25">
      <c r="A325" s="1" t="s">
        <v>141</v>
      </c>
      <c r="B325" s="1" t="s">
        <v>8121</v>
      </c>
      <c r="C325" s="1" t="s">
        <v>8122</v>
      </c>
      <c r="D325" s="4"/>
      <c r="E325" s="1">
        <v>2019</v>
      </c>
      <c r="F325" s="4"/>
      <c r="G325" s="4"/>
      <c r="H325" s="1" t="s">
        <v>8123</v>
      </c>
      <c r="I325" s="4"/>
      <c r="J325" s="4"/>
      <c r="K325" s="1" t="s">
        <v>8124</v>
      </c>
      <c r="L325" s="2">
        <v>43800</v>
      </c>
      <c r="M325" s="4"/>
      <c r="N325" s="4"/>
      <c r="O325" s="3" t="s">
        <v>8125</v>
      </c>
      <c r="P325" s="1" t="s">
        <v>8126</v>
      </c>
      <c r="Q325" s="1" t="s">
        <v>8127</v>
      </c>
      <c r="R325" s="1" t="s">
        <v>8128</v>
      </c>
    </row>
    <row r="326" spans="1:18" x14ac:dyDescent="0.25">
      <c r="A326" s="1" t="s">
        <v>141</v>
      </c>
      <c r="B326" s="1" t="s">
        <v>8129</v>
      </c>
      <c r="C326" s="1" t="s">
        <v>2112</v>
      </c>
      <c r="D326" s="4"/>
      <c r="E326" s="1">
        <v>2022</v>
      </c>
      <c r="F326" s="4"/>
      <c r="G326" s="4"/>
      <c r="H326" s="1" t="s">
        <v>8130</v>
      </c>
      <c r="I326" s="4"/>
      <c r="J326" s="4"/>
      <c r="K326" s="1" t="s">
        <v>6469</v>
      </c>
      <c r="L326" s="6">
        <v>44682</v>
      </c>
      <c r="M326" s="4"/>
      <c r="N326" s="1" t="s">
        <v>6152</v>
      </c>
      <c r="O326" s="3" t="s">
        <v>8131</v>
      </c>
      <c r="P326" s="1" t="s">
        <v>2115</v>
      </c>
      <c r="Q326" s="1" t="s">
        <v>8132</v>
      </c>
      <c r="R326" s="1" t="s">
        <v>8133</v>
      </c>
    </row>
    <row r="327" spans="1:18" x14ac:dyDescent="0.25">
      <c r="A327" s="1" t="s">
        <v>7972</v>
      </c>
      <c r="B327" s="1" t="s">
        <v>8134</v>
      </c>
      <c r="C327" s="1" t="s">
        <v>8135</v>
      </c>
      <c r="D327" s="4"/>
      <c r="E327" s="1">
        <v>2020</v>
      </c>
      <c r="F327" s="4"/>
      <c r="G327" s="4"/>
      <c r="H327" s="1" t="s">
        <v>8136</v>
      </c>
      <c r="I327" s="1" t="s">
        <v>7976</v>
      </c>
      <c r="J327" s="1" t="s">
        <v>8137</v>
      </c>
      <c r="K327" s="4"/>
      <c r="L327" s="1">
        <v>2020</v>
      </c>
      <c r="M327" s="1">
        <v>9781119642831</v>
      </c>
      <c r="N327" s="4"/>
      <c r="O327" s="3" t="s">
        <v>8138</v>
      </c>
      <c r="P327" s="1" t="s">
        <v>8139</v>
      </c>
      <c r="Q327" s="1" t="s">
        <v>8140</v>
      </c>
      <c r="R327" s="1" t="s">
        <v>8141</v>
      </c>
    </row>
    <row r="328" spans="1:18" x14ac:dyDescent="0.25">
      <c r="A328" s="1" t="s">
        <v>141</v>
      </c>
      <c r="B328" s="1" t="s">
        <v>8142</v>
      </c>
      <c r="C328" s="1" t="s">
        <v>8143</v>
      </c>
      <c r="D328" s="4"/>
      <c r="E328" s="1">
        <v>2022</v>
      </c>
      <c r="F328" s="4"/>
      <c r="G328" s="4"/>
      <c r="H328" s="1" t="s">
        <v>8144</v>
      </c>
      <c r="I328" s="4"/>
      <c r="J328" s="4"/>
      <c r="K328" s="1" t="s">
        <v>7760</v>
      </c>
      <c r="L328" s="2">
        <v>44835</v>
      </c>
      <c r="M328" s="4"/>
      <c r="N328" s="4"/>
      <c r="O328" s="3" t="s">
        <v>8145</v>
      </c>
      <c r="P328" s="1" t="s">
        <v>8146</v>
      </c>
      <c r="Q328" s="1" t="s">
        <v>8147</v>
      </c>
      <c r="R328" s="1" t="s">
        <v>8148</v>
      </c>
    </row>
    <row r="329" spans="1:18" x14ac:dyDescent="0.25">
      <c r="A329" s="1" t="s">
        <v>7972</v>
      </c>
      <c r="B329" s="1" t="s">
        <v>8134</v>
      </c>
      <c r="C329" s="1" t="s">
        <v>8149</v>
      </c>
      <c r="D329" s="4"/>
      <c r="E329" s="1">
        <v>2020</v>
      </c>
      <c r="F329" s="4"/>
      <c r="G329" s="4"/>
      <c r="H329" s="1" t="s">
        <v>8150</v>
      </c>
      <c r="I329" s="1" t="s">
        <v>7976</v>
      </c>
      <c r="J329" s="1" t="s">
        <v>8137</v>
      </c>
      <c r="K329" s="4"/>
      <c r="L329" s="1">
        <v>2020</v>
      </c>
      <c r="M329" s="1">
        <v>9781119642831</v>
      </c>
      <c r="N329" s="4"/>
      <c r="O329" s="3" t="s">
        <v>8151</v>
      </c>
      <c r="P329" s="1" t="s">
        <v>8152</v>
      </c>
      <c r="Q329" s="1" t="s">
        <v>8153</v>
      </c>
      <c r="R329" s="1" t="s">
        <v>8154</v>
      </c>
    </row>
    <row r="330" spans="1:18" x14ac:dyDescent="0.25">
      <c r="A330" s="1" t="s">
        <v>141</v>
      </c>
      <c r="B330" s="1" t="s">
        <v>1422</v>
      </c>
      <c r="C330" s="1" t="s">
        <v>1423</v>
      </c>
      <c r="D330" s="4"/>
      <c r="E330" s="1">
        <v>2022</v>
      </c>
      <c r="F330" s="4"/>
      <c r="G330" s="4"/>
      <c r="H330" s="1" t="s">
        <v>8155</v>
      </c>
      <c r="I330" s="4"/>
      <c r="J330" s="4"/>
      <c r="K330" s="1" t="s">
        <v>6722</v>
      </c>
      <c r="L330" s="6">
        <v>44682</v>
      </c>
      <c r="M330" s="4"/>
      <c r="N330" s="1" t="s">
        <v>6226</v>
      </c>
      <c r="O330" s="3" t="s">
        <v>8156</v>
      </c>
      <c r="P330" s="1" t="s">
        <v>1426</v>
      </c>
      <c r="Q330" s="1" t="s">
        <v>8157</v>
      </c>
      <c r="R330" s="1" t="s">
        <v>8158</v>
      </c>
    </row>
    <row r="331" spans="1:18" x14ac:dyDescent="0.25">
      <c r="A331" s="1" t="s">
        <v>141</v>
      </c>
      <c r="B331" s="1" t="s">
        <v>8159</v>
      </c>
      <c r="C331" s="1" t="s">
        <v>2551</v>
      </c>
      <c r="D331" s="4"/>
      <c r="E331" s="1">
        <v>2022</v>
      </c>
      <c r="F331" s="4"/>
      <c r="G331" s="4"/>
      <c r="H331" s="1" t="s">
        <v>8160</v>
      </c>
      <c r="I331" s="4"/>
      <c r="J331" s="4"/>
      <c r="K331" s="1" t="s">
        <v>6469</v>
      </c>
      <c r="L331" s="6">
        <v>44682</v>
      </c>
      <c r="M331" s="4"/>
      <c r="N331" s="1" t="s">
        <v>6152</v>
      </c>
      <c r="O331" s="3" t="s">
        <v>8161</v>
      </c>
      <c r="P331" s="1" t="s">
        <v>2554</v>
      </c>
      <c r="Q331" s="1" t="s">
        <v>8162</v>
      </c>
      <c r="R331" s="1" t="s">
        <v>8163</v>
      </c>
    </row>
    <row r="332" spans="1:18" x14ac:dyDescent="0.25">
      <c r="A332" s="1" t="s">
        <v>7972</v>
      </c>
      <c r="B332" s="1" t="s">
        <v>8134</v>
      </c>
      <c r="C332" s="1" t="s">
        <v>8164</v>
      </c>
      <c r="D332" s="4"/>
      <c r="E332" s="1">
        <v>2020</v>
      </c>
      <c r="F332" s="4"/>
      <c r="G332" s="4"/>
      <c r="H332" s="1" t="s">
        <v>8165</v>
      </c>
      <c r="I332" s="1" t="s">
        <v>7976</v>
      </c>
      <c r="J332" s="1" t="s">
        <v>8137</v>
      </c>
      <c r="K332" s="4"/>
      <c r="L332" s="1">
        <v>2020</v>
      </c>
      <c r="M332" s="1">
        <v>9781119642831</v>
      </c>
      <c r="N332" s="4"/>
      <c r="O332" s="3" t="s">
        <v>8166</v>
      </c>
      <c r="P332" s="1" t="s">
        <v>8167</v>
      </c>
      <c r="Q332" s="4"/>
      <c r="R332" s="4"/>
    </row>
    <row r="333" spans="1:18" x14ac:dyDescent="0.25">
      <c r="A333" s="1" t="s">
        <v>7972</v>
      </c>
      <c r="B333" s="4"/>
      <c r="C333" s="1" t="s">
        <v>8168</v>
      </c>
      <c r="D333" s="4"/>
      <c r="E333" s="1">
        <v>2020</v>
      </c>
      <c r="F333" s="4"/>
      <c r="G333" s="4"/>
      <c r="H333" s="1" t="s">
        <v>6844</v>
      </c>
      <c r="I333" s="1" t="s">
        <v>7976</v>
      </c>
      <c r="J333" s="1" t="s">
        <v>8169</v>
      </c>
      <c r="K333" s="4"/>
      <c r="L333" s="1">
        <v>2020</v>
      </c>
      <c r="M333" s="1">
        <v>9781119513940</v>
      </c>
      <c r="N333" s="4"/>
      <c r="O333" s="3" t="s">
        <v>8170</v>
      </c>
      <c r="P333" s="1" t="s">
        <v>8171</v>
      </c>
      <c r="Q333" s="4"/>
      <c r="R333" s="4"/>
    </row>
    <row r="334" spans="1:18" x14ac:dyDescent="0.25">
      <c r="A334" s="1" t="s">
        <v>13</v>
      </c>
      <c r="B334" s="1" t="s">
        <v>8172</v>
      </c>
      <c r="C334" s="1" t="s">
        <v>8173</v>
      </c>
      <c r="D334" s="1" t="s">
        <v>8174</v>
      </c>
      <c r="E334" s="1">
        <v>2022</v>
      </c>
      <c r="F334" s="1">
        <v>20</v>
      </c>
      <c r="G334" s="1">
        <v>1</v>
      </c>
      <c r="H334" s="1" t="s">
        <v>8175</v>
      </c>
      <c r="I334" s="4"/>
      <c r="J334" s="4"/>
      <c r="K334" s="4"/>
      <c r="L334" s="6">
        <v>44562</v>
      </c>
      <c r="M334" s="4"/>
      <c r="N334" s="1" t="s">
        <v>8176</v>
      </c>
      <c r="O334" s="3" t="s">
        <v>8177</v>
      </c>
      <c r="P334" s="1" t="s">
        <v>8178</v>
      </c>
      <c r="Q334" s="1" t="s">
        <v>8179</v>
      </c>
      <c r="R334" s="1" t="s">
        <v>8180</v>
      </c>
    </row>
    <row r="335" spans="1:18" x14ac:dyDescent="0.25">
      <c r="A335" s="1" t="s">
        <v>539</v>
      </c>
      <c r="B335" s="1" t="s">
        <v>8181</v>
      </c>
      <c r="C335" s="4"/>
      <c r="D335" s="4"/>
      <c r="E335" s="1">
        <v>2021</v>
      </c>
      <c r="F335" s="4"/>
      <c r="G335" s="4"/>
      <c r="H335" s="4"/>
      <c r="I335" s="1" t="s">
        <v>8182</v>
      </c>
      <c r="J335" s="4"/>
      <c r="K335" s="4"/>
      <c r="L335" s="1">
        <v>2021</v>
      </c>
      <c r="M335" s="1">
        <v>9781630817947</v>
      </c>
      <c r="N335" s="4"/>
      <c r="O335" s="3" t="s">
        <v>8183</v>
      </c>
      <c r="P335" s="4"/>
      <c r="Q335" s="1" t="s">
        <v>8184</v>
      </c>
      <c r="R335" s="4"/>
    </row>
    <row r="336" spans="1:18" x14ac:dyDescent="0.25">
      <c r="A336" s="1" t="s">
        <v>141</v>
      </c>
      <c r="B336" s="1" t="s">
        <v>8185</v>
      </c>
      <c r="C336" s="1" t="s">
        <v>8186</v>
      </c>
      <c r="D336" s="4"/>
      <c r="E336" s="1">
        <v>2018</v>
      </c>
      <c r="F336" s="4"/>
      <c r="G336" s="4"/>
      <c r="H336" s="1" t="s">
        <v>8187</v>
      </c>
      <c r="I336" s="4"/>
      <c r="J336" s="4"/>
      <c r="K336" s="1" t="s">
        <v>6151</v>
      </c>
      <c r="L336" s="6">
        <v>43221</v>
      </c>
      <c r="M336" s="4"/>
      <c r="N336" s="1" t="s">
        <v>6152</v>
      </c>
      <c r="O336" s="4"/>
      <c r="P336" s="4"/>
      <c r="Q336" s="1" t="s">
        <v>8188</v>
      </c>
      <c r="R336" s="1" t="s">
        <v>8189</v>
      </c>
    </row>
    <row r="337" spans="1:18" x14ac:dyDescent="0.25">
      <c r="A337" s="1" t="s">
        <v>7972</v>
      </c>
      <c r="B337" s="4"/>
      <c r="C337" s="1" t="s">
        <v>8190</v>
      </c>
      <c r="D337" s="4"/>
      <c r="E337" s="1">
        <v>2020</v>
      </c>
      <c r="F337" s="4"/>
      <c r="G337" s="4"/>
      <c r="H337" s="1" t="s">
        <v>8191</v>
      </c>
      <c r="I337" s="1" t="s">
        <v>7976</v>
      </c>
      <c r="J337" s="1" t="s">
        <v>8169</v>
      </c>
      <c r="K337" s="4"/>
      <c r="L337" s="1">
        <v>2020</v>
      </c>
      <c r="M337" s="1">
        <v>9781119513940</v>
      </c>
      <c r="N337" s="4"/>
      <c r="O337" s="3" t="s">
        <v>8192</v>
      </c>
      <c r="P337" s="1" t="s">
        <v>8193</v>
      </c>
      <c r="Q337" s="4"/>
      <c r="R337" s="4"/>
    </row>
    <row r="338" spans="1:18" x14ac:dyDescent="0.25">
      <c r="A338" s="1" t="s">
        <v>539</v>
      </c>
      <c r="B338" s="1" t="s">
        <v>8194</v>
      </c>
      <c r="C338" s="4"/>
      <c r="D338" s="4"/>
      <c r="E338" s="1">
        <v>2021</v>
      </c>
      <c r="F338" s="4"/>
      <c r="G338" s="4"/>
      <c r="H338" s="4"/>
      <c r="I338" s="1" t="s">
        <v>8195</v>
      </c>
      <c r="J338" s="4"/>
      <c r="K338" s="4"/>
      <c r="L338" s="1">
        <v>2021</v>
      </c>
      <c r="M338" s="1">
        <v>9780691226750</v>
      </c>
      <c r="N338" s="4"/>
      <c r="O338" s="3" t="s">
        <v>8196</v>
      </c>
      <c r="P338" s="4"/>
      <c r="Q338" s="1" t="s">
        <v>8197</v>
      </c>
      <c r="R338" s="4"/>
    </row>
    <row r="339" spans="1:18" x14ac:dyDescent="0.25">
      <c r="A339" s="1" t="s">
        <v>141</v>
      </c>
      <c r="B339" s="1" t="s">
        <v>8198</v>
      </c>
      <c r="C339" s="1" t="s">
        <v>8199</v>
      </c>
      <c r="D339" s="4"/>
      <c r="E339" s="1">
        <v>2020</v>
      </c>
      <c r="F339" s="4"/>
      <c r="G339" s="4"/>
      <c r="H339" s="1" t="s">
        <v>8200</v>
      </c>
      <c r="I339" s="4"/>
      <c r="J339" s="4"/>
      <c r="K339" s="1" t="s">
        <v>8201</v>
      </c>
      <c r="L339" s="2">
        <v>44136</v>
      </c>
      <c r="M339" s="4"/>
      <c r="N339" s="1" t="s">
        <v>8202</v>
      </c>
      <c r="O339" s="3" t="s">
        <v>8203</v>
      </c>
      <c r="P339" s="1" t="s">
        <v>8204</v>
      </c>
      <c r="Q339" s="1" t="s">
        <v>8205</v>
      </c>
      <c r="R339" s="1" t="s">
        <v>8206</v>
      </c>
    </row>
    <row r="340" spans="1:18" x14ac:dyDescent="0.25">
      <c r="A340" s="1" t="s">
        <v>141</v>
      </c>
      <c r="B340" s="1" t="s">
        <v>8207</v>
      </c>
      <c r="C340" s="1" t="s">
        <v>8208</v>
      </c>
      <c r="D340" s="4"/>
      <c r="E340" s="1">
        <v>2021</v>
      </c>
      <c r="F340" s="4"/>
      <c r="G340" s="4"/>
      <c r="H340" s="1" t="s">
        <v>8209</v>
      </c>
      <c r="I340" s="4"/>
      <c r="J340" s="4"/>
      <c r="K340" s="1" t="s">
        <v>8210</v>
      </c>
      <c r="L340" s="6">
        <v>44440</v>
      </c>
      <c r="M340" s="4"/>
      <c r="N340" s="4"/>
      <c r="O340" s="3" t="s">
        <v>8211</v>
      </c>
      <c r="P340" s="1" t="s">
        <v>8212</v>
      </c>
      <c r="Q340" s="1" t="s">
        <v>8213</v>
      </c>
      <c r="R340" s="1" t="s">
        <v>8214</v>
      </c>
    </row>
    <row r="341" spans="1:18" x14ac:dyDescent="0.25">
      <c r="A341" s="1" t="s">
        <v>7972</v>
      </c>
      <c r="B341" s="1" t="s">
        <v>8215</v>
      </c>
      <c r="C341" s="1" t="s">
        <v>8216</v>
      </c>
      <c r="D341" s="4"/>
      <c r="E341" s="1">
        <v>2021</v>
      </c>
      <c r="F341" s="4"/>
      <c r="G341" s="4"/>
      <c r="H341" s="1" t="s">
        <v>8217</v>
      </c>
      <c r="I341" s="1" t="s">
        <v>7976</v>
      </c>
      <c r="J341" s="1" t="s">
        <v>8218</v>
      </c>
      <c r="K341" s="4"/>
      <c r="L341" s="1">
        <v>2021</v>
      </c>
      <c r="M341" s="1">
        <v>9781119735427</v>
      </c>
      <c r="N341" s="4"/>
      <c r="O341" s="3" t="s">
        <v>8219</v>
      </c>
      <c r="P341" s="4"/>
      <c r="Q341" s="1" t="s">
        <v>8220</v>
      </c>
      <c r="R341" s="1" t="s">
        <v>8221</v>
      </c>
    </row>
    <row r="342" spans="1:18" x14ac:dyDescent="0.25">
      <c r="A342" s="1" t="s">
        <v>13</v>
      </c>
      <c r="B342" s="1" t="s">
        <v>8222</v>
      </c>
      <c r="C342" s="1" t="s">
        <v>8223</v>
      </c>
      <c r="D342" s="1" t="s">
        <v>8223</v>
      </c>
      <c r="E342" s="1">
        <v>2022</v>
      </c>
      <c r="F342" s="4"/>
      <c r="G342" s="4"/>
      <c r="H342" s="1" t="s">
        <v>8224</v>
      </c>
      <c r="I342" s="4"/>
      <c r="J342" s="4"/>
      <c r="K342" s="4"/>
      <c r="L342" s="2">
        <v>44866</v>
      </c>
      <c r="M342" s="4"/>
      <c r="N342" s="4"/>
      <c r="O342" s="4"/>
      <c r="P342" s="4"/>
      <c r="Q342" s="1" t="s">
        <v>8225</v>
      </c>
      <c r="R342" s="1" t="s">
        <v>8226</v>
      </c>
    </row>
    <row r="343" spans="1:18" x14ac:dyDescent="0.25">
      <c r="A343" s="1" t="s">
        <v>141</v>
      </c>
      <c r="B343" s="1" t="s">
        <v>8227</v>
      </c>
      <c r="C343" s="1" t="s">
        <v>8228</v>
      </c>
      <c r="D343" s="4"/>
      <c r="E343" s="1">
        <v>2021</v>
      </c>
      <c r="F343" s="4"/>
      <c r="G343" s="4"/>
      <c r="H343" s="1" t="s">
        <v>8229</v>
      </c>
      <c r="I343" s="4"/>
      <c r="J343" s="4"/>
      <c r="K343" s="1" t="s">
        <v>8230</v>
      </c>
      <c r="L343" s="2">
        <v>44531</v>
      </c>
      <c r="M343" s="4"/>
      <c r="N343" s="1" t="s">
        <v>8231</v>
      </c>
      <c r="O343" s="3" t="s">
        <v>8232</v>
      </c>
      <c r="P343" s="1" t="s">
        <v>8233</v>
      </c>
      <c r="Q343" s="1" t="s">
        <v>8234</v>
      </c>
      <c r="R343" s="1" t="s">
        <v>8235</v>
      </c>
    </row>
    <row r="344" spans="1:18" x14ac:dyDescent="0.25">
      <c r="A344" s="1" t="s">
        <v>141</v>
      </c>
      <c r="B344" s="1" t="s">
        <v>8236</v>
      </c>
      <c r="C344" s="1" t="s">
        <v>8237</v>
      </c>
      <c r="D344" s="4"/>
      <c r="E344" s="1">
        <v>2022</v>
      </c>
      <c r="F344" s="4"/>
      <c r="G344" s="4"/>
      <c r="H344" s="9">
        <v>44934</v>
      </c>
      <c r="I344" s="4"/>
      <c r="J344" s="4"/>
      <c r="K344" s="1" t="s">
        <v>8238</v>
      </c>
      <c r="L344" s="6">
        <v>44805</v>
      </c>
      <c r="M344" s="4"/>
      <c r="N344" s="4"/>
      <c r="O344" s="3" t="s">
        <v>8239</v>
      </c>
      <c r="P344" s="1" t="s">
        <v>8240</v>
      </c>
      <c r="Q344" s="1" t="s">
        <v>8241</v>
      </c>
      <c r="R344" s="1" t="s">
        <v>8242</v>
      </c>
    </row>
    <row r="345" spans="1:18" x14ac:dyDescent="0.25">
      <c r="A345" s="1" t="s">
        <v>141</v>
      </c>
      <c r="B345" s="4"/>
      <c r="C345" s="1" t="s">
        <v>8243</v>
      </c>
      <c r="D345" s="4"/>
      <c r="E345" s="1">
        <v>2020</v>
      </c>
      <c r="F345" s="4"/>
      <c r="G345" s="4"/>
      <c r="H345" s="1" t="s">
        <v>8244</v>
      </c>
      <c r="I345" s="4"/>
      <c r="J345" s="4"/>
      <c r="K345" s="1" t="s">
        <v>7782</v>
      </c>
      <c r="L345" s="6">
        <v>43891</v>
      </c>
      <c r="M345" s="4"/>
      <c r="N345" s="1" t="s">
        <v>2902</v>
      </c>
      <c r="O345" s="3" t="s">
        <v>8245</v>
      </c>
      <c r="P345" s="1" t="s">
        <v>8246</v>
      </c>
      <c r="Q345" s="1" t="s">
        <v>8247</v>
      </c>
      <c r="R345" s="1" t="s">
        <v>8248</v>
      </c>
    </row>
    <row r="346" spans="1:18" x14ac:dyDescent="0.25">
      <c r="A346" s="1" t="s">
        <v>141</v>
      </c>
      <c r="B346" s="1" t="s">
        <v>8249</v>
      </c>
      <c r="C346" s="1" t="s">
        <v>8250</v>
      </c>
      <c r="D346" s="4"/>
      <c r="E346" s="1">
        <v>2022</v>
      </c>
      <c r="F346" s="4"/>
      <c r="G346" s="4"/>
      <c r="H346" s="1" t="s">
        <v>8251</v>
      </c>
      <c r="I346" s="4"/>
      <c r="J346" s="4"/>
      <c r="K346" s="1" t="s">
        <v>6469</v>
      </c>
      <c r="L346" s="6">
        <v>44682</v>
      </c>
      <c r="M346" s="4"/>
      <c r="N346" s="1" t="s">
        <v>6152</v>
      </c>
      <c r="O346" s="3" t="s">
        <v>8252</v>
      </c>
      <c r="P346" s="1" t="s">
        <v>8253</v>
      </c>
      <c r="Q346" s="1" t="s">
        <v>8254</v>
      </c>
      <c r="R346" s="1" t="s">
        <v>8255</v>
      </c>
    </row>
    <row r="347" spans="1:18" x14ac:dyDescent="0.25">
      <c r="A347" s="1" t="s">
        <v>7972</v>
      </c>
      <c r="B347" s="1" t="s">
        <v>8134</v>
      </c>
      <c r="C347" s="1" t="s">
        <v>8168</v>
      </c>
      <c r="D347" s="4"/>
      <c r="E347" s="1">
        <v>2020</v>
      </c>
      <c r="F347" s="4"/>
      <c r="G347" s="4"/>
      <c r="H347" s="1" t="s">
        <v>8256</v>
      </c>
      <c r="I347" s="1" t="s">
        <v>7976</v>
      </c>
      <c r="J347" s="1" t="s">
        <v>8137</v>
      </c>
      <c r="K347" s="4"/>
      <c r="L347" s="1">
        <v>2020</v>
      </c>
      <c r="M347" s="1">
        <v>9781119642831</v>
      </c>
      <c r="N347" s="4"/>
      <c r="O347" s="3" t="s">
        <v>8257</v>
      </c>
      <c r="P347" s="1" t="s">
        <v>8258</v>
      </c>
      <c r="Q347" s="4"/>
      <c r="R347" s="4"/>
    </row>
    <row r="348" spans="1:18" x14ac:dyDescent="0.25">
      <c r="A348" s="1" t="s">
        <v>7972</v>
      </c>
      <c r="B348" s="1" t="s">
        <v>8259</v>
      </c>
      <c r="C348" s="1" t="s">
        <v>8260</v>
      </c>
      <c r="D348" s="4"/>
      <c r="E348" s="1">
        <v>2020</v>
      </c>
      <c r="F348" s="4"/>
      <c r="G348" s="4"/>
      <c r="H348" s="1" t="s">
        <v>8261</v>
      </c>
      <c r="I348" s="1" t="s">
        <v>7976</v>
      </c>
      <c r="J348" s="1" t="s">
        <v>8262</v>
      </c>
      <c r="K348" s="4"/>
      <c r="L348" s="1">
        <v>2020</v>
      </c>
      <c r="M348" s="1">
        <v>9781119602507</v>
      </c>
      <c r="N348" s="4"/>
      <c r="O348" s="3" t="s">
        <v>8263</v>
      </c>
      <c r="P348" s="1" t="s">
        <v>8264</v>
      </c>
      <c r="Q348" s="1" t="s">
        <v>8265</v>
      </c>
      <c r="R348" s="4"/>
    </row>
    <row r="349" spans="1:18" x14ac:dyDescent="0.25">
      <c r="A349" s="1" t="s">
        <v>13</v>
      </c>
      <c r="B349" s="1" t="s">
        <v>8266</v>
      </c>
      <c r="C349" s="1" t="s">
        <v>8267</v>
      </c>
      <c r="D349" s="1" t="s">
        <v>8267</v>
      </c>
      <c r="E349" s="1">
        <v>2022</v>
      </c>
      <c r="F349" s="4"/>
      <c r="G349" s="4"/>
      <c r="H349" s="9">
        <v>44938</v>
      </c>
      <c r="I349" s="4"/>
      <c r="J349" s="4"/>
      <c r="K349" s="4"/>
      <c r="L349" s="6">
        <v>44774</v>
      </c>
      <c r="M349" s="4"/>
      <c r="N349" s="4"/>
      <c r="O349" s="4"/>
      <c r="P349" s="4"/>
      <c r="Q349" s="1" t="s">
        <v>8268</v>
      </c>
      <c r="R349" s="1" t="s">
        <v>8269</v>
      </c>
    </row>
    <row r="350" spans="1:18" x14ac:dyDescent="0.25">
      <c r="A350" s="1" t="s">
        <v>7972</v>
      </c>
      <c r="B350" s="4"/>
      <c r="C350" s="1" t="s">
        <v>8270</v>
      </c>
      <c r="D350" s="4"/>
      <c r="E350" s="1">
        <v>2020</v>
      </c>
      <c r="F350" s="4"/>
      <c r="G350" s="4"/>
      <c r="H350" s="1" t="s">
        <v>8271</v>
      </c>
      <c r="I350" s="1" t="s">
        <v>7976</v>
      </c>
      <c r="J350" s="1" t="s">
        <v>8169</v>
      </c>
      <c r="K350" s="4"/>
      <c r="L350" s="1">
        <v>2020</v>
      </c>
      <c r="M350" s="1">
        <v>9781119513940</v>
      </c>
      <c r="N350" s="4"/>
      <c r="O350" s="3" t="s">
        <v>8272</v>
      </c>
      <c r="P350" s="1" t="s">
        <v>8273</v>
      </c>
      <c r="Q350" s="1" t="s">
        <v>8274</v>
      </c>
      <c r="R350" s="4"/>
    </row>
    <row r="351" spans="1:18" x14ac:dyDescent="0.25">
      <c r="A351" s="1" t="s">
        <v>7972</v>
      </c>
      <c r="B351" s="1" t="s">
        <v>8259</v>
      </c>
      <c r="C351" s="1" t="s">
        <v>8270</v>
      </c>
      <c r="D351" s="4"/>
      <c r="E351" s="1">
        <v>2020</v>
      </c>
      <c r="F351" s="4"/>
      <c r="G351" s="4"/>
      <c r="H351" s="1" t="s">
        <v>8275</v>
      </c>
      <c r="I351" s="1" t="s">
        <v>7976</v>
      </c>
      <c r="J351" s="1" t="s">
        <v>8262</v>
      </c>
      <c r="K351" s="4"/>
      <c r="L351" s="1">
        <v>2020</v>
      </c>
      <c r="M351" s="1">
        <v>9781119602507</v>
      </c>
      <c r="N351" s="4"/>
      <c r="O351" s="3" t="s">
        <v>8276</v>
      </c>
      <c r="P351" s="1" t="s">
        <v>8277</v>
      </c>
      <c r="Q351" s="1" t="s">
        <v>8278</v>
      </c>
      <c r="R351" s="4"/>
    </row>
    <row r="352" spans="1:18" x14ac:dyDescent="0.25">
      <c r="A352" s="1" t="s">
        <v>141</v>
      </c>
      <c r="B352" s="1" t="s">
        <v>8279</v>
      </c>
      <c r="C352" s="1" t="s">
        <v>8280</v>
      </c>
      <c r="D352" s="4"/>
      <c r="E352" s="1">
        <v>2019</v>
      </c>
      <c r="F352" s="4"/>
      <c r="G352" s="4"/>
      <c r="H352" s="9">
        <v>44928</v>
      </c>
      <c r="I352" s="4"/>
      <c r="J352" s="4"/>
      <c r="K352" s="1" t="s">
        <v>6960</v>
      </c>
      <c r="L352" s="6">
        <v>43525</v>
      </c>
      <c r="M352" s="4"/>
      <c r="N352" s="4"/>
      <c r="O352" s="3" t="s">
        <v>8281</v>
      </c>
      <c r="P352" s="1" t="s">
        <v>8282</v>
      </c>
      <c r="Q352" s="1" t="s">
        <v>8283</v>
      </c>
      <c r="R352" s="1" t="s">
        <v>8284</v>
      </c>
    </row>
    <row r="353" spans="1:18" x14ac:dyDescent="0.25">
      <c r="A353" s="1" t="s">
        <v>141</v>
      </c>
      <c r="B353" s="1" t="s">
        <v>8285</v>
      </c>
      <c r="C353" s="1" t="s">
        <v>8286</v>
      </c>
      <c r="D353" s="4"/>
      <c r="E353" s="1">
        <v>2020</v>
      </c>
      <c r="F353" s="4"/>
      <c r="G353" s="4"/>
      <c r="H353" s="9">
        <v>44934</v>
      </c>
      <c r="I353" s="4"/>
      <c r="J353" s="4"/>
      <c r="K353" s="1" t="s">
        <v>8287</v>
      </c>
      <c r="L353" s="2">
        <v>44136</v>
      </c>
      <c r="M353" s="4"/>
      <c r="N353" s="1" t="s">
        <v>8288</v>
      </c>
      <c r="O353" s="4"/>
      <c r="P353" s="4"/>
      <c r="Q353" s="1" t="s">
        <v>8289</v>
      </c>
      <c r="R353" s="1" t="s">
        <v>8290</v>
      </c>
    </row>
    <row r="354" spans="1:18" x14ac:dyDescent="0.25">
      <c r="A354" s="1" t="s">
        <v>7972</v>
      </c>
      <c r="B354" s="1" t="s">
        <v>8134</v>
      </c>
      <c r="C354" s="1" t="s">
        <v>8291</v>
      </c>
      <c r="D354" s="4"/>
      <c r="E354" s="1">
        <v>2020</v>
      </c>
      <c r="F354" s="4"/>
      <c r="G354" s="4"/>
      <c r="H354" s="1" t="s">
        <v>8292</v>
      </c>
      <c r="I354" s="1" t="s">
        <v>7976</v>
      </c>
      <c r="J354" s="1" t="s">
        <v>8137</v>
      </c>
      <c r="K354" s="4"/>
      <c r="L354" s="1">
        <v>2020</v>
      </c>
      <c r="M354" s="1">
        <v>9781119642831</v>
      </c>
      <c r="N354" s="4"/>
      <c r="O354" s="3" t="s">
        <v>8293</v>
      </c>
      <c r="P354" s="1" t="s">
        <v>8294</v>
      </c>
      <c r="Q354" s="1" t="s">
        <v>8295</v>
      </c>
      <c r="R354" s="1" t="s">
        <v>8296</v>
      </c>
    </row>
    <row r="355" spans="1:18" x14ac:dyDescent="0.25">
      <c r="A355" s="1" t="s">
        <v>13</v>
      </c>
      <c r="B355" s="1" t="s">
        <v>8297</v>
      </c>
      <c r="C355" s="1" t="s">
        <v>8298</v>
      </c>
      <c r="D355" s="1" t="s">
        <v>4637</v>
      </c>
      <c r="E355" s="1">
        <v>2022</v>
      </c>
      <c r="F355" s="1">
        <v>39</v>
      </c>
      <c r="G355" s="1">
        <v>6</v>
      </c>
      <c r="H355" s="1" t="s">
        <v>8299</v>
      </c>
      <c r="I355" s="4"/>
      <c r="J355" s="4"/>
      <c r="K355" s="4"/>
      <c r="L355" s="2">
        <v>44866</v>
      </c>
      <c r="M355" s="4"/>
      <c r="N355" s="1" t="s">
        <v>6207</v>
      </c>
      <c r="O355" s="3" t="s">
        <v>8300</v>
      </c>
      <c r="P355" s="1" t="s">
        <v>8301</v>
      </c>
      <c r="Q355" s="1" t="s">
        <v>8302</v>
      </c>
      <c r="R355" s="1" t="s">
        <v>8303</v>
      </c>
    </row>
    <row r="356" spans="1:18" x14ac:dyDescent="0.25">
      <c r="A356" s="1" t="s">
        <v>13</v>
      </c>
      <c r="B356" s="1" t="s">
        <v>8304</v>
      </c>
      <c r="C356" s="1" t="s">
        <v>8305</v>
      </c>
      <c r="D356" s="1" t="s">
        <v>4637</v>
      </c>
      <c r="E356" s="1">
        <v>2021</v>
      </c>
      <c r="F356" s="1">
        <v>38</v>
      </c>
      <c r="G356" s="1">
        <v>6</v>
      </c>
      <c r="H356" s="1" t="s">
        <v>8306</v>
      </c>
      <c r="I356" s="4"/>
      <c r="J356" s="4"/>
      <c r="K356" s="4"/>
      <c r="L356" s="2">
        <v>44501</v>
      </c>
      <c r="M356" s="4"/>
      <c r="N356" s="1" t="s">
        <v>6207</v>
      </c>
      <c r="O356" s="3" t="s">
        <v>8307</v>
      </c>
      <c r="P356" s="1" t="s">
        <v>8308</v>
      </c>
      <c r="Q356" s="1" t="s">
        <v>8309</v>
      </c>
      <c r="R356" s="1" t="s">
        <v>8310</v>
      </c>
    </row>
    <row r="357" spans="1:18" x14ac:dyDescent="0.25">
      <c r="A357" s="1" t="s">
        <v>13</v>
      </c>
      <c r="B357" s="1" t="s">
        <v>8311</v>
      </c>
      <c r="C357" s="1" t="s">
        <v>8312</v>
      </c>
      <c r="D357" s="1" t="s">
        <v>4637</v>
      </c>
      <c r="E357" s="1">
        <v>2022</v>
      </c>
      <c r="F357" s="1">
        <v>39</v>
      </c>
      <c r="G357" s="1">
        <v>6</v>
      </c>
      <c r="H357" s="1" t="s">
        <v>8313</v>
      </c>
      <c r="I357" s="4"/>
      <c r="J357" s="4"/>
      <c r="K357" s="4"/>
      <c r="L357" s="2">
        <v>44866</v>
      </c>
      <c r="M357" s="4"/>
      <c r="N357" s="1" t="s">
        <v>6207</v>
      </c>
      <c r="O357" s="3" t="s">
        <v>8314</v>
      </c>
      <c r="P357" s="1" t="s">
        <v>8315</v>
      </c>
      <c r="Q357" s="1" t="s">
        <v>8316</v>
      </c>
      <c r="R357" s="4"/>
    </row>
    <row r="358" spans="1:18" x14ac:dyDescent="0.25">
      <c r="A358" s="1" t="s">
        <v>141</v>
      </c>
      <c r="B358" s="1" t="s">
        <v>8317</v>
      </c>
      <c r="C358" s="1" t="s">
        <v>8318</v>
      </c>
      <c r="D358" s="4"/>
      <c r="E358" s="1">
        <v>2012</v>
      </c>
      <c r="F358" s="4"/>
      <c r="G358" s="4"/>
      <c r="H358" s="1" t="s">
        <v>8319</v>
      </c>
      <c r="I358" s="4"/>
      <c r="J358" s="4"/>
      <c r="K358" s="1" t="s">
        <v>8320</v>
      </c>
      <c r="L358" s="6">
        <v>41061</v>
      </c>
      <c r="M358" s="4"/>
      <c r="N358" s="1" t="s">
        <v>6336</v>
      </c>
      <c r="O358" s="3" t="s">
        <v>8321</v>
      </c>
      <c r="P358" s="1" t="s">
        <v>8322</v>
      </c>
      <c r="Q358" s="1" t="s">
        <v>8323</v>
      </c>
      <c r="R358" s="1" t="s">
        <v>8324</v>
      </c>
    </row>
    <row r="359" spans="1:18" x14ac:dyDescent="0.25">
      <c r="A359" s="1" t="s">
        <v>13</v>
      </c>
      <c r="B359" s="1" t="s">
        <v>8325</v>
      </c>
      <c r="C359" s="1" t="s">
        <v>8326</v>
      </c>
      <c r="D359" s="1" t="s">
        <v>4637</v>
      </c>
      <c r="E359" s="1">
        <v>2020</v>
      </c>
      <c r="F359" s="1">
        <v>37</v>
      </c>
      <c r="G359" s="1">
        <v>4</v>
      </c>
      <c r="H359" s="9">
        <v>44991</v>
      </c>
      <c r="I359" s="4"/>
      <c r="J359" s="4"/>
      <c r="K359" s="4"/>
      <c r="L359" s="6">
        <v>44013</v>
      </c>
      <c r="M359" s="4"/>
      <c r="N359" s="1" t="s">
        <v>6207</v>
      </c>
      <c r="O359" s="3" t="s">
        <v>8327</v>
      </c>
      <c r="P359" s="1" t="s">
        <v>8328</v>
      </c>
      <c r="Q359" s="1" t="s">
        <v>8329</v>
      </c>
      <c r="R359" s="4"/>
    </row>
    <row r="360" spans="1:18" x14ac:dyDescent="0.25">
      <c r="A360" s="1" t="s">
        <v>13</v>
      </c>
      <c r="B360" s="1" t="s">
        <v>8330</v>
      </c>
      <c r="C360" s="1" t="s">
        <v>8331</v>
      </c>
      <c r="D360" s="1" t="s">
        <v>4637</v>
      </c>
      <c r="E360" s="1">
        <v>2022</v>
      </c>
      <c r="F360" s="1">
        <v>39</v>
      </c>
      <c r="G360" s="1">
        <v>1</v>
      </c>
      <c r="H360" s="1" t="s">
        <v>8332</v>
      </c>
      <c r="I360" s="4"/>
      <c r="J360" s="4"/>
      <c r="K360" s="4"/>
      <c r="L360" s="6">
        <v>44562</v>
      </c>
      <c r="M360" s="4"/>
      <c r="N360" s="1" t="s">
        <v>6207</v>
      </c>
      <c r="O360" s="3" t="s">
        <v>8333</v>
      </c>
      <c r="P360" s="1" t="s">
        <v>8334</v>
      </c>
      <c r="Q360" s="1" t="s">
        <v>8335</v>
      </c>
      <c r="R360" s="4"/>
    </row>
    <row r="361" spans="1:18" x14ac:dyDescent="0.25">
      <c r="A361" s="1" t="s">
        <v>13</v>
      </c>
      <c r="B361" s="4"/>
      <c r="C361" s="1" t="s">
        <v>8336</v>
      </c>
      <c r="D361" s="1" t="s">
        <v>532</v>
      </c>
      <c r="E361" s="1">
        <v>2021</v>
      </c>
      <c r="F361" s="1">
        <v>54</v>
      </c>
      <c r="G361" s="1">
        <v>9</v>
      </c>
      <c r="H361" s="1" t="s">
        <v>8337</v>
      </c>
      <c r="I361" s="4"/>
      <c r="J361" s="4"/>
      <c r="K361" s="4"/>
      <c r="L361" s="6">
        <v>44440</v>
      </c>
      <c r="M361" s="4"/>
      <c r="N361" s="1" t="s">
        <v>7409</v>
      </c>
      <c r="O361" s="3" t="s">
        <v>8338</v>
      </c>
      <c r="P361" s="1" t="s">
        <v>8339</v>
      </c>
      <c r="Q361" s="1" t="s">
        <v>8340</v>
      </c>
      <c r="R361" s="4"/>
    </row>
    <row r="362" spans="1:18" x14ac:dyDescent="0.25">
      <c r="A362" s="1" t="s">
        <v>13</v>
      </c>
      <c r="B362" s="4"/>
      <c r="C362" s="1" t="s">
        <v>8336</v>
      </c>
      <c r="D362" s="1" t="s">
        <v>532</v>
      </c>
      <c r="E362" s="1">
        <v>2022</v>
      </c>
      <c r="F362" s="1">
        <v>55</v>
      </c>
      <c r="G362" s="1">
        <v>8</v>
      </c>
      <c r="H362" s="1" t="s">
        <v>8341</v>
      </c>
      <c r="I362" s="4"/>
      <c r="J362" s="4"/>
      <c r="K362" s="4"/>
      <c r="L362" s="6">
        <v>44774</v>
      </c>
      <c r="M362" s="4"/>
      <c r="N362" s="1" t="s">
        <v>7409</v>
      </c>
      <c r="O362" s="3" t="s">
        <v>8342</v>
      </c>
      <c r="P362" s="1" t="s">
        <v>8343</v>
      </c>
      <c r="Q362" s="1" t="s">
        <v>8344</v>
      </c>
      <c r="R362" s="4"/>
    </row>
    <row r="363" spans="1:18" x14ac:dyDescent="0.25">
      <c r="A363" s="1" t="s">
        <v>13</v>
      </c>
      <c r="B363" s="1" t="s">
        <v>8325</v>
      </c>
      <c r="C363" s="1" t="s">
        <v>8345</v>
      </c>
      <c r="D363" s="1" t="s">
        <v>4637</v>
      </c>
      <c r="E363" s="1">
        <v>2021</v>
      </c>
      <c r="F363" s="1">
        <v>38</v>
      </c>
      <c r="G363" s="1">
        <v>3</v>
      </c>
      <c r="H363" s="9">
        <v>44991</v>
      </c>
      <c r="I363" s="4"/>
      <c r="J363" s="4"/>
      <c r="K363" s="4"/>
      <c r="L363" s="6">
        <v>44317</v>
      </c>
      <c r="M363" s="4"/>
      <c r="N363" s="1" t="s">
        <v>6207</v>
      </c>
      <c r="O363" s="3" t="s">
        <v>8346</v>
      </c>
      <c r="P363" s="1" t="s">
        <v>8347</v>
      </c>
      <c r="Q363" s="1" t="s">
        <v>8348</v>
      </c>
      <c r="R363" s="4"/>
    </row>
    <row r="364" spans="1:18" x14ac:dyDescent="0.25">
      <c r="A364" s="1" t="s">
        <v>13</v>
      </c>
      <c r="B364" s="4"/>
      <c r="C364" s="1" t="s">
        <v>8349</v>
      </c>
      <c r="D364" s="1" t="s">
        <v>255</v>
      </c>
      <c r="E364" s="1">
        <v>2020</v>
      </c>
      <c r="F364" s="1">
        <v>46</v>
      </c>
      <c r="G364" s="1">
        <v>1</v>
      </c>
      <c r="H364" s="9">
        <v>44935</v>
      </c>
      <c r="I364" s="4"/>
      <c r="J364" s="4"/>
      <c r="K364" s="4"/>
      <c r="L364" s="6">
        <v>43831</v>
      </c>
      <c r="M364" s="4"/>
      <c r="N364" s="1" t="s">
        <v>6115</v>
      </c>
      <c r="O364" s="3" t="s">
        <v>8350</v>
      </c>
      <c r="P364" s="1" t="s">
        <v>8351</v>
      </c>
      <c r="Q364" s="1" t="s">
        <v>8352</v>
      </c>
      <c r="R364" s="4"/>
    </row>
    <row r="365" spans="1:18" x14ac:dyDescent="0.25">
      <c r="A365" s="1" t="s">
        <v>141</v>
      </c>
      <c r="B365" s="4"/>
      <c r="C365" s="1" t="s">
        <v>8353</v>
      </c>
      <c r="D365" s="4"/>
      <c r="E365" s="1">
        <v>2021</v>
      </c>
      <c r="F365" s="4"/>
      <c r="G365" s="4"/>
      <c r="H365" s="9">
        <v>45057</v>
      </c>
      <c r="I365" s="4"/>
      <c r="J365" s="4"/>
      <c r="K365" s="1" t="s">
        <v>8354</v>
      </c>
      <c r="L365" s="6">
        <v>44317</v>
      </c>
      <c r="M365" s="4"/>
      <c r="N365" s="4"/>
      <c r="O365" s="3" t="s">
        <v>8355</v>
      </c>
      <c r="P365" s="1" t="s">
        <v>8356</v>
      </c>
      <c r="Q365" s="1" t="s">
        <v>8357</v>
      </c>
      <c r="R365" s="4"/>
    </row>
    <row r="366" spans="1:18" x14ac:dyDescent="0.25">
      <c r="A366" s="1" t="s">
        <v>141</v>
      </c>
      <c r="B366" s="4"/>
      <c r="C366" s="1" t="s">
        <v>8353</v>
      </c>
      <c r="D366" s="4"/>
      <c r="E366" s="1">
        <v>2018</v>
      </c>
      <c r="F366" s="4"/>
      <c r="G366" s="4"/>
      <c r="H366" s="9">
        <v>45055</v>
      </c>
      <c r="I366" s="4"/>
      <c r="J366" s="4"/>
      <c r="K366" s="1" t="s">
        <v>7304</v>
      </c>
      <c r="L366" s="6">
        <v>43221</v>
      </c>
      <c r="M366" s="4"/>
      <c r="N366" s="4"/>
      <c r="O366" s="4"/>
      <c r="P366" s="4"/>
      <c r="Q366" s="1" t="s">
        <v>8357</v>
      </c>
      <c r="R366" s="4"/>
    </row>
    <row r="367" spans="1:18" x14ac:dyDescent="0.25">
      <c r="A367" s="1" t="s">
        <v>141</v>
      </c>
      <c r="B367" s="4"/>
      <c r="C367" s="1" t="s">
        <v>8358</v>
      </c>
      <c r="D367" s="4"/>
      <c r="E367" s="1">
        <v>2019</v>
      </c>
      <c r="F367" s="4"/>
      <c r="G367" s="4"/>
      <c r="H367" s="1" t="s">
        <v>8359</v>
      </c>
      <c r="I367" s="4"/>
      <c r="J367" s="4"/>
      <c r="K367" s="1" t="s">
        <v>6943</v>
      </c>
      <c r="L367" s="6">
        <v>43709</v>
      </c>
      <c r="M367" s="4"/>
      <c r="N367" s="1" t="s">
        <v>6944</v>
      </c>
      <c r="O367" s="3" t="s">
        <v>8360</v>
      </c>
      <c r="P367" s="1" t="s">
        <v>8361</v>
      </c>
      <c r="Q367" s="1" t="s">
        <v>8357</v>
      </c>
      <c r="R367" s="4"/>
    </row>
    <row r="368" spans="1:18" x14ac:dyDescent="0.25">
      <c r="A368" s="1" t="s">
        <v>141</v>
      </c>
      <c r="B368" s="4"/>
      <c r="C368" s="1" t="s">
        <v>8362</v>
      </c>
      <c r="D368" s="4"/>
      <c r="E368" s="1">
        <v>2020</v>
      </c>
      <c r="F368" s="4"/>
      <c r="G368" s="4"/>
      <c r="H368" s="9">
        <v>45055</v>
      </c>
      <c r="I368" s="4"/>
      <c r="J368" s="4"/>
      <c r="K368" s="1" t="s">
        <v>8363</v>
      </c>
      <c r="L368" s="2">
        <v>44136</v>
      </c>
      <c r="M368" s="4"/>
      <c r="N368" s="4"/>
      <c r="O368" s="3" t="s">
        <v>8364</v>
      </c>
      <c r="P368" s="1" t="s">
        <v>8365</v>
      </c>
      <c r="Q368" s="1" t="s">
        <v>8357</v>
      </c>
      <c r="R368" s="4"/>
    </row>
    <row r="369" spans="1:18" x14ac:dyDescent="0.25">
      <c r="A369" s="1" t="s">
        <v>141</v>
      </c>
      <c r="B369" s="4"/>
      <c r="C369" s="1" t="s">
        <v>8362</v>
      </c>
      <c r="D369" s="4"/>
      <c r="E369" s="1">
        <v>2019</v>
      </c>
      <c r="F369" s="4"/>
      <c r="G369" s="4"/>
      <c r="H369" s="9">
        <v>45058</v>
      </c>
      <c r="I369" s="4"/>
      <c r="J369" s="4"/>
      <c r="K369" s="1" t="s">
        <v>6399</v>
      </c>
      <c r="L369" s="6">
        <v>43678</v>
      </c>
      <c r="M369" s="4"/>
      <c r="N369" s="4"/>
      <c r="O369" s="3" t="s">
        <v>8366</v>
      </c>
      <c r="P369" s="1" t="s">
        <v>8367</v>
      </c>
      <c r="Q369" s="1" t="s">
        <v>8357</v>
      </c>
      <c r="R369" s="4"/>
    </row>
    <row r="370" spans="1:18" x14ac:dyDescent="0.25">
      <c r="A370" s="1" t="s">
        <v>141</v>
      </c>
      <c r="B370" s="4"/>
      <c r="C370" s="1" t="s">
        <v>8353</v>
      </c>
      <c r="D370" s="4"/>
      <c r="E370" s="1">
        <v>2020</v>
      </c>
      <c r="F370" s="4"/>
      <c r="G370" s="4"/>
      <c r="H370" s="9">
        <v>45061</v>
      </c>
      <c r="I370" s="4"/>
      <c r="J370" s="4"/>
      <c r="K370" s="1" t="s">
        <v>6111</v>
      </c>
      <c r="L370" s="2">
        <v>44105</v>
      </c>
      <c r="M370" s="4"/>
      <c r="N370" s="1" t="s">
        <v>6112</v>
      </c>
      <c r="O370" s="4"/>
      <c r="P370" s="4"/>
      <c r="Q370" s="1" t="s">
        <v>8357</v>
      </c>
      <c r="R370" s="4"/>
    </row>
    <row r="371" spans="1:18" x14ac:dyDescent="0.25">
      <c r="A371" s="1" t="s">
        <v>141</v>
      </c>
      <c r="B371" s="4"/>
      <c r="C371" s="1" t="s">
        <v>8353</v>
      </c>
      <c r="D371" s="4"/>
      <c r="E371" s="1">
        <v>2020</v>
      </c>
      <c r="F371" s="4"/>
      <c r="G371" s="4"/>
      <c r="H371" s="1" t="s">
        <v>8368</v>
      </c>
      <c r="I371" s="4"/>
      <c r="J371" s="4"/>
      <c r="K371" s="1" t="s">
        <v>6322</v>
      </c>
      <c r="L371" s="6">
        <v>44044</v>
      </c>
      <c r="M371" s="4"/>
      <c r="N371" s="4"/>
      <c r="O371" s="3" t="s">
        <v>8369</v>
      </c>
      <c r="P371" s="1" t="s">
        <v>8370</v>
      </c>
      <c r="Q371" s="1" t="s">
        <v>8357</v>
      </c>
      <c r="R371" s="4"/>
    </row>
    <row r="372" spans="1:18" x14ac:dyDescent="0.25">
      <c r="A372" s="1" t="s">
        <v>141</v>
      </c>
      <c r="B372" s="4"/>
      <c r="C372" s="1" t="s">
        <v>8353</v>
      </c>
      <c r="D372" s="4"/>
      <c r="E372" s="1">
        <v>2022</v>
      </c>
      <c r="F372" s="4"/>
      <c r="G372" s="4"/>
      <c r="H372" s="9">
        <v>45060</v>
      </c>
      <c r="I372" s="4"/>
      <c r="J372" s="4"/>
      <c r="K372" s="1" t="s">
        <v>6166</v>
      </c>
      <c r="L372" s="6">
        <v>44774</v>
      </c>
      <c r="M372" s="4"/>
      <c r="N372" s="4"/>
      <c r="O372" s="3" t="s">
        <v>8371</v>
      </c>
      <c r="P372" s="1" t="s">
        <v>8372</v>
      </c>
      <c r="Q372" s="1" t="s">
        <v>8373</v>
      </c>
      <c r="R372" s="4"/>
    </row>
    <row r="373" spans="1:18" x14ac:dyDescent="0.25">
      <c r="A373" s="1" t="s">
        <v>141</v>
      </c>
      <c r="B373" s="4"/>
      <c r="C373" s="1" t="s">
        <v>8362</v>
      </c>
      <c r="D373" s="4"/>
      <c r="E373" s="1">
        <v>2018</v>
      </c>
      <c r="F373" s="4"/>
      <c r="G373" s="4"/>
      <c r="H373" s="9">
        <v>45072</v>
      </c>
      <c r="I373" s="4"/>
      <c r="J373" s="4"/>
      <c r="K373" s="1" t="s">
        <v>6238</v>
      </c>
      <c r="L373" s="6">
        <v>43221</v>
      </c>
      <c r="M373" s="4"/>
      <c r="N373" s="1" t="s">
        <v>6239</v>
      </c>
      <c r="O373" s="4"/>
      <c r="P373" s="4"/>
      <c r="Q373" s="1" t="s">
        <v>8357</v>
      </c>
      <c r="R373" s="4"/>
    </row>
    <row r="374" spans="1:18" x14ac:dyDescent="0.25">
      <c r="A374" s="1" t="s">
        <v>141</v>
      </c>
      <c r="B374" s="4"/>
      <c r="C374" s="1" t="s">
        <v>8353</v>
      </c>
      <c r="D374" s="4"/>
      <c r="E374" s="1">
        <v>2022</v>
      </c>
      <c r="F374" s="4"/>
      <c r="G374" s="4"/>
      <c r="H374" s="1" t="s">
        <v>8374</v>
      </c>
      <c r="I374" s="4"/>
      <c r="J374" s="4"/>
      <c r="K374" s="1" t="s">
        <v>6592</v>
      </c>
      <c r="L374" s="6">
        <v>44621</v>
      </c>
      <c r="M374" s="4"/>
      <c r="N374" s="1" t="s">
        <v>6593</v>
      </c>
      <c r="O374" s="3" t="s">
        <v>8375</v>
      </c>
      <c r="P374" s="1" t="s">
        <v>8376</v>
      </c>
      <c r="Q374" s="1" t="s">
        <v>8357</v>
      </c>
      <c r="R374" s="4"/>
    </row>
    <row r="375" spans="1:18" x14ac:dyDescent="0.25">
      <c r="A375" s="1" t="s">
        <v>141</v>
      </c>
      <c r="B375" s="4"/>
      <c r="C375" s="1" t="s">
        <v>8353</v>
      </c>
      <c r="D375" s="4"/>
      <c r="E375" s="1">
        <v>2021</v>
      </c>
      <c r="F375" s="4"/>
      <c r="G375" s="4"/>
      <c r="H375" s="9">
        <v>45059</v>
      </c>
      <c r="I375" s="4"/>
      <c r="J375" s="4"/>
      <c r="K375" s="1" t="s">
        <v>6329</v>
      </c>
      <c r="L375" s="6">
        <v>44317</v>
      </c>
      <c r="M375" s="4"/>
      <c r="N375" s="1" t="s">
        <v>6152</v>
      </c>
      <c r="O375" s="3" t="s">
        <v>8377</v>
      </c>
      <c r="P375" s="1" t="s">
        <v>8378</v>
      </c>
      <c r="Q375" s="1" t="s">
        <v>8357</v>
      </c>
      <c r="R375" s="4"/>
    </row>
    <row r="376" spans="1:18" x14ac:dyDescent="0.25">
      <c r="A376" s="1" t="s">
        <v>13</v>
      </c>
      <c r="B376" s="4"/>
      <c r="C376" s="1" t="s">
        <v>8353</v>
      </c>
      <c r="D376" s="1" t="s">
        <v>4637</v>
      </c>
      <c r="E376" s="1">
        <v>2021</v>
      </c>
      <c r="F376" s="1">
        <v>38</v>
      </c>
      <c r="G376" s="1">
        <v>1</v>
      </c>
      <c r="H376" s="9">
        <v>44928</v>
      </c>
      <c r="I376" s="4"/>
      <c r="J376" s="4"/>
      <c r="K376" s="4"/>
      <c r="L376" s="6">
        <v>44197</v>
      </c>
      <c r="M376" s="4"/>
      <c r="N376" s="1" t="s">
        <v>6207</v>
      </c>
      <c r="O376" s="3" t="s">
        <v>8379</v>
      </c>
      <c r="P376" s="1" t="s">
        <v>8380</v>
      </c>
      <c r="Q376" s="1" t="s">
        <v>8381</v>
      </c>
      <c r="R376" s="4"/>
    </row>
    <row r="377" spans="1:18" x14ac:dyDescent="0.25">
      <c r="A377" s="1" t="s">
        <v>141</v>
      </c>
      <c r="B377" s="4"/>
      <c r="C377" s="1" t="s">
        <v>8362</v>
      </c>
      <c r="D377" s="4"/>
      <c r="E377" s="1">
        <v>2020</v>
      </c>
      <c r="F377" s="4"/>
      <c r="G377" s="4"/>
      <c r="H377" s="9">
        <v>45062</v>
      </c>
      <c r="I377" s="4"/>
      <c r="J377" s="4"/>
      <c r="K377" s="1" t="s">
        <v>6980</v>
      </c>
      <c r="L377" s="6">
        <v>44075</v>
      </c>
      <c r="M377" s="4"/>
      <c r="N377" s="1" t="s">
        <v>6818</v>
      </c>
      <c r="O377" s="3" t="s">
        <v>8382</v>
      </c>
      <c r="P377" s="1" t="s">
        <v>8383</v>
      </c>
      <c r="Q377" s="1" t="s">
        <v>8357</v>
      </c>
      <c r="R377" s="4"/>
    </row>
    <row r="378" spans="1:18" x14ac:dyDescent="0.25">
      <c r="A378" s="1" t="s">
        <v>141</v>
      </c>
      <c r="B378" s="4"/>
      <c r="C378" s="1" t="s">
        <v>8384</v>
      </c>
      <c r="D378" s="4"/>
      <c r="E378" s="1">
        <v>2020</v>
      </c>
      <c r="F378" s="4"/>
      <c r="G378" s="4"/>
      <c r="H378" s="1" t="s">
        <v>8385</v>
      </c>
      <c r="I378" s="4"/>
      <c r="J378" s="4"/>
      <c r="K378" s="1" t="s">
        <v>6715</v>
      </c>
      <c r="L378" s="6">
        <v>43862</v>
      </c>
      <c r="M378" s="4"/>
      <c r="N378" s="1" t="s">
        <v>6593</v>
      </c>
      <c r="O378" s="3" t="s">
        <v>8386</v>
      </c>
      <c r="P378" s="1" t="s">
        <v>8387</v>
      </c>
      <c r="Q378" s="1" t="s">
        <v>8357</v>
      </c>
      <c r="R378" s="4"/>
    </row>
    <row r="379" spans="1:18" x14ac:dyDescent="0.25">
      <c r="A379" s="1" t="s">
        <v>141</v>
      </c>
      <c r="B379" s="4"/>
      <c r="C379" s="1" t="s">
        <v>8362</v>
      </c>
      <c r="D379" s="4"/>
      <c r="E379" s="1">
        <v>2018</v>
      </c>
      <c r="F379" s="4"/>
      <c r="G379" s="4"/>
      <c r="H379" s="9">
        <v>45058</v>
      </c>
      <c r="I379" s="4"/>
      <c r="J379" s="4"/>
      <c r="K379" s="1" t="s">
        <v>8388</v>
      </c>
      <c r="L379" s="6">
        <v>43344</v>
      </c>
      <c r="M379" s="4"/>
      <c r="N379" s="1" t="s">
        <v>6818</v>
      </c>
      <c r="O379" s="3" t="s">
        <v>8389</v>
      </c>
      <c r="P379" s="1" t="s">
        <v>8390</v>
      </c>
      <c r="Q379" s="1" t="s">
        <v>8357</v>
      </c>
      <c r="R379" s="4"/>
    </row>
    <row r="380" spans="1:18" x14ac:dyDescent="0.25">
      <c r="A380" s="1" t="s">
        <v>13</v>
      </c>
      <c r="B380" s="1" t="s">
        <v>8391</v>
      </c>
      <c r="C380" s="1" t="s">
        <v>8392</v>
      </c>
      <c r="D380" s="1" t="s">
        <v>8393</v>
      </c>
      <c r="E380" s="1">
        <v>2022</v>
      </c>
      <c r="F380" s="1">
        <v>17</v>
      </c>
      <c r="G380" s="1">
        <v>5</v>
      </c>
      <c r="H380" s="1" t="s">
        <v>8394</v>
      </c>
      <c r="I380" s="4"/>
      <c r="J380" s="4"/>
      <c r="K380" s="4"/>
      <c r="L380" s="6">
        <v>44713</v>
      </c>
      <c r="M380" s="4"/>
      <c r="N380" s="1" t="s">
        <v>8395</v>
      </c>
      <c r="O380" s="3" t="s">
        <v>8396</v>
      </c>
      <c r="P380" s="1" t="s">
        <v>8397</v>
      </c>
      <c r="Q380" s="1" t="s">
        <v>8398</v>
      </c>
      <c r="R380" s="4"/>
    </row>
    <row r="381" spans="1:18" x14ac:dyDescent="0.25">
      <c r="A381" s="1" t="s">
        <v>141</v>
      </c>
      <c r="B381" s="4"/>
      <c r="C381" s="1" t="s">
        <v>8353</v>
      </c>
      <c r="D381" s="4"/>
      <c r="E381" s="1">
        <v>2022</v>
      </c>
      <c r="F381" s="4"/>
      <c r="G381" s="4"/>
      <c r="H381" s="1" t="s">
        <v>8399</v>
      </c>
      <c r="I381" s="4"/>
      <c r="J381" s="4"/>
      <c r="K381" s="1" t="s">
        <v>6469</v>
      </c>
      <c r="L381" s="6">
        <v>44682</v>
      </c>
      <c r="M381" s="4"/>
      <c r="N381" s="1" t="s">
        <v>6152</v>
      </c>
      <c r="O381" s="4"/>
      <c r="P381" s="4"/>
      <c r="Q381" s="1" t="s">
        <v>8357</v>
      </c>
      <c r="R381" s="4"/>
    </row>
    <row r="382" spans="1:18" x14ac:dyDescent="0.25">
      <c r="A382" s="1" t="s">
        <v>141</v>
      </c>
      <c r="B382" s="4"/>
      <c r="C382" s="1" t="s">
        <v>8400</v>
      </c>
      <c r="D382" s="4"/>
      <c r="E382" s="1">
        <v>2019</v>
      </c>
      <c r="F382" s="4"/>
      <c r="G382" s="4"/>
      <c r="H382" s="9">
        <v>44939</v>
      </c>
      <c r="I382" s="4"/>
      <c r="J382" s="4"/>
      <c r="K382" s="1" t="s">
        <v>8400</v>
      </c>
      <c r="L382" s="6">
        <v>43617</v>
      </c>
      <c r="M382" s="4"/>
      <c r="N382" s="4"/>
      <c r="O382" s="3" t="s">
        <v>8401</v>
      </c>
      <c r="P382" s="1" t="s">
        <v>8402</v>
      </c>
      <c r="Q382" s="1" t="s">
        <v>8403</v>
      </c>
      <c r="R382" s="4"/>
    </row>
    <row r="383" spans="1:18" x14ac:dyDescent="0.25">
      <c r="A383" s="1" t="s">
        <v>141</v>
      </c>
      <c r="B383" s="4"/>
      <c r="C383" s="1" t="s">
        <v>8353</v>
      </c>
      <c r="D383" s="4"/>
      <c r="E383" s="1">
        <v>2021</v>
      </c>
      <c r="F383" s="4"/>
      <c r="G383" s="4"/>
      <c r="H383" s="9">
        <v>45060</v>
      </c>
      <c r="I383" s="4"/>
      <c r="J383" s="4"/>
      <c r="K383" s="1" t="s">
        <v>7278</v>
      </c>
      <c r="L383" s="6">
        <v>44256</v>
      </c>
      <c r="M383" s="4"/>
      <c r="N383" s="1" t="s">
        <v>6593</v>
      </c>
      <c r="O383" s="3" t="s">
        <v>8404</v>
      </c>
      <c r="P383" s="1" t="s">
        <v>8405</v>
      </c>
      <c r="Q383" s="1" t="s">
        <v>8357</v>
      </c>
      <c r="R383" s="4"/>
    </row>
    <row r="384" spans="1:18" x14ac:dyDescent="0.25">
      <c r="A384" s="1" t="s">
        <v>141</v>
      </c>
      <c r="B384" s="4"/>
      <c r="C384" s="1" t="s">
        <v>8362</v>
      </c>
      <c r="D384" s="4"/>
      <c r="E384" s="1">
        <v>2018</v>
      </c>
      <c r="F384" s="4"/>
      <c r="G384" s="4"/>
      <c r="H384" s="9">
        <v>45059</v>
      </c>
      <c r="I384" s="4"/>
      <c r="J384" s="4"/>
      <c r="K384" s="1" t="s">
        <v>6151</v>
      </c>
      <c r="L384" s="6">
        <v>43221</v>
      </c>
      <c r="M384" s="4"/>
      <c r="N384" s="1" t="s">
        <v>6152</v>
      </c>
      <c r="O384" s="4"/>
      <c r="P384" s="4"/>
      <c r="Q384" s="1" t="s">
        <v>8357</v>
      </c>
      <c r="R384" s="4"/>
    </row>
    <row r="385" spans="1:18" x14ac:dyDescent="0.25">
      <c r="A385" s="1" t="s">
        <v>141</v>
      </c>
      <c r="B385" s="4"/>
      <c r="C385" s="1" t="s">
        <v>8362</v>
      </c>
      <c r="D385" s="4"/>
      <c r="E385" s="1">
        <v>2018</v>
      </c>
      <c r="F385" s="4"/>
      <c r="G385" s="4"/>
      <c r="H385" s="9">
        <v>45056</v>
      </c>
      <c r="I385" s="4"/>
      <c r="J385" s="4"/>
      <c r="K385" s="1" t="s">
        <v>6619</v>
      </c>
      <c r="L385" s="6">
        <v>43191</v>
      </c>
      <c r="M385" s="4"/>
      <c r="N385" s="4"/>
      <c r="O385" s="3" t="s">
        <v>8406</v>
      </c>
      <c r="P385" s="1" t="s">
        <v>8407</v>
      </c>
      <c r="Q385" s="1" t="s">
        <v>8357</v>
      </c>
      <c r="R385" s="4"/>
    </row>
  </sheetData>
  <hyperlinks>
    <hyperlink ref="O3" r:id="rId1" xr:uid="{00000000-0004-0000-0200-000000000000}"/>
    <hyperlink ref="O4" r:id="rId2" xr:uid="{00000000-0004-0000-0200-000001000000}"/>
    <hyperlink ref="O6" r:id="rId3" xr:uid="{00000000-0004-0000-0200-000002000000}"/>
    <hyperlink ref="O7" r:id="rId4" xr:uid="{00000000-0004-0000-0200-000003000000}"/>
    <hyperlink ref="O8" r:id="rId5" xr:uid="{00000000-0004-0000-0200-000004000000}"/>
    <hyperlink ref="O10" r:id="rId6" xr:uid="{00000000-0004-0000-0200-000005000000}"/>
    <hyperlink ref="O11" r:id="rId7" xr:uid="{00000000-0004-0000-0200-000006000000}"/>
    <hyperlink ref="O12" r:id="rId8" xr:uid="{00000000-0004-0000-0200-000007000000}"/>
    <hyperlink ref="O13" r:id="rId9" xr:uid="{00000000-0004-0000-0200-000008000000}"/>
    <hyperlink ref="O14" r:id="rId10" xr:uid="{00000000-0004-0000-0200-000009000000}"/>
    <hyperlink ref="O15" r:id="rId11" xr:uid="{00000000-0004-0000-0200-00000A000000}"/>
    <hyperlink ref="O16" r:id="rId12" xr:uid="{00000000-0004-0000-0200-00000B000000}"/>
    <hyperlink ref="O18" r:id="rId13" xr:uid="{00000000-0004-0000-0200-00000C000000}"/>
    <hyperlink ref="O19" r:id="rId14" xr:uid="{00000000-0004-0000-0200-00000D000000}"/>
    <hyperlink ref="O21" r:id="rId15" xr:uid="{00000000-0004-0000-0200-00000E000000}"/>
    <hyperlink ref="O22" r:id="rId16" xr:uid="{00000000-0004-0000-0200-00000F000000}"/>
    <hyperlink ref="O25" r:id="rId17" xr:uid="{00000000-0004-0000-0200-000010000000}"/>
    <hyperlink ref="O26" r:id="rId18" xr:uid="{00000000-0004-0000-0200-000011000000}"/>
    <hyperlink ref="O27" r:id="rId19" xr:uid="{00000000-0004-0000-0200-000012000000}"/>
    <hyperlink ref="O28" r:id="rId20" xr:uid="{00000000-0004-0000-0200-000013000000}"/>
    <hyperlink ref="O29" r:id="rId21" xr:uid="{00000000-0004-0000-0200-000014000000}"/>
    <hyperlink ref="O30" r:id="rId22" xr:uid="{00000000-0004-0000-0200-000015000000}"/>
    <hyperlink ref="O31" r:id="rId23" xr:uid="{00000000-0004-0000-0200-000016000000}"/>
    <hyperlink ref="O32" r:id="rId24" xr:uid="{00000000-0004-0000-0200-000017000000}"/>
    <hyperlink ref="O33" r:id="rId25" xr:uid="{00000000-0004-0000-0200-000018000000}"/>
    <hyperlink ref="O34" r:id="rId26" xr:uid="{00000000-0004-0000-0200-000019000000}"/>
    <hyperlink ref="O35" r:id="rId27" xr:uid="{00000000-0004-0000-0200-00001A000000}"/>
    <hyperlink ref="O36" r:id="rId28" xr:uid="{00000000-0004-0000-0200-00001B000000}"/>
    <hyperlink ref="O37" r:id="rId29" xr:uid="{00000000-0004-0000-0200-00001C000000}"/>
    <hyperlink ref="O38" r:id="rId30" xr:uid="{00000000-0004-0000-0200-00001D000000}"/>
    <hyperlink ref="O39" r:id="rId31" xr:uid="{00000000-0004-0000-0200-00001E000000}"/>
    <hyperlink ref="O40" r:id="rId32" xr:uid="{00000000-0004-0000-0200-00001F000000}"/>
    <hyperlink ref="O41" r:id="rId33" xr:uid="{00000000-0004-0000-0200-000020000000}"/>
    <hyperlink ref="O42" r:id="rId34" xr:uid="{00000000-0004-0000-0200-000021000000}"/>
    <hyperlink ref="O43" r:id="rId35" xr:uid="{00000000-0004-0000-0200-000022000000}"/>
    <hyperlink ref="O45" r:id="rId36" xr:uid="{00000000-0004-0000-0200-000023000000}"/>
    <hyperlink ref="O46" r:id="rId37" xr:uid="{00000000-0004-0000-0200-000024000000}"/>
    <hyperlink ref="O47" r:id="rId38" xr:uid="{00000000-0004-0000-0200-000025000000}"/>
    <hyperlink ref="O48" r:id="rId39" xr:uid="{00000000-0004-0000-0200-000026000000}"/>
    <hyperlink ref="O50" r:id="rId40" xr:uid="{00000000-0004-0000-0200-000027000000}"/>
    <hyperlink ref="O51" r:id="rId41" xr:uid="{00000000-0004-0000-0200-000028000000}"/>
    <hyperlink ref="O52" r:id="rId42" xr:uid="{00000000-0004-0000-0200-000029000000}"/>
    <hyperlink ref="O54" r:id="rId43" xr:uid="{00000000-0004-0000-0200-00002A000000}"/>
    <hyperlink ref="O55" r:id="rId44" xr:uid="{00000000-0004-0000-0200-00002B000000}"/>
    <hyperlink ref="O56" r:id="rId45" xr:uid="{00000000-0004-0000-0200-00002C000000}"/>
    <hyperlink ref="O57" r:id="rId46" xr:uid="{00000000-0004-0000-0200-00002D000000}"/>
    <hyperlink ref="O58" r:id="rId47" xr:uid="{00000000-0004-0000-0200-00002E000000}"/>
    <hyperlink ref="O59" r:id="rId48" xr:uid="{00000000-0004-0000-0200-00002F000000}"/>
    <hyperlink ref="O60" r:id="rId49" xr:uid="{00000000-0004-0000-0200-000030000000}"/>
    <hyperlink ref="O62" r:id="rId50" xr:uid="{00000000-0004-0000-0200-000031000000}"/>
    <hyperlink ref="O63" r:id="rId51" xr:uid="{00000000-0004-0000-0200-000032000000}"/>
    <hyperlink ref="O64" r:id="rId52" xr:uid="{00000000-0004-0000-0200-000033000000}"/>
    <hyperlink ref="O66" r:id="rId53" xr:uid="{00000000-0004-0000-0200-000034000000}"/>
    <hyperlink ref="O67" r:id="rId54" xr:uid="{00000000-0004-0000-0200-000035000000}"/>
    <hyperlink ref="O68" r:id="rId55" xr:uid="{00000000-0004-0000-0200-000036000000}"/>
    <hyperlink ref="O69" r:id="rId56" xr:uid="{00000000-0004-0000-0200-000037000000}"/>
    <hyperlink ref="O70" r:id="rId57" xr:uid="{00000000-0004-0000-0200-000038000000}"/>
    <hyperlink ref="O71" r:id="rId58" xr:uid="{00000000-0004-0000-0200-000039000000}"/>
    <hyperlink ref="O72" r:id="rId59" xr:uid="{00000000-0004-0000-0200-00003A000000}"/>
    <hyperlink ref="O73" r:id="rId60" xr:uid="{00000000-0004-0000-0200-00003B000000}"/>
    <hyperlink ref="O74" r:id="rId61" xr:uid="{00000000-0004-0000-0200-00003C000000}"/>
    <hyperlink ref="O75" r:id="rId62" xr:uid="{00000000-0004-0000-0200-00003D000000}"/>
    <hyperlink ref="O76" r:id="rId63" xr:uid="{00000000-0004-0000-0200-00003E000000}"/>
    <hyperlink ref="O77" r:id="rId64" xr:uid="{00000000-0004-0000-0200-00003F000000}"/>
    <hyperlink ref="O78" r:id="rId65" xr:uid="{00000000-0004-0000-0200-000040000000}"/>
    <hyperlink ref="O79" r:id="rId66" xr:uid="{00000000-0004-0000-0200-000041000000}"/>
    <hyperlink ref="O80" r:id="rId67" xr:uid="{00000000-0004-0000-0200-000042000000}"/>
    <hyperlink ref="O81" r:id="rId68" xr:uid="{00000000-0004-0000-0200-000043000000}"/>
    <hyperlink ref="O82" r:id="rId69" xr:uid="{00000000-0004-0000-0200-000044000000}"/>
    <hyperlink ref="O83" r:id="rId70" xr:uid="{00000000-0004-0000-0200-000045000000}"/>
    <hyperlink ref="O84" r:id="rId71" xr:uid="{00000000-0004-0000-0200-000046000000}"/>
    <hyperlink ref="O85" r:id="rId72" xr:uid="{00000000-0004-0000-0200-000047000000}"/>
    <hyperlink ref="O86" r:id="rId73" xr:uid="{00000000-0004-0000-0200-000048000000}"/>
    <hyperlink ref="O87" r:id="rId74" xr:uid="{00000000-0004-0000-0200-000049000000}"/>
    <hyperlink ref="O88" r:id="rId75" xr:uid="{00000000-0004-0000-0200-00004A000000}"/>
    <hyperlink ref="O90" r:id="rId76" xr:uid="{00000000-0004-0000-0200-00004B000000}"/>
    <hyperlink ref="O91" r:id="rId77" xr:uid="{00000000-0004-0000-0200-00004C000000}"/>
    <hyperlink ref="O92" r:id="rId78" xr:uid="{00000000-0004-0000-0200-00004D000000}"/>
    <hyperlink ref="O93" r:id="rId79" xr:uid="{00000000-0004-0000-0200-00004E000000}"/>
    <hyperlink ref="O95" r:id="rId80" xr:uid="{00000000-0004-0000-0200-00004F000000}"/>
    <hyperlink ref="O96" r:id="rId81" xr:uid="{00000000-0004-0000-0200-000050000000}"/>
    <hyperlink ref="O97" r:id="rId82" xr:uid="{00000000-0004-0000-0200-000051000000}"/>
    <hyperlink ref="O98" r:id="rId83" xr:uid="{00000000-0004-0000-0200-000052000000}"/>
    <hyperlink ref="O99" r:id="rId84" xr:uid="{00000000-0004-0000-0200-000053000000}"/>
    <hyperlink ref="O100" r:id="rId85" xr:uid="{00000000-0004-0000-0200-000054000000}"/>
    <hyperlink ref="O101" r:id="rId86" xr:uid="{00000000-0004-0000-0200-000055000000}"/>
    <hyperlink ref="O102" r:id="rId87" xr:uid="{00000000-0004-0000-0200-000056000000}"/>
    <hyperlink ref="O103" r:id="rId88" xr:uid="{00000000-0004-0000-0200-000057000000}"/>
    <hyperlink ref="O104" r:id="rId89" xr:uid="{00000000-0004-0000-0200-000058000000}"/>
    <hyperlink ref="O105" r:id="rId90" xr:uid="{00000000-0004-0000-0200-000059000000}"/>
    <hyperlink ref="O106" r:id="rId91" xr:uid="{00000000-0004-0000-0200-00005A000000}"/>
    <hyperlink ref="O107" r:id="rId92" xr:uid="{00000000-0004-0000-0200-00005B000000}"/>
    <hyperlink ref="O108" r:id="rId93" xr:uid="{00000000-0004-0000-0200-00005C000000}"/>
    <hyperlink ref="O109" r:id="rId94" xr:uid="{00000000-0004-0000-0200-00005D000000}"/>
    <hyperlink ref="O110" r:id="rId95" xr:uid="{00000000-0004-0000-0200-00005E000000}"/>
    <hyperlink ref="O111" r:id="rId96" xr:uid="{00000000-0004-0000-0200-00005F000000}"/>
    <hyperlink ref="O112" r:id="rId97" xr:uid="{00000000-0004-0000-0200-000060000000}"/>
    <hyperlink ref="O113" r:id="rId98" xr:uid="{00000000-0004-0000-0200-000061000000}"/>
    <hyperlink ref="O114" r:id="rId99" xr:uid="{00000000-0004-0000-0200-000062000000}"/>
    <hyperlink ref="O115" r:id="rId100" xr:uid="{00000000-0004-0000-0200-000063000000}"/>
    <hyperlink ref="O116" r:id="rId101" xr:uid="{00000000-0004-0000-0200-000064000000}"/>
    <hyperlink ref="O117" r:id="rId102" xr:uid="{00000000-0004-0000-0200-000065000000}"/>
    <hyperlink ref="O118" r:id="rId103" xr:uid="{00000000-0004-0000-0200-000066000000}"/>
    <hyperlink ref="O119" r:id="rId104" xr:uid="{00000000-0004-0000-0200-000067000000}"/>
    <hyperlink ref="O120" r:id="rId105" xr:uid="{00000000-0004-0000-0200-000068000000}"/>
    <hyperlink ref="O121" r:id="rId106" xr:uid="{00000000-0004-0000-0200-000069000000}"/>
    <hyperlink ref="O122" r:id="rId107" xr:uid="{00000000-0004-0000-0200-00006A000000}"/>
    <hyperlink ref="O123" r:id="rId108" xr:uid="{00000000-0004-0000-0200-00006B000000}"/>
    <hyperlink ref="O124" r:id="rId109" xr:uid="{00000000-0004-0000-0200-00006C000000}"/>
    <hyperlink ref="O125" r:id="rId110" xr:uid="{00000000-0004-0000-0200-00006D000000}"/>
    <hyperlink ref="O126" r:id="rId111" xr:uid="{00000000-0004-0000-0200-00006E000000}"/>
    <hyperlink ref="O127" r:id="rId112" xr:uid="{00000000-0004-0000-0200-00006F000000}"/>
    <hyperlink ref="O128" r:id="rId113" xr:uid="{00000000-0004-0000-0200-000070000000}"/>
    <hyperlink ref="O129" r:id="rId114" xr:uid="{00000000-0004-0000-0200-000071000000}"/>
    <hyperlink ref="O130" r:id="rId115" xr:uid="{00000000-0004-0000-0200-000072000000}"/>
    <hyperlink ref="O132" r:id="rId116" xr:uid="{00000000-0004-0000-0200-000073000000}"/>
    <hyperlink ref="O133" r:id="rId117" xr:uid="{00000000-0004-0000-0200-000074000000}"/>
    <hyperlink ref="O134" r:id="rId118" xr:uid="{00000000-0004-0000-0200-000075000000}"/>
    <hyperlink ref="O135" r:id="rId119" xr:uid="{00000000-0004-0000-0200-000076000000}"/>
    <hyperlink ref="O136" r:id="rId120" xr:uid="{00000000-0004-0000-0200-000077000000}"/>
    <hyperlink ref="O138" r:id="rId121" xr:uid="{00000000-0004-0000-0200-000078000000}"/>
    <hyperlink ref="O139" r:id="rId122" xr:uid="{00000000-0004-0000-0200-000079000000}"/>
    <hyperlink ref="O140" r:id="rId123" xr:uid="{00000000-0004-0000-0200-00007A000000}"/>
    <hyperlink ref="O141" r:id="rId124" xr:uid="{00000000-0004-0000-0200-00007B000000}"/>
    <hyperlink ref="O142" r:id="rId125" xr:uid="{00000000-0004-0000-0200-00007C000000}"/>
    <hyperlink ref="O143" r:id="rId126" xr:uid="{00000000-0004-0000-0200-00007D000000}"/>
    <hyperlink ref="O144" r:id="rId127" xr:uid="{00000000-0004-0000-0200-00007E000000}"/>
    <hyperlink ref="O145" r:id="rId128" xr:uid="{00000000-0004-0000-0200-00007F000000}"/>
    <hyperlink ref="O146" r:id="rId129" xr:uid="{00000000-0004-0000-0200-000080000000}"/>
    <hyperlink ref="O147" r:id="rId130" xr:uid="{00000000-0004-0000-0200-000081000000}"/>
    <hyperlink ref="O148" r:id="rId131" xr:uid="{00000000-0004-0000-0200-000082000000}"/>
    <hyperlink ref="O149" r:id="rId132" xr:uid="{00000000-0004-0000-0200-000083000000}"/>
    <hyperlink ref="O150" r:id="rId133" xr:uid="{00000000-0004-0000-0200-000084000000}"/>
    <hyperlink ref="O151" r:id="rId134" xr:uid="{00000000-0004-0000-0200-000085000000}"/>
    <hyperlink ref="O152" r:id="rId135" xr:uid="{00000000-0004-0000-0200-000086000000}"/>
    <hyperlink ref="O153" r:id="rId136" xr:uid="{00000000-0004-0000-0200-000087000000}"/>
    <hyperlink ref="O155" r:id="rId137" xr:uid="{00000000-0004-0000-0200-000088000000}"/>
    <hyperlink ref="O156" r:id="rId138" xr:uid="{00000000-0004-0000-0200-000089000000}"/>
    <hyperlink ref="O157" r:id="rId139" xr:uid="{00000000-0004-0000-0200-00008A000000}"/>
    <hyperlink ref="O158" r:id="rId140" xr:uid="{00000000-0004-0000-0200-00008B000000}"/>
    <hyperlink ref="O159" r:id="rId141" xr:uid="{00000000-0004-0000-0200-00008C000000}"/>
    <hyperlink ref="O163" r:id="rId142" xr:uid="{00000000-0004-0000-0200-00008D000000}"/>
    <hyperlink ref="O164" r:id="rId143" xr:uid="{00000000-0004-0000-0200-00008E000000}"/>
    <hyperlink ref="O165" r:id="rId144" xr:uid="{00000000-0004-0000-0200-00008F000000}"/>
    <hyperlink ref="O166" r:id="rId145" xr:uid="{00000000-0004-0000-0200-000090000000}"/>
    <hyperlink ref="O167" r:id="rId146" xr:uid="{00000000-0004-0000-0200-000091000000}"/>
    <hyperlink ref="O168" r:id="rId147" xr:uid="{00000000-0004-0000-0200-000092000000}"/>
    <hyperlink ref="O169" r:id="rId148" xr:uid="{00000000-0004-0000-0200-000093000000}"/>
    <hyperlink ref="O170" r:id="rId149" xr:uid="{00000000-0004-0000-0200-000094000000}"/>
    <hyperlink ref="O171" r:id="rId150" xr:uid="{00000000-0004-0000-0200-000095000000}"/>
    <hyperlink ref="O172" r:id="rId151" xr:uid="{00000000-0004-0000-0200-000096000000}"/>
    <hyperlink ref="O173" r:id="rId152" xr:uid="{00000000-0004-0000-0200-000097000000}"/>
    <hyperlink ref="O174" r:id="rId153" xr:uid="{00000000-0004-0000-0200-000098000000}"/>
    <hyperlink ref="O175" r:id="rId154" xr:uid="{00000000-0004-0000-0200-000099000000}"/>
    <hyperlink ref="O176" r:id="rId155" xr:uid="{00000000-0004-0000-0200-00009A000000}"/>
    <hyperlink ref="O177" r:id="rId156" xr:uid="{00000000-0004-0000-0200-00009B000000}"/>
    <hyperlink ref="O178" r:id="rId157" xr:uid="{00000000-0004-0000-0200-00009C000000}"/>
    <hyperlink ref="O179" r:id="rId158" xr:uid="{00000000-0004-0000-0200-00009D000000}"/>
    <hyperlink ref="O180" r:id="rId159" xr:uid="{00000000-0004-0000-0200-00009E000000}"/>
    <hyperlink ref="O182" r:id="rId160" xr:uid="{00000000-0004-0000-0200-00009F000000}"/>
    <hyperlink ref="O183" r:id="rId161" xr:uid="{00000000-0004-0000-0200-0000A0000000}"/>
    <hyperlink ref="O184" r:id="rId162" xr:uid="{00000000-0004-0000-0200-0000A1000000}"/>
    <hyperlink ref="O185" r:id="rId163" xr:uid="{00000000-0004-0000-0200-0000A2000000}"/>
    <hyperlink ref="O186" r:id="rId164" xr:uid="{00000000-0004-0000-0200-0000A3000000}"/>
    <hyperlink ref="O187" r:id="rId165" xr:uid="{00000000-0004-0000-0200-0000A4000000}"/>
    <hyperlink ref="O188" r:id="rId166" xr:uid="{00000000-0004-0000-0200-0000A5000000}"/>
    <hyperlink ref="O189" r:id="rId167" xr:uid="{00000000-0004-0000-0200-0000A6000000}"/>
    <hyperlink ref="O190" r:id="rId168" xr:uid="{00000000-0004-0000-0200-0000A7000000}"/>
    <hyperlink ref="O191" r:id="rId169" xr:uid="{00000000-0004-0000-0200-0000A8000000}"/>
    <hyperlink ref="O192" r:id="rId170" xr:uid="{00000000-0004-0000-0200-0000A9000000}"/>
    <hyperlink ref="O193" r:id="rId171" xr:uid="{00000000-0004-0000-0200-0000AA000000}"/>
    <hyperlink ref="O194" r:id="rId172" xr:uid="{00000000-0004-0000-0200-0000AB000000}"/>
    <hyperlink ref="O195" r:id="rId173" xr:uid="{00000000-0004-0000-0200-0000AC000000}"/>
    <hyperlink ref="O196" r:id="rId174" xr:uid="{00000000-0004-0000-0200-0000AD000000}"/>
    <hyperlink ref="O197" r:id="rId175" xr:uid="{00000000-0004-0000-0200-0000AE000000}"/>
    <hyperlink ref="O198" r:id="rId176" xr:uid="{00000000-0004-0000-0200-0000AF000000}"/>
    <hyperlink ref="O199" r:id="rId177" xr:uid="{00000000-0004-0000-0200-0000B0000000}"/>
    <hyperlink ref="O200" r:id="rId178" xr:uid="{00000000-0004-0000-0200-0000B1000000}"/>
    <hyperlink ref="O201" r:id="rId179" xr:uid="{00000000-0004-0000-0200-0000B2000000}"/>
    <hyperlink ref="O203" r:id="rId180" xr:uid="{00000000-0004-0000-0200-0000B3000000}"/>
    <hyperlink ref="O204" r:id="rId181" xr:uid="{00000000-0004-0000-0200-0000B4000000}"/>
    <hyperlink ref="O205" r:id="rId182" xr:uid="{00000000-0004-0000-0200-0000B5000000}"/>
    <hyperlink ref="O206" r:id="rId183" xr:uid="{00000000-0004-0000-0200-0000B6000000}"/>
    <hyperlink ref="O207" r:id="rId184" xr:uid="{00000000-0004-0000-0200-0000B7000000}"/>
    <hyperlink ref="O208" r:id="rId185" xr:uid="{00000000-0004-0000-0200-0000B8000000}"/>
    <hyperlink ref="O210" r:id="rId186" xr:uid="{00000000-0004-0000-0200-0000B9000000}"/>
    <hyperlink ref="O211" r:id="rId187" xr:uid="{00000000-0004-0000-0200-0000BA000000}"/>
    <hyperlink ref="O212" r:id="rId188" xr:uid="{00000000-0004-0000-0200-0000BB000000}"/>
    <hyperlink ref="O213" r:id="rId189" xr:uid="{00000000-0004-0000-0200-0000BC000000}"/>
    <hyperlink ref="O214" r:id="rId190" xr:uid="{00000000-0004-0000-0200-0000BD000000}"/>
    <hyperlink ref="O215" r:id="rId191" xr:uid="{00000000-0004-0000-0200-0000BE000000}"/>
    <hyperlink ref="O216" r:id="rId192" xr:uid="{00000000-0004-0000-0200-0000BF000000}"/>
    <hyperlink ref="O217" r:id="rId193" xr:uid="{00000000-0004-0000-0200-0000C0000000}"/>
    <hyperlink ref="O218" r:id="rId194" xr:uid="{00000000-0004-0000-0200-0000C1000000}"/>
    <hyperlink ref="O219" r:id="rId195" xr:uid="{00000000-0004-0000-0200-0000C2000000}"/>
    <hyperlink ref="O220" r:id="rId196" xr:uid="{00000000-0004-0000-0200-0000C3000000}"/>
    <hyperlink ref="O221" r:id="rId197" xr:uid="{00000000-0004-0000-0200-0000C4000000}"/>
    <hyperlink ref="O222" r:id="rId198" xr:uid="{00000000-0004-0000-0200-0000C5000000}"/>
    <hyperlink ref="O223" r:id="rId199" xr:uid="{00000000-0004-0000-0200-0000C6000000}"/>
    <hyperlink ref="O224" r:id="rId200" xr:uid="{00000000-0004-0000-0200-0000C7000000}"/>
    <hyperlink ref="O225" r:id="rId201" xr:uid="{00000000-0004-0000-0200-0000C8000000}"/>
    <hyperlink ref="O226" r:id="rId202" xr:uid="{00000000-0004-0000-0200-0000C9000000}"/>
    <hyperlink ref="O227" r:id="rId203" xr:uid="{00000000-0004-0000-0200-0000CA000000}"/>
    <hyperlink ref="O228" r:id="rId204" xr:uid="{00000000-0004-0000-0200-0000CB000000}"/>
    <hyperlink ref="O229" r:id="rId205" xr:uid="{00000000-0004-0000-0200-0000CC000000}"/>
    <hyperlink ref="O230" r:id="rId206" xr:uid="{00000000-0004-0000-0200-0000CD000000}"/>
    <hyperlink ref="O231" r:id="rId207" xr:uid="{00000000-0004-0000-0200-0000CE000000}"/>
    <hyperlink ref="O233" r:id="rId208" xr:uid="{00000000-0004-0000-0200-0000CF000000}"/>
    <hyperlink ref="O234" r:id="rId209" xr:uid="{00000000-0004-0000-0200-0000D0000000}"/>
    <hyperlink ref="O235" r:id="rId210" xr:uid="{00000000-0004-0000-0200-0000D1000000}"/>
    <hyperlink ref="O236" r:id="rId211" xr:uid="{00000000-0004-0000-0200-0000D2000000}"/>
    <hyperlink ref="O237" r:id="rId212" xr:uid="{00000000-0004-0000-0200-0000D3000000}"/>
    <hyperlink ref="O238" r:id="rId213" xr:uid="{00000000-0004-0000-0200-0000D4000000}"/>
    <hyperlink ref="O239" r:id="rId214" xr:uid="{00000000-0004-0000-0200-0000D5000000}"/>
    <hyperlink ref="O240" r:id="rId215" xr:uid="{00000000-0004-0000-0200-0000D6000000}"/>
    <hyperlink ref="O241" r:id="rId216" xr:uid="{00000000-0004-0000-0200-0000D7000000}"/>
    <hyperlink ref="O242" r:id="rId217" xr:uid="{00000000-0004-0000-0200-0000D8000000}"/>
    <hyperlink ref="O243" r:id="rId218" xr:uid="{00000000-0004-0000-0200-0000D9000000}"/>
    <hyperlink ref="O244" r:id="rId219" xr:uid="{00000000-0004-0000-0200-0000DA000000}"/>
    <hyperlink ref="O245" r:id="rId220" xr:uid="{00000000-0004-0000-0200-0000DB000000}"/>
    <hyperlink ref="O246" r:id="rId221" xr:uid="{00000000-0004-0000-0200-0000DC000000}"/>
    <hyperlink ref="O247" r:id="rId222" xr:uid="{00000000-0004-0000-0200-0000DD000000}"/>
    <hyperlink ref="O248" r:id="rId223" xr:uid="{00000000-0004-0000-0200-0000DE000000}"/>
    <hyperlink ref="O249" r:id="rId224" xr:uid="{00000000-0004-0000-0200-0000DF000000}"/>
    <hyperlink ref="O250" r:id="rId225" xr:uid="{00000000-0004-0000-0200-0000E0000000}"/>
    <hyperlink ref="O251" r:id="rId226" xr:uid="{00000000-0004-0000-0200-0000E1000000}"/>
    <hyperlink ref="O252" r:id="rId227" xr:uid="{00000000-0004-0000-0200-0000E2000000}"/>
    <hyperlink ref="O253" r:id="rId228" xr:uid="{00000000-0004-0000-0200-0000E3000000}"/>
    <hyperlink ref="O254" r:id="rId229" xr:uid="{00000000-0004-0000-0200-0000E4000000}"/>
    <hyperlink ref="O255" r:id="rId230" xr:uid="{00000000-0004-0000-0200-0000E5000000}"/>
    <hyperlink ref="O257" r:id="rId231" xr:uid="{00000000-0004-0000-0200-0000E6000000}"/>
    <hyperlink ref="O258" r:id="rId232" xr:uid="{00000000-0004-0000-0200-0000E7000000}"/>
    <hyperlink ref="O259" r:id="rId233" xr:uid="{00000000-0004-0000-0200-0000E8000000}"/>
    <hyperlink ref="O261" r:id="rId234" xr:uid="{00000000-0004-0000-0200-0000E9000000}"/>
    <hyperlink ref="O262" r:id="rId235" xr:uid="{00000000-0004-0000-0200-0000EA000000}"/>
    <hyperlink ref="O263" r:id="rId236" xr:uid="{00000000-0004-0000-0200-0000EB000000}"/>
    <hyperlink ref="O264" r:id="rId237" xr:uid="{00000000-0004-0000-0200-0000EC000000}"/>
    <hyperlink ref="O265" r:id="rId238" xr:uid="{00000000-0004-0000-0200-0000ED000000}"/>
    <hyperlink ref="O266" r:id="rId239" xr:uid="{00000000-0004-0000-0200-0000EE000000}"/>
    <hyperlink ref="O267" r:id="rId240" xr:uid="{00000000-0004-0000-0200-0000EF000000}"/>
    <hyperlink ref="O268" r:id="rId241" xr:uid="{00000000-0004-0000-0200-0000F0000000}"/>
    <hyperlink ref="O269" r:id="rId242" xr:uid="{00000000-0004-0000-0200-0000F1000000}"/>
    <hyperlink ref="O270" r:id="rId243" xr:uid="{00000000-0004-0000-0200-0000F2000000}"/>
    <hyperlink ref="O271" r:id="rId244" xr:uid="{00000000-0004-0000-0200-0000F3000000}"/>
    <hyperlink ref="O272" r:id="rId245" xr:uid="{00000000-0004-0000-0200-0000F4000000}"/>
    <hyperlink ref="O273" r:id="rId246" xr:uid="{00000000-0004-0000-0200-0000F5000000}"/>
    <hyperlink ref="O274" r:id="rId247" xr:uid="{00000000-0004-0000-0200-0000F6000000}"/>
    <hyperlink ref="O275" r:id="rId248" xr:uid="{00000000-0004-0000-0200-0000F7000000}"/>
    <hyperlink ref="O276" r:id="rId249" xr:uid="{00000000-0004-0000-0200-0000F8000000}"/>
    <hyperlink ref="O277" r:id="rId250" xr:uid="{00000000-0004-0000-0200-0000F9000000}"/>
    <hyperlink ref="O278" r:id="rId251" xr:uid="{00000000-0004-0000-0200-0000FA000000}"/>
    <hyperlink ref="O279" r:id="rId252" xr:uid="{00000000-0004-0000-0200-0000FB000000}"/>
    <hyperlink ref="O280" r:id="rId253" xr:uid="{00000000-0004-0000-0200-0000FC000000}"/>
    <hyperlink ref="O281" r:id="rId254" xr:uid="{00000000-0004-0000-0200-0000FD000000}"/>
    <hyperlink ref="O282" r:id="rId255" xr:uid="{00000000-0004-0000-0200-0000FE000000}"/>
    <hyperlink ref="O283" r:id="rId256" xr:uid="{00000000-0004-0000-0200-0000FF000000}"/>
    <hyperlink ref="O284" r:id="rId257" xr:uid="{00000000-0004-0000-0200-000000010000}"/>
    <hyperlink ref="O285" r:id="rId258" xr:uid="{00000000-0004-0000-0200-000001010000}"/>
    <hyperlink ref="O287" r:id="rId259" xr:uid="{00000000-0004-0000-0200-000002010000}"/>
    <hyperlink ref="O288" r:id="rId260" xr:uid="{00000000-0004-0000-0200-000003010000}"/>
    <hyperlink ref="O289" r:id="rId261" xr:uid="{00000000-0004-0000-0200-000004010000}"/>
    <hyperlink ref="O290" r:id="rId262" xr:uid="{00000000-0004-0000-0200-000005010000}"/>
    <hyperlink ref="O291" r:id="rId263" xr:uid="{00000000-0004-0000-0200-000006010000}"/>
    <hyperlink ref="O292" r:id="rId264" xr:uid="{00000000-0004-0000-0200-000007010000}"/>
    <hyperlink ref="O293" r:id="rId265" xr:uid="{00000000-0004-0000-0200-000008010000}"/>
    <hyperlink ref="O294" r:id="rId266" xr:uid="{00000000-0004-0000-0200-000009010000}"/>
    <hyperlink ref="O295" r:id="rId267" xr:uid="{00000000-0004-0000-0200-00000A010000}"/>
    <hyperlink ref="O296" r:id="rId268" xr:uid="{00000000-0004-0000-0200-00000B010000}"/>
    <hyperlink ref="O297" r:id="rId269" xr:uid="{00000000-0004-0000-0200-00000C010000}"/>
    <hyperlink ref="O298" r:id="rId270" xr:uid="{00000000-0004-0000-0200-00000D010000}"/>
    <hyperlink ref="O299" r:id="rId271" xr:uid="{00000000-0004-0000-0200-00000E010000}"/>
    <hyperlink ref="O300" r:id="rId272" xr:uid="{00000000-0004-0000-0200-00000F010000}"/>
    <hyperlink ref="O301" r:id="rId273" xr:uid="{00000000-0004-0000-0200-000010010000}"/>
    <hyperlink ref="O302" r:id="rId274" xr:uid="{00000000-0004-0000-0200-000011010000}"/>
    <hyperlink ref="O303" r:id="rId275" xr:uid="{00000000-0004-0000-0200-000012010000}"/>
    <hyperlink ref="O304" r:id="rId276" xr:uid="{00000000-0004-0000-0200-000013010000}"/>
    <hyperlink ref="O305" r:id="rId277" xr:uid="{00000000-0004-0000-0200-000014010000}"/>
    <hyperlink ref="O306" r:id="rId278" xr:uid="{00000000-0004-0000-0200-000015010000}"/>
    <hyperlink ref="O307" r:id="rId279" xr:uid="{00000000-0004-0000-0200-000016010000}"/>
    <hyperlink ref="O308" r:id="rId280" xr:uid="{00000000-0004-0000-0200-000017010000}"/>
    <hyperlink ref="O309" r:id="rId281" xr:uid="{00000000-0004-0000-0200-000018010000}"/>
    <hyperlink ref="O310" r:id="rId282" xr:uid="{00000000-0004-0000-0200-000019010000}"/>
    <hyperlink ref="O311" r:id="rId283" xr:uid="{00000000-0004-0000-0200-00001A010000}"/>
    <hyperlink ref="O312" r:id="rId284" xr:uid="{00000000-0004-0000-0200-00001B010000}"/>
    <hyperlink ref="O313" r:id="rId285" xr:uid="{00000000-0004-0000-0200-00001C010000}"/>
    <hyperlink ref="O314" r:id="rId286" xr:uid="{00000000-0004-0000-0200-00001D010000}"/>
    <hyperlink ref="O315" r:id="rId287" xr:uid="{00000000-0004-0000-0200-00001E010000}"/>
    <hyperlink ref="O316" r:id="rId288" xr:uid="{00000000-0004-0000-0200-00001F010000}"/>
    <hyperlink ref="O317" r:id="rId289" xr:uid="{00000000-0004-0000-0200-000020010000}"/>
    <hyperlink ref="O318" r:id="rId290" xr:uid="{00000000-0004-0000-0200-000021010000}"/>
    <hyperlink ref="O319" r:id="rId291" xr:uid="{00000000-0004-0000-0200-000022010000}"/>
    <hyperlink ref="O320" r:id="rId292" xr:uid="{00000000-0004-0000-0200-000023010000}"/>
    <hyperlink ref="O321" r:id="rId293" xr:uid="{00000000-0004-0000-0200-000024010000}"/>
    <hyperlink ref="O322" r:id="rId294" xr:uid="{00000000-0004-0000-0200-000025010000}"/>
    <hyperlink ref="O323" r:id="rId295" xr:uid="{00000000-0004-0000-0200-000026010000}"/>
    <hyperlink ref="O324" r:id="rId296" xr:uid="{00000000-0004-0000-0200-000027010000}"/>
    <hyperlink ref="O325" r:id="rId297" xr:uid="{00000000-0004-0000-0200-000028010000}"/>
    <hyperlink ref="O326" r:id="rId298" xr:uid="{00000000-0004-0000-0200-000029010000}"/>
    <hyperlink ref="O327" r:id="rId299" xr:uid="{00000000-0004-0000-0200-00002A010000}"/>
    <hyperlink ref="O328" r:id="rId300" xr:uid="{00000000-0004-0000-0200-00002B010000}"/>
    <hyperlink ref="O329" r:id="rId301" xr:uid="{00000000-0004-0000-0200-00002C010000}"/>
    <hyperlink ref="O330" r:id="rId302" xr:uid="{00000000-0004-0000-0200-00002D010000}"/>
    <hyperlink ref="O331" r:id="rId303" xr:uid="{00000000-0004-0000-0200-00002E010000}"/>
    <hyperlink ref="O332" r:id="rId304" xr:uid="{00000000-0004-0000-0200-00002F010000}"/>
    <hyperlink ref="O333" r:id="rId305" xr:uid="{00000000-0004-0000-0200-000030010000}"/>
    <hyperlink ref="O334" r:id="rId306" xr:uid="{00000000-0004-0000-0200-000031010000}"/>
    <hyperlink ref="O335" r:id="rId307" xr:uid="{00000000-0004-0000-0200-000032010000}"/>
    <hyperlink ref="O337" r:id="rId308" xr:uid="{00000000-0004-0000-0200-000033010000}"/>
    <hyperlink ref="O338" r:id="rId309" xr:uid="{00000000-0004-0000-0200-000034010000}"/>
    <hyperlink ref="O339" r:id="rId310" xr:uid="{00000000-0004-0000-0200-000035010000}"/>
    <hyperlink ref="O340" r:id="rId311" xr:uid="{00000000-0004-0000-0200-000036010000}"/>
    <hyperlink ref="O341" r:id="rId312" xr:uid="{00000000-0004-0000-0200-000037010000}"/>
    <hyperlink ref="O343" r:id="rId313" xr:uid="{00000000-0004-0000-0200-000038010000}"/>
    <hyperlink ref="O344" r:id="rId314" xr:uid="{00000000-0004-0000-0200-000039010000}"/>
    <hyperlink ref="O345" r:id="rId315" xr:uid="{00000000-0004-0000-0200-00003A010000}"/>
    <hyperlink ref="O346" r:id="rId316" xr:uid="{00000000-0004-0000-0200-00003B010000}"/>
    <hyperlink ref="O347" r:id="rId317" xr:uid="{00000000-0004-0000-0200-00003C010000}"/>
    <hyperlink ref="O348" r:id="rId318" xr:uid="{00000000-0004-0000-0200-00003D010000}"/>
    <hyperlink ref="O350" r:id="rId319" xr:uid="{00000000-0004-0000-0200-00003E010000}"/>
    <hyperlink ref="O351" r:id="rId320" xr:uid="{00000000-0004-0000-0200-00003F010000}"/>
    <hyperlink ref="O352" r:id="rId321" xr:uid="{00000000-0004-0000-0200-000040010000}"/>
    <hyperlink ref="O354" r:id="rId322" xr:uid="{00000000-0004-0000-0200-000041010000}"/>
    <hyperlink ref="O355" r:id="rId323" xr:uid="{00000000-0004-0000-0200-000042010000}"/>
    <hyperlink ref="O356" r:id="rId324" xr:uid="{00000000-0004-0000-0200-000043010000}"/>
    <hyperlink ref="O357" r:id="rId325" xr:uid="{00000000-0004-0000-0200-000044010000}"/>
    <hyperlink ref="O358" r:id="rId326" xr:uid="{00000000-0004-0000-0200-000045010000}"/>
    <hyperlink ref="O359" r:id="rId327" xr:uid="{00000000-0004-0000-0200-000046010000}"/>
    <hyperlink ref="O360" r:id="rId328" xr:uid="{00000000-0004-0000-0200-000047010000}"/>
    <hyperlink ref="O361" r:id="rId329" xr:uid="{00000000-0004-0000-0200-000048010000}"/>
    <hyperlink ref="O362" r:id="rId330" xr:uid="{00000000-0004-0000-0200-000049010000}"/>
    <hyperlink ref="O363" r:id="rId331" xr:uid="{00000000-0004-0000-0200-00004A010000}"/>
    <hyperlink ref="O364" r:id="rId332" xr:uid="{00000000-0004-0000-0200-00004B010000}"/>
    <hyperlink ref="O365" r:id="rId333" xr:uid="{00000000-0004-0000-0200-00004C010000}"/>
    <hyperlink ref="O367" r:id="rId334" xr:uid="{00000000-0004-0000-0200-00004D010000}"/>
    <hyperlink ref="O368" r:id="rId335" xr:uid="{00000000-0004-0000-0200-00004E010000}"/>
    <hyperlink ref="O369" r:id="rId336" xr:uid="{00000000-0004-0000-0200-00004F010000}"/>
    <hyperlink ref="O371" r:id="rId337" xr:uid="{00000000-0004-0000-0200-000050010000}"/>
    <hyperlink ref="O372" r:id="rId338" xr:uid="{00000000-0004-0000-0200-000051010000}"/>
    <hyperlink ref="O374" r:id="rId339" xr:uid="{00000000-0004-0000-0200-000052010000}"/>
    <hyperlink ref="O375" r:id="rId340" xr:uid="{00000000-0004-0000-0200-000053010000}"/>
    <hyperlink ref="O376" r:id="rId341" xr:uid="{00000000-0004-0000-0200-000054010000}"/>
    <hyperlink ref="O377" r:id="rId342" xr:uid="{00000000-0004-0000-0200-000055010000}"/>
    <hyperlink ref="O378" r:id="rId343" xr:uid="{00000000-0004-0000-0200-000056010000}"/>
    <hyperlink ref="O379" r:id="rId344" xr:uid="{00000000-0004-0000-0200-000057010000}"/>
    <hyperlink ref="O380" r:id="rId345" xr:uid="{00000000-0004-0000-0200-000058010000}"/>
    <hyperlink ref="O382" r:id="rId346" xr:uid="{00000000-0004-0000-0200-000059010000}"/>
    <hyperlink ref="O383" r:id="rId347" xr:uid="{00000000-0004-0000-0200-00005A010000}"/>
    <hyperlink ref="O385" r:id="rId348" xr:uid="{00000000-0004-0000-0200-00005B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V158"/>
  <sheetViews>
    <sheetView workbookViewId="0"/>
  </sheetViews>
  <sheetFormatPr defaultColWidth="12.5703125" defaultRowHeight="15.75" customHeight="1" x14ac:dyDescent="0.2"/>
  <sheetData>
    <row r="1" spans="1:22" ht="15.75" customHeight="1" x14ac:dyDescent="0.25">
      <c r="A1" s="1" t="s">
        <v>0</v>
      </c>
      <c r="B1" s="1" t="s">
        <v>1</v>
      </c>
      <c r="C1" s="1" t="s">
        <v>8408</v>
      </c>
      <c r="D1" s="1" t="s">
        <v>2</v>
      </c>
      <c r="E1" s="1" t="s">
        <v>3</v>
      </c>
      <c r="F1" s="1" t="s">
        <v>4</v>
      </c>
      <c r="G1" s="1" t="s">
        <v>5</v>
      </c>
      <c r="H1" s="1" t="s">
        <v>6</v>
      </c>
      <c r="I1" s="1" t="s">
        <v>7</v>
      </c>
      <c r="J1" s="1" t="s">
        <v>8409</v>
      </c>
      <c r="K1" s="1" t="s">
        <v>131</v>
      </c>
      <c r="L1" s="1" t="s">
        <v>8410</v>
      </c>
      <c r="M1" s="1" t="s">
        <v>6107</v>
      </c>
      <c r="N1" s="1" t="s">
        <v>8</v>
      </c>
      <c r="O1" s="1" t="s">
        <v>132</v>
      </c>
      <c r="P1" s="1" t="s">
        <v>9</v>
      </c>
      <c r="Q1" s="1" t="s">
        <v>10</v>
      </c>
      <c r="R1" s="1" t="s">
        <v>11</v>
      </c>
      <c r="S1" s="1" t="s">
        <v>12</v>
      </c>
      <c r="T1" s="1" t="s">
        <v>6109</v>
      </c>
      <c r="U1" s="1" t="s">
        <v>134</v>
      </c>
      <c r="V1" s="1" t="s">
        <v>8411</v>
      </c>
    </row>
    <row r="2" spans="1:22" ht="15.75" customHeight="1" x14ac:dyDescent="0.25">
      <c r="A2" s="1" t="s">
        <v>13</v>
      </c>
      <c r="B2" s="1" t="s">
        <v>2937</v>
      </c>
      <c r="C2" s="4"/>
      <c r="D2" s="1" t="s">
        <v>2938</v>
      </c>
      <c r="E2" s="1" t="s">
        <v>354</v>
      </c>
      <c r="F2" s="1">
        <v>2020</v>
      </c>
      <c r="G2" s="1">
        <v>169</v>
      </c>
      <c r="H2" s="4"/>
      <c r="I2" s="1">
        <v>110693</v>
      </c>
      <c r="J2" s="4"/>
      <c r="K2" s="4"/>
      <c r="L2" s="4"/>
      <c r="M2" s="4"/>
      <c r="N2" s="1">
        <v>2020</v>
      </c>
      <c r="O2" s="4"/>
      <c r="P2" s="1" t="s">
        <v>65</v>
      </c>
      <c r="Q2" s="3" t="s">
        <v>8412</v>
      </c>
      <c r="R2" s="1" t="s">
        <v>2940</v>
      </c>
      <c r="S2" s="1" t="s">
        <v>8413</v>
      </c>
      <c r="T2" s="1" t="s">
        <v>8414</v>
      </c>
      <c r="U2" s="4"/>
      <c r="V2" s="4"/>
    </row>
    <row r="3" spans="1:22" ht="15.75" customHeight="1" x14ac:dyDescent="0.25">
      <c r="A3" s="1" t="s">
        <v>13</v>
      </c>
      <c r="B3" s="1" t="s">
        <v>8415</v>
      </c>
      <c r="C3" s="4"/>
      <c r="D3" s="1" t="s">
        <v>8416</v>
      </c>
      <c r="E3" s="1" t="s">
        <v>354</v>
      </c>
      <c r="F3" s="1">
        <v>2022</v>
      </c>
      <c r="G3" s="1">
        <v>188</v>
      </c>
      <c r="H3" s="4"/>
      <c r="I3" s="1">
        <v>111273</v>
      </c>
      <c r="J3" s="4"/>
      <c r="K3" s="4"/>
      <c r="L3" s="4"/>
      <c r="M3" s="4"/>
      <c r="N3" s="1">
        <v>2022</v>
      </c>
      <c r="O3" s="4"/>
      <c r="P3" s="1" t="s">
        <v>65</v>
      </c>
      <c r="Q3" s="3" t="s">
        <v>8417</v>
      </c>
      <c r="R3" s="1" t="s">
        <v>8418</v>
      </c>
      <c r="S3" s="1" t="s">
        <v>8419</v>
      </c>
      <c r="T3" s="1" t="s">
        <v>8420</v>
      </c>
      <c r="U3" s="4"/>
      <c r="V3" s="4"/>
    </row>
    <row r="4" spans="1:22" ht="15.75" customHeight="1" x14ac:dyDescent="0.25">
      <c r="A4" s="1" t="s">
        <v>13</v>
      </c>
      <c r="B4" s="1" t="s">
        <v>453</v>
      </c>
      <c r="C4" s="4"/>
      <c r="D4" s="1" t="s">
        <v>454</v>
      </c>
      <c r="E4" s="1" t="s">
        <v>8421</v>
      </c>
      <c r="F4" s="1">
        <v>2022</v>
      </c>
      <c r="G4" s="1">
        <v>115</v>
      </c>
      <c r="H4" s="4"/>
      <c r="I4" s="1" t="s">
        <v>8422</v>
      </c>
      <c r="J4" s="4"/>
      <c r="K4" s="4"/>
      <c r="L4" s="4"/>
      <c r="M4" s="4"/>
      <c r="N4" s="1">
        <v>2022</v>
      </c>
      <c r="O4" s="4"/>
      <c r="P4" s="1" t="s">
        <v>456</v>
      </c>
      <c r="Q4" s="3" t="s">
        <v>8423</v>
      </c>
      <c r="R4" s="1" t="s">
        <v>458</v>
      </c>
      <c r="S4" s="1" t="s">
        <v>8424</v>
      </c>
      <c r="T4" s="1" t="s">
        <v>8425</v>
      </c>
      <c r="U4" s="1" t="s">
        <v>8426</v>
      </c>
      <c r="V4" s="4"/>
    </row>
    <row r="5" spans="1:22" ht="15.75" customHeight="1" x14ac:dyDescent="0.25">
      <c r="A5" s="1" t="s">
        <v>13</v>
      </c>
      <c r="B5" s="1" t="s">
        <v>1397</v>
      </c>
      <c r="C5" s="4"/>
      <c r="D5" s="1" t="s">
        <v>1398</v>
      </c>
      <c r="E5" s="1" t="s">
        <v>307</v>
      </c>
      <c r="F5" s="1">
        <v>2023</v>
      </c>
      <c r="G5" s="1">
        <v>155</v>
      </c>
      <c r="H5" s="4"/>
      <c r="I5" s="1">
        <v>107116</v>
      </c>
      <c r="J5" s="4"/>
      <c r="K5" s="4"/>
      <c r="L5" s="4"/>
      <c r="M5" s="4"/>
      <c r="N5" s="1">
        <v>2023</v>
      </c>
      <c r="O5" s="4"/>
      <c r="P5" s="1" t="s">
        <v>308</v>
      </c>
      <c r="Q5" s="3" t="s">
        <v>8427</v>
      </c>
      <c r="R5" s="1" t="s">
        <v>1400</v>
      </c>
      <c r="S5" s="1" t="s">
        <v>8428</v>
      </c>
      <c r="T5" s="1" t="s">
        <v>8429</v>
      </c>
      <c r="U5" s="4"/>
      <c r="V5" s="4"/>
    </row>
    <row r="6" spans="1:22" ht="15.75" customHeight="1" x14ac:dyDescent="0.25">
      <c r="A6" s="1" t="s">
        <v>13</v>
      </c>
      <c r="B6" s="1" t="s">
        <v>1559</v>
      </c>
      <c r="C6" s="4"/>
      <c r="D6" s="1" t="s">
        <v>8430</v>
      </c>
      <c r="E6" s="1" t="s">
        <v>354</v>
      </c>
      <c r="F6" s="1">
        <v>2021</v>
      </c>
      <c r="G6" s="1">
        <v>180</v>
      </c>
      <c r="H6" s="4"/>
      <c r="I6" s="1">
        <v>111010</v>
      </c>
      <c r="J6" s="4"/>
      <c r="K6" s="4"/>
      <c r="L6" s="4"/>
      <c r="M6" s="4"/>
      <c r="N6" s="1">
        <v>2021</v>
      </c>
      <c r="O6" s="4"/>
      <c r="P6" s="1" t="s">
        <v>65</v>
      </c>
      <c r="Q6" s="3" t="s">
        <v>8431</v>
      </c>
      <c r="R6" s="1" t="s">
        <v>1562</v>
      </c>
      <c r="S6" s="1" t="s">
        <v>8432</v>
      </c>
      <c r="T6" s="1" t="s">
        <v>8433</v>
      </c>
      <c r="U6" s="4"/>
      <c r="V6" s="4"/>
    </row>
    <row r="7" spans="1:22" ht="15.75" customHeight="1" x14ac:dyDescent="0.25">
      <c r="A7" s="1" t="s">
        <v>13</v>
      </c>
      <c r="B7" s="1" t="s">
        <v>3220</v>
      </c>
      <c r="C7" s="4"/>
      <c r="D7" s="1" t="s">
        <v>3221</v>
      </c>
      <c r="E7" s="1" t="s">
        <v>354</v>
      </c>
      <c r="F7" s="1">
        <v>2021</v>
      </c>
      <c r="G7" s="1">
        <v>171</v>
      </c>
      <c r="H7" s="4"/>
      <c r="I7" s="1">
        <v>110806</v>
      </c>
      <c r="J7" s="4"/>
      <c r="K7" s="4"/>
      <c r="L7" s="4"/>
      <c r="M7" s="4"/>
      <c r="N7" s="1">
        <v>2021</v>
      </c>
      <c r="O7" s="4"/>
      <c r="P7" s="1" t="s">
        <v>65</v>
      </c>
      <c r="Q7" s="3" t="s">
        <v>8434</v>
      </c>
      <c r="R7" s="1" t="s">
        <v>3223</v>
      </c>
      <c r="S7" s="1" t="s">
        <v>8435</v>
      </c>
      <c r="T7" s="1" t="s">
        <v>8436</v>
      </c>
      <c r="U7" s="4"/>
      <c r="V7" s="4"/>
    </row>
    <row r="8" spans="1:22" ht="15.75" customHeight="1" x14ac:dyDescent="0.25">
      <c r="A8" s="1" t="s">
        <v>13</v>
      </c>
      <c r="B8" s="1" t="s">
        <v>8437</v>
      </c>
      <c r="C8" s="4"/>
      <c r="D8" s="1" t="s">
        <v>8438</v>
      </c>
      <c r="E8" s="1" t="s">
        <v>354</v>
      </c>
      <c r="F8" s="1">
        <v>2023</v>
      </c>
      <c r="G8" s="1">
        <v>195</v>
      </c>
      <c r="H8" s="4"/>
      <c r="I8" s="1">
        <v>111521</v>
      </c>
      <c r="J8" s="4"/>
      <c r="K8" s="4"/>
      <c r="L8" s="4"/>
      <c r="M8" s="4"/>
      <c r="N8" s="1">
        <v>2023</v>
      </c>
      <c r="O8" s="4"/>
      <c r="P8" s="1" t="s">
        <v>65</v>
      </c>
      <c r="Q8" s="3" t="s">
        <v>8439</v>
      </c>
      <c r="R8" s="1" t="s">
        <v>8440</v>
      </c>
      <c r="S8" s="1" t="s">
        <v>8441</v>
      </c>
      <c r="T8" s="1" t="s">
        <v>8442</v>
      </c>
      <c r="U8" s="4"/>
      <c r="V8" s="4"/>
    </row>
    <row r="9" spans="1:22" ht="15.75" customHeight="1" x14ac:dyDescent="0.25">
      <c r="A9" s="1" t="s">
        <v>13</v>
      </c>
      <c r="B9" s="1" t="s">
        <v>4101</v>
      </c>
      <c r="C9" s="4"/>
      <c r="D9" s="1" t="s">
        <v>4102</v>
      </c>
      <c r="E9" s="1" t="s">
        <v>307</v>
      </c>
      <c r="F9" s="1">
        <v>2020</v>
      </c>
      <c r="G9" s="1">
        <v>122</v>
      </c>
      <c r="H9" s="4"/>
      <c r="I9" s="1">
        <v>106274</v>
      </c>
      <c r="J9" s="4"/>
      <c r="K9" s="4"/>
      <c r="L9" s="4"/>
      <c r="M9" s="4"/>
      <c r="N9" s="1">
        <v>2020</v>
      </c>
      <c r="O9" s="4"/>
      <c r="P9" s="1" t="s">
        <v>308</v>
      </c>
      <c r="Q9" s="3" t="s">
        <v>8443</v>
      </c>
      <c r="R9" s="1" t="s">
        <v>4104</v>
      </c>
      <c r="S9" s="1" t="s">
        <v>8444</v>
      </c>
      <c r="T9" s="1" t="s">
        <v>8445</v>
      </c>
      <c r="U9" s="4"/>
      <c r="V9" s="4"/>
    </row>
    <row r="10" spans="1:22" ht="15.75" customHeight="1" x14ac:dyDescent="0.25">
      <c r="A10" s="1" t="s">
        <v>13</v>
      </c>
      <c r="B10" s="1" t="s">
        <v>2906</v>
      </c>
      <c r="C10" s="4"/>
      <c r="D10" s="1" t="s">
        <v>2907</v>
      </c>
      <c r="E10" s="1" t="s">
        <v>354</v>
      </c>
      <c r="F10" s="1">
        <v>2021</v>
      </c>
      <c r="G10" s="1">
        <v>171</v>
      </c>
      <c r="H10" s="4"/>
      <c r="I10" s="1">
        <v>110847</v>
      </c>
      <c r="J10" s="4"/>
      <c r="K10" s="4"/>
      <c r="L10" s="4"/>
      <c r="M10" s="4"/>
      <c r="N10" s="1">
        <v>2021</v>
      </c>
      <c r="O10" s="4"/>
      <c r="P10" s="1" t="s">
        <v>65</v>
      </c>
      <c r="Q10" s="3" t="s">
        <v>8446</v>
      </c>
      <c r="R10" s="1" t="s">
        <v>2909</v>
      </c>
      <c r="S10" s="1" t="s">
        <v>8447</v>
      </c>
      <c r="T10" s="1" t="s">
        <v>8448</v>
      </c>
      <c r="U10" s="4"/>
      <c r="V10" s="4"/>
    </row>
    <row r="11" spans="1:22" ht="15.75" customHeight="1" x14ac:dyDescent="0.25">
      <c r="A11" s="1" t="s">
        <v>13</v>
      </c>
      <c r="B11" s="1" t="s">
        <v>8449</v>
      </c>
      <c r="C11" s="4"/>
      <c r="D11" s="1" t="s">
        <v>8450</v>
      </c>
      <c r="E11" s="1" t="s">
        <v>354</v>
      </c>
      <c r="F11" s="1">
        <v>2023</v>
      </c>
      <c r="G11" s="1">
        <v>196</v>
      </c>
      <c r="H11" s="4"/>
      <c r="I11" s="1">
        <v>111554</v>
      </c>
      <c r="J11" s="4"/>
      <c r="K11" s="4"/>
      <c r="L11" s="4"/>
      <c r="M11" s="4"/>
      <c r="N11" s="1">
        <v>2023</v>
      </c>
      <c r="O11" s="4"/>
      <c r="P11" s="1" t="s">
        <v>65</v>
      </c>
      <c r="Q11" s="3" t="s">
        <v>8451</v>
      </c>
      <c r="R11" s="1" t="s">
        <v>8452</v>
      </c>
      <c r="S11" s="1" t="s">
        <v>8453</v>
      </c>
      <c r="T11" s="1" t="s">
        <v>8454</v>
      </c>
      <c r="U11" s="4"/>
      <c r="V11" s="4"/>
    </row>
    <row r="12" spans="1:22" ht="15.75" customHeight="1" x14ac:dyDescent="0.25">
      <c r="A12" s="1" t="s">
        <v>13</v>
      </c>
      <c r="B12" s="1" t="s">
        <v>8455</v>
      </c>
      <c r="C12" s="4"/>
      <c r="D12" s="1" t="s">
        <v>8456</v>
      </c>
      <c r="E12" s="1" t="s">
        <v>307</v>
      </c>
      <c r="F12" s="1">
        <v>2019</v>
      </c>
      <c r="G12" s="1">
        <v>109</v>
      </c>
      <c r="H12" s="4"/>
      <c r="I12" s="1" t="s">
        <v>8457</v>
      </c>
      <c r="J12" s="4"/>
      <c r="K12" s="4"/>
      <c r="L12" s="4"/>
      <c r="M12" s="4"/>
      <c r="N12" s="1">
        <v>2019</v>
      </c>
      <c r="O12" s="4"/>
      <c r="P12" s="1" t="s">
        <v>308</v>
      </c>
      <c r="Q12" s="3" t="s">
        <v>8458</v>
      </c>
      <c r="R12" s="1" t="s">
        <v>8459</v>
      </c>
      <c r="S12" s="1" t="s">
        <v>8460</v>
      </c>
      <c r="T12" s="1" t="s">
        <v>8461</v>
      </c>
      <c r="U12" s="4"/>
      <c r="V12" s="4"/>
    </row>
    <row r="13" spans="1:22" ht="15.75" customHeight="1" x14ac:dyDescent="0.25">
      <c r="A13" s="1" t="s">
        <v>13</v>
      </c>
      <c r="B13" s="1" t="s">
        <v>8462</v>
      </c>
      <c r="C13" s="4"/>
      <c r="D13" s="1" t="s">
        <v>8463</v>
      </c>
      <c r="E13" s="1" t="s">
        <v>354</v>
      </c>
      <c r="F13" s="1">
        <v>2020</v>
      </c>
      <c r="G13" s="1">
        <v>167</v>
      </c>
      <c r="H13" s="4"/>
      <c r="I13" s="1">
        <v>110610</v>
      </c>
      <c r="J13" s="4"/>
      <c r="K13" s="4"/>
      <c r="L13" s="4"/>
      <c r="M13" s="4"/>
      <c r="N13" s="1">
        <v>2020</v>
      </c>
      <c r="O13" s="4"/>
      <c r="P13" s="1" t="s">
        <v>65</v>
      </c>
      <c r="Q13" s="3" t="s">
        <v>8464</v>
      </c>
      <c r="R13" s="1" t="s">
        <v>8465</v>
      </c>
      <c r="S13" s="1" t="s">
        <v>8466</v>
      </c>
      <c r="T13" s="1" t="s">
        <v>8467</v>
      </c>
      <c r="U13" s="4"/>
      <c r="V13" s="4"/>
    </row>
    <row r="14" spans="1:22" ht="15.75" customHeight="1" x14ac:dyDescent="0.25">
      <c r="A14" s="1" t="s">
        <v>13</v>
      </c>
      <c r="B14" s="1" t="s">
        <v>3189</v>
      </c>
      <c r="C14" s="4"/>
      <c r="D14" s="1" t="s">
        <v>3190</v>
      </c>
      <c r="E14" s="1" t="s">
        <v>354</v>
      </c>
      <c r="F14" s="1">
        <v>2020</v>
      </c>
      <c r="G14" s="1">
        <v>170</v>
      </c>
      <c r="H14" s="4"/>
      <c r="I14" s="1">
        <v>110750</v>
      </c>
      <c r="J14" s="4"/>
      <c r="K14" s="4"/>
      <c r="L14" s="4"/>
      <c r="M14" s="4"/>
      <c r="N14" s="1">
        <v>2020</v>
      </c>
      <c r="O14" s="4"/>
      <c r="P14" s="1" t="s">
        <v>65</v>
      </c>
      <c r="Q14" s="3" t="s">
        <v>8468</v>
      </c>
      <c r="R14" s="1" t="s">
        <v>3192</v>
      </c>
      <c r="S14" s="1" t="s">
        <v>8469</v>
      </c>
      <c r="T14" s="1" t="s">
        <v>8470</v>
      </c>
      <c r="U14" s="4"/>
      <c r="V14" s="4"/>
    </row>
    <row r="15" spans="1:22" ht="15.75" customHeight="1" x14ac:dyDescent="0.25">
      <c r="A15" s="1" t="s">
        <v>13</v>
      </c>
      <c r="B15" s="1" t="s">
        <v>1057</v>
      </c>
      <c r="C15" s="4"/>
      <c r="D15" s="1" t="s">
        <v>1058</v>
      </c>
      <c r="E15" s="1" t="s">
        <v>1059</v>
      </c>
      <c r="F15" s="1">
        <v>2022</v>
      </c>
      <c r="G15" s="1">
        <v>115</v>
      </c>
      <c r="H15" s="4"/>
      <c r="I15" s="1">
        <v>105209</v>
      </c>
      <c r="J15" s="4"/>
      <c r="K15" s="4"/>
      <c r="L15" s="4"/>
      <c r="M15" s="4"/>
      <c r="N15" s="1">
        <v>2022</v>
      </c>
      <c r="O15" s="4"/>
      <c r="P15" s="1" t="s">
        <v>1061</v>
      </c>
      <c r="Q15" s="3" t="s">
        <v>8471</v>
      </c>
      <c r="R15" s="1" t="s">
        <v>1063</v>
      </c>
      <c r="S15" s="1" t="s">
        <v>8472</v>
      </c>
      <c r="T15" s="1" t="s">
        <v>8473</v>
      </c>
      <c r="U15" s="4"/>
      <c r="V15" s="4"/>
    </row>
    <row r="16" spans="1:22" ht="15.75" customHeight="1" x14ac:dyDescent="0.25">
      <c r="A16" s="1" t="s">
        <v>13</v>
      </c>
      <c r="B16" s="1" t="s">
        <v>8474</v>
      </c>
      <c r="C16" s="4"/>
      <c r="D16" s="1" t="s">
        <v>8475</v>
      </c>
      <c r="E16" s="1" t="s">
        <v>307</v>
      </c>
      <c r="F16" s="1">
        <v>2016</v>
      </c>
      <c r="G16" s="1">
        <v>70</v>
      </c>
      <c r="H16" s="4"/>
      <c r="I16" s="1" t="s">
        <v>8476</v>
      </c>
      <c r="J16" s="4"/>
      <c r="K16" s="4"/>
      <c r="L16" s="4"/>
      <c r="M16" s="4"/>
      <c r="N16" s="1">
        <v>2016</v>
      </c>
      <c r="O16" s="4"/>
      <c r="P16" s="1" t="s">
        <v>308</v>
      </c>
      <c r="Q16" s="3" t="s">
        <v>8477</v>
      </c>
      <c r="R16" s="1" t="s">
        <v>5350</v>
      </c>
      <c r="S16" s="1" t="s">
        <v>8478</v>
      </c>
      <c r="T16" s="1" t="s">
        <v>8479</v>
      </c>
      <c r="U16" s="4"/>
      <c r="V16" s="4"/>
    </row>
    <row r="17" spans="1:22" ht="15.75" customHeight="1" x14ac:dyDescent="0.25">
      <c r="A17" s="1" t="s">
        <v>13</v>
      </c>
      <c r="B17" s="1" t="s">
        <v>8480</v>
      </c>
      <c r="C17" s="4"/>
      <c r="D17" s="1" t="s">
        <v>8481</v>
      </c>
      <c r="E17" s="1" t="s">
        <v>8482</v>
      </c>
      <c r="F17" s="1">
        <v>2020</v>
      </c>
      <c r="G17" s="1">
        <v>97</v>
      </c>
      <c r="H17" s="4"/>
      <c r="I17" s="1">
        <v>101967</v>
      </c>
      <c r="J17" s="4"/>
      <c r="K17" s="4"/>
      <c r="L17" s="4"/>
      <c r="M17" s="4"/>
      <c r="N17" s="1">
        <v>2020</v>
      </c>
      <c r="O17" s="4"/>
      <c r="P17" s="1" t="s">
        <v>8483</v>
      </c>
      <c r="Q17" s="3" t="s">
        <v>8484</v>
      </c>
      <c r="R17" s="1" t="s">
        <v>8485</v>
      </c>
      <c r="S17" s="1" t="s">
        <v>8486</v>
      </c>
      <c r="T17" s="1" t="s">
        <v>8487</v>
      </c>
      <c r="U17" s="4"/>
      <c r="V17" s="4"/>
    </row>
    <row r="18" spans="1:22" ht="15.75" customHeight="1" x14ac:dyDescent="0.25">
      <c r="A18" s="1" t="s">
        <v>13</v>
      </c>
      <c r="B18" s="1" t="s">
        <v>8488</v>
      </c>
      <c r="C18" s="4"/>
      <c r="D18" s="1" t="s">
        <v>8489</v>
      </c>
      <c r="E18" s="1" t="s">
        <v>1059</v>
      </c>
      <c r="F18" s="1">
        <v>2022</v>
      </c>
      <c r="G18" s="1">
        <v>111</v>
      </c>
      <c r="H18" s="4"/>
      <c r="I18" s="1">
        <v>104773</v>
      </c>
      <c r="J18" s="4"/>
      <c r="K18" s="4"/>
      <c r="L18" s="4"/>
      <c r="M18" s="4"/>
      <c r="N18" s="1">
        <v>2022</v>
      </c>
      <c r="O18" s="4"/>
      <c r="P18" s="1" t="s">
        <v>1061</v>
      </c>
      <c r="Q18" s="3" t="s">
        <v>8490</v>
      </c>
      <c r="R18" s="1" t="s">
        <v>8491</v>
      </c>
      <c r="S18" s="1" t="s">
        <v>8492</v>
      </c>
      <c r="T18" s="1" t="s">
        <v>8493</v>
      </c>
      <c r="U18" s="4"/>
      <c r="V18" s="4"/>
    </row>
    <row r="19" spans="1:22" ht="15.75" customHeight="1" x14ac:dyDescent="0.25">
      <c r="A19" s="1" t="s">
        <v>13</v>
      </c>
      <c r="B19" s="1" t="s">
        <v>8494</v>
      </c>
      <c r="C19" s="4"/>
      <c r="D19" s="1" t="s">
        <v>8495</v>
      </c>
      <c r="E19" s="1" t="s">
        <v>354</v>
      </c>
      <c r="F19" s="1">
        <v>2023</v>
      </c>
      <c r="G19" s="1">
        <v>198</v>
      </c>
      <c r="H19" s="4"/>
      <c r="I19" s="1">
        <v>111563</v>
      </c>
      <c r="J19" s="4"/>
      <c r="K19" s="4"/>
      <c r="L19" s="4"/>
      <c r="M19" s="4"/>
      <c r="N19" s="1">
        <v>2023</v>
      </c>
      <c r="O19" s="4"/>
      <c r="P19" s="1" t="s">
        <v>65</v>
      </c>
      <c r="Q19" s="3" t="s">
        <v>8496</v>
      </c>
      <c r="R19" s="1" t="s">
        <v>8497</v>
      </c>
      <c r="S19" s="1" t="s">
        <v>8498</v>
      </c>
      <c r="T19" s="1" t="s">
        <v>8499</v>
      </c>
      <c r="U19" s="4"/>
      <c r="V19" s="4"/>
    </row>
    <row r="20" spans="1:22" ht="15.75" customHeight="1" x14ac:dyDescent="0.25">
      <c r="A20" s="1" t="s">
        <v>13</v>
      </c>
      <c r="B20" s="1" t="s">
        <v>8500</v>
      </c>
      <c r="C20" s="4"/>
      <c r="D20" s="1" t="s">
        <v>8501</v>
      </c>
      <c r="E20" s="1" t="s">
        <v>8502</v>
      </c>
      <c r="F20" s="1">
        <v>2022</v>
      </c>
      <c r="G20" s="1">
        <v>9</v>
      </c>
      <c r="H20" s="4"/>
      <c r="I20" s="1">
        <v>100316</v>
      </c>
      <c r="J20" s="4"/>
      <c r="K20" s="4"/>
      <c r="L20" s="4"/>
      <c r="M20" s="4"/>
      <c r="N20" s="1">
        <v>2022</v>
      </c>
      <c r="O20" s="4"/>
      <c r="P20" s="1" t="s">
        <v>8503</v>
      </c>
      <c r="Q20" s="3" t="s">
        <v>8504</v>
      </c>
      <c r="R20" s="1" t="s">
        <v>8505</v>
      </c>
      <c r="S20" s="1" t="s">
        <v>8506</v>
      </c>
      <c r="T20" s="1" t="s">
        <v>8507</v>
      </c>
      <c r="U20" s="4"/>
      <c r="V20" s="4"/>
    </row>
    <row r="21" spans="1:22" ht="15.75" customHeight="1" x14ac:dyDescent="0.25">
      <c r="A21" s="1" t="s">
        <v>13</v>
      </c>
      <c r="B21" s="1" t="s">
        <v>8508</v>
      </c>
      <c r="C21" s="4"/>
      <c r="D21" s="1" t="s">
        <v>8509</v>
      </c>
      <c r="E21" s="1" t="s">
        <v>354</v>
      </c>
      <c r="F21" s="1">
        <v>2017</v>
      </c>
      <c r="G21" s="1">
        <v>123</v>
      </c>
      <c r="H21" s="4"/>
      <c r="I21" s="1" t="s">
        <v>8510</v>
      </c>
      <c r="J21" s="4"/>
      <c r="K21" s="4"/>
      <c r="L21" s="4"/>
      <c r="M21" s="4"/>
      <c r="N21" s="1">
        <v>2017</v>
      </c>
      <c r="O21" s="4"/>
      <c r="P21" s="1" t="s">
        <v>65</v>
      </c>
      <c r="Q21" s="3" t="s">
        <v>8511</v>
      </c>
      <c r="R21" s="1" t="s">
        <v>8512</v>
      </c>
      <c r="S21" s="1" t="s">
        <v>8513</v>
      </c>
      <c r="T21" s="1" t="s">
        <v>8514</v>
      </c>
      <c r="U21" s="4"/>
      <c r="V21" s="4"/>
    </row>
    <row r="22" spans="1:22" ht="15.75" customHeight="1" x14ac:dyDescent="0.25">
      <c r="A22" s="1" t="s">
        <v>13</v>
      </c>
      <c r="B22" s="1" t="s">
        <v>8515</v>
      </c>
      <c r="C22" s="4"/>
      <c r="D22" s="1" t="s">
        <v>8516</v>
      </c>
      <c r="E22" s="1" t="s">
        <v>307</v>
      </c>
      <c r="F22" s="1">
        <v>2021</v>
      </c>
      <c r="G22" s="1">
        <v>134</v>
      </c>
      <c r="H22" s="4"/>
      <c r="I22" s="1">
        <v>106539</v>
      </c>
      <c r="J22" s="4"/>
      <c r="K22" s="4"/>
      <c r="L22" s="4"/>
      <c r="M22" s="4"/>
      <c r="N22" s="1">
        <v>2021</v>
      </c>
      <c r="O22" s="4"/>
      <c r="P22" s="1" t="s">
        <v>308</v>
      </c>
      <c r="Q22" s="3" t="s">
        <v>8517</v>
      </c>
      <c r="R22" s="1" t="s">
        <v>8518</v>
      </c>
      <c r="S22" s="1" t="s">
        <v>8519</v>
      </c>
      <c r="T22" s="1" t="s">
        <v>8520</v>
      </c>
      <c r="U22" s="4"/>
      <c r="V22" s="4"/>
    </row>
    <row r="23" spans="1:22" ht="15.75" customHeight="1" x14ac:dyDescent="0.25">
      <c r="A23" s="1" t="s">
        <v>13</v>
      </c>
      <c r="B23" s="1" t="s">
        <v>8521</v>
      </c>
      <c r="C23" s="4"/>
      <c r="D23" s="1" t="s">
        <v>8522</v>
      </c>
      <c r="E23" s="1" t="s">
        <v>307</v>
      </c>
      <c r="F23" s="1">
        <v>2020</v>
      </c>
      <c r="G23" s="1">
        <v>127</v>
      </c>
      <c r="H23" s="4"/>
      <c r="I23" s="1">
        <v>106375</v>
      </c>
      <c r="J23" s="4"/>
      <c r="K23" s="4"/>
      <c r="L23" s="4"/>
      <c r="M23" s="4"/>
      <c r="N23" s="1">
        <v>2020</v>
      </c>
      <c r="O23" s="4"/>
      <c r="P23" s="1" t="s">
        <v>308</v>
      </c>
      <c r="Q23" s="3" t="s">
        <v>8523</v>
      </c>
      <c r="R23" s="1" t="s">
        <v>8524</v>
      </c>
      <c r="S23" s="1" t="s">
        <v>8525</v>
      </c>
      <c r="T23" s="1" t="s">
        <v>8526</v>
      </c>
      <c r="U23" s="4"/>
      <c r="V23" s="4"/>
    </row>
    <row r="24" spans="1:22" ht="15.75" customHeight="1" x14ac:dyDescent="0.25">
      <c r="A24" s="1" t="s">
        <v>13</v>
      </c>
      <c r="B24" s="1" t="s">
        <v>8527</v>
      </c>
      <c r="C24" s="4"/>
      <c r="D24" s="1" t="s">
        <v>8528</v>
      </c>
      <c r="E24" s="1" t="s">
        <v>8482</v>
      </c>
      <c r="F24" s="1">
        <v>2021</v>
      </c>
      <c r="G24" s="1">
        <v>103</v>
      </c>
      <c r="H24" s="4"/>
      <c r="I24" s="1">
        <v>102200</v>
      </c>
      <c r="J24" s="4"/>
      <c r="K24" s="4"/>
      <c r="L24" s="4"/>
      <c r="M24" s="4"/>
      <c r="N24" s="1">
        <v>2021</v>
      </c>
      <c r="O24" s="4"/>
      <c r="P24" s="1" t="s">
        <v>8483</v>
      </c>
      <c r="Q24" s="3" t="s">
        <v>8529</v>
      </c>
      <c r="R24" s="1" t="s">
        <v>8530</v>
      </c>
      <c r="S24" s="1" t="s">
        <v>8531</v>
      </c>
      <c r="T24" s="1" t="s">
        <v>8532</v>
      </c>
      <c r="U24" s="4"/>
      <c r="V24" s="4"/>
    </row>
    <row r="25" spans="1:22" ht="15.75" customHeight="1" x14ac:dyDescent="0.25">
      <c r="A25" s="1" t="s">
        <v>7972</v>
      </c>
      <c r="B25" s="4"/>
      <c r="C25" s="1" t="s">
        <v>8533</v>
      </c>
      <c r="D25" s="1" t="s">
        <v>8534</v>
      </c>
      <c r="E25" s="4"/>
      <c r="F25" s="1">
        <v>2014</v>
      </c>
      <c r="G25" s="1">
        <v>93</v>
      </c>
      <c r="H25" s="4"/>
      <c r="I25" s="1" t="s">
        <v>8535</v>
      </c>
      <c r="J25" s="4"/>
      <c r="K25" s="1" t="s">
        <v>8536</v>
      </c>
      <c r="L25" s="4"/>
      <c r="M25" s="1" t="s">
        <v>8537</v>
      </c>
      <c r="N25" s="1">
        <v>2014</v>
      </c>
      <c r="O25" s="4"/>
      <c r="P25" s="1" t="s">
        <v>8538</v>
      </c>
      <c r="Q25" s="3" t="s">
        <v>8539</v>
      </c>
      <c r="R25" s="1" t="s">
        <v>8540</v>
      </c>
      <c r="S25" s="4"/>
      <c r="T25" s="4"/>
      <c r="U25" s="4"/>
      <c r="V25" s="1" t="s">
        <v>8537</v>
      </c>
    </row>
    <row r="26" spans="1:22" ht="15.75" customHeight="1" x14ac:dyDescent="0.25">
      <c r="A26" s="1" t="s">
        <v>13</v>
      </c>
      <c r="B26" s="1" t="s">
        <v>8541</v>
      </c>
      <c r="C26" s="4"/>
      <c r="D26" s="1" t="s">
        <v>8542</v>
      </c>
      <c r="E26" s="1" t="s">
        <v>307</v>
      </c>
      <c r="F26" s="1">
        <v>2021</v>
      </c>
      <c r="G26" s="1">
        <v>129</v>
      </c>
      <c r="H26" s="4"/>
      <c r="I26" s="1">
        <v>106435</v>
      </c>
      <c r="J26" s="4"/>
      <c r="K26" s="4"/>
      <c r="L26" s="4"/>
      <c r="M26" s="4"/>
      <c r="N26" s="1">
        <v>2021</v>
      </c>
      <c r="O26" s="4"/>
      <c r="P26" s="1" t="s">
        <v>308</v>
      </c>
      <c r="Q26" s="3" t="s">
        <v>8543</v>
      </c>
      <c r="R26" s="1" t="s">
        <v>8544</v>
      </c>
      <c r="S26" s="1" t="s">
        <v>8545</v>
      </c>
      <c r="T26" s="1" t="s">
        <v>8546</v>
      </c>
      <c r="U26" s="4"/>
      <c r="V26" s="4"/>
    </row>
    <row r="27" spans="1:22" ht="15.75" customHeight="1" x14ac:dyDescent="0.25">
      <c r="A27" s="1" t="s">
        <v>13</v>
      </c>
      <c r="B27" s="1" t="s">
        <v>8547</v>
      </c>
      <c r="C27" s="4"/>
      <c r="D27" s="1" t="s">
        <v>8548</v>
      </c>
      <c r="E27" s="1" t="s">
        <v>307</v>
      </c>
      <c r="F27" s="1">
        <v>2021</v>
      </c>
      <c r="G27" s="1">
        <v>134</v>
      </c>
      <c r="H27" s="4"/>
      <c r="I27" s="1">
        <v>106551</v>
      </c>
      <c r="J27" s="4"/>
      <c r="K27" s="4"/>
      <c r="L27" s="4"/>
      <c r="M27" s="4"/>
      <c r="N27" s="1">
        <v>2021</v>
      </c>
      <c r="O27" s="4"/>
      <c r="P27" s="1" t="s">
        <v>308</v>
      </c>
      <c r="Q27" s="3" t="s">
        <v>8549</v>
      </c>
      <c r="R27" s="1" t="s">
        <v>8550</v>
      </c>
      <c r="S27" s="1" t="s">
        <v>8551</v>
      </c>
      <c r="T27" s="1" t="s">
        <v>8552</v>
      </c>
      <c r="U27" s="4"/>
      <c r="V27" s="4"/>
    </row>
    <row r="28" spans="1:22" ht="15.75" customHeight="1" x14ac:dyDescent="0.25">
      <c r="A28" s="1" t="s">
        <v>13</v>
      </c>
      <c r="B28" s="1" t="s">
        <v>8553</v>
      </c>
      <c r="C28" s="4"/>
      <c r="D28" s="1" t="s">
        <v>8554</v>
      </c>
      <c r="E28" s="1" t="s">
        <v>354</v>
      </c>
      <c r="F28" s="1">
        <v>2022</v>
      </c>
      <c r="G28" s="1">
        <v>190</v>
      </c>
      <c r="H28" s="4"/>
      <c r="I28" s="1">
        <v>111326</v>
      </c>
      <c r="J28" s="4"/>
      <c r="K28" s="4"/>
      <c r="L28" s="4"/>
      <c r="M28" s="4"/>
      <c r="N28" s="1">
        <v>2022</v>
      </c>
      <c r="O28" s="4"/>
      <c r="P28" s="1" t="s">
        <v>65</v>
      </c>
      <c r="Q28" s="3" t="s">
        <v>8555</v>
      </c>
      <c r="R28" s="1" t="s">
        <v>8556</v>
      </c>
      <c r="S28" s="1" t="s">
        <v>8557</v>
      </c>
      <c r="T28" s="1" t="s">
        <v>8558</v>
      </c>
      <c r="U28" s="4"/>
      <c r="V28" s="4"/>
    </row>
    <row r="29" spans="1:22" ht="15.75" customHeight="1" x14ac:dyDescent="0.25">
      <c r="A29" s="1" t="s">
        <v>13</v>
      </c>
      <c r="B29" s="1" t="s">
        <v>8559</v>
      </c>
      <c r="C29" s="4"/>
      <c r="D29" s="1" t="s">
        <v>8560</v>
      </c>
      <c r="E29" s="1" t="s">
        <v>354</v>
      </c>
      <c r="F29" s="1">
        <v>2019</v>
      </c>
      <c r="G29" s="1">
        <v>156</v>
      </c>
      <c r="H29" s="4"/>
      <c r="I29" s="1" t="s">
        <v>8561</v>
      </c>
      <c r="J29" s="4"/>
      <c r="K29" s="4"/>
      <c r="L29" s="4"/>
      <c r="M29" s="4"/>
      <c r="N29" s="1">
        <v>2019</v>
      </c>
      <c r="O29" s="4"/>
      <c r="P29" s="1" t="s">
        <v>65</v>
      </c>
      <c r="Q29" s="3" t="s">
        <v>8562</v>
      </c>
      <c r="R29" s="1" t="s">
        <v>8563</v>
      </c>
      <c r="S29" s="1" t="s">
        <v>8564</v>
      </c>
      <c r="T29" s="1" t="s">
        <v>8565</v>
      </c>
      <c r="U29" s="4"/>
      <c r="V29" s="4"/>
    </row>
    <row r="30" spans="1:22" ht="15.75" customHeight="1" x14ac:dyDescent="0.25">
      <c r="A30" s="1" t="s">
        <v>13</v>
      </c>
      <c r="B30" s="1" t="s">
        <v>7920</v>
      </c>
      <c r="C30" s="4"/>
      <c r="D30" s="1" t="s">
        <v>8566</v>
      </c>
      <c r="E30" s="1" t="s">
        <v>307</v>
      </c>
      <c r="F30" s="1">
        <v>2022</v>
      </c>
      <c r="G30" s="1">
        <v>141</v>
      </c>
      <c r="H30" s="4"/>
      <c r="I30" s="1">
        <v>106705</v>
      </c>
      <c r="J30" s="4"/>
      <c r="K30" s="4"/>
      <c r="L30" s="4"/>
      <c r="M30" s="4"/>
      <c r="N30" s="1">
        <v>2022</v>
      </c>
      <c r="O30" s="4"/>
      <c r="P30" s="1" t="s">
        <v>308</v>
      </c>
      <c r="Q30" s="3" t="s">
        <v>8567</v>
      </c>
      <c r="R30" s="1" t="s">
        <v>8568</v>
      </c>
      <c r="S30" s="1" t="s">
        <v>8569</v>
      </c>
      <c r="T30" s="1" t="s">
        <v>8570</v>
      </c>
      <c r="U30" s="4"/>
      <c r="V30" s="4"/>
    </row>
    <row r="31" spans="1:22" ht="15.75" customHeight="1" x14ac:dyDescent="0.25">
      <c r="A31" s="1" t="s">
        <v>13</v>
      </c>
      <c r="B31" s="1" t="s">
        <v>2585</v>
      </c>
      <c r="C31" s="4"/>
      <c r="D31" s="1" t="s">
        <v>2586</v>
      </c>
      <c r="E31" s="1" t="s">
        <v>307</v>
      </c>
      <c r="F31" s="1">
        <v>2021</v>
      </c>
      <c r="G31" s="1">
        <v>135</v>
      </c>
      <c r="H31" s="4"/>
      <c r="I31" s="1">
        <v>106566</v>
      </c>
      <c r="J31" s="4"/>
      <c r="K31" s="4"/>
      <c r="L31" s="4"/>
      <c r="M31" s="4"/>
      <c r="N31" s="1">
        <v>2021</v>
      </c>
      <c r="O31" s="4"/>
      <c r="P31" s="1" t="s">
        <v>308</v>
      </c>
      <c r="Q31" s="3" t="s">
        <v>8571</v>
      </c>
      <c r="R31" s="1" t="s">
        <v>2588</v>
      </c>
      <c r="S31" s="1" t="s">
        <v>8572</v>
      </c>
      <c r="T31" s="1" t="s">
        <v>8573</v>
      </c>
      <c r="U31" s="4"/>
      <c r="V31" s="4"/>
    </row>
    <row r="32" spans="1:22" ht="15.75" customHeight="1" x14ac:dyDescent="0.25">
      <c r="A32" s="1" t="s">
        <v>13</v>
      </c>
      <c r="B32" s="1" t="s">
        <v>8574</v>
      </c>
      <c r="C32" s="4"/>
      <c r="D32" s="1" t="s">
        <v>8575</v>
      </c>
      <c r="E32" s="1" t="s">
        <v>354</v>
      </c>
      <c r="F32" s="1">
        <v>2015</v>
      </c>
      <c r="G32" s="1">
        <v>110</v>
      </c>
      <c r="H32" s="4"/>
      <c r="I32" s="1" t="s">
        <v>8576</v>
      </c>
      <c r="J32" s="4"/>
      <c r="K32" s="4"/>
      <c r="L32" s="4"/>
      <c r="M32" s="4"/>
      <c r="N32" s="1">
        <v>2015</v>
      </c>
      <c r="O32" s="4"/>
      <c r="P32" s="1" t="s">
        <v>65</v>
      </c>
      <c r="Q32" s="3" t="s">
        <v>8577</v>
      </c>
      <c r="R32" s="1" t="s">
        <v>8578</v>
      </c>
      <c r="S32" s="1" t="s">
        <v>8579</v>
      </c>
      <c r="T32" s="1" t="s">
        <v>8580</v>
      </c>
      <c r="U32" s="4"/>
      <c r="V32" s="4"/>
    </row>
    <row r="33" spans="1:22" ht="15.75" customHeight="1" x14ac:dyDescent="0.25">
      <c r="A33" s="1" t="s">
        <v>13</v>
      </c>
      <c r="B33" s="1" t="s">
        <v>8581</v>
      </c>
      <c r="C33" s="4"/>
      <c r="D33" s="1" t="s">
        <v>8582</v>
      </c>
      <c r="E33" s="1" t="s">
        <v>354</v>
      </c>
      <c r="F33" s="1">
        <v>2019</v>
      </c>
      <c r="G33" s="1">
        <v>147</v>
      </c>
      <c r="H33" s="4"/>
      <c r="I33" s="1" t="s">
        <v>8583</v>
      </c>
      <c r="J33" s="4"/>
      <c r="K33" s="4"/>
      <c r="L33" s="4"/>
      <c r="M33" s="4"/>
      <c r="N33" s="1">
        <v>2019</v>
      </c>
      <c r="O33" s="4"/>
      <c r="P33" s="1" t="s">
        <v>65</v>
      </c>
      <c r="Q33" s="3" t="s">
        <v>8584</v>
      </c>
      <c r="R33" s="1" t="s">
        <v>8585</v>
      </c>
      <c r="S33" s="1" t="s">
        <v>8586</v>
      </c>
      <c r="T33" s="1" t="s">
        <v>8587</v>
      </c>
      <c r="U33" s="4"/>
      <c r="V33" s="4"/>
    </row>
    <row r="34" spans="1:22" ht="15.75" customHeight="1" x14ac:dyDescent="0.25">
      <c r="A34" s="1" t="s">
        <v>13</v>
      </c>
      <c r="B34" s="1" t="s">
        <v>4757</v>
      </c>
      <c r="C34" s="4"/>
      <c r="D34" s="1" t="s">
        <v>8588</v>
      </c>
      <c r="E34" s="1" t="s">
        <v>354</v>
      </c>
      <c r="F34" s="1">
        <v>2021</v>
      </c>
      <c r="G34" s="1">
        <v>177</v>
      </c>
      <c r="H34" s="4"/>
      <c r="I34" s="1">
        <v>110964</v>
      </c>
      <c r="J34" s="4"/>
      <c r="K34" s="4"/>
      <c r="L34" s="4"/>
      <c r="M34" s="4"/>
      <c r="N34" s="1">
        <v>2021</v>
      </c>
      <c r="O34" s="4"/>
      <c r="P34" s="1" t="s">
        <v>65</v>
      </c>
      <c r="Q34" s="3" t="s">
        <v>8589</v>
      </c>
      <c r="R34" s="1" t="s">
        <v>8590</v>
      </c>
      <c r="S34" s="1" t="s">
        <v>8591</v>
      </c>
      <c r="T34" s="4"/>
      <c r="U34" s="4"/>
      <c r="V34" s="4"/>
    </row>
    <row r="35" spans="1:22" ht="15.75" customHeight="1" x14ac:dyDescent="0.25">
      <c r="A35" s="1" t="s">
        <v>13</v>
      </c>
      <c r="B35" s="1" t="s">
        <v>1119</v>
      </c>
      <c r="C35" s="4"/>
      <c r="D35" s="1" t="s">
        <v>1120</v>
      </c>
      <c r="E35" s="1" t="s">
        <v>354</v>
      </c>
      <c r="F35" s="1">
        <v>2023</v>
      </c>
      <c r="G35" s="1">
        <v>195</v>
      </c>
      <c r="H35" s="4"/>
      <c r="I35" s="1">
        <v>111514</v>
      </c>
      <c r="J35" s="4"/>
      <c r="K35" s="4"/>
      <c r="L35" s="4"/>
      <c r="M35" s="4"/>
      <c r="N35" s="1">
        <v>2023</v>
      </c>
      <c r="O35" s="4"/>
      <c r="P35" s="1" t="s">
        <v>65</v>
      </c>
      <c r="Q35" s="3" t="s">
        <v>8592</v>
      </c>
      <c r="R35" s="1" t="s">
        <v>1122</v>
      </c>
      <c r="S35" s="1" t="s">
        <v>8593</v>
      </c>
      <c r="T35" s="1" t="s">
        <v>8594</v>
      </c>
      <c r="U35" s="4"/>
      <c r="V35" s="4"/>
    </row>
    <row r="36" spans="1:22" ht="15.75" customHeight="1" x14ac:dyDescent="0.25">
      <c r="A36" s="1" t="s">
        <v>13</v>
      </c>
      <c r="B36" s="1" t="s">
        <v>8595</v>
      </c>
      <c r="C36" s="4"/>
      <c r="D36" s="1" t="s">
        <v>8596</v>
      </c>
      <c r="E36" s="1" t="s">
        <v>8597</v>
      </c>
      <c r="F36" s="1">
        <v>2022</v>
      </c>
      <c r="G36" s="1">
        <v>19</v>
      </c>
      <c r="H36" s="4"/>
      <c r="I36" s="1">
        <v>100514</v>
      </c>
      <c r="J36" s="4"/>
      <c r="K36" s="4"/>
      <c r="L36" s="4"/>
      <c r="M36" s="4"/>
      <c r="N36" s="1">
        <v>2022</v>
      </c>
      <c r="O36" s="4"/>
      <c r="P36" s="1" t="s">
        <v>8598</v>
      </c>
      <c r="Q36" s="3" t="s">
        <v>8599</v>
      </c>
      <c r="R36" s="1" t="s">
        <v>8600</v>
      </c>
      <c r="S36" s="1" t="s">
        <v>8601</v>
      </c>
      <c r="T36" s="1" t="s">
        <v>8602</v>
      </c>
      <c r="U36" s="4"/>
      <c r="V36" s="4"/>
    </row>
    <row r="37" spans="1:22" ht="15.75" customHeight="1" x14ac:dyDescent="0.25">
      <c r="A37" s="1" t="s">
        <v>13</v>
      </c>
      <c r="B37" s="1" t="s">
        <v>3714</v>
      </c>
      <c r="C37" s="4"/>
      <c r="D37" s="1" t="s">
        <v>3715</v>
      </c>
      <c r="E37" s="1" t="s">
        <v>354</v>
      </c>
      <c r="F37" s="1">
        <v>2021</v>
      </c>
      <c r="G37" s="1">
        <v>174</v>
      </c>
      <c r="H37" s="4"/>
      <c r="I37" s="1">
        <v>110902</v>
      </c>
      <c r="J37" s="4"/>
      <c r="K37" s="4"/>
      <c r="L37" s="4"/>
      <c r="M37" s="4"/>
      <c r="N37" s="1">
        <v>2021</v>
      </c>
      <c r="O37" s="4"/>
      <c r="P37" s="1" t="s">
        <v>65</v>
      </c>
      <c r="Q37" s="3" t="s">
        <v>8603</v>
      </c>
      <c r="R37" s="1" t="s">
        <v>3717</v>
      </c>
      <c r="S37" s="1" t="s">
        <v>8604</v>
      </c>
      <c r="T37" s="1" t="s">
        <v>8605</v>
      </c>
      <c r="U37" s="4"/>
      <c r="V37" s="4"/>
    </row>
    <row r="38" spans="1:22" ht="15.75" customHeight="1" x14ac:dyDescent="0.25">
      <c r="A38" s="1" t="s">
        <v>13</v>
      </c>
      <c r="B38" s="1" t="s">
        <v>2465</v>
      </c>
      <c r="C38" s="4"/>
      <c r="D38" s="1" t="s">
        <v>2466</v>
      </c>
      <c r="E38" s="1" t="s">
        <v>354</v>
      </c>
      <c r="F38" s="1">
        <v>2021</v>
      </c>
      <c r="G38" s="1">
        <v>176</v>
      </c>
      <c r="H38" s="4"/>
      <c r="I38" s="1">
        <v>110936</v>
      </c>
      <c r="J38" s="4"/>
      <c r="K38" s="4"/>
      <c r="L38" s="4"/>
      <c r="M38" s="4"/>
      <c r="N38" s="1">
        <v>2021</v>
      </c>
      <c r="O38" s="4"/>
      <c r="P38" s="1" t="s">
        <v>65</v>
      </c>
      <c r="Q38" s="3" t="s">
        <v>8606</v>
      </c>
      <c r="R38" s="1" t="s">
        <v>2468</v>
      </c>
      <c r="S38" s="1" t="s">
        <v>8607</v>
      </c>
      <c r="T38" s="1" t="s">
        <v>8608</v>
      </c>
      <c r="U38" s="4"/>
      <c r="V38" s="4"/>
    </row>
    <row r="39" spans="1:22" ht="15.75" customHeight="1" x14ac:dyDescent="0.25">
      <c r="A39" s="1" t="s">
        <v>13</v>
      </c>
      <c r="B39" s="1" t="s">
        <v>8609</v>
      </c>
      <c r="C39" s="4"/>
      <c r="D39" s="1" t="s">
        <v>8610</v>
      </c>
      <c r="E39" s="1" t="s">
        <v>354</v>
      </c>
      <c r="F39" s="1">
        <v>2013</v>
      </c>
      <c r="G39" s="1">
        <v>86</v>
      </c>
      <c r="H39" s="1">
        <v>5</v>
      </c>
      <c r="I39" s="1" t="s">
        <v>8611</v>
      </c>
      <c r="J39" s="4"/>
      <c r="K39" s="4"/>
      <c r="L39" s="4"/>
      <c r="M39" s="4"/>
      <c r="N39" s="1">
        <v>2013</v>
      </c>
      <c r="O39" s="4"/>
      <c r="P39" s="1" t="s">
        <v>65</v>
      </c>
      <c r="Q39" s="3" t="s">
        <v>8612</v>
      </c>
      <c r="R39" s="1" t="s">
        <v>8613</v>
      </c>
      <c r="S39" s="1" t="s">
        <v>8614</v>
      </c>
      <c r="T39" s="1" t="s">
        <v>8615</v>
      </c>
      <c r="U39" s="4"/>
      <c r="V39" s="4"/>
    </row>
    <row r="40" spans="1:22" ht="15.75" customHeight="1" x14ac:dyDescent="0.25">
      <c r="A40" s="1" t="s">
        <v>13</v>
      </c>
      <c r="B40" s="1" t="s">
        <v>8616</v>
      </c>
      <c r="C40" s="4"/>
      <c r="D40" s="1" t="s">
        <v>8617</v>
      </c>
      <c r="E40" s="1" t="s">
        <v>307</v>
      </c>
      <c r="F40" s="1">
        <v>2020</v>
      </c>
      <c r="G40" s="1">
        <v>125</v>
      </c>
      <c r="H40" s="4"/>
      <c r="I40" s="1">
        <v>106333</v>
      </c>
      <c r="J40" s="4"/>
      <c r="K40" s="4"/>
      <c r="L40" s="4"/>
      <c r="M40" s="4"/>
      <c r="N40" s="1">
        <v>2020</v>
      </c>
      <c r="O40" s="4"/>
      <c r="P40" s="1" t="s">
        <v>308</v>
      </c>
      <c r="Q40" s="3" t="s">
        <v>8618</v>
      </c>
      <c r="R40" s="1" t="s">
        <v>8619</v>
      </c>
      <c r="S40" s="1" t="s">
        <v>8620</v>
      </c>
      <c r="T40" s="1" t="s">
        <v>8621</v>
      </c>
      <c r="U40" s="4"/>
      <c r="V40" s="4"/>
    </row>
    <row r="41" spans="1:22" ht="15.75" customHeight="1" x14ac:dyDescent="0.25">
      <c r="A41" s="1" t="s">
        <v>13</v>
      </c>
      <c r="B41" s="1" t="s">
        <v>8622</v>
      </c>
      <c r="C41" s="4"/>
      <c r="D41" s="1" t="s">
        <v>8623</v>
      </c>
      <c r="E41" s="1" t="s">
        <v>8624</v>
      </c>
      <c r="F41" s="1">
        <v>2022</v>
      </c>
      <c r="G41" s="1">
        <v>141</v>
      </c>
      <c r="H41" s="4"/>
      <c r="I41" s="1">
        <v>103701</v>
      </c>
      <c r="J41" s="4"/>
      <c r="K41" s="4"/>
      <c r="L41" s="4"/>
      <c r="M41" s="4"/>
      <c r="N41" s="1">
        <v>2022</v>
      </c>
      <c r="O41" s="4"/>
      <c r="P41" s="1" t="s">
        <v>8625</v>
      </c>
      <c r="Q41" s="3" t="s">
        <v>8626</v>
      </c>
      <c r="R41" s="1" t="s">
        <v>8627</v>
      </c>
      <c r="S41" s="1" t="s">
        <v>8628</v>
      </c>
      <c r="T41" s="1" t="s">
        <v>8629</v>
      </c>
      <c r="U41" s="4"/>
      <c r="V41" s="4"/>
    </row>
    <row r="42" spans="1:22" ht="15.75" customHeight="1" x14ac:dyDescent="0.25">
      <c r="A42" s="1" t="s">
        <v>13</v>
      </c>
      <c r="B42" s="1" t="s">
        <v>8630</v>
      </c>
      <c r="C42" s="4"/>
      <c r="D42" s="1" t="s">
        <v>8631</v>
      </c>
      <c r="E42" s="1" t="s">
        <v>354</v>
      </c>
      <c r="F42" s="1">
        <v>2021</v>
      </c>
      <c r="G42" s="1">
        <v>180</v>
      </c>
      <c r="H42" s="4"/>
      <c r="I42" s="1">
        <v>111029</v>
      </c>
      <c r="J42" s="4"/>
      <c r="K42" s="4"/>
      <c r="L42" s="4"/>
      <c r="M42" s="4"/>
      <c r="N42" s="1">
        <v>2021</v>
      </c>
      <c r="O42" s="4"/>
      <c r="P42" s="1" t="s">
        <v>65</v>
      </c>
      <c r="Q42" s="3" t="s">
        <v>8632</v>
      </c>
      <c r="R42" s="1" t="s">
        <v>8633</v>
      </c>
      <c r="S42" s="1" t="s">
        <v>8634</v>
      </c>
      <c r="T42" s="1" t="s">
        <v>8635</v>
      </c>
      <c r="U42" s="4"/>
      <c r="V42" s="4"/>
    </row>
    <row r="43" spans="1:22" ht="15.75" customHeight="1" x14ac:dyDescent="0.25">
      <c r="A43" s="1" t="s">
        <v>13</v>
      </c>
      <c r="B43" s="1" t="s">
        <v>8636</v>
      </c>
      <c r="C43" s="4"/>
      <c r="D43" s="1" t="s">
        <v>8637</v>
      </c>
      <c r="E43" s="1" t="s">
        <v>354</v>
      </c>
      <c r="F43" s="1">
        <v>2020</v>
      </c>
      <c r="G43" s="1">
        <v>159</v>
      </c>
      <c r="H43" s="4"/>
      <c r="I43" s="1">
        <v>110424</v>
      </c>
      <c r="J43" s="4"/>
      <c r="K43" s="4"/>
      <c r="L43" s="4"/>
      <c r="M43" s="4"/>
      <c r="N43" s="1">
        <v>2020</v>
      </c>
      <c r="O43" s="4"/>
      <c r="P43" s="1" t="s">
        <v>65</v>
      </c>
      <c r="Q43" s="3" t="s">
        <v>8638</v>
      </c>
      <c r="R43" s="1" t="s">
        <v>8639</v>
      </c>
      <c r="S43" s="1" t="s">
        <v>8640</v>
      </c>
      <c r="T43" s="1" t="s">
        <v>8641</v>
      </c>
      <c r="U43" s="4"/>
      <c r="V43" s="4"/>
    </row>
    <row r="44" spans="1:22" x14ac:dyDescent="0.25">
      <c r="A44" s="1" t="s">
        <v>13</v>
      </c>
      <c r="B44" s="1" t="s">
        <v>3055</v>
      </c>
      <c r="C44" s="4"/>
      <c r="D44" s="1" t="s">
        <v>3056</v>
      </c>
      <c r="E44" s="1" t="s">
        <v>8642</v>
      </c>
      <c r="F44" s="1">
        <v>2021</v>
      </c>
      <c r="G44" s="1">
        <v>192</v>
      </c>
      <c r="H44" s="4"/>
      <c r="I44" s="1" t="s">
        <v>8643</v>
      </c>
      <c r="J44" s="4"/>
      <c r="K44" s="4"/>
      <c r="L44" s="4"/>
      <c r="M44" s="4"/>
      <c r="N44" s="1">
        <v>2021</v>
      </c>
      <c r="O44" s="4"/>
      <c r="P44" s="1" t="s">
        <v>3058</v>
      </c>
      <c r="Q44" s="3" t="s">
        <v>8644</v>
      </c>
      <c r="R44" s="1" t="s">
        <v>3060</v>
      </c>
      <c r="S44" s="1" t="s">
        <v>8645</v>
      </c>
      <c r="T44" s="1" t="s">
        <v>8646</v>
      </c>
      <c r="U44" s="1" t="s">
        <v>8647</v>
      </c>
      <c r="V44" s="4"/>
    </row>
    <row r="45" spans="1:22" x14ac:dyDescent="0.25">
      <c r="A45" s="1" t="s">
        <v>13</v>
      </c>
      <c r="B45" s="1" t="s">
        <v>8648</v>
      </c>
      <c r="C45" s="4"/>
      <c r="D45" s="1" t="s">
        <v>8649</v>
      </c>
      <c r="E45" s="1" t="s">
        <v>307</v>
      </c>
      <c r="F45" s="1">
        <v>2023</v>
      </c>
      <c r="G45" s="1">
        <v>156</v>
      </c>
      <c r="H45" s="4"/>
      <c r="I45" s="1">
        <v>107131</v>
      </c>
      <c r="J45" s="4"/>
      <c r="K45" s="4"/>
      <c r="L45" s="4"/>
      <c r="M45" s="4"/>
      <c r="N45" s="1">
        <v>2023</v>
      </c>
      <c r="O45" s="4"/>
      <c r="P45" s="1" t="s">
        <v>308</v>
      </c>
      <c r="Q45" s="3" t="s">
        <v>8650</v>
      </c>
      <c r="R45" s="1" t="s">
        <v>8651</v>
      </c>
      <c r="S45" s="1" t="s">
        <v>8652</v>
      </c>
      <c r="T45" s="1" t="s">
        <v>8653</v>
      </c>
      <c r="U45" s="4"/>
      <c r="V45" s="4"/>
    </row>
    <row r="46" spans="1:22" x14ac:dyDescent="0.25">
      <c r="A46" s="1" t="s">
        <v>13</v>
      </c>
      <c r="B46" s="1" t="s">
        <v>8654</v>
      </c>
      <c r="C46" s="4"/>
      <c r="D46" s="1" t="s">
        <v>8655</v>
      </c>
      <c r="E46" s="1" t="s">
        <v>354</v>
      </c>
      <c r="F46" s="1">
        <v>2020</v>
      </c>
      <c r="G46" s="1">
        <v>159</v>
      </c>
      <c r="H46" s="4"/>
      <c r="I46" s="1">
        <v>110428</v>
      </c>
      <c r="J46" s="4"/>
      <c r="K46" s="4"/>
      <c r="L46" s="4"/>
      <c r="M46" s="4"/>
      <c r="N46" s="1">
        <v>2020</v>
      </c>
      <c r="O46" s="4"/>
      <c r="P46" s="1" t="s">
        <v>65</v>
      </c>
      <c r="Q46" s="3" t="s">
        <v>8656</v>
      </c>
      <c r="R46" s="1" t="s">
        <v>8657</v>
      </c>
      <c r="S46" s="1" t="s">
        <v>8658</v>
      </c>
      <c r="T46" s="1" t="s">
        <v>8659</v>
      </c>
      <c r="U46" s="4"/>
      <c r="V46" s="4"/>
    </row>
    <row r="47" spans="1:22" x14ac:dyDescent="0.25">
      <c r="A47" s="1" t="s">
        <v>13</v>
      </c>
      <c r="B47" s="1" t="s">
        <v>8660</v>
      </c>
      <c r="C47" s="4"/>
      <c r="D47" s="1" t="s">
        <v>8661</v>
      </c>
      <c r="E47" s="1" t="s">
        <v>307</v>
      </c>
      <c r="F47" s="1">
        <v>2021</v>
      </c>
      <c r="G47" s="1">
        <v>132</v>
      </c>
      <c r="H47" s="4"/>
      <c r="I47" s="1">
        <v>106448</v>
      </c>
      <c r="J47" s="4"/>
      <c r="K47" s="4"/>
      <c r="L47" s="4"/>
      <c r="M47" s="4"/>
      <c r="N47" s="1">
        <v>2021</v>
      </c>
      <c r="O47" s="4"/>
      <c r="P47" s="1" t="s">
        <v>308</v>
      </c>
      <c r="Q47" s="3" t="s">
        <v>8662</v>
      </c>
      <c r="R47" s="1" t="s">
        <v>8663</v>
      </c>
      <c r="S47" s="1" t="s">
        <v>8664</v>
      </c>
      <c r="T47" s="1" t="s">
        <v>8665</v>
      </c>
      <c r="U47" s="4"/>
      <c r="V47" s="4"/>
    </row>
    <row r="48" spans="1:22" x14ac:dyDescent="0.25">
      <c r="A48" s="1" t="s">
        <v>13</v>
      </c>
      <c r="B48" s="1" t="s">
        <v>8666</v>
      </c>
      <c r="C48" s="4"/>
      <c r="D48" s="1" t="s">
        <v>8667</v>
      </c>
      <c r="E48" s="1" t="s">
        <v>354</v>
      </c>
      <c r="F48" s="1">
        <v>2023</v>
      </c>
      <c r="G48" s="4"/>
      <c r="H48" s="4"/>
      <c r="I48" s="1">
        <v>111619</v>
      </c>
      <c r="J48" s="4"/>
      <c r="K48" s="4"/>
      <c r="L48" s="4"/>
      <c r="M48" s="4"/>
      <c r="N48" s="1">
        <v>2023</v>
      </c>
      <c r="O48" s="4"/>
      <c r="P48" s="1" t="s">
        <v>65</v>
      </c>
      <c r="Q48" s="3" t="s">
        <v>8668</v>
      </c>
      <c r="R48" s="1" t="s">
        <v>8669</v>
      </c>
      <c r="S48" s="1" t="s">
        <v>8670</v>
      </c>
      <c r="T48" s="1" t="s">
        <v>8671</v>
      </c>
      <c r="U48" s="4"/>
      <c r="V48" s="4"/>
    </row>
    <row r="49" spans="1:22" x14ac:dyDescent="0.25">
      <c r="A49" s="1" t="s">
        <v>13</v>
      </c>
      <c r="B49" s="1" t="s">
        <v>352</v>
      </c>
      <c r="C49" s="4"/>
      <c r="D49" s="1" t="s">
        <v>353</v>
      </c>
      <c r="E49" s="1" t="s">
        <v>354</v>
      </c>
      <c r="F49" s="1">
        <v>2022</v>
      </c>
      <c r="G49" s="1">
        <v>194</v>
      </c>
      <c r="H49" s="4"/>
      <c r="I49" s="1">
        <v>111481</v>
      </c>
      <c r="J49" s="4"/>
      <c r="K49" s="4"/>
      <c r="L49" s="4"/>
      <c r="M49" s="4"/>
      <c r="N49" s="1">
        <v>2022</v>
      </c>
      <c r="O49" s="4"/>
      <c r="P49" s="1" t="s">
        <v>65</v>
      </c>
      <c r="Q49" s="3" t="s">
        <v>8672</v>
      </c>
      <c r="R49" s="1" t="s">
        <v>357</v>
      </c>
      <c r="S49" s="1" t="s">
        <v>8673</v>
      </c>
      <c r="T49" s="1" t="s">
        <v>8674</v>
      </c>
      <c r="U49" s="4"/>
      <c r="V49" s="4"/>
    </row>
    <row r="50" spans="1:22" x14ac:dyDescent="0.25">
      <c r="A50" s="1" t="s">
        <v>13</v>
      </c>
      <c r="B50" s="1" t="s">
        <v>8675</v>
      </c>
      <c r="C50" s="4"/>
      <c r="D50" s="1" t="s">
        <v>8676</v>
      </c>
      <c r="E50" s="1" t="s">
        <v>307</v>
      </c>
      <c r="F50" s="1">
        <v>2019</v>
      </c>
      <c r="G50" s="1">
        <v>110</v>
      </c>
      <c r="H50" s="4"/>
      <c r="I50" s="1" t="s">
        <v>8677</v>
      </c>
      <c r="J50" s="4"/>
      <c r="K50" s="4"/>
      <c r="L50" s="4"/>
      <c r="M50" s="4"/>
      <c r="N50" s="1">
        <v>2019</v>
      </c>
      <c r="O50" s="4"/>
      <c r="P50" s="1" t="s">
        <v>308</v>
      </c>
      <c r="Q50" s="3" t="s">
        <v>8678</v>
      </c>
      <c r="R50" s="1" t="s">
        <v>8679</v>
      </c>
      <c r="S50" s="1" t="s">
        <v>8680</v>
      </c>
      <c r="T50" s="1" t="s">
        <v>8681</v>
      </c>
      <c r="U50" s="4"/>
      <c r="V50" s="4"/>
    </row>
    <row r="51" spans="1:22" x14ac:dyDescent="0.25">
      <c r="A51" s="1" t="s">
        <v>13</v>
      </c>
      <c r="B51" s="1" t="s">
        <v>8682</v>
      </c>
      <c r="C51" s="4"/>
      <c r="D51" s="1" t="s">
        <v>8683</v>
      </c>
      <c r="E51" s="1" t="s">
        <v>307</v>
      </c>
      <c r="F51" s="1">
        <v>2021</v>
      </c>
      <c r="G51" s="1">
        <v>130</v>
      </c>
      <c r="H51" s="4"/>
      <c r="I51" s="1">
        <v>106439</v>
      </c>
      <c r="J51" s="4"/>
      <c r="K51" s="4"/>
      <c r="L51" s="4"/>
      <c r="M51" s="4"/>
      <c r="N51" s="1">
        <v>2021</v>
      </c>
      <c r="O51" s="4"/>
      <c r="P51" s="1" t="s">
        <v>308</v>
      </c>
      <c r="Q51" s="3" t="s">
        <v>8684</v>
      </c>
      <c r="R51" s="1" t="s">
        <v>8685</v>
      </c>
      <c r="S51" s="1" t="s">
        <v>8686</v>
      </c>
      <c r="T51" s="4"/>
      <c r="U51" s="4"/>
      <c r="V51" s="4"/>
    </row>
    <row r="52" spans="1:22" x14ac:dyDescent="0.25">
      <c r="A52" s="1" t="s">
        <v>13</v>
      </c>
      <c r="B52" s="1" t="s">
        <v>8687</v>
      </c>
      <c r="C52" s="4"/>
      <c r="D52" s="1" t="s">
        <v>8688</v>
      </c>
      <c r="E52" s="1" t="s">
        <v>354</v>
      </c>
      <c r="F52" s="1">
        <v>2022</v>
      </c>
      <c r="G52" s="1">
        <v>188</v>
      </c>
      <c r="H52" s="4"/>
      <c r="I52" s="1">
        <v>111283</v>
      </c>
      <c r="J52" s="4"/>
      <c r="K52" s="4"/>
      <c r="L52" s="4"/>
      <c r="M52" s="4"/>
      <c r="N52" s="1">
        <v>2022</v>
      </c>
      <c r="O52" s="4"/>
      <c r="P52" s="1" t="s">
        <v>65</v>
      </c>
      <c r="Q52" s="3" t="s">
        <v>8689</v>
      </c>
      <c r="R52" s="1" t="s">
        <v>8690</v>
      </c>
      <c r="S52" s="1" t="s">
        <v>8691</v>
      </c>
      <c r="T52" s="1" t="s">
        <v>8692</v>
      </c>
      <c r="U52" s="4"/>
      <c r="V52" s="4"/>
    </row>
    <row r="53" spans="1:22" x14ac:dyDescent="0.25">
      <c r="A53" s="1" t="s">
        <v>13</v>
      </c>
      <c r="B53" s="1" t="s">
        <v>8693</v>
      </c>
      <c r="C53" s="4"/>
      <c r="D53" s="1" t="s">
        <v>8694</v>
      </c>
      <c r="E53" s="1" t="s">
        <v>354</v>
      </c>
      <c r="F53" s="1">
        <v>2022</v>
      </c>
      <c r="G53" s="1">
        <v>191</v>
      </c>
      <c r="H53" s="4"/>
      <c r="I53" s="1">
        <v>111369</v>
      </c>
      <c r="J53" s="4"/>
      <c r="K53" s="4"/>
      <c r="L53" s="4"/>
      <c r="M53" s="4"/>
      <c r="N53" s="1">
        <v>2022</v>
      </c>
      <c r="O53" s="4"/>
      <c r="P53" s="1" t="s">
        <v>65</v>
      </c>
      <c r="Q53" s="3" t="s">
        <v>8695</v>
      </c>
      <c r="R53" s="1" t="s">
        <v>8696</v>
      </c>
      <c r="S53" s="1" t="s">
        <v>8697</v>
      </c>
      <c r="T53" s="1" t="s">
        <v>8698</v>
      </c>
      <c r="U53" s="4"/>
      <c r="V53" s="4"/>
    </row>
    <row r="54" spans="1:22" x14ac:dyDescent="0.25">
      <c r="A54" s="1" t="s">
        <v>13</v>
      </c>
      <c r="B54" s="1" t="s">
        <v>8699</v>
      </c>
      <c r="C54" s="4"/>
      <c r="D54" s="1" t="s">
        <v>8700</v>
      </c>
      <c r="E54" s="1" t="s">
        <v>354</v>
      </c>
      <c r="F54" s="1">
        <v>2022</v>
      </c>
      <c r="G54" s="1">
        <v>186</v>
      </c>
      <c r="H54" s="4"/>
      <c r="I54" s="1">
        <v>111166</v>
      </c>
      <c r="J54" s="4"/>
      <c r="K54" s="4"/>
      <c r="L54" s="4"/>
      <c r="M54" s="4"/>
      <c r="N54" s="1">
        <v>2022</v>
      </c>
      <c r="O54" s="4"/>
      <c r="P54" s="1" t="s">
        <v>65</v>
      </c>
      <c r="Q54" s="3" t="s">
        <v>8701</v>
      </c>
      <c r="R54" s="1" t="s">
        <v>8702</v>
      </c>
      <c r="S54" s="1" t="s">
        <v>8703</v>
      </c>
      <c r="T54" s="1" t="s">
        <v>8704</v>
      </c>
      <c r="U54" s="4"/>
      <c r="V54" s="4"/>
    </row>
    <row r="55" spans="1:22" x14ac:dyDescent="0.25">
      <c r="A55" s="1" t="s">
        <v>13</v>
      </c>
      <c r="B55" s="1" t="s">
        <v>1199</v>
      </c>
      <c r="C55" s="4"/>
      <c r="D55" s="1" t="s">
        <v>1200</v>
      </c>
      <c r="E55" s="1" t="s">
        <v>354</v>
      </c>
      <c r="F55" s="1">
        <v>2022</v>
      </c>
      <c r="G55" s="1">
        <v>187</v>
      </c>
      <c r="H55" s="4"/>
      <c r="I55" s="1">
        <v>111219</v>
      </c>
      <c r="J55" s="4"/>
      <c r="K55" s="4"/>
      <c r="L55" s="4"/>
      <c r="M55" s="4"/>
      <c r="N55" s="1">
        <v>2022</v>
      </c>
      <c r="O55" s="4"/>
      <c r="P55" s="1" t="s">
        <v>65</v>
      </c>
      <c r="Q55" s="3" t="s">
        <v>8705</v>
      </c>
      <c r="R55" s="1" t="s">
        <v>1202</v>
      </c>
      <c r="S55" s="1" t="s">
        <v>8706</v>
      </c>
      <c r="T55" s="1" t="s">
        <v>8707</v>
      </c>
      <c r="U55" s="4"/>
      <c r="V55" s="4"/>
    </row>
    <row r="56" spans="1:22" x14ac:dyDescent="0.25">
      <c r="A56" s="1" t="s">
        <v>13</v>
      </c>
      <c r="B56" s="1" t="s">
        <v>8708</v>
      </c>
      <c r="C56" s="4"/>
      <c r="D56" s="1" t="s">
        <v>8709</v>
      </c>
      <c r="E56" s="1" t="s">
        <v>354</v>
      </c>
      <c r="F56" s="1">
        <v>2019</v>
      </c>
      <c r="G56" s="1">
        <v>152</v>
      </c>
      <c r="H56" s="4"/>
      <c r="I56" s="1" t="s">
        <v>8710</v>
      </c>
      <c r="J56" s="4"/>
      <c r="K56" s="4"/>
      <c r="L56" s="4"/>
      <c r="M56" s="4"/>
      <c r="N56" s="1">
        <v>2019</v>
      </c>
      <c r="O56" s="4"/>
      <c r="P56" s="1" t="s">
        <v>65</v>
      </c>
      <c r="Q56" s="3" t="s">
        <v>8711</v>
      </c>
      <c r="R56" s="1" t="s">
        <v>8712</v>
      </c>
      <c r="S56" s="1" t="s">
        <v>8713</v>
      </c>
      <c r="T56" s="1" t="s">
        <v>8714</v>
      </c>
      <c r="U56" s="4"/>
      <c r="V56" s="4"/>
    </row>
    <row r="57" spans="1:22" x14ac:dyDescent="0.25">
      <c r="A57" s="1" t="s">
        <v>13</v>
      </c>
      <c r="B57" s="1" t="s">
        <v>8715</v>
      </c>
      <c r="C57" s="4"/>
      <c r="D57" s="1" t="s">
        <v>8716</v>
      </c>
      <c r="E57" s="1" t="s">
        <v>307</v>
      </c>
      <c r="F57" s="1">
        <v>2022</v>
      </c>
      <c r="G57" s="1">
        <v>147</v>
      </c>
      <c r="H57" s="4"/>
      <c r="I57" s="1">
        <v>106893</v>
      </c>
      <c r="J57" s="4"/>
      <c r="K57" s="4"/>
      <c r="L57" s="4"/>
      <c r="M57" s="4"/>
      <c r="N57" s="1">
        <v>2022</v>
      </c>
      <c r="O57" s="4"/>
      <c r="P57" s="1" t="s">
        <v>308</v>
      </c>
      <c r="Q57" s="3" t="s">
        <v>8717</v>
      </c>
      <c r="R57" s="1" t="s">
        <v>8718</v>
      </c>
      <c r="S57" s="1" t="s">
        <v>8719</v>
      </c>
      <c r="T57" s="1" t="s">
        <v>8720</v>
      </c>
      <c r="U57" s="4"/>
      <c r="V57" s="4"/>
    </row>
    <row r="58" spans="1:22" x14ac:dyDescent="0.25">
      <c r="A58" s="1" t="s">
        <v>13</v>
      </c>
      <c r="B58" s="1" t="s">
        <v>8721</v>
      </c>
      <c r="C58" s="4"/>
      <c r="D58" s="1" t="s">
        <v>8722</v>
      </c>
      <c r="E58" s="1" t="s">
        <v>354</v>
      </c>
      <c r="F58" s="1">
        <v>2022</v>
      </c>
      <c r="G58" s="1">
        <v>192</v>
      </c>
      <c r="H58" s="4"/>
      <c r="I58" s="1">
        <v>111389</v>
      </c>
      <c r="J58" s="4"/>
      <c r="K58" s="4"/>
      <c r="L58" s="4"/>
      <c r="M58" s="4"/>
      <c r="N58" s="1">
        <v>2022</v>
      </c>
      <c r="O58" s="4"/>
      <c r="P58" s="1" t="s">
        <v>65</v>
      </c>
      <c r="Q58" s="3" t="s">
        <v>8723</v>
      </c>
      <c r="R58" s="1" t="s">
        <v>8724</v>
      </c>
      <c r="S58" s="1" t="s">
        <v>8725</v>
      </c>
      <c r="T58" s="1" t="s">
        <v>8726</v>
      </c>
      <c r="U58" s="4"/>
      <c r="V58" s="4"/>
    </row>
    <row r="59" spans="1:22" x14ac:dyDescent="0.25">
      <c r="A59" s="1" t="s">
        <v>13</v>
      </c>
      <c r="B59" s="1" t="s">
        <v>8727</v>
      </c>
      <c r="C59" s="4"/>
      <c r="D59" s="1" t="s">
        <v>8728</v>
      </c>
      <c r="E59" s="1" t="s">
        <v>8421</v>
      </c>
      <c r="F59" s="1">
        <v>2022</v>
      </c>
      <c r="G59" s="1">
        <v>107</v>
      </c>
      <c r="H59" s="4"/>
      <c r="I59" s="1" t="s">
        <v>8729</v>
      </c>
      <c r="J59" s="4"/>
      <c r="K59" s="4"/>
      <c r="L59" s="4"/>
      <c r="M59" s="4"/>
      <c r="N59" s="1">
        <v>2022</v>
      </c>
      <c r="O59" s="4"/>
      <c r="P59" s="1" t="s">
        <v>456</v>
      </c>
      <c r="Q59" s="3" t="s">
        <v>8730</v>
      </c>
      <c r="R59" s="1" t="s">
        <v>8731</v>
      </c>
      <c r="S59" s="1" t="s">
        <v>8732</v>
      </c>
      <c r="T59" s="1" t="s">
        <v>8733</v>
      </c>
      <c r="U59" s="1" t="s">
        <v>8734</v>
      </c>
      <c r="V59" s="4"/>
    </row>
    <row r="60" spans="1:22" x14ac:dyDescent="0.25">
      <c r="A60" s="1" t="s">
        <v>7972</v>
      </c>
      <c r="B60" s="1" t="s">
        <v>8735</v>
      </c>
      <c r="C60" s="1" t="s">
        <v>8736</v>
      </c>
      <c r="D60" s="1" t="s">
        <v>8737</v>
      </c>
      <c r="E60" s="4"/>
      <c r="F60" s="1">
        <v>2016</v>
      </c>
      <c r="G60" s="4"/>
      <c r="H60" s="4"/>
      <c r="I60" s="1" t="s">
        <v>8738</v>
      </c>
      <c r="J60" s="4"/>
      <c r="K60" s="1" t="s">
        <v>8739</v>
      </c>
      <c r="L60" s="1" t="s">
        <v>8740</v>
      </c>
      <c r="M60" s="1" t="s">
        <v>8741</v>
      </c>
      <c r="N60" s="1">
        <v>2016</v>
      </c>
      <c r="O60" s="1">
        <v>9780128042069</v>
      </c>
      <c r="P60" s="4"/>
      <c r="Q60" s="3" t="s">
        <v>8742</v>
      </c>
      <c r="R60" s="1" t="s">
        <v>8743</v>
      </c>
      <c r="S60" s="1" t="s">
        <v>8744</v>
      </c>
      <c r="T60" s="1" t="s">
        <v>8745</v>
      </c>
      <c r="U60" s="4"/>
      <c r="V60" s="4"/>
    </row>
    <row r="61" spans="1:22" x14ac:dyDescent="0.25">
      <c r="A61" s="1" t="s">
        <v>13</v>
      </c>
      <c r="B61" s="1" t="s">
        <v>2771</v>
      </c>
      <c r="C61" s="4"/>
      <c r="D61" s="1" t="s">
        <v>2772</v>
      </c>
      <c r="E61" s="1" t="s">
        <v>307</v>
      </c>
      <c r="F61" s="1">
        <v>2020</v>
      </c>
      <c r="G61" s="1">
        <v>127</v>
      </c>
      <c r="H61" s="4"/>
      <c r="I61" s="1">
        <v>106368</v>
      </c>
      <c r="J61" s="4"/>
      <c r="K61" s="4"/>
      <c r="L61" s="4"/>
      <c r="M61" s="4"/>
      <c r="N61" s="1">
        <v>2020</v>
      </c>
      <c r="O61" s="4"/>
      <c r="P61" s="1" t="s">
        <v>308</v>
      </c>
      <c r="Q61" s="3" t="s">
        <v>8746</v>
      </c>
      <c r="R61" s="1" t="s">
        <v>2774</v>
      </c>
      <c r="S61" s="1" t="s">
        <v>8747</v>
      </c>
      <c r="T61" s="1" t="s">
        <v>8748</v>
      </c>
      <c r="U61" s="4"/>
      <c r="V61" s="4"/>
    </row>
    <row r="62" spans="1:22" x14ac:dyDescent="0.25">
      <c r="A62" s="1" t="s">
        <v>13</v>
      </c>
      <c r="B62" s="1" t="s">
        <v>4145</v>
      </c>
      <c r="C62" s="4"/>
      <c r="D62" s="1" t="s">
        <v>4146</v>
      </c>
      <c r="E62" s="1" t="s">
        <v>307</v>
      </c>
      <c r="F62" s="1">
        <v>2019</v>
      </c>
      <c r="G62" s="1">
        <v>108</v>
      </c>
      <c r="H62" s="4"/>
      <c r="I62" s="1" t="s">
        <v>8749</v>
      </c>
      <c r="J62" s="4"/>
      <c r="K62" s="4"/>
      <c r="L62" s="4"/>
      <c r="M62" s="4"/>
      <c r="N62" s="1">
        <v>2019</v>
      </c>
      <c r="O62" s="4"/>
      <c r="P62" s="1" t="s">
        <v>308</v>
      </c>
      <c r="Q62" s="3" t="s">
        <v>8750</v>
      </c>
      <c r="R62" s="1" t="s">
        <v>4149</v>
      </c>
      <c r="S62" s="1" t="s">
        <v>8751</v>
      </c>
      <c r="T62" s="1" t="s">
        <v>8752</v>
      </c>
      <c r="U62" s="4"/>
      <c r="V62" s="4"/>
    </row>
    <row r="63" spans="1:22" x14ac:dyDescent="0.25">
      <c r="A63" s="1" t="s">
        <v>13</v>
      </c>
      <c r="B63" s="1" t="s">
        <v>969</v>
      </c>
      <c r="C63" s="4"/>
      <c r="D63" s="1" t="s">
        <v>970</v>
      </c>
      <c r="E63" s="1" t="s">
        <v>971</v>
      </c>
      <c r="F63" s="1">
        <v>2023</v>
      </c>
      <c r="G63" s="1">
        <v>140</v>
      </c>
      <c r="H63" s="4"/>
      <c r="I63" s="1" t="s">
        <v>8753</v>
      </c>
      <c r="J63" s="4"/>
      <c r="K63" s="4"/>
      <c r="L63" s="4"/>
      <c r="M63" s="4"/>
      <c r="N63" s="1">
        <v>2023</v>
      </c>
      <c r="O63" s="4"/>
      <c r="P63" s="1" t="s">
        <v>973</v>
      </c>
      <c r="Q63" s="3" t="s">
        <v>8754</v>
      </c>
      <c r="R63" s="1" t="s">
        <v>975</v>
      </c>
      <c r="S63" s="1" t="s">
        <v>8755</v>
      </c>
      <c r="T63" s="1" t="s">
        <v>8756</v>
      </c>
      <c r="U63" s="4"/>
      <c r="V63" s="4"/>
    </row>
    <row r="64" spans="1:22" x14ac:dyDescent="0.25">
      <c r="A64" s="1" t="s">
        <v>13</v>
      </c>
      <c r="B64" s="1" t="s">
        <v>8757</v>
      </c>
      <c r="C64" s="4"/>
      <c r="D64" s="1" t="s">
        <v>8758</v>
      </c>
      <c r="E64" s="1" t="s">
        <v>8642</v>
      </c>
      <c r="F64" s="1">
        <v>2019</v>
      </c>
      <c r="G64" s="1">
        <v>153</v>
      </c>
      <c r="H64" s="4"/>
      <c r="I64" s="1" t="s">
        <v>8759</v>
      </c>
      <c r="J64" s="4"/>
      <c r="K64" s="4"/>
      <c r="L64" s="4"/>
      <c r="M64" s="4"/>
      <c r="N64" s="1">
        <v>2019</v>
      </c>
      <c r="O64" s="4"/>
      <c r="P64" s="1" t="s">
        <v>3058</v>
      </c>
      <c r="Q64" s="3" t="s">
        <v>8760</v>
      </c>
      <c r="R64" s="1" t="s">
        <v>8761</v>
      </c>
      <c r="S64" s="1" t="s">
        <v>8762</v>
      </c>
      <c r="T64" s="1" t="s">
        <v>8763</v>
      </c>
      <c r="U64" s="1" t="s">
        <v>8764</v>
      </c>
      <c r="V64" s="4"/>
    </row>
    <row r="65" spans="1:22" x14ac:dyDescent="0.25">
      <c r="A65" s="1" t="s">
        <v>13</v>
      </c>
      <c r="B65" s="1" t="s">
        <v>8765</v>
      </c>
      <c r="C65" s="4"/>
      <c r="D65" s="1" t="s">
        <v>4122</v>
      </c>
      <c r="E65" s="1" t="s">
        <v>307</v>
      </c>
      <c r="F65" s="1">
        <v>2020</v>
      </c>
      <c r="G65" s="1">
        <v>121</v>
      </c>
      <c r="H65" s="4"/>
      <c r="I65" s="1">
        <v>106270</v>
      </c>
      <c r="J65" s="4"/>
      <c r="K65" s="4"/>
      <c r="L65" s="4"/>
      <c r="M65" s="4"/>
      <c r="N65" s="1">
        <v>2020</v>
      </c>
      <c r="O65" s="4"/>
      <c r="P65" s="1" t="s">
        <v>308</v>
      </c>
      <c r="Q65" s="3" t="s">
        <v>8766</v>
      </c>
      <c r="R65" s="1" t="s">
        <v>4124</v>
      </c>
      <c r="S65" s="1" t="s">
        <v>8767</v>
      </c>
      <c r="T65" s="1" t="s">
        <v>8768</v>
      </c>
      <c r="U65" s="4"/>
      <c r="V65" s="4"/>
    </row>
    <row r="66" spans="1:22" x14ac:dyDescent="0.25">
      <c r="A66" s="1" t="s">
        <v>13</v>
      </c>
      <c r="B66" s="1" t="s">
        <v>8769</v>
      </c>
      <c r="C66" s="4"/>
      <c r="D66" s="1" t="s">
        <v>8770</v>
      </c>
      <c r="E66" s="1" t="s">
        <v>354</v>
      </c>
      <c r="F66" s="1">
        <v>2020</v>
      </c>
      <c r="G66" s="1">
        <v>169</v>
      </c>
      <c r="H66" s="4"/>
      <c r="I66" s="1">
        <v>110710</v>
      </c>
      <c r="J66" s="4"/>
      <c r="K66" s="4"/>
      <c r="L66" s="4"/>
      <c r="M66" s="4"/>
      <c r="N66" s="1">
        <v>2020</v>
      </c>
      <c r="O66" s="4"/>
      <c r="P66" s="1" t="s">
        <v>65</v>
      </c>
      <c r="Q66" s="3" t="s">
        <v>8771</v>
      </c>
      <c r="R66" s="1" t="s">
        <v>8772</v>
      </c>
      <c r="S66" s="1" t="s">
        <v>8773</v>
      </c>
      <c r="T66" s="1" t="s">
        <v>8774</v>
      </c>
      <c r="U66" s="4"/>
      <c r="V66" s="4"/>
    </row>
    <row r="67" spans="1:22" x14ac:dyDescent="0.25">
      <c r="A67" s="1" t="s">
        <v>7972</v>
      </c>
      <c r="B67" s="1" t="s">
        <v>4126</v>
      </c>
      <c r="C67" s="1" t="s">
        <v>8775</v>
      </c>
      <c r="D67" s="1" t="s">
        <v>4127</v>
      </c>
      <c r="E67" s="4"/>
      <c r="F67" s="1">
        <v>2019</v>
      </c>
      <c r="G67" s="1">
        <v>47</v>
      </c>
      <c r="H67" s="4"/>
      <c r="I67" s="1" t="s">
        <v>8776</v>
      </c>
      <c r="J67" s="4"/>
      <c r="K67" s="1" t="s">
        <v>8536</v>
      </c>
      <c r="L67" s="4"/>
      <c r="M67" s="1" t="s">
        <v>8777</v>
      </c>
      <c r="N67" s="1">
        <v>2019</v>
      </c>
      <c r="O67" s="4"/>
      <c r="P67" s="1" t="s">
        <v>4130</v>
      </c>
      <c r="Q67" s="3" t="s">
        <v>8778</v>
      </c>
      <c r="R67" s="1" t="s">
        <v>4132</v>
      </c>
      <c r="S67" s="1" t="s">
        <v>8779</v>
      </c>
      <c r="T67" s="1" t="s">
        <v>8780</v>
      </c>
      <c r="U67" s="4"/>
      <c r="V67" s="1" t="s">
        <v>4128</v>
      </c>
    </row>
    <row r="68" spans="1:22" x14ac:dyDescent="0.25">
      <c r="A68" s="1" t="s">
        <v>13</v>
      </c>
      <c r="B68" s="1" t="s">
        <v>8781</v>
      </c>
      <c r="C68" s="4"/>
      <c r="D68" s="1" t="s">
        <v>8782</v>
      </c>
      <c r="E68" s="1" t="s">
        <v>354</v>
      </c>
      <c r="F68" s="1">
        <v>2022</v>
      </c>
      <c r="G68" s="1">
        <v>192</v>
      </c>
      <c r="H68" s="4"/>
      <c r="I68" s="1">
        <v>111423</v>
      </c>
      <c r="J68" s="4"/>
      <c r="K68" s="4"/>
      <c r="L68" s="4"/>
      <c r="M68" s="4"/>
      <c r="N68" s="1">
        <v>2022</v>
      </c>
      <c r="O68" s="4"/>
      <c r="P68" s="1" t="s">
        <v>65</v>
      </c>
      <c r="Q68" s="3" t="s">
        <v>8783</v>
      </c>
      <c r="R68" s="1" t="s">
        <v>8784</v>
      </c>
      <c r="S68" s="1" t="s">
        <v>8785</v>
      </c>
      <c r="T68" s="1" t="s">
        <v>8786</v>
      </c>
      <c r="U68" s="4"/>
      <c r="V68" s="4"/>
    </row>
    <row r="69" spans="1:22" x14ac:dyDescent="0.25">
      <c r="A69" s="1" t="s">
        <v>13</v>
      </c>
      <c r="B69" s="1" t="s">
        <v>3062</v>
      </c>
      <c r="C69" s="4"/>
      <c r="D69" s="1" t="s">
        <v>3063</v>
      </c>
      <c r="E69" s="1" t="s">
        <v>354</v>
      </c>
      <c r="F69" s="1">
        <v>2021</v>
      </c>
      <c r="G69" s="1">
        <v>171</v>
      </c>
      <c r="H69" s="4"/>
      <c r="I69" s="1">
        <v>110821</v>
      </c>
      <c r="J69" s="4"/>
      <c r="K69" s="4"/>
      <c r="L69" s="4"/>
      <c r="M69" s="4"/>
      <c r="N69" s="1">
        <v>2021</v>
      </c>
      <c r="O69" s="4"/>
      <c r="P69" s="1" t="s">
        <v>65</v>
      </c>
      <c r="Q69" s="3" t="s">
        <v>8787</v>
      </c>
      <c r="R69" s="1" t="s">
        <v>3065</v>
      </c>
      <c r="S69" s="1" t="s">
        <v>8788</v>
      </c>
      <c r="T69" s="1" t="s">
        <v>8789</v>
      </c>
      <c r="U69" s="4"/>
      <c r="V69" s="4"/>
    </row>
    <row r="70" spans="1:22" x14ac:dyDescent="0.25">
      <c r="A70" s="1" t="s">
        <v>13</v>
      </c>
      <c r="B70" s="1" t="s">
        <v>2818</v>
      </c>
      <c r="C70" s="4"/>
      <c r="D70" s="1" t="s">
        <v>2819</v>
      </c>
      <c r="E70" s="1" t="s">
        <v>1355</v>
      </c>
      <c r="F70" s="1">
        <v>2021</v>
      </c>
      <c r="G70" s="1">
        <v>167</v>
      </c>
      <c r="H70" s="4"/>
      <c r="I70" s="1">
        <v>114176</v>
      </c>
      <c r="J70" s="4"/>
      <c r="K70" s="4"/>
      <c r="L70" s="4"/>
      <c r="M70" s="4"/>
      <c r="N70" s="1">
        <v>2021</v>
      </c>
      <c r="O70" s="4"/>
      <c r="P70" s="1" t="s">
        <v>1356</v>
      </c>
      <c r="Q70" s="3" t="s">
        <v>8790</v>
      </c>
      <c r="R70" s="1" t="s">
        <v>2821</v>
      </c>
      <c r="S70" s="1" t="s">
        <v>8791</v>
      </c>
      <c r="T70" s="1" t="s">
        <v>8792</v>
      </c>
      <c r="U70" s="4"/>
      <c r="V70" s="4"/>
    </row>
    <row r="71" spans="1:22" x14ac:dyDescent="0.25">
      <c r="A71" s="1" t="s">
        <v>13</v>
      </c>
      <c r="B71" s="1" t="s">
        <v>8793</v>
      </c>
      <c r="C71" s="4"/>
      <c r="D71" s="1" t="s">
        <v>8794</v>
      </c>
      <c r="E71" s="1" t="s">
        <v>8795</v>
      </c>
      <c r="F71" s="1">
        <v>2022</v>
      </c>
      <c r="G71" s="1">
        <v>39</v>
      </c>
      <c r="H71" s="1">
        <v>3</v>
      </c>
      <c r="I71" s="1">
        <v>101706</v>
      </c>
      <c r="J71" s="4"/>
      <c r="K71" s="4"/>
      <c r="L71" s="4"/>
      <c r="M71" s="4"/>
      <c r="N71" s="1">
        <v>2022</v>
      </c>
      <c r="O71" s="4"/>
      <c r="P71" s="1" t="s">
        <v>8796</v>
      </c>
      <c r="Q71" s="3" t="s">
        <v>8797</v>
      </c>
      <c r="R71" s="1" t="s">
        <v>8798</v>
      </c>
      <c r="S71" s="1" t="s">
        <v>8799</v>
      </c>
      <c r="T71" s="1" t="s">
        <v>8800</v>
      </c>
      <c r="U71" s="4"/>
      <c r="V71" s="4"/>
    </row>
    <row r="72" spans="1:22" x14ac:dyDescent="0.25">
      <c r="A72" s="1" t="s">
        <v>13</v>
      </c>
      <c r="B72" s="1" t="s">
        <v>2998</v>
      </c>
      <c r="C72" s="4"/>
      <c r="D72" s="1" t="s">
        <v>2999</v>
      </c>
      <c r="E72" s="1" t="s">
        <v>307</v>
      </c>
      <c r="F72" s="1">
        <v>2021</v>
      </c>
      <c r="G72" s="1">
        <v>129</v>
      </c>
      <c r="H72" s="4"/>
      <c r="I72" s="1">
        <v>106407</v>
      </c>
      <c r="J72" s="4"/>
      <c r="K72" s="4"/>
      <c r="L72" s="4"/>
      <c r="M72" s="4"/>
      <c r="N72" s="1">
        <v>2021</v>
      </c>
      <c r="O72" s="4"/>
      <c r="P72" s="1" t="s">
        <v>308</v>
      </c>
      <c r="Q72" s="3" t="s">
        <v>8801</v>
      </c>
      <c r="R72" s="1" t="s">
        <v>3001</v>
      </c>
      <c r="S72" s="1" t="s">
        <v>8802</v>
      </c>
      <c r="T72" s="1" t="s">
        <v>8803</v>
      </c>
      <c r="U72" s="4"/>
      <c r="V72" s="4"/>
    </row>
    <row r="73" spans="1:22" x14ac:dyDescent="0.25">
      <c r="A73" s="1" t="s">
        <v>13</v>
      </c>
      <c r="B73" s="1" t="s">
        <v>1065</v>
      </c>
      <c r="C73" s="4"/>
      <c r="D73" s="1" t="s">
        <v>1066</v>
      </c>
      <c r="E73" s="1" t="s">
        <v>307</v>
      </c>
      <c r="F73" s="1">
        <v>2022</v>
      </c>
      <c r="G73" s="1">
        <v>149</v>
      </c>
      <c r="H73" s="4"/>
      <c r="I73" s="1">
        <v>106939</v>
      </c>
      <c r="J73" s="4"/>
      <c r="K73" s="4"/>
      <c r="L73" s="4"/>
      <c r="M73" s="4"/>
      <c r="N73" s="1">
        <v>2022</v>
      </c>
      <c r="O73" s="4"/>
      <c r="P73" s="1" t="s">
        <v>308</v>
      </c>
      <c r="Q73" s="3" t="s">
        <v>8804</v>
      </c>
      <c r="R73" s="1" t="s">
        <v>1068</v>
      </c>
      <c r="S73" s="1" t="s">
        <v>8805</v>
      </c>
      <c r="T73" s="1" t="s">
        <v>8806</v>
      </c>
      <c r="U73" s="4"/>
      <c r="V73" s="4"/>
    </row>
    <row r="74" spans="1:22" x14ac:dyDescent="0.25">
      <c r="A74" s="1" t="s">
        <v>13</v>
      </c>
      <c r="B74" s="1" t="s">
        <v>1338</v>
      </c>
      <c r="C74" s="4"/>
      <c r="D74" s="1" t="s">
        <v>1339</v>
      </c>
      <c r="E74" s="1" t="s">
        <v>354</v>
      </c>
      <c r="F74" s="1">
        <v>2022</v>
      </c>
      <c r="G74" s="1">
        <v>190</v>
      </c>
      <c r="H74" s="4"/>
      <c r="I74" s="1">
        <v>111336</v>
      </c>
      <c r="J74" s="4"/>
      <c r="K74" s="4"/>
      <c r="L74" s="4"/>
      <c r="M74" s="4"/>
      <c r="N74" s="1">
        <v>2022</v>
      </c>
      <c r="O74" s="4"/>
      <c r="P74" s="1" t="s">
        <v>65</v>
      </c>
      <c r="Q74" s="3" t="s">
        <v>8807</v>
      </c>
      <c r="R74" s="1" t="s">
        <v>1341</v>
      </c>
      <c r="S74" s="1" t="s">
        <v>8808</v>
      </c>
      <c r="T74" s="1" t="s">
        <v>8809</v>
      </c>
      <c r="U74" s="4"/>
      <c r="V74" s="4"/>
    </row>
    <row r="75" spans="1:22" x14ac:dyDescent="0.25">
      <c r="A75" s="1" t="s">
        <v>13</v>
      </c>
      <c r="B75" s="1" t="s">
        <v>62</v>
      </c>
      <c r="C75" s="4"/>
      <c r="D75" s="1" t="s">
        <v>63</v>
      </c>
      <c r="E75" s="1" t="s">
        <v>354</v>
      </c>
      <c r="F75" s="1">
        <v>2020</v>
      </c>
      <c r="G75" s="1">
        <v>170</v>
      </c>
      <c r="H75" s="4"/>
      <c r="I75" s="1">
        <v>110777</v>
      </c>
      <c r="J75" s="4"/>
      <c r="K75" s="4"/>
      <c r="L75" s="4"/>
      <c r="M75" s="4"/>
      <c r="N75" s="1">
        <v>2020</v>
      </c>
      <c r="O75" s="4"/>
      <c r="P75" s="1" t="s">
        <v>65</v>
      </c>
      <c r="Q75" s="3" t="s">
        <v>8810</v>
      </c>
      <c r="R75" s="1" t="s">
        <v>67</v>
      </c>
      <c r="S75" s="1" t="s">
        <v>8811</v>
      </c>
      <c r="T75" s="1" t="s">
        <v>8812</v>
      </c>
      <c r="U75" s="4"/>
      <c r="V75" s="4"/>
    </row>
    <row r="76" spans="1:22" x14ac:dyDescent="0.25">
      <c r="A76" s="1" t="s">
        <v>13</v>
      </c>
      <c r="B76" s="1" t="s">
        <v>8813</v>
      </c>
      <c r="C76" s="4"/>
      <c r="D76" s="1" t="s">
        <v>8814</v>
      </c>
      <c r="E76" s="1" t="s">
        <v>354</v>
      </c>
      <c r="F76" s="1">
        <v>2021</v>
      </c>
      <c r="G76" s="1">
        <v>174</v>
      </c>
      <c r="H76" s="4"/>
      <c r="I76" s="1">
        <v>110892</v>
      </c>
      <c r="J76" s="4"/>
      <c r="K76" s="4"/>
      <c r="L76" s="4"/>
      <c r="M76" s="4"/>
      <c r="N76" s="1">
        <v>2021</v>
      </c>
      <c r="O76" s="4"/>
      <c r="P76" s="1" t="s">
        <v>65</v>
      </c>
      <c r="Q76" s="3" t="s">
        <v>8815</v>
      </c>
      <c r="R76" s="1" t="s">
        <v>8816</v>
      </c>
      <c r="S76" s="1" t="s">
        <v>8817</v>
      </c>
      <c r="T76" s="1" t="s">
        <v>8818</v>
      </c>
      <c r="U76" s="4"/>
      <c r="V76" s="4"/>
    </row>
    <row r="77" spans="1:22" x14ac:dyDescent="0.25">
      <c r="A77" s="1" t="s">
        <v>13</v>
      </c>
      <c r="B77" s="1" t="s">
        <v>8819</v>
      </c>
      <c r="C77" s="4"/>
      <c r="D77" s="1" t="s">
        <v>8820</v>
      </c>
      <c r="E77" s="1" t="s">
        <v>307</v>
      </c>
      <c r="F77" s="1">
        <v>2022</v>
      </c>
      <c r="G77" s="1">
        <v>146</v>
      </c>
      <c r="H77" s="4"/>
      <c r="I77" s="1">
        <v>106855</v>
      </c>
      <c r="J77" s="4"/>
      <c r="K77" s="4"/>
      <c r="L77" s="4"/>
      <c r="M77" s="4"/>
      <c r="N77" s="1">
        <v>2022</v>
      </c>
      <c r="O77" s="4"/>
      <c r="P77" s="1" t="s">
        <v>308</v>
      </c>
      <c r="Q77" s="3" t="s">
        <v>8821</v>
      </c>
      <c r="R77" s="1" t="s">
        <v>8822</v>
      </c>
      <c r="S77" s="1" t="s">
        <v>8823</v>
      </c>
      <c r="T77" s="1" t="s">
        <v>8824</v>
      </c>
      <c r="U77" s="4"/>
      <c r="V77" s="4"/>
    </row>
    <row r="78" spans="1:22" x14ac:dyDescent="0.25">
      <c r="A78" s="1" t="s">
        <v>13</v>
      </c>
      <c r="B78" s="1" t="s">
        <v>8825</v>
      </c>
      <c r="C78" s="4"/>
      <c r="D78" s="1" t="s">
        <v>8826</v>
      </c>
      <c r="E78" s="1" t="s">
        <v>354</v>
      </c>
      <c r="F78" s="1">
        <v>2021</v>
      </c>
      <c r="G78" s="1">
        <v>180</v>
      </c>
      <c r="H78" s="4"/>
      <c r="I78" s="1">
        <v>111031</v>
      </c>
      <c r="J78" s="4"/>
      <c r="K78" s="4"/>
      <c r="L78" s="4"/>
      <c r="M78" s="4"/>
      <c r="N78" s="1">
        <v>2021</v>
      </c>
      <c r="O78" s="4"/>
      <c r="P78" s="1" t="s">
        <v>65</v>
      </c>
      <c r="Q78" s="3" t="s">
        <v>8827</v>
      </c>
      <c r="R78" s="1" t="s">
        <v>8828</v>
      </c>
      <c r="S78" s="1" t="s">
        <v>8829</v>
      </c>
      <c r="T78" s="1" t="s">
        <v>8830</v>
      </c>
      <c r="U78" s="4"/>
      <c r="V78" s="4"/>
    </row>
    <row r="79" spans="1:22" x14ac:dyDescent="0.25">
      <c r="A79" s="1" t="s">
        <v>13</v>
      </c>
      <c r="B79" s="1" t="s">
        <v>2625</v>
      </c>
      <c r="C79" s="4"/>
      <c r="D79" s="1" t="s">
        <v>2626</v>
      </c>
      <c r="E79" s="1" t="s">
        <v>354</v>
      </c>
      <c r="F79" s="1">
        <v>2021</v>
      </c>
      <c r="G79" s="1">
        <v>177</v>
      </c>
      <c r="H79" s="4"/>
      <c r="I79" s="1">
        <v>110939</v>
      </c>
      <c r="J79" s="4"/>
      <c r="K79" s="4"/>
      <c r="L79" s="4"/>
      <c r="M79" s="4"/>
      <c r="N79" s="1">
        <v>2021</v>
      </c>
      <c r="O79" s="4"/>
      <c r="P79" s="1" t="s">
        <v>65</v>
      </c>
      <c r="Q79" s="3" t="s">
        <v>8831</v>
      </c>
      <c r="R79" s="1" t="s">
        <v>2628</v>
      </c>
      <c r="S79" s="1" t="s">
        <v>8832</v>
      </c>
      <c r="T79" s="1" t="s">
        <v>8833</v>
      </c>
      <c r="U79" s="4"/>
      <c r="V79" s="4"/>
    </row>
    <row r="80" spans="1:22" x14ac:dyDescent="0.25">
      <c r="A80" s="1" t="s">
        <v>13</v>
      </c>
      <c r="B80" s="1" t="s">
        <v>8834</v>
      </c>
      <c r="C80" s="4"/>
      <c r="D80" s="1" t="s">
        <v>8835</v>
      </c>
      <c r="E80" s="1" t="s">
        <v>1355</v>
      </c>
      <c r="F80" s="1">
        <v>2017</v>
      </c>
      <c r="G80" s="1">
        <v>86</v>
      </c>
      <c r="H80" s="4"/>
      <c r="I80" s="1" t="s">
        <v>8836</v>
      </c>
      <c r="J80" s="4"/>
      <c r="K80" s="4"/>
      <c r="L80" s="4"/>
      <c r="M80" s="4"/>
      <c r="N80" s="1">
        <v>2017</v>
      </c>
      <c r="O80" s="4"/>
      <c r="P80" s="1" t="s">
        <v>1356</v>
      </c>
      <c r="Q80" s="3" t="s">
        <v>8837</v>
      </c>
      <c r="R80" s="1" t="s">
        <v>8838</v>
      </c>
      <c r="S80" s="1" t="s">
        <v>8839</v>
      </c>
      <c r="T80" s="1" t="s">
        <v>8840</v>
      </c>
      <c r="U80" s="4"/>
      <c r="V80" s="4"/>
    </row>
    <row r="81" spans="1:22" x14ac:dyDescent="0.25">
      <c r="A81" s="1" t="s">
        <v>13</v>
      </c>
      <c r="B81" s="1" t="s">
        <v>8841</v>
      </c>
      <c r="C81" s="4"/>
      <c r="D81" s="1" t="s">
        <v>8842</v>
      </c>
      <c r="E81" s="1" t="s">
        <v>5526</v>
      </c>
      <c r="F81" s="1">
        <v>2020</v>
      </c>
      <c r="G81" s="1">
        <v>204</v>
      </c>
      <c r="H81" s="4"/>
      <c r="I81" s="1">
        <v>106201</v>
      </c>
      <c r="J81" s="4"/>
      <c r="K81" s="4"/>
      <c r="L81" s="4"/>
      <c r="M81" s="4"/>
      <c r="N81" s="1">
        <v>2020</v>
      </c>
      <c r="O81" s="4"/>
      <c r="P81" s="1" t="s">
        <v>5528</v>
      </c>
      <c r="Q81" s="3" t="s">
        <v>8843</v>
      </c>
      <c r="R81" s="1" t="s">
        <v>8844</v>
      </c>
      <c r="S81" s="1" t="s">
        <v>8845</v>
      </c>
      <c r="T81" s="1" t="s">
        <v>8846</v>
      </c>
      <c r="U81" s="4"/>
      <c r="V81" s="4"/>
    </row>
    <row r="82" spans="1:22" x14ac:dyDescent="0.25">
      <c r="A82" s="1" t="s">
        <v>13</v>
      </c>
      <c r="B82" s="1" t="s">
        <v>4010</v>
      </c>
      <c r="C82" s="4"/>
      <c r="D82" s="1" t="s">
        <v>4011</v>
      </c>
      <c r="E82" s="1" t="s">
        <v>354</v>
      </c>
      <c r="F82" s="1">
        <v>2019</v>
      </c>
      <c r="G82" s="1">
        <v>154</v>
      </c>
      <c r="H82" s="4"/>
      <c r="I82" s="1" t="s">
        <v>8847</v>
      </c>
      <c r="J82" s="4"/>
      <c r="K82" s="4"/>
      <c r="L82" s="4"/>
      <c r="M82" s="4"/>
      <c r="N82" s="1">
        <v>2019</v>
      </c>
      <c r="O82" s="4"/>
      <c r="P82" s="1" t="s">
        <v>65</v>
      </c>
      <c r="Q82" s="3" t="s">
        <v>8848</v>
      </c>
      <c r="R82" s="1" t="s">
        <v>4014</v>
      </c>
      <c r="S82" s="1" t="s">
        <v>8849</v>
      </c>
      <c r="T82" s="1" t="s">
        <v>8850</v>
      </c>
      <c r="U82" s="4"/>
      <c r="V82" s="4"/>
    </row>
    <row r="83" spans="1:22" x14ac:dyDescent="0.25">
      <c r="A83" s="1" t="s">
        <v>13</v>
      </c>
      <c r="B83" s="1" t="s">
        <v>8851</v>
      </c>
      <c r="C83" s="4"/>
      <c r="D83" s="1" t="s">
        <v>8852</v>
      </c>
      <c r="E83" s="1" t="s">
        <v>8853</v>
      </c>
      <c r="F83" s="1">
        <v>2020</v>
      </c>
      <c r="G83" s="1">
        <v>69</v>
      </c>
      <c r="H83" s="4"/>
      <c r="I83" s="1">
        <v>103389</v>
      </c>
      <c r="J83" s="4"/>
      <c r="K83" s="4"/>
      <c r="L83" s="4"/>
      <c r="M83" s="4"/>
      <c r="N83" s="1">
        <v>2020</v>
      </c>
      <c r="O83" s="4"/>
      <c r="P83" s="1" t="s">
        <v>8854</v>
      </c>
      <c r="Q83" s="3" t="s">
        <v>8855</v>
      </c>
      <c r="R83" s="1" t="s">
        <v>8856</v>
      </c>
      <c r="S83" s="1" t="s">
        <v>8857</v>
      </c>
      <c r="T83" s="1" t="s">
        <v>8858</v>
      </c>
      <c r="U83" s="4"/>
      <c r="V83" s="4"/>
    </row>
    <row r="84" spans="1:22" x14ac:dyDescent="0.25">
      <c r="A84" s="1" t="s">
        <v>13</v>
      </c>
      <c r="B84" s="1" t="s">
        <v>8859</v>
      </c>
      <c r="C84" s="4"/>
      <c r="D84" s="1" t="s">
        <v>8860</v>
      </c>
      <c r="E84" s="1" t="s">
        <v>307</v>
      </c>
      <c r="F84" s="1">
        <v>2020</v>
      </c>
      <c r="G84" s="1">
        <v>123</v>
      </c>
      <c r="H84" s="4"/>
      <c r="I84" s="1">
        <v>106225</v>
      </c>
      <c r="J84" s="4"/>
      <c r="K84" s="4"/>
      <c r="L84" s="4"/>
      <c r="M84" s="4"/>
      <c r="N84" s="1">
        <v>2020</v>
      </c>
      <c r="O84" s="4"/>
      <c r="P84" s="1" t="s">
        <v>308</v>
      </c>
      <c r="Q84" s="3" t="s">
        <v>8861</v>
      </c>
      <c r="R84" s="1" t="s">
        <v>8862</v>
      </c>
      <c r="S84" s="1" t="s">
        <v>8863</v>
      </c>
      <c r="T84" s="1" t="s">
        <v>8864</v>
      </c>
      <c r="U84" s="4"/>
      <c r="V84" s="4"/>
    </row>
    <row r="85" spans="1:22" x14ac:dyDescent="0.25">
      <c r="A85" s="1" t="s">
        <v>13</v>
      </c>
      <c r="B85" s="1" t="s">
        <v>639</v>
      </c>
      <c r="C85" s="4"/>
      <c r="D85" s="1" t="s">
        <v>640</v>
      </c>
      <c r="E85" s="1" t="s">
        <v>354</v>
      </c>
      <c r="F85" s="1">
        <v>2023</v>
      </c>
      <c r="G85" s="1">
        <v>198</v>
      </c>
      <c r="H85" s="4"/>
      <c r="I85" s="1">
        <v>111588</v>
      </c>
      <c r="J85" s="4"/>
      <c r="K85" s="4"/>
      <c r="L85" s="4"/>
      <c r="M85" s="4"/>
      <c r="N85" s="1">
        <v>2023</v>
      </c>
      <c r="O85" s="4"/>
      <c r="P85" s="1" t="s">
        <v>65</v>
      </c>
      <c r="Q85" s="3" t="s">
        <v>8865</v>
      </c>
      <c r="R85" s="1" t="s">
        <v>642</v>
      </c>
      <c r="S85" s="1" t="s">
        <v>8866</v>
      </c>
      <c r="T85" s="1" t="s">
        <v>8867</v>
      </c>
      <c r="U85" s="4"/>
      <c r="V85" s="4"/>
    </row>
    <row r="86" spans="1:22" x14ac:dyDescent="0.25">
      <c r="A86" s="1" t="s">
        <v>13</v>
      </c>
      <c r="B86" s="1" t="s">
        <v>8868</v>
      </c>
      <c r="C86" s="4"/>
      <c r="D86" s="1" t="s">
        <v>8869</v>
      </c>
      <c r="E86" s="1" t="s">
        <v>8853</v>
      </c>
      <c r="F86" s="1">
        <v>2021</v>
      </c>
      <c r="G86" s="1">
        <v>78</v>
      </c>
      <c r="H86" s="4"/>
      <c r="I86" s="1">
        <v>103541</v>
      </c>
      <c r="J86" s="4"/>
      <c r="K86" s="4"/>
      <c r="L86" s="4"/>
      <c r="M86" s="4"/>
      <c r="N86" s="1">
        <v>2021</v>
      </c>
      <c r="O86" s="4"/>
      <c r="P86" s="1" t="s">
        <v>8854</v>
      </c>
      <c r="Q86" s="3" t="s">
        <v>8870</v>
      </c>
      <c r="R86" s="1" t="s">
        <v>8871</v>
      </c>
      <c r="S86" s="1" t="s">
        <v>8872</v>
      </c>
      <c r="T86" s="1" t="s">
        <v>8873</v>
      </c>
      <c r="U86" s="4"/>
      <c r="V86" s="4"/>
    </row>
    <row r="87" spans="1:22" x14ac:dyDescent="0.25">
      <c r="A87" s="1" t="s">
        <v>13</v>
      </c>
      <c r="B87" s="1" t="s">
        <v>8874</v>
      </c>
      <c r="C87" s="4"/>
      <c r="D87" s="1" t="s">
        <v>8875</v>
      </c>
      <c r="E87" s="1" t="s">
        <v>354</v>
      </c>
      <c r="F87" s="1">
        <v>2023</v>
      </c>
      <c r="G87" s="1">
        <v>198</v>
      </c>
      <c r="H87" s="4"/>
      <c r="I87" s="1">
        <v>111604</v>
      </c>
      <c r="J87" s="4"/>
      <c r="K87" s="4"/>
      <c r="L87" s="4"/>
      <c r="M87" s="4"/>
      <c r="N87" s="1">
        <v>2023</v>
      </c>
      <c r="O87" s="4"/>
      <c r="P87" s="1" t="s">
        <v>65</v>
      </c>
      <c r="Q87" s="3" t="s">
        <v>8876</v>
      </c>
      <c r="R87" s="1" t="s">
        <v>8877</v>
      </c>
      <c r="S87" s="1" t="s">
        <v>8878</v>
      </c>
      <c r="T87" s="1" t="s">
        <v>8879</v>
      </c>
      <c r="U87" s="4"/>
      <c r="V87" s="4"/>
    </row>
    <row r="88" spans="1:22" x14ac:dyDescent="0.25">
      <c r="A88" s="1" t="s">
        <v>13</v>
      </c>
      <c r="B88" s="1" t="s">
        <v>1411</v>
      </c>
      <c r="C88" s="4"/>
      <c r="D88" s="1" t="s">
        <v>1412</v>
      </c>
      <c r="E88" s="1" t="s">
        <v>1059</v>
      </c>
      <c r="F88" s="1">
        <v>2022</v>
      </c>
      <c r="G88" s="1">
        <v>115</v>
      </c>
      <c r="H88" s="4"/>
      <c r="I88" s="1">
        <v>105240</v>
      </c>
      <c r="J88" s="4"/>
      <c r="K88" s="4"/>
      <c r="L88" s="4"/>
      <c r="M88" s="4"/>
      <c r="N88" s="1">
        <v>2022</v>
      </c>
      <c r="O88" s="4"/>
      <c r="P88" s="1" t="s">
        <v>1061</v>
      </c>
      <c r="Q88" s="3" t="s">
        <v>8880</v>
      </c>
      <c r="R88" s="1" t="s">
        <v>1414</v>
      </c>
      <c r="S88" s="1" t="s">
        <v>8881</v>
      </c>
      <c r="T88" s="1" t="s">
        <v>8882</v>
      </c>
      <c r="U88" s="4"/>
      <c r="V88" s="4"/>
    </row>
    <row r="89" spans="1:22" x14ac:dyDescent="0.25">
      <c r="A89" s="1" t="s">
        <v>13</v>
      </c>
      <c r="B89" s="1" t="s">
        <v>8883</v>
      </c>
      <c r="C89" s="4"/>
      <c r="D89" s="1" t="s">
        <v>8884</v>
      </c>
      <c r="E89" s="1" t="s">
        <v>8642</v>
      </c>
      <c r="F89" s="1">
        <v>2020</v>
      </c>
      <c r="G89" s="1">
        <v>167</v>
      </c>
      <c r="H89" s="4"/>
      <c r="I89" s="1" t="s">
        <v>8885</v>
      </c>
      <c r="J89" s="4"/>
      <c r="K89" s="4"/>
      <c r="L89" s="4"/>
      <c r="M89" s="4"/>
      <c r="N89" s="1">
        <v>2020</v>
      </c>
      <c r="O89" s="4"/>
      <c r="P89" s="1" t="s">
        <v>3058</v>
      </c>
      <c r="Q89" s="3" t="s">
        <v>8886</v>
      </c>
      <c r="R89" s="1" t="s">
        <v>8887</v>
      </c>
      <c r="S89" s="1" t="s">
        <v>8888</v>
      </c>
      <c r="T89" s="1" t="s">
        <v>8889</v>
      </c>
      <c r="U89" s="1" t="s">
        <v>8890</v>
      </c>
      <c r="V89" s="4"/>
    </row>
    <row r="90" spans="1:22" x14ac:dyDescent="0.25">
      <c r="A90" s="1" t="s">
        <v>13</v>
      </c>
      <c r="B90" s="1" t="s">
        <v>1825</v>
      </c>
      <c r="C90" s="4"/>
      <c r="D90" s="1" t="s">
        <v>1826</v>
      </c>
      <c r="E90" s="1" t="s">
        <v>1827</v>
      </c>
      <c r="F90" s="1">
        <v>2022</v>
      </c>
      <c r="G90" s="1">
        <v>213</v>
      </c>
      <c r="H90" s="4"/>
      <c r="I90" s="1">
        <v>102693</v>
      </c>
      <c r="J90" s="4"/>
      <c r="K90" s="4"/>
      <c r="L90" s="4"/>
      <c r="M90" s="4"/>
      <c r="N90" s="1">
        <v>2022</v>
      </c>
      <c r="O90" s="4"/>
      <c r="P90" s="1" t="s">
        <v>1828</v>
      </c>
      <c r="Q90" s="3" t="s">
        <v>8891</v>
      </c>
      <c r="R90" s="1" t="s">
        <v>1830</v>
      </c>
      <c r="S90" s="1" t="s">
        <v>8892</v>
      </c>
      <c r="T90" s="1" t="s">
        <v>8893</v>
      </c>
      <c r="U90" s="4"/>
      <c r="V90" s="4"/>
    </row>
    <row r="91" spans="1:22" x14ac:dyDescent="0.25">
      <c r="A91" s="1" t="s">
        <v>13</v>
      </c>
      <c r="B91" s="1" t="s">
        <v>125</v>
      </c>
      <c r="C91" s="4"/>
      <c r="D91" s="1" t="s">
        <v>126</v>
      </c>
      <c r="E91" s="1" t="s">
        <v>354</v>
      </c>
      <c r="F91" s="1">
        <v>2018</v>
      </c>
      <c r="G91" s="1">
        <v>138</v>
      </c>
      <c r="H91" s="4"/>
      <c r="I91" s="1" t="s">
        <v>127</v>
      </c>
      <c r="J91" s="4"/>
      <c r="K91" s="4"/>
      <c r="L91" s="4"/>
      <c r="M91" s="4"/>
      <c r="N91" s="1">
        <v>2018</v>
      </c>
      <c r="O91" s="4"/>
      <c r="P91" s="1" t="s">
        <v>65</v>
      </c>
      <c r="Q91" s="3" t="s">
        <v>8894</v>
      </c>
      <c r="R91" s="1" t="s">
        <v>129</v>
      </c>
      <c r="S91" s="1" t="s">
        <v>8895</v>
      </c>
      <c r="T91" s="1" t="s">
        <v>8896</v>
      </c>
      <c r="U91" s="4"/>
      <c r="V91" s="4"/>
    </row>
    <row r="92" spans="1:22" x14ac:dyDescent="0.25">
      <c r="A92" s="1" t="s">
        <v>13</v>
      </c>
      <c r="B92" s="1" t="s">
        <v>683</v>
      </c>
      <c r="C92" s="4"/>
      <c r="D92" s="1" t="s">
        <v>684</v>
      </c>
      <c r="E92" s="1" t="s">
        <v>8421</v>
      </c>
      <c r="F92" s="1">
        <v>2022</v>
      </c>
      <c r="G92" s="1">
        <v>115</v>
      </c>
      <c r="H92" s="4"/>
      <c r="I92" s="1" t="s">
        <v>8897</v>
      </c>
      <c r="J92" s="4"/>
      <c r="K92" s="4"/>
      <c r="L92" s="4"/>
      <c r="M92" s="4"/>
      <c r="N92" s="1">
        <v>2022</v>
      </c>
      <c r="O92" s="4"/>
      <c r="P92" s="1" t="s">
        <v>456</v>
      </c>
      <c r="Q92" s="3" t="s">
        <v>8898</v>
      </c>
      <c r="R92" s="1" t="s">
        <v>687</v>
      </c>
      <c r="S92" s="1" t="s">
        <v>8899</v>
      </c>
      <c r="T92" s="1" t="s">
        <v>8900</v>
      </c>
      <c r="U92" s="1" t="s">
        <v>8426</v>
      </c>
      <c r="V92" s="4"/>
    </row>
    <row r="93" spans="1:22" x14ac:dyDescent="0.25">
      <c r="A93" s="1" t="s">
        <v>13</v>
      </c>
      <c r="B93" s="1" t="s">
        <v>8901</v>
      </c>
      <c r="C93" s="4"/>
      <c r="D93" s="1" t="s">
        <v>8902</v>
      </c>
      <c r="E93" s="1" t="s">
        <v>354</v>
      </c>
      <c r="F93" s="1">
        <v>2020</v>
      </c>
      <c r="G93" s="1">
        <v>167</v>
      </c>
      <c r="H93" s="4"/>
      <c r="I93" s="1">
        <v>110616</v>
      </c>
      <c r="J93" s="4"/>
      <c r="K93" s="4"/>
      <c r="L93" s="4"/>
      <c r="M93" s="4"/>
      <c r="N93" s="1">
        <v>2020</v>
      </c>
      <c r="O93" s="4"/>
      <c r="P93" s="1" t="s">
        <v>65</v>
      </c>
      <c r="Q93" s="3" t="s">
        <v>8903</v>
      </c>
      <c r="R93" s="1" t="s">
        <v>8904</v>
      </c>
      <c r="S93" s="1" t="s">
        <v>8905</v>
      </c>
      <c r="T93" s="1" t="s">
        <v>8906</v>
      </c>
      <c r="U93" s="4"/>
      <c r="V93" s="4"/>
    </row>
    <row r="94" spans="1:22" x14ac:dyDescent="0.25">
      <c r="A94" s="1" t="s">
        <v>13</v>
      </c>
      <c r="B94" s="1" t="s">
        <v>8907</v>
      </c>
      <c r="C94" s="4"/>
      <c r="D94" s="1" t="s">
        <v>8908</v>
      </c>
      <c r="E94" s="1" t="s">
        <v>307</v>
      </c>
      <c r="F94" s="1">
        <v>2023</v>
      </c>
      <c r="G94" s="1">
        <v>155</v>
      </c>
      <c r="H94" s="4"/>
      <c r="I94" s="1">
        <v>107120</v>
      </c>
      <c r="J94" s="4"/>
      <c r="K94" s="4"/>
      <c r="L94" s="4"/>
      <c r="M94" s="4"/>
      <c r="N94" s="1">
        <v>2023</v>
      </c>
      <c r="O94" s="4"/>
      <c r="P94" s="1" t="s">
        <v>308</v>
      </c>
      <c r="Q94" s="3" t="s">
        <v>8909</v>
      </c>
      <c r="R94" s="1" t="s">
        <v>8910</v>
      </c>
      <c r="S94" s="1" t="s">
        <v>8911</v>
      </c>
      <c r="T94" s="1" t="s">
        <v>8912</v>
      </c>
      <c r="U94" s="4"/>
      <c r="V94" s="4"/>
    </row>
    <row r="95" spans="1:22" x14ac:dyDescent="0.25">
      <c r="A95" s="1" t="s">
        <v>13</v>
      </c>
      <c r="B95" s="1" t="s">
        <v>8913</v>
      </c>
      <c r="C95" s="4"/>
      <c r="D95" s="1" t="s">
        <v>8914</v>
      </c>
      <c r="E95" s="1" t="s">
        <v>2450</v>
      </c>
      <c r="F95" s="1">
        <v>2022</v>
      </c>
      <c r="G95" s="1">
        <v>129</v>
      </c>
      <c r="H95" s="4"/>
      <c r="I95" s="1">
        <v>109620</v>
      </c>
      <c r="J95" s="4"/>
      <c r="K95" s="4"/>
      <c r="L95" s="4"/>
      <c r="M95" s="4"/>
      <c r="N95" s="1">
        <v>2022</v>
      </c>
      <c r="O95" s="4"/>
      <c r="P95" s="1" t="s">
        <v>2451</v>
      </c>
      <c r="Q95" s="3" t="s">
        <v>8915</v>
      </c>
      <c r="R95" s="1" t="s">
        <v>8916</v>
      </c>
      <c r="S95" s="1" t="s">
        <v>8917</v>
      </c>
      <c r="T95" s="1" t="s">
        <v>8918</v>
      </c>
      <c r="U95" s="4"/>
      <c r="V95" s="4"/>
    </row>
    <row r="96" spans="1:22" x14ac:dyDescent="0.25">
      <c r="A96" s="1" t="s">
        <v>13</v>
      </c>
      <c r="B96" s="1" t="s">
        <v>1250</v>
      </c>
      <c r="C96" s="4"/>
      <c r="D96" s="1" t="s">
        <v>1251</v>
      </c>
      <c r="E96" s="1" t="s">
        <v>307</v>
      </c>
      <c r="F96" s="1">
        <v>2023</v>
      </c>
      <c r="G96" s="1">
        <v>153</v>
      </c>
      <c r="H96" s="4"/>
      <c r="I96" s="1">
        <v>107078</v>
      </c>
      <c r="J96" s="4"/>
      <c r="K96" s="4"/>
      <c r="L96" s="4"/>
      <c r="M96" s="4"/>
      <c r="N96" s="1">
        <v>2023</v>
      </c>
      <c r="O96" s="4"/>
      <c r="P96" s="1" t="s">
        <v>308</v>
      </c>
      <c r="Q96" s="3" t="s">
        <v>8919</v>
      </c>
      <c r="R96" s="1" t="s">
        <v>1253</v>
      </c>
      <c r="S96" s="1" t="s">
        <v>8920</v>
      </c>
      <c r="T96" s="1" t="s">
        <v>8921</v>
      </c>
      <c r="U96" s="4"/>
      <c r="V96" s="4"/>
    </row>
    <row r="97" spans="1:22" x14ac:dyDescent="0.25">
      <c r="A97" s="1" t="s">
        <v>13</v>
      </c>
      <c r="B97" s="1" t="s">
        <v>4003</v>
      </c>
      <c r="C97" s="4"/>
      <c r="D97" s="1" t="s">
        <v>4004</v>
      </c>
      <c r="E97" s="1" t="s">
        <v>354</v>
      </c>
      <c r="F97" s="1">
        <v>2019</v>
      </c>
      <c r="G97" s="1">
        <v>152</v>
      </c>
      <c r="H97" s="4"/>
      <c r="I97" s="1" t="s">
        <v>8922</v>
      </c>
      <c r="J97" s="4"/>
      <c r="K97" s="4"/>
      <c r="L97" s="4"/>
      <c r="M97" s="4"/>
      <c r="N97" s="1">
        <v>2019</v>
      </c>
      <c r="O97" s="4"/>
      <c r="P97" s="1" t="s">
        <v>65</v>
      </c>
      <c r="Q97" s="3" t="s">
        <v>8923</v>
      </c>
      <c r="R97" s="1" t="s">
        <v>4007</v>
      </c>
      <c r="S97" s="1" t="s">
        <v>8924</v>
      </c>
      <c r="T97" s="1" t="s">
        <v>8925</v>
      </c>
      <c r="U97" s="4"/>
      <c r="V97" s="4"/>
    </row>
    <row r="98" spans="1:22" x14ac:dyDescent="0.25">
      <c r="A98" s="1" t="s">
        <v>13</v>
      </c>
      <c r="B98" s="1" t="s">
        <v>8926</v>
      </c>
      <c r="C98" s="4"/>
      <c r="D98" s="1" t="s">
        <v>8927</v>
      </c>
      <c r="E98" s="1" t="s">
        <v>1355</v>
      </c>
      <c r="F98" s="1">
        <v>2021</v>
      </c>
      <c r="G98" s="1">
        <v>167</v>
      </c>
      <c r="H98" s="4"/>
      <c r="I98" s="1">
        <v>114134</v>
      </c>
      <c r="J98" s="4"/>
      <c r="K98" s="4"/>
      <c r="L98" s="4"/>
      <c r="M98" s="4"/>
      <c r="N98" s="1">
        <v>2021</v>
      </c>
      <c r="O98" s="4"/>
      <c r="P98" s="1" t="s">
        <v>1356</v>
      </c>
      <c r="Q98" s="3" t="s">
        <v>8928</v>
      </c>
      <c r="R98" s="1" t="s">
        <v>8929</v>
      </c>
      <c r="S98" s="1" t="s">
        <v>8930</v>
      </c>
      <c r="T98" s="1" t="s">
        <v>8931</v>
      </c>
      <c r="U98" s="4"/>
      <c r="V98" s="4"/>
    </row>
    <row r="99" spans="1:22" x14ac:dyDescent="0.25">
      <c r="A99" s="1" t="s">
        <v>13</v>
      </c>
      <c r="B99" s="1" t="s">
        <v>8932</v>
      </c>
      <c r="C99" s="4"/>
      <c r="D99" s="1" t="s">
        <v>8933</v>
      </c>
      <c r="E99" s="1" t="s">
        <v>354</v>
      </c>
      <c r="F99" s="1">
        <v>2023</v>
      </c>
      <c r="G99" s="4"/>
      <c r="H99" s="4"/>
      <c r="I99" s="1">
        <v>111615</v>
      </c>
      <c r="J99" s="4"/>
      <c r="K99" s="4"/>
      <c r="L99" s="4"/>
      <c r="M99" s="4"/>
      <c r="N99" s="1">
        <v>2023</v>
      </c>
      <c r="O99" s="4"/>
      <c r="P99" s="1" t="s">
        <v>65</v>
      </c>
      <c r="Q99" s="3" t="s">
        <v>8934</v>
      </c>
      <c r="R99" s="1" t="s">
        <v>8935</v>
      </c>
      <c r="S99" s="1" t="s">
        <v>8936</v>
      </c>
      <c r="T99" s="1" t="s">
        <v>8937</v>
      </c>
      <c r="U99" s="4"/>
      <c r="V99" s="4"/>
    </row>
    <row r="100" spans="1:22" x14ac:dyDescent="0.25">
      <c r="A100" s="1" t="s">
        <v>13</v>
      </c>
      <c r="B100" s="1" t="s">
        <v>1130</v>
      </c>
      <c r="C100" s="4"/>
      <c r="D100" s="1" t="s">
        <v>1131</v>
      </c>
      <c r="E100" s="1" t="s">
        <v>354</v>
      </c>
      <c r="F100" s="1">
        <v>2022</v>
      </c>
      <c r="G100" s="1">
        <v>194</v>
      </c>
      <c r="H100" s="4"/>
      <c r="I100" s="1">
        <v>111508</v>
      </c>
      <c r="J100" s="4"/>
      <c r="K100" s="4"/>
      <c r="L100" s="4"/>
      <c r="M100" s="4"/>
      <c r="N100" s="1">
        <v>2022</v>
      </c>
      <c r="O100" s="4"/>
      <c r="P100" s="1" t="s">
        <v>65</v>
      </c>
      <c r="Q100" s="3" t="s">
        <v>8938</v>
      </c>
      <c r="R100" s="1" t="s">
        <v>1133</v>
      </c>
      <c r="S100" s="1" t="s">
        <v>8939</v>
      </c>
      <c r="T100" s="1" t="s">
        <v>8940</v>
      </c>
      <c r="U100" s="4"/>
      <c r="V100" s="4"/>
    </row>
    <row r="101" spans="1:22" x14ac:dyDescent="0.25">
      <c r="A101" s="1" t="s">
        <v>13</v>
      </c>
      <c r="B101" s="1" t="s">
        <v>8941</v>
      </c>
      <c r="C101" s="4"/>
      <c r="D101" s="1" t="s">
        <v>8942</v>
      </c>
      <c r="E101" s="1" t="s">
        <v>8482</v>
      </c>
      <c r="F101" s="1">
        <v>2021</v>
      </c>
      <c r="G101" s="1">
        <v>105</v>
      </c>
      <c r="H101" s="4"/>
      <c r="I101" s="1">
        <v>102258</v>
      </c>
      <c r="J101" s="4"/>
      <c r="K101" s="4"/>
      <c r="L101" s="4"/>
      <c r="M101" s="4"/>
      <c r="N101" s="1">
        <v>2021</v>
      </c>
      <c r="O101" s="4"/>
      <c r="P101" s="1" t="s">
        <v>8483</v>
      </c>
      <c r="Q101" s="3" t="s">
        <v>8943</v>
      </c>
      <c r="R101" s="1" t="s">
        <v>8944</v>
      </c>
      <c r="S101" s="1" t="s">
        <v>8945</v>
      </c>
      <c r="T101" s="1" t="s">
        <v>8946</v>
      </c>
      <c r="U101" s="4"/>
      <c r="V101" s="4"/>
    </row>
    <row r="102" spans="1:22" x14ac:dyDescent="0.25">
      <c r="A102" s="1" t="s">
        <v>13</v>
      </c>
      <c r="B102" s="1" t="s">
        <v>5488</v>
      </c>
      <c r="C102" s="4"/>
      <c r="D102" s="1" t="s">
        <v>5489</v>
      </c>
      <c r="E102" s="1" t="s">
        <v>354</v>
      </c>
      <c r="F102" s="1">
        <v>2017</v>
      </c>
      <c r="G102" s="1">
        <v>125</v>
      </c>
      <c r="H102" s="4"/>
      <c r="I102" s="1" t="s">
        <v>8947</v>
      </c>
      <c r="J102" s="4"/>
      <c r="K102" s="4"/>
      <c r="L102" s="4"/>
      <c r="M102" s="4"/>
      <c r="N102" s="1">
        <v>2017</v>
      </c>
      <c r="O102" s="4"/>
      <c r="P102" s="1" t="s">
        <v>65</v>
      </c>
      <c r="Q102" s="3" t="s">
        <v>8948</v>
      </c>
      <c r="R102" s="1" t="s">
        <v>5492</v>
      </c>
      <c r="S102" s="1" t="s">
        <v>8949</v>
      </c>
      <c r="T102" s="1" t="s">
        <v>8950</v>
      </c>
      <c r="U102" s="4"/>
      <c r="V102" s="4"/>
    </row>
    <row r="103" spans="1:22" x14ac:dyDescent="0.25">
      <c r="A103" s="1" t="s">
        <v>13</v>
      </c>
      <c r="B103" s="1" t="s">
        <v>8951</v>
      </c>
      <c r="C103" s="4"/>
      <c r="D103" s="1" t="s">
        <v>8952</v>
      </c>
      <c r="E103" s="1" t="s">
        <v>1355</v>
      </c>
      <c r="F103" s="1">
        <v>2021</v>
      </c>
      <c r="G103" s="1">
        <v>166</v>
      </c>
      <c r="H103" s="4"/>
      <c r="I103" s="1">
        <v>114076</v>
      </c>
      <c r="J103" s="4"/>
      <c r="K103" s="4"/>
      <c r="L103" s="4"/>
      <c r="M103" s="4"/>
      <c r="N103" s="1">
        <v>2021</v>
      </c>
      <c r="O103" s="4"/>
      <c r="P103" s="1" t="s">
        <v>1356</v>
      </c>
      <c r="Q103" s="3" t="s">
        <v>8953</v>
      </c>
      <c r="R103" s="1" t="s">
        <v>8954</v>
      </c>
      <c r="S103" s="1" t="s">
        <v>8955</v>
      </c>
      <c r="T103" s="1" t="s">
        <v>8956</v>
      </c>
      <c r="U103" s="4"/>
      <c r="V103" s="4"/>
    </row>
    <row r="104" spans="1:22" x14ac:dyDescent="0.25">
      <c r="A104" s="1" t="s">
        <v>13</v>
      </c>
      <c r="B104" s="1" t="s">
        <v>8957</v>
      </c>
      <c r="C104" s="4"/>
      <c r="D104" s="1" t="s">
        <v>8958</v>
      </c>
      <c r="E104" s="1" t="s">
        <v>354</v>
      </c>
      <c r="F104" s="1">
        <v>2017</v>
      </c>
      <c r="G104" s="1">
        <v>134</v>
      </c>
      <c r="H104" s="4"/>
      <c r="I104" s="1" t="s">
        <v>8959</v>
      </c>
      <c r="J104" s="4"/>
      <c r="K104" s="4"/>
      <c r="L104" s="4"/>
      <c r="M104" s="4"/>
      <c r="N104" s="1">
        <v>2017</v>
      </c>
      <c r="O104" s="4"/>
      <c r="P104" s="1" t="s">
        <v>65</v>
      </c>
      <c r="Q104" s="3" t="s">
        <v>8960</v>
      </c>
      <c r="R104" s="1" t="s">
        <v>8961</v>
      </c>
      <c r="S104" s="1" t="s">
        <v>8962</v>
      </c>
      <c r="T104" s="1" t="s">
        <v>8963</v>
      </c>
      <c r="U104" s="4"/>
      <c r="V104" s="4"/>
    </row>
    <row r="105" spans="1:22" x14ac:dyDescent="0.25">
      <c r="A105" s="1" t="s">
        <v>13</v>
      </c>
      <c r="B105" s="1" t="s">
        <v>8964</v>
      </c>
      <c r="C105" s="4"/>
      <c r="D105" s="1" t="s">
        <v>8965</v>
      </c>
      <c r="E105" s="1" t="s">
        <v>354</v>
      </c>
      <c r="F105" s="1">
        <v>2020</v>
      </c>
      <c r="G105" s="1">
        <v>166</v>
      </c>
      <c r="H105" s="4"/>
      <c r="I105" s="1">
        <v>110596</v>
      </c>
      <c r="J105" s="4"/>
      <c r="K105" s="4"/>
      <c r="L105" s="4"/>
      <c r="M105" s="4"/>
      <c r="N105" s="1">
        <v>2020</v>
      </c>
      <c r="O105" s="4"/>
      <c r="P105" s="1" t="s">
        <v>65</v>
      </c>
      <c r="Q105" s="3" t="s">
        <v>8966</v>
      </c>
      <c r="R105" s="1" t="s">
        <v>8967</v>
      </c>
      <c r="S105" s="1" t="s">
        <v>8968</v>
      </c>
      <c r="T105" s="1" t="s">
        <v>8969</v>
      </c>
      <c r="U105" s="4"/>
      <c r="V105" s="4"/>
    </row>
    <row r="106" spans="1:22" x14ac:dyDescent="0.25">
      <c r="A106" s="1" t="s">
        <v>13</v>
      </c>
      <c r="B106" s="1" t="s">
        <v>3076</v>
      </c>
      <c r="C106" s="4"/>
      <c r="D106" s="1" t="s">
        <v>3077</v>
      </c>
      <c r="E106" s="1" t="s">
        <v>307</v>
      </c>
      <c r="F106" s="1">
        <v>2020</v>
      </c>
      <c r="G106" s="1">
        <v>126</v>
      </c>
      <c r="H106" s="4"/>
      <c r="I106" s="1">
        <v>106332</v>
      </c>
      <c r="J106" s="4"/>
      <c r="K106" s="4"/>
      <c r="L106" s="4"/>
      <c r="M106" s="4"/>
      <c r="N106" s="1">
        <v>2020</v>
      </c>
      <c r="O106" s="4"/>
      <c r="P106" s="1" t="s">
        <v>308</v>
      </c>
      <c r="Q106" s="3" t="s">
        <v>8970</v>
      </c>
      <c r="R106" s="1" t="s">
        <v>3079</v>
      </c>
      <c r="S106" s="1" t="s">
        <v>8971</v>
      </c>
      <c r="T106" s="1" t="s">
        <v>8972</v>
      </c>
      <c r="U106" s="4"/>
      <c r="V106" s="4"/>
    </row>
    <row r="107" spans="1:22" x14ac:dyDescent="0.25">
      <c r="A107" s="1" t="s">
        <v>7972</v>
      </c>
      <c r="B107" s="4"/>
      <c r="C107" s="1" t="s">
        <v>8973</v>
      </c>
      <c r="D107" s="1" t="s">
        <v>8974</v>
      </c>
      <c r="E107" s="4"/>
      <c r="F107" s="1">
        <v>2015</v>
      </c>
      <c r="G107" s="1">
        <v>96</v>
      </c>
      <c r="H107" s="4"/>
      <c r="I107" s="1" t="s">
        <v>8975</v>
      </c>
      <c r="J107" s="4"/>
      <c r="K107" s="1" t="s">
        <v>8536</v>
      </c>
      <c r="L107" s="4"/>
      <c r="M107" s="1" t="s">
        <v>8976</v>
      </c>
      <c r="N107" s="1">
        <v>2015</v>
      </c>
      <c r="O107" s="4"/>
      <c r="P107" s="1" t="s">
        <v>8538</v>
      </c>
      <c r="Q107" s="3" t="s">
        <v>8977</v>
      </c>
      <c r="R107" s="1" t="s">
        <v>8978</v>
      </c>
      <c r="S107" s="4"/>
      <c r="T107" s="4"/>
      <c r="U107" s="4"/>
      <c r="V107" s="1" t="s">
        <v>8537</v>
      </c>
    </row>
    <row r="108" spans="1:22" x14ac:dyDescent="0.25">
      <c r="A108" s="1" t="s">
        <v>7972</v>
      </c>
      <c r="B108" s="1" t="s">
        <v>8979</v>
      </c>
      <c r="C108" s="1" t="s">
        <v>8980</v>
      </c>
      <c r="D108" s="1" t="s">
        <v>8981</v>
      </c>
      <c r="E108" s="4"/>
      <c r="F108" s="1">
        <v>2016</v>
      </c>
      <c r="G108" s="4"/>
      <c r="H108" s="4"/>
      <c r="I108" s="1" t="s">
        <v>8982</v>
      </c>
      <c r="J108" s="4"/>
      <c r="K108" s="1" t="s">
        <v>8739</v>
      </c>
      <c r="L108" s="1" t="s">
        <v>8740</v>
      </c>
      <c r="M108" s="1" t="s">
        <v>8983</v>
      </c>
      <c r="N108" s="1">
        <v>2016</v>
      </c>
      <c r="O108" s="1">
        <v>9780128023013</v>
      </c>
      <c r="P108" s="4"/>
      <c r="Q108" s="3" t="s">
        <v>8984</v>
      </c>
      <c r="R108" s="1" t="s">
        <v>8985</v>
      </c>
      <c r="S108" s="1" t="s">
        <v>8986</v>
      </c>
      <c r="T108" s="1" t="s">
        <v>8987</v>
      </c>
      <c r="U108" s="4"/>
      <c r="V108" s="4"/>
    </row>
    <row r="109" spans="1:22" x14ac:dyDescent="0.25">
      <c r="A109" s="1" t="s">
        <v>13</v>
      </c>
      <c r="B109" s="1" t="s">
        <v>8988</v>
      </c>
      <c r="C109" s="4"/>
      <c r="D109" s="1" t="s">
        <v>8989</v>
      </c>
      <c r="E109" s="1" t="s">
        <v>354</v>
      </c>
      <c r="F109" s="1">
        <v>2019</v>
      </c>
      <c r="G109" s="1">
        <v>158</v>
      </c>
      <c r="H109" s="4"/>
      <c r="I109" s="1">
        <v>110420</v>
      </c>
      <c r="J109" s="4"/>
      <c r="K109" s="4"/>
      <c r="L109" s="4"/>
      <c r="M109" s="4"/>
      <c r="N109" s="1">
        <v>2019</v>
      </c>
      <c r="O109" s="4"/>
      <c r="P109" s="1" t="s">
        <v>65</v>
      </c>
      <c r="Q109" s="3" t="s">
        <v>8990</v>
      </c>
      <c r="R109" s="1" t="s">
        <v>8991</v>
      </c>
      <c r="S109" s="1" t="s">
        <v>8992</v>
      </c>
      <c r="T109" s="1" t="s">
        <v>8993</v>
      </c>
      <c r="U109" s="4"/>
      <c r="V109" s="4"/>
    </row>
    <row r="110" spans="1:22" x14ac:dyDescent="0.25">
      <c r="A110" s="1" t="s">
        <v>7972</v>
      </c>
      <c r="B110" s="4"/>
      <c r="C110" s="1" t="s">
        <v>8994</v>
      </c>
      <c r="D110" s="1" t="s">
        <v>8534</v>
      </c>
      <c r="E110" s="4"/>
      <c r="F110" s="1">
        <v>2015</v>
      </c>
      <c r="G110" s="1">
        <v>98</v>
      </c>
      <c r="H110" s="4"/>
      <c r="I110" s="1" t="s">
        <v>8995</v>
      </c>
      <c r="J110" s="4"/>
      <c r="K110" s="1" t="s">
        <v>8536</v>
      </c>
      <c r="L110" s="4"/>
      <c r="M110" s="4"/>
      <c r="N110" s="1">
        <v>2015</v>
      </c>
      <c r="O110" s="4"/>
      <c r="P110" s="1" t="s">
        <v>8538</v>
      </c>
      <c r="Q110" s="3" t="s">
        <v>8996</v>
      </c>
      <c r="R110" s="1" t="s">
        <v>8997</v>
      </c>
      <c r="S110" s="4"/>
      <c r="T110" s="4"/>
      <c r="U110" s="4"/>
      <c r="V110" s="1" t="s">
        <v>8537</v>
      </c>
    </row>
    <row r="111" spans="1:22" x14ac:dyDescent="0.25">
      <c r="A111" s="1" t="s">
        <v>13</v>
      </c>
      <c r="B111" s="1" t="s">
        <v>8998</v>
      </c>
      <c r="C111" s="4"/>
      <c r="D111" s="1" t="s">
        <v>8999</v>
      </c>
      <c r="E111" s="1" t="s">
        <v>354</v>
      </c>
      <c r="F111" s="1">
        <v>2021</v>
      </c>
      <c r="G111" s="1">
        <v>178</v>
      </c>
      <c r="H111" s="4"/>
      <c r="I111" s="1">
        <v>110969</v>
      </c>
      <c r="J111" s="4"/>
      <c r="K111" s="4"/>
      <c r="L111" s="4"/>
      <c r="M111" s="4"/>
      <c r="N111" s="1">
        <v>2021</v>
      </c>
      <c r="O111" s="4"/>
      <c r="P111" s="1" t="s">
        <v>65</v>
      </c>
      <c r="Q111" s="3" t="s">
        <v>9000</v>
      </c>
      <c r="R111" s="1" t="s">
        <v>9001</v>
      </c>
      <c r="S111" s="1" t="s">
        <v>9002</v>
      </c>
      <c r="T111" s="1" t="s">
        <v>9003</v>
      </c>
      <c r="U111" s="4"/>
      <c r="V111" s="4"/>
    </row>
    <row r="112" spans="1:22" x14ac:dyDescent="0.25">
      <c r="A112" s="1" t="s">
        <v>7972</v>
      </c>
      <c r="B112" s="4"/>
      <c r="C112" s="1" t="s">
        <v>8533</v>
      </c>
      <c r="D112" s="1" t="s">
        <v>8974</v>
      </c>
      <c r="E112" s="4"/>
      <c r="F112" s="1">
        <v>2015</v>
      </c>
      <c r="G112" s="1">
        <v>99</v>
      </c>
      <c r="H112" s="4"/>
      <c r="I112" s="1" t="s">
        <v>9004</v>
      </c>
      <c r="J112" s="4"/>
      <c r="K112" s="1" t="s">
        <v>8536</v>
      </c>
      <c r="L112" s="4"/>
      <c r="M112" s="4"/>
      <c r="N112" s="1">
        <v>2015</v>
      </c>
      <c r="O112" s="4"/>
      <c r="P112" s="1" t="s">
        <v>8538</v>
      </c>
      <c r="Q112" s="3" t="s">
        <v>9005</v>
      </c>
      <c r="R112" s="1" t="s">
        <v>9006</v>
      </c>
      <c r="S112" s="4"/>
      <c r="T112" s="4"/>
      <c r="U112" s="4"/>
      <c r="V112" s="1" t="s">
        <v>8537</v>
      </c>
    </row>
    <row r="113" spans="1:22" x14ac:dyDescent="0.25">
      <c r="A113" s="1" t="s">
        <v>7972</v>
      </c>
      <c r="B113" s="1" t="s">
        <v>9007</v>
      </c>
      <c r="C113" s="1" t="s">
        <v>9007</v>
      </c>
      <c r="D113" s="1" t="s">
        <v>9008</v>
      </c>
      <c r="E113" s="4"/>
      <c r="F113" s="1">
        <v>2015</v>
      </c>
      <c r="G113" s="4"/>
      <c r="H113" s="4"/>
      <c r="I113" s="1" t="s">
        <v>9009</v>
      </c>
      <c r="J113" s="4"/>
      <c r="K113" s="1" t="s">
        <v>8739</v>
      </c>
      <c r="L113" s="1" t="s">
        <v>8740</v>
      </c>
      <c r="M113" s="1" t="s">
        <v>9010</v>
      </c>
      <c r="N113" s="1">
        <v>2015</v>
      </c>
      <c r="O113" s="1">
        <v>9780128002186</v>
      </c>
      <c r="P113" s="4"/>
      <c r="Q113" s="3" t="s">
        <v>9011</v>
      </c>
      <c r="R113" s="1" t="s">
        <v>9012</v>
      </c>
      <c r="S113" s="1" t="s">
        <v>9013</v>
      </c>
      <c r="T113" s="1" t="s">
        <v>9014</v>
      </c>
      <c r="U113" s="4"/>
      <c r="V113" s="4"/>
    </row>
    <row r="114" spans="1:22" x14ac:dyDescent="0.25">
      <c r="A114" s="1" t="s">
        <v>7972</v>
      </c>
      <c r="B114" s="1" t="s">
        <v>9015</v>
      </c>
      <c r="C114" s="1" t="s">
        <v>9015</v>
      </c>
      <c r="D114" s="1" t="s">
        <v>9016</v>
      </c>
      <c r="E114" s="4"/>
      <c r="F114" s="1">
        <v>2021</v>
      </c>
      <c r="G114" s="4"/>
      <c r="H114" s="4"/>
      <c r="I114" s="1" t="s">
        <v>9017</v>
      </c>
      <c r="J114" s="1" t="s">
        <v>9018</v>
      </c>
      <c r="K114" s="1" t="s">
        <v>9019</v>
      </c>
      <c r="L114" s="4"/>
      <c r="M114" s="1" t="s">
        <v>9020</v>
      </c>
      <c r="N114" s="1">
        <v>2021</v>
      </c>
      <c r="O114" s="1">
        <v>9780128180150</v>
      </c>
      <c r="P114" s="4"/>
      <c r="Q114" s="3" t="s">
        <v>9021</v>
      </c>
      <c r="R114" s="1" t="s">
        <v>9022</v>
      </c>
      <c r="S114" s="1" t="s">
        <v>9023</v>
      </c>
      <c r="T114" s="1" t="s">
        <v>9024</v>
      </c>
      <c r="U114" s="4"/>
      <c r="V114" s="4"/>
    </row>
    <row r="115" spans="1:22" x14ac:dyDescent="0.25">
      <c r="A115" s="1" t="s">
        <v>7972</v>
      </c>
      <c r="B115" s="4"/>
      <c r="C115" s="1" t="s">
        <v>9025</v>
      </c>
      <c r="D115" s="1" t="s">
        <v>8974</v>
      </c>
      <c r="E115" s="4"/>
      <c r="F115" s="1">
        <v>2015</v>
      </c>
      <c r="G115" s="1">
        <v>97</v>
      </c>
      <c r="H115" s="4"/>
      <c r="I115" s="1" t="s">
        <v>9026</v>
      </c>
      <c r="J115" s="4"/>
      <c r="K115" s="1" t="s">
        <v>8536</v>
      </c>
      <c r="L115" s="4"/>
      <c r="M115" s="4"/>
      <c r="N115" s="1">
        <v>2015</v>
      </c>
      <c r="O115" s="4"/>
      <c r="P115" s="1" t="s">
        <v>8538</v>
      </c>
      <c r="Q115" s="3" t="s">
        <v>9027</v>
      </c>
      <c r="R115" s="1" t="s">
        <v>9028</v>
      </c>
      <c r="S115" s="4"/>
      <c r="T115" s="4"/>
      <c r="U115" s="4"/>
      <c r="V115" s="1" t="s">
        <v>8537</v>
      </c>
    </row>
    <row r="116" spans="1:22" x14ac:dyDescent="0.25">
      <c r="A116" s="1" t="s">
        <v>13</v>
      </c>
      <c r="B116" s="1" t="s">
        <v>9029</v>
      </c>
      <c r="C116" s="4"/>
      <c r="D116" s="1" t="s">
        <v>9030</v>
      </c>
      <c r="E116" s="1" t="s">
        <v>9031</v>
      </c>
      <c r="F116" s="1">
        <v>2021</v>
      </c>
      <c r="G116" s="1">
        <v>171</v>
      </c>
      <c r="H116" s="4"/>
      <c r="I116" s="1">
        <v>120957</v>
      </c>
      <c r="J116" s="4"/>
      <c r="K116" s="4"/>
      <c r="L116" s="4"/>
      <c r="M116" s="4"/>
      <c r="N116" s="1">
        <v>2021</v>
      </c>
      <c r="O116" s="4"/>
      <c r="P116" s="1" t="s">
        <v>9032</v>
      </c>
      <c r="Q116" s="3" t="s">
        <v>9033</v>
      </c>
      <c r="R116" s="1" t="s">
        <v>9034</v>
      </c>
      <c r="S116" s="1" t="s">
        <v>9035</v>
      </c>
      <c r="T116" s="1" t="s">
        <v>9036</v>
      </c>
      <c r="U116" s="4"/>
      <c r="V116" s="4"/>
    </row>
    <row r="117" spans="1:22" x14ac:dyDescent="0.25">
      <c r="A117" s="1" t="s">
        <v>13</v>
      </c>
      <c r="B117" s="1" t="s">
        <v>9037</v>
      </c>
      <c r="C117" s="4"/>
      <c r="D117" s="1" t="s">
        <v>9038</v>
      </c>
      <c r="E117" s="1" t="s">
        <v>354</v>
      </c>
      <c r="F117" s="1">
        <v>2021</v>
      </c>
      <c r="G117" s="1">
        <v>178</v>
      </c>
      <c r="H117" s="4"/>
      <c r="I117" s="1">
        <v>110984</v>
      </c>
      <c r="J117" s="4"/>
      <c r="K117" s="4"/>
      <c r="L117" s="4"/>
      <c r="M117" s="4"/>
      <c r="N117" s="1">
        <v>2021</v>
      </c>
      <c r="O117" s="4"/>
      <c r="P117" s="1" t="s">
        <v>65</v>
      </c>
      <c r="Q117" s="3" t="s">
        <v>9039</v>
      </c>
      <c r="R117" s="1" t="s">
        <v>9040</v>
      </c>
      <c r="S117" s="1" t="s">
        <v>9041</v>
      </c>
      <c r="T117" s="1" t="s">
        <v>9042</v>
      </c>
      <c r="U117" s="4"/>
      <c r="V117" s="4"/>
    </row>
    <row r="118" spans="1:22" x14ac:dyDescent="0.25">
      <c r="A118" s="1" t="s">
        <v>7972</v>
      </c>
      <c r="B118" s="4"/>
      <c r="C118" s="1" t="s">
        <v>8533</v>
      </c>
      <c r="D118" s="1" t="s">
        <v>8534</v>
      </c>
      <c r="E118" s="4"/>
      <c r="F118" s="1">
        <v>2014</v>
      </c>
      <c r="G118" s="1">
        <v>95</v>
      </c>
      <c r="H118" s="4"/>
      <c r="I118" s="1" t="s">
        <v>9043</v>
      </c>
      <c r="J118" s="4"/>
      <c r="K118" s="1" t="s">
        <v>8536</v>
      </c>
      <c r="L118" s="4"/>
      <c r="M118" s="4"/>
      <c r="N118" s="1">
        <v>2014</v>
      </c>
      <c r="O118" s="4"/>
      <c r="P118" s="1" t="s">
        <v>8538</v>
      </c>
      <c r="Q118" s="3" t="s">
        <v>9044</v>
      </c>
      <c r="R118" s="1" t="s">
        <v>9045</v>
      </c>
      <c r="S118" s="4"/>
      <c r="T118" s="4"/>
      <c r="U118" s="4"/>
      <c r="V118" s="1" t="s">
        <v>8537</v>
      </c>
    </row>
    <row r="119" spans="1:22" x14ac:dyDescent="0.25">
      <c r="A119" s="1" t="s">
        <v>7972</v>
      </c>
      <c r="B119" s="4"/>
      <c r="C119" s="1" t="s">
        <v>9046</v>
      </c>
      <c r="D119" s="1" t="s">
        <v>8534</v>
      </c>
      <c r="E119" s="4"/>
      <c r="F119" s="1">
        <v>2017</v>
      </c>
      <c r="G119" s="1">
        <v>104</v>
      </c>
      <c r="H119" s="4"/>
      <c r="I119" s="1" t="s">
        <v>9047</v>
      </c>
      <c r="J119" s="4"/>
      <c r="K119" s="1" t="s">
        <v>8536</v>
      </c>
      <c r="L119" s="4"/>
      <c r="M119" s="1" t="s">
        <v>9048</v>
      </c>
      <c r="N119" s="1">
        <v>2017</v>
      </c>
      <c r="O119" s="4"/>
      <c r="P119" s="1" t="s">
        <v>8538</v>
      </c>
      <c r="Q119" s="3" t="s">
        <v>9049</v>
      </c>
      <c r="R119" s="1" t="s">
        <v>9050</v>
      </c>
      <c r="S119" s="4"/>
      <c r="T119" s="4"/>
      <c r="U119" s="4"/>
      <c r="V119" s="1" t="s">
        <v>8537</v>
      </c>
    </row>
    <row r="120" spans="1:22" x14ac:dyDescent="0.25">
      <c r="A120" s="1" t="s">
        <v>13</v>
      </c>
      <c r="B120" s="1" t="s">
        <v>9051</v>
      </c>
      <c r="C120" s="4"/>
      <c r="D120" s="1" t="s">
        <v>9052</v>
      </c>
      <c r="E120" s="1" t="s">
        <v>307</v>
      </c>
      <c r="F120" s="1">
        <v>2018</v>
      </c>
      <c r="G120" s="1">
        <v>102</v>
      </c>
      <c r="H120" s="4"/>
      <c r="I120" s="1" t="s">
        <v>9053</v>
      </c>
      <c r="J120" s="4"/>
      <c r="K120" s="4"/>
      <c r="L120" s="4"/>
      <c r="M120" s="4"/>
      <c r="N120" s="1">
        <v>2018</v>
      </c>
      <c r="O120" s="4"/>
      <c r="P120" s="1" t="s">
        <v>308</v>
      </c>
      <c r="Q120" s="3" t="s">
        <v>9054</v>
      </c>
      <c r="R120" s="1" t="s">
        <v>9055</v>
      </c>
      <c r="S120" s="1" t="s">
        <v>9056</v>
      </c>
      <c r="T120" s="1" t="s">
        <v>9057</v>
      </c>
      <c r="U120" s="4"/>
      <c r="V120" s="4"/>
    </row>
    <row r="121" spans="1:22" x14ac:dyDescent="0.25">
      <c r="A121" s="1" t="s">
        <v>13</v>
      </c>
      <c r="B121" s="1" t="s">
        <v>9058</v>
      </c>
      <c r="C121" s="4"/>
      <c r="D121" s="1" t="s">
        <v>9059</v>
      </c>
      <c r="E121" s="1" t="s">
        <v>354</v>
      </c>
      <c r="F121" s="1">
        <v>2020</v>
      </c>
      <c r="G121" s="1">
        <v>168</v>
      </c>
      <c r="H121" s="4"/>
      <c r="I121" s="1">
        <v>110671</v>
      </c>
      <c r="J121" s="4"/>
      <c r="K121" s="4"/>
      <c r="L121" s="4"/>
      <c r="M121" s="4"/>
      <c r="N121" s="1">
        <v>2020</v>
      </c>
      <c r="O121" s="4"/>
      <c r="P121" s="1" t="s">
        <v>65</v>
      </c>
      <c r="Q121" s="3" t="s">
        <v>9060</v>
      </c>
      <c r="R121" s="1" t="s">
        <v>9061</v>
      </c>
      <c r="S121" s="1" t="s">
        <v>9062</v>
      </c>
      <c r="T121" s="1" t="s">
        <v>9063</v>
      </c>
      <c r="U121" s="4"/>
      <c r="V121" s="4"/>
    </row>
    <row r="122" spans="1:22" x14ac:dyDescent="0.25">
      <c r="A122" s="1" t="s">
        <v>13</v>
      </c>
      <c r="B122" s="1" t="s">
        <v>9064</v>
      </c>
      <c r="C122" s="4"/>
      <c r="D122" s="1" t="s">
        <v>9065</v>
      </c>
      <c r="E122" s="1" t="s">
        <v>354</v>
      </c>
      <c r="F122" s="1">
        <v>2022</v>
      </c>
      <c r="G122" s="1">
        <v>184</v>
      </c>
      <c r="H122" s="4"/>
      <c r="I122" s="1">
        <v>111124</v>
      </c>
      <c r="J122" s="4"/>
      <c r="K122" s="4"/>
      <c r="L122" s="4"/>
      <c r="M122" s="4"/>
      <c r="N122" s="1">
        <v>2022</v>
      </c>
      <c r="O122" s="4"/>
      <c r="P122" s="1" t="s">
        <v>65</v>
      </c>
      <c r="Q122" s="3" t="s">
        <v>9066</v>
      </c>
      <c r="R122" s="1" t="s">
        <v>9067</v>
      </c>
      <c r="S122" s="1" t="s">
        <v>9068</v>
      </c>
      <c r="T122" s="1" t="s">
        <v>9069</v>
      </c>
      <c r="U122" s="4"/>
      <c r="V122" s="4"/>
    </row>
    <row r="123" spans="1:22" x14ac:dyDescent="0.25">
      <c r="A123" s="1" t="s">
        <v>13</v>
      </c>
      <c r="B123" s="1" t="s">
        <v>9070</v>
      </c>
      <c r="C123" s="4"/>
      <c r="D123" s="1" t="s">
        <v>9071</v>
      </c>
      <c r="E123" s="1" t="s">
        <v>354</v>
      </c>
      <c r="F123" s="1">
        <v>2018</v>
      </c>
      <c r="G123" s="1">
        <v>143</v>
      </c>
      <c r="H123" s="4"/>
      <c r="I123" s="1" t="s">
        <v>9072</v>
      </c>
      <c r="J123" s="4"/>
      <c r="K123" s="4"/>
      <c r="L123" s="4"/>
      <c r="M123" s="4"/>
      <c r="N123" s="1">
        <v>2018</v>
      </c>
      <c r="O123" s="4"/>
      <c r="P123" s="1" t="s">
        <v>65</v>
      </c>
      <c r="Q123" s="3" t="s">
        <v>9073</v>
      </c>
      <c r="R123" s="1" t="s">
        <v>9074</v>
      </c>
      <c r="S123" s="1" t="s">
        <v>9075</v>
      </c>
      <c r="T123" s="1" t="s">
        <v>9076</v>
      </c>
      <c r="U123" s="4"/>
      <c r="V123" s="4"/>
    </row>
    <row r="124" spans="1:22" x14ac:dyDescent="0.25">
      <c r="A124" s="1" t="s">
        <v>7972</v>
      </c>
      <c r="B124" s="4"/>
      <c r="C124" s="1" t="s">
        <v>8533</v>
      </c>
      <c r="D124" s="1" t="s">
        <v>8534</v>
      </c>
      <c r="E124" s="4"/>
      <c r="F124" s="1">
        <v>2013</v>
      </c>
      <c r="G124" s="1">
        <v>89</v>
      </c>
      <c r="H124" s="4"/>
      <c r="I124" s="1" t="s">
        <v>7731</v>
      </c>
      <c r="J124" s="4"/>
      <c r="K124" s="1" t="s">
        <v>8536</v>
      </c>
      <c r="L124" s="4"/>
      <c r="M124" s="4"/>
      <c r="N124" s="1">
        <v>2013</v>
      </c>
      <c r="O124" s="4"/>
      <c r="P124" s="1" t="s">
        <v>8538</v>
      </c>
      <c r="Q124" s="3" t="s">
        <v>9077</v>
      </c>
      <c r="R124" s="1" t="s">
        <v>9078</v>
      </c>
      <c r="S124" s="4"/>
      <c r="T124" s="4"/>
      <c r="U124" s="4"/>
      <c r="V124" s="1" t="s">
        <v>8537</v>
      </c>
    </row>
    <row r="125" spans="1:22" x14ac:dyDescent="0.25">
      <c r="A125" s="1" t="s">
        <v>13</v>
      </c>
      <c r="B125" s="1" t="s">
        <v>9079</v>
      </c>
      <c r="C125" s="4"/>
      <c r="D125" s="1" t="s">
        <v>9080</v>
      </c>
      <c r="E125" s="1" t="s">
        <v>8421</v>
      </c>
      <c r="F125" s="1">
        <v>2021</v>
      </c>
      <c r="G125" s="1">
        <v>97</v>
      </c>
      <c r="H125" s="4"/>
      <c r="I125" s="1" t="s">
        <v>9081</v>
      </c>
      <c r="J125" s="4"/>
      <c r="K125" s="4"/>
      <c r="L125" s="4"/>
      <c r="M125" s="4"/>
      <c r="N125" s="1">
        <v>2021</v>
      </c>
      <c r="O125" s="4"/>
      <c r="P125" s="1" t="s">
        <v>456</v>
      </c>
      <c r="Q125" s="3" t="s">
        <v>9082</v>
      </c>
      <c r="R125" s="1" t="s">
        <v>9083</v>
      </c>
      <c r="S125" s="1" t="s">
        <v>9084</v>
      </c>
      <c r="T125" s="1" t="s">
        <v>9085</v>
      </c>
      <c r="U125" s="1" t="s">
        <v>9086</v>
      </c>
      <c r="V125" s="4"/>
    </row>
    <row r="126" spans="1:22" x14ac:dyDescent="0.25">
      <c r="A126" s="1" t="s">
        <v>7972</v>
      </c>
      <c r="B126" s="1" t="s">
        <v>9007</v>
      </c>
      <c r="C126" s="1" t="s">
        <v>9007</v>
      </c>
      <c r="D126" s="1" t="s">
        <v>9087</v>
      </c>
      <c r="E126" s="4"/>
      <c r="F126" s="1">
        <v>2015</v>
      </c>
      <c r="G126" s="4"/>
      <c r="H126" s="4"/>
      <c r="I126" s="1" t="s">
        <v>9088</v>
      </c>
      <c r="J126" s="4"/>
      <c r="K126" s="1" t="s">
        <v>8739</v>
      </c>
      <c r="L126" s="1" t="s">
        <v>8740</v>
      </c>
      <c r="M126" s="1" t="s">
        <v>9010</v>
      </c>
      <c r="N126" s="1">
        <v>2015</v>
      </c>
      <c r="O126" s="1">
        <v>9780128002186</v>
      </c>
      <c r="P126" s="4"/>
      <c r="Q126" s="3" t="s">
        <v>9089</v>
      </c>
      <c r="R126" s="1" t="s">
        <v>9090</v>
      </c>
      <c r="S126" s="1" t="s">
        <v>9091</v>
      </c>
      <c r="T126" s="1" t="s">
        <v>9092</v>
      </c>
      <c r="U126" s="4"/>
      <c r="V126" s="4"/>
    </row>
    <row r="127" spans="1:22" x14ac:dyDescent="0.25">
      <c r="A127" s="1" t="s">
        <v>13</v>
      </c>
      <c r="B127" s="1" t="s">
        <v>9093</v>
      </c>
      <c r="C127" s="4"/>
      <c r="D127" s="1" t="s">
        <v>9094</v>
      </c>
      <c r="E127" s="1" t="s">
        <v>354</v>
      </c>
      <c r="F127" s="1">
        <v>2019</v>
      </c>
      <c r="G127" s="1">
        <v>156</v>
      </c>
      <c r="H127" s="4"/>
      <c r="I127" s="1" t="s">
        <v>9095</v>
      </c>
      <c r="J127" s="4"/>
      <c r="K127" s="4"/>
      <c r="L127" s="4"/>
      <c r="M127" s="4"/>
      <c r="N127" s="1">
        <v>2019</v>
      </c>
      <c r="O127" s="4"/>
      <c r="P127" s="1" t="s">
        <v>65</v>
      </c>
      <c r="Q127" s="3" t="s">
        <v>9096</v>
      </c>
      <c r="R127" s="1" t="s">
        <v>9097</v>
      </c>
      <c r="S127" s="4"/>
      <c r="T127" s="4"/>
      <c r="U127" s="4"/>
      <c r="V127" s="4"/>
    </row>
    <row r="128" spans="1:22" x14ac:dyDescent="0.25">
      <c r="A128" s="1" t="s">
        <v>13</v>
      </c>
      <c r="B128" s="1" t="s">
        <v>9098</v>
      </c>
      <c r="C128" s="4"/>
      <c r="D128" s="1" t="s">
        <v>9099</v>
      </c>
      <c r="E128" s="1" t="s">
        <v>1827</v>
      </c>
      <c r="F128" s="1">
        <v>2021</v>
      </c>
      <c r="G128" s="1">
        <v>201</v>
      </c>
      <c r="H128" s="4"/>
      <c r="I128" s="1">
        <v>102522</v>
      </c>
      <c r="J128" s="4"/>
      <c r="K128" s="4"/>
      <c r="L128" s="4"/>
      <c r="M128" s="4"/>
      <c r="N128" s="1">
        <v>2021</v>
      </c>
      <c r="O128" s="4"/>
      <c r="P128" s="1" t="s">
        <v>1828</v>
      </c>
      <c r="Q128" s="3" t="s">
        <v>9100</v>
      </c>
      <c r="R128" s="1" t="s">
        <v>9101</v>
      </c>
      <c r="S128" s="1" t="s">
        <v>9102</v>
      </c>
      <c r="T128" s="1" t="s">
        <v>9103</v>
      </c>
      <c r="U128" s="4"/>
      <c r="V128" s="4"/>
    </row>
    <row r="129" spans="1:22" x14ac:dyDescent="0.25">
      <c r="A129" s="1" t="s">
        <v>7972</v>
      </c>
      <c r="B129" s="4"/>
      <c r="C129" s="1" t="s">
        <v>9025</v>
      </c>
      <c r="D129" s="1" t="s">
        <v>8534</v>
      </c>
      <c r="E129" s="4"/>
      <c r="F129" s="1">
        <v>2016</v>
      </c>
      <c r="G129" s="1">
        <v>103</v>
      </c>
      <c r="H129" s="4"/>
      <c r="I129" s="1" t="s">
        <v>9104</v>
      </c>
      <c r="J129" s="4"/>
      <c r="K129" s="1" t="s">
        <v>8536</v>
      </c>
      <c r="L129" s="4"/>
      <c r="M129" s="4"/>
      <c r="N129" s="1">
        <v>2016</v>
      </c>
      <c r="O129" s="4"/>
      <c r="P129" s="1" t="s">
        <v>8538</v>
      </c>
      <c r="Q129" s="3" t="s">
        <v>9105</v>
      </c>
      <c r="R129" s="1" t="s">
        <v>9106</v>
      </c>
      <c r="S129" s="4"/>
      <c r="T129" s="4"/>
      <c r="U129" s="4"/>
      <c r="V129" s="1" t="s">
        <v>8537</v>
      </c>
    </row>
    <row r="130" spans="1:22" x14ac:dyDescent="0.25">
      <c r="A130" s="1" t="s">
        <v>7972</v>
      </c>
      <c r="B130" s="4"/>
      <c r="C130" s="1" t="s">
        <v>9107</v>
      </c>
      <c r="D130" s="1" t="s">
        <v>8534</v>
      </c>
      <c r="E130" s="4"/>
      <c r="F130" s="1">
        <v>2016</v>
      </c>
      <c r="G130" s="1">
        <v>100</v>
      </c>
      <c r="H130" s="4"/>
      <c r="I130" s="1" t="s">
        <v>9108</v>
      </c>
      <c r="J130" s="4"/>
      <c r="K130" s="1" t="s">
        <v>8536</v>
      </c>
      <c r="L130" s="4"/>
      <c r="M130" s="1" t="s">
        <v>9109</v>
      </c>
      <c r="N130" s="1">
        <v>2016</v>
      </c>
      <c r="O130" s="4"/>
      <c r="P130" s="1" t="s">
        <v>8538</v>
      </c>
      <c r="Q130" s="3" t="s">
        <v>9110</v>
      </c>
      <c r="R130" s="1" t="s">
        <v>9111</v>
      </c>
      <c r="S130" s="4"/>
      <c r="T130" s="4"/>
      <c r="U130" s="4"/>
      <c r="V130" s="1" t="s">
        <v>8537</v>
      </c>
    </row>
    <row r="131" spans="1:22" x14ac:dyDescent="0.25">
      <c r="A131" s="1" t="s">
        <v>7972</v>
      </c>
      <c r="B131" s="4"/>
      <c r="C131" s="1" t="s">
        <v>9112</v>
      </c>
      <c r="D131" s="1" t="s">
        <v>9113</v>
      </c>
      <c r="E131" s="4"/>
      <c r="F131" s="1">
        <v>2013</v>
      </c>
      <c r="G131" s="1">
        <v>88</v>
      </c>
      <c r="H131" s="4"/>
      <c r="I131" s="1" t="s">
        <v>9114</v>
      </c>
      <c r="J131" s="4"/>
      <c r="K131" s="1" t="s">
        <v>8536</v>
      </c>
      <c r="L131" s="4"/>
      <c r="M131" s="1" t="s">
        <v>9115</v>
      </c>
      <c r="N131" s="1">
        <v>2013</v>
      </c>
      <c r="O131" s="4"/>
      <c r="P131" s="1" t="s">
        <v>8538</v>
      </c>
      <c r="Q131" s="3" t="s">
        <v>9116</v>
      </c>
      <c r="R131" s="1" t="s">
        <v>9117</v>
      </c>
      <c r="S131" s="4"/>
      <c r="T131" s="4"/>
      <c r="U131" s="4"/>
      <c r="V131" s="1" t="s">
        <v>8537</v>
      </c>
    </row>
    <row r="132" spans="1:22" x14ac:dyDescent="0.25">
      <c r="A132" s="1" t="s">
        <v>13</v>
      </c>
      <c r="B132" s="1" t="s">
        <v>9118</v>
      </c>
      <c r="C132" s="4"/>
      <c r="D132" s="1" t="s">
        <v>9119</v>
      </c>
      <c r="E132" s="1" t="s">
        <v>307</v>
      </c>
      <c r="F132" s="1">
        <v>2020</v>
      </c>
      <c r="G132" s="1">
        <v>118</v>
      </c>
      <c r="H132" s="4"/>
      <c r="I132" s="1">
        <v>106218</v>
      </c>
      <c r="J132" s="4"/>
      <c r="K132" s="4"/>
      <c r="L132" s="4"/>
      <c r="M132" s="4"/>
      <c r="N132" s="1">
        <v>2020</v>
      </c>
      <c r="O132" s="4"/>
      <c r="P132" s="1" t="s">
        <v>308</v>
      </c>
      <c r="Q132" s="3" t="s">
        <v>9120</v>
      </c>
      <c r="R132" s="1" t="s">
        <v>9121</v>
      </c>
      <c r="S132" s="1" t="s">
        <v>9122</v>
      </c>
      <c r="T132" s="1" t="s">
        <v>9123</v>
      </c>
      <c r="U132" s="4"/>
      <c r="V132" s="4"/>
    </row>
    <row r="133" spans="1:22" x14ac:dyDescent="0.25">
      <c r="A133" s="1" t="s">
        <v>7972</v>
      </c>
      <c r="B133" s="4"/>
      <c r="C133" s="1" t="s">
        <v>9112</v>
      </c>
      <c r="D133" s="1" t="s">
        <v>8974</v>
      </c>
      <c r="E133" s="4"/>
      <c r="F133" s="1">
        <v>2014</v>
      </c>
      <c r="G133" s="1">
        <v>94</v>
      </c>
      <c r="H133" s="4"/>
      <c r="I133" s="1" t="s">
        <v>9124</v>
      </c>
      <c r="J133" s="4"/>
      <c r="K133" s="1" t="s">
        <v>8536</v>
      </c>
      <c r="L133" s="4"/>
      <c r="M133" s="4"/>
      <c r="N133" s="1">
        <v>2014</v>
      </c>
      <c r="O133" s="4"/>
      <c r="P133" s="1" t="s">
        <v>8538</v>
      </c>
      <c r="Q133" s="3" t="s">
        <v>9125</v>
      </c>
      <c r="R133" s="1" t="s">
        <v>9126</v>
      </c>
      <c r="S133" s="4"/>
      <c r="T133" s="4"/>
      <c r="U133" s="4"/>
      <c r="V133" s="1" t="s">
        <v>8537</v>
      </c>
    </row>
    <row r="134" spans="1:22" x14ac:dyDescent="0.25">
      <c r="A134" s="1" t="s">
        <v>7972</v>
      </c>
      <c r="B134" s="4"/>
      <c r="C134" s="1" t="s">
        <v>9127</v>
      </c>
      <c r="D134" s="1" t="s">
        <v>8534</v>
      </c>
      <c r="E134" s="4"/>
      <c r="F134" s="1">
        <v>2016</v>
      </c>
      <c r="G134" s="1">
        <v>102</v>
      </c>
      <c r="H134" s="4"/>
      <c r="I134" s="1" t="s">
        <v>9128</v>
      </c>
      <c r="J134" s="4"/>
      <c r="K134" s="1" t="s">
        <v>8536</v>
      </c>
      <c r="L134" s="4"/>
      <c r="M134" s="4"/>
      <c r="N134" s="1">
        <v>2016</v>
      </c>
      <c r="O134" s="4"/>
      <c r="P134" s="1" t="s">
        <v>8538</v>
      </c>
      <c r="Q134" s="3" t="s">
        <v>9129</v>
      </c>
      <c r="R134" s="1" t="s">
        <v>9130</v>
      </c>
      <c r="S134" s="4"/>
      <c r="T134" s="4"/>
      <c r="U134" s="4"/>
      <c r="V134" s="1" t="s">
        <v>8537</v>
      </c>
    </row>
    <row r="135" spans="1:22" x14ac:dyDescent="0.25">
      <c r="A135" s="1" t="s">
        <v>7972</v>
      </c>
      <c r="B135" s="4"/>
      <c r="C135" s="1" t="s">
        <v>8533</v>
      </c>
      <c r="D135" s="1" t="s">
        <v>8534</v>
      </c>
      <c r="E135" s="4"/>
      <c r="F135" s="1">
        <v>2016</v>
      </c>
      <c r="G135" s="1">
        <v>101</v>
      </c>
      <c r="H135" s="4"/>
      <c r="I135" s="1" t="s">
        <v>9131</v>
      </c>
      <c r="J135" s="4"/>
      <c r="K135" s="1" t="s">
        <v>8536</v>
      </c>
      <c r="L135" s="4"/>
      <c r="M135" s="4"/>
      <c r="N135" s="1">
        <v>2016</v>
      </c>
      <c r="O135" s="4"/>
      <c r="P135" s="1" t="s">
        <v>8538</v>
      </c>
      <c r="Q135" s="3" t="s">
        <v>9132</v>
      </c>
      <c r="R135" s="1" t="s">
        <v>9133</v>
      </c>
      <c r="S135" s="4"/>
      <c r="T135" s="4"/>
      <c r="U135" s="4"/>
      <c r="V135" s="1" t="s">
        <v>8537</v>
      </c>
    </row>
    <row r="136" spans="1:22" x14ac:dyDescent="0.25">
      <c r="A136" s="1" t="s">
        <v>13</v>
      </c>
      <c r="B136" s="1" t="s">
        <v>9134</v>
      </c>
      <c r="C136" s="4"/>
      <c r="D136" s="1" t="s">
        <v>9135</v>
      </c>
      <c r="E136" s="1" t="s">
        <v>307</v>
      </c>
      <c r="F136" s="1">
        <v>2019</v>
      </c>
      <c r="G136" s="1">
        <v>108</v>
      </c>
      <c r="H136" s="4"/>
      <c r="I136" s="1" t="s">
        <v>9136</v>
      </c>
      <c r="J136" s="4"/>
      <c r="K136" s="4"/>
      <c r="L136" s="4"/>
      <c r="M136" s="4"/>
      <c r="N136" s="1">
        <v>2019</v>
      </c>
      <c r="O136" s="4"/>
      <c r="P136" s="1" t="s">
        <v>308</v>
      </c>
      <c r="Q136" s="3" t="s">
        <v>9137</v>
      </c>
      <c r="R136" s="1" t="s">
        <v>9138</v>
      </c>
      <c r="S136" s="1" t="s">
        <v>9139</v>
      </c>
      <c r="T136" s="1" t="s">
        <v>9140</v>
      </c>
      <c r="U136" s="4"/>
      <c r="V136" s="4"/>
    </row>
    <row r="137" spans="1:22" x14ac:dyDescent="0.25">
      <c r="A137" s="1" t="s">
        <v>13</v>
      </c>
      <c r="B137" s="1" t="s">
        <v>9141</v>
      </c>
      <c r="C137" s="4"/>
      <c r="D137" s="1" t="s">
        <v>9142</v>
      </c>
      <c r="E137" s="1" t="s">
        <v>2450</v>
      </c>
      <c r="F137" s="1">
        <v>2022</v>
      </c>
      <c r="G137" s="1">
        <v>117</v>
      </c>
      <c r="H137" s="4"/>
      <c r="I137" s="1">
        <v>108441</v>
      </c>
      <c r="J137" s="4"/>
      <c r="K137" s="4"/>
      <c r="L137" s="4"/>
      <c r="M137" s="4"/>
      <c r="N137" s="1">
        <v>2022</v>
      </c>
      <c r="O137" s="4"/>
      <c r="P137" s="1" t="s">
        <v>2451</v>
      </c>
      <c r="Q137" s="3" t="s">
        <v>9143</v>
      </c>
      <c r="R137" s="1" t="s">
        <v>9144</v>
      </c>
      <c r="S137" s="1" t="s">
        <v>9145</v>
      </c>
      <c r="T137" s="1" t="s">
        <v>9146</v>
      </c>
      <c r="U137" s="4"/>
      <c r="V137" s="4"/>
    </row>
    <row r="138" spans="1:22" x14ac:dyDescent="0.25">
      <c r="A138" s="1" t="s">
        <v>13</v>
      </c>
      <c r="B138" s="1" t="s">
        <v>9147</v>
      </c>
      <c r="C138" s="4"/>
      <c r="D138" s="1" t="s">
        <v>9148</v>
      </c>
      <c r="E138" s="1" t="s">
        <v>307</v>
      </c>
      <c r="F138" s="1">
        <v>2018</v>
      </c>
      <c r="G138" s="1">
        <v>103</v>
      </c>
      <c r="H138" s="4"/>
      <c r="I138" s="1" t="s">
        <v>9149</v>
      </c>
      <c r="J138" s="4"/>
      <c r="K138" s="4"/>
      <c r="L138" s="4"/>
      <c r="M138" s="4"/>
      <c r="N138" s="1">
        <v>2018</v>
      </c>
      <c r="O138" s="4"/>
      <c r="P138" s="1" t="s">
        <v>308</v>
      </c>
      <c r="Q138" s="3" t="s">
        <v>9150</v>
      </c>
      <c r="R138" s="1" t="s">
        <v>9151</v>
      </c>
      <c r="S138" s="1" t="s">
        <v>9152</v>
      </c>
      <c r="T138" s="1" t="s">
        <v>9153</v>
      </c>
      <c r="U138" s="4"/>
      <c r="V138" s="4"/>
    </row>
    <row r="139" spans="1:22" x14ac:dyDescent="0.25">
      <c r="A139" s="1" t="s">
        <v>13</v>
      </c>
      <c r="B139" s="1" t="s">
        <v>9154</v>
      </c>
      <c r="C139" s="4"/>
      <c r="D139" s="1" t="s">
        <v>9155</v>
      </c>
      <c r="E139" s="1" t="s">
        <v>9156</v>
      </c>
      <c r="F139" s="1">
        <v>2022</v>
      </c>
      <c r="G139" s="1">
        <v>55</v>
      </c>
      <c r="H139" s="1">
        <v>19</v>
      </c>
      <c r="I139" s="1" t="s">
        <v>9157</v>
      </c>
      <c r="J139" s="4"/>
      <c r="K139" s="4"/>
      <c r="L139" s="4"/>
      <c r="M139" s="4"/>
      <c r="N139" s="1">
        <v>2022</v>
      </c>
      <c r="O139" s="4"/>
      <c r="P139" s="1" t="s">
        <v>9158</v>
      </c>
      <c r="Q139" s="3" t="s">
        <v>9159</v>
      </c>
      <c r="R139" s="1" t="s">
        <v>9160</v>
      </c>
      <c r="S139" s="1" t="s">
        <v>9161</v>
      </c>
      <c r="T139" s="1" t="s">
        <v>9162</v>
      </c>
      <c r="U139" s="1" t="s">
        <v>9163</v>
      </c>
      <c r="V139" s="4"/>
    </row>
    <row r="140" spans="1:22" x14ac:dyDescent="0.25">
      <c r="A140" s="1" t="s">
        <v>7972</v>
      </c>
      <c r="B140" s="1" t="s">
        <v>9164</v>
      </c>
      <c r="C140" s="1" t="s">
        <v>9165</v>
      </c>
      <c r="D140" s="1" t="s">
        <v>9166</v>
      </c>
      <c r="E140" s="4"/>
      <c r="F140" s="1">
        <v>2017</v>
      </c>
      <c r="G140" s="4"/>
      <c r="H140" s="4"/>
      <c r="I140" s="1" t="s">
        <v>9167</v>
      </c>
      <c r="J140" s="4"/>
      <c r="K140" s="1" t="s">
        <v>8739</v>
      </c>
      <c r="L140" s="1" t="s">
        <v>8740</v>
      </c>
      <c r="M140" s="1" t="s">
        <v>9168</v>
      </c>
      <c r="N140" s="1">
        <v>2017</v>
      </c>
      <c r="O140" s="1">
        <v>9780128028551</v>
      </c>
      <c r="P140" s="4"/>
      <c r="Q140" s="3" t="s">
        <v>9169</v>
      </c>
      <c r="R140" s="1" t="s">
        <v>9170</v>
      </c>
      <c r="S140" s="1" t="s">
        <v>9171</v>
      </c>
      <c r="T140" s="1" t="s">
        <v>9172</v>
      </c>
      <c r="U140" s="4"/>
      <c r="V140" s="4"/>
    </row>
    <row r="141" spans="1:22" x14ac:dyDescent="0.25">
      <c r="A141" s="1" t="s">
        <v>7972</v>
      </c>
      <c r="B141" s="4"/>
      <c r="C141" s="1" t="s">
        <v>9112</v>
      </c>
      <c r="D141" s="1" t="s">
        <v>8534</v>
      </c>
      <c r="E141" s="4"/>
      <c r="F141" s="1">
        <v>2013</v>
      </c>
      <c r="G141" s="1">
        <v>90</v>
      </c>
      <c r="H141" s="4"/>
      <c r="I141" s="1" t="s">
        <v>9173</v>
      </c>
      <c r="J141" s="4"/>
      <c r="K141" s="1" t="s">
        <v>8536</v>
      </c>
      <c r="L141" s="4"/>
      <c r="M141" s="1" t="s">
        <v>9174</v>
      </c>
      <c r="N141" s="1">
        <v>2013</v>
      </c>
      <c r="O141" s="4"/>
      <c r="P141" s="1" t="s">
        <v>8538</v>
      </c>
      <c r="Q141" s="3" t="s">
        <v>9175</v>
      </c>
      <c r="R141" s="1" t="s">
        <v>9176</v>
      </c>
      <c r="S141" s="4"/>
      <c r="T141" s="4"/>
      <c r="U141" s="4"/>
      <c r="V141" s="1" t="s">
        <v>8537</v>
      </c>
    </row>
    <row r="142" spans="1:22" x14ac:dyDescent="0.25">
      <c r="A142" s="1" t="s">
        <v>13</v>
      </c>
      <c r="B142" s="1" t="s">
        <v>9177</v>
      </c>
      <c r="C142" s="4"/>
      <c r="D142" s="1" t="s">
        <v>9178</v>
      </c>
      <c r="E142" s="1" t="s">
        <v>307</v>
      </c>
      <c r="F142" s="1">
        <v>2020</v>
      </c>
      <c r="G142" s="1">
        <v>117</v>
      </c>
      <c r="H142" s="4"/>
      <c r="I142" s="1">
        <v>106198</v>
      </c>
      <c r="J142" s="4"/>
      <c r="K142" s="4"/>
      <c r="L142" s="4"/>
      <c r="M142" s="4"/>
      <c r="N142" s="1">
        <v>2020</v>
      </c>
      <c r="O142" s="4"/>
      <c r="P142" s="1" t="s">
        <v>308</v>
      </c>
      <c r="Q142" s="3" t="s">
        <v>9179</v>
      </c>
      <c r="R142" s="1" t="s">
        <v>9180</v>
      </c>
      <c r="S142" s="1" t="s">
        <v>9181</v>
      </c>
      <c r="T142" s="1" t="s">
        <v>9182</v>
      </c>
      <c r="U142" s="4"/>
      <c r="V142" s="4"/>
    </row>
    <row r="143" spans="1:22" x14ac:dyDescent="0.25">
      <c r="A143" s="1" t="s">
        <v>7972</v>
      </c>
      <c r="B143" s="1" t="s">
        <v>5873</v>
      </c>
      <c r="C143" s="1" t="s">
        <v>9183</v>
      </c>
      <c r="D143" s="1" t="s">
        <v>9184</v>
      </c>
      <c r="E143" s="4"/>
      <c r="F143" s="1">
        <v>2015</v>
      </c>
      <c r="G143" s="4"/>
      <c r="H143" s="4"/>
      <c r="I143" s="1" t="s">
        <v>9185</v>
      </c>
      <c r="J143" s="4"/>
      <c r="K143" s="1" t="s">
        <v>8739</v>
      </c>
      <c r="L143" s="1" t="s">
        <v>8740</v>
      </c>
      <c r="M143" s="1" t="s">
        <v>9186</v>
      </c>
      <c r="N143" s="1">
        <v>2015</v>
      </c>
      <c r="O143" s="1">
        <v>9780124115194</v>
      </c>
      <c r="P143" s="4"/>
      <c r="Q143" s="3" t="s">
        <v>9187</v>
      </c>
      <c r="R143" s="1" t="s">
        <v>5876</v>
      </c>
      <c r="S143" s="1" t="s">
        <v>9188</v>
      </c>
      <c r="T143" s="1" t="s">
        <v>9189</v>
      </c>
      <c r="U143" s="4"/>
      <c r="V143" s="4"/>
    </row>
    <row r="144" spans="1:22" x14ac:dyDescent="0.25">
      <c r="A144" s="1" t="s">
        <v>13</v>
      </c>
      <c r="B144" s="1" t="s">
        <v>9190</v>
      </c>
      <c r="C144" s="4"/>
      <c r="D144" s="1" t="s">
        <v>9191</v>
      </c>
      <c r="E144" s="1" t="s">
        <v>9031</v>
      </c>
      <c r="F144" s="1">
        <v>2019</v>
      </c>
      <c r="G144" s="1">
        <v>148</v>
      </c>
      <c r="H144" s="4"/>
      <c r="I144" s="1">
        <v>119735</v>
      </c>
      <c r="J144" s="4"/>
      <c r="K144" s="4"/>
      <c r="L144" s="4"/>
      <c r="M144" s="4"/>
      <c r="N144" s="1">
        <v>2019</v>
      </c>
      <c r="O144" s="4"/>
      <c r="P144" s="1" t="s">
        <v>9032</v>
      </c>
      <c r="Q144" s="3" t="s">
        <v>9192</v>
      </c>
      <c r="R144" s="1" t="s">
        <v>9193</v>
      </c>
      <c r="S144" s="1" t="s">
        <v>9194</v>
      </c>
      <c r="T144" s="1" t="s">
        <v>9195</v>
      </c>
      <c r="U144" s="4"/>
      <c r="V144" s="4"/>
    </row>
    <row r="145" spans="1:22" x14ac:dyDescent="0.25">
      <c r="A145" s="1" t="s">
        <v>13</v>
      </c>
      <c r="B145" s="1" t="s">
        <v>9196</v>
      </c>
      <c r="C145" s="4"/>
      <c r="D145" s="1" t="s">
        <v>9197</v>
      </c>
      <c r="E145" s="1" t="s">
        <v>354</v>
      </c>
      <c r="F145" s="1">
        <v>2022</v>
      </c>
      <c r="G145" s="1">
        <v>183</v>
      </c>
      <c r="H145" s="4"/>
      <c r="I145" s="1">
        <v>111097</v>
      </c>
      <c r="J145" s="4"/>
      <c r="K145" s="4"/>
      <c r="L145" s="4"/>
      <c r="M145" s="4"/>
      <c r="N145" s="1">
        <v>2022</v>
      </c>
      <c r="O145" s="4"/>
      <c r="P145" s="1" t="s">
        <v>65</v>
      </c>
      <c r="Q145" s="3" t="s">
        <v>9198</v>
      </c>
      <c r="R145" s="1" t="s">
        <v>9199</v>
      </c>
      <c r="S145" s="1" t="s">
        <v>9200</v>
      </c>
      <c r="T145" s="1" t="s">
        <v>9201</v>
      </c>
      <c r="U145" s="4"/>
      <c r="V145" s="4"/>
    </row>
    <row r="146" spans="1:22" x14ac:dyDescent="0.25">
      <c r="A146" s="1" t="s">
        <v>13</v>
      </c>
      <c r="B146" s="1" t="s">
        <v>5679</v>
      </c>
      <c r="C146" s="4"/>
      <c r="D146" s="1" t="s">
        <v>5680</v>
      </c>
      <c r="E146" s="1" t="s">
        <v>354</v>
      </c>
      <c r="F146" s="1">
        <v>2018</v>
      </c>
      <c r="G146" s="1">
        <v>144</v>
      </c>
      <c r="H146" s="4"/>
      <c r="I146" s="9">
        <v>44947</v>
      </c>
      <c r="J146" s="4"/>
      <c r="K146" s="4"/>
      <c r="L146" s="4"/>
      <c r="M146" s="4"/>
      <c r="N146" s="1">
        <v>2018</v>
      </c>
      <c r="O146" s="4"/>
      <c r="P146" s="1" t="s">
        <v>65</v>
      </c>
      <c r="Q146" s="3" t="s">
        <v>9202</v>
      </c>
      <c r="R146" s="1" t="s">
        <v>5683</v>
      </c>
      <c r="S146" s="1" t="s">
        <v>9203</v>
      </c>
      <c r="T146" s="1" t="s">
        <v>9204</v>
      </c>
      <c r="U146" s="4"/>
      <c r="V146" s="4"/>
    </row>
    <row r="147" spans="1:22" x14ac:dyDescent="0.25">
      <c r="A147" s="1" t="s">
        <v>13</v>
      </c>
      <c r="B147" s="1" t="s">
        <v>5218</v>
      </c>
      <c r="C147" s="4"/>
      <c r="D147" s="1" t="s">
        <v>5219</v>
      </c>
      <c r="E147" s="1" t="s">
        <v>354</v>
      </c>
      <c r="F147" s="1">
        <v>2017</v>
      </c>
      <c r="G147" s="1">
        <v>133</v>
      </c>
      <c r="H147" s="4"/>
      <c r="I147" s="1" t="s">
        <v>9205</v>
      </c>
      <c r="J147" s="4"/>
      <c r="K147" s="4"/>
      <c r="L147" s="4"/>
      <c r="M147" s="4"/>
      <c r="N147" s="1">
        <v>2017</v>
      </c>
      <c r="O147" s="4"/>
      <c r="P147" s="1" t="s">
        <v>65</v>
      </c>
      <c r="Q147" s="3" t="s">
        <v>9206</v>
      </c>
      <c r="R147" s="1" t="s">
        <v>5222</v>
      </c>
      <c r="S147" s="1" t="s">
        <v>9207</v>
      </c>
      <c r="T147" s="1" t="s">
        <v>9208</v>
      </c>
      <c r="U147" s="4"/>
      <c r="V147" s="4"/>
    </row>
    <row r="148" spans="1:22" x14ac:dyDescent="0.25">
      <c r="A148" s="1" t="s">
        <v>7972</v>
      </c>
      <c r="B148" s="4"/>
      <c r="C148" s="1" t="s">
        <v>9025</v>
      </c>
      <c r="D148" s="1" t="s">
        <v>8534</v>
      </c>
      <c r="E148" s="4"/>
      <c r="F148" s="1">
        <v>2017</v>
      </c>
      <c r="G148" s="1">
        <v>105</v>
      </c>
      <c r="H148" s="4"/>
      <c r="I148" s="1" t="s">
        <v>9209</v>
      </c>
      <c r="J148" s="4"/>
      <c r="K148" s="1" t="s">
        <v>8536</v>
      </c>
      <c r="L148" s="4"/>
      <c r="M148" s="4"/>
      <c r="N148" s="1">
        <v>2017</v>
      </c>
      <c r="O148" s="4"/>
      <c r="P148" s="1" t="s">
        <v>8538</v>
      </c>
      <c r="Q148" s="3" t="s">
        <v>9210</v>
      </c>
      <c r="R148" s="1" t="s">
        <v>9211</v>
      </c>
      <c r="S148" s="4"/>
      <c r="T148" s="4"/>
      <c r="U148" s="4"/>
      <c r="V148" s="1" t="s">
        <v>8537</v>
      </c>
    </row>
    <row r="149" spans="1:22" x14ac:dyDescent="0.25">
      <c r="A149" s="1" t="s">
        <v>7972</v>
      </c>
      <c r="B149" s="4"/>
      <c r="C149" s="1" t="s">
        <v>8533</v>
      </c>
      <c r="D149" s="1" t="s">
        <v>8534</v>
      </c>
      <c r="E149" s="4"/>
      <c r="F149" s="1">
        <v>2013</v>
      </c>
      <c r="G149" s="1">
        <v>91</v>
      </c>
      <c r="H149" s="4"/>
      <c r="I149" s="1" t="s">
        <v>9212</v>
      </c>
      <c r="J149" s="4"/>
      <c r="K149" s="1" t="s">
        <v>8536</v>
      </c>
      <c r="L149" s="4"/>
      <c r="M149" s="1" t="s">
        <v>8537</v>
      </c>
      <c r="N149" s="1">
        <v>2013</v>
      </c>
      <c r="O149" s="4"/>
      <c r="P149" s="1" t="s">
        <v>8538</v>
      </c>
      <c r="Q149" s="3" t="s">
        <v>9213</v>
      </c>
      <c r="R149" s="1" t="s">
        <v>9214</v>
      </c>
      <c r="S149" s="4"/>
      <c r="T149" s="4"/>
      <c r="U149" s="4"/>
      <c r="V149" s="1" t="s">
        <v>8537</v>
      </c>
    </row>
    <row r="150" spans="1:22" x14ac:dyDescent="0.25">
      <c r="A150" s="1" t="s">
        <v>13</v>
      </c>
      <c r="B150" s="1" t="s">
        <v>1343</v>
      </c>
      <c r="C150" s="4"/>
      <c r="D150" s="1" t="s">
        <v>1344</v>
      </c>
      <c r="E150" s="1" t="s">
        <v>307</v>
      </c>
      <c r="F150" s="1">
        <v>2022</v>
      </c>
      <c r="G150" s="1">
        <v>152</v>
      </c>
      <c r="H150" s="4"/>
      <c r="I150" s="1">
        <v>107034</v>
      </c>
      <c r="J150" s="4"/>
      <c r="K150" s="4"/>
      <c r="L150" s="4"/>
      <c r="M150" s="4"/>
      <c r="N150" s="1">
        <v>2022</v>
      </c>
      <c r="O150" s="4"/>
      <c r="P150" s="1" t="s">
        <v>308</v>
      </c>
      <c r="Q150" s="3" t="s">
        <v>9215</v>
      </c>
      <c r="R150" s="1" t="s">
        <v>1346</v>
      </c>
      <c r="S150" s="1" t="s">
        <v>9216</v>
      </c>
      <c r="T150" s="1" t="s">
        <v>9217</v>
      </c>
      <c r="U150" s="4"/>
      <c r="V150" s="4"/>
    </row>
    <row r="151" spans="1:22" x14ac:dyDescent="0.25">
      <c r="A151" s="1" t="s">
        <v>13</v>
      </c>
      <c r="B151" s="1" t="s">
        <v>9218</v>
      </c>
      <c r="C151" s="4"/>
      <c r="D151" s="1" t="s">
        <v>9219</v>
      </c>
      <c r="E151" s="1" t="s">
        <v>1355</v>
      </c>
      <c r="F151" s="1">
        <v>2022</v>
      </c>
      <c r="G151" s="1">
        <v>202</v>
      </c>
      <c r="H151" s="4"/>
      <c r="I151" s="1">
        <v>117267</v>
      </c>
      <c r="J151" s="4"/>
      <c r="K151" s="4"/>
      <c r="L151" s="4"/>
      <c r="M151" s="4"/>
      <c r="N151" s="1">
        <v>2022</v>
      </c>
      <c r="O151" s="4"/>
      <c r="P151" s="1" t="s">
        <v>1356</v>
      </c>
      <c r="Q151" s="3" t="s">
        <v>9220</v>
      </c>
      <c r="R151" s="1" t="s">
        <v>9221</v>
      </c>
      <c r="S151" s="1" t="s">
        <v>9222</v>
      </c>
      <c r="T151" s="1" t="s">
        <v>9223</v>
      </c>
      <c r="U151" s="4"/>
      <c r="V151" s="4"/>
    </row>
    <row r="152" spans="1:22" x14ac:dyDescent="0.25">
      <c r="A152" s="1" t="s">
        <v>13</v>
      </c>
      <c r="B152" s="1" t="s">
        <v>9224</v>
      </c>
      <c r="C152" s="4"/>
      <c r="D152" s="1" t="s">
        <v>9225</v>
      </c>
      <c r="E152" s="1" t="s">
        <v>9226</v>
      </c>
      <c r="F152" s="1">
        <v>2023</v>
      </c>
      <c r="G152" s="1">
        <v>11</v>
      </c>
      <c r="H152" s="4"/>
      <c r="I152" s="1">
        <v>100208</v>
      </c>
      <c r="J152" s="4"/>
      <c r="K152" s="4"/>
      <c r="L152" s="4"/>
      <c r="M152" s="4"/>
      <c r="N152" s="1">
        <v>2023</v>
      </c>
      <c r="O152" s="4"/>
      <c r="P152" s="1" t="s">
        <v>9227</v>
      </c>
      <c r="Q152" s="3" t="s">
        <v>9228</v>
      </c>
      <c r="R152" s="1" t="s">
        <v>9229</v>
      </c>
      <c r="S152" s="1" t="s">
        <v>9230</v>
      </c>
      <c r="T152" s="1" t="s">
        <v>9231</v>
      </c>
      <c r="U152" s="4"/>
      <c r="V152" s="4"/>
    </row>
    <row r="153" spans="1:22" x14ac:dyDescent="0.25">
      <c r="A153" s="1" t="s">
        <v>7972</v>
      </c>
      <c r="B153" s="1" t="s">
        <v>9232</v>
      </c>
      <c r="C153" s="1" t="s">
        <v>9232</v>
      </c>
      <c r="D153" s="1" t="s">
        <v>9233</v>
      </c>
      <c r="E153" s="4"/>
      <c r="F153" s="1">
        <v>2014</v>
      </c>
      <c r="G153" s="4"/>
      <c r="H153" s="4"/>
      <c r="I153" s="1" t="s">
        <v>9234</v>
      </c>
      <c r="J153" s="4"/>
      <c r="K153" s="1" t="s">
        <v>8739</v>
      </c>
      <c r="L153" s="1" t="s">
        <v>8740</v>
      </c>
      <c r="M153" s="1" t="s">
        <v>9235</v>
      </c>
      <c r="N153" s="1">
        <v>2014</v>
      </c>
      <c r="O153" s="1">
        <v>9780128002056</v>
      </c>
      <c r="P153" s="4"/>
      <c r="Q153" s="3" t="s">
        <v>9236</v>
      </c>
      <c r="R153" s="1" t="s">
        <v>9237</v>
      </c>
      <c r="S153" s="1" t="s">
        <v>9238</v>
      </c>
      <c r="T153" s="1" t="s">
        <v>9239</v>
      </c>
      <c r="U153" s="4"/>
      <c r="V153" s="4"/>
    </row>
    <row r="154" spans="1:22" x14ac:dyDescent="0.25">
      <c r="A154" s="1" t="s">
        <v>13</v>
      </c>
      <c r="B154" s="1" t="s">
        <v>4223</v>
      </c>
      <c r="C154" s="4"/>
      <c r="D154" s="1" t="s">
        <v>4224</v>
      </c>
      <c r="E154" s="1" t="s">
        <v>354</v>
      </c>
      <c r="F154" s="1">
        <v>2019</v>
      </c>
      <c r="G154" s="1">
        <v>149</v>
      </c>
      <c r="H154" s="4"/>
      <c r="I154" s="1" t="s">
        <v>9240</v>
      </c>
      <c r="J154" s="4"/>
      <c r="K154" s="4"/>
      <c r="L154" s="4"/>
      <c r="M154" s="4"/>
      <c r="N154" s="1">
        <v>2019</v>
      </c>
      <c r="O154" s="4"/>
      <c r="P154" s="1" t="s">
        <v>65</v>
      </c>
      <c r="Q154" s="3" t="s">
        <v>9241</v>
      </c>
      <c r="R154" s="1" t="s">
        <v>4227</v>
      </c>
      <c r="S154" s="1" t="s">
        <v>9242</v>
      </c>
      <c r="T154" s="1" t="s">
        <v>9243</v>
      </c>
      <c r="U154" s="4"/>
      <c r="V154" s="4"/>
    </row>
    <row r="155" spans="1:22" x14ac:dyDescent="0.25">
      <c r="A155" s="1" t="s">
        <v>13</v>
      </c>
      <c r="B155" s="1" t="s">
        <v>2448</v>
      </c>
      <c r="C155" s="4"/>
      <c r="D155" s="1" t="s">
        <v>2449</v>
      </c>
      <c r="E155" s="1" t="s">
        <v>2450</v>
      </c>
      <c r="F155" s="1">
        <v>2022</v>
      </c>
      <c r="G155" s="1">
        <v>114</v>
      </c>
      <c r="H155" s="4"/>
      <c r="I155" s="1">
        <v>108066</v>
      </c>
      <c r="J155" s="4"/>
      <c r="K155" s="4"/>
      <c r="L155" s="4"/>
      <c r="M155" s="4"/>
      <c r="N155" s="1">
        <v>2022</v>
      </c>
      <c r="O155" s="4"/>
      <c r="P155" s="1" t="s">
        <v>2451</v>
      </c>
      <c r="Q155" s="3" t="s">
        <v>9244</v>
      </c>
      <c r="R155" s="1" t="s">
        <v>2453</v>
      </c>
      <c r="S155" s="1" t="s">
        <v>9245</v>
      </c>
      <c r="T155" s="1" t="s">
        <v>9246</v>
      </c>
      <c r="U155" s="4"/>
      <c r="V155" s="4"/>
    </row>
    <row r="156" spans="1:22" x14ac:dyDescent="0.25">
      <c r="A156" s="1" t="s">
        <v>7972</v>
      </c>
      <c r="B156" s="4"/>
      <c r="C156" s="1" t="s">
        <v>9247</v>
      </c>
      <c r="D156" s="1" t="s">
        <v>9113</v>
      </c>
      <c r="E156" s="4"/>
      <c r="F156" s="1">
        <v>2012</v>
      </c>
      <c r="G156" s="1">
        <v>87</v>
      </c>
      <c r="H156" s="4"/>
      <c r="I156" s="1" t="s">
        <v>9248</v>
      </c>
      <c r="J156" s="4"/>
      <c r="K156" s="1" t="s">
        <v>8536</v>
      </c>
      <c r="L156" s="4"/>
      <c r="M156" s="4"/>
      <c r="N156" s="1">
        <v>2012</v>
      </c>
      <c r="O156" s="4"/>
      <c r="P156" s="1" t="s">
        <v>8538</v>
      </c>
      <c r="Q156" s="3" t="s">
        <v>9249</v>
      </c>
      <c r="R156" s="1" t="s">
        <v>9250</v>
      </c>
      <c r="S156" s="4"/>
      <c r="T156" s="4"/>
      <c r="U156" s="4"/>
      <c r="V156" s="1" t="s">
        <v>8537</v>
      </c>
    </row>
    <row r="157" spans="1:22" x14ac:dyDescent="0.25">
      <c r="A157" s="1" t="s">
        <v>13</v>
      </c>
      <c r="B157" s="1" t="s">
        <v>9251</v>
      </c>
      <c r="C157" s="4"/>
      <c r="D157" s="1" t="s">
        <v>9252</v>
      </c>
      <c r="E157" s="1" t="s">
        <v>1850</v>
      </c>
      <c r="F157" s="1">
        <v>2022</v>
      </c>
      <c r="G157" s="1">
        <v>501</v>
      </c>
      <c r="H157" s="4"/>
      <c r="I157" s="1" t="s">
        <v>9253</v>
      </c>
      <c r="J157" s="4"/>
      <c r="K157" s="4"/>
      <c r="L157" s="4"/>
      <c r="M157" s="4"/>
      <c r="N157" s="1">
        <v>2022</v>
      </c>
      <c r="O157" s="4"/>
      <c r="P157" s="1" t="s">
        <v>1852</v>
      </c>
      <c r="Q157" s="3" t="s">
        <v>9254</v>
      </c>
      <c r="R157" s="1" t="s">
        <v>9255</v>
      </c>
      <c r="S157" s="1" t="s">
        <v>9256</v>
      </c>
      <c r="T157" s="1" t="s">
        <v>9257</v>
      </c>
      <c r="U157" s="4"/>
      <c r="V157" s="4"/>
    </row>
    <row r="158" spans="1:22" x14ac:dyDescent="0.25">
      <c r="A158" s="1" t="s">
        <v>13</v>
      </c>
      <c r="B158" s="1" t="s">
        <v>9258</v>
      </c>
      <c r="C158" s="4"/>
      <c r="D158" s="1" t="s">
        <v>9259</v>
      </c>
      <c r="E158" s="1" t="s">
        <v>9260</v>
      </c>
      <c r="F158" s="1">
        <v>2021</v>
      </c>
      <c r="G158" s="1">
        <v>12</v>
      </c>
      <c r="H158" s="1">
        <v>1</v>
      </c>
      <c r="I158" s="1">
        <v>13</v>
      </c>
      <c r="J158" s="4"/>
      <c r="K158" s="4"/>
      <c r="L158" s="4"/>
      <c r="M158" s="4"/>
      <c r="N158" s="1">
        <v>2021</v>
      </c>
      <c r="O158" s="4"/>
      <c r="P158" s="1" t="s">
        <v>9261</v>
      </c>
      <c r="Q158" s="3" t="s">
        <v>9262</v>
      </c>
      <c r="R158" s="1" t="s">
        <v>9263</v>
      </c>
      <c r="S158" s="1" t="s">
        <v>9264</v>
      </c>
      <c r="T158" s="1" t="s">
        <v>9265</v>
      </c>
      <c r="U158" s="4"/>
      <c r="V158" s="4"/>
    </row>
  </sheetData>
  <hyperlinks>
    <hyperlink ref="Q2" r:id="rId1" xr:uid="{00000000-0004-0000-0300-000000000000}"/>
    <hyperlink ref="Q3" r:id="rId2" xr:uid="{00000000-0004-0000-0300-000001000000}"/>
    <hyperlink ref="Q4" r:id="rId3" xr:uid="{00000000-0004-0000-0300-000002000000}"/>
    <hyperlink ref="Q5" r:id="rId4" xr:uid="{00000000-0004-0000-0300-000003000000}"/>
    <hyperlink ref="Q6" r:id="rId5" xr:uid="{00000000-0004-0000-0300-000004000000}"/>
    <hyperlink ref="Q7" r:id="rId6" xr:uid="{00000000-0004-0000-0300-000005000000}"/>
    <hyperlink ref="Q8" r:id="rId7" xr:uid="{00000000-0004-0000-0300-000006000000}"/>
    <hyperlink ref="Q9" r:id="rId8" xr:uid="{00000000-0004-0000-0300-000007000000}"/>
    <hyperlink ref="Q10" r:id="rId9" xr:uid="{00000000-0004-0000-0300-000008000000}"/>
    <hyperlink ref="Q11" r:id="rId10" xr:uid="{00000000-0004-0000-0300-000009000000}"/>
    <hyperlink ref="Q12" r:id="rId11" xr:uid="{00000000-0004-0000-0300-00000A000000}"/>
    <hyperlink ref="Q13" r:id="rId12" xr:uid="{00000000-0004-0000-0300-00000B000000}"/>
    <hyperlink ref="Q14" r:id="rId13" xr:uid="{00000000-0004-0000-0300-00000C000000}"/>
    <hyperlink ref="Q15" r:id="rId14" xr:uid="{00000000-0004-0000-0300-00000D000000}"/>
    <hyperlink ref="Q16" r:id="rId15" xr:uid="{00000000-0004-0000-0300-00000E000000}"/>
    <hyperlink ref="Q17" r:id="rId16" xr:uid="{00000000-0004-0000-0300-00000F000000}"/>
    <hyperlink ref="Q18" r:id="rId17" xr:uid="{00000000-0004-0000-0300-000010000000}"/>
    <hyperlink ref="Q19" r:id="rId18" xr:uid="{00000000-0004-0000-0300-000011000000}"/>
    <hyperlink ref="Q20" r:id="rId19" xr:uid="{00000000-0004-0000-0300-000012000000}"/>
    <hyperlink ref="Q21" r:id="rId20" xr:uid="{00000000-0004-0000-0300-000013000000}"/>
    <hyperlink ref="Q22" r:id="rId21" xr:uid="{00000000-0004-0000-0300-000014000000}"/>
    <hyperlink ref="Q23" r:id="rId22" xr:uid="{00000000-0004-0000-0300-000015000000}"/>
    <hyperlink ref="Q24" r:id="rId23" xr:uid="{00000000-0004-0000-0300-000016000000}"/>
    <hyperlink ref="Q25" r:id="rId24" xr:uid="{00000000-0004-0000-0300-000017000000}"/>
    <hyperlink ref="Q26" r:id="rId25" xr:uid="{00000000-0004-0000-0300-000018000000}"/>
    <hyperlink ref="Q27" r:id="rId26" xr:uid="{00000000-0004-0000-0300-000019000000}"/>
    <hyperlink ref="Q28" r:id="rId27" xr:uid="{00000000-0004-0000-0300-00001A000000}"/>
    <hyperlink ref="Q29" r:id="rId28" xr:uid="{00000000-0004-0000-0300-00001B000000}"/>
    <hyperlink ref="Q30" r:id="rId29" xr:uid="{00000000-0004-0000-0300-00001C000000}"/>
    <hyperlink ref="Q31" r:id="rId30" xr:uid="{00000000-0004-0000-0300-00001D000000}"/>
    <hyperlink ref="Q32" r:id="rId31" xr:uid="{00000000-0004-0000-0300-00001E000000}"/>
    <hyperlink ref="Q33" r:id="rId32" xr:uid="{00000000-0004-0000-0300-00001F000000}"/>
    <hyperlink ref="Q34" r:id="rId33" xr:uid="{00000000-0004-0000-0300-000020000000}"/>
    <hyperlink ref="Q35" r:id="rId34" xr:uid="{00000000-0004-0000-0300-000021000000}"/>
    <hyperlink ref="Q36" r:id="rId35" xr:uid="{00000000-0004-0000-0300-000022000000}"/>
    <hyperlink ref="Q37" r:id="rId36" xr:uid="{00000000-0004-0000-0300-000023000000}"/>
    <hyperlink ref="Q38" r:id="rId37" xr:uid="{00000000-0004-0000-0300-000024000000}"/>
    <hyperlink ref="Q39" r:id="rId38" xr:uid="{00000000-0004-0000-0300-000025000000}"/>
    <hyperlink ref="Q40" r:id="rId39" xr:uid="{00000000-0004-0000-0300-000026000000}"/>
    <hyperlink ref="Q41" r:id="rId40" xr:uid="{00000000-0004-0000-0300-000027000000}"/>
    <hyperlink ref="Q42" r:id="rId41" xr:uid="{00000000-0004-0000-0300-000028000000}"/>
    <hyperlink ref="Q43" r:id="rId42" xr:uid="{00000000-0004-0000-0300-000029000000}"/>
    <hyperlink ref="Q44" r:id="rId43" xr:uid="{00000000-0004-0000-0300-00002A000000}"/>
    <hyperlink ref="Q45" r:id="rId44" xr:uid="{00000000-0004-0000-0300-00002B000000}"/>
    <hyperlink ref="Q46" r:id="rId45" xr:uid="{00000000-0004-0000-0300-00002C000000}"/>
    <hyperlink ref="Q47" r:id="rId46" xr:uid="{00000000-0004-0000-0300-00002D000000}"/>
    <hyperlink ref="Q48" r:id="rId47" xr:uid="{00000000-0004-0000-0300-00002E000000}"/>
    <hyperlink ref="Q49" r:id="rId48" xr:uid="{00000000-0004-0000-0300-00002F000000}"/>
    <hyperlink ref="Q50" r:id="rId49" xr:uid="{00000000-0004-0000-0300-000030000000}"/>
    <hyperlink ref="Q51" r:id="rId50" xr:uid="{00000000-0004-0000-0300-000031000000}"/>
    <hyperlink ref="Q52" r:id="rId51" xr:uid="{00000000-0004-0000-0300-000032000000}"/>
    <hyperlink ref="Q53" r:id="rId52" xr:uid="{00000000-0004-0000-0300-000033000000}"/>
    <hyperlink ref="Q54" r:id="rId53" xr:uid="{00000000-0004-0000-0300-000034000000}"/>
    <hyperlink ref="Q55" r:id="rId54" xr:uid="{00000000-0004-0000-0300-000035000000}"/>
    <hyperlink ref="Q56" r:id="rId55" xr:uid="{00000000-0004-0000-0300-000036000000}"/>
    <hyperlink ref="Q57" r:id="rId56" xr:uid="{00000000-0004-0000-0300-000037000000}"/>
    <hyperlink ref="Q58" r:id="rId57" xr:uid="{00000000-0004-0000-0300-000038000000}"/>
    <hyperlink ref="Q59" r:id="rId58" xr:uid="{00000000-0004-0000-0300-000039000000}"/>
    <hyperlink ref="Q60" r:id="rId59" xr:uid="{00000000-0004-0000-0300-00003A000000}"/>
    <hyperlink ref="Q61" r:id="rId60" xr:uid="{00000000-0004-0000-0300-00003B000000}"/>
    <hyperlink ref="Q62" r:id="rId61" xr:uid="{00000000-0004-0000-0300-00003C000000}"/>
    <hyperlink ref="Q63" r:id="rId62" xr:uid="{00000000-0004-0000-0300-00003D000000}"/>
    <hyperlink ref="Q64" r:id="rId63" xr:uid="{00000000-0004-0000-0300-00003E000000}"/>
    <hyperlink ref="Q65" r:id="rId64" xr:uid="{00000000-0004-0000-0300-00003F000000}"/>
    <hyperlink ref="Q66" r:id="rId65" xr:uid="{00000000-0004-0000-0300-000040000000}"/>
    <hyperlink ref="Q67" r:id="rId66" xr:uid="{00000000-0004-0000-0300-000041000000}"/>
    <hyperlink ref="Q68" r:id="rId67" xr:uid="{00000000-0004-0000-0300-000042000000}"/>
    <hyperlink ref="Q69" r:id="rId68" xr:uid="{00000000-0004-0000-0300-000043000000}"/>
    <hyperlink ref="Q70" r:id="rId69" xr:uid="{00000000-0004-0000-0300-000044000000}"/>
    <hyperlink ref="Q71" r:id="rId70" xr:uid="{00000000-0004-0000-0300-000045000000}"/>
    <hyperlink ref="Q72" r:id="rId71" xr:uid="{00000000-0004-0000-0300-000046000000}"/>
    <hyperlink ref="Q73" r:id="rId72" xr:uid="{00000000-0004-0000-0300-000047000000}"/>
    <hyperlink ref="Q74" r:id="rId73" xr:uid="{00000000-0004-0000-0300-000048000000}"/>
    <hyperlink ref="Q75" r:id="rId74" xr:uid="{00000000-0004-0000-0300-000049000000}"/>
    <hyperlink ref="Q76" r:id="rId75" xr:uid="{00000000-0004-0000-0300-00004A000000}"/>
    <hyperlink ref="Q77" r:id="rId76" xr:uid="{00000000-0004-0000-0300-00004B000000}"/>
    <hyperlink ref="Q78" r:id="rId77" xr:uid="{00000000-0004-0000-0300-00004C000000}"/>
    <hyperlink ref="Q79" r:id="rId78" xr:uid="{00000000-0004-0000-0300-00004D000000}"/>
    <hyperlink ref="Q80" r:id="rId79" xr:uid="{00000000-0004-0000-0300-00004E000000}"/>
    <hyperlink ref="Q81" r:id="rId80" xr:uid="{00000000-0004-0000-0300-00004F000000}"/>
    <hyperlink ref="Q82" r:id="rId81" xr:uid="{00000000-0004-0000-0300-000050000000}"/>
    <hyperlink ref="Q83" r:id="rId82" xr:uid="{00000000-0004-0000-0300-000051000000}"/>
    <hyperlink ref="Q84" r:id="rId83" xr:uid="{00000000-0004-0000-0300-000052000000}"/>
    <hyperlink ref="Q85" r:id="rId84" xr:uid="{00000000-0004-0000-0300-000053000000}"/>
    <hyperlink ref="Q86" r:id="rId85" xr:uid="{00000000-0004-0000-0300-000054000000}"/>
    <hyperlink ref="Q87" r:id="rId86" xr:uid="{00000000-0004-0000-0300-000055000000}"/>
    <hyperlink ref="Q88" r:id="rId87" xr:uid="{00000000-0004-0000-0300-000056000000}"/>
    <hyperlink ref="Q89" r:id="rId88" xr:uid="{00000000-0004-0000-0300-000057000000}"/>
    <hyperlink ref="Q90" r:id="rId89" xr:uid="{00000000-0004-0000-0300-000058000000}"/>
    <hyperlink ref="Q91" r:id="rId90" xr:uid="{00000000-0004-0000-0300-000059000000}"/>
    <hyperlink ref="Q92" r:id="rId91" xr:uid="{00000000-0004-0000-0300-00005A000000}"/>
    <hyperlink ref="Q93" r:id="rId92" xr:uid="{00000000-0004-0000-0300-00005B000000}"/>
    <hyperlink ref="Q94" r:id="rId93" xr:uid="{00000000-0004-0000-0300-00005C000000}"/>
    <hyperlink ref="Q95" r:id="rId94" xr:uid="{00000000-0004-0000-0300-00005D000000}"/>
    <hyperlink ref="Q96" r:id="rId95" xr:uid="{00000000-0004-0000-0300-00005E000000}"/>
    <hyperlink ref="Q97" r:id="rId96" xr:uid="{00000000-0004-0000-0300-00005F000000}"/>
    <hyperlink ref="Q98" r:id="rId97" xr:uid="{00000000-0004-0000-0300-000060000000}"/>
    <hyperlink ref="Q99" r:id="rId98" xr:uid="{00000000-0004-0000-0300-000061000000}"/>
    <hyperlink ref="Q100" r:id="rId99" xr:uid="{00000000-0004-0000-0300-000062000000}"/>
    <hyperlink ref="Q101" r:id="rId100" xr:uid="{00000000-0004-0000-0300-000063000000}"/>
    <hyperlink ref="Q102" r:id="rId101" xr:uid="{00000000-0004-0000-0300-000064000000}"/>
    <hyperlink ref="Q103" r:id="rId102" xr:uid="{00000000-0004-0000-0300-000065000000}"/>
    <hyperlink ref="Q104" r:id="rId103" xr:uid="{00000000-0004-0000-0300-000066000000}"/>
    <hyperlink ref="Q105" r:id="rId104" xr:uid="{00000000-0004-0000-0300-000067000000}"/>
    <hyperlink ref="Q106" r:id="rId105" xr:uid="{00000000-0004-0000-0300-000068000000}"/>
    <hyperlink ref="Q107" r:id="rId106" xr:uid="{00000000-0004-0000-0300-000069000000}"/>
    <hyperlink ref="Q108" r:id="rId107" xr:uid="{00000000-0004-0000-0300-00006A000000}"/>
    <hyperlink ref="Q109" r:id="rId108" xr:uid="{00000000-0004-0000-0300-00006B000000}"/>
    <hyperlink ref="Q110" r:id="rId109" xr:uid="{00000000-0004-0000-0300-00006C000000}"/>
    <hyperlink ref="Q111" r:id="rId110" xr:uid="{00000000-0004-0000-0300-00006D000000}"/>
    <hyperlink ref="Q112" r:id="rId111" xr:uid="{00000000-0004-0000-0300-00006E000000}"/>
    <hyperlink ref="Q113" r:id="rId112" xr:uid="{00000000-0004-0000-0300-00006F000000}"/>
    <hyperlink ref="Q114" r:id="rId113" xr:uid="{00000000-0004-0000-0300-000070000000}"/>
    <hyperlink ref="Q115" r:id="rId114" xr:uid="{00000000-0004-0000-0300-000071000000}"/>
    <hyperlink ref="Q116" r:id="rId115" xr:uid="{00000000-0004-0000-0300-000072000000}"/>
    <hyperlink ref="Q117" r:id="rId116" xr:uid="{00000000-0004-0000-0300-000073000000}"/>
    <hyperlink ref="Q118" r:id="rId117" xr:uid="{00000000-0004-0000-0300-000074000000}"/>
    <hyperlink ref="Q119" r:id="rId118" xr:uid="{00000000-0004-0000-0300-000075000000}"/>
    <hyperlink ref="Q120" r:id="rId119" xr:uid="{00000000-0004-0000-0300-000076000000}"/>
    <hyperlink ref="Q121" r:id="rId120" xr:uid="{00000000-0004-0000-0300-000077000000}"/>
    <hyperlink ref="Q122" r:id="rId121" xr:uid="{00000000-0004-0000-0300-000078000000}"/>
    <hyperlink ref="Q123" r:id="rId122" xr:uid="{00000000-0004-0000-0300-000079000000}"/>
    <hyperlink ref="Q124" r:id="rId123" xr:uid="{00000000-0004-0000-0300-00007A000000}"/>
    <hyperlink ref="Q125" r:id="rId124" xr:uid="{00000000-0004-0000-0300-00007B000000}"/>
    <hyperlink ref="Q126" r:id="rId125" xr:uid="{00000000-0004-0000-0300-00007C000000}"/>
    <hyperlink ref="Q127" r:id="rId126" xr:uid="{00000000-0004-0000-0300-00007D000000}"/>
    <hyperlink ref="Q128" r:id="rId127" xr:uid="{00000000-0004-0000-0300-00007E000000}"/>
    <hyperlink ref="Q129" r:id="rId128" xr:uid="{00000000-0004-0000-0300-00007F000000}"/>
    <hyperlink ref="Q130" r:id="rId129" xr:uid="{00000000-0004-0000-0300-000080000000}"/>
    <hyperlink ref="Q131" r:id="rId130" xr:uid="{00000000-0004-0000-0300-000081000000}"/>
    <hyperlink ref="Q132" r:id="rId131" xr:uid="{00000000-0004-0000-0300-000082000000}"/>
    <hyperlink ref="Q133" r:id="rId132" xr:uid="{00000000-0004-0000-0300-000083000000}"/>
    <hyperlink ref="Q134" r:id="rId133" xr:uid="{00000000-0004-0000-0300-000084000000}"/>
    <hyperlink ref="Q135" r:id="rId134" xr:uid="{00000000-0004-0000-0300-000085000000}"/>
    <hyperlink ref="Q136" r:id="rId135" xr:uid="{00000000-0004-0000-0300-000086000000}"/>
    <hyperlink ref="Q137" r:id="rId136" xr:uid="{00000000-0004-0000-0300-000087000000}"/>
    <hyperlink ref="Q138" r:id="rId137" xr:uid="{00000000-0004-0000-0300-000088000000}"/>
    <hyperlink ref="Q139" r:id="rId138" xr:uid="{00000000-0004-0000-0300-000089000000}"/>
    <hyperlink ref="Q140" r:id="rId139" xr:uid="{00000000-0004-0000-0300-00008A000000}"/>
    <hyperlink ref="Q141" r:id="rId140" xr:uid="{00000000-0004-0000-0300-00008B000000}"/>
    <hyperlink ref="Q142" r:id="rId141" xr:uid="{00000000-0004-0000-0300-00008C000000}"/>
    <hyperlink ref="Q143" r:id="rId142" xr:uid="{00000000-0004-0000-0300-00008D000000}"/>
    <hyperlink ref="Q144" r:id="rId143" xr:uid="{00000000-0004-0000-0300-00008E000000}"/>
    <hyperlink ref="Q145" r:id="rId144" xr:uid="{00000000-0004-0000-0300-00008F000000}"/>
    <hyperlink ref="Q146" r:id="rId145" xr:uid="{00000000-0004-0000-0300-000090000000}"/>
    <hyperlink ref="Q147" r:id="rId146" xr:uid="{00000000-0004-0000-0300-000091000000}"/>
    <hyperlink ref="Q148" r:id="rId147" xr:uid="{00000000-0004-0000-0300-000092000000}"/>
    <hyperlink ref="Q149" r:id="rId148" xr:uid="{00000000-0004-0000-0300-000093000000}"/>
    <hyperlink ref="Q150" r:id="rId149" xr:uid="{00000000-0004-0000-0300-000094000000}"/>
    <hyperlink ref="Q151" r:id="rId150" xr:uid="{00000000-0004-0000-0300-000095000000}"/>
    <hyperlink ref="Q152" r:id="rId151" xr:uid="{00000000-0004-0000-0300-000096000000}"/>
    <hyperlink ref="Q153" r:id="rId152" xr:uid="{00000000-0004-0000-0300-000097000000}"/>
    <hyperlink ref="Q154" r:id="rId153" xr:uid="{00000000-0004-0000-0300-000098000000}"/>
    <hyperlink ref="Q155" r:id="rId154" xr:uid="{00000000-0004-0000-0300-000099000000}"/>
    <hyperlink ref="Q156" r:id="rId155" xr:uid="{00000000-0004-0000-0300-00009A000000}"/>
    <hyperlink ref="Q157" r:id="rId156" xr:uid="{00000000-0004-0000-0300-00009B000000}"/>
    <hyperlink ref="Q158" r:id="rId157" xr:uid="{00000000-0004-0000-0300-00009C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475"/>
  <sheetViews>
    <sheetView workbookViewId="0"/>
  </sheetViews>
  <sheetFormatPr defaultColWidth="12.5703125" defaultRowHeight="15.75" customHeight="1" x14ac:dyDescent="0.2"/>
  <cols>
    <col min="2" max="2" width="68.28515625" customWidth="1"/>
    <col min="7" max="7" width="39.85546875" customWidth="1"/>
  </cols>
  <sheetData>
    <row r="1" spans="1:10" x14ac:dyDescent="0.2">
      <c r="A1" s="12" t="s">
        <v>9266</v>
      </c>
      <c r="B1" s="12" t="s">
        <v>9267</v>
      </c>
      <c r="C1" s="12" t="s">
        <v>9268</v>
      </c>
      <c r="D1" s="12" t="s">
        <v>9269</v>
      </c>
      <c r="E1" s="12" t="s">
        <v>9270</v>
      </c>
      <c r="F1" s="12" t="s">
        <v>9271</v>
      </c>
      <c r="G1" s="12" t="s">
        <v>1</v>
      </c>
      <c r="H1" s="12" t="s">
        <v>9272</v>
      </c>
      <c r="I1" s="12" t="s">
        <v>9273</v>
      </c>
      <c r="J1" s="12" t="s">
        <v>9274</v>
      </c>
    </row>
    <row r="2" spans="1:10" x14ac:dyDescent="0.2">
      <c r="A2" s="12" t="s">
        <v>9275</v>
      </c>
      <c r="B2" s="12" t="s">
        <v>9276</v>
      </c>
      <c r="F2" s="12" t="s">
        <v>9277</v>
      </c>
      <c r="G2" s="12" t="s">
        <v>9278</v>
      </c>
      <c r="H2" s="12">
        <v>2022</v>
      </c>
      <c r="I2" s="13" t="s">
        <v>9279</v>
      </c>
      <c r="J2" s="12" t="s">
        <v>539</v>
      </c>
    </row>
    <row r="3" spans="1:10" x14ac:dyDescent="0.2">
      <c r="A3" s="12" t="s">
        <v>9275</v>
      </c>
      <c r="B3" s="12" t="s">
        <v>9276</v>
      </c>
      <c r="F3" s="12" t="s">
        <v>9280</v>
      </c>
      <c r="G3" s="12" t="s">
        <v>9281</v>
      </c>
      <c r="H3" s="12">
        <v>2019</v>
      </c>
      <c r="I3" s="13" t="s">
        <v>9282</v>
      </c>
      <c r="J3" s="12" t="s">
        <v>539</v>
      </c>
    </row>
    <row r="4" spans="1:10" x14ac:dyDescent="0.2">
      <c r="A4" s="12" t="s">
        <v>1870</v>
      </c>
      <c r="B4" s="12" t="s">
        <v>1927</v>
      </c>
      <c r="F4" s="12" t="s">
        <v>9283</v>
      </c>
      <c r="G4" s="12" t="s">
        <v>9284</v>
      </c>
      <c r="H4" s="12">
        <v>2021</v>
      </c>
      <c r="I4" s="13" t="s">
        <v>9285</v>
      </c>
      <c r="J4" s="12" t="s">
        <v>539</v>
      </c>
    </row>
    <row r="5" spans="1:10" x14ac:dyDescent="0.2">
      <c r="A5" s="12" t="s">
        <v>462</v>
      </c>
      <c r="B5" s="12" t="s">
        <v>9286</v>
      </c>
      <c r="F5" s="12" t="s">
        <v>9287</v>
      </c>
      <c r="G5" s="12" t="s">
        <v>9288</v>
      </c>
      <c r="H5" s="12">
        <v>2021</v>
      </c>
      <c r="I5" s="13" t="s">
        <v>9289</v>
      </c>
      <c r="J5" s="12" t="s">
        <v>539</v>
      </c>
    </row>
    <row r="6" spans="1:10" x14ac:dyDescent="0.2">
      <c r="B6" s="12" t="s">
        <v>9290</v>
      </c>
      <c r="F6" s="12" t="s">
        <v>9291</v>
      </c>
      <c r="G6" s="12" t="s">
        <v>9292</v>
      </c>
      <c r="H6" s="12">
        <v>2021</v>
      </c>
      <c r="I6" s="13" t="s">
        <v>9293</v>
      </c>
      <c r="J6" s="12" t="s">
        <v>539</v>
      </c>
    </row>
    <row r="7" spans="1:10" x14ac:dyDescent="0.2">
      <c r="A7" s="12" t="s">
        <v>9294</v>
      </c>
      <c r="B7" s="12" t="s">
        <v>9295</v>
      </c>
      <c r="F7" s="12" t="s">
        <v>9296</v>
      </c>
      <c r="G7" s="12" t="s">
        <v>9297</v>
      </c>
      <c r="H7" s="12">
        <v>2022</v>
      </c>
      <c r="I7" s="13" t="s">
        <v>9298</v>
      </c>
      <c r="J7" s="12" t="s">
        <v>539</v>
      </c>
    </row>
    <row r="8" spans="1:10" x14ac:dyDescent="0.2">
      <c r="A8" s="12" t="s">
        <v>9275</v>
      </c>
      <c r="B8" s="12" t="s">
        <v>9276</v>
      </c>
      <c r="F8" s="12" t="s">
        <v>9299</v>
      </c>
      <c r="G8" s="12" t="s">
        <v>9300</v>
      </c>
      <c r="H8" s="12">
        <v>2020</v>
      </c>
      <c r="I8" s="13" t="s">
        <v>9301</v>
      </c>
      <c r="J8" s="12" t="s">
        <v>539</v>
      </c>
    </row>
    <row r="9" spans="1:10" x14ac:dyDescent="0.2">
      <c r="A9" s="12" t="s">
        <v>9275</v>
      </c>
      <c r="B9" s="12" t="s">
        <v>9302</v>
      </c>
      <c r="F9" s="12" t="s">
        <v>9303</v>
      </c>
      <c r="G9" s="12" t="s">
        <v>9304</v>
      </c>
      <c r="H9" s="12">
        <v>2021</v>
      </c>
      <c r="I9" s="13" t="s">
        <v>9305</v>
      </c>
      <c r="J9" s="12" t="s">
        <v>539</v>
      </c>
    </row>
    <row r="10" spans="1:10" x14ac:dyDescent="0.2">
      <c r="A10" s="12" t="s">
        <v>676</v>
      </c>
      <c r="B10" s="12" t="s">
        <v>9306</v>
      </c>
      <c r="F10" s="12" t="s">
        <v>9307</v>
      </c>
      <c r="G10" s="12" t="s">
        <v>9308</v>
      </c>
      <c r="H10" s="12">
        <v>2023</v>
      </c>
      <c r="I10" s="13" t="s">
        <v>9309</v>
      </c>
      <c r="J10" s="12" t="s">
        <v>539</v>
      </c>
    </row>
    <row r="11" spans="1:10" x14ac:dyDescent="0.2">
      <c r="A11" s="12" t="s">
        <v>9310</v>
      </c>
      <c r="B11" s="12" t="s">
        <v>9311</v>
      </c>
      <c r="F11" s="12" t="s">
        <v>9312</v>
      </c>
      <c r="G11" s="12" t="s">
        <v>9313</v>
      </c>
      <c r="H11" s="12">
        <v>2021</v>
      </c>
      <c r="I11" s="13" t="s">
        <v>9314</v>
      </c>
      <c r="J11" s="12" t="s">
        <v>539</v>
      </c>
    </row>
    <row r="12" spans="1:10" x14ac:dyDescent="0.2">
      <c r="A12" s="12" t="s">
        <v>1870</v>
      </c>
      <c r="B12" s="12" t="s">
        <v>9315</v>
      </c>
      <c r="F12" s="12" t="s">
        <v>9316</v>
      </c>
      <c r="G12" s="12" t="s">
        <v>9317</v>
      </c>
      <c r="H12" s="12">
        <v>2022</v>
      </c>
      <c r="I12" s="13" t="s">
        <v>9318</v>
      </c>
      <c r="J12" s="12" t="s">
        <v>539</v>
      </c>
    </row>
    <row r="13" spans="1:10" x14ac:dyDescent="0.2">
      <c r="A13" s="12" t="s">
        <v>9275</v>
      </c>
      <c r="B13" s="12" t="s">
        <v>9276</v>
      </c>
      <c r="F13" s="12" t="s">
        <v>9319</v>
      </c>
      <c r="G13" s="12" t="s">
        <v>9320</v>
      </c>
      <c r="H13" s="12">
        <v>2016</v>
      </c>
      <c r="I13" s="13" t="s">
        <v>9321</v>
      </c>
      <c r="J13" s="12" t="s">
        <v>539</v>
      </c>
    </row>
    <row r="14" spans="1:10" x14ac:dyDescent="0.2">
      <c r="A14" s="12" t="s">
        <v>676</v>
      </c>
      <c r="B14" s="12" t="s">
        <v>9322</v>
      </c>
      <c r="F14" s="12" t="s">
        <v>9323</v>
      </c>
      <c r="G14" s="12" t="s">
        <v>9324</v>
      </c>
      <c r="H14" s="12">
        <v>2021</v>
      </c>
      <c r="I14" s="13" t="s">
        <v>9325</v>
      </c>
      <c r="J14" s="12" t="s">
        <v>539</v>
      </c>
    </row>
    <row r="15" spans="1:10" x14ac:dyDescent="0.2">
      <c r="A15" s="12" t="s">
        <v>9326</v>
      </c>
      <c r="B15" s="12" t="s">
        <v>9327</v>
      </c>
      <c r="F15" s="12" t="s">
        <v>9328</v>
      </c>
      <c r="G15" s="12" t="s">
        <v>9329</v>
      </c>
      <c r="H15" s="12">
        <v>2021</v>
      </c>
      <c r="I15" s="13" t="s">
        <v>9330</v>
      </c>
      <c r="J15" s="12" t="s">
        <v>539</v>
      </c>
    </row>
    <row r="16" spans="1:10" x14ac:dyDescent="0.2">
      <c r="A16" s="12" t="s">
        <v>462</v>
      </c>
      <c r="B16" s="12" t="s">
        <v>9331</v>
      </c>
      <c r="F16" s="12" t="s">
        <v>9332</v>
      </c>
      <c r="G16" s="12" t="s">
        <v>9333</v>
      </c>
      <c r="H16" s="12">
        <v>2022</v>
      </c>
      <c r="I16" s="13" t="s">
        <v>9334</v>
      </c>
      <c r="J16" s="12" t="s">
        <v>539</v>
      </c>
    </row>
    <row r="17" spans="1:10" x14ac:dyDescent="0.2">
      <c r="A17" s="12" t="s">
        <v>9275</v>
      </c>
      <c r="B17" s="12" t="s">
        <v>9335</v>
      </c>
      <c r="F17" s="12" t="s">
        <v>9336</v>
      </c>
      <c r="G17" s="12" t="s">
        <v>9337</v>
      </c>
      <c r="H17" s="12">
        <v>2019</v>
      </c>
      <c r="I17" s="13" t="s">
        <v>9338</v>
      </c>
      <c r="J17" s="12" t="s">
        <v>539</v>
      </c>
    </row>
    <row r="18" spans="1:10" x14ac:dyDescent="0.2">
      <c r="B18" s="12" t="s">
        <v>9339</v>
      </c>
      <c r="F18" s="12" t="s">
        <v>9340</v>
      </c>
      <c r="G18" s="12" t="s">
        <v>9341</v>
      </c>
      <c r="H18" s="12">
        <v>2023</v>
      </c>
      <c r="I18" s="13" t="s">
        <v>9342</v>
      </c>
      <c r="J18" s="12" t="s">
        <v>539</v>
      </c>
    </row>
    <row r="19" spans="1:10" x14ac:dyDescent="0.2">
      <c r="A19" s="12" t="s">
        <v>9275</v>
      </c>
      <c r="B19" s="12" t="s">
        <v>9343</v>
      </c>
      <c r="F19" s="12" t="s">
        <v>9344</v>
      </c>
      <c r="G19" s="12" t="s">
        <v>9345</v>
      </c>
      <c r="H19" s="12">
        <v>2022</v>
      </c>
      <c r="I19" s="13" t="s">
        <v>9346</v>
      </c>
      <c r="J19" s="12" t="s">
        <v>539</v>
      </c>
    </row>
    <row r="20" spans="1:10" x14ac:dyDescent="0.2">
      <c r="A20" s="12" t="s">
        <v>676</v>
      </c>
      <c r="B20" s="12" t="s">
        <v>9347</v>
      </c>
      <c r="F20" s="12" t="s">
        <v>9348</v>
      </c>
      <c r="G20" s="12" t="s">
        <v>9349</v>
      </c>
      <c r="H20" s="12">
        <v>2022</v>
      </c>
      <c r="I20" s="13" t="s">
        <v>9350</v>
      </c>
      <c r="J20" s="12" t="s">
        <v>539</v>
      </c>
    </row>
    <row r="21" spans="1:10" x14ac:dyDescent="0.2">
      <c r="A21" s="12" t="s">
        <v>9275</v>
      </c>
      <c r="B21" s="12" t="s">
        <v>9351</v>
      </c>
      <c r="F21" s="12" t="s">
        <v>9352</v>
      </c>
      <c r="G21" s="12" t="s">
        <v>9353</v>
      </c>
      <c r="H21" s="12">
        <v>2022</v>
      </c>
      <c r="I21" s="13" t="s">
        <v>9354</v>
      </c>
      <c r="J21" s="12" t="s">
        <v>539</v>
      </c>
    </row>
    <row r="22" spans="1:10" x14ac:dyDescent="0.2">
      <c r="A22" s="12" t="s">
        <v>9275</v>
      </c>
      <c r="B22" s="12" t="s">
        <v>9335</v>
      </c>
      <c r="F22" s="12" t="s">
        <v>9355</v>
      </c>
      <c r="G22" s="12" t="s">
        <v>9356</v>
      </c>
      <c r="H22" s="12">
        <v>2020</v>
      </c>
      <c r="I22" s="13" t="s">
        <v>9357</v>
      </c>
      <c r="J22" s="12" t="s">
        <v>539</v>
      </c>
    </row>
    <row r="23" spans="1:10" x14ac:dyDescent="0.2">
      <c r="A23" s="12" t="s">
        <v>3475</v>
      </c>
      <c r="B23" s="12" t="s">
        <v>9358</v>
      </c>
      <c r="F23" s="12" t="s">
        <v>9359</v>
      </c>
      <c r="G23" s="12" t="s">
        <v>9360</v>
      </c>
      <c r="H23" s="12">
        <v>2022</v>
      </c>
      <c r="I23" s="13" t="s">
        <v>9361</v>
      </c>
      <c r="J23" s="12" t="s">
        <v>539</v>
      </c>
    </row>
    <row r="24" spans="1:10" x14ac:dyDescent="0.2">
      <c r="A24" s="12" t="s">
        <v>9362</v>
      </c>
      <c r="B24" s="12" t="s">
        <v>9363</v>
      </c>
      <c r="F24" s="12" t="s">
        <v>9364</v>
      </c>
      <c r="G24" s="12" t="s">
        <v>9365</v>
      </c>
      <c r="H24" s="12">
        <v>2022</v>
      </c>
      <c r="I24" s="13" t="s">
        <v>9366</v>
      </c>
      <c r="J24" s="12" t="s">
        <v>539</v>
      </c>
    </row>
    <row r="25" spans="1:10" x14ac:dyDescent="0.2">
      <c r="A25" s="12" t="s">
        <v>676</v>
      </c>
      <c r="B25" s="12" t="s">
        <v>9367</v>
      </c>
      <c r="F25" s="12" t="s">
        <v>9368</v>
      </c>
      <c r="G25" s="12" t="s">
        <v>9369</v>
      </c>
      <c r="H25" s="12">
        <v>2021</v>
      </c>
      <c r="I25" s="13" t="s">
        <v>9370</v>
      </c>
      <c r="J25" s="12" t="s">
        <v>539</v>
      </c>
    </row>
    <row r="26" spans="1:10" x14ac:dyDescent="0.2">
      <c r="B26" s="12" t="s">
        <v>9371</v>
      </c>
      <c r="F26" s="12" t="s">
        <v>9372</v>
      </c>
      <c r="G26" s="12" t="s">
        <v>9373</v>
      </c>
      <c r="H26" s="12">
        <v>2023</v>
      </c>
      <c r="I26" s="13" t="s">
        <v>9374</v>
      </c>
      <c r="J26" s="12" t="s">
        <v>539</v>
      </c>
    </row>
    <row r="27" spans="1:10" x14ac:dyDescent="0.2">
      <c r="A27" s="12" t="s">
        <v>676</v>
      </c>
      <c r="B27" s="12" t="s">
        <v>9375</v>
      </c>
      <c r="F27" s="12" t="s">
        <v>9376</v>
      </c>
      <c r="G27" s="12" t="s">
        <v>9377</v>
      </c>
      <c r="H27" s="12">
        <v>2022</v>
      </c>
      <c r="I27" s="13" t="s">
        <v>9378</v>
      </c>
      <c r="J27" s="12" t="s">
        <v>539</v>
      </c>
    </row>
    <row r="28" spans="1:10" x14ac:dyDescent="0.2">
      <c r="B28" s="12" t="s">
        <v>9379</v>
      </c>
      <c r="F28" s="12" t="s">
        <v>9380</v>
      </c>
      <c r="G28" s="12" t="s">
        <v>9381</v>
      </c>
      <c r="H28" s="12">
        <v>2022</v>
      </c>
      <c r="I28" s="13" t="s">
        <v>9382</v>
      </c>
      <c r="J28" s="12" t="s">
        <v>9383</v>
      </c>
    </row>
    <row r="29" spans="1:10" x14ac:dyDescent="0.2">
      <c r="B29" s="12" t="s">
        <v>9384</v>
      </c>
      <c r="F29" s="12" t="s">
        <v>9385</v>
      </c>
      <c r="G29" s="12" t="s">
        <v>9386</v>
      </c>
      <c r="H29" s="12">
        <v>2022</v>
      </c>
      <c r="I29" s="13" t="s">
        <v>9387</v>
      </c>
      <c r="J29" s="12" t="s">
        <v>539</v>
      </c>
    </row>
    <row r="30" spans="1:10" x14ac:dyDescent="0.2">
      <c r="B30" s="12" t="s">
        <v>9388</v>
      </c>
      <c r="F30" s="12" t="s">
        <v>9389</v>
      </c>
      <c r="G30" s="12" t="s">
        <v>9390</v>
      </c>
      <c r="H30" s="12">
        <v>2021</v>
      </c>
      <c r="I30" s="13" t="s">
        <v>9391</v>
      </c>
      <c r="J30" s="12" t="s">
        <v>539</v>
      </c>
    </row>
    <row r="31" spans="1:10" x14ac:dyDescent="0.2">
      <c r="A31" s="12" t="s">
        <v>9275</v>
      </c>
      <c r="B31" s="12" t="s">
        <v>9276</v>
      </c>
      <c r="F31" s="12" t="s">
        <v>9392</v>
      </c>
      <c r="G31" s="12" t="s">
        <v>9393</v>
      </c>
      <c r="H31" s="12">
        <v>2021</v>
      </c>
      <c r="I31" s="13" t="s">
        <v>9394</v>
      </c>
      <c r="J31" s="12" t="s">
        <v>539</v>
      </c>
    </row>
    <row r="32" spans="1:10" x14ac:dyDescent="0.2">
      <c r="B32" s="12" t="s">
        <v>9395</v>
      </c>
      <c r="F32" s="12" t="s">
        <v>9396</v>
      </c>
      <c r="G32" s="12" t="s">
        <v>9397</v>
      </c>
      <c r="H32" s="12">
        <v>2022</v>
      </c>
      <c r="I32" s="13" t="s">
        <v>9398</v>
      </c>
      <c r="J32" s="12" t="s">
        <v>539</v>
      </c>
    </row>
    <row r="33" spans="1:10" x14ac:dyDescent="0.2">
      <c r="A33" s="12" t="s">
        <v>676</v>
      </c>
      <c r="B33" s="12" t="s">
        <v>9399</v>
      </c>
      <c r="F33" s="12" t="s">
        <v>9400</v>
      </c>
      <c r="G33" s="12" t="s">
        <v>9401</v>
      </c>
      <c r="H33" s="12">
        <v>2022</v>
      </c>
      <c r="I33" s="13" t="s">
        <v>9402</v>
      </c>
      <c r="J33" s="12" t="s">
        <v>539</v>
      </c>
    </row>
    <row r="34" spans="1:10" x14ac:dyDescent="0.2">
      <c r="B34" s="12" t="s">
        <v>9403</v>
      </c>
      <c r="F34" s="12" t="s">
        <v>9404</v>
      </c>
      <c r="G34" s="12" t="s">
        <v>9405</v>
      </c>
      <c r="H34" s="12">
        <v>2022</v>
      </c>
      <c r="I34" s="13" t="s">
        <v>9406</v>
      </c>
      <c r="J34" s="12" t="s">
        <v>539</v>
      </c>
    </row>
    <row r="35" spans="1:10" x14ac:dyDescent="0.2">
      <c r="A35" s="12" t="s">
        <v>3916</v>
      </c>
      <c r="B35" s="12" t="s">
        <v>9407</v>
      </c>
      <c r="F35" s="12" t="s">
        <v>9408</v>
      </c>
      <c r="G35" s="12" t="s">
        <v>9409</v>
      </c>
      <c r="H35" s="12">
        <v>2022</v>
      </c>
      <c r="I35" s="13" t="s">
        <v>9410</v>
      </c>
      <c r="J35" s="12" t="s">
        <v>539</v>
      </c>
    </row>
    <row r="36" spans="1:10" x14ac:dyDescent="0.2">
      <c r="A36" s="12" t="s">
        <v>9275</v>
      </c>
      <c r="B36" s="12" t="s">
        <v>9343</v>
      </c>
      <c r="F36" s="12" t="s">
        <v>9411</v>
      </c>
      <c r="G36" s="12" t="s">
        <v>9412</v>
      </c>
      <c r="H36" s="12">
        <v>2022</v>
      </c>
      <c r="I36" s="13" t="s">
        <v>9413</v>
      </c>
      <c r="J36" s="12" t="s">
        <v>539</v>
      </c>
    </row>
    <row r="37" spans="1:10" x14ac:dyDescent="0.2">
      <c r="A37" s="12" t="s">
        <v>9275</v>
      </c>
      <c r="B37" s="12" t="s">
        <v>9335</v>
      </c>
      <c r="F37" s="12" t="s">
        <v>9414</v>
      </c>
      <c r="G37" s="12" t="s">
        <v>9415</v>
      </c>
      <c r="H37" s="12">
        <v>2021</v>
      </c>
      <c r="I37" s="13" t="s">
        <v>9416</v>
      </c>
      <c r="J37" s="12" t="s">
        <v>539</v>
      </c>
    </row>
    <row r="38" spans="1:10" x14ac:dyDescent="0.2">
      <c r="A38" s="12" t="s">
        <v>676</v>
      </c>
      <c r="B38" s="12" t="s">
        <v>9375</v>
      </c>
      <c r="F38" s="12" t="s">
        <v>9417</v>
      </c>
      <c r="G38" s="12" t="s">
        <v>9418</v>
      </c>
      <c r="H38" s="12">
        <v>2022</v>
      </c>
      <c r="I38" s="13" t="s">
        <v>9419</v>
      </c>
      <c r="J38" s="12" t="s">
        <v>539</v>
      </c>
    </row>
    <row r="39" spans="1:10" x14ac:dyDescent="0.2">
      <c r="A39" s="12" t="s">
        <v>462</v>
      </c>
      <c r="B39" s="12" t="s">
        <v>9286</v>
      </c>
      <c r="F39" s="12" t="s">
        <v>9420</v>
      </c>
      <c r="G39" s="12" t="s">
        <v>9421</v>
      </c>
      <c r="H39" s="12">
        <v>2022</v>
      </c>
      <c r="I39" s="13" t="s">
        <v>9422</v>
      </c>
      <c r="J39" s="12" t="s">
        <v>539</v>
      </c>
    </row>
    <row r="40" spans="1:10" x14ac:dyDescent="0.2">
      <c r="A40" s="12" t="s">
        <v>676</v>
      </c>
      <c r="B40" s="12" t="s">
        <v>9399</v>
      </c>
      <c r="F40" s="12" t="s">
        <v>9423</v>
      </c>
      <c r="G40" s="12" t="s">
        <v>9401</v>
      </c>
      <c r="H40" s="12">
        <v>2022</v>
      </c>
      <c r="I40" s="13" t="s">
        <v>9424</v>
      </c>
      <c r="J40" s="12" t="s">
        <v>539</v>
      </c>
    </row>
    <row r="41" spans="1:10" x14ac:dyDescent="0.2">
      <c r="A41" s="12" t="s">
        <v>1870</v>
      </c>
      <c r="B41" s="12" t="s">
        <v>9425</v>
      </c>
      <c r="F41" s="12" t="s">
        <v>9426</v>
      </c>
      <c r="G41" s="12" t="s">
        <v>9427</v>
      </c>
      <c r="H41" s="12">
        <v>2022</v>
      </c>
      <c r="I41" s="13" t="s">
        <v>9428</v>
      </c>
      <c r="J41" s="12" t="s">
        <v>539</v>
      </c>
    </row>
    <row r="42" spans="1:10" x14ac:dyDescent="0.2">
      <c r="A42" s="12" t="s">
        <v>9275</v>
      </c>
      <c r="B42" s="12" t="s">
        <v>9429</v>
      </c>
      <c r="F42" s="12" t="s">
        <v>9430</v>
      </c>
      <c r="G42" s="12" t="s">
        <v>9431</v>
      </c>
      <c r="H42" s="12">
        <v>2021</v>
      </c>
      <c r="I42" s="13" t="s">
        <v>9432</v>
      </c>
      <c r="J42" s="12" t="s">
        <v>539</v>
      </c>
    </row>
    <row r="43" spans="1:10" x14ac:dyDescent="0.2">
      <c r="A43" s="12" t="s">
        <v>676</v>
      </c>
      <c r="B43" s="12" t="s">
        <v>9433</v>
      </c>
      <c r="F43" s="12" t="s">
        <v>9434</v>
      </c>
      <c r="G43" s="12" t="s">
        <v>9435</v>
      </c>
      <c r="H43" s="12">
        <v>2022</v>
      </c>
      <c r="I43" s="13" t="s">
        <v>9436</v>
      </c>
      <c r="J43" s="12" t="s">
        <v>539</v>
      </c>
    </row>
    <row r="44" spans="1:10" x14ac:dyDescent="0.2">
      <c r="A44" s="12" t="s">
        <v>9275</v>
      </c>
      <c r="B44" s="12" t="s">
        <v>1637</v>
      </c>
      <c r="F44" s="12" t="s">
        <v>9437</v>
      </c>
      <c r="G44" s="12" t="s">
        <v>9438</v>
      </c>
      <c r="H44" s="12">
        <v>2020</v>
      </c>
      <c r="I44" s="13" t="s">
        <v>9439</v>
      </c>
      <c r="J44" s="12" t="s">
        <v>539</v>
      </c>
    </row>
    <row r="45" spans="1:10" x14ac:dyDescent="0.2">
      <c r="A45" s="12" t="s">
        <v>676</v>
      </c>
      <c r="B45" s="12" t="s">
        <v>9433</v>
      </c>
      <c r="F45" s="12" t="s">
        <v>9440</v>
      </c>
      <c r="G45" s="12" t="s">
        <v>9435</v>
      </c>
      <c r="H45" s="12">
        <v>2022</v>
      </c>
      <c r="I45" s="13" t="s">
        <v>9441</v>
      </c>
      <c r="J45" s="12" t="s">
        <v>539</v>
      </c>
    </row>
    <row r="46" spans="1:10" x14ac:dyDescent="0.2">
      <c r="A46" s="12" t="s">
        <v>9275</v>
      </c>
      <c r="B46" s="12" t="s">
        <v>9442</v>
      </c>
      <c r="F46" s="12" t="s">
        <v>9443</v>
      </c>
      <c r="G46" s="12" t="s">
        <v>9444</v>
      </c>
      <c r="H46" s="12">
        <v>2022</v>
      </c>
      <c r="I46" s="13" t="s">
        <v>9445</v>
      </c>
      <c r="J46" s="12" t="s">
        <v>539</v>
      </c>
    </row>
    <row r="47" spans="1:10" x14ac:dyDescent="0.2">
      <c r="A47" s="12" t="s">
        <v>462</v>
      </c>
      <c r="B47" s="12" t="s">
        <v>9331</v>
      </c>
      <c r="F47" s="12" t="s">
        <v>9446</v>
      </c>
      <c r="G47" s="12" t="s">
        <v>9447</v>
      </c>
      <c r="H47" s="12">
        <v>2021</v>
      </c>
      <c r="I47" s="13" t="s">
        <v>9448</v>
      </c>
      <c r="J47" s="12" t="s">
        <v>539</v>
      </c>
    </row>
    <row r="48" spans="1:10" x14ac:dyDescent="0.2">
      <c r="A48" s="12" t="s">
        <v>3475</v>
      </c>
      <c r="B48" s="12" t="s">
        <v>9449</v>
      </c>
      <c r="F48" s="12" t="s">
        <v>9450</v>
      </c>
      <c r="G48" s="12" t="s">
        <v>9451</v>
      </c>
      <c r="H48" s="12">
        <v>2021</v>
      </c>
      <c r="I48" s="13" t="s">
        <v>9452</v>
      </c>
      <c r="J48" s="12" t="s">
        <v>539</v>
      </c>
    </row>
    <row r="49" spans="1:10" x14ac:dyDescent="0.2">
      <c r="B49" s="12" t="s">
        <v>9453</v>
      </c>
      <c r="F49" s="12" t="s">
        <v>9454</v>
      </c>
      <c r="G49" s="12" t="s">
        <v>9455</v>
      </c>
      <c r="H49" s="12">
        <v>2022</v>
      </c>
      <c r="I49" s="13" t="s">
        <v>9456</v>
      </c>
      <c r="J49" s="12" t="s">
        <v>539</v>
      </c>
    </row>
    <row r="50" spans="1:10" x14ac:dyDescent="0.2">
      <c r="A50" s="12" t="s">
        <v>9275</v>
      </c>
      <c r="B50" s="12" t="s">
        <v>9442</v>
      </c>
      <c r="F50" s="12" t="s">
        <v>9457</v>
      </c>
      <c r="G50" s="12" t="s">
        <v>9458</v>
      </c>
      <c r="H50" s="12">
        <v>2021</v>
      </c>
      <c r="I50" s="13" t="s">
        <v>9459</v>
      </c>
      <c r="J50" s="12" t="s">
        <v>539</v>
      </c>
    </row>
    <row r="51" spans="1:10" x14ac:dyDescent="0.2">
      <c r="A51" s="12" t="s">
        <v>9275</v>
      </c>
      <c r="B51" s="12" t="s">
        <v>9460</v>
      </c>
      <c r="F51" s="12" t="s">
        <v>9461</v>
      </c>
      <c r="G51" s="12" t="s">
        <v>9462</v>
      </c>
      <c r="H51" s="12">
        <v>2021</v>
      </c>
      <c r="I51" s="13" t="s">
        <v>9463</v>
      </c>
      <c r="J51" s="12" t="s">
        <v>539</v>
      </c>
    </row>
    <row r="52" spans="1:10" x14ac:dyDescent="0.2">
      <c r="A52" s="12" t="s">
        <v>9275</v>
      </c>
      <c r="B52" s="12" t="s">
        <v>9464</v>
      </c>
      <c r="F52" s="12" t="s">
        <v>9465</v>
      </c>
      <c r="G52" s="12" t="s">
        <v>9466</v>
      </c>
      <c r="H52" s="12">
        <v>2021</v>
      </c>
      <c r="I52" s="13" t="s">
        <v>9467</v>
      </c>
      <c r="J52" s="12" t="s">
        <v>539</v>
      </c>
    </row>
    <row r="53" spans="1:10" x14ac:dyDescent="0.2">
      <c r="A53" s="12" t="s">
        <v>1547</v>
      </c>
      <c r="B53" s="12" t="s">
        <v>9468</v>
      </c>
      <c r="F53" s="12" t="s">
        <v>9469</v>
      </c>
      <c r="G53" s="12" t="s">
        <v>9470</v>
      </c>
      <c r="H53" s="12">
        <v>2022</v>
      </c>
      <c r="I53" s="13" t="s">
        <v>9471</v>
      </c>
      <c r="J53" s="12" t="s">
        <v>539</v>
      </c>
    </row>
    <row r="54" spans="1:10" x14ac:dyDescent="0.2">
      <c r="A54" s="12" t="s">
        <v>9275</v>
      </c>
      <c r="B54" s="12" t="s">
        <v>9472</v>
      </c>
      <c r="F54" s="12" t="s">
        <v>9473</v>
      </c>
      <c r="G54" s="12" t="s">
        <v>9474</v>
      </c>
      <c r="H54" s="12">
        <v>2022</v>
      </c>
      <c r="I54" s="13" t="s">
        <v>9475</v>
      </c>
      <c r="J54" s="12" t="s">
        <v>539</v>
      </c>
    </row>
    <row r="55" spans="1:10" x14ac:dyDescent="0.2">
      <c r="A55" s="12" t="s">
        <v>582</v>
      </c>
      <c r="B55" s="12" t="s">
        <v>56</v>
      </c>
      <c r="D55" s="12">
        <v>29</v>
      </c>
      <c r="E55" s="12">
        <v>2</v>
      </c>
      <c r="F55" s="12" t="s">
        <v>60</v>
      </c>
      <c r="G55" s="12" t="s">
        <v>9476</v>
      </c>
      <c r="H55" s="12">
        <v>2022</v>
      </c>
      <c r="I55" s="13" t="s">
        <v>9477</v>
      </c>
      <c r="J55" s="12" t="s">
        <v>9478</v>
      </c>
    </row>
    <row r="56" spans="1:10" x14ac:dyDescent="0.2">
      <c r="A56" s="12" t="s">
        <v>523</v>
      </c>
      <c r="B56" s="12" t="s">
        <v>2765</v>
      </c>
      <c r="D56" s="12">
        <v>28</v>
      </c>
      <c r="E56" s="12">
        <v>4</v>
      </c>
      <c r="F56" s="12" t="s">
        <v>2768</v>
      </c>
      <c r="G56" s="12" t="s">
        <v>9479</v>
      </c>
      <c r="H56" s="12">
        <v>2020</v>
      </c>
      <c r="I56" s="13" t="s">
        <v>9480</v>
      </c>
      <c r="J56" s="12" t="s">
        <v>9478</v>
      </c>
    </row>
    <row r="57" spans="1:10" x14ac:dyDescent="0.2">
      <c r="A57" s="12" t="s">
        <v>9275</v>
      </c>
      <c r="B57" s="12" t="s">
        <v>9481</v>
      </c>
      <c r="F57" s="12" t="s">
        <v>9482</v>
      </c>
      <c r="G57" s="12" t="s">
        <v>9483</v>
      </c>
      <c r="H57" s="12">
        <v>2021</v>
      </c>
      <c r="I57" s="13" t="s">
        <v>9484</v>
      </c>
      <c r="J57" s="12" t="s">
        <v>539</v>
      </c>
    </row>
    <row r="58" spans="1:10" x14ac:dyDescent="0.2">
      <c r="A58" s="12" t="s">
        <v>629</v>
      </c>
      <c r="B58" s="12" t="s">
        <v>51</v>
      </c>
      <c r="D58" s="12">
        <v>15</v>
      </c>
      <c r="E58" s="12">
        <v>4</v>
      </c>
      <c r="F58" s="12" t="s">
        <v>53</v>
      </c>
      <c r="G58" s="12" t="s">
        <v>9485</v>
      </c>
      <c r="H58" s="12">
        <v>2021</v>
      </c>
      <c r="I58" s="13" t="s">
        <v>9486</v>
      </c>
      <c r="J58" s="12" t="s">
        <v>9478</v>
      </c>
    </row>
    <row r="59" spans="1:10" x14ac:dyDescent="0.2">
      <c r="A59" s="12" t="s">
        <v>912</v>
      </c>
      <c r="B59" s="12" t="s">
        <v>9487</v>
      </c>
      <c r="F59" s="12" t="s">
        <v>9488</v>
      </c>
      <c r="G59" s="12" t="s">
        <v>9489</v>
      </c>
      <c r="H59" s="12">
        <v>2023</v>
      </c>
      <c r="I59" s="13" t="s">
        <v>9490</v>
      </c>
      <c r="J59" s="12" t="s">
        <v>539</v>
      </c>
    </row>
    <row r="60" spans="1:10" x14ac:dyDescent="0.2">
      <c r="A60" s="12" t="s">
        <v>462</v>
      </c>
      <c r="B60" s="12" t="s">
        <v>9491</v>
      </c>
      <c r="F60" s="12" t="s">
        <v>9492</v>
      </c>
      <c r="G60" s="12" t="s">
        <v>9493</v>
      </c>
      <c r="H60" s="12">
        <v>2020</v>
      </c>
      <c r="I60" s="13" t="s">
        <v>9494</v>
      </c>
      <c r="J60" s="12" t="s">
        <v>539</v>
      </c>
    </row>
    <row r="61" spans="1:10" x14ac:dyDescent="0.2">
      <c r="B61" s="12" t="s">
        <v>9495</v>
      </c>
      <c r="F61" s="12" t="s">
        <v>9496</v>
      </c>
      <c r="G61" s="12" t="s">
        <v>9497</v>
      </c>
      <c r="H61" s="12">
        <v>2020</v>
      </c>
      <c r="I61" s="13" t="s">
        <v>9498</v>
      </c>
      <c r="J61" s="12" t="s">
        <v>539</v>
      </c>
    </row>
    <row r="62" spans="1:10" x14ac:dyDescent="0.2">
      <c r="A62" s="12" t="s">
        <v>462</v>
      </c>
      <c r="B62" s="12" t="s">
        <v>9499</v>
      </c>
      <c r="F62" s="12" t="s">
        <v>9500</v>
      </c>
      <c r="G62" s="12" t="s">
        <v>9501</v>
      </c>
      <c r="H62" s="12">
        <v>2022</v>
      </c>
      <c r="I62" s="13" t="s">
        <v>9502</v>
      </c>
      <c r="J62" s="12" t="s">
        <v>539</v>
      </c>
    </row>
    <row r="63" spans="1:10" x14ac:dyDescent="0.2">
      <c r="A63" s="12" t="s">
        <v>9503</v>
      </c>
      <c r="B63" s="12" t="s">
        <v>9504</v>
      </c>
      <c r="F63" s="12" t="s">
        <v>9505</v>
      </c>
      <c r="G63" s="12" t="s">
        <v>9506</v>
      </c>
      <c r="H63" s="12">
        <v>2022</v>
      </c>
      <c r="I63" s="13" t="s">
        <v>9507</v>
      </c>
      <c r="J63" s="12" t="s">
        <v>539</v>
      </c>
    </row>
    <row r="64" spans="1:10" x14ac:dyDescent="0.2">
      <c r="A64" s="12" t="s">
        <v>676</v>
      </c>
      <c r="B64" s="12" t="s">
        <v>9508</v>
      </c>
      <c r="F64" s="12" t="s">
        <v>9509</v>
      </c>
      <c r="G64" s="12" t="s">
        <v>9510</v>
      </c>
      <c r="H64" s="12">
        <v>2022</v>
      </c>
      <c r="I64" s="13" t="s">
        <v>9511</v>
      </c>
      <c r="J64" s="12" t="s">
        <v>539</v>
      </c>
    </row>
    <row r="65" spans="1:10" x14ac:dyDescent="0.2">
      <c r="A65" s="12" t="s">
        <v>1870</v>
      </c>
      <c r="B65" s="12" t="s">
        <v>9512</v>
      </c>
      <c r="F65" s="12" t="s">
        <v>9513</v>
      </c>
      <c r="G65" s="12" t="s">
        <v>9514</v>
      </c>
      <c r="H65" s="12">
        <v>2021</v>
      </c>
      <c r="I65" s="13" t="s">
        <v>9515</v>
      </c>
      <c r="J65" s="12" t="s">
        <v>539</v>
      </c>
    </row>
    <row r="66" spans="1:10" x14ac:dyDescent="0.2">
      <c r="A66" s="12" t="s">
        <v>462</v>
      </c>
      <c r="B66" s="12" t="s">
        <v>9331</v>
      </c>
      <c r="F66" s="12" t="s">
        <v>9516</v>
      </c>
      <c r="G66" s="12" t="s">
        <v>9517</v>
      </c>
      <c r="H66" s="12">
        <v>2020</v>
      </c>
      <c r="I66" s="13" t="s">
        <v>9518</v>
      </c>
      <c r="J66" s="12" t="s">
        <v>539</v>
      </c>
    </row>
    <row r="67" spans="1:10" x14ac:dyDescent="0.2">
      <c r="A67" s="12" t="s">
        <v>1870</v>
      </c>
      <c r="B67" s="12" t="s">
        <v>9519</v>
      </c>
      <c r="F67" s="12" t="s">
        <v>9520</v>
      </c>
      <c r="G67" s="12" t="s">
        <v>9521</v>
      </c>
      <c r="H67" s="12">
        <v>2019</v>
      </c>
      <c r="I67" s="13" t="s">
        <v>9522</v>
      </c>
      <c r="J67" s="12" t="s">
        <v>539</v>
      </c>
    </row>
    <row r="68" spans="1:10" x14ac:dyDescent="0.2">
      <c r="A68" s="12" t="s">
        <v>3916</v>
      </c>
      <c r="B68" s="12" t="s">
        <v>9523</v>
      </c>
      <c r="F68" s="12" t="s">
        <v>9524</v>
      </c>
      <c r="G68" s="12" t="s">
        <v>9525</v>
      </c>
      <c r="H68" s="12">
        <v>2022</v>
      </c>
      <c r="I68" s="13" t="s">
        <v>9526</v>
      </c>
      <c r="J68" s="12" t="s">
        <v>539</v>
      </c>
    </row>
    <row r="69" spans="1:10" x14ac:dyDescent="0.2">
      <c r="B69" s="12" t="s">
        <v>9527</v>
      </c>
      <c r="F69" s="12" t="s">
        <v>9528</v>
      </c>
      <c r="G69" s="12" t="s">
        <v>9529</v>
      </c>
      <c r="H69" s="12">
        <v>2020</v>
      </c>
      <c r="I69" s="13" t="s">
        <v>9530</v>
      </c>
      <c r="J69" s="12" t="s">
        <v>9383</v>
      </c>
    </row>
    <row r="70" spans="1:10" x14ac:dyDescent="0.2">
      <c r="A70" s="12" t="s">
        <v>2974</v>
      </c>
      <c r="B70" s="12" t="s">
        <v>9531</v>
      </c>
      <c r="F70" s="12" t="s">
        <v>9532</v>
      </c>
      <c r="G70" s="12" t="s">
        <v>9533</v>
      </c>
      <c r="H70" s="12">
        <v>2022</v>
      </c>
      <c r="I70" s="13" t="s">
        <v>9534</v>
      </c>
      <c r="J70" s="12" t="s">
        <v>539</v>
      </c>
    </row>
    <row r="71" spans="1:10" x14ac:dyDescent="0.2">
      <c r="A71" s="12" t="s">
        <v>9295</v>
      </c>
      <c r="B71" s="12" t="s">
        <v>9535</v>
      </c>
      <c r="F71" s="12" t="s">
        <v>9536</v>
      </c>
      <c r="G71" s="12" t="s">
        <v>9537</v>
      </c>
      <c r="H71" s="12">
        <v>2022</v>
      </c>
      <c r="I71" s="13" t="s">
        <v>9538</v>
      </c>
      <c r="J71" s="12" t="s">
        <v>9539</v>
      </c>
    </row>
    <row r="72" spans="1:10" x14ac:dyDescent="0.2">
      <c r="A72" s="12" t="s">
        <v>9275</v>
      </c>
      <c r="B72" s="12" t="s">
        <v>9540</v>
      </c>
      <c r="F72" s="12" t="s">
        <v>9541</v>
      </c>
      <c r="G72" s="12" t="s">
        <v>9542</v>
      </c>
      <c r="H72" s="12">
        <v>2022</v>
      </c>
      <c r="I72" s="13" t="s">
        <v>9543</v>
      </c>
      <c r="J72" s="12" t="s">
        <v>539</v>
      </c>
    </row>
    <row r="73" spans="1:10" x14ac:dyDescent="0.2">
      <c r="A73" s="12" t="s">
        <v>1870</v>
      </c>
      <c r="B73" s="12" t="s">
        <v>9544</v>
      </c>
      <c r="F73" s="12" t="s">
        <v>9545</v>
      </c>
      <c r="G73" s="12" t="s">
        <v>9546</v>
      </c>
      <c r="H73" s="12">
        <v>2022</v>
      </c>
      <c r="I73" s="13" t="s">
        <v>9547</v>
      </c>
      <c r="J73" s="12" t="s">
        <v>539</v>
      </c>
    </row>
    <row r="74" spans="1:10" x14ac:dyDescent="0.2">
      <c r="A74" s="12" t="s">
        <v>582</v>
      </c>
      <c r="B74" s="12" t="s">
        <v>78</v>
      </c>
      <c r="D74" s="12">
        <v>29</v>
      </c>
      <c r="E74" s="12">
        <v>2</v>
      </c>
      <c r="F74" s="12" t="s">
        <v>80</v>
      </c>
      <c r="G74" s="12" t="s">
        <v>9548</v>
      </c>
      <c r="H74" s="12">
        <v>2022</v>
      </c>
      <c r="I74" s="13" t="s">
        <v>9549</v>
      </c>
      <c r="J74" s="12" t="s">
        <v>9478</v>
      </c>
    </row>
    <row r="75" spans="1:10" x14ac:dyDescent="0.2">
      <c r="A75" s="12" t="s">
        <v>9286</v>
      </c>
      <c r="B75" s="12" t="s">
        <v>9550</v>
      </c>
      <c r="F75" s="12" t="s">
        <v>4515</v>
      </c>
      <c r="G75" s="12" t="s">
        <v>9551</v>
      </c>
      <c r="H75" s="12">
        <v>2020</v>
      </c>
      <c r="I75" s="13" t="s">
        <v>9552</v>
      </c>
      <c r="J75" s="12" t="s">
        <v>9539</v>
      </c>
    </row>
    <row r="76" spans="1:10" x14ac:dyDescent="0.2">
      <c r="B76" s="12" t="s">
        <v>9553</v>
      </c>
      <c r="F76" s="12" t="s">
        <v>9554</v>
      </c>
      <c r="G76" s="12" t="s">
        <v>9555</v>
      </c>
      <c r="H76" s="12">
        <v>2019</v>
      </c>
      <c r="I76" s="13" t="s">
        <v>9556</v>
      </c>
      <c r="J76" s="12" t="s">
        <v>539</v>
      </c>
    </row>
    <row r="77" spans="1:10" x14ac:dyDescent="0.2">
      <c r="A77" s="12" t="s">
        <v>676</v>
      </c>
      <c r="B77" s="12" t="s">
        <v>9557</v>
      </c>
      <c r="F77" s="12" t="s">
        <v>9558</v>
      </c>
      <c r="G77" s="12" t="s">
        <v>9559</v>
      </c>
      <c r="H77" s="12">
        <v>2023</v>
      </c>
      <c r="I77" s="13" t="s">
        <v>9560</v>
      </c>
      <c r="J77" s="12" t="s">
        <v>539</v>
      </c>
    </row>
    <row r="78" spans="1:10" x14ac:dyDescent="0.2">
      <c r="A78" s="12" t="s">
        <v>136</v>
      </c>
      <c r="B78" s="12" t="s">
        <v>83</v>
      </c>
      <c r="D78" s="12">
        <v>23</v>
      </c>
      <c r="E78" s="12">
        <v>1</v>
      </c>
      <c r="F78" s="12" t="s">
        <v>86</v>
      </c>
      <c r="G78" s="12" t="s">
        <v>9561</v>
      </c>
      <c r="H78" s="12">
        <v>2018</v>
      </c>
      <c r="I78" s="13" t="s">
        <v>9562</v>
      </c>
      <c r="J78" s="12" t="s">
        <v>9478</v>
      </c>
    </row>
    <row r="79" spans="1:10" x14ac:dyDescent="0.2">
      <c r="A79" s="12" t="s">
        <v>629</v>
      </c>
      <c r="B79" s="12" t="s">
        <v>44</v>
      </c>
      <c r="D79" s="12">
        <v>17</v>
      </c>
      <c r="E79" s="12">
        <v>3</v>
      </c>
      <c r="F79" s="12" t="s">
        <v>48</v>
      </c>
      <c r="G79" s="12" t="s">
        <v>9563</v>
      </c>
      <c r="H79" s="12">
        <v>2022</v>
      </c>
      <c r="I79" s="13" t="s">
        <v>9564</v>
      </c>
      <c r="J79" s="12" t="s">
        <v>9478</v>
      </c>
    </row>
    <row r="80" spans="1:10" x14ac:dyDescent="0.2">
      <c r="A80" s="12" t="s">
        <v>1870</v>
      </c>
      <c r="B80" s="12" t="s">
        <v>1927</v>
      </c>
      <c r="F80" s="12" t="s">
        <v>9565</v>
      </c>
      <c r="G80" s="12" t="s">
        <v>9284</v>
      </c>
      <c r="H80" s="12">
        <v>2022</v>
      </c>
      <c r="I80" s="13" t="s">
        <v>9566</v>
      </c>
      <c r="J80" s="12" t="s">
        <v>539</v>
      </c>
    </row>
    <row r="81" spans="1:10" x14ac:dyDescent="0.2">
      <c r="A81" s="12" t="s">
        <v>1870</v>
      </c>
      <c r="B81" s="12" t="s">
        <v>9567</v>
      </c>
      <c r="F81" s="12" t="s">
        <v>9568</v>
      </c>
      <c r="G81" s="12" t="s">
        <v>9569</v>
      </c>
      <c r="H81" s="12">
        <v>2021</v>
      </c>
      <c r="I81" s="13" t="s">
        <v>9570</v>
      </c>
      <c r="J81" s="12" t="s">
        <v>539</v>
      </c>
    </row>
    <row r="82" spans="1:10" x14ac:dyDescent="0.2">
      <c r="A82" s="12" t="s">
        <v>2974</v>
      </c>
      <c r="B82" s="12" t="s">
        <v>9571</v>
      </c>
      <c r="F82" s="12" t="s">
        <v>9572</v>
      </c>
      <c r="G82" s="12" t="s">
        <v>9573</v>
      </c>
      <c r="H82" s="12">
        <v>2020</v>
      </c>
      <c r="I82" s="13" t="s">
        <v>9574</v>
      </c>
      <c r="J82" s="12" t="s">
        <v>539</v>
      </c>
    </row>
    <row r="83" spans="1:10" x14ac:dyDescent="0.2">
      <c r="A83" s="12" t="s">
        <v>9275</v>
      </c>
      <c r="B83" s="12" t="s">
        <v>9575</v>
      </c>
      <c r="F83" s="12" t="s">
        <v>9576</v>
      </c>
      <c r="G83" s="12" t="s">
        <v>9577</v>
      </c>
      <c r="H83" s="12">
        <v>2022</v>
      </c>
      <c r="I83" s="13" t="s">
        <v>9578</v>
      </c>
      <c r="J83" s="12" t="s">
        <v>539</v>
      </c>
    </row>
    <row r="84" spans="1:10" x14ac:dyDescent="0.2">
      <c r="A84" s="12" t="s">
        <v>1547</v>
      </c>
      <c r="B84" s="12" t="s">
        <v>9579</v>
      </c>
      <c r="F84" s="12" t="s">
        <v>9580</v>
      </c>
      <c r="G84" s="12" t="s">
        <v>9581</v>
      </c>
      <c r="H84" s="12">
        <v>2022</v>
      </c>
      <c r="I84" s="13" t="s">
        <v>9582</v>
      </c>
      <c r="J84" s="12" t="s">
        <v>539</v>
      </c>
    </row>
    <row r="85" spans="1:10" x14ac:dyDescent="0.2">
      <c r="A85" s="12" t="s">
        <v>9275</v>
      </c>
      <c r="B85" s="12" t="s">
        <v>9583</v>
      </c>
      <c r="F85" s="12" t="s">
        <v>9584</v>
      </c>
      <c r="G85" s="12" t="s">
        <v>9585</v>
      </c>
      <c r="H85" s="12">
        <v>2021</v>
      </c>
      <c r="I85" s="13" t="s">
        <v>9586</v>
      </c>
      <c r="J85" s="12" t="s">
        <v>539</v>
      </c>
    </row>
    <row r="86" spans="1:10" x14ac:dyDescent="0.2">
      <c r="A86" s="12" t="s">
        <v>9587</v>
      </c>
      <c r="B86" s="12" t="s">
        <v>9588</v>
      </c>
      <c r="F86" s="12" t="s">
        <v>9589</v>
      </c>
      <c r="G86" s="12" t="s">
        <v>9590</v>
      </c>
      <c r="H86" s="12">
        <v>2023</v>
      </c>
      <c r="I86" s="13" t="s">
        <v>9591</v>
      </c>
      <c r="J86" s="12" t="s">
        <v>539</v>
      </c>
    </row>
    <row r="87" spans="1:10" x14ac:dyDescent="0.2">
      <c r="B87" s="12" t="s">
        <v>9592</v>
      </c>
      <c r="F87" s="12" t="s">
        <v>9593</v>
      </c>
      <c r="G87" s="12" t="s">
        <v>9594</v>
      </c>
      <c r="H87" s="12">
        <v>2021</v>
      </c>
      <c r="I87" s="13" t="s">
        <v>9595</v>
      </c>
      <c r="J87" s="12" t="s">
        <v>539</v>
      </c>
    </row>
    <row r="88" spans="1:10" x14ac:dyDescent="0.2">
      <c r="A88" s="12" t="s">
        <v>9275</v>
      </c>
      <c r="B88" s="12" t="s">
        <v>9596</v>
      </c>
      <c r="F88" s="12" t="s">
        <v>9597</v>
      </c>
      <c r="G88" s="12" t="s">
        <v>9598</v>
      </c>
      <c r="H88" s="12">
        <v>2022</v>
      </c>
      <c r="I88" s="13" t="s">
        <v>9599</v>
      </c>
      <c r="J88" s="12" t="s">
        <v>539</v>
      </c>
    </row>
    <row r="89" spans="1:10" x14ac:dyDescent="0.2">
      <c r="A89" s="12" t="s">
        <v>1870</v>
      </c>
      <c r="B89" s="12" t="s">
        <v>9519</v>
      </c>
      <c r="F89" s="12" t="s">
        <v>9600</v>
      </c>
      <c r="G89" s="12" t="s">
        <v>9601</v>
      </c>
      <c r="H89" s="12">
        <v>2017</v>
      </c>
      <c r="I89" s="13" t="s">
        <v>9602</v>
      </c>
      <c r="J89" s="12" t="s">
        <v>539</v>
      </c>
    </row>
    <row r="90" spans="1:10" x14ac:dyDescent="0.2">
      <c r="A90" s="12" t="s">
        <v>136</v>
      </c>
      <c r="B90" s="12" t="s">
        <v>570</v>
      </c>
      <c r="D90" s="12">
        <v>27</v>
      </c>
      <c r="E90" s="12">
        <v>6</v>
      </c>
      <c r="F90" s="12" t="s">
        <v>572</v>
      </c>
      <c r="G90" s="12" t="s">
        <v>9603</v>
      </c>
      <c r="H90" s="12">
        <v>2022</v>
      </c>
      <c r="I90" s="13" t="s">
        <v>9604</v>
      </c>
      <c r="J90" s="12" t="s">
        <v>9478</v>
      </c>
    </row>
    <row r="91" spans="1:10" x14ac:dyDescent="0.2">
      <c r="A91" s="12" t="s">
        <v>1547</v>
      </c>
      <c r="B91" s="12" t="s">
        <v>9605</v>
      </c>
      <c r="F91" s="12" t="s">
        <v>9606</v>
      </c>
      <c r="G91" s="12" t="s">
        <v>9607</v>
      </c>
      <c r="H91" s="12">
        <v>2023</v>
      </c>
      <c r="I91" s="13" t="s">
        <v>9608</v>
      </c>
      <c r="J91" s="12" t="s">
        <v>539</v>
      </c>
    </row>
    <row r="92" spans="1:10" x14ac:dyDescent="0.2">
      <c r="B92" s="12" t="s">
        <v>9609</v>
      </c>
      <c r="F92" s="12" t="s">
        <v>9610</v>
      </c>
      <c r="G92" s="12" t="s">
        <v>9611</v>
      </c>
      <c r="H92" s="12">
        <v>2021</v>
      </c>
      <c r="I92" s="13" t="s">
        <v>9612</v>
      </c>
      <c r="J92" s="12" t="s">
        <v>539</v>
      </c>
    </row>
    <row r="93" spans="1:10" x14ac:dyDescent="0.2">
      <c r="B93" s="12" t="s">
        <v>9613</v>
      </c>
      <c r="F93" s="12" t="s">
        <v>9614</v>
      </c>
      <c r="G93" s="12" t="s">
        <v>9615</v>
      </c>
      <c r="H93" s="12">
        <v>2018</v>
      </c>
      <c r="I93" s="13" t="s">
        <v>9616</v>
      </c>
      <c r="J93" s="12" t="s">
        <v>539</v>
      </c>
    </row>
    <row r="94" spans="1:10" x14ac:dyDescent="0.2">
      <c r="A94" s="12" t="s">
        <v>462</v>
      </c>
      <c r="B94" s="12" t="s">
        <v>9331</v>
      </c>
      <c r="F94" s="12" t="s">
        <v>9617</v>
      </c>
      <c r="G94" s="12" t="s">
        <v>9618</v>
      </c>
      <c r="H94" s="12">
        <v>2018</v>
      </c>
      <c r="I94" s="13" t="s">
        <v>9619</v>
      </c>
      <c r="J94" s="12" t="s">
        <v>539</v>
      </c>
    </row>
    <row r="95" spans="1:10" x14ac:dyDescent="0.2">
      <c r="A95" s="12" t="s">
        <v>9275</v>
      </c>
      <c r="B95" s="12" t="s">
        <v>9276</v>
      </c>
      <c r="F95" s="12" t="s">
        <v>9620</v>
      </c>
      <c r="G95" s="12" t="s">
        <v>9621</v>
      </c>
      <c r="H95" s="12">
        <v>2018</v>
      </c>
      <c r="I95" s="13" t="s">
        <v>9622</v>
      </c>
      <c r="J95" s="12" t="s">
        <v>539</v>
      </c>
    </row>
    <row r="96" spans="1:10" x14ac:dyDescent="0.2">
      <c r="A96" s="12" t="s">
        <v>9623</v>
      </c>
      <c r="B96" s="12" t="s">
        <v>9624</v>
      </c>
      <c r="F96" s="12" t="s">
        <v>9625</v>
      </c>
      <c r="G96" s="12" t="s">
        <v>9626</v>
      </c>
      <c r="H96" s="12">
        <v>2022</v>
      </c>
      <c r="I96" s="13" t="s">
        <v>9627</v>
      </c>
      <c r="J96" s="12" t="s">
        <v>539</v>
      </c>
    </row>
    <row r="97" spans="1:10" x14ac:dyDescent="0.2">
      <c r="A97" s="12" t="s">
        <v>462</v>
      </c>
      <c r="B97" s="12" t="s">
        <v>9331</v>
      </c>
      <c r="F97" s="12" t="s">
        <v>9628</v>
      </c>
      <c r="G97" s="12" t="s">
        <v>9629</v>
      </c>
      <c r="H97" s="12">
        <v>2019</v>
      </c>
      <c r="I97" s="13" t="s">
        <v>9630</v>
      </c>
      <c r="J97" s="12" t="s">
        <v>539</v>
      </c>
    </row>
    <row r="98" spans="1:10" x14ac:dyDescent="0.2">
      <c r="A98" s="12" t="s">
        <v>462</v>
      </c>
      <c r="B98" s="12" t="s">
        <v>9481</v>
      </c>
      <c r="F98" s="12" t="s">
        <v>9631</v>
      </c>
      <c r="G98" s="12" t="s">
        <v>9632</v>
      </c>
      <c r="H98" s="12">
        <v>2020</v>
      </c>
      <c r="I98" s="13" t="s">
        <v>9633</v>
      </c>
      <c r="J98" s="12" t="s">
        <v>539</v>
      </c>
    </row>
    <row r="99" spans="1:10" x14ac:dyDescent="0.2">
      <c r="A99" s="12" t="s">
        <v>9275</v>
      </c>
      <c r="B99" s="12" t="s">
        <v>9481</v>
      </c>
      <c r="F99" s="12" t="s">
        <v>9634</v>
      </c>
      <c r="G99" s="12" t="s">
        <v>9635</v>
      </c>
      <c r="H99" s="12">
        <v>2022</v>
      </c>
      <c r="I99" s="13" t="s">
        <v>9636</v>
      </c>
      <c r="J99" s="12" t="s">
        <v>539</v>
      </c>
    </row>
    <row r="100" spans="1:10" x14ac:dyDescent="0.2">
      <c r="A100" s="12" t="s">
        <v>462</v>
      </c>
      <c r="B100" s="12" t="s">
        <v>9637</v>
      </c>
      <c r="F100" s="12" t="s">
        <v>9638</v>
      </c>
      <c r="G100" s="12" t="s">
        <v>9639</v>
      </c>
      <c r="H100" s="12">
        <v>2021</v>
      </c>
      <c r="I100" s="13" t="s">
        <v>9640</v>
      </c>
      <c r="J100" s="12" t="s">
        <v>539</v>
      </c>
    </row>
    <row r="101" spans="1:10" x14ac:dyDescent="0.2">
      <c r="A101" s="12" t="s">
        <v>136</v>
      </c>
      <c r="B101" s="12" t="s">
        <v>9641</v>
      </c>
      <c r="D101" s="12">
        <v>25</v>
      </c>
      <c r="E101" s="12">
        <v>5</v>
      </c>
      <c r="F101" s="12" t="s">
        <v>2754</v>
      </c>
      <c r="G101" s="12" t="s">
        <v>9642</v>
      </c>
      <c r="H101" s="12">
        <v>2020</v>
      </c>
      <c r="I101" s="13" t="s">
        <v>9643</v>
      </c>
      <c r="J101" s="12" t="s">
        <v>9478</v>
      </c>
    </row>
    <row r="102" spans="1:10" x14ac:dyDescent="0.2">
      <c r="A102" s="12" t="s">
        <v>3475</v>
      </c>
      <c r="B102" s="12" t="s">
        <v>9644</v>
      </c>
      <c r="F102" s="12" t="s">
        <v>9645</v>
      </c>
      <c r="G102" s="12" t="s">
        <v>9646</v>
      </c>
      <c r="H102" s="12">
        <v>2021</v>
      </c>
      <c r="I102" s="13" t="s">
        <v>9647</v>
      </c>
      <c r="J102" s="12" t="s">
        <v>539</v>
      </c>
    </row>
    <row r="103" spans="1:10" x14ac:dyDescent="0.2">
      <c r="A103" s="12" t="s">
        <v>9648</v>
      </c>
      <c r="B103" s="12" t="s">
        <v>9649</v>
      </c>
      <c r="F103" s="12" t="s">
        <v>9650</v>
      </c>
      <c r="G103" s="12" t="s">
        <v>9651</v>
      </c>
      <c r="H103" s="12">
        <v>2023</v>
      </c>
      <c r="I103" s="13" t="s">
        <v>9652</v>
      </c>
      <c r="J103" s="12" t="s">
        <v>539</v>
      </c>
    </row>
    <row r="104" spans="1:10" x14ac:dyDescent="0.2">
      <c r="A104" s="12" t="s">
        <v>136</v>
      </c>
      <c r="B104" s="12" t="s">
        <v>1096</v>
      </c>
      <c r="D104" s="12">
        <v>27</v>
      </c>
      <c r="E104" s="12">
        <v>7</v>
      </c>
      <c r="F104" s="12" t="s">
        <v>1098</v>
      </c>
      <c r="G104" s="12" t="s">
        <v>9653</v>
      </c>
      <c r="H104" s="12">
        <v>2022</v>
      </c>
      <c r="I104" s="13" t="s">
        <v>9654</v>
      </c>
      <c r="J104" s="12" t="s">
        <v>9478</v>
      </c>
    </row>
    <row r="105" spans="1:10" x14ac:dyDescent="0.2">
      <c r="A105" s="12" t="s">
        <v>9275</v>
      </c>
      <c r="B105" s="12" t="s">
        <v>9655</v>
      </c>
      <c r="F105" s="12" t="s">
        <v>9656</v>
      </c>
      <c r="G105" s="12" t="s">
        <v>9657</v>
      </c>
      <c r="H105" s="12">
        <v>2021</v>
      </c>
      <c r="I105" s="13" t="s">
        <v>9658</v>
      </c>
      <c r="J105" s="12" t="s">
        <v>539</v>
      </c>
    </row>
    <row r="106" spans="1:10" x14ac:dyDescent="0.2">
      <c r="A106" s="12" t="s">
        <v>2974</v>
      </c>
      <c r="B106" s="12" t="s">
        <v>9659</v>
      </c>
      <c r="F106" s="12" t="s">
        <v>9660</v>
      </c>
      <c r="G106" s="12" t="s">
        <v>9661</v>
      </c>
      <c r="H106" s="12">
        <v>2019</v>
      </c>
      <c r="I106" s="13" t="s">
        <v>9662</v>
      </c>
      <c r="J106" s="12" t="s">
        <v>539</v>
      </c>
    </row>
    <row r="107" spans="1:10" x14ac:dyDescent="0.2">
      <c r="A107" s="12" t="s">
        <v>9275</v>
      </c>
      <c r="B107" s="12" t="s">
        <v>9663</v>
      </c>
      <c r="F107" s="12" t="s">
        <v>9664</v>
      </c>
      <c r="G107" s="12" t="s">
        <v>9665</v>
      </c>
      <c r="H107" s="12">
        <v>2022</v>
      </c>
      <c r="I107" s="13" t="s">
        <v>9666</v>
      </c>
      <c r="J107" s="12" t="s">
        <v>539</v>
      </c>
    </row>
    <row r="108" spans="1:10" x14ac:dyDescent="0.2">
      <c r="A108" s="12" t="s">
        <v>9275</v>
      </c>
      <c r="B108" s="12" t="s">
        <v>9667</v>
      </c>
      <c r="F108" s="12" t="s">
        <v>9668</v>
      </c>
      <c r="G108" s="12" t="s">
        <v>9669</v>
      </c>
      <c r="H108" s="12">
        <v>2022</v>
      </c>
      <c r="I108" s="13" t="s">
        <v>9670</v>
      </c>
      <c r="J108" s="12" t="s">
        <v>539</v>
      </c>
    </row>
    <row r="109" spans="1:10" x14ac:dyDescent="0.2">
      <c r="A109" s="12" t="s">
        <v>9519</v>
      </c>
      <c r="B109" s="12" t="s">
        <v>9671</v>
      </c>
      <c r="F109" s="12" t="s">
        <v>4157</v>
      </c>
      <c r="G109" s="12" t="s">
        <v>9672</v>
      </c>
      <c r="H109" s="12">
        <v>2019</v>
      </c>
      <c r="I109" s="13" t="s">
        <v>9673</v>
      </c>
      <c r="J109" s="12" t="s">
        <v>9539</v>
      </c>
    </row>
    <row r="110" spans="1:10" x14ac:dyDescent="0.2">
      <c r="A110" s="12" t="s">
        <v>462</v>
      </c>
      <c r="B110" s="12" t="s">
        <v>9331</v>
      </c>
      <c r="F110" s="12" t="s">
        <v>9674</v>
      </c>
      <c r="G110" s="12" t="s">
        <v>9675</v>
      </c>
      <c r="H110" s="12">
        <v>2017</v>
      </c>
      <c r="I110" s="13" t="s">
        <v>9676</v>
      </c>
      <c r="J110" s="12" t="s">
        <v>539</v>
      </c>
    </row>
    <row r="111" spans="1:10" x14ac:dyDescent="0.2">
      <c r="A111" s="12" t="s">
        <v>9677</v>
      </c>
      <c r="B111" s="12" t="s">
        <v>3454</v>
      </c>
      <c r="F111" s="12" t="s">
        <v>3459</v>
      </c>
      <c r="G111" s="12" t="s">
        <v>9678</v>
      </c>
      <c r="H111" s="12">
        <v>2021</v>
      </c>
      <c r="I111" s="13" t="s">
        <v>9679</v>
      </c>
      <c r="J111" s="12" t="s">
        <v>9539</v>
      </c>
    </row>
    <row r="112" spans="1:10" x14ac:dyDescent="0.2">
      <c r="A112" s="12" t="s">
        <v>9276</v>
      </c>
      <c r="B112" s="12" t="s">
        <v>9680</v>
      </c>
      <c r="F112" s="12" t="s">
        <v>9681</v>
      </c>
      <c r="G112" s="12" t="s">
        <v>9682</v>
      </c>
      <c r="H112" s="12">
        <v>2019</v>
      </c>
      <c r="I112" s="13" t="s">
        <v>9683</v>
      </c>
      <c r="J112" s="12" t="s">
        <v>9539</v>
      </c>
    </row>
    <row r="113" spans="1:10" x14ac:dyDescent="0.2">
      <c r="A113" s="12" t="s">
        <v>1870</v>
      </c>
      <c r="B113" s="12" t="s">
        <v>9512</v>
      </c>
      <c r="F113" s="12" t="s">
        <v>9684</v>
      </c>
      <c r="G113" s="12" t="s">
        <v>9685</v>
      </c>
      <c r="H113" s="12">
        <v>2019</v>
      </c>
      <c r="I113" s="13" t="s">
        <v>9686</v>
      </c>
      <c r="J113" s="12" t="s">
        <v>539</v>
      </c>
    </row>
    <row r="114" spans="1:10" x14ac:dyDescent="0.2">
      <c r="A114" s="12" t="s">
        <v>136</v>
      </c>
      <c r="B114" s="12" t="s">
        <v>31</v>
      </c>
      <c r="D114" s="12">
        <v>27</v>
      </c>
      <c r="E114" s="12">
        <v>6</v>
      </c>
      <c r="F114" s="12" t="s">
        <v>35</v>
      </c>
      <c r="G114" s="12" t="s">
        <v>9687</v>
      </c>
      <c r="H114" s="12">
        <v>2022</v>
      </c>
      <c r="I114" s="13" t="s">
        <v>9688</v>
      </c>
      <c r="J114" s="12" t="s">
        <v>9478</v>
      </c>
    </row>
    <row r="115" spans="1:10" x14ac:dyDescent="0.2">
      <c r="A115" s="12" t="s">
        <v>9275</v>
      </c>
      <c r="B115" s="12" t="s">
        <v>9689</v>
      </c>
      <c r="F115" s="12" t="s">
        <v>9690</v>
      </c>
      <c r="G115" s="12" t="s">
        <v>9691</v>
      </c>
      <c r="H115" s="12">
        <v>2020</v>
      </c>
      <c r="I115" s="13" t="s">
        <v>9692</v>
      </c>
      <c r="J115" s="12" t="s">
        <v>539</v>
      </c>
    </row>
    <row r="116" spans="1:10" x14ac:dyDescent="0.2">
      <c r="A116" s="12" t="s">
        <v>9275</v>
      </c>
      <c r="B116" s="12" t="s">
        <v>9693</v>
      </c>
      <c r="F116" s="12" t="s">
        <v>9694</v>
      </c>
      <c r="G116" s="12" t="s">
        <v>9695</v>
      </c>
      <c r="H116" s="12">
        <v>2022</v>
      </c>
      <c r="I116" s="13" t="s">
        <v>9696</v>
      </c>
      <c r="J116" s="12" t="s">
        <v>539</v>
      </c>
    </row>
    <row r="117" spans="1:10" x14ac:dyDescent="0.2">
      <c r="A117" s="12" t="s">
        <v>136</v>
      </c>
      <c r="B117" s="12" t="s">
        <v>97</v>
      </c>
      <c r="D117" s="12">
        <v>27</v>
      </c>
      <c r="E117" s="12">
        <v>4</v>
      </c>
      <c r="F117" s="12" t="s">
        <v>99</v>
      </c>
      <c r="G117" s="12" t="s">
        <v>9697</v>
      </c>
      <c r="H117" s="12">
        <v>2022</v>
      </c>
      <c r="I117" s="13" t="s">
        <v>9698</v>
      </c>
      <c r="J117" s="12" t="s">
        <v>9478</v>
      </c>
    </row>
    <row r="118" spans="1:10" x14ac:dyDescent="0.2">
      <c r="A118" s="12" t="s">
        <v>9699</v>
      </c>
      <c r="B118" s="12" t="s">
        <v>9700</v>
      </c>
      <c r="F118" s="12" t="s">
        <v>9701</v>
      </c>
      <c r="G118" s="12" t="s">
        <v>9702</v>
      </c>
      <c r="H118" s="12">
        <v>2017</v>
      </c>
      <c r="I118" s="13" t="s">
        <v>9703</v>
      </c>
      <c r="J118" s="12" t="s">
        <v>539</v>
      </c>
    </row>
    <row r="119" spans="1:10" x14ac:dyDescent="0.2">
      <c r="A119" s="12" t="s">
        <v>912</v>
      </c>
      <c r="B119" s="12" t="s">
        <v>9704</v>
      </c>
      <c r="F119" s="12" t="s">
        <v>9705</v>
      </c>
      <c r="G119" s="12" t="s">
        <v>9706</v>
      </c>
      <c r="H119" s="12">
        <v>2023</v>
      </c>
      <c r="I119" s="13" t="s">
        <v>9707</v>
      </c>
      <c r="J119" s="12" t="s">
        <v>539</v>
      </c>
    </row>
    <row r="120" spans="1:10" x14ac:dyDescent="0.2">
      <c r="A120" s="12" t="s">
        <v>1870</v>
      </c>
      <c r="B120" s="12" t="s">
        <v>9512</v>
      </c>
      <c r="F120" s="12" t="s">
        <v>9708</v>
      </c>
      <c r="G120" s="12" t="s">
        <v>9709</v>
      </c>
      <c r="H120" s="12">
        <v>2020</v>
      </c>
      <c r="I120" s="13" t="s">
        <v>9710</v>
      </c>
      <c r="J120" s="12" t="s">
        <v>539</v>
      </c>
    </row>
    <row r="121" spans="1:10" x14ac:dyDescent="0.2">
      <c r="A121" s="12" t="s">
        <v>136</v>
      </c>
      <c r="B121" s="12" t="s">
        <v>9711</v>
      </c>
      <c r="D121" s="12">
        <v>25</v>
      </c>
      <c r="E121" s="12">
        <v>5</v>
      </c>
      <c r="F121" s="12" t="s">
        <v>9712</v>
      </c>
      <c r="G121" s="12" t="s">
        <v>9713</v>
      </c>
      <c r="H121" s="12">
        <v>2020</v>
      </c>
      <c r="I121" s="13" t="s">
        <v>9714</v>
      </c>
      <c r="J121" s="12" t="s">
        <v>9478</v>
      </c>
    </row>
    <row r="122" spans="1:10" x14ac:dyDescent="0.2">
      <c r="A122" s="12" t="s">
        <v>1870</v>
      </c>
      <c r="B122" s="12" t="s">
        <v>9715</v>
      </c>
      <c r="F122" s="12" t="s">
        <v>9716</v>
      </c>
      <c r="G122" s="12" t="s">
        <v>9717</v>
      </c>
      <c r="H122" s="12">
        <v>2021</v>
      </c>
      <c r="I122" s="13" t="s">
        <v>9718</v>
      </c>
      <c r="J122" s="12" t="s">
        <v>539</v>
      </c>
    </row>
    <row r="123" spans="1:10" x14ac:dyDescent="0.2">
      <c r="A123" s="12" t="s">
        <v>4266</v>
      </c>
      <c r="B123" s="12" t="s">
        <v>4265</v>
      </c>
      <c r="F123" s="12" t="s">
        <v>9719</v>
      </c>
      <c r="G123" s="12" t="s">
        <v>9720</v>
      </c>
      <c r="H123" s="12">
        <v>2019</v>
      </c>
      <c r="I123" s="13" t="s">
        <v>9721</v>
      </c>
      <c r="J123" s="12" t="s">
        <v>539</v>
      </c>
    </row>
    <row r="124" spans="1:10" x14ac:dyDescent="0.2">
      <c r="A124" s="12" t="s">
        <v>1870</v>
      </c>
      <c r="B124" s="12" t="s">
        <v>9722</v>
      </c>
      <c r="F124" s="12" t="s">
        <v>9723</v>
      </c>
      <c r="G124" s="12" t="s">
        <v>9724</v>
      </c>
      <c r="H124" s="12">
        <v>2022</v>
      </c>
      <c r="I124" s="13" t="s">
        <v>9725</v>
      </c>
      <c r="J124" s="12" t="s">
        <v>539</v>
      </c>
    </row>
    <row r="125" spans="1:10" x14ac:dyDescent="0.2">
      <c r="A125" s="12" t="s">
        <v>676</v>
      </c>
      <c r="B125" s="12" t="s">
        <v>9726</v>
      </c>
      <c r="F125" s="12" t="s">
        <v>9727</v>
      </c>
      <c r="G125" s="12" t="s">
        <v>9728</v>
      </c>
      <c r="H125" s="12">
        <v>2023</v>
      </c>
      <c r="I125" s="13" t="s">
        <v>9729</v>
      </c>
      <c r="J125" s="12" t="s">
        <v>539</v>
      </c>
    </row>
    <row r="126" spans="1:10" x14ac:dyDescent="0.2">
      <c r="A126" s="12" t="s">
        <v>9275</v>
      </c>
      <c r="B126" s="12" t="s">
        <v>9730</v>
      </c>
      <c r="F126" s="12" t="s">
        <v>9731</v>
      </c>
      <c r="G126" s="12" t="s">
        <v>9732</v>
      </c>
      <c r="H126" s="12">
        <v>2022</v>
      </c>
      <c r="I126" s="13" t="s">
        <v>9733</v>
      </c>
      <c r="J126" s="12" t="s">
        <v>539</v>
      </c>
    </row>
    <row r="127" spans="1:10" x14ac:dyDescent="0.2">
      <c r="A127" s="12" t="s">
        <v>1870</v>
      </c>
      <c r="B127" s="12" t="s">
        <v>9519</v>
      </c>
      <c r="F127" s="12" t="s">
        <v>9734</v>
      </c>
      <c r="G127" s="12" t="s">
        <v>9735</v>
      </c>
      <c r="H127" s="12">
        <v>2020</v>
      </c>
      <c r="I127" s="13" t="s">
        <v>9736</v>
      </c>
      <c r="J127" s="12" t="s">
        <v>539</v>
      </c>
    </row>
    <row r="128" spans="1:10" x14ac:dyDescent="0.2">
      <c r="A128" s="12" t="s">
        <v>1870</v>
      </c>
      <c r="B128" s="12" t="s">
        <v>9737</v>
      </c>
      <c r="F128" s="12" t="s">
        <v>9738</v>
      </c>
      <c r="G128" s="12" t="s">
        <v>9739</v>
      </c>
      <c r="H128" s="12">
        <v>2021</v>
      </c>
      <c r="I128" s="13" t="s">
        <v>9740</v>
      </c>
      <c r="J128" s="12" t="s">
        <v>539</v>
      </c>
    </row>
    <row r="129" spans="1:10" x14ac:dyDescent="0.2">
      <c r="A129" s="12" t="s">
        <v>9275</v>
      </c>
      <c r="B129" s="12" t="s">
        <v>9741</v>
      </c>
      <c r="F129" s="12" t="s">
        <v>9742</v>
      </c>
      <c r="G129" s="12" t="s">
        <v>9743</v>
      </c>
      <c r="H129" s="12">
        <v>2018</v>
      </c>
      <c r="I129" s="13" t="s">
        <v>9744</v>
      </c>
      <c r="J129" s="12" t="s">
        <v>539</v>
      </c>
    </row>
    <row r="130" spans="1:10" x14ac:dyDescent="0.2">
      <c r="A130" s="12" t="s">
        <v>136</v>
      </c>
      <c r="B130" s="12" t="s">
        <v>1183</v>
      </c>
      <c r="D130" s="12">
        <v>27</v>
      </c>
      <c r="E130" s="12">
        <v>7</v>
      </c>
      <c r="F130" s="12" t="s">
        <v>1185</v>
      </c>
      <c r="G130" s="12" t="s">
        <v>9745</v>
      </c>
      <c r="H130" s="12">
        <v>2022</v>
      </c>
      <c r="I130" s="13" t="s">
        <v>9746</v>
      </c>
      <c r="J130" s="12" t="s">
        <v>9478</v>
      </c>
    </row>
    <row r="131" spans="1:10" x14ac:dyDescent="0.2">
      <c r="B131" s="12" t="s">
        <v>9747</v>
      </c>
      <c r="F131" s="12" t="s">
        <v>9748</v>
      </c>
      <c r="G131" s="12" t="s">
        <v>9749</v>
      </c>
      <c r="H131" s="12">
        <v>2020</v>
      </c>
      <c r="I131" s="13" t="s">
        <v>9750</v>
      </c>
      <c r="J131" s="12" t="s">
        <v>539</v>
      </c>
    </row>
    <row r="132" spans="1:10" x14ac:dyDescent="0.2">
      <c r="A132" s="12" t="s">
        <v>9275</v>
      </c>
      <c r="B132" s="12" t="s">
        <v>9751</v>
      </c>
      <c r="F132" s="12" t="s">
        <v>9752</v>
      </c>
      <c r="G132" s="12" t="s">
        <v>9474</v>
      </c>
      <c r="H132" s="12">
        <v>2022</v>
      </c>
      <c r="I132" s="13" t="s">
        <v>9753</v>
      </c>
      <c r="J132" s="12" t="s">
        <v>539</v>
      </c>
    </row>
    <row r="133" spans="1:10" x14ac:dyDescent="0.2">
      <c r="A133" s="12" t="s">
        <v>1870</v>
      </c>
      <c r="B133" s="12" t="s">
        <v>9519</v>
      </c>
      <c r="F133" s="12" t="s">
        <v>9754</v>
      </c>
      <c r="G133" s="12" t="s">
        <v>9755</v>
      </c>
      <c r="H133" s="12">
        <v>2018</v>
      </c>
      <c r="I133" s="13" t="s">
        <v>9756</v>
      </c>
      <c r="J133" s="12" t="s">
        <v>539</v>
      </c>
    </row>
    <row r="134" spans="1:10" x14ac:dyDescent="0.2">
      <c r="A134" s="12" t="s">
        <v>9757</v>
      </c>
      <c r="B134" s="12" t="s">
        <v>9758</v>
      </c>
      <c r="F134" s="12" t="s">
        <v>9759</v>
      </c>
      <c r="G134" s="12" t="s">
        <v>9760</v>
      </c>
      <c r="H134" s="12">
        <v>2022</v>
      </c>
      <c r="I134" s="13" t="s">
        <v>9761</v>
      </c>
      <c r="J134" s="12" t="s">
        <v>539</v>
      </c>
    </row>
    <row r="135" spans="1:10" x14ac:dyDescent="0.2">
      <c r="A135" s="12" t="s">
        <v>9762</v>
      </c>
      <c r="B135" s="12" t="s">
        <v>4246</v>
      </c>
      <c r="F135" s="12" t="s">
        <v>4249</v>
      </c>
      <c r="G135" s="12" t="s">
        <v>9763</v>
      </c>
      <c r="H135" s="12">
        <v>2020</v>
      </c>
      <c r="I135" s="13" t="s">
        <v>9764</v>
      </c>
      <c r="J135" s="12" t="s">
        <v>9539</v>
      </c>
    </row>
    <row r="136" spans="1:10" x14ac:dyDescent="0.2">
      <c r="A136" s="12" t="s">
        <v>136</v>
      </c>
      <c r="B136" s="12" t="s">
        <v>1878</v>
      </c>
      <c r="D136" s="12">
        <v>26</v>
      </c>
      <c r="E136" s="12">
        <v>6</v>
      </c>
      <c r="F136" s="12" t="s">
        <v>1880</v>
      </c>
      <c r="G136" s="12" t="s">
        <v>9765</v>
      </c>
      <c r="H136" s="12">
        <v>2021</v>
      </c>
      <c r="I136" s="13" t="s">
        <v>9766</v>
      </c>
      <c r="J136" s="12" t="s">
        <v>9478</v>
      </c>
    </row>
    <row r="137" spans="1:10" x14ac:dyDescent="0.2">
      <c r="A137" s="12" t="s">
        <v>9767</v>
      </c>
      <c r="B137" s="12" t="s">
        <v>9768</v>
      </c>
      <c r="F137" s="12" t="s">
        <v>9769</v>
      </c>
      <c r="G137" s="12" t="s">
        <v>9770</v>
      </c>
      <c r="H137" s="12">
        <v>2022</v>
      </c>
      <c r="I137" s="13" t="s">
        <v>9771</v>
      </c>
      <c r="J137" s="12" t="s">
        <v>539</v>
      </c>
    </row>
    <row r="138" spans="1:10" x14ac:dyDescent="0.2">
      <c r="A138" s="12" t="s">
        <v>9275</v>
      </c>
      <c r="B138" s="12" t="s">
        <v>9772</v>
      </c>
      <c r="F138" s="12" t="s">
        <v>9773</v>
      </c>
      <c r="G138" s="12" t="s">
        <v>9774</v>
      </c>
      <c r="H138" s="12">
        <v>2022</v>
      </c>
      <c r="I138" s="13" t="s">
        <v>9775</v>
      </c>
      <c r="J138" s="12" t="s">
        <v>539</v>
      </c>
    </row>
    <row r="139" spans="1:10" x14ac:dyDescent="0.2">
      <c r="A139" s="12" t="s">
        <v>136</v>
      </c>
      <c r="B139" s="12" t="s">
        <v>3345</v>
      </c>
      <c r="D139" s="12">
        <v>26</v>
      </c>
      <c r="E139" s="12">
        <v>2</v>
      </c>
      <c r="F139" s="12" t="s">
        <v>3347</v>
      </c>
      <c r="G139" s="12" t="s">
        <v>9776</v>
      </c>
      <c r="H139" s="12">
        <v>2021</v>
      </c>
      <c r="I139" s="13" t="s">
        <v>9777</v>
      </c>
      <c r="J139" s="12" t="s">
        <v>9478</v>
      </c>
    </row>
    <row r="140" spans="1:10" x14ac:dyDescent="0.2">
      <c r="A140" s="12" t="s">
        <v>9778</v>
      </c>
      <c r="B140" s="12" t="s">
        <v>9779</v>
      </c>
      <c r="D140" s="12">
        <v>23</v>
      </c>
      <c r="E140" s="12">
        <v>5</v>
      </c>
      <c r="F140" s="12" t="s">
        <v>251</v>
      </c>
      <c r="G140" s="12" t="s">
        <v>9780</v>
      </c>
      <c r="H140" s="12">
        <v>2022</v>
      </c>
      <c r="I140" s="13" t="s">
        <v>9781</v>
      </c>
      <c r="J140" s="12" t="s">
        <v>9478</v>
      </c>
    </row>
    <row r="141" spans="1:10" x14ac:dyDescent="0.2">
      <c r="A141" s="12" t="s">
        <v>9782</v>
      </c>
      <c r="B141" s="12" t="s">
        <v>9783</v>
      </c>
      <c r="F141" s="12" t="s">
        <v>9784</v>
      </c>
      <c r="G141" s="12" t="s">
        <v>9785</v>
      </c>
      <c r="H141" s="12">
        <v>2023</v>
      </c>
      <c r="I141" s="13" t="s">
        <v>9786</v>
      </c>
      <c r="J141" s="12" t="s">
        <v>9478</v>
      </c>
    </row>
    <row r="142" spans="1:10" x14ac:dyDescent="0.2">
      <c r="A142" s="12" t="s">
        <v>1870</v>
      </c>
      <c r="B142" s="12" t="s">
        <v>9787</v>
      </c>
      <c r="F142" s="12" t="s">
        <v>9788</v>
      </c>
      <c r="G142" s="12" t="s">
        <v>9789</v>
      </c>
      <c r="H142" s="12">
        <v>2020</v>
      </c>
      <c r="I142" s="13" t="s">
        <v>9790</v>
      </c>
      <c r="J142" s="12" t="s">
        <v>539</v>
      </c>
    </row>
    <row r="143" spans="1:10" x14ac:dyDescent="0.2">
      <c r="A143" s="12" t="s">
        <v>9275</v>
      </c>
      <c r="B143" s="12" t="s">
        <v>9791</v>
      </c>
      <c r="F143" s="12" t="s">
        <v>9792</v>
      </c>
      <c r="G143" s="12" t="s">
        <v>9793</v>
      </c>
      <c r="H143" s="12">
        <v>2019</v>
      </c>
      <c r="I143" s="13" t="s">
        <v>9794</v>
      </c>
      <c r="J143" s="12" t="s">
        <v>539</v>
      </c>
    </row>
    <row r="144" spans="1:10" x14ac:dyDescent="0.2">
      <c r="A144" s="12" t="s">
        <v>676</v>
      </c>
      <c r="B144" s="12" t="s">
        <v>9795</v>
      </c>
      <c r="F144" s="12" t="s">
        <v>9796</v>
      </c>
      <c r="G144" s="12" t="s">
        <v>9797</v>
      </c>
      <c r="H144" s="12">
        <v>2022</v>
      </c>
      <c r="I144" s="13" t="s">
        <v>9798</v>
      </c>
      <c r="J144" s="12" t="s">
        <v>539</v>
      </c>
    </row>
    <row r="145" spans="1:10" x14ac:dyDescent="0.2">
      <c r="A145" s="12" t="s">
        <v>1927</v>
      </c>
      <c r="B145" s="12" t="s">
        <v>2857</v>
      </c>
      <c r="F145" s="12" t="s">
        <v>2860</v>
      </c>
      <c r="G145" s="12" t="s">
        <v>9799</v>
      </c>
      <c r="H145" s="12">
        <v>2021</v>
      </c>
      <c r="I145" s="13" t="s">
        <v>9800</v>
      </c>
      <c r="J145" s="12" t="s">
        <v>9539</v>
      </c>
    </row>
    <row r="146" spans="1:10" x14ac:dyDescent="0.2">
      <c r="A146" s="12" t="s">
        <v>462</v>
      </c>
      <c r="B146" s="12" t="s">
        <v>9801</v>
      </c>
      <c r="F146" s="12" t="s">
        <v>9802</v>
      </c>
      <c r="G146" s="12" t="s">
        <v>9803</v>
      </c>
      <c r="H146" s="12">
        <v>2021</v>
      </c>
      <c r="I146" s="13" t="s">
        <v>9804</v>
      </c>
      <c r="J146" s="12" t="s">
        <v>539</v>
      </c>
    </row>
    <row r="147" spans="1:10" x14ac:dyDescent="0.2">
      <c r="B147" s="12" t="s">
        <v>9805</v>
      </c>
      <c r="F147" s="12" t="s">
        <v>9806</v>
      </c>
      <c r="G147" s="12" t="s">
        <v>9807</v>
      </c>
      <c r="H147" s="12">
        <v>2022</v>
      </c>
      <c r="I147" s="13" t="s">
        <v>9808</v>
      </c>
      <c r="J147" s="12" t="s">
        <v>539</v>
      </c>
    </row>
    <row r="148" spans="1:10" x14ac:dyDescent="0.2">
      <c r="A148" s="12" t="s">
        <v>1870</v>
      </c>
      <c r="B148" s="12" t="s">
        <v>9722</v>
      </c>
      <c r="F148" s="12" t="s">
        <v>9809</v>
      </c>
      <c r="G148" s="12" t="s">
        <v>9810</v>
      </c>
      <c r="H148" s="12">
        <v>2021</v>
      </c>
      <c r="I148" s="13" t="s">
        <v>9811</v>
      </c>
      <c r="J148" s="12" t="s">
        <v>539</v>
      </c>
    </row>
    <row r="149" spans="1:10" x14ac:dyDescent="0.2">
      <c r="A149" s="12" t="s">
        <v>9812</v>
      </c>
      <c r="B149" s="12" t="s">
        <v>9813</v>
      </c>
      <c r="F149" s="12" t="s">
        <v>9814</v>
      </c>
      <c r="G149" s="12" t="s">
        <v>9815</v>
      </c>
      <c r="H149" s="12">
        <v>2022</v>
      </c>
      <c r="I149" s="13" t="s">
        <v>9816</v>
      </c>
      <c r="J149" s="12" t="s">
        <v>539</v>
      </c>
    </row>
    <row r="150" spans="1:10" x14ac:dyDescent="0.2">
      <c r="A150" s="12" t="s">
        <v>676</v>
      </c>
      <c r="B150" s="12" t="s">
        <v>9817</v>
      </c>
      <c r="F150" s="12" t="s">
        <v>9818</v>
      </c>
      <c r="G150" s="12" t="s">
        <v>9819</v>
      </c>
      <c r="H150" s="12">
        <v>2023</v>
      </c>
      <c r="I150" s="13" t="s">
        <v>9820</v>
      </c>
      <c r="J150" s="12" t="s">
        <v>539</v>
      </c>
    </row>
    <row r="151" spans="1:10" x14ac:dyDescent="0.2">
      <c r="A151" s="12" t="s">
        <v>9812</v>
      </c>
      <c r="B151" s="12" t="s">
        <v>9821</v>
      </c>
      <c r="F151" s="12" t="s">
        <v>9822</v>
      </c>
      <c r="G151" s="12" t="s">
        <v>9823</v>
      </c>
      <c r="H151" s="12">
        <v>2021</v>
      </c>
      <c r="I151" s="13" t="s">
        <v>9824</v>
      </c>
      <c r="J151" s="12" t="s">
        <v>539</v>
      </c>
    </row>
    <row r="152" spans="1:10" x14ac:dyDescent="0.2">
      <c r="A152" s="12" t="s">
        <v>9825</v>
      </c>
      <c r="B152" s="12" t="s">
        <v>9826</v>
      </c>
      <c r="F152" s="12" t="s">
        <v>9827</v>
      </c>
      <c r="G152" s="12" t="s">
        <v>9828</v>
      </c>
      <c r="H152" s="12">
        <v>2022</v>
      </c>
      <c r="I152" s="13" t="s">
        <v>9829</v>
      </c>
      <c r="J152" s="12" t="s">
        <v>539</v>
      </c>
    </row>
    <row r="153" spans="1:10" x14ac:dyDescent="0.2">
      <c r="A153" s="12" t="s">
        <v>9830</v>
      </c>
      <c r="B153" s="12" t="s">
        <v>9831</v>
      </c>
      <c r="F153" s="12" t="s">
        <v>9832</v>
      </c>
      <c r="G153" s="12" t="s">
        <v>9833</v>
      </c>
      <c r="H153" s="12">
        <v>2020</v>
      </c>
      <c r="I153" s="13" t="s">
        <v>9834</v>
      </c>
      <c r="J153" s="12" t="s">
        <v>539</v>
      </c>
    </row>
    <row r="154" spans="1:10" x14ac:dyDescent="0.2">
      <c r="A154" s="12" t="s">
        <v>462</v>
      </c>
      <c r="B154" s="12" t="s">
        <v>9835</v>
      </c>
      <c r="F154" s="12" t="s">
        <v>9836</v>
      </c>
      <c r="G154" s="12" t="s">
        <v>9837</v>
      </c>
      <c r="H154" s="12">
        <v>2022</v>
      </c>
      <c r="I154" s="13" t="s">
        <v>9838</v>
      </c>
      <c r="J154" s="12" t="s">
        <v>539</v>
      </c>
    </row>
    <row r="155" spans="1:10" x14ac:dyDescent="0.2">
      <c r="A155" s="12" t="s">
        <v>9839</v>
      </c>
      <c r="B155" s="12" t="s">
        <v>9840</v>
      </c>
      <c r="F155" s="12" t="s">
        <v>9841</v>
      </c>
      <c r="G155" s="12" t="s">
        <v>9842</v>
      </c>
      <c r="H155" s="12">
        <v>2021</v>
      </c>
      <c r="I155" s="13" t="s">
        <v>9843</v>
      </c>
      <c r="J155" s="12" t="s">
        <v>539</v>
      </c>
    </row>
    <row r="156" spans="1:10" x14ac:dyDescent="0.2">
      <c r="A156" s="12" t="s">
        <v>9844</v>
      </c>
      <c r="B156" s="12" t="s">
        <v>9845</v>
      </c>
      <c r="F156" s="12" t="s">
        <v>9846</v>
      </c>
      <c r="G156" s="12" t="s">
        <v>9847</v>
      </c>
      <c r="H156" s="12">
        <v>2023</v>
      </c>
      <c r="I156" s="13" t="s">
        <v>9848</v>
      </c>
      <c r="J156" s="12" t="s">
        <v>539</v>
      </c>
    </row>
    <row r="157" spans="1:10" x14ac:dyDescent="0.2">
      <c r="A157" s="12" t="s">
        <v>136</v>
      </c>
      <c r="B157" s="12" t="s">
        <v>438</v>
      </c>
      <c r="D157" s="12">
        <v>27</v>
      </c>
      <c r="E157" s="12">
        <v>2</v>
      </c>
      <c r="F157" s="12" t="s">
        <v>440</v>
      </c>
      <c r="G157" s="12" t="s">
        <v>9849</v>
      </c>
      <c r="H157" s="12">
        <v>2022</v>
      </c>
      <c r="I157" s="13" t="s">
        <v>9850</v>
      </c>
      <c r="J157" s="12" t="s">
        <v>9478</v>
      </c>
    </row>
    <row r="158" spans="1:10" x14ac:dyDescent="0.2">
      <c r="A158" s="12" t="s">
        <v>9275</v>
      </c>
      <c r="B158" s="12" t="s">
        <v>9851</v>
      </c>
      <c r="F158" s="12" t="s">
        <v>9852</v>
      </c>
      <c r="G158" s="12" t="s">
        <v>9853</v>
      </c>
      <c r="H158" s="12">
        <v>2022</v>
      </c>
      <c r="I158" s="13" t="s">
        <v>9854</v>
      </c>
      <c r="J158" s="12" t="s">
        <v>539</v>
      </c>
    </row>
    <row r="159" spans="1:10" x14ac:dyDescent="0.2">
      <c r="B159" s="12" t="s">
        <v>9855</v>
      </c>
      <c r="F159" s="12" t="s">
        <v>9856</v>
      </c>
      <c r="G159" s="12" t="s">
        <v>9857</v>
      </c>
      <c r="H159" s="12">
        <v>2022</v>
      </c>
      <c r="I159" s="13" t="s">
        <v>9858</v>
      </c>
      <c r="J159" s="12" t="s">
        <v>539</v>
      </c>
    </row>
    <row r="160" spans="1:10" x14ac:dyDescent="0.2">
      <c r="B160" s="12" t="s">
        <v>9859</v>
      </c>
      <c r="F160" s="12" t="s">
        <v>9860</v>
      </c>
      <c r="G160" s="12" t="s">
        <v>9861</v>
      </c>
      <c r="H160" s="12">
        <v>2019</v>
      </c>
      <c r="I160" s="13" t="s">
        <v>9862</v>
      </c>
      <c r="J160" s="12" t="s">
        <v>539</v>
      </c>
    </row>
    <row r="161" spans="1:10" x14ac:dyDescent="0.2">
      <c r="A161" s="12" t="s">
        <v>136</v>
      </c>
      <c r="B161" s="12" t="s">
        <v>9863</v>
      </c>
      <c r="D161" s="12">
        <v>27</v>
      </c>
      <c r="E161" s="12">
        <v>6</v>
      </c>
      <c r="F161" s="12" t="s">
        <v>204</v>
      </c>
      <c r="G161" s="12" t="s">
        <v>9864</v>
      </c>
      <c r="H161" s="12">
        <v>2022</v>
      </c>
      <c r="I161" s="13" t="s">
        <v>9865</v>
      </c>
      <c r="J161" s="12" t="s">
        <v>9478</v>
      </c>
    </row>
    <row r="162" spans="1:10" x14ac:dyDescent="0.2">
      <c r="A162" s="12" t="s">
        <v>9866</v>
      </c>
      <c r="B162" s="12" t="s">
        <v>9867</v>
      </c>
      <c r="F162" s="12" t="s">
        <v>9868</v>
      </c>
      <c r="G162" s="12" t="s">
        <v>9869</v>
      </c>
      <c r="H162" s="12">
        <v>2018</v>
      </c>
      <c r="I162" s="13" t="s">
        <v>9870</v>
      </c>
      <c r="J162" s="12" t="s">
        <v>9539</v>
      </c>
    </row>
    <row r="163" spans="1:10" x14ac:dyDescent="0.2">
      <c r="A163" s="12" t="s">
        <v>1623</v>
      </c>
      <c r="B163" s="12" t="s">
        <v>1622</v>
      </c>
      <c r="D163" s="12">
        <v>12</v>
      </c>
      <c r="E163" s="12">
        <v>1</v>
      </c>
      <c r="F163" s="12" t="s">
        <v>1626</v>
      </c>
      <c r="G163" s="12" t="s">
        <v>9871</v>
      </c>
      <c r="H163" s="12">
        <v>2021</v>
      </c>
      <c r="I163" s="13" t="s">
        <v>9872</v>
      </c>
      <c r="J163" s="12" t="s">
        <v>9478</v>
      </c>
    </row>
    <row r="164" spans="1:10" x14ac:dyDescent="0.2">
      <c r="A164" s="12" t="s">
        <v>136</v>
      </c>
      <c r="B164" s="12" t="s">
        <v>235</v>
      </c>
      <c r="D164" s="12">
        <v>27</v>
      </c>
      <c r="E164" s="12">
        <v>7</v>
      </c>
      <c r="F164" s="12" t="s">
        <v>237</v>
      </c>
      <c r="G164" s="12" t="s">
        <v>9873</v>
      </c>
      <c r="H164" s="12">
        <v>2022</v>
      </c>
      <c r="I164" s="13" t="s">
        <v>9874</v>
      </c>
      <c r="J164" s="12" t="s">
        <v>9478</v>
      </c>
    </row>
    <row r="165" spans="1:10" x14ac:dyDescent="0.2">
      <c r="B165" s="12" t="s">
        <v>9875</v>
      </c>
      <c r="F165" s="12" t="s">
        <v>9876</v>
      </c>
      <c r="G165" s="12" t="s">
        <v>9877</v>
      </c>
      <c r="H165" s="12">
        <v>2022</v>
      </c>
      <c r="I165" s="13" t="s">
        <v>9878</v>
      </c>
      <c r="J165" s="12" t="s">
        <v>539</v>
      </c>
    </row>
    <row r="166" spans="1:10" x14ac:dyDescent="0.2">
      <c r="A166" s="12" t="s">
        <v>9879</v>
      </c>
      <c r="B166" s="12" t="s">
        <v>9880</v>
      </c>
      <c r="F166" s="12" t="s">
        <v>9881</v>
      </c>
      <c r="G166" s="12" t="s">
        <v>9882</v>
      </c>
      <c r="H166" s="12">
        <v>2022</v>
      </c>
      <c r="I166" s="13" t="s">
        <v>9883</v>
      </c>
      <c r="J166" s="12" t="s">
        <v>539</v>
      </c>
    </row>
    <row r="167" spans="1:10" x14ac:dyDescent="0.2">
      <c r="A167" s="12" t="s">
        <v>9472</v>
      </c>
      <c r="B167" s="12" t="s">
        <v>9884</v>
      </c>
      <c r="F167" s="12" t="s">
        <v>1082</v>
      </c>
      <c r="G167" s="12" t="s">
        <v>9885</v>
      </c>
      <c r="H167" s="12">
        <v>2022</v>
      </c>
      <c r="I167" s="13" t="s">
        <v>9886</v>
      </c>
      <c r="J167" s="12" t="s">
        <v>9539</v>
      </c>
    </row>
    <row r="168" spans="1:10" x14ac:dyDescent="0.2">
      <c r="A168" s="12" t="s">
        <v>136</v>
      </c>
      <c r="B168" s="12" t="s">
        <v>906</v>
      </c>
      <c r="D168" s="12">
        <v>27</v>
      </c>
      <c r="E168" s="12">
        <v>4</v>
      </c>
      <c r="F168" s="12" t="s">
        <v>908</v>
      </c>
      <c r="G168" s="12" t="s">
        <v>9887</v>
      </c>
      <c r="H168" s="12">
        <v>2022</v>
      </c>
      <c r="I168" s="13" t="s">
        <v>9888</v>
      </c>
      <c r="J168" s="12" t="s">
        <v>9478</v>
      </c>
    </row>
    <row r="169" spans="1:10" x14ac:dyDescent="0.2">
      <c r="A169" s="12" t="s">
        <v>9275</v>
      </c>
      <c r="B169" s="12" t="s">
        <v>9889</v>
      </c>
      <c r="F169" s="12" t="s">
        <v>9890</v>
      </c>
      <c r="G169" s="12" t="s">
        <v>9891</v>
      </c>
      <c r="H169" s="12">
        <v>2022</v>
      </c>
      <c r="I169" s="13" t="s">
        <v>9892</v>
      </c>
      <c r="J169" s="12" t="s">
        <v>539</v>
      </c>
    </row>
    <row r="170" spans="1:10" x14ac:dyDescent="0.2">
      <c r="B170" s="12" t="s">
        <v>9893</v>
      </c>
      <c r="F170" s="12" t="s">
        <v>9894</v>
      </c>
      <c r="G170" s="12" t="s">
        <v>9895</v>
      </c>
      <c r="H170" s="12">
        <v>2021</v>
      </c>
      <c r="I170" s="13" t="s">
        <v>9896</v>
      </c>
      <c r="J170" s="12" t="s">
        <v>539</v>
      </c>
    </row>
    <row r="171" spans="1:10" x14ac:dyDescent="0.2">
      <c r="B171" s="12" t="s">
        <v>9897</v>
      </c>
      <c r="F171" s="12" t="s">
        <v>9898</v>
      </c>
      <c r="G171" s="12" t="s">
        <v>9899</v>
      </c>
      <c r="H171" s="12">
        <v>2022</v>
      </c>
      <c r="I171" s="13" t="s">
        <v>9900</v>
      </c>
      <c r="J171" s="12" t="s">
        <v>539</v>
      </c>
    </row>
    <row r="172" spans="1:10" x14ac:dyDescent="0.2">
      <c r="A172" s="12" t="s">
        <v>9275</v>
      </c>
      <c r="B172" s="12" t="s">
        <v>9889</v>
      </c>
      <c r="F172" s="12" t="s">
        <v>9901</v>
      </c>
      <c r="G172" s="12" t="s">
        <v>9902</v>
      </c>
      <c r="H172" s="12">
        <v>2022</v>
      </c>
      <c r="I172" s="13" t="s">
        <v>9903</v>
      </c>
      <c r="J172" s="12" t="s">
        <v>539</v>
      </c>
    </row>
    <row r="173" spans="1:10" x14ac:dyDescent="0.2">
      <c r="B173" s="12" t="s">
        <v>9904</v>
      </c>
      <c r="F173" s="12" t="s">
        <v>9905</v>
      </c>
      <c r="G173" s="12" t="s">
        <v>9906</v>
      </c>
      <c r="H173" s="12">
        <v>2021</v>
      </c>
      <c r="I173" s="13" t="s">
        <v>9907</v>
      </c>
      <c r="J173" s="12" t="s">
        <v>539</v>
      </c>
    </row>
    <row r="174" spans="1:10" x14ac:dyDescent="0.2">
      <c r="A174" s="12" t="s">
        <v>2166</v>
      </c>
      <c r="B174" s="12" t="s">
        <v>3173</v>
      </c>
      <c r="D174" s="12">
        <v>2</v>
      </c>
      <c r="E174" s="12">
        <v>1</v>
      </c>
      <c r="F174" s="12" t="s">
        <v>3175</v>
      </c>
      <c r="G174" s="12" t="s">
        <v>9908</v>
      </c>
      <c r="H174" s="12">
        <v>2021</v>
      </c>
      <c r="I174" s="13" t="s">
        <v>9909</v>
      </c>
      <c r="J174" s="12" t="s">
        <v>9478</v>
      </c>
    </row>
    <row r="175" spans="1:10" x14ac:dyDescent="0.2">
      <c r="A175" s="12" t="s">
        <v>1927</v>
      </c>
      <c r="B175" s="12" t="s">
        <v>4372</v>
      </c>
      <c r="F175" s="12" t="s">
        <v>4376</v>
      </c>
      <c r="G175" s="12" t="s">
        <v>9910</v>
      </c>
      <c r="H175" s="12">
        <v>2020</v>
      </c>
      <c r="I175" s="13" t="s">
        <v>9911</v>
      </c>
      <c r="J175" s="12" t="s">
        <v>9539</v>
      </c>
    </row>
    <row r="176" spans="1:10" x14ac:dyDescent="0.2">
      <c r="A176" s="12" t="s">
        <v>136</v>
      </c>
      <c r="B176" s="12" t="s">
        <v>5195</v>
      </c>
      <c r="D176" s="12">
        <v>22</v>
      </c>
      <c r="E176" s="12">
        <v>3</v>
      </c>
      <c r="F176" s="12" t="s">
        <v>5198</v>
      </c>
      <c r="G176" s="12" t="s">
        <v>9912</v>
      </c>
      <c r="H176" s="12">
        <v>2017</v>
      </c>
      <c r="I176" s="13" t="s">
        <v>9913</v>
      </c>
      <c r="J176" s="12" t="s">
        <v>9478</v>
      </c>
    </row>
    <row r="177" spans="1:10" x14ac:dyDescent="0.2">
      <c r="A177" s="12" t="s">
        <v>9275</v>
      </c>
      <c r="B177" s="12" t="s">
        <v>9481</v>
      </c>
      <c r="F177" s="12" t="s">
        <v>9914</v>
      </c>
      <c r="G177" s="12" t="s">
        <v>9915</v>
      </c>
      <c r="H177" s="12">
        <v>2022</v>
      </c>
      <c r="I177" s="13" t="s">
        <v>9916</v>
      </c>
      <c r="J177" s="12" t="s">
        <v>539</v>
      </c>
    </row>
    <row r="178" spans="1:10" x14ac:dyDescent="0.2">
      <c r="A178" s="12" t="s">
        <v>462</v>
      </c>
      <c r="B178" s="12" t="s">
        <v>9917</v>
      </c>
      <c r="F178" s="12" t="s">
        <v>9918</v>
      </c>
      <c r="G178" s="12" t="s">
        <v>9919</v>
      </c>
      <c r="H178" s="12">
        <v>2022</v>
      </c>
      <c r="I178" s="13" t="s">
        <v>9920</v>
      </c>
      <c r="J178" s="12" t="s">
        <v>539</v>
      </c>
    </row>
    <row r="179" spans="1:10" x14ac:dyDescent="0.2">
      <c r="A179" s="12" t="s">
        <v>9921</v>
      </c>
      <c r="B179" s="12" t="s">
        <v>9922</v>
      </c>
      <c r="F179" s="12" t="s">
        <v>9923</v>
      </c>
      <c r="G179" s="12" t="s">
        <v>9924</v>
      </c>
      <c r="H179" s="12">
        <v>2021</v>
      </c>
      <c r="I179" s="13" t="s">
        <v>9925</v>
      </c>
      <c r="J179" s="12" t="s">
        <v>539</v>
      </c>
    </row>
    <row r="180" spans="1:10" x14ac:dyDescent="0.2">
      <c r="B180" s="12" t="s">
        <v>9926</v>
      </c>
      <c r="F180" s="12" t="s">
        <v>9927</v>
      </c>
      <c r="G180" s="12" t="s">
        <v>9928</v>
      </c>
      <c r="H180" s="12">
        <v>2022</v>
      </c>
      <c r="I180" s="13" t="s">
        <v>9929</v>
      </c>
      <c r="J180" s="12" t="s">
        <v>539</v>
      </c>
    </row>
    <row r="181" spans="1:10" x14ac:dyDescent="0.2">
      <c r="A181" s="12" t="s">
        <v>179</v>
      </c>
      <c r="B181" s="12" t="s">
        <v>178</v>
      </c>
      <c r="D181" s="12">
        <v>37</v>
      </c>
      <c r="E181" s="12">
        <v>1</v>
      </c>
      <c r="F181" s="12" t="s">
        <v>183</v>
      </c>
      <c r="G181" s="12" t="s">
        <v>9930</v>
      </c>
      <c r="H181" s="12">
        <v>2022</v>
      </c>
      <c r="I181" s="13" t="s">
        <v>9931</v>
      </c>
      <c r="J181" s="12" t="s">
        <v>9478</v>
      </c>
    </row>
    <row r="182" spans="1:10" x14ac:dyDescent="0.2">
      <c r="A182" s="12" t="s">
        <v>9730</v>
      </c>
      <c r="B182" s="12" t="s">
        <v>4978</v>
      </c>
      <c r="F182" s="12" t="s">
        <v>4982</v>
      </c>
      <c r="G182" s="12" t="s">
        <v>9932</v>
      </c>
      <c r="H182" s="12">
        <v>2020</v>
      </c>
      <c r="I182" s="13" t="s">
        <v>9933</v>
      </c>
      <c r="J182" s="12" t="s">
        <v>9539</v>
      </c>
    </row>
    <row r="183" spans="1:10" x14ac:dyDescent="0.2">
      <c r="A183" s="12" t="s">
        <v>9343</v>
      </c>
      <c r="B183" s="12" t="s">
        <v>9934</v>
      </c>
      <c r="F183" s="12" t="s">
        <v>1697</v>
      </c>
      <c r="G183" s="12" t="s">
        <v>9935</v>
      </c>
      <c r="H183" s="12">
        <v>2022</v>
      </c>
      <c r="I183" s="13" t="s">
        <v>9936</v>
      </c>
      <c r="J183" s="12" t="s">
        <v>9539</v>
      </c>
    </row>
    <row r="184" spans="1:10" x14ac:dyDescent="0.2">
      <c r="A184" s="12" t="s">
        <v>523</v>
      </c>
      <c r="B184" s="12" t="s">
        <v>9937</v>
      </c>
      <c r="D184" s="12">
        <v>27</v>
      </c>
      <c r="E184" s="12">
        <v>3</v>
      </c>
      <c r="F184" s="12" t="s">
        <v>9938</v>
      </c>
      <c r="G184" s="12" t="s">
        <v>9939</v>
      </c>
      <c r="H184" s="12">
        <v>2019</v>
      </c>
      <c r="I184" s="13" t="s">
        <v>9940</v>
      </c>
      <c r="J184" s="12" t="s">
        <v>9478</v>
      </c>
    </row>
    <row r="185" spans="1:10" x14ac:dyDescent="0.2">
      <c r="A185" s="12" t="s">
        <v>9302</v>
      </c>
      <c r="B185" s="12" t="s">
        <v>3800</v>
      </c>
      <c r="F185" s="12" t="s">
        <v>3804</v>
      </c>
      <c r="G185" s="12" t="s">
        <v>9935</v>
      </c>
      <c r="H185" s="12">
        <v>2021</v>
      </c>
      <c r="I185" s="13" t="s">
        <v>9941</v>
      </c>
      <c r="J185" s="12" t="s">
        <v>9539</v>
      </c>
    </row>
    <row r="186" spans="1:10" x14ac:dyDescent="0.2">
      <c r="A186" s="12" t="s">
        <v>676</v>
      </c>
      <c r="B186" s="12" t="s">
        <v>9942</v>
      </c>
      <c r="F186" s="12" t="s">
        <v>9943</v>
      </c>
      <c r="G186" s="12" t="s">
        <v>9944</v>
      </c>
      <c r="H186" s="12">
        <v>2022</v>
      </c>
      <c r="I186" s="13" t="s">
        <v>9945</v>
      </c>
      <c r="J186" s="12" t="s">
        <v>539</v>
      </c>
    </row>
    <row r="187" spans="1:10" x14ac:dyDescent="0.2">
      <c r="A187" s="12" t="s">
        <v>9276</v>
      </c>
      <c r="B187" s="12" t="s">
        <v>9946</v>
      </c>
      <c r="F187" s="12" t="s">
        <v>5237</v>
      </c>
      <c r="G187" s="12" t="s">
        <v>9947</v>
      </c>
      <c r="H187" s="12">
        <v>2017</v>
      </c>
      <c r="I187" s="13" t="s">
        <v>9948</v>
      </c>
      <c r="J187" s="12" t="s">
        <v>9539</v>
      </c>
    </row>
    <row r="188" spans="1:10" x14ac:dyDescent="0.2">
      <c r="A188" s="12" t="s">
        <v>9339</v>
      </c>
      <c r="B188" s="12" t="s">
        <v>9949</v>
      </c>
      <c r="F188" s="12" t="s">
        <v>9950</v>
      </c>
      <c r="G188" s="12" t="s">
        <v>9341</v>
      </c>
      <c r="H188" s="12">
        <v>2023</v>
      </c>
      <c r="I188" s="13" t="s">
        <v>9951</v>
      </c>
      <c r="J188" s="12" t="s">
        <v>9539</v>
      </c>
    </row>
    <row r="189" spans="1:10" x14ac:dyDescent="0.2">
      <c r="A189" s="12" t="s">
        <v>9276</v>
      </c>
      <c r="B189" s="12" t="s">
        <v>9952</v>
      </c>
      <c r="F189" s="12" t="s">
        <v>9953</v>
      </c>
      <c r="G189" s="12" t="s">
        <v>9954</v>
      </c>
      <c r="H189" s="12">
        <v>2020</v>
      </c>
      <c r="I189" s="13" t="s">
        <v>9955</v>
      </c>
      <c r="J189" s="12" t="s">
        <v>9539</v>
      </c>
    </row>
    <row r="190" spans="1:10" x14ac:dyDescent="0.2">
      <c r="B190" s="12" t="s">
        <v>9956</v>
      </c>
      <c r="F190" s="12" t="s">
        <v>9957</v>
      </c>
      <c r="G190" s="12" t="s">
        <v>9958</v>
      </c>
      <c r="H190" s="12">
        <v>2022</v>
      </c>
      <c r="I190" s="13" t="s">
        <v>9959</v>
      </c>
      <c r="J190" s="12" t="s">
        <v>539</v>
      </c>
    </row>
    <row r="191" spans="1:10" x14ac:dyDescent="0.2">
      <c r="A191" s="12" t="s">
        <v>9481</v>
      </c>
      <c r="B191" s="12" t="s">
        <v>9960</v>
      </c>
      <c r="F191" s="12" t="s">
        <v>9961</v>
      </c>
      <c r="G191" s="12" t="s">
        <v>9962</v>
      </c>
      <c r="H191" s="12">
        <v>2020</v>
      </c>
      <c r="I191" s="13" t="s">
        <v>9963</v>
      </c>
      <c r="J191" s="12" t="s">
        <v>9539</v>
      </c>
    </row>
    <row r="192" spans="1:10" x14ac:dyDescent="0.2">
      <c r="A192" s="12" t="s">
        <v>9504</v>
      </c>
      <c r="B192" s="12" t="s">
        <v>9964</v>
      </c>
      <c r="F192" s="12" t="s">
        <v>9965</v>
      </c>
      <c r="G192" s="12" t="s">
        <v>9966</v>
      </c>
      <c r="H192" s="12">
        <v>2022</v>
      </c>
      <c r="I192" s="13" t="s">
        <v>9967</v>
      </c>
      <c r="J192" s="12" t="s">
        <v>9539</v>
      </c>
    </row>
    <row r="193" spans="1:10" x14ac:dyDescent="0.2">
      <c r="A193" s="12" t="s">
        <v>9968</v>
      </c>
      <c r="B193" s="12" t="s">
        <v>9969</v>
      </c>
      <c r="F193" s="12" t="s">
        <v>9970</v>
      </c>
      <c r="G193" s="12" t="s">
        <v>9971</v>
      </c>
      <c r="H193" s="12">
        <v>2019</v>
      </c>
      <c r="I193" s="13" t="s">
        <v>9972</v>
      </c>
      <c r="J193" s="12" t="s">
        <v>9539</v>
      </c>
    </row>
    <row r="194" spans="1:10" x14ac:dyDescent="0.2">
      <c r="A194" s="12" t="s">
        <v>523</v>
      </c>
      <c r="B194" s="12" t="s">
        <v>1114</v>
      </c>
      <c r="D194" s="12">
        <v>30</v>
      </c>
      <c r="E194" s="12">
        <v>3</v>
      </c>
      <c r="F194" s="12" t="s">
        <v>1117</v>
      </c>
      <c r="G194" s="12" t="s">
        <v>9973</v>
      </c>
      <c r="H194" s="12">
        <v>2022</v>
      </c>
      <c r="I194" s="13" t="s">
        <v>9974</v>
      </c>
      <c r="J194" s="12" t="s">
        <v>9478</v>
      </c>
    </row>
    <row r="195" spans="1:10" x14ac:dyDescent="0.2">
      <c r="A195" s="12" t="s">
        <v>9975</v>
      </c>
      <c r="B195" s="12" t="s">
        <v>9976</v>
      </c>
      <c r="F195" s="12" t="s">
        <v>9977</v>
      </c>
      <c r="G195" s="12" t="s">
        <v>9978</v>
      </c>
      <c r="H195" s="12">
        <v>2020</v>
      </c>
      <c r="I195" s="13" t="s">
        <v>9979</v>
      </c>
      <c r="J195" s="12" t="s">
        <v>9539</v>
      </c>
    </row>
    <row r="196" spans="1:10" x14ac:dyDescent="0.2">
      <c r="B196" s="12" t="s">
        <v>9980</v>
      </c>
      <c r="F196" s="12" t="s">
        <v>9981</v>
      </c>
      <c r="G196" s="12" t="s">
        <v>9982</v>
      </c>
      <c r="H196" s="12">
        <v>2022</v>
      </c>
      <c r="I196" s="13" t="s">
        <v>9983</v>
      </c>
      <c r="J196" s="12" t="s">
        <v>539</v>
      </c>
    </row>
    <row r="197" spans="1:10" x14ac:dyDescent="0.2">
      <c r="A197" s="12" t="s">
        <v>676</v>
      </c>
      <c r="B197" s="12" t="s">
        <v>9984</v>
      </c>
      <c r="F197" s="12" t="s">
        <v>9985</v>
      </c>
      <c r="G197" s="12" t="s">
        <v>9986</v>
      </c>
      <c r="H197" s="12">
        <v>2022</v>
      </c>
      <c r="I197" s="13" t="s">
        <v>9987</v>
      </c>
      <c r="J197" s="12" t="s">
        <v>539</v>
      </c>
    </row>
    <row r="198" spans="1:10" x14ac:dyDescent="0.2">
      <c r="A198" s="12" t="s">
        <v>1870</v>
      </c>
      <c r="B198" s="12" t="s">
        <v>9715</v>
      </c>
      <c r="F198" s="12" t="s">
        <v>9988</v>
      </c>
      <c r="G198" s="12" t="s">
        <v>9717</v>
      </c>
      <c r="H198" s="12">
        <v>2022</v>
      </c>
      <c r="I198" s="13" t="s">
        <v>9989</v>
      </c>
      <c r="J198" s="12" t="s">
        <v>539</v>
      </c>
    </row>
    <row r="199" spans="1:10" x14ac:dyDescent="0.2">
      <c r="A199" s="12" t="s">
        <v>2786</v>
      </c>
      <c r="B199" s="12" t="s">
        <v>2785</v>
      </c>
      <c r="D199" s="12">
        <v>7</v>
      </c>
      <c r="E199" s="12">
        <v>1</v>
      </c>
      <c r="F199" s="12" t="s">
        <v>2789</v>
      </c>
      <c r="G199" s="12" t="s">
        <v>9990</v>
      </c>
      <c r="H199" s="12">
        <v>2020</v>
      </c>
      <c r="I199" s="13" t="s">
        <v>9991</v>
      </c>
      <c r="J199" s="12" t="s">
        <v>9478</v>
      </c>
    </row>
    <row r="200" spans="1:10" x14ac:dyDescent="0.2">
      <c r="A200" s="12" t="s">
        <v>9992</v>
      </c>
      <c r="B200" s="12" t="s">
        <v>9993</v>
      </c>
      <c r="F200" s="12" t="s">
        <v>9994</v>
      </c>
      <c r="G200" s="12" t="s">
        <v>9995</v>
      </c>
      <c r="H200" s="12">
        <v>2018</v>
      </c>
      <c r="I200" s="13" t="s">
        <v>9996</v>
      </c>
      <c r="J200" s="12" t="s">
        <v>9539</v>
      </c>
    </row>
    <row r="201" spans="1:10" x14ac:dyDescent="0.2">
      <c r="A201" s="12" t="s">
        <v>9997</v>
      </c>
      <c r="B201" s="12" t="s">
        <v>9998</v>
      </c>
      <c r="D201" s="12">
        <v>45</v>
      </c>
      <c r="E201" s="12">
        <v>5</v>
      </c>
      <c r="F201" s="12" t="s">
        <v>9999</v>
      </c>
      <c r="G201" s="12" t="s">
        <v>10000</v>
      </c>
      <c r="H201" s="12">
        <v>2022</v>
      </c>
      <c r="I201" s="13" t="s">
        <v>10001</v>
      </c>
      <c r="J201" s="12" t="s">
        <v>9478</v>
      </c>
    </row>
    <row r="202" spans="1:10" x14ac:dyDescent="0.2">
      <c r="A202" s="12" t="s">
        <v>803</v>
      </c>
      <c r="B202" s="12" t="s">
        <v>10002</v>
      </c>
      <c r="D202" s="12">
        <v>18</v>
      </c>
      <c r="E202" s="12">
        <v>2</v>
      </c>
      <c r="F202" s="12" t="s">
        <v>10003</v>
      </c>
      <c r="G202" s="12" t="s">
        <v>10004</v>
      </c>
      <c r="H202" s="12">
        <v>2022</v>
      </c>
      <c r="I202" s="13" t="s">
        <v>10005</v>
      </c>
      <c r="J202" s="12" t="s">
        <v>9478</v>
      </c>
    </row>
    <row r="203" spans="1:10" x14ac:dyDescent="0.2">
      <c r="A203" s="12" t="s">
        <v>9403</v>
      </c>
      <c r="B203" s="12" t="s">
        <v>10006</v>
      </c>
      <c r="F203" s="12" t="s">
        <v>10007</v>
      </c>
      <c r="G203" s="12" t="s">
        <v>10008</v>
      </c>
      <c r="H203" s="12">
        <v>2022</v>
      </c>
      <c r="I203" s="13" t="s">
        <v>10009</v>
      </c>
      <c r="J203" s="12" t="s">
        <v>9539</v>
      </c>
    </row>
    <row r="204" spans="1:10" x14ac:dyDescent="0.2">
      <c r="A204" s="12" t="s">
        <v>9290</v>
      </c>
      <c r="B204" s="12" t="s">
        <v>10010</v>
      </c>
      <c r="F204" s="12" t="s">
        <v>10011</v>
      </c>
      <c r="G204" s="12" t="s">
        <v>10012</v>
      </c>
      <c r="H204" s="12">
        <v>2021</v>
      </c>
      <c r="I204" s="13" t="s">
        <v>10013</v>
      </c>
      <c r="J204" s="12" t="s">
        <v>9539</v>
      </c>
    </row>
    <row r="205" spans="1:10" x14ac:dyDescent="0.2">
      <c r="A205" s="12" t="s">
        <v>9276</v>
      </c>
      <c r="B205" s="12" t="s">
        <v>1013</v>
      </c>
      <c r="F205" s="12" t="s">
        <v>1017</v>
      </c>
      <c r="G205" s="12" t="s">
        <v>10014</v>
      </c>
      <c r="H205" s="12">
        <v>2022</v>
      </c>
      <c r="I205" s="13" t="s">
        <v>10015</v>
      </c>
      <c r="J205" s="12" t="s">
        <v>9539</v>
      </c>
    </row>
    <row r="206" spans="1:10" x14ac:dyDescent="0.2">
      <c r="A206" s="12" t="s">
        <v>9839</v>
      </c>
      <c r="B206" s="12" t="s">
        <v>10016</v>
      </c>
      <c r="F206" s="12" t="s">
        <v>10017</v>
      </c>
      <c r="G206" s="12" t="s">
        <v>10018</v>
      </c>
      <c r="H206" s="12">
        <v>2022</v>
      </c>
      <c r="I206" s="13" t="s">
        <v>10019</v>
      </c>
      <c r="J206" s="12" t="s">
        <v>539</v>
      </c>
    </row>
    <row r="207" spans="1:10" x14ac:dyDescent="0.2">
      <c r="B207" s="12" t="s">
        <v>10020</v>
      </c>
      <c r="F207" s="12" t="s">
        <v>10021</v>
      </c>
      <c r="G207" s="12" t="s">
        <v>10022</v>
      </c>
      <c r="H207" s="12">
        <v>2019</v>
      </c>
      <c r="I207" s="13" t="s">
        <v>10023</v>
      </c>
      <c r="J207" s="12" t="s">
        <v>539</v>
      </c>
    </row>
    <row r="208" spans="1:10" x14ac:dyDescent="0.2">
      <c r="A208" s="12" t="s">
        <v>9290</v>
      </c>
      <c r="B208" s="12" t="s">
        <v>10024</v>
      </c>
      <c r="F208" s="12" t="s">
        <v>10025</v>
      </c>
      <c r="G208" s="12" t="s">
        <v>10026</v>
      </c>
      <c r="H208" s="12">
        <v>2021</v>
      </c>
      <c r="I208" s="13" t="s">
        <v>10027</v>
      </c>
      <c r="J208" s="12" t="s">
        <v>9539</v>
      </c>
    </row>
    <row r="209" spans="1:10" x14ac:dyDescent="0.2">
      <c r="A209" s="12" t="s">
        <v>9276</v>
      </c>
      <c r="B209" s="12" t="s">
        <v>10028</v>
      </c>
      <c r="F209" s="12" t="s">
        <v>10029</v>
      </c>
      <c r="G209" s="12" t="s">
        <v>10030</v>
      </c>
      <c r="H209" s="12">
        <v>2022</v>
      </c>
      <c r="I209" s="13" t="s">
        <v>10031</v>
      </c>
      <c r="J209" s="12" t="s">
        <v>9539</v>
      </c>
    </row>
    <row r="210" spans="1:10" x14ac:dyDescent="0.2">
      <c r="A210" s="12" t="s">
        <v>10032</v>
      </c>
      <c r="B210" s="12" t="s">
        <v>10033</v>
      </c>
      <c r="F210" s="12" t="s">
        <v>5901</v>
      </c>
      <c r="G210" s="12" t="s">
        <v>10034</v>
      </c>
      <c r="H210" s="12">
        <v>2018</v>
      </c>
      <c r="I210" s="13" t="s">
        <v>10035</v>
      </c>
      <c r="J210" s="12" t="s">
        <v>9539</v>
      </c>
    </row>
    <row r="211" spans="1:10" x14ac:dyDescent="0.2">
      <c r="A211" s="12" t="s">
        <v>136</v>
      </c>
      <c r="B211" s="12" t="s">
        <v>10036</v>
      </c>
      <c r="D211" s="12">
        <v>26</v>
      </c>
      <c r="E211" s="12">
        <v>5</v>
      </c>
      <c r="F211" s="12" t="s">
        <v>10037</v>
      </c>
      <c r="G211" s="12" t="s">
        <v>10038</v>
      </c>
      <c r="H211" s="12">
        <v>2021</v>
      </c>
      <c r="I211" s="13" t="s">
        <v>10039</v>
      </c>
      <c r="J211" s="12" t="s">
        <v>9478</v>
      </c>
    </row>
    <row r="212" spans="1:10" x14ac:dyDescent="0.2">
      <c r="B212" s="12" t="s">
        <v>10040</v>
      </c>
      <c r="F212" s="12" t="s">
        <v>10041</v>
      </c>
      <c r="G212" s="12" t="s">
        <v>10042</v>
      </c>
      <c r="H212" s="12">
        <v>2021</v>
      </c>
      <c r="I212" s="13" t="s">
        <v>10043</v>
      </c>
      <c r="J212" s="12" t="s">
        <v>539</v>
      </c>
    </row>
    <row r="213" spans="1:10" x14ac:dyDescent="0.2">
      <c r="A213" s="12" t="s">
        <v>582</v>
      </c>
      <c r="B213" s="12" t="s">
        <v>121</v>
      </c>
      <c r="D213" s="12">
        <v>29</v>
      </c>
      <c r="E213" s="12">
        <v>1</v>
      </c>
      <c r="F213" s="12" t="s">
        <v>123</v>
      </c>
      <c r="G213" s="12" t="s">
        <v>10044</v>
      </c>
      <c r="H213" s="12">
        <v>2021</v>
      </c>
      <c r="I213" s="13" t="s">
        <v>10045</v>
      </c>
      <c r="J213" s="12" t="s">
        <v>9478</v>
      </c>
    </row>
    <row r="214" spans="1:10" x14ac:dyDescent="0.2">
      <c r="A214" s="12" t="s">
        <v>10046</v>
      </c>
      <c r="B214" s="12" t="s">
        <v>10047</v>
      </c>
      <c r="F214" s="12" t="s">
        <v>10048</v>
      </c>
      <c r="G214" s="12" t="s">
        <v>9847</v>
      </c>
      <c r="H214" s="12">
        <v>2022</v>
      </c>
      <c r="I214" s="13" t="s">
        <v>10049</v>
      </c>
      <c r="J214" s="12" t="s">
        <v>539</v>
      </c>
    </row>
    <row r="215" spans="1:10" x14ac:dyDescent="0.2">
      <c r="A215" s="12" t="s">
        <v>9460</v>
      </c>
      <c r="B215" s="12" t="s">
        <v>10050</v>
      </c>
      <c r="F215" s="12" t="s">
        <v>10051</v>
      </c>
      <c r="G215" s="12" t="s">
        <v>10052</v>
      </c>
      <c r="H215" s="12">
        <v>2021</v>
      </c>
      <c r="I215" s="13" t="s">
        <v>10053</v>
      </c>
      <c r="J215" s="12" t="s">
        <v>9539</v>
      </c>
    </row>
    <row r="216" spans="1:10" x14ac:dyDescent="0.2">
      <c r="A216" s="12" t="s">
        <v>136</v>
      </c>
      <c r="B216" s="12" t="s">
        <v>861</v>
      </c>
      <c r="D216" s="12">
        <v>27</v>
      </c>
      <c r="E216" s="12">
        <v>3</v>
      </c>
      <c r="F216" s="12" t="s">
        <v>863</v>
      </c>
      <c r="G216" s="12" t="s">
        <v>10054</v>
      </c>
      <c r="H216" s="12">
        <v>2022</v>
      </c>
      <c r="I216" s="13" t="s">
        <v>10055</v>
      </c>
      <c r="J216" s="12" t="s">
        <v>9478</v>
      </c>
    </row>
    <row r="217" spans="1:10" x14ac:dyDescent="0.2">
      <c r="A217" s="12" t="s">
        <v>9839</v>
      </c>
      <c r="B217" s="12" t="s">
        <v>10056</v>
      </c>
      <c r="F217" s="12" t="s">
        <v>10057</v>
      </c>
      <c r="G217" s="12" t="s">
        <v>10058</v>
      </c>
      <c r="H217" s="12">
        <v>2019</v>
      </c>
      <c r="I217" s="13" t="s">
        <v>10059</v>
      </c>
      <c r="J217" s="12" t="s">
        <v>539</v>
      </c>
    </row>
    <row r="218" spans="1:10" x14ac:dyDescent="0.2">
      <c r="A218" s="12" t="s">
        <v>9464</v>
      </c>
      <c r="B218" s="12" t="s">
        <v>10060</v>
      </c>
      <c r="F218" s="12" t="s">
        <v>10061</v>
      </c>
      <c r="G218" s="12" t="s">
        <v>10062</v>
      </c>
      <c r="H218" s="12">
        <v>2021</v>
      </c>
      <c r="I218" s="13" t="s">
        <v>10063</v>
      </c>
      <c r="J218" s="12" t="s">
        <v>9539</v>
      </c>
    </row>
    <row r="219" spans="1:10" x14ac:dyDescent="0.2">
      <c r="A219" s="12" t="s">
        <v>9975</v>
      </c>
      <c r="B219" s="12" t="s">
        <v>10064</v>
      </c>
      <c r="F219" s="12" t="s">
        <v>10065</v>
      </c>
      <c r="G219" s="12" t="s">
        <v>10066</v>
      </c>
      <c r="H219" s="12">
        <v>2020</v>
      </c>
      <c r="I219" s="13" t="s">
        <v>10067</v>
      </c>
      <c r="J219" s="12" t="s">
        <v>9539</v>
      </c>
    </row>
    <row r="220" spans="1:10" x14ac:dyDescent="0.2">
      <c r="A220" s="12" t="s">
        <v>136</v>
      </c>
      <c r="B220" s="12" t="s">
        <v>10068</v>
      </c>
      <c r="D220" s="12">
        <v>27</v>
      </c>
      <c r="E220" s="12">
        <v>7</v>
      </c>
      <c r="F220" s="12" t="s">
        <v>10069</v>
      </c>
      <c r="G220" s="12" t="s">
        <v>10070</v>
      </c>
      <c r="H220" s="12">
        <v>2022</v>
      </c>
      <c r="I220" s="13" t="s">
        <v>10071</v>
      </c>
      <c r="J220" s="12" t="s">
        <v>9478</v>
      </c>
    </row>
    <row r="221" spans="1:10" x14ac:dyDescent="0.2">
      <c r="A221" s="12" t="s">
        <v>9544</v>
      </c>
      <c r="B221" s="12" t="s">
        <v>10072</v>
      </c>
      <c r="F221" s="12" t="s">
        <v>1875</v>
      </c>
      <c r="G221" s="12" t="s">
        <v>10073</v>
      </c>
      <c r="H221" s="12">
        <v>2022</v>
      </c>
      <c r="I221" s="13" t="s">
        <v>10074</v>
      </c>
      <c r="J221" s="12" t="s">
        <v>9539</v>
      </c>
    </row>
    <row r="222" spans="1:10" x14ac:dyDescent="0.2">
      <c r="B222" s="12" t="s">
        <v>10075</v>
      </c>
      <c r="F222" s="12" t="s">
        <v>10076</v>
      </c>
      <c r="G222" s="12" t="s">
        <v>10077</v>
      </c>
      <c r="H222" s="12">
        <v>2022</v>
      </c>
      <c r="I222" s="13" t="s">
        <v>10078</v>
      </c>
      <c r="J222" s="12" t="s">
        <v>539</v>
      </c>
    </row>
    <row r="223" spans="1:10" x14ac:dyDescent="0.2">
      <c r="A223" s="12" t="s">
        <v>9351</v>
      </c>
      <c r="B223" s="12" t="s">
        <v>1629</v>
      </c>
      <c r="F223" s="12" t="s">
        <v>1633</v>
      </c>
      <c r="G223" s="12" t="s">
        <v>10079</v>
      </c>
      <c r="H223" s="12">
        <v>2022</v>
      </c>
      <c r="I223" s="13" t="s">
        <v>10080</v>
      </c>
      <c r="J223" s="12" t="s">
        <v>9539</v>
      </c>
    </row>
    <row r="224" spans="1:10" x14ac:dyDescent="0.2">
      <c r="A224" s="12" t="s">
        <v>10081</v>
      </c>
      <c r="B224" s="12" t="s">
        <v>10082</v>
      </c>
      <c r="D224" s="12">
        <v>14</v>
      </c>
      <c r="E224" s="12">
        <v>2</v>
      </c>
      <c r="F224" s="12" t="s">
        <v>10083</v>
      </c>
      <c r="G224" s="12" t="s">
        <v>10084</v>
      </c>
      <c r="H224" s="12">
        <v>2022</v>
      </c>
      <c r="I224" s="13" t="s">
        <v>10085</v>
      </c>
      <c r="J224" s="12" t="s">
        <v>9478</v>
      </c>
    </row>
    <row r="225" spans="1:10" x14ac:dyDescent="0.2">
      <c r="B225" s="12" t="s">
        <v>10086</v>
      </c>
      <c r="F225" s="12" t="s">
        <v>10087</v>
      </c>
      <c r="G225" s="12" t="s">
        <v>10088</v>
      </c>
      <c r="H225" s="12">
        <v>2021</v>
      </c>
      <c r="I225" s="13" t="s">
        <v>10089</v>
      </c>
      <c r="J225" s="12" t="s">
        <v>539</v>
      </c>
    </row>
    <row r="226" spans="1:10" x14ac:dyDescent="0.2">
      <c r="A226" s="12" t="s">
        <v>9992</v>
      </c>
      <c r="B226" s="12" t="s">
        <v>10090</v>
      </c>
      <c r="F226" s="12" t="s">
        <v>10091</v>
      </c>
      <c r="G226" s="12" t="s">
        <v>9995</v>
      </c>
      <c r="H226" s="12">
        <v>2018</v>
      </c>
      <c r="I226" s="13" t="s">
        <v>10092</v>
      </c>
      <c r="J226" s="12" t="s">
        <v>9539</v>
      </c>
    </row>
    <row r="227" spans="1:10" x14ac:dyDescent="0.2">
      <c r="B227" s="12" t="s">
        <v>10093</v>
      </c>
      <c r="F227" s="12" t="s">
        <v>10094</v>
      </c>
      <c r="G227" s="12" t="s">
        <v>10095</v>
      </c>
      <c r="H227" s="12">
        <v>2022</v>
      </c>
      <c r="I227" s="13" t="s">
        <v>10096</v>
      </c>
      <c r="J227" s="12" t="s">
        <v>539</v>
      </c>
    </row>
    <row r="228" spans="1:10" x14ac:dyDescent="0.2">
      <c r="A228" s="12" t="s">
        <v>136</v>
      </c>
      <c r="B228" s="12" t="s">
        <v>116</v>
      </c>
      <c r="D228" s="12">
        <v>27</v>
      </c>
      <c r="E228" s="12">
        <v>3</v>
      </c>
      <c r="F228" s="12" t="s">
        <v>118</v>
      </c>
      <c r="G228" s="12" t="s">
        <v>10097</v>
      </c>
      <c r="H228" s="12">
        <v>2022</v>
      </c>
      <c r="I228" s="13" t="s">
        <v>10098</v>
      </c>
      <c r="J228" s="12" t="s">
        <v>9478</v>
      </c>
    </row>
    <row r="229" spans="1:10" x14ac:dyDescent="0.2">
      <c r="A229" s="12" t="s">
        <v>179</v>
      </c>
      <c r="B229" s="12" t="s">
        <v>3651</v>
      </c>
      <c r="D229" s="12">
        <v>35</v>
      </c>
      <c r="E229" s="12">
        <v>6</v>
      </c>
      <c r="F229" s="12" t="s">
        <v>3654</v>
      </c>
      <c r="G229" s="12" t="s">
        <v>10099</v>
      </c>
      <c r="H229" s="12">
        <v>2020</v>
      </c>
      <c r="I229" s="13" t="s">
        <v>10100</v>
      </c>
      <c r="J229" s="12" t="s">
        <v>9478</v>
      </c>
    </row>
    <row r="230" spans="1:10" x14ac:dyDescent="0.2">
      <c r="A230" s="12" t="s">
        <v>136</v>
      </c>
      <c r="B230" s="12" t="s">
        <v>10101</v>
      </c>
      <c r="D230" s="12">
        <v>25</v>
      </c>
      <c r="E230" s="12">
        <v>5</v>
      </c>
      <c r="F230" s="12" t="s">
        <v>10102</v>
      </c>
      <c r="G230" s="12" t="s">
        <v>10103</v>
      </c>
      <c r="H230" s="12">
        <v>2020</v>
      </c>
      <c r="I230" s="13" t="s">
        <v>10104</v>
      </c>
      <c r="J230" s="12" t="s">
        <v>9478</v>
      </c>
    </row>
    <row r="231" spans="1:10" x14ac:dyDescent="0.2">
      <c r="A231" s="12" t="s">
        <v>523</v>
      </c>
      <c r="B231" s="12" t="s">
        <v>10105</v>
      </c>
      <c r="D231" s="12">
        <v>28</v>
      </c>
      <c r="E231" s="12">
        <v>2</v>
      </c>
      <c r="F231" s="12" t="s">
        <v>10106</v>
      </c>
      <c r="G231" s="12" t="s">
        <v>10107</v>
      </c>
      <c r="H231" s="12">
        <v>2020</v>
      </c>
      <c r="I231" s="13" t="s">
        <v>10108</v>
      </c>
      <c r="J231" s="12" t="s">
        <v>9478</v>
      </c>
    </row>
    <row r="232" spans="1:10" x14ac:dyDescent="0.2">
      <c r="A232" s="12" t="s">
        <v>136</v>
      </c>
      <c r="B232" s="12" t="s">
        <v>2581</v>
      </c>
      <c r="D232" s="12">
        <v>27</v>
      </c>
      <c r="E232" s="12">
        <v>1</v>
      </c>
      <c r="F232" s="12" t="s">
        <v>2583</v>
      </c>
      <c r="G232" s="12" t="s">
        <v>10109</v>
      </c>
      <c r="H232" s="12">
        <v>2021</v>
      </c>
      <c r="I232" s="13" t="s">
        <v>10110</v>
      </c>
      <c r="J232" s="12" t="s">
        <v>9478</v>
      </c>
    </row>
    <row r="233" spans="1:10" x14ac:dyDescent="0.2">
      <c r="A233" s="12" t="s">
        <v>1547</v>
      </c>
      <c r="B233" s="12" t="s">
        <v>10111</v>
      </c>
      <c r="F233" s="12" t="s">
        <v>10112</v>
      </c>
      <c r="G233" s="12" t="s">
        <v>10113</v>
      </c>
      <c r="H233" s="12">
        <v>2023</v>
      </c>
      <c r="I233" s="13" t="s">
        <v>10114</v>
      </c>
      <c r="J233" s="12" t="s">
        <v>539</v>
      </c>
    </row>
    <row r="234" spans="1:10" x14ac:dyDescent="0.2">
      <c r="B234" s="12" t="s">
        <v>10115</v>
      </c>
      <c r="F234" s="12" t="s">
        <v>10116</v>
      </c>
      <c r="G234" s="12" t="s">
        <v>10117</v>
      </c>
      <c r="H234" s="12">
        <v>2021</v>
      </c>
      <c r="I234" s="13" t="s">
        <v>10118</v>
      </c>
      <c r="J234" s="12" t="s">
        <v>9383</v>
      </c>
    </row>
    <row r="235" spans="1:10" x14ac:dyDescent="0.2">
      <c r="A235" s="12" t="s">
        <v>136</v>
      </c>
      <c r="B235" s="12" t="s">
        <v>10119</v>
      </c>
      <c r="D235" s="12">
        <v>26</v>
      </c>
      <c r="E235" s="12">
        <v>5</v>
      </c>
      <c r="F235" s="12" t="s">
        <v>10120</v>
      </c>
      <c r="G235" s="12" t="s">
        <v>10121</v>
      </c>
      <c r="H235" s="12">
        <v>2021</v>
      </c>
      <c r="I235" s="13" t="s">
        <v>10122</v>
      </c>
      <c r="J235" s="12" t="s">
        <v>9478</v>
      </c>
    </row>
    <row r="236" spans="1:10" x14ac:dyDescent="0.2">
      <c r="A236" s="12" t="s">
        <v>676</v>
      </c>
      <c r="B236" s="12" t="s">
        <v>10123</v>
      </c>
      <c r="F236" s="12" t="s">
        <v>10124</v>
      </c>
      <c r="G236" s="12" t="s">
        <v>10125</v>
      </c>
      <c r="H236" s="12">
        <v>2023</v>
      </c>
      <c r="I236" s="13" t="s">
        <v>10126</v>
      </c>
      <c r="J236" s="12" t="s">
        <v>539</v>
      </c>
    </row>
    <row r="237" spans="1:10" x14ac:dyDescent="0.2">
      <c r="A237" s="12" t="s">
        <v>136</v>
      </c>
      <c r="B237" s="12" t="s">
        <v>724</v>
      </c>
      <c r="D237" s="12">
        <v>27</v>
      </c>
      <c r="E237" s="12">
        <v>3</v>
      </c>
      <c r="F237" s="12" t="s">
        <v>726</v>
      </c>
      <c r="G237" s="12" t="s">
        <v>10127</v>
      </c>
      <c r="H237" s="12">
        <v>2022</v>
      </c>
      <c r="I237" s="13" t="s">
        <v>10128</v>
      </c>
      <c r="J237" s="12" t="s">
        <v>9478</v>
      </c>
    </row>
    <row r="238" spans="1:10" x14ac:dyDescent="0.2">
      <c r="B238" s="12" t="s">
        <v>10129</v>
      </c>
      <c r="F238" s="12" t="s">
        <v>10130</v>
      </c>
      <c r="G238" s="12" t="s">
        <v>10131</v>
      </c>
      <c r="H238" s="12">
        <v>2023</v>
      </c>
      <c r="I238" s="13" t="s">
        <v>10132</v>
      </c>
      <c r="J238" s="12" t="s">
        <v>539</v>
      </c>
    </row>
    <row r="239" spans="1:10" x14ac:dyDescent="0.2">
      <c r="A239" s="12" t="s">
        <v>691</v>
      </c>
      <c r="B239" s="12" t="s">
        <v>779</v>
      </c>
      <c r="F239" s="12" t="s">
        <v>781</v>
      </c>
      <c r="G239" s="12" t="s">
        <v>10133</v>
      </c>
      <c r="H239" s="12">
        <v>2023</v>
      </c>
      <c r="I239" s="13" t="s">
        <v>10134</v>
      </c>
      <c r="J239" s="12" t="s">
        <v>9478</v>
      </c>
    </row>
    <row r="240" spans="1:10" x14ac:dyDescent="0.2">
      <c r="A240" s="12" t="s">
        <v>10135</v>
      </c>
      <c r="B240" s="12" t="s">
        <v>3693</v>
      </c>
      <c r="F240" s="12" t="s">
        <v>3696</v>
      </c>
      <c r="G240" s="12" t="s">
        <v>10136</v>
      </c>
      <c r="H240" s="12">
        <v>2021</v>
      </c>
      <c r="I240" s="13" t="s">
        <v>10137</v>
      </c>
      <c r="J240" s="12" t="s">
        <v>9539</v>
      </c>
    </row>
    <row r="241" spans="1:10" x14ac:dyDescent="0.2">
      <c r="A241" s="12" t="s">
        <v>10138</v>
      </c>
      <c r="B241" s="12" t="s">
        <v>10139</v>
      </c>
      <c r="F241" s="12" t="s">
        <v>10140</v>
      </c>
      <c r="G241" s="12" t="s">
        <v>10141</v>
      </c>
      <c r="H241" s="12">
        <v>2021</v>
      </c>
      <c r="I241" s="13" t="s">
        <v>10142</v>
      </c>
      <c r="J241" s="12" t="s">
        <v>539</v>
      </c>
    </row>
    <row r="242" spans="1:10" x14ac:dyDescent="0.2">
      <c r="B242" s="12" t="s">
        <v>10143</v>
      </c>
      <c r="F242" s="12" t="s">
        <v>10144</v>
      </c>
      <c r="G242" s="12" t="s">
        <v>10145</v>
      </c>
      <c r="H242" s="12">
        <v>2022</v>
      </c>
      <c r="I242" s="13" t="s">
        <v>10146</v>
      </c>
      <c r="J242" s="12" t="s">
        <v>539</v>
      </c>
    </row>
    <row r="243" spans="1:10" x14ac:dyDescent="0.2">
      <c r="A243" s="12" t="s">
        <v>10147</v>
      </c>
      <c r="B243" s="12" t="s">
        <v>10148</v>
      </c>
      <c r="F243" s="12" t="s">
        <v>10149</v>
      </c>
      <c r="G243" s="12" t="s">
        <v>10150</v>
      </c>
      <c r="H243" s="12">
        <v>2022</v>
      </c>
      <c r="I243" s="13" t="s">
        <v>10151</v>
      </c>
      <c r="J243" s="12" t="s">
        <v>539</v>
      </c>
    </row>
    <row r="244" spans="1:10" x14ac:dyDescent="0.2">
      <c r="A244" s="12" t="s">
        <v>9875</v>
      </c>
      <c r="B244" s="12" t="s">
        <v>10152</v>
      </c>
      <c r="F244" s="12" t="s">
        <v>10153</v>
      </c>
      <c r="G244" s="12" t="s">
        <v>10154</v>
      </c>
      <c r="H244" s="12">
        <v>2022</v>
      </c>
      <c r="I244" s="13" t="s">
        <v>10155</v>
      </c>
      <c r="J244" s="12" t="s">
        <v>9539</v>
      </c>
    </row>
    <row r="245" spans="1:10" x14ac:dyDescent="0.2">
      <c r="A245" s="12" t="s">
        <v>136</v>
      </c>
      <c r="B245" s="12" t="s">
        <v>10156</v>
      </c>
      <c r="D245" s="12">
        <v>28</v>
      </c>
      <c r="E245" s="12">
        <v>2</v>
      </c>
      <c r="F245" s="12" t="s">
        <v>10157</v>
      </c>
      <c r="G245" s="12" t="s">
        <v>10158</v>
      </c>
      <c r="H245" s="12">
        <v>2023</v>
      </c>
      <c r="I245" s="13" t="s">
        <v>10159</v>
      </c>
      <c r="J245" s="12" t="s">
        <v>9478</v>
      </c>
    </row>
    <row r="246" spans="1:10" x14ac:dyDescent="0.2">
      <c r="B246" s="12" t="s">
        <v>10160</v>
      </c>
      <c r="F246" s="12" t="s">
        <v>10161</v>
      </c>
      <c r="G246" s="12" t="s">
        <v>10162</v>
      </c>
      <c r="H246" s="12">
        <v>2021</v>
      </c>
      <c r="I246" s="13" t="s">
        <v>10163</v>
      </c>
      <c r="J246" s="12" t="s">
        <v>539</v>
      </c>
    </row>
    <row r="247" spans="1:10" x14ac:dyDescent="0.2">
      <c r="A247" s="12" t="s">
        <v>10164</v>
      </c>
      <c r="B247" s="12" t="s">
        <v>10165</v>
      </c>
      <c r="F247" s="12" t="s">
        <v>10166</v>
      </c>
      <c r="G247" s="12" t="s">
        <v>10167</v>
      </c>
      <c r="H247" s="12">
        <v>2020</v>
      </c>
      <c r="I247" s="13" t="s">
        <v>10168</v>
      </c>
      <c r="J247" s="12" t="s">
        <v>9539</v>
      </c>
    </row>
    <row r="248" spans="1:10" x14ac:dyDescent="0.2">
      <c r="A248" s="12" t="s">
        <v>9453</v>
      </c>
      <c r="B248" s="12" t="s">
        <v>10169</v>
      </c>
      <c r="F248" s="12" t="s">
        <v>10170</v>
      </c>
      <c r="G248" s="12" t="s">
        <v>9455</v>
      </c>
      <c r="H248" s="12">
        <v>2022</v>
      </c>
      <c r="I248" s="13" t="s">
        <v>10171</v>
      </c>
      <c r="J248" s="12" t="s">
        <v>9539</v>
      </c>
    </row>
    <row r="249" spans="1:10" x14ac:dyDescent="0.2">
      <c r="A249" s="12" t="s">
        <v>523</v>
      </c>
      <c r="B249" s="12" t="s">
        <v>3544</v>
      </c>
      <c r="D249" s="12">
        <v>29</v>
      </c>
      <c r="E249" s="12">
        <v>1</v>
      </c>
      <c r="F249" s="12" t="s">
        <v>3547</v>
      </c>
      <c r="G249" s="12" t="s">
        <v>10172</v>
      </c>
      <c r="H249" s="12">
        <v>2021</v>
      </c>
      <c r="I249" s="13" t="s">
        <v>10173</v>
      </c>
      <c r="J249" s="12" t="s">
        <v>9478</v>
      </c>
    </row>
    <row r="250" spans="1:10" x14ac:dyDescent="0.2">
      <c r="B250" s="12" t="s">
        <v>10174</v>
      </c>
      <c r="F250" s="12" t="s">
        <v>10175</v>
      </c>
      <c r="G250" s="12" t="s">
        <v>10176</v>
      </c>
      <c r="H250" s="12">
        <v>2021</v>
      </c>
      <c r="I250" s="13" t="s">
        <v>10177</v>
      </c>
      <c r="J250" s="12" t="s">
        <v>539</v>
      </c>
    </row>
    <row r="251" spans="1:10" x14ac:dyDescent="0.2">
      <c r="B251" s="12" t="s">
        <v>10178</v>
      </c>
      <c r="F251" s="12" t="s">
        <v>10179</v>
      </c>
      <c r="G251" s="12" t="s">
        <v>10180</v>
      </c>
      <c r="H251" s="12">
        <v>2022</v>
      </c>
      <c r="I251" s="13" t="s">
        <v>10181</v>
      </c>
      <c r="J251" s="12" t="s">
        <v>539</v>
      </c>
    </row>
    <row r="252" spans="1:10" x14ac:dyDescent="0.2">
      <c r="A252" s="12" t="s">
        <v>1870</v>
      </c>
      <c r="B252" s="12" t="s">
        <v>10182</v>
      </c>
      <c r="F252" s="12" t="s">
        <v>10183</v>
      </c>
      <c r="G252" s="12" t="s">
        <v>10184</v>
      </c>
      <c r="H252" s="12">
        <v>2021</v>
      </c>
      <c r="I252" s="13" t="s">
        <v>10185</v>
      </c>
      <c r="J252" s="12" t="s">
        <v>539</v>
      </c>
    </row>
    <row r="253" spans="1:10" x14ac:dyDescent="0.2">
      <c r="A253" s="12" t="s">
        <v>9331</v>
      </c>
      <c r="B253" s="12" t="s">
        <v>10186</v>
      </c>
      <c r="F253" s="12" t="s">
        <v>10187</v>
      </c>
      <c r="G253" s="12" t="s">
        <v>10188</v>
      </c>
      <c r="H253" s="12">
        <v>2022</v>
      </c>
      <c r="I253" s="13" t="s">
        <v>10189</v>
      </c>
      <c r="J253" s="12" t="s">
        <v>9539</v>
      </c>
    </row>
    <row r="254" spans="1:10" x14ac:dyDescent="0.2">
      <c r="A254" s="12" t="s">
        <v>9648</v>
      </c>
      <c r="B254" s="12" t="s">
        <v>10190</v>
      </c>
      <c r="F254" s="12" t="s">
        <v>10191</v>
      </c>
      <c r="G254" s="12" t="s">
        <v>10192</v>
      </c>
      <c r="H254" s="12">
        <v>2021</v>
      </c>
      <c r="I254" s="13" t="s">
        <v>10193</v>
      </c>
      <c r="J254" s="12" t="s">
        <v>539</v>
      </c>
    </row>
    <row r="255" spans="1:10" x14ac:dyDescent="0.2">
      <c r="A255" s="12" t="s">
        <v>9495</v>
      </c>
      <c r="B255" s="12" t="s">
        <v>10194</v>
      </c>
      <c r="F255" s="12" t="s">
        <v>10195</v>
      </c>
      <c r="G255" s="12" t="s">
        <v>9497</v>
      </c>
      <c r="H255" s="12">
        <v>2020</v>
      </c>
      <c r="I255" s="13" t="s">
        <v>10196</v>
      </c>
      <c r="J255" s="12" t="s">
        <v>9539</v>
      </c>
    </row>
    <row r="256" spans="1:10" x14ac:dyDescent="0.2">
      <c r="A256" s="12" t="s">
        <v>407</v>
      </c>
      <c r="B256" s="12" t="s">
        <v>406</v>
      </c>
      <c r="D256" s="12">
        <v>21</v>
      </c>
      <c r="E256" s="12">
        <v>3</v>
      </c>
      <c r="F256" s="12" t="s">
        <v>411</v>
      </c>
      <c r="G256" s="12" t="s">
        <v>10197</v>
      </c>
      <c r="H256" s="12">
        <v>2022</v>
      </c>
      <c r="I256" s="13" t="s">
        <v>10198</v>
      </c>
      <c r="J256" s="12" t="s">
        <v>9478</v>
      </c>
    </row>
    <row r="257" spans="1:10" x14ac:dyDescent="0.2">
      <c r="A257" s="12" t="s">
        <v>523</v>
      </c>
      <c r="B257" s="12" t="s">
        <v>1436</v>
      </c>
      <c r="D257" s="12">
        <v>29</v>
      </c>
      <c r="E257" s="12">
        <v>4</v>
      </c>
      <c r="F257" s="12" t="s">
        <v>1439</v>
      </c>
      <c r="G257" s="12" t="s">
        <v>10199</v>
      </c>
      <c r="H257" s="12">
        <v>2021</v>
      </c>
      <c r="I257" s="13" t="s">
        <v>10200</v>
      </c>
      <c r="J257" s="12" t="s">
        <v>9478</v>
      </c>
    </row>
    <row r="258" spans="1:10" x14ac:dyDescent="0.2">
      <c r="A258" s="12" t="s">
        <v>9453</v>
      </c>
      <c r="B258" s="12" t="s">
        <v>10201</v>
      </c>
      <c r="F258" s="12" t="s">
        <v>10202</v>
      </c>
      <c r="G258" s="12" t="s">
        <v>9455</v>
      </c>
      <c r="H258" s="12">
        <v>2022</v>
      </c>
      <c r="I258" s="13" t="s">
        <v>10203</v>
      </c>
      <c r="J258" s="12" t="s">
        <v>9539</v>
      </c>
    </row>
    <row r="259" spans="1:10" x14ac:dyDescent="0.2">
      <c r="A259" s="12" t="s">
        <v>10204</v>
      </c>
      <c r="B259" s="12" t="s">
        <v>10205</v>
      </c>
      <c r="F259" s="12" t="s">
        <v>10206</v>
      </c>
      <c r="G259" s="12" t="s">
        <v>10207</v>
      </c>
      <c r="H259" s="12">
        <v>2022</v>
      </c>
      <c r="I259" s="13" t="s">
        <v>10208</v>
      </c>
      <c r="J259" s="12" t="s">
        <v>539</v>
      </c>
    </row>
    <row r="260" spans="1:10" x14ac:dyDescent="0.2">
      <c r="B260" s="12" t="s">
        <v>10209</v>
      </c>
      <c r="F260" s="12" t="s">
        <v>10210</v>
      </c>
      <c r="G260" s="12" t="s">
        <v>10211</v>
      </c>
      <c r="H260" s="12">
        <v>2022</v>
      </c>
      <c r="I260" s="13" t="s">
        <v>10212</v>
      </c>
      <c r="J260" s="12" t="s">
        <v>539</v>
      </c>
    </row>
    <row r="261" spans="1:10" x14ac:dyDescent="0.2">
      <c r="A261" s="12" t="s">
        <v>9893</v>
      </c>
      <c r="B261" s="12" t="s">
        <v>10213</v>
      </c>
      <c r="F261" s="12" t="s">
        <v>10214</v>
      </c>
      <c r="G261" s="12" t="s">
        <v>9847</v>
      </c>
      <c r="H261" s="12">
        <v>2021</v>
      </c>
      <c r="I261" s="13" t="s">
        <v>10215</v>
      </c>
      <c r="J261" s="12" t="s">
        <v>9539</v>
      </c>
    </row>
    <row r="262" spans="1:10" x14ac:dyDescent="0.2">
      <c r="A262" s="12" t="s">
        <v>10216</v>
      </c>
      <c r="B262" s="12" t="s">
        <v>10217</v>
      </c>
      <c r="F262" s="12" t="s">
        <v>10218</v>
      </c>
      <c r="G262" s="12" t="s">
        <v>10219</v>
      </c>
      <c r="H262" s="12">
        <v>2019</v>
      </c>
      <c r="I262" s="13" t="s">
        <v>10220</v>
      </c>
      <c r="J262" s="12" t="s">
        <v>9539</v>
      </c>
    </row>
    <row r="263" spans="1:10" x14ac:dyDescent="0.2">
      <c r="A263" s="12" t="s">
        <v>2974</v>
      </c>
      <c r="B263" s="12" t="s">
        <v>10221</v>
      </c>
      <c r="F263" s="12" t="s">
        <v>10222</v>
      </c>
      <c r="G263" s="12" t="s">
        <v>10223</v>
      </c>
      <c r="H263" s="12">
        <v>2021</v>
      </c>
      <c r="I263" s="13" t="s">
        <v>10224</v>
      </c>
      <c r="J263" s="12" t="s">
        <v>539</v>
      </c>
    </row>
    <row r="264" spans="1:10" x14ac:dyDescent="0.2">
      <c r="A264" s="12" t="s">
        <v>1637</v>
      </c>
      <c r="B264" s="12" t="s">
        <v>4985</v>
      </c>
      <c r="F264" s="12" t="s">
        <v>4989</v>
      </c>
      <c r="G264" s="12" t="s">
        <v>10225</v>
      </c>
      <c r="H264" s="12">
        <v>2020</v>
      </c>
      <c r="I264" s="13" t="s">
        <v>10226</v>
      </c>
      <c r="J264" s="12" t="s">
        <v>9539</v>
      </c>
    </row>
    <row r="265" spans="1:10" x14ac:dyDescent="0.2">
      <c r="A265" s="12" t="s">
        <v>9726</v>
      </c>
      <c r="B265" s="12" t="s">
        <v>10227</v>
      </c>
      <c r="F265" s="12" t="s">
        <v>10228</v>
      </c>
      <c r="G265" s="12" t="s">
        <v>10229</v>
      </c>
      <c r="H265" s="12">
        <v>2023</v>
      </c>
      <c r="I265" s="13" t="s">
        <v>10230</v>
      </c>
      <c r="J265" s="12" t="s">
        <v>9539</v>
      </c>
    </row>
    <row r="266" spans="1:10" x14ac:dyDescent="0.2">
      <c r="A266" s="12" t="s">
        <v>136</v>
      </c>
      <c r="B266" s="12" t="s">
        <v>3687</v>
      </c>
      <c r="D266" s="12">
        <v>25</v>
      </c>
      <c r="E266" s="12">
        <v>5</v>
      </c>
      <c r="F266" s="12" t="s">
        <v>3690</v>
      </c>
      <c r="G266" s="12" t="s">
        <v>10231</v>
      </c>
      <c r="H266" s="12">
        <v>2020</v>
      </c>
      <c r="I266" s="13" t="s">
        <v>10232</v>
      </c>
      <c r="J266" s="12" t="s">
        <v>9478</v>
      </c>
    </row>
    <row r="267" spans="1:10" x14ac:dyDescent="0.2">
      <c r="A267" s="12" t="s">
        <v>10233</v>
      </c>
      <c r="B267" s="12" t="s">
        <v>10234</v>
      </c>
      <c r="D267" s="12">
        <v>88</v>
      </c>
      <c r="E267" s="12">
        <v>1</v>
      </c>
      <c r="F267" s="12" t="s">
        <v>10235</v>
      </c>
      <c r="G267" s="12" t="s">
        <v>10236</v>
      </c>
      <c r="H267" s="12">
        <v>2020</v>
      </c>
      <c r="I267" s="13" t="s">
        <v>10237</v>
      </c>
      <c r="J267" s="12" t="s">
        <v>9478</v>
      </c>
    </row>
    <row r="268" spans="1:10" x14ac:dyDescent="0.2">
      <c r="A268" s="12" t="s">
        <v>10238</v>
      </c>
      <c r="B268" s="12" t="s">
        <v>10239</v>
      </c>
      <c r="F268" s="12" t="s">
        <v>10240</v>
      </c>
      <c r="G268" s="12" t="s">
        <v>10241</v>
      </c>
      <c r="H268" s="12">
        <v>2020</v>
      </c>
      <c r="I268" s="13" t="s">
        <v>10242</v>
      </c>
      <c r="J268" s="12" t="s">
        <v>9539</v>
      </c>
    </row>
    <row r="269" spans="1:10" x14ac:dyDescent="0.2">
      <c r="A269" s="12" t="s">
        <v>10135</v>
      </c>
      <c r="B269" s="12" t="s">
        <v>10243</v>
      </c>
      <c r="F269" s="12" t="s">
        <v>10244</v>
      </c>
      <c r="G269" s="12" t="s">
        <v>10245</v>
      </c>
      <c r="H269" s="12">
        <v>2021</v>
      </c>
      <c r="I269" s="13" t="s">
        <v>10246</v>
      </c>
      <c r="J269" s="12" t="s">
        <v>9539</v>
      </c>
    </row>
    <row r="270" spans="1:10" x14ac:dyDescent="0.2">
      <c r="A270" s="12" t="s">
        <v>523</v>
      </c>
      <c r="B270" s="12" t="s">
        <v>10247</v>
      </c>
      <c r="D270" s="12">
        <v>28</v>
      </c>
      <c r="E270" s="12">
        <v>4</v>
      </c>
      <c r="F270" s="12" t="s">
        <v>10248</v>
      </c>
      <c r="G270" s="12" t="s">
        <v>10249</v>
      </c>
      <c r="H270" s="12">
        <v>2020</v>
      </c>
      <c r="I270" s="13" t="s">
        <v>10250</v>
      </c>
      <c r="J270" s="12" t="s">
        <v>9478</v>
      </c>
    </row>
    <row r="271" spans="1:10" x14ac:dyDescent="0.2">
      <c r="A271" s="12" t="s">
        <v>9782</v>
      </c>
      <c r="B271" s="12" t="s">
        <v>10251</v>
      </c>
      <c r="D271" s="12">
        <v>29</v>
      </c>
      <c r="E271" s="12">
        <v>1</v>
      </c>
      <c r="F271" s="12" t="s">
        <v>10252</v>
      </c>
      <c r="G271" s="12" t="s">
        <v>10253</v>
      </c>
      <c r="H271" s="12">
        <v>2022</v>
      </c>
      <c r="I271" s="13" t="s">
        <v>10254</v>
      </c>
      <c r="J271" s="12" t="s">
        <v>9478</v>
      </c>
    </row>
    <row r="272" spans="1:10" x14ac:dyDescent="0.2">
      <c r="A272" s="12" t="s">
        <v>10255</v>
      </c>
      <c r="B272" s="12" t="s">
        <v>10256</v>
      </c>
      <c r="D272" s="12">
        <v>6</v>
      </c>
      <c r="E272" s="12">
        <v>1</v>
      </c>
      <c r="F272" s="12" t="s">
        <v>10257</v>
      </c>
      <c r="G272" s="12" t="s">
        <v>10258</v>
      </c>
      <c r="H272" s="12">
        <v>2018</v>
      </c>
      <c r="I272" s="13" t="s">
        <v>10259</v>
      </c>
      <c r="J272" s="12" t="s">
        <v>9478</v>
      </c>
    </row>
    <row r="273" spans="1:10" x14ac:dyDescent="0.2">
      <c r="A273" s="12" t="s">
        <v>10260</v>
      </c>
      <c r="B273" s="12" t="s">
        <v>10261</v>
      </c>
      <c r="D273" s="12">
        <v>17</v>
      </c>
      <c r="F273" s="12" t="s">
        <v>10262</v>
      </c>
      <c r="G273" s="12" t="s">
        <v>10263</v>
      </c>
      <c r="H273" s="12">
        <v>2022</v>
      </c>
      <c r="I273" s="13" t="s">
        <v>10264</v>
      </c>
      <c r="J273" s="12" t="s">
        <v>9478</v>
      </c>
    </row>
    <row r="274" spans="1:10" x14ac:dyDescent="0.2">
      <c r="A274" s="12" t="s">
        <v>523</v>
      </c>
      <c r="B274" s="12" t="s">
        <v>1517</v>
      </c>
      <c r="D274" s="12">
        <v>29</v>
      </c>
      <c r="E274" s="12">
        <v>2</v>
      </c>
      <c r="F274" s="12" t="s">
        <v>1520</v>
      </c>
      <c r="G274" s="12" t="s">
        <v>10265</v>
      </c>
      <c r="H274" s="12">
        <v>2021</v>
      </c>
      <c r="I274" s="13" t="s">
        <v>10266</v>
      </c>
      <c r="J274" s="12" t="s">
        <v>9478</v>
      </c>
    </row>
    <row r="275" spans="1:10" x14ac:dyDescent="0.2">
      <c r="A275" s="12" t="s">
        <v>676</v>
      </c>
      <c r="B275" s="12" t="s">
        <v>10267</v>
      </c>
      <c r="F275" s="12" t="s">
        <v>10268</v>
      </c>
      <c r="G275" s="12" t="s">
        <v>10269</v>
      </c>
      <c r="H275" s="12">
        <v>2022</v>
      </c>
      <c r="I275" s="13" t="s">
        <v>10270</v>
      </c>
      <c r="J275" s="12" t="s">
        <v>539</v>
      </c>
    </row>
    <row r="276" spans="1:10" x14ac:dyDescent="0.2">
      <c r="A276" s="12" t="s">
        <v>136</v>
      </c>
      <c r="B276" s="12" t="s">
        <v>3616</v>
      </c>
      <c r="D276" s="12">
        <v>25</v>
      </c>
      <c r="E276" s="12">
        <v>5</v>
      </c>
      <c r="F276" s="12" t="s">
        <v>3619</v>
      </c>
      <c r="G276" s="12" t="s">
        <v>10271</v>
      </c>
      <c r="H276" s="12">
        <v>2020</v>
      </c>
      <c r="I276" s="13" t="s">
        <v>10272</v>
      </c>
      <c r="J276" s="12" t="s">
        <v>9478</v>
      </c>
    </row>
    <row r="277" spans="1:10" x14ac:dyDescent="0.2">
      <c r="A277" s="12" t="s">
        <v>9499</v>
      </c>
      <c r="B277" s="12" t="s">
        <v>10273</v>
      </c>
      <c r="F277" s="12" t="s">
        <v>10274</v>
      </c>
      <c r="G277" s="12" t="s">
        <v>10275</v>
      </c>
      <c r="H277" s="12">
        <v>2022</v>
      </c>
      <c r="I277" s="13" t="s">
        <v>10276</v>
      </c>
      <c r="J277" s="12" t="s">
        <v>9539</v>
      </c>
    </row>
    <row r="278" spans="1:10" x14ac:dyDescent="0.2">
      <c r="A278" s="12" t="s">
        <v>10277</v>
      </c>
      <c r="B278" s="12" t="s">
        <v>10278</v>
      </c>
      <c r="F278" s="12" t="s">
        <v>10279</v>
      </c>
      <c r="G278" s="12" t="s">
        <v>10280</v>
      </c>
      <c r="H278" s="12">
        <v>2022</v>
      </c>
      <c r="I278" s="13" t="s">
        <v>10281</v>
      </c>
      <c r="J278" s="12" t="s">
        <v>539</v>
      </c>
    </row>
    <row r="279" spans="1:10" x14ac:dyDescent="0.2">
      <c r="A279" s="12" t="s">
        <v>9395</v>
      </c>
      <c r="B279" s="12" t="s">
        <v>10282</v>
      </c>
      <c r="F279" s="12" t="s">
        <v>10283</v>
      </c>
      <c r="G279" s="12" t="s">
        <v>9397</v>
      </c>
      <c r="H279" s="12">
        <v>2022</v>
      </c>
      <c r="I279" s="13" t="s">
        <v>10284</v>
      </c>
      <c r="J279" s="12" t="s">
        <v>9539</v>
      </c>
    </row>
    <row r="280" spans="1:10" x14ac:dyDescent="0.2">
      <c r="A280" s="12" t="s">
        <v>9904</v>
      </c>
      <c r="B280" s="12" t="s">
        <v>10285</v>
      </c>
      <c r="F280" s="12" t="s">
        <v>10286</v>
      </c>
      <c r="G280" s="12" t="s">
        <v>9906</v>
      </c>
      <c r="H280" s="12">
        <v>2021</v>
      </c>
      <c r="I280" s="13" t="s">
        <v>10287</v>
      </c>
      <c r="J280" s="12" t="s">
        <v>9539</v>
      </c>
    </row>
    <row r="281" spans="1:10" x14ac:dyDescent="0.2">
      <c r="A281" s="12" t="s">
        <v>136</v>
      </c>
      <c r="B281" s="12" t="s">
        <v>2541</v>
      </c>
      <c r="D281" s="12">
        <v>26</v>
      </c>
      <c r="E281" s="12">
        <v>6</v>
      </c>
      <c r="F281" s="12" t="s">
        <v>2543</v>
      </c>
      <c r="G281" s="12" t="s">
        <v>10288</v>
      </c>
      <c r="H281" s="12">
        <v>2021</v>
      </c>
      <c r="I281" s="13" t="s">
        <v>10289</v>
      </c>
      <c r="J281" s="12" t="s">
        <v>9478</v>
      </c>
    </row>
    <row r="282" spans="1:10" x14ac:dyDescent="0.2">
      <c r="A282" s="12" t="s">
        <v>4461</v>
      </c>
      <c r="B282" s="12" t="s">
        <v>10290</v>
      </c>
      <c r="D282" s="12">
        <v>27</v>
      </c>
      <c r="E282" s="12">
        <v>1</v>
      </c>
      <c r="F282" s="12" t="s">
        <v>10291</v>
      </c>
      <c r="G282" s="12" t="s">
        <v>10292</v>
      </c>
      <c r="H282" s="12">
        <v>2021</v>
      </c>
      <c r="I282" s="13" t="s">
        <v>10293</v>
      </c>
      <c r="J282" s="12" t="s">
        <v>9478</v>
      </c>
    </row>
    <row r="283" spans="1:10" x14ac:dyDescent="0.2">
      <c r="B283" s="12" t="s">
        <v>10294</v>
      </c>
      <c r="F283" s="12" t="s">
        <v>10295</v>
      </c>
      <c r="G283" s="12" t="s">
        <v>10296</v>
      </c>
      <c r="H283" s="12">
        <v>2023</v>
      </c>
      <c r="I283" s="13" t="s">
        <v>10297</v>
      </c>
      <c r="J283" s="12" t="s">
        <v>539</v>
      </c>
    </row>
    <row r="284" spans="1:10" x14ac:dyDescent="0.2">
      <c r="A284" s="12" t="s">
        <v>9395</v>
      </c>
      <c r="B284" s="12" t="s">
        <v>10298</v>
      </c>
      <c r="F284" s="12" t="s">
        <v>10299</v>
      </c>
      <c r="G284" s="12" t="s">
        <v>9397</v>
      </c>
      <c r="H284" s="12">
        <v>2022</v>
      </c>
      <c r="I284" s="13" t="s">
        <v>10300</v>
      </c>
      <c r="J284" s="12" t="s">
        <v>9539</v>
      </c>
    </row>
    <row r="285" spans="1:10" x14ac:dyDescent="0.2">
      <c r="A285" s="12" t="s">
        <v>136</v>
      </c>
      <c r="B285" s="12" t="s">
        <v>10301</v>
      </c>
      <c r="D285" s="12">
        <v>25</v>
      </c>
      <c r="E285" s="12">
        <v>3</v>
      </c>
      <c r="F285" s="12" t="s">
        <v>10302</v>
      </c>
      <c r="G285" s="12" t="s">
        <v>10303</v>
      </c>
      <c r="H285" s="12">
        <v>2020</v>
      </c>
      <c r="I285" s="13" t="s">
        <v>10304</v>
      </c>
      <c r="J285" s="12" t="s">
        <v>9478</v>
      </c>
    </row>
    <row r="286" spans="1:10" x14ac:dyDescent="0.2">
      <c r="A286" s="12" t="s">
        <v>136</v>
      </c>
      <c r="B286" s="12" t="s">
        <v>10305</v>
      </c>
      <c r="D286" s="12">
        <v>24</v>
      </c>
      <c r="E286" s="12">
        <v>3</v>
      </c>
      <c r="F286" s="12" t="s">
        <v>10306</v>
      </c>
      <c r="G286" s="12" t="s">
        <v>10307</v>
      </c>
      <c r="H286" s="12">
        <v>2019</v>
      </c>
      <c r="I286" s="13" t="s">
        <v>10308</v>
      </c>
      <c r="J286" s="12" t="s">
        <v>9478</v>
      </c>
    </row>
    <row r="287" spans="1:10" x14ac:dyDescent="0.2">
      <c r="A287" s="12" t="s">
        <v>10309</v>
      </c>
      <c r="B287" s="12" t="s">
        <v>4475</v>
      </c>
      <c r="F287" s="12" t="s">
        <v>4479</v>
      </c>
      <c r="G287" s="12" t="s">
        <v>10310</v>
      </c>
      <c r="H287" s="12">
        <v>2020</v>
      </c>
      <c r="I287" s="13" t="s">
        <v>10311</v>
      </c>
      <c r="J287" s="12" t="s">
        <v>9539</v>
      </c>
    </row>
    <row r="288" spans="1:10" x14ac:dyDescent="0.2">
      <c r="A288" s="12" t="s">
        <v>10312</v>
      </c>
      <c r="B288" s="12" t="s">
        <v>10313</v>
      </c>
      <c r="F288" s="12" t="s">
        <v>4970</v>
      </c>
      <c r="G288" s="12" t="s">
        <v>10314</v>
      </c>
      <c r="H288" s="12">
        <v>2020</v>
      </c>
      <c r="I288" s="13" t="s">
        <v>10315</v>
      </c>
      <c r="J288" s="12" t="s">
        <v>9539</v>
      </c>
    </row>
    <row r="289" spans="1:10" x14ac:dyDescent="0.2">
      <c r="A289" s="12" t="s">
        <v>10316</v>
      </c>
      <c r="B289" s="12" t="s">
        <v>10317</v>
      </c>
      <c r="F289" s="12" t="s">
        <v>10318</v>
      </c>
      <c r="G289" s="12" t="s">
        <v>10319</v>
      </c>
      <c r="H289" s="12">
        <v>2021</v>
      </c>
      <c r="I289" s="13" t="s">
        <v>10320</v>
      </c>
      <c r="J289" s="12" t="s">
        <v>9539</v>
      </c>
    </row>
    <row r="290" spans="1:10" x14ac:dyDescent="0.2">
      <c r="A290" s="12" t="s">
        <v>9649</v>
      </c>
      <c r="B290" s="12" t="s">
        <v>10321</v>
      </c>
      <c r="F290" s="12" t="s">
        <v>10322</v>
      </c>
      <c r="G290" s="12" t="s">
        <v>10323</v>
      </c>
      <c r="H290" s="12">
        <v>2023</v>
      </c>
      <c r="I290" s="13" t="s">
        <v>10324</v>
      </c>
      <c r="J290" s="12" t="s">
        <v>9539</v>
      </c>
    </row>
    <row r="291" spans="1:10" x14ac:dyDescent="0.2">
      <c r="B291" s="12" t="s">
        <v>10325</v>
      </c>
      <c r="F291" s="12" t="s">
        <v>10326</v>
      </c>
      <c r="G291" s="12" t="s">
        <v>10327</v>
      </c>
      <c r="H291" s="12">
        <v>2022</v>
      </c>
      <c r="I291" s="13" t="s">
        <v>10328</v>
      </c>
      <c r="J291" s="12" t="s">
        <v>539</v>
      </c>
    </row>
    <row r="292" spans="1:10" x14ac:dyDescent="0.2">
      <c r="A292" s="12" t="s">
        <v>136</v>
      </c>
      <c r="B292" s="12" t="s">
        <v>10329</v>
      </c>
      <c r="D292" s="12">
        <v>24</v>
      </c>
      <c r="E292" s="12">
        <v>3</v>
      </c>
      <c r="F292" s="12" t="s">
        <v>10330</v>
      </c>
      <c r="G292" s="12" t="s">
        <v>10331</v>
      </c>
      <c r="H292" s="12">
        <v>2019</v>
      </c>
      <c r="I292" s="13" t="s">
        <v>10332</v>
      </c>
      <c r="J292" s="12" t="s">
        <v>9478</v>
      </c>
    </row>
    <row r="293" spans="1:10" x14ac:dyDescent="0.2">
      <c r="A293" s="12" t="s">
        <v>523</v>
      </c>
      <c r="B293" s="12" t="s">
        <v>10333</v>
      </c>
      <c r="D293" s="12">
        <v>22</v>
      </c>
      <c r="E293" s="12">
        <v>4</v>
      </c>
      <c r="F293" s="12" t="s">
        <v>10334</v>
      </c>
      <c r="G293" s="12" t="s">
        <v>10335</v>
      </c>
      <c r="H293" s="12">
        <v>2014</v>
      </c>
      <c r="I293" s="13" t="s">
        <v>10336</v>
      </c>
      <c r="J293" s="12" t="s">
        <v>9478</v>
      </c>
    </row>
    <row r="294" spans="1:10" x14ac:dyDescent="0.2">
      <c r="A294" s="12" t="s">
        <v>136</v>
      </c>
      <c r="B294" s="12" t="s">
        <v>10337</v>
      </c>
      <c r="D294" s="12">
        <v>27</v>
      </c>
      <c r="E294" s="12">
        <v>7</v>
      </c>
      <c r="F294" s="12" t="s">
        <v>10338</v>
      </c>
      <c r="G294" s="12" t="s">
        <v>10339</v>
      </c>
      <c r="H294" s="12">
        <v>2022</v>
      </c>
      <c r="I294" s="13" t="s">
        <v>10340</v>
      </c>
      <c r="J294" s="12" t="s">
        <v>9478</v>
      </c>
    </row>
    <row r="295" spans="1:10" x14ac:dyDescent="0.2">
      <c r="A295" s="12" t="s">
        <v>523</v>
      </c>
      <c r="B295" s="12" t="s">
        <v>10341</v>
      </c>
      <c r="D295" s="12">
        <v>30</v>
      </c>
      <c r="E295" s="12">
        <v>1</v>
      </c>
      <c r="F295" s="12" t="s">
        <v>10342</v>
      </c>
      <c r="G295" s="12" t="s">
        <v>10343</v>
      </c>
      <c r="H295" s="12">
        <v>2022</v>
      </c>
      <c r="I295" s="13" t="s">
        <v>10344</v>
      </c>
      <c r="J295" s="12" t="s">
        <v>9478</v>
      </c>
    </row>
    <row r="296" spans="1:10" x14ac:dyDescent="0.2">
      <c r="A296" s="12" t="s">
        <v>691</v>
      </c>
      <c r="B296" s="12" t="s">
        <v>10345</v>
      </c>
      <c r="D296" s="12">
        <v>22</v>
      </c>
      <c r="E296" s="12">
        <v>4</v>
      </c>
      <c r="F296" s="12" t="s">
        <v>10346</v>
      </c>
      <c r="G296" s="12" t="s">
        <v>10347</v>
      </c>
      <c r="H296" s="12">
        <v>2017</v>
      </c>
      <c r="I296" s="13" t="s">
        <v>10348</v>
      </c>
      <c r="J296" s="12" t="s">
        <v>9478</v>
      </c>
    </row>
    <row r="297" spans="1:10" x14ac:dyDescent="0.2">
      <c r="A297" s="12" t="s">
        <v>10349</v>
      </c>
      <c r="B297" s="12" t="s">
        <v>10350</v>
      </c>
      <c r="F297" s="12" t="s">
        <v>10351</v>
      </c>
      <c r="G297" s="12" t="s">
        <v>10352</v>
      </c>
      <c r="H297" s="12">
        <v>2019</v>
      </c>
      <c r="I297" s="13" t="s">
        <v>10353</v>
      </c>
      <c r="J297" s="12" t="s">
        <v>539</v>
      </c>
    </row>
    <row r="298" spans="1:10" x14ac:dyDescent="0.2">
      <c r="A298" s="12" t="s">
        <v>523</v>
      </c>
      <c r="B298" s="12" t="s">
        <v>10354</v>
      </c>
      <c r="D298" s="12">
        <v>27</v>
      </c>
      <c r="E298" s="12">
        <v>1</v>
      </c>
      <c r="F298" s="12" t="s">
        <v>10355</v>
      </c>
      <c r="G298" s="12" t="s">
        <v>10356</v>
      </c>
      <c r="H298" s="12">
        <v>2019</v>
      </c>
      <c r="I298" s="13" t="s">
        <v>10357</v>
      </c>
      <c r="J298" s="12" t="s">
        <v>9478</v>
      </c>
    </row>
    <row r="299" spans="1:10" x14ac:dyDescent="0.2">
      <c r="A299" s="12" t="s">
        <v>629</v>
      </c>
      <c r="B299" s="12" t="s">
        <v>10358</v>
      </c>
      <c r="D299" s="12">
        <v>14</v>
      </c>
      <c r="E299" s="12">
        <v>5</v>
      </c>
      <c r="F299" s="12" t="s">
        <v>10359</v>
      </c>
      <c r="G299" s="12" t="s">
        <v>10360</v>
      </c>
      <c r="H299" s="12">
        <v>2020</v>
      </c>
      <c r="I299" s="13" t="s">
        <v>10361</v>
      </c>
      <c r="J299" s="12" t="s">
        <v>9478</v>
      </c>
    </row>
    <row r="300" spans="1:10" x14ac:dyDescent="0.2">
      <c r="A300" s="12" t="s">
        <v>10135</v>
      </c>
      <c r="B300" s="12" t="s">
        <v>10362</v>
      </c>
      <c r="F300" s="12" t="s">
        <v>10363</v>
      </c>
      <c r="G300" s="12" t="s">
        <v>10364</v>
      </c>
      <c r="H300" s="12">
        <v>2021</v>
      </c>
      <c r="I300" s="13" t="s">
        <v>10365</v>
      </c>
      <c r="J300" s="12" t="s">
        <v>9539</v>
      </c>
    </row>
    <row r="301" spans="1:10" x14ac:dyDescent="0.2">
      <c r="A301" s="12" t="s">
        <v>10366</v>
      </c>
      <c r="B301" s="12" t="s">
        <v>10367</v>
      </c>
      <c r="F301" s="12" t="s">
        <v>10368</v>
      </c>
      <c r="G301" s="12" t="s">
        <v>10369</v>
      </c>
      <c r="H301" s="12">
        <v>2019</v>
      </c>
      <c r="I301" s="13" t="s">
        <v>10370</v>
      </c>
      <c r="J301" s="12" t="s">
        <v>9539</v>
      </c>
    </row>
    <row r="302" spans="1:10" x14ac:dyDescent="0.2">
      <c r="A302" s="12" t="s">
        <v>10164</v>
      </c>
      <c r="B302" s="12" t="s">
        <v>10371</v>
      </c>
      <c r="F302" s="12" t="s">
        <v>10372</v>
      </c>
      <c r="G302" s="12" t="s">
        <v>10167</v>
      </c>
      <c r="H302" s="12">
        <v>2020</v>
      </c>
      <c r="I302" s="13" t="s">
        <v>10373</v>
      </c>
      <c r="J302" s="12" t="s">
        <v>9539</v>
      </c>
    </row>
    <row r="303" spans="1:10" x14ac:dyDescent="0.2">
      <c r="A303" s="12" t="s">
        <v>9367</v>
      </c>
      <c r="B303" s="12" t="s">
        <v>10374</v>
      </c>
      <c r="F303" s="12" t="s">
        <v>10375</v>
      </c>
      <c r="G303" s="12" t="s">
        <v>10376</v>
      </c>
      <c r="H303" s="12">
        <v>2021</v>
      </c>
      <c r="I303" s="13" t="s">
        <v>10377</v>
      </c>
      <c r="J303" s="12" t="s">
        <v>9539</v>
      </c>
    </row>
    <row r="304" spans="1:10" x14ac:dyDescent="0.2">
      <c r="A304" s="12" t="s">
        <v>523</v>
      </c>
      <c r="B304" s="12" t="s">
        <v>10378</v>
      </c>
      <c r="F304" s="12" t="s">
        <v>10379</v>
      </c>
      <c r="G304" s="12" t="s">
        <v>10380</v>
      </c>
      <c r="H304" s="12">
        <v>2022</v>
      </c>
      <c r="I304" s="13" t="s">
        <v>10381</v>
      </c>
      <c r="J304" s="12" t="s">
        <v>9478</v>
      </c>
    </row>
    <row r="305" spans="1:10" x14ac:dyDescent="0.2">
      <c r="A305" s="12" t="s">
        <v>1033</v>
      </c>
      <c r="B305" s="12" t="s">
        <v>1032</v>
      </c>
      <c r="D305" s="12">
        <v>47</v>
      </c>
      <c r="E305" s="12">
        <v>2</v>
      </c>
      <c r="F305" s="12" t="s">
        <v>1037</v>
      </c>
      <c r="G305" s="12" t="s">
        <v>10382</v>
      </c>
      <c r="H305" s="12">
        <v>2022</v>
      </c>
      <c r="I305" s="13" t="s">
        <v>10383</v>
      </c>
      <c r="J305" s="12" t="s">
        <v>9478</v>
      </c>
    </row>
    <row r="306" spans="1:10" x14ac:dyDescent="0.2">
      <c r="A306" s="12" t="s">
        <v>9403</v>
      </c>
      <c r="B306" s="12" t="s">
        <v>10384</v>
      </c>
      <c r="F306" s="12" t="s">
        <v>10385</v>
      </c>
      <c r="G306" s="12" t="s">
        <v>10008</v>
      </c>
      <c r="H306" s="12">
        <v>2022</v>
      </c>
      <c r="I306" s="13" t="s">
        <v>10386</v>
      </c>
      <c r="J306" s="12" t="s">
        <v>9539</v>
      </c>
    </row>
    <row r="307" spans="1:10" x14ac:dyDescent="0.2">
      <c r="A307" s="12" t="s">
        <v>10387</v>
      </c>
      <c r="B307" s="12" t="s">
        <v>3895</v>
      </c>
      <c r="F307" s="12" t="s">
        <v>3899</v>
      </c>
      <c r="G307" s="12" t="s">
        <v>10388</v>
      </c>
      <c r="H307" s="12">
        <v>2020</v>
      </c>
      <c r="I307" s="13" t="s">
        <v>10389</v>
      </c>
      <c r="J307" s="12" t="s">
        <v>9539</v>
      </c>
    </row>
    <row r="308" spans="1:10" x14ac:dyDescent="0.2">
      <c r="A308" s="12" t="s">
        <v>9403</v>
      </c>
      <c r="B308" s="12" t="s">
        <v>10390</v>
      </c>
      <c r="F308" s="12" t="s">
        <v>10391</v>
      </c>
      <c r="G308" s="12" t="s">
        <v>10008</v>
      </c>
      <c r="H308" s="12">
        <v>2022</v>
      </c>
      <c r="I308" s="13" t="s">
        <v>10392</v>
      </c>
      <c r="J308" s="12" t="s">
        <v>9539</v>
      </c>
    </row>
    <row r="309" spans="1:10" x14ac:dyDescent="0.2">
      <c r="B309" s="12" t="s">
        <v>10393</v>
      </c>
      <c r="F309" s="12" t="s">
        <v>10394</v>
      </c>
      <c r="G309" s="12" t="s">
        <v>10395</v>
      </c>
      <c r="H309" s="12">
        <v>2022</v>
      </c>
      <c r="I309" s="13" t="s">
        <v>10396</v>
      </c>
      <c r="J309" s="12" t="s">
        <v>539</v>
      </c>
    </row>
    <row r="310" spans="1:10" x14ac:dyDescent="0.2">
      <c r="A310" s="12" t="s">
        <v>10397</v>
      </c>
      <c r="B310" s="12" t="s">
        <v>10398</v>
      </c>
      <c r="D310" s="12">
        <v>23</v>
      </c>
      <c r="E310" s="12">
        <v>4</v>
      </c>
      <c r="F310" s="12" t="s">
        <v>10399</v>
      </c>
      <c r="G310" s="12" t="s">
        <v>10400</v>
      </c>
      <c r="H310" s="12">
        <v>2020</v>
      </c>
      <c r="I310" s="13" t="s">
        <v>10401</v>
      </c>
      <c r="J310" s="12" t="s">
        <v>9478</v>
      </c>
    </row>
    <row r="311" spans="1:10" x14ac:dyDescent="0.2">
      <c r="A311" s="12" t="s">
        <v>9335</v>
      </c>
      <c r="B311" s="12" t="s">
        <v>10402</v>
      </c>
      <c r="F311" s="12" t="s">
        <v>10403</v>
      </c>
      <c r="G311" s="12" t="s">
        <v>10404</v>
      </c>
      <c r="H311" s="12">
        <v>2018</v>
      </c>
      <c r="I311" s="13" t="s">
        <v>10405</v>
      </c>
      <c r="J311" s="12" t="s">
        <v>9539</v>
      </c>
    </row>
    <row r="312" spans="1:10" x14ac:dyDescent="0.2">
      <c r="A312" s="12" t="s">
        <v>523</v>
      </c>
      <c r="B312" s="12" t="s">
        <v>10406</v>
      </c>
      <c r="D312" s="12">
        <v>28</v>
      </c>
      <c r="E312" s="12">
        <v>3</v>
      </c>
      <c r="F312" s="12" t="s">
        <v>10407</v>
      </c>
      <c r="G312" s="12" t="s">
        <v>10408</v>
      </c>
      <c r="H312" s="12">
        <v>2020</v>
      </c>
      <c r="I312" s="13" t="s">
        <v>10409</v>
      </c>
      <c r="J312" s="12" t="s">
        <v>9478</v>
      </c>
    </row>
    <row r="313" spans="1:10" x14ac:dyDescent="0.2">
      <c r="A313" s="12" t="s">
        <v>9866</v>
      </c>
      <c r="B313" s="12" t="s">
        <v>10410</v>
      </c>
      <c r="F313" s="12" t="s">
        <v>10411</v>
      </c>
      <c r="G313" s="12" t="s">
        <v>10412</v>
      </c>
      <c r="H313" s="12">
        <v>2020</v>
      </c>
      <c r="I313" s="13" t="s">
        <v>10413</v>
      </c>
      <c r="J313" s="12" t="s">
        <v>9539</v>
      </c>
    </row>
    <row r="314" spans="1:10" x14ac:dyDescent="0.2">
      <c r="A314" s="12" t="s">
        <v>1870</v>
      </c>
      <c r="B314" s="12" t="s">
        <v>10414</v>
      </c>
      <c r="F314" s="12" t="s">
        <v>10415</v>
      </c>
      <c r="G314" s="12" t="s">
        <v>10416</v>
      </c>
      <c r="H314" s="12">
        <v>2022</v>
      </c>
      <c r="I314" s="13" t="s">
        <v>10417</v>
      </c>
      <c r="J314" s="12" t="s">
        <v>539</v>
      </c>
    </row>
    <row r="315" spans="1:10" x14ac:dyDescent="0.2">
      <c r="A315" s="12" t="s">
        <v>523</v>
      </c>
      <c r="B315" s="12" t="s">
        <v>10418</v>
      </c>
      <c r="D315" s="12">
        <v>30</v>
      </c>
      <c r="E315" s="12">
        <v>3</v>
      </c>
      <c r="F315" s="12" t="s">
        <v>10419</v>
      </c>
      <c r="G315" s="12" t="s">
        <v>10420</v>
      </c>
      <c r="H315" s="12">
        <v>2022</v>
      </c>
      <c r="I315" s="13" t="s">
        <v>10421</v>
      </c>
      <c r="J315" s="12" t="s">
        <v>9478</v>
      </c>
    </row>
    <row r="316" spans="1:10" x14ac:dyDescent="0.2">
      <c r="B316" s="12" t="s">
        <v>10422</v>
      </c>
      <c r="F316" s="12" t="s">
        <v>10423</v>
      </c>
      <c r="G316" s="12" t="s">
        <v>10424</v>
      </c>
      <c r="H316" s="12">
        <v>2022</v>
      </c>
      <c r="I316" s="13" t="s">
        <v>10425</v>
      </c>
      <c r="J316" s="12" t="s">
        <v>539</v>
      </c>
    </row>
    <row r="317" spans="1:10" x14ac:dyDescent="0.2">
      <c r="A317" s="12" t="s">
        <v>10426</v>
      </c>
      <c r="B317" s="12" t="s">
        <v>10427</v>
      </c>
      <c r="F317" s="12" t="s">
        <v>10428</v>
      </c>
      <c r="G317" s="12" t="s">
        <v>10429</v>
      </c>
      <c r="H317" s="12">
        <v>2018</v>
      </c>
      <c r="I317" s="13" t="s">
        <v>10430</v>
      </c>
      <c r="J317" s="12" t="s">
        <v>9539</v>
      </c>
    </row>
    <row r="318" spans="1:10" x14ac:dyDescent="0.2">
      <c r="A318" s="12" t="s">
        <v>9722</v>
      </c>
      <c r="B318" s="12" t="s">
        <v>10431</v>
      </c>
      <c r="F318" s="12" t="s">
        <v>10432</v>
      </c>
      <c r="G318" s="12" t="s">
        <v>10433</v>
      </c>
      <c r="H318" s="12">
        <v>2021</v>
      </c>
      <c r="I318" s="13" t="s">
        <v>10434</v>
      </c>
      <c r="J318" s="12" t="s">
        <v>9539</v>
      </c>
    </row>
    <row r="319" spans="1:10" x14ac:dyDescent="0.2">
      <c r="A319" s="12" t="s">
        <v>10435</v>
      </c>
      <c r="B319" s="12" t="s">
        <v>5026</v>
      </c>
      <c r="F319" s="12" t="s">
        <v>5030</v>
      </c>
      <c r="G319" s="12" t="s">
        <v>10436</v>
      </c>
      <c r="H319" s="12">
        <v>2020</v>
      </c>
      <c r="I319" s="13" t="s">
        <v>10437</v>
      </c>
      <c r="J319" s="12" t="s">
        <v>9539</v>
      </c>
    </row>
    <row r="320" spans="1:10" x14ac:dyDescent="0.2">
      <c r="A320" s="12" t="s">
        <v>136</v>
      </c>
      <c r="B320" s="12" t="s">
        <v>4595</v>
      </c>
      <c r="D320" s="12">
        <v>25</v>
      </c>
      <c r="E320" s="12">
        <v>3</v>
      </c>
      <c r="F320" s="12" t="s">
        <v>4598</v>
      </c>
      <c r="G320" s="12" t="s">
        <v>10438</v>
      </c>
      <c r="H320" s="12">
        <v>2020</v>
      </c>
      <c r="I320" s="13" t="s">
        <v>10439</v>
      </c>
      <c r="J320" s="12" t="s">
        <v>9478</v>
      </c>
    </row>
    <row r="321" spans="1:10" x14ac:dyDescent="0.2">
      <c r="A321" s="12" t="s">
        <v>136</v>
      </c>
      <c r="B321" s="12" t="s">
        <v>10440</v>
      </c>
      <c r="D321" s="12">
        <v>23</v>
      </c>
      <c r="E321" s="12">
        <v>6</v>
      </c>
      <c r="F321" s="12" t="s">
        <v>10441</v>
      </c>
      <c r="G321" s="12" t="s">
        <v>10442</v>
      </c>
      <c r="H321" s="12">
        <v>2018</v>
      </c>
      <c r="I321" s="13" t="s">
        <v>10443</v>
      </c>
      <c r="J321" s="12" t="s">
        <v>9478</v>
      </c>
    </row>
    <row r="322" spans="1:10" x14ac:dyDescent="0.2">
      <c r="B322" s="12" t="s">
        <v>10444</v>
      </c>
      <c r="F322" s="12" t="s">
        <v>10445</v>
      </c>
      <c r="G322" s="12" t="s">
        <v>10446</v>
      </c>
      <c r="H322" s="12">
        <v>2021</v>
      </c>
      <c r="I322" s="13" t="s">
        <v>10447</v>
      </c>
      <c r="J322" s="12" t="s">
        <v>539</v>
      </c>
    </row>
    <row r="323" spans="1:10" x14ac:dyDescent="0.2">
      <c r="A323" s="12" t="s">
        <v>9315</v>
      </c>
      <c r="B323" s="12" t="s">
        <v>10448</v>
      </c>
      <c r="F323" s="12" t="s">
        <v>10449</v>
      </c>
      <c r="G323" s="12" t="s">
        <v>10450</v>
      </c>
      <c r="H323" s="12">
        <v>2022</v>
      </c>
      <c r="I323" s="13" t="s">
        <v>10451</v>
      </c>
      <c r="J323" s="12" t="s">
        <v>9539</v>
      </c>
    </row>
    <row r="324" spans="1:10" x14ac:dyDescent="0.2">
      <c r="A324" s="12" t="s">
        <v>10452</v>
      </c>
      <c r="B324" s="12" t="s">
        <v>10453</v>
      </c>
      <c r="F324" s="12" t="s">
        <v>10454</v>
      </c>
      <c r="G324" s="12" t="s">
        <v>10455</v>
      </c>
      <c r="H324" s="12">
        <v>2019</v>
      </c>
      <c r="I324" s="13" t="s">
        <v>10456</v>
      </c>
      <c r="J324" s="12" t="s">
        <v>9539</v>
      </c>
    </row>
    <row r="325" spans="1:10" x14ac:dyDescent="0.2">
      <c r="B325" s="12" t="s">
        <v>10457</v>
      </c>
      <c r="F325" s="12" t="s">
        <v>10458</v>
      </c>
      <c r="G325" s="12" t="s">
        <v>10459</v>
      </c>
      <c r="H325" s="12">
        <v>2023</v>
      </c>
      <c r="I325" s="13" t="s">
        <v>10460</v>
      </c>
      <c r="J325" s="12" t="s">
        <v>539</v>
      </c>
    </row>
    <row r="326" spans="1:10" x14ac:dyDescent="0.2">
      <c r="A326" s="12" t="s">
        <v>136</v>
      </c>
      <c r="B326" s="12" t="s">
        <v>774</v>
      </c>
      <c r="D326" s="12">
        <v>28</v>
      </c>
      <c r="E326" s="12">
        <v>1</v>
      </c>
      <c r="F326" s="12" t="s">
        <v>776</v>
      </c>
      <c r="G326" s="12" t="s">
        <v>10461</v>
      </c>
      <c r="H326" s="12">
        <v>2022</v>
      </c>
      <c r="I326" s="13" t="s">
        <v>10462</v>
      </c>
      <c r="J326" s="12" t="s">
        <v>9478</v>
      </c>
    </row>
    <row r="327" spans="1:10" x14ac:dyDescent="0.2">
      <c r="A327" s="12" t="s">
        <v>136</v>
      </c>
      <c r="B327" s="12" t="s">
        <v>10463</v>
      </c>
      <c r="D327" s="12">
        <v>23</v>
      </c>
      <c r="E327" s="12">
        <v>1</v>
      </c>
      <c r="F327" s="12" t="s">
        <v>10464</v>
      </c>
      <c r="G327" s="12" t="s">
        <v>10465</v>
      </c>
      <c r="H327" s="12">
        <v>2018</v>
      </c>
      <c r="I327" s="13" t="s">
        <v>10466</v>
      </c>
      <c r="J327" s="12" t="s">
        <v>9478</v>
      </c>
    </row>
    <row r="328" spans="1:10" x14ac:dyDescent="0.2">
      <c r="A328" s="12" t="s">
        <v>9388</v>
      </c>
      <c r="B328" s="12" t="s">
        <v>10467</v>
      </c>
      <c r="F328" s="12" t="s">
        <v>10468</v>
      </c>
      <c r="G328" s="12" t="s">
        <v>10469</v>
      </c>
      <c r="H328" s="12">
        <v>2021</v>
      </c>
      <c r="I328" s="13" t="s">
        <v>10470</v>
      </c>
      <c r="J328" s="12" t="s">
        <v>9539</v>
      </c>
    </row>
    <row r="329" spans="1:10" x14ac:dyDescent="0.2">
      <c r="A329" s="12" t="s">
        <v>136</v>
      </c>
      <c r="B329" s="12" t="s">
        <v>10471</v>
      </c>
      <c r="D329" s="12">
        <v>27</v>
      </c>
      <c r="E329" s="12">
        <v>1</v>
      </c>
      <c r="F329" s="12" t="s">
        <v>10472</v>
      </c>
      <c r="G329" s="12" t="s">
        <v>10473</v>
      </c>
      <c r="H329" s="12">
        <v>2021</v>
      </c>
      <c r="I329" s="13" t="s">
        <v>10474</v>
      </c>
      <c r="J329" s="12" t="s">
        <v>9478</v>
      </c>
    </row>
    <row r="330" spans="1:10" x14ac:dyDescent="0.2">
      <c r="A330" s="12" t="s">
        <v>10475</v>
      </c>
      <c r="B330" s="12" t="s">
        <v>10476</v>
      </c>
      <c r="F330" s="12" t="s">
        <v>10477</v>
      </c>
      <c r="G330" s="12" t="s">
        <v>10478</v>
      </c>
      <c r="H330" s="12">
        <v>2017</v>
      </c>
      <c r="I330" s="13" t="s">
        <v>10479</v>
      </c>
      <c r="J330" s="12" t="s">
        <v>9539</v>
      </c>
    </row>
    <row r="331" spans="1:10" x14ac:dyDescent="0.2">
      <c r="A331" s="12" t="s">
        <v>10480</v>
      </c>
      <c r="B331" s="12" t="s">
        <v>10481</v>
      </c>
      <c r="F331" s="12" t="s">
        <v>3920</v>
      </c>
      <c r="G331" s="12" t="s">
        <v>10482</v>
      </c>
      <c r="H331" s="12">
        <v>2020</v>
      </c>
      <c r="I331" s="13" t="s">
        <v>10483</v>
      </c>
      <c r="J331" s="12" t="s">
        <v>9539</v>
      </c>
    </row>
    <row r="332" spans="1:10" x14ac:dyDescent="0.2">
      <c r="A332" s="12" t="s">
        <v>803</v>
      </c>
      <c r="B332" s="12" t="s">
        <v>802</v>
      </c>
      <c r="D332" s="12">
        <v>18</v>
      </c>
      <c r="E332" s="12">
        <v>1</v>
      </c>
      <c r="F332" s="12" t="s">
        <v>807</v>
      </c>
      <c r="G332" s="12" t="s">
        <v>10484</v>
      </c>
      <c r="H332" s="12">
        <v>2022</v>
      </c>
      <c r="I332" s="13" t="s">
        <v>10485</v>
      </c>
      <c r="J332" s="12" t="s">
        <v>9478</v>
      </c>
    </row>
    <row r="333" spans="1:10" x14ac:dyDescent="0.2">
      <c r="A333" s="12" t="s">
        <v>9331</v>
      </c>
      <c r="B333" s="12" t="s">
        <v>10486</v>
      </c>
      <c r="F333" s="12" t="s">
        <v>10487</v>
      </c>
      <c r="G333" s="12" t="s">
        <v>10488</v>
      </c>
      <c r="H333" s="12">
        <v>2019</v>
      </c>
      <c r="I333" s="13" t="s">
        <v>10489</v>
      </c>
      <c r="J333" s="12" t="s">
        <v>9539</v>
      </c>
    </row>
    <row r="334" spans="1:10" x14ac:dyDescent="0.2">
      <c r="A334" s="12" t="s">
        <v>4265</v>
      </c>
      <c r="B334" s="12" t="s">
        <v>10490</v>
      </c>
      <c r="F334" s="12" t="s">
        <v>10491</v>
      </c>
      <c r="G334" s="12" t="s">
        <v>9720</v>
      </c>
      <c r="H334" s="12">
        <v>2019</v>
      </c>
      <c r="I334" s="13" t="s">
        <v>10492</v>
      </c>
      <c r="J334" s="12" t="s">
        <v>9539</v>
      </c>
    </row>
    <row r="335" spans="1:10" x14ac:dyDescent="0.2">
      <c r="A335" s="12" t="s">
        <v>9922</v>
      </c>
      <c r="B335" s="12" t="s">
        <v>10493</v>
      </c>
      <c r="F335" s="12" t="s">
        <v>10494</v>
      </c>
      <c r="G335" s="12" t="s">
        <v>9924</v>
      </c>
      <c r="H335" s="12">
        <v>2021</v>
      </c>
      <c r="I335" s="13" t="s">
        <v>10495</v>
      </c>
      <c r="J335" s="12" t="s">
        <v>9539</v>
      </c>
    </row>
    <row r="336" spans="1:10" x14ac:dyDescent="0.2">
      <c r="B336" s="12" t="s">
        <v>10496</v>
      </c>
      <c r="F336" s="12" t="s">
        <v>10497</v>
      </c>
      <c r="G336" s="12" t="s">
        <v>10498</v>
      </c>
      <c r="H336" s="12">
        <v>2022</v>
      </c>
      <c r="I336" s="13" t="s">
        <v>10499</v>
      </c>
      <c r="J336" s="12" t="s">
        <v>539</v>
      </c>
    </row>
    <row r="337" spans="1:10" x14ac:dyDescent="0.2">
      <c r="A337" s="12" t="s">
        <v>2134</v>
      </c>
      <c r="B337" s="12" t="s">
        <v>2133</v>
      </c>
      <c r="D337" s="12">
        <v>25</v>
      </c>
      <c r="E337" s="12">
        <v>22</v>
      </c>
      <c r="F337" s="12" t="s">
        <v>2138</v>
      </c>
      <c r="G337" s="12" t="s">
        <v>10500</v>
      </c>
      <c r="H337" s="12">
        <v>2021</v>
      </c>
      <c r="I337" s="13" t="s">
        <v>10501</v>
      </c>
      <c r="J337" s="12" t="s">
        <v>9478</v>
      </c>
    </row>
    <row r="338" spans="1:10" x14ac:dyDescent="0.2">
      <c r="A338" s="12" t="s">
        <v>9487</v>
      </c>
      <c r="B338" s="12" t="s">
        <v>10502</v>
      </c>
      <c r="F338" s="12" t="s">
        <v>10503</v>
      </c>
      <c r="G338" s="12" t="s">
        <v>10504</v>
      </c>
      <c r="H338" s="12">
        <v>2023</v>
      </c>
      <c r="I338" s="13" t="s">
        <v>10505</v>
      </c>
      <c r="J338" s="12" t="s">
        <v>9539</v>
      </c>
    </row>
    <row r="339" spans="1:10" x14ac:dyDescent="0.2">
      <c r="A339" s="12" t="s">
        <v>136</v>
      </c>
      <c r="B339" s="12" t="s">
        <v>10506</v>
      </c>
      <c r="D339" s="12">
        <v>27</v>
      </c>
      <c r="E339" s="12">
        <v>3</v>
      </c>
      <c r="F339" s="12" t="s">
        <v>385</v>
      </c>
      <c r="G339" s="12" t="s">
        <v>10507</v>
      </c>
      <c r="H339" s="12">
        <v>2022</v>
      </c>
      <c r="I339" s="13" t="s">
        <v>10508</v>
      </c>
      <c r="J339" s="12" t="s">
        <v>9478</v>
      </c>
    </row>
    <row r="340" spans="1:10" x14ac:dyDescent="0.2">
      <c r="B340" s="12" t="s">
        <v>10509</v>
      </c>
      <c r="F340" s="12" t="s">
        <v>10510</v>
      </c>
      <c r="G340" s="12" t="s">
        <v>10511</v>
      </c>
      <c r="H340" s="12">
        <v>2021</v>
      </c>
      <c r="I340" s="13" t="s">
        <v>10512</v>
      </c>
      <c r="J340" s="12" t="s">
        <v>539</v>
      </c>
    </row>
    <row r="341" spans="1:10" x14ac:dyDescent="0.2">
      <c r="A341" s="12" t="s">
        <v>9495</v>
      </c>
      <c r="B341" s="12" t="s">
        <v>10513</v>
      </c>
      <c r="F341" s="12" t="s">
        <v>10514</v>
      </c>
      <c r="G341" s="12" t="s">
        <v>9497</v>
      </c>
      <c r="H341" s="12">
        <v>2020</v>
      </c>
      <c r="I341" s="13" t="s">
        <v>10515</v>
      </c>
      <c r="J341" s="12" t="s">
        <v>9539</v>
      </c>
    </row>
    <row r="342" spans="1:10" x14ac:dyDescent="0.2">
      <c r="A342" s="12" t="s">
        <v>10178</v>
      </c>
      <c r="B342" s="12" t="s">
        <v>10516</v>
      </c>
      <c r="F342" s="12" t="s">
        <v>10517</v>
      </c>
      <c r="G342" s="12" t="s">
        <v>10180</v>
      </c>
      <c r="H342" s="12">
        <v>2022</v>
      </c>
      <c r="I342" s="13" t="s">
        <v>10518</v>
      </c>
      <c r="J342" s="12" t="s">
        <v>9539</v>
      </c>
    </row>
    <row r="343" spans="1:10" x14ac:dyDescent="0.2">
      <c r="A343" s="12" t="s">
        <v>136</v>
      </c>
      <c r="B343" s="12" t="s">
        <v>10519</v>
      </c>
      <c r="D343" s="12">
        <v>27</v>
      </c>
      <c r="E343" s="12">
        <v>3</v>
      </c>
      <c r="F343" s="12" t="s">
        <v>10520</v>
      </c>
      <c r="G343" s="12" t="s">
        <v>10521</v>
      </c>
      <c r="H343" s="12">
        <v>2022</v>
      </c>
      <c r="I343" s="13" t="s">
        <v>10522</v>
      </c>
      <c r="J343" s="12" t="s">
        <v>9478</v>
      </c>
    </row>
    <row r="344" spans="1:10" x14ac:dyDescent="0.2">
      <c r="A344" s="12" t="s">
        <v>10523</v>
      </c>
      <c r="B344" s="12" t="s">
        <v>10524</v>
      </c>
      <c r="F344" s="12" t="s">
        <v>10525</v>
      </c>
      <c r="G344" s="12" t="s">
        <v>10526</v>
      </c>
      <c r="H344" s="12">
        <v>2020</v>
      </c>
      <c r="I344" s="13" t="s">
        <v>10527</v>
      </c>
      <c r="J344" s="12" t="s">
        <v>9539</v>
      </c>
    </row>
    <row r="345" spans="1:10" x14ac:dyDescent="0.2">
      <c r="A345" s="12" t="s">
        <v>9791</v>
      </c>
      <c r="B345" s="12" t="s">
        <v>10528</v>
      </c>
      <c r="F345" s="12" t="s">
        <v>5192</v>
      </c>
      <c r="G345" s="12" t="s">
        <v>10529</v>
      </c>
      <c r="H345" s="12">
        <v>2018</v>
      </c>
      <c r="I345" s="13" t="s">
        <v>10530</v>
      </c>
      <c r="J345" s="12" t="s">
        <v>9539</v>
      </c>
    </row>
    <row r="346" spans="1:10" x14ac:dyDescent="0.2">
      <c r="A346" s="12" t="s">
        <v>10138</v>
      </c>
      <c r="B346" s="12" t="s">
        <v>10531</v>
      </c>
      <c r="F346" s="12" t="s">
        <v>10532</v>
      </c>
      <c r="G346" s="12" t="s">
        <v>10533</v>
      </c>
      <c r="H346" s="12">
        <v>2022</v>
      </c>
      <c r="I346" s="13" t="s">
        <v>10534</v>
      </c>
      <c r="J346" s="12" t="s">
        <v>539</v>
      </c>
    </row>
    <row r="347" spans="1:10" x14ac:dyDescent="0.2">
      <c r="A347" s="12" t="s">
        <v>10535</v>
      </c>
      <c r="B347" s="12" t="s">
        <v>10536</v>
      </c>
      <c r="F347" s="12" t="s">
        <v>10537</v>
      </c>
      <c r="G347" s="12" t="s">
        <v>10538</v>
      </c>
      <c r="H347" s="12">
        <v>2021</v>
      </c>
      <c r="I347" s="13" t="s">
        <v>10539</v>
      </c>
      <c r="J347" s="12" t="s">
        <v>539</v>
      </c>
    </row>
    <row r="348" spans="1:10" x14ac:dyDescent="0.2">
      <c r="B348" s="12" t="s">
        <v>10540</v>
      </c>
      <c r="F348" s="12" t="s">
        <v>10541</v>
      </c>
      <c r="G348" s="12" t="s">
        <v>10542</v>
      </c>
      <c r="H348" s="12">
        <v>2022</v>
      </c>
      <c r="I348" s="13" t="s">
        <v>10543</v>
      </c>
      <c r="J348" s="12" t="s">
        <v>9383</v>
      </c>
    </row>
    <row r="349" spans="1:10" x14ac:dyDescent="0.2">
      <c r="A349" s="12" t="s">
        <v>10544</v>
      </c>
      <c r="B349" s="12" t="s">
        <v>10545</v>
      </c>
      <c r="F349" s="12" t="s">
        <v>10546</v>
      </c>
      <c r="G349" s="12" t="s">
        <v>10547</v>
      </c>
      <c r="H349" s="12">
        <v>2020</v>
      </c>
      <c r="I349" s="13" t="s">
        <v>10548</v>
      </c>
      <c r="J349" s="12" t="s">
        <v>539</v>
      </c>
    </row>
    <row r="350" spans="1:10" x14ac:dyDescent="0.2">
      <c r="A350" s="12" t="s">
        <v>9371</v>
      </c>
      <c r="B350" s="12" t="s">
        <v>10549</v>
      </c>
      <c r="F350" s="12" t="s">
        <v>10550</v>
      </c>
      <c r="G350" s="12" t="s">
        <v>10551</v>
      </c>
      <c r="H350" s="12">
        <v>2023</v>
      </c>
      <c r="I350" s="13" t="s">
        <v>10552</v>
      </c>
      <c r="J350" s="12" t="s">
        <v>9539</v>
      </c>
    </row>
    <row r="351" spans="1:10" x14ac:dyDescent="0.2">
      <c r="A351" s="12" t="s">
        <v>136</v>
      </c>
      <c r="B351" s="12" t="s">
        <v>10553</v>
      </c>
      <c r="D351" s="12">
        <v>25</v>
      </c>
      <c r="E351" s="12">
        <v>3</v>
      </c>
      <c r="F351" s="12" t="s">
        <v>10554</v>
      </c>
      <c r="G351" s="12" t="s">
        <v>10555</v>
      </c>
      <c r="H351" s="12">
        <v>2020</v>
      </c>
      <c r="I351" s="13" t="s">
        <v>10556</v>
      </c>
      <c r="J351" s="12" t="s">
        <v>9478</v>
      </c>
    </row>
    <row r="352" spans="1:10" x14ac:dyDescent="0.2">
      <c r="A352" s="12" t="s">
        <v>9433</v>
      </c>
      <c r="B352" s="12" t="s">
        <v>10557</v>
      </c>
      <c r="F352" s="12" t="s">
        <v>10558</v>
      </c>
      <c r="G352" s="12" t="s">
        <v>10559</v>
      </c>
      <c r="H352" s="12">
        <v>2022</v>
      </c>
      <c r="I352" s="13" t="s">
        <v>10560</v>
      </c>
      <c r="J352" s="12" t="s">
        <v>9539</v>
      </c>
    </row>
    <row r="353" spans="1:10" x14ac:dyDescent="0.2">
      <c r="A353" s="12" t="s">
        <v>9290</v>
      </c>
      <c r="B353" s="12" t="s">
        <v>10561</v>
      </c>
      <c r="F353" s="12" t="s">
        <v>10562</v>
      </c>
      <c r="G353" s="12" t="s">
        <v>9292</v>
      </c>
      <c r="H353" s="12">
        <v>2021</v>
      </c>
      <c r="I353" s="13" t="s">
        <v>10563</v>
      </c>
      <c r="J353" s="12" t="s">
        <v>9539</v>
      </c>
    </row>
    <row r="354" spans="1:10" x14ac:dyDescent="0.2">
      <c r="A354" s="12" t="s">
        <v>136</v>
      </c>
      <c r="B354" s="12" t="s">
        <v>10564</v>
      </c>
      <c r="D354" s="12">
        <v>26</v>
      </c>
      <c r="E354" s="12">
        <v>5</v>
      </c>
      <c r="F354" s="12" t="s">
        <v>10565</v>
      </c>
      <c r="G354" s="12" t="s">
        <v>10566</v>
      </c>
      <c r="H354" s="12">
        <v>2021</v>
      </c>
      <c r="I354" s="13" t="s">
        <v>10567</v>
      </c>
      <c r="J354" s="12" t="s">
        <v>9478</v>
      </c>
    </row>
    <row r="355" spans="1:10" x14ac:dyDescent="0.2">
      <c r="A355" s="12" t="s">
        <v>10568</v>
      </c>
      <c r="B355" s="12" t="s">
        <v>10569</v>
      </c>
      <c r="F355" s="12" t="s">
        <v>10570</v>
      </c>
      <c r="G355" s="12" t="s">
        <v>10571</v>
      </c>
      <c r="H355" s="12">
        <v>2021</v>
      </c>
      <c r="I355" s="13" t="s">
        <v>10572</v>
      </c>
      <c r="J355" s="12" t="s">
        <v>539</v>
      </c>
    </row>
    <row r="356" spans="1:10" x14ac:dyDescent="0.2">
      <c r="A356" s="12" t="s">
        <v>219</v>
      </c>
      <c r="B356" s="12" t="s">
        <v>218</v>
      </c>
      <c r="D356" s="12">
        <v>24</v>
      </c>
      <c r="E356" s="12">
        <v>4</v>
      </c>
      <c r="F356" s="12" t="s">
        <v>223</v>
      </c>
      <c r="G356" s="12" t="s">
        <v>10573</v>
      </c>
      <c r="H356" s="12">
        <v>2022</v>
      </c>
      <c r="I356" s="13" t="s">
        <v>10574</v>
      </c>
      <c r="J356" s="12" t="s">
        <v>9478</v>
      </c>
    </row>
    <row r="357" spans="1:10" x14ac:dyDescent="0.2">
      <c r="A357" s="12" t="s">
        <v>136</v>
      </c>
      <c r="B357" s="12" t="s">
        <v>3979</v>
      </c>
      <c r="D357" s="12">
        <v>25</v>
      </c>
      <c r="E357" s="12">
        <v>1</v>
      </c>
      <c r="F357" s="12" t="s">
        <v>3982</v>
      </c>
      <c r="G357" s="12" t="s">
        <v>10575</v>
      </c>
      <c r="H357" s="12">
        <v>2020</v>
      </c>
      <c r="I357" s="13" t="s">
        <v>10576</v>
      </c>
      <c r="J357" s="12" t="s">
        <v>9478</v>
      </c>
    </row>
    <row r="358" spans="1:10" x14ac:dyDescent="0.2">
      <c r="A358" s="12" t="s">
        <v>136</v>
      </c>
      <c r="B358" s="12" t="s">
        <v>10577</v>
      </c>
      <c r="D358" s="12">
        <v>26</v>
      </c>
      <c r="E358" s="12">
        <v>4</v>
      </c>
      <c r="F358" s="12" t="s">
        <v>10578</v>
      </c>
      <c r="G358" s="12" t="s">
        <v>10579</v>
      </c>
      <c r="H358" s="12">
        <v>2021</v>
      </c>
      <c r="I358" s="13" t="s">
        <v>10580</v>
      </c>
      <c r="J358" s="12" t="s">
        <v>9478</v>
      </c>
    </row>
    <row r="359" spans="1:10" x14ac:dyDescent="0.2">
      <c r="A359" s="12" t="s">
        <v>10581</v>
      </c>
      <c r="B359" s="12" t="s">
        <v>10582</v>
      </c>
      <c r="D359" s="12">
        <v>52</v>
      </c>
      <c r="E359" s="12">
        <v>10</v>
      </c>
      <c r="F359" s="12" t="s">
        <v>10583</v>
      </c>
      <c r="G359" s="12" t="s">
        <v>10584</v>
      </c>
      <c r="H359" s="12">
        <v>2022</v>
      </c>
      <c r="I359" s="13" t="s">
        <v>10585</v>
      </c>
      <c r="J359" s="12" t="s">
        <v>9478</v>
      </c>
    </row>
    <row r="360" spans="1:10" x14ac:dyDescent="0.2">
      <c r="A360" s="12" t="s">
        <v>136</v>
      </c>
      <c r="B360" s="12" t="s">
        <v>3675</v>
      </c>
      <c r="D360" s="12">
        <v>25</v>
      </c>
      <c r="E360" s="12">
        <v>6</v>
      </c>
      <c r="F360" s="12" t="s">
        <v>3678</v>
      </c>
      <c r="G360" s="12" t="s">
        <v>10586</v>
      </c>
      <c r="H360" s="12">
        <v>2020</v>
      </c>
      <c r="I360" s="13" t="s">
        <v>10587</v>
      </c>
      <c r="J360" s="12" t="s">
        <v>9478</v>
      </c>
    </row>
    <row r="361" spans="1:10" x14ac:dyDescent="0.2">
      <c r="B361" s="12" t="s">
        <v>10588</v>
      </c>
      <c r="F361" s="12" t="s">
        <v>10589</v>
      </c>
      <c r="G361" s="12" t="s">
        <v>10590</v>
      </c>
      <c r="H361" s="12">
        <v>2021</v>
      </c>
      <c r="I361" s="13" t="s">
        <v>10591</v>
      </c>
      <c r="J361" s="12" t="s">
        <v>539</v>
      </c>
    </row>
    <row r="362" spans="1:10" x14ac:dyDescent="0.2">
      <c r="A362" s="12" t="s">
        <v>136</v>
      </c>
      <c r="B362" s="12" t="s">
        <v>10592</v>
      </c>
      <c r="D362" s="12">
        <v>25</v>
      </c>
      <c r="E362" s="12">
        <v>4</v>
      </c>
      <c r="F362" s="12" t="s">
        <v>10593</v>
      </c>
      <c r="G362" s="12" t="s">
        <v>10594</v>
      </c>
      <c r="H362" s="12">
        <v>2020</v>
      </c>
      <c r="I362" s="13" t="s">
        <v>10595</v>
      </c>
      <c r="J362" s="12" t="s">
        <v>9478</v>
      </c>
    </row>
    <row r="363" spans="1:10" x14ac:dyDescent="0.2">
      <c r="A363" s="12" t="s">
        <v>803</v>
      </c>
      <c r="B363" s="12" t="s">
        <v>10596</v>
      </c>
      <c r="F363" s="12" t="s">
        <v>10597</v>
      </c>
      <c r="G363" s="12" t="s">
        <v>10598</v>
      </c>
      <c r="H363" s="12">
        <v>2022</v>
      </c>
      <c r="I363" s="13" t="s">
        <v>10599</v>
      </c>
      <c r="J363" s="12" t="s">
        <v>9478</v>
      </c>
    </row>
    <row r="364" spans="1:10" x14ac:dyDescent="0.2">
      <c r="A364" s="12" t="s">
        <v>10600</v>
      </c>
      <c r="B364" s="12" t="s">
        <v>10601</v>
      </c>
      <c r="F364" s="12" t="s">
        <v>10602</v>
      </c>
      <c r="G364" s="12" t="s">
        <v>10603</v>
      </c>
      <c r="H364" s="12">
        <v>2021</v>
      </c>
      <c r="I364" s="13" t="s">
        <v>10604</v>
      </c>
      <c r="J364" s="12" t="s">
        <v>539</v>
      </c>
    </row>
    <row r="365" spans="1:10" x14ac:dyDescent="0.2">
      <c r="A365" s="12" t="s">
        <v>136</v>
      </c>
      <c r="B365" s="12" t="s">
        <v>10605</v>
      </c>
      <c r="D365" s="12">
        <v>24</v>
      </c>
      <c r="E365" s="12">
        <v>4</v>
      </c>
      <c r="F365" s="12" t="s">
        <v>10606</v>
      </c>
      <c r="G365" s="12" t="s">
        <v>10607</v>
      </c>
      <c r="H365" s="12">
        <v>2019</v>
      </c>
      <c r="I365" s="13" t="s">
        <v>10608</v>
      </c>
      <c r="J365" s="12" t="s">
        <v>9478</v>
      </c>
    </row>
    <row r="366" spans="1:10" x14ac:dyDescent="0.2">
      <c r="A366" s="12" t="s">
        <v>136</v>
      </c>
      <c r="B366" s="12" t="s">
        <v>10609</v>
      </c>
      <c r="D366" s="12">
        <v>25</v>
      </c>
      <c r="E366" s="12">
        <v>6</v>
      </c>
      <c r="F366" s="12" t="s">
        <v>10610</v>
      </c>
      <c r="G366" s="12" t="s">
        <v>10611</v>
      </c>
      <c r="H366" s="12">
        <v>2020</v>
      </c>
      <c r="I366" s="13" t="s">
        <v>10612</v>
      </c>
      <c r="J366" s="12" t="s">
        <v>9478</v>
      </c>
    </row>
    <row r="367" spans="1:10" x14ac:dyDescent="0.2">
      <c r="A367" s="12" t="s">
        <v>10164</v>
      </c>
      <c r="B367" s="12" t="s">
        <v>10613</v>
      </c>
      <c r="F367" s="12" t="s">
        <v>10614</v>
      </c>
      <c r="G367" s="12" t="s">
        <v>10167</v>
      </c>
      <c r="H367" s="12">
        <v>2020</v>
      </c>
      <c r="I367" s="13" t="s">
        <v>10615</v>
      </c>
      <c r="J367" s="12" t="s">
        <v>9539</v>
      </c>
    </row>
    <row r="368" spans="1:10" x14ac:dyDescent="0.2">
      <c r="A368" s="12" t="s">
        <v>10600</v>
      </c>
      <c r="B368" s="12" t="s">
        <v>10616</v>
      </c>
      <c r="F368" s="12" t="s">
        <v>10617</v>
      </c>
      <c r="G368" s="12" t="s">
        <v>10618</v>
      </c>
      <c r="H368" s="12">
        <v>2020</v>
      </c>
      <c r="I368" s="13" t="s">
        <v>10619</v>
      </c>
      <c r="J368" s="12" t="s">
        <v>539</v>
      </c>
    </row>
    <row r="369" spans="1:10" x14ac:dyDescent="0.2">
      <c r="A369" s="12" t="s">
        <v>9358</v>
      </c>
      <c r="B369" s="12" t="s">
        <v>10620</v>
      </c>
      <c r="F369" s="12" t="s">
        <v>10621</v>
      </c>
      <c r="G369" s="12" t="s">
        <v>10622</v>
      </c>
      <c r="H369" s="12">
        <v>2022</v>
      </c>
      <c r="I369" s="13" t="s">
        <v>10623</v>
      </c>
      <c r="J369" s="12" t="s">
        <v>9539</v>
      </c>
    </row>
    <row r="370" spans="1:10" x14ac:dyDescent="0.2">
      <c r="A370" s="12" t="s">
        <v>10164</v>
      </c>
      <c r="B370" s="12" t="s">
        <v>10624</v>
      </c>
      <c r="F370" s="12" t="s">
        <v>10625</v>
      </c>
      <c r="G370" s="12" t="s">
        <v>10167</v>
      </c>
      <c r="H370" s="12">
        <v>2020</v>
      </c>
      <c r="I370" s="13" t="s">
        <v>10626</v>
      </c>
      <c r="J370" s="12" t="s">
        <v>9539</v>
      </c>
    </row>
    <row r="371" spans="1:10" x14ac:dyDescent="0.2">
      <c r="A371" s="12" t="s">
        <v>2166</v>
      </c>
      <c r="B371" s="12" t="s">
        <v>10627</v>
      </c>
      <c r="D371" s="12">
        <v>2</v>
      </c>
      <c r="E371" s="12">
        <v>1</v>
      </c>
      <c r="F371" s="12" t="s">
        <v>10628</v>
      </c>
      <c r="G371" s="12" t="s">
        <v>10629</v>
      </c>
      <c r="H371" s="12">
        <v>2021</v>
      </c>
      <c r="I371" s="13" t="s">
        <v>10630</v>
      </c>
      <c r="J371" s="12" t="s">
        <v>9478</v>
      </c>
    </row>
    <row r="372" spans="1:10" x14ac:dyDescent="0.2">
      <c r="A372" s="12" t="s">
        <v>523</v>
      </c>
      <c r="B372" s="12" t="s">
        <v>5880</v>
      </c>
      <c r="D372" s="12">
        <v>25</v>
      </c>
      <c r="E372" s="12">
        <v>3</v>
      </c>
      <c r="F372" s="12" t="s">
        <v>5883</v>
      </c>
      <c r="G372" s="12" t="s">
        <v>10631</v>
      </c>
      <c r="H372" s="12">
        <v>2017</v>
      </c>
      <c r="I372" s="13" t="s">
        <v>10632</v>
      </c>
      <c r="J372" s="12" t="s">
        <v>9478</v>
      </c>
    </row>
    <row r="373" spans="1:10" x14ac:dyDescent="0.2">
      <c r="B373" s="12" t="s">
        <v>10633</v>
      </c>
      <c r="F373" s="12" t="s">
        <v>10634</v>
      </c>
      <c r="G373" s="12" t="s">
        <v>10635</v>
      </c>
      <c r="H373" s="12">
        <v>2021</v>
      </c>
      <c r="I373" s="13" t="s">
        <v>10636</v>
      </c>
      <c r="J373" s="12" t="s">
        <v>539</v>
      </c>
    </row>
    <row r="374" spans="1:10" x14ac:dyDescent="0.2">
      <c r="A374" s="12" t="s">
        <v>136</v>
      </c>
      <c r="B374" s="12" t="s">
        <v>10637</v>
      </c>
      <c r="D374" s="12">
        <v>27</v>
      </c>
      <c r="E374" s="12">
        <v>4</v>
      </c>
      <c r="F374" s="12" t="s">
        <v>10638</v>
      </c>
      <c r="G374" s="12" t="s">
        <v>10639</v>
      </c>
      <c r="H374" s="12">
        <v>2022</v>
      </c>
      <c r="I374" s="13" t="s">
        <v>10640</v>
      </c>
      <c r="J374" s="12" t="s">
        <v>9478</v>
      </c>
    </row>
    <row r="375" spans="1:10" x14ac:dyDescent="0.2">
      <c r="A375" s="12" t="s">
        <v>10544</v>
      </c>
      <c r="B375" s="12" t="s">
        <v>10641</v>
      </c>
      <c r="F375" s="12" t="s">
        <v>10642</v>
      </c>
      <c r="G375" s="12" t="s">
        <v>10643</v>
      </c>
      <c r="H375" s="12">
        <v>2022</v>
      </c>
      <c r="I375" s="13" t="s">
        <v>10644</v>
      </c>
      <c r="J375" s="12" t="s">
        <v>539</v>
      </c>
    </row>
    <row r="376" spans="1:10" x14ac:dyDescent="0.2">
      <c r="B376" s="12" t="s">
        <v>10645</v>
      </c>
      <c r="F376" s="12" t="s">
        <v>10646</v>
      </c>
      <c r="G376" s="12" t="s">
        <v>10647</v>
      </c>
      <c r="H376" s="12">
        <v>2019</v>
      </c>
      <c r="I376" s="13" t="s">
        <v>10648</v>
      </c>
      <c r="J376" s="12" t="s">
        <v>539</v>
      </c>
    </row>
    <row r="377" spans="1:10" x14ac:dyDescent="0.2">
      <c r="A377" s="12" t="s">
        <v>10649</v>
      </c>
      <c r="B377" s="12" t="s">
        <v>10650</v>
      </c>
      <c r="F377" s="12" t="s">
        <v>10651</v>
      </c>
      <c r="G377" s="12" t="s">
        <v>10652</v>
      </c>
      <c r="H377" s="12">
        <v>2016</v>
      </c>
      <c r="I377" s="13" t="s">
        <v>10653</v>
      </c>
      <c r="J377" s="12" t="s">
        <v>9539</v>
      </c>
    </row>
    <row r="378" spans="1:10" x14ac:dyDescent="0.2">
      <c r="A378" s="12" t="s">
        <v>136</v>
      </c>
      <c r="B378" s="12" t="s">
        <v>10654</v>
      </c>
      <c r="D378" s="12">
        <v>27</v>
      </c>
      <c r="E378" s="12">
        <v>7</v>
      </c>
      <c r="F378" s="12" t="s">
        <v>10655</v>
      </c>
      <c r="G378" s="12" t="s">
        <v>10656</v>
      </c>
      <c r="H378" s="12">
        <v>2022</v>
      </c>
      <c r="I378" s="13" t="s">
        <v>10657</v>
      </c>
      <c r="J378" s="12" t="s">
        <v>9478</v>
      </c>
    </row>
    <row r="379" spans="1:10" x14ac:dyDescent="0.2">
      <c r="A379" s="12" t="s">
        <v>9460</v>
      </c>
      <c r="B379" s="12" t="s">
        <v>10658</v>
      </c>
      <c r="F379" s="12" t="s">
        <v>10659</v>
      </c>
      <c r="G379" s="12" t="s">
        <v>10660</v>
      </c>
      <c r="H379" s="12">
        <v>2021</v>
      </c>
      <c r="I379" s="13" t="s">
        <v>10661</v>
      </c>
      <c r="J379" s="12" t="s">
        <v>9539</v>
      </c>
    </row>
    <row r="380" spans="1:10" x14ac:dyDescent="0.2">
      <c r="A380" s="12" t="s">
        <v>523</v>
      </c>
      <c r="B380" s="12" t="s">
        <v>10662</v>
      </c>
      <c r="D380" s="12">
        <v>26</v>
      </c>
      <c r="E380" s="12">
        <v>2</v>
      </c>
      <c r="F380" s="12" t="s">
        <v>10663</v>
      </c>
      <c r="G380" s="12" t="s">
        <v>10664</v>
      </c>
      <c r="H380" s="12">
        <v>2018</v>
      </c>
      <c r="I380" s="13" t="s">
        <v>10665</v>
      </c>
      <c r="J380" s="12" t="s">
        <v>9478</v>
      </c>
    </row>
    <row r="381" spans="1:10" x14ac:dyDescent="0.2">
      <c r="A381" s="12" t="s">
        <v>9315</v>
      </c>
      <c r="B381" s="12" t="s">
        <v>3512</v>
      </c>
      <c r="F381" s="12" t="s">
        <v>3516</v>
      </c>
      <c r="G381" s="12" t="s">
        <v>10666</v>
      </c>
      <c r="H381" s="12">
        <v>2021</v>
      </c>
      <c r="I381" s="13" t="s">
        <v>10667</v>
      </c>
      <c r="J381" s="12" t="s">
        <v>9539</v>
      </c>
    </row>
    <row r="382" spans="1:10" x14ac:dyDescent="0.2">
      <c r="A382" s="12" t="s">
        <v>136</v>
      </c>
      <c r="B382" s="12" t="s">
        <v>10668</v>
      </c>
      <c r="D382" s="12">
        <v>27</v>
      </c>
      <c r="E382" s="12">
        <v>5</v>
      </c>
      <c r="F382" s="12" t="s">
        <v>10669</v>
      </c>
      <c r="G382" s="12" t="s">
        <v>10670</v>
      </c>
      <c r="H382" s="12">
        <v>2022</v>
      </c>
      <c r="I382" s="13" t="s">
        <v>10671</v>
      </c>
      <c r="J382" s="12" t="s">
        <v>9478</v>
      </c>
    </row>
    <row r="383" spans="1:10" x14ac:dyDescent="0.2">
      <c r="A383" s="12" t="s">
        <v>9491</v>
      </c>
      <c r="B383" s="12" t="s">
        <v>4733</v>
      </c>
      <c r="F383" s="12" t="s">
        <v>4737</v>
      </c>
      <c r="G383" s="12" t="s">
        <v>10672</v>
      </c>
      <c r="H383" s="12">
        <v>2020</v>
      </c>
      <c r="I383" s="13" t="s">
        <v>10673</v>
      </c>
      <c r="J383" s="12" t="s">
        <v>9539</v>
      </c>
    </row>
    <row r="384" spans="1:10" x14ac:dyDescent="0.2">
      <c r="A384" s="12" t="s">
        <v>10674</v>
      </c>
      <c r="B384" s="12" t="s">
        <v>10675</v>
      </c>
      <c r="F384" s="12" t="s">
        <v>10676</v>
      </c>
      <c r="G384" s="12" t="s">
        <v>10677</v>
      </c>
      <c r="H384" s="12">
        <v>2019</v>
      </c>
      <c r="I384" s="13" t="s">
        <v>10678</v>
      </c>
      <c r="J384" s="12" t="s">
        <v>9539</v>
      </c>
    </row>
    <row r="385" spans="1:10" x14ac:dyDescent="0.2">
      <c r="B385" s="12" t="s">
        <v>10679</v>
      </c>
      <c r="F385" s="12" t="s">
        <v>10680</v>
      </c>
      <c r="G385" s="12" t="s">
        <v>10681</v>
      </c>
      <c r="H385" s="12">
        <v>2021</v>
      </c>
      <c r="I385" s="13" t="s">
        <v>10682</v>
      </c>
      <c r="J385" s="12" t="s">
        <v>539</v>
      </c>
    </row>
    <row r="386" spans="1:10" x14ac:dyDescent="0.2">
      <c r="A386" s="12" t="s">
        <v>582</v>
      </c>
      <c r="B386" s="12" t="s">
        <v>10683</v>
      </c>
      <c r="D386" s="12">
        <v>29</v>
      </c>
      <c r="E386" s="12">
        <v>2</v>
      </c>
      <c r="F386" s="12" t="s">
        <v>10684</v>
      </c>
      <c r="G386" s="12" t="s">
        <v>10685</v>
      </c>
      <c r="H386" s="12">
        <v>2022</v>
      </c>
      <c r="I386" s="13" t="s">
        <v>10686</v>
      </c>
      <c r="J386" s="12" t="s">
        <v>9478</v>
      </c>
    </row>
    <row r="387" spans="1:10" x14ac:dyDescent="0.2">
      <c r="A387" s="12" t="s">
        <v>136</v>
      </c>
      <c r="B387" s="12" t="s">
        <v>10687</v>
      </c>
      <c r="D387" s="12">
        <v>27</v>
      </c>
      <c r="E387" s="12">
        <v>7</v>
      </c>
      <c r="F387" s="12" t="s">
        <v>10688</v>
      </c>
      <c r="G387" s="12" t="s">
        <v>10689</v>
      </c>
      <c r="H387" s="12">
        <v>2022</v>
      </c>
      <c r="I387" s="13" t="s">
        <v>10690</v>
      </c>
      <c r="J387" s="12" t="s">
        <v>9478</v>
      </c>
    </row>
    <row r="388" spans="1:10" x14ac:dyDescent="0.2">
      <c r="A388" s="12" t="s">
        <v>9276</v>
      </c>
      <c r="B388" s="12" t="s">
        <v>10691</v>
      </c>
      <c r="F388" s="12" t="s">
        <v>10692</v>
      </c>
      <c r="G388" s="12" t="s">
        <v>10693</v>
      </c>
      <c r="H388" s="12">
        <v>2018</v>
      </c>
      <c r="I388" s="13" t="s">
        <v>10694</v>
      </c>
      <c r="J388" s="12" t="s">
        <v>9539</v>
      </c>
    </row>
    <row r="389" spans="1:10" x14ac:dyDescent="0.2">
      <c r="A389" s="12" t="s">
        <v>691</v>
      </c>
      <c r="B389" s="12" t="s">
        <v>690</v>
      </c>
      <c r="F389" s="12" t="s">
        <v>694</v>
      </c>
      <c r="G389" s="12" t="s">
        <v>10695</v>
      </c>
      <c r="H389" s="12">
        <v>2022</v>
      </c>
      <c r="I389" s="13" t="s">
        <v>10696</v>
      </c>
      <c r="J389" s="12" t="s">
        <v>9478</v>
      </c>
    </row>
    <row r="390" spans="1:10" x14ac:dyDescent="0.2">
      <c r="A390" s="12" t="s">
        <v>9481</v>
      </c>
      <c r="B390" s="12" t="s">
        <v>10697</v>
      </c>
      <c r="F390" s="12" t="s">
        <v>10698</v>
      </c>
      <c r="G390" s="12" t="s">
        <v>10699</v>
      </c>
      <c r="H390" s="12">
        <v>2022</v>
      </c>
      <c r="I390" s="13" t="s">
        <v>10700</v>
      </c>
      <c r="J390" s="12" t="s">
        <v>9539</v>
      </c>
    </row>
    <row r="391" spans="1:10" x14ac:dyDescent="0.2">
      <c r="A391" s="12" t="s">
        <v>523</v>
      </c>
      <c r="B391" s="12" t="s">
        <v>10701</v>
      </c>
      <c r="D391" s="12">
        <v>26</v>
      </c>
      <c r="E391" s="12">
        <v>1</v>
      </c>
      <c r="F391" s="12" t="s">
        <v>10702</v>
      </c>
      <c r="G391" s="12" t="s">
        <v>10703</v>
      </c>
      <c r="H391" s="12">
        <v>2018</v>
      </c>
      <c r="I391" s="13" t="s">
        <v>10704</v>
      </c>
      <c r="J391" s="12" t="s">
        <v>9478</v>
      </c>
    </row>
    <row r="392" spans="1:10" x14ac:dyDescent="0.2">
      <c r="A392" s="12" t="s">
        <v>9481</v>
      </c>
      <c r="B392" s="12" t="s">
        <v>10705</v>
      </c>
      <c r="F392" s="12" t="s">
        <v>10706</v>
      </c>
      <c r="G392" s="12" t="s">
        <v>10707</v>
      </c>
      <c r="H392" s="12">
        <v>2021</v>
      </c>
      <c r="I392" s="13" t="s">
        <v>10708</v>
      </c>
      <c r="J392" s="12" t="s">
        <v>9539</v>
      </c>
    </row>
    <row r="393" spans="1:10" x14ac:dyDescent="0.2">
      <c r="A393" s="12" t="s">
        <v>10709</v>
      </c>
      <c r="B393" s="12" t="s">
        <v>10710</v>
      </c>
      <c r="D393" s="12">
        <v>12</v>
      </c>
      <c r="E393" s="12">
        <v>3</v>
      </c>
      <c r="F393" s="12" t="s">
        <v>10711</v>
      </c>
      <c r="G393" s="12" t="s">
        <v>10712</v>
      </c>
      <c r="H393" s="12">
        <v>2021</v>
      </c>
      <c r="I393" s="13" t="s">
        <v>10713</v>
      </c>
      <c r="J393" s="12" t="s">
        <v>9478</v>
      </c>
    </row>
    <row r="394" spans="1:10" x14ac:dyDescent="0.2">
      <c r="A394" s="12" t="s">
        <v>523</v>
      </c>
      <c r="B394" s="12" t="s">
        <v>10714</v>
      </c>
      <c r="D394" s="12">
        <v>28</v>
      </c>
      <c r="E394" s="12">
        <v>4</v>
      </c>
      <c r="F394" s="12" t="s">
        <v>10715</v>
      </c>
      <c r="G394" s="12" t="s">
        <v>10716</v>
      </c>
      <c r="H394" s="12">
        <v>2020</v>
      </c>
      <c r="I394" s="13" t="s">
        <v>10717</v>
      </c>
      <c r="J394" s="12" t="s">
        <v>9478</v>
      </c>
    </row>
    <row r="395" spans="1:10" x14ac:dyDescent="0.2">
      <c r="A395" s="12" t="s">
        <v>2502</v>
      </c>
      <c r="B395" s="12" t="s">
        <v>10718</v>
      </c>
      <c r="F395" s="12" t="s">
        <v>10719</v>
      </c>
      <c r="G395" s="12" t="s">
        <v>10720</v>
      </c>
      <c r="H395" s="12">
        <v>2022</v>
      </c>
      <c r="I395" s="13" t="s">
        <v>10721</v>
      </c>
      <c r="J395" s="12" t="s">
        <v>9478</v>
      </c>
    </row>
    <row r="396" spans="1:10" x14ac:dyDescent="0.2">
      <c r="A396" s="12" t="s">
        <v>676</v>
      </c>
      <c r="B396" s="12" t="s">
        <v>10722</v>
      </c>
      <c r="F396" s="12" t="s">
        <v>10723</v>
      </c>
      <c r="G396" s="12" t="s">
        <v>10724</v>
      </c>
      <c r="H396" s="12">
        <v>2022</v>
      </c>
      <c r="I396" s="13" t="s">
        <v>10725</v>
      </c>
      <c r="J396" s="12" t="s">
        <v>539</v>
      </c>
    </row>
    <row r="397" spans="1:10" x14ac:dyDescent="0.2">
      <c r="A397" s="12" t="s">
        <v>10160</v>
      </c>
      <c r="B397" s="12" t="s">
        <v>10726</v>
      </c>
      <c r="F397" s="12" t="s">
        <v>10727</v>
      </c>
      <c r="G397" s="12" t="s">
        <v>10162</v>
      </c>
      <c r="H397" s="12">
        <v>2021</v>
      </c>
      <c r="I397" s="13" t="s">
        <v>10728</v>
      </c>
      <c r="J397" s="12" t="s">
        <v>9539</v>
      </c>
    </row>
    <row r="398" spans="1:10" x14ac:dyDescent="0.2">
      <c r="B398" s="12" t="s">
        <v>10729</v>
      </c>
      <c r="F398" s="12" t="s">
        <v>10730</v>
      </c>
      <c r="G398" s="12" t="s">
        <v>10731</v>
      </c>
      <c r="H398" s="12">
        <v>2021</v>
      </c>
      <c r="I398" s="13" t="s">
        <v>10732</v>
      </c>
      <c r="J398" s="12" t="s">
        <v>539</v>
      </c>
    </row>
    <row r="399" spans="1:10" x14ac:dyDescent="0.2">
      <c r="A399" s="12" t="s">
        <v>10733</v>
      </c>
      <c r="B399" s="12" t="s">
        <v>10734</v>
      </c>
      <c r="F399" s="12" t="s">
        <v>10735</v>
      </c>
      <c r="G399" s="12" t="s">
        <v>10736</v>
      </c>
      <c r="H399" s="12">
        <v>2018</v>
      </c>
      <c r="I399" s="13" t="s">
        <v>10737</v>
      </c>
      <c r="J399" s="12" t="s">
        <v>9539</v>
      </c>
    </row>
    <row r="400" spans="1:10" x14ac:dyDescent="0.2">
      <c r="A400" s="12" t="s">
        <v>2166</v>
      </c>
      <c r="B400" s="12" t="s">
        <v>2672</v>
      </c>
      <c r="D400" s="12">
        <v>2</v>
      </c>
      <c r="E400" s="12">
        <v>1</v>
      </c>
      <c r="F400" s="12" t="s">
        <v>2675</v>
      </c>
      <c r="G400" s="12" t="s">
        <v>10738</v>
      </c>
      <c r="H400" s="12">
        <v>2021</v>
      </c>
      <c r="I400" s="13" t="s">
        <v>10739</v>
      </c>
      <c r="J400" s="12" t="s">
        <v>9478</v>
      </c>
    </row>
    <row r="401" spans="1:10" x14ac:dyDescent="0.2">
      <c r="A401" s="12" t="s">
        <v>9519</v>
      </c>
      <c r="B401" s="12" t="s">
        <v>10740</v>
      </c>
      <c r="F401" s="12" t="s">
        <v>6090</v>
      </c>
      <c r="G401" s="12" t="s">
        <v>10741</v>
      </c>
      <c r="H401" s="12">
        <v>2018</v>
      </c>
      <c r="I401" s="13" t="s">
        <v>10742</v>
      </c>
      <c r="J401" s="12" t="s">
        <v>9539</v>
      </c>
    </row>
    <row r="402" spans="1:10" x14ac:dyDescent="0.2">
      <c r="A402" s="12" t="s">
        <v>9579</v>
      </c>
      <c r="B402" s="12" t="s">
        <v>1546</v>
      </c>
      <c r="F402" s="12" t="s">
        <v>1551</v>
      </c>
      <c r="G402" s="12" t="s">
        <v>10622</v>
      </c>
      <c r="H402" s="12">
        <v>2022</v>
      </c>
      <c r="I402" s="13" t="s">
        <v>10743</v>
      </c>
      <c r="J402" s="12" t="s">
        <v>9539</v>
      </c>
    </row>
    <row r="403" spans="1:10" x14ac:dyDescent="0.2">
      <c r="A403" s="12" t="s">
        <v>523</v>
      </c>
      <c r="B403" s="12" t="s">
        <v>10744</v>
      </c>
      <c r="D403" s="12">
        <v>28</v>
      </c>
      <c r="E403" s="12">
        <v>2</v>
      </c>
      <c r="F403" s="12" t="s">
        <v>10745</v>
      </c>
      <c r="G403" s="12" t="s">
        <v>10746</v>
      </c>
      <c r="H403" s="12">
        <v>2020</v>
      </c>
      <c r="I403" s="13" t="s">
        <v>10747</v>
      </c>
      <c r="J403" s="12" t="s">
        <v>9478</v>
      </c>
    </row>
    <row r="404" spans="1:10" x14ac:dyDescent="0.2">
      <c r="A404" s="12" t="s">
        <v>10748</v>
      </c>
      <c r="B404" s="12" t="s">
        <v>10749</v>
      </c>
      <c r="F404" s="12" t="s">
        <v>10750</v>
      </c>
      <c r="G404" s="12" t="s">
        <v>10751</v>
      </c>
      <c r="H404" s="12">
        <v>2019</v>
      </c>
      <c r="I404" s="13" t="s">
        <v>10752</v>
      </c>
      <c r="J404" s="12" t="s">
        <v>9539</v>
      </c>
    </row>
    <row r="405" spans="1:10" x14ac:dyDescent="0.2">
      <c r="A405" s="12" t="s">
        <v>10753</v>
      </c>
      <c r="B405" s="12" t="s">
        <v>10754</v>
      </c>
      <c r="F405" s="12" t="s">
        <v>10755</v>
      </c>
      <c r="G405" s="12" t="s">
        <v>10756</v>
      </c>
      <c r="H405" s="12">
        <v>2020</v>
      </c>
      <c r="I405" s="13" t="s">
        <v>10757</v>
      </c>
      <c r="J405" s="12" t="s">
        <v>9539</v>
      </c>
    </row>
    <row r="406" spans="1:10" x14ac:dyDescent="0.2">
      <c r="A406" s="12" t="s">
        <v>9453</v>
      </c>
      <c r="B406" s="12" t="s">
        <v>10758</v>
      </c>
      <c r="F406" s="12" t="s">
        <v>10759</v>
      </c>
      <c r="G406" s="12" t="s">
        <v>9455</v>
      </c>
      <c r="H406" s="12">
        <v>2022</v>
      </c>
      <c r="I406" s="13" t="s">
        <v>10760</v>
      </c>
      <c r="J406" s="12" t="s">
        <v>9539</v>
      </c>
    </row>
    <row r="407" spans="1:10" x14ac:dyDescent="0.2">
      <c r="A407" s="12" t="s">
        <v>10761</v>
      </c>
      <c r="B407" s="12" t="s">
        <v>3864</v>
      </c>
      <c r="F407" s="12" t="s">
        <v>3868</v>
      </c>
      <c r="G407" s="12" t="s">
        <v>10762</v>
      </c>
      <c r="H407" s="12">
        <v>2021</v>
      </c>
      <c r="I407" s="13" t="s">
        <v>10763</v>
      </c>
      <c r="J407" s="12" t="s">
        <v>9539</v>
      </c>
    </row>
    <row r="408" spans="1:10" x14ac:dyDescent="0.2">
      <c r="B408" s="12" t="s">
        <v>10764</v>
      </c>
      <c r="F408" s="12" t="s">
        <v>10765</v>
      </c>
      <c r="G408" s="12" t="s">
        <v>10766</v>
      </c>
      <c r="H408" s="12">
        <v>2019</v>
      </c>
      <c r="I408" s="13" t="s">
        <v>10767</v>
      </c>
      <c r="J408" s="12" t="s">
        <v>539</v>
      </c>
    </row>
    <row r="409" spans="1:10" x14ac:dyDescent="0.2">
      <c r="A409" s="12" t="s">
        <v>136</v>
      </c>
      <c r="B409" s="12" t="s">
        <v>10768</v>
      </c>
      <c r="D409" s="12">
        <v>25</v>
      </c>
      <c r="E409" s="12">
        <v>1</v>
      </c>
      <c r="F409" s="12" t="s">
        <v>10769</v>
      </c>
      <c r="G409" s="12" t="s">
        <v>10770</v>
      </c>
      <c r="H409" s="12">
        <v>2020</v>
      </c>
      <c r="I409" s="13" t="s">
        <v>10771</v>
      </c>
      <c r="J409" s="12" t="s">
        <v>9478</v>
      </c>
    </row>
    <row r="410" spans="1:10" x14ac:dyDescent="0.2">
      <c r="A410" s="12" t="s">
        <v>136</v>
      </c>
      <c r="B410" s="12" t="s">
        <v>10772</v>
      </c>
      <c r="D410" s="12">
        <v>23</v>
      </c>
      <c r="E410" s="12">
        <v>6</v>
      </c>
      <c r="F410" s="12" t="s">
        <v>10773</v>
      </c>
      <c r="G410" s="12" t="s">
        <v>10774</v>
      </c>
      <c r="H410" s="12">
        <v>2018</v>
      </c>
      <c r="I410" s="13" t="s">
        <v>10775</v>
      </c>
      <c r="J410" s="12" t="s">
        <v>9478</v>
      </c>
    </row>
    <row r="411" spans="1:10" x14ac:dyDescent="0.2">
      <c r="B411" s="12" t="s">
        <v>10776</v>
      </c>
      <c r="F411" s="12" t="s">
        <v>10777</v>
      </c>
      <c r="G411" s="12" t="s">
        <v>10778</v>
      </c>
      <c r="H411" s="12">
        <v>2022</v>
      </c>
      <c r="I411" s="13" t="s">
        <v>10779</v>
      </c>
      <c r="J411" s="12" t="s">
        <v>539</v>
      </c>
    </row>
    <row r="412" spans="1:10" x14ac:dyDescent="0.2">
      <c r="A412" s="12" t="s">
        <v>10780</v>
      </c>
      <c r="B412" s="12" t="s">
        <v>10781</v>
      </c>
      <c r="D412" s="12">
        <v>35</v>
      </c>
      <c r="F412" s="12" t="s">
        <v>10782</v>
      </c>
      <c r="G412" s="12" t="s">
        <v>10783</v>
      </c>
      <c r="H412" s="12">
        <v>2020</v>
      </c>
      <c r="I412" s="13" t="s">
        <v>10784</v>
      </c>
      <c r="J412" s="12" t="s">
        <v>9478</v>
      </c>
    </row>
    <row r="413" spans="1:10" x14ac:dyDescent="0.2">
      <c r="A413" s="12" t="s">
        <v>10785</v>
      </c>
      <c r="B413" s="12" t="s">
        <v>10786</v>
      </c>
      <c r="F413" s="12" t="s">
        <v>10787</v>
      </c>
      <c r="G413" s="12" t="s">
        <v>10788</v>
      </c>
      <c r="H413" s="12">
        <v>2023</v>
      </c>
      <c r="I413" s="13" t="s">
        <v>10789</v>
      </c>
      <c r="J413" s="12" t="s">
        <v>9478</v>
      </c>
    </row>
    <row r="414" spans="1:10" x14ac:dyDescent="0.2">
      <c r="A414" s="12" t="s">
        <v>9845</v>
      </c>
      <c r="B414" s="12" t="s">
        <v>10790</v>
      </c>
      <c r="F414" s="12" t="s">
        <v>10791</v>
      </c>
      <c r="G414" s="12" t="s">
        <v>9847</v>
      </c>
      <c r="H414" s="12">
        <v>2023</v>
      </c>
      <c r="I414" s="13" t="s">
        <v>10792</v>
      </c>
      <c r="J414" s="12" t="s">
        <v>9539</v>
      </c>
    </row>
    <row r="415" spans="1:10" x14ac:dyDescent="0.2">
      <c r="A415" s="12" t="s">
        <v>136</v>
      </c>
      <c r="B415" s="12" t="s">
        <v>10793</v>
      </c>
      <c r="D415" s="12">
        <v>25</v>
      </c>
      <c r="E415" s="12">
        <v>5</v>
      </c>
      <c r="F415" s="12" t="s">
        <v>10794</v>
      </c>
      <c r="G415" s="12" t="s">
        <v>10795</v>
      </c>
      <c r="H415" s="12">
        <v>2020</v>
      </c>
      <c r="I415" s="13" t="s">
        <v>10796</v>
      </c>
      <c r="J415" s="12" t="s">
        <v>9478</v>
      </c>
    </row>
    <row r="416" spans="1:10" x14ac:dyDescent="0.2">
      <c r="A416" s="12" t="s">
        <v>10040</v>
      </c>
      <c r="B416" s="12" t="s">
        <v>10797</v>
      </c>
      <c r="F416" s="12" t="s">
        <v>10798</v>
      </c>
      <c r="G416" s="12" t="s">
        <v>10042</v>
      </c>
      <c r="H416" s="12">
        <v>2021</v>
      </c>
      <c r="I416" s="13" t="s">
        <v>10799</v>
      </c>
      <c r="J416" s="12" t="s">
        <v>9539</v>
      </c>
    </row>
    <row r="417" spans="1:10" x14ac:dyDescent="0.2">
      <c r="A417" s="12" t="s">
        <v>136</v>
      </c>
      <c r="B417" s="12" t="s">
        <v>10800</v>
      </c>
      <c r="D417" s="12">
        <v>27</v>
      </c>
      <c r="E417" s="12">
        <v>6</v>
      </c>
      <c r="F417" s="12" t="s">
        <v>10801</v>
      </c>
      <c r="G417" s="12" t="s">
        <v>10802</v>
      </c>
      <c r="H417" s="12">
        <v>2022</v>
      </c>
      <c r="I417" s="13" t="s">
        <v>10803</v>
      </c>
      <c r="J417" s="12" t="s">
        <v>9478</v>
      </c>
    </row>
    <row r="418" spans="1:10" x14ac:dyDescent="0.2">
      <c r="A418" s="12" t="s">
        <v>10804</v>
      </c>
      <c r="B418" s="12" t="s">
        <v>10805</v>
      </c>
      <c r="F418" s="12" t="s">
        <v>10806</v>
      </c>
      <c r="G418" s="12" t="s">
        <v>10807</v>
      </c>
      <c r="H418" s="12">
        <v>2020</v>
      </c>
      <c r="I418" s="13" t="s">
        <v>10808</v>
      </c>
      <c r="J418" s="12" t="s">
        <v>9539</v>
      </c>
    </row>
    <row r="419" spans="1:10" x14ac:dyDescent="0.2">
      <c r="A419" s="12" t="s">
        <v>9984</v>
      </c>
      <c r="B419" s="12" t="s">
        <v>10809</v>
      </c>
      <c r="F419" s="12" t="s">
        <v>10810</v>
      </c>
      <c r="G419" s="12" t="s">
        <v>10811</v>
      </c>
      <c r="H419" s="12">
        <v>2022</v>
      </c>
      <c r="I419" s="13" t="s">
        <v>10812</v>
      </c>
      <c r="J419" s="12" t="s">
        <v>9539</v>
      </c>
    </row>
    <row r="420" spans="1:10" x14ac:dyDescent="0.2">
      <c r="A420" s="12" t="s">
        <v>136</v>
      </c>
      <c r="B420" s="12" t="s">
        <v>1008</v>
      </c>
      <c r="D420" s="12">
        <v>27</v>
      </c>
      <c r="E420" s="12">
        <v>2</v>
      </c>
      <c r="F420" s="12" t="s">
        <v>1010</v>
      </c>
      <c r="G420" s="12" t="s">
        <v>10813</v>
      </c>
      <c r="H420" s="12">
        <v>2022</v>
      </c>
      <c r="I420" s="13" t="s">
        <v>10814</v>
      </c>
      <c r="J420" s="12" t="s">
        <v>9478</v>
      </c>
    </row>
    <row r="421" spans="1:10" x14ac:dyDescent="0.2">
      <c r="B421" s="12" t="s">
        <v>10815</v>
      </c>
      <c r="F421" s="12" t="s">
        <v>10816</v>
      </c>
      <c r="G421" s="12" t="s">
        <v>10817</v>
      </c>
      <c r="H421" s="12">
        <v>2022</v>
      </c>
      <c r="I421" s="13" t="s">
        <v>10818</v>
      </c>
      <c r="J421" s="12" t="s">
        <v>539</v>
      </c>
    </row>
    <row r="422" spans="1:10" x14ac:dyDescent="0.2">
      <c r="A422" s="12" t="s">
        <v>9722</v>
      </c>
      <c r="B422" s="12" t="s">
        <v>10819</v>
      </c>
      <c r="F422" s="12" t="s">
        <v>10820</v>
      </c>
      <c r="G422" s="12" t="s">
        <v>10821</v>
      </c>
      <c r="H422" s="12">
        <v>2021</v>
      </c>
      <c r="I422" s="13" t="s">
        <v>10822</v>
      </c>
      <c r="J422" s="12" t="s">
        <v>9539</v>
      </c>
    </row>
    <row r="423" spans="1:10" x14ac:dyDescent="0.2">
      <c r="A423" s="12" t="s">
        <v>10823</v>
      </c>
      <c r="B423" s="12" t="s">
        <v>10824</v>
      </c>
      <c r="F423" s="12" t="s">
        <v>10825</v>
      </c>
      <c r="G423" s="12" t="s">
        <v>10826</v>
      </c>
      <c r="H423" s="12">
        <v>2014</v>
      </c>
      <c r="I423" s="13" t="s">
        <v>10827</v>
      </c>
      <c r="J423" s="12" t="s">
        <v>9539</v>
      </c>
    </row>
    <row r="424" spans="1:10" x14ac:dyDescent="0.2">
      <c r="B424" s="12" t="s">
        <v>10828</v>
      </c>
      <c r="F424" s="12" t="s">
        <v>10829</v>
      </c>
      <c r="G424" s="12" t="s">
        <v>10830</v>
      </c>
      <c r="H424" s="12">
        <v>2022</v>
      </c>
      <c r="I424" s="13" t="s">
        <v>10831</v>
      </c>
      <c r="J424" s="12" t="s">
        <v>539</v>
      </c>
    </row>
    <row r="425" spans="1:10" x14ac:dyDescent="0.2">
      <c r="A425" s="12" t="s">
        <v>10160</v>
      </c>
      <c r="B425" s="12" t="s">
        <v>10832</v>
      </c>
      <c r="F425" s="12" t="s">
        <v>10833</v>
      </c>
      <c r="G425" s="12" t="s">
        <v>10162</v>
      </c>
      <c r="H425" s="12">
        <v>2021</v>
      </c>
      <c r="I425" s="13" t="s">
        <v>10834</v>
      </c>
      <c r="J425" s="12" t="s">
        <v>9539</v>
      </c>
    </row>
    <row r="426" spans="1:10" x14ac:dyDescent="0.2">
      <c r="A426" s="12" t="s">
        <v>10081</v>
      </c>
      <c r="B426" s="12" t="s">
        <v>10835</v>
      </c>
      <c r="D426" s="12">
        <v>14</v>
      </c>
      <c r="E426" s="12">
        <v>2</v>
      </c>
      <c r="F426" s="12" t="s">
        <v>10836</v>
      </c>
      <c r="G426" s="12" t="s">
        <v>10837</v>
      </c>
      <c r="H426" s="12">
        <v>2022</v>
      </c>
      <c r="I426" s="13" t="s">
        <v>10838</v>
      </c>
      <c r="J426" s="12" t="s">
        <v>9478</v>
      </c>
    </row>
    <row r="427" spans="1:10" x14ac:dyDescent="0.2">
      <c r="A427" s="12" t="s">
        <v>10544</v>
      </c>
      <c r="B427" s="12" t="s">
        <v>10839</v>
      </c>
      <c r="F427" s="12" t="s">
        <v>10840</v>
      </c>
      <c r="G427" s="12" t="s">
        <v>10841</v>
      </c>
      <c r="H427" s="12">
        <v>2018</v>
      </c>
      <c r="I427" s="13" t="s">
        <v>10842</v>
      </c>
      <c r="J427" s="12" t="s">
        <v>539</v>
      </c>
    </row>
    <row r="428" spans="1:10" x14ac:dyDescent="0.2">
      <c r="A428" s="12" t="s">
        <v>9519</v>
      </c>
      <c r="B428" s="12" t="s">
        <v>10843</v>
      </c>
      <c r="F428" s="12" t="s">
        <v>10844</v>
      </c>
      <c r="G428" s="12" t="s">
        <v>10845</v>
      </c>
      <c r="H428" s="12">
        <v>2017</v>
      </c>
      <c r="I428" s="13" t="s">
        <v>10846</v>
      </c>
      <c r="J428" s="12" t="s">
        <v>9539</v>
      </c>
    </row>
    <row r="429" spans="1:10" x14ac:dyDescent="0.2">
      <c r="A429" s="12" t="s">
        <v>10847</v>
      </c>
      <c r="B429" s="12" t="s">
        <v>10848</v>
      </c>
      <c r="F429" s="12" t="s">
        <v>10849</v>
      </c>
      <c r="G429" s="12" t="s">
        <v>10850</v>
      </c>
      <c r="H429" s="12">
        <v>2020</v>
      </c>
      <c r="I429" s="13" t="s">
        <v>10851</v>
      </c>
      <c r="J429" s="12" t="s">
        <v>9539</v>
      </c>
    </row>
    <row r="430" spans="1:10" x14ac:dyDescent="0.2">
      <c r="A430" s="12" t="s">
        <v>10138</v>
      </c>
      <c r="B430" s="12" t="s">
        <v>10852</v>
      </c>
      <c r="F430" s="12" t="s">
        <v>10853</v>
      </c>
      <c r="G430" s="12" t="s">
        <v>10854</v>
      </c>
      <c r="H430" s="12">
        <v>2021</v>
      </c>
      <c r="I430" s="13" t="s">
        <v>10855</v>
      </c>
      <c r="J430" s="12" t="s">
        <v>539</v>
      </c>
    </row>
    <row r="431" spans="1:10" x14ac:dyDescent="0.2">
      <c r="A431" s="12" t="s">
        <v>9512</v>
      </c>
      <c r="B431" s="12" t="s">
        <v>10856</v>
      </c>
      <c r="F431" s="12" t="s">
        <v>10857</v>
      </c>
      <c r="G431" s="12" t="s">
        <v>10858</v>
      </c>
      <c r="H431" s="12">
        <v>2021</v>
      </c>
      <c r="I431" s="13" t="s">
        <v>10859</v>
      </c>
      <c r="J431" s="12" t="s">
        <v>9539</v>
      </c>
    </row>
    <row r="432" spans="1:10" x14ac:dyDescent="0.2">
      <c r="A432" s="12" t="s">
        <v>9782</v>
      </c>
      <c r="B432" s="12" t="s">
        <v>10860</v>
      </c>
      <c r="D432" s="12">
        <v>27</v>
      </c>
      <c r="E432" s="12">
        <v>4</v>
      </c>
      <c r="F432" s="12" t="s">
        <v>10861</v>
      </c>
      <c r="G432" s="12" t="s">
        <v>10862</v>
      </c>
      <c r="H432" s="12">
        <v>2020</v>
      </c>
      <c r="I432" s="13" t="s">
        <v>10863</v>
      </c>
      <c r="J432" s="12" t="s">
        <v>9478</v>
      </c>
    </row>
    <row r="433" spans="1:10" x14ac:dyDescent="0.2">
      <c r="A433" s="12" t="s">
        <v>9395</v>
      </c>
      <c r="B433" s="12" t="s">
        <v>10864</v>
      </c>
      <c r="F433" s="12" t="s">
        <v>10865</v>
      </c>
      <c r="G433" s="12" t="s">
        <v>9397</v>
      </c>
      <c r="H433" s="12">
        <v>2022</v>
      </c>
      <c r="I433" s="13" t="s">
        <v>10866</v>
      </c>
      <c r="J433" s="12" t="s">
        <v>9539</v>
      </c>
    </row>
    <row r="434" spans="1:10" x14ac:dyDescent="0.2">
      <c r="A434" s="12" t="s">
        <v>407</v>
      </c>
      <c r="B434" s="12" t="s">
        <v>10867</v>
      </c>
      <c r="F434" s="12" t="s">
        <v>10868</v>
      </c>
      <c r="G434" s="12" t="s">
        <v>10869</v>
      </c>
      <c r="H434" s="12">
        <v>2022</v>
      </c>
      <c r="I434" s="13" t="s">
        <v>10870</v>
      </c>
      <c r="J434" s="12" t="s">
        <v>9478</v>
      </c>
    </row>
    <row r="435" spans="1:10" x14ac:dyDescent="0.2">
      <c r="A435" s="12" t="s">
        <v>691</v>
      </c>
      <c r="B435" s="12" t="s">
        <v>10871</v>
      </c>
      <c r="D435" s="12">
        <v>20</v>
      </c>
      <c r="E435" s="12">
        <v>4</v>
      </c>
      <c r="F435" s="12" t="s">
        <v>10872</v>
      </c>
      <c r="G435" s="12" t="s">
        <v>10873</v>
      </c>
      <c r="H435" s="12">
        <v>2015</v>
      </c>
      <c r="I435" s="13" t="s">
        <v>10874</v>
      </c>
      <c r="J435" s="12" t="s">
        <v>9478</v>
      </c>
    </row>
    <row r="436" spans="1:10" x14ac:dyDescent="0.2">
      <c r="A436" s="12" t="s">
        <v>10875</v>
      </c>
      <c r="B436" s="12" t="s">
        <v>10876</v>
      </c>
      <c r="F436" s="12" t="s">
        <v>10877</v>
      </c>
      <c r="G436" s="12" t="s">
        <v>10878</v>
      </c>
      <c r="H436" s="12">
        <v>2012</v>
      </c>
      <c r="I436" s="13" t="s">
        <v>10879</v>
      </c>
      <c r="J436" s="12" t="s">
        <v>9539</v>
      </c>
    </row>
    <row r="437" spans="1:10" x14ac:dyDescent="0.2">
      <c r="A437" s="12" t="s">
        <v>10880</v>
      </c>
      <c r="B437" s="12" t="s">
        <v>10881</v>
      </c>
      <c r="D437" s="12">
        <v>15</v>
      </c>
      <c r="E437" s="12">
        <v>10</v>
      </c>
      <c r="F437" s="12" t="s">
        <v>10882</v>
      </c>
      <c r="G437" s="12" t="s">
        <v>10883</v>
      </c>
      <c r="H437" s="12">
        <v>2019</v>
      </c>
      <c r="I437" s="13" t="s">
        <v>10884</v>
      </c>
      <c r="J437" s="12" t="s">
        <v>9478</v>
      </c>
    </row>
    <row r="438" spans="1:10" x14ac:dyDescent="0.2">
      <c r="A438" s="12" t="s">
        <v>10885</v>
      </c>
      <c r="B438" s="12" t="s">
        <v>10886</v>
      </c>
      <c r="F438" s="12" t="s">
        <v>10887</v>
      </c>
      <c r="G438" s="12" t="s">
        <v>10008</v>
      </c>
      <c r="H438" s="12">
        <v>2019</v>
      </c>
      <c r="I438" s="13" t="s">
        <v>10888</v>
      </c>
      <c r="J438" s="12" t="s">
        <v>9539</v>
      </c>
    </row>
    <row r="439" spans="1:10" x14ac:dyDescent="0.2">
      <c r="A439" s="12" t="s">
        <v>9481</v>
      </c>
      <c r="B439" s="12" t="s">
        <v>10889</v>
      </c>
      <c r="F439" s="12" t="s">
        <v>10890</v>
      </c>
      <c r="G439" s="12" t="s">
        <v>10891</v>
      </c>
      <c r="H439" s="12">
        <v>2020</v>
      </c>
      <c r="I439" s="13" t="s">
        <v>10892</v>
      </c>
      <c r="J439" s="12" t="s">
        <v>9539</v>
      </c>
    </row>
    <row r="440" spans="1:10" x14ac:dyDescent="0.2">
      <c r="A440" s="12" t="s">
        <v>10893</v>
      </c>
      <c r="B440" s="12" t="s">
        <v>10894</v>
      </c>
      <c r="F440" s="12" t="s">
        <v>10895</v>
      </c>
      <c r="G440" s="12" t="s">
        <v>10896</v>
      </c>
      <c r="H440" s="12">
        <v>2015</v>
      </c>
      <c r="I440" s="13" t="s">
        <v>10897</v>
      </c>
      <c r="J440" s="12" t="s">
        <v>9539</v>
      </c>
    </row>
    <row r="441" spans="1:10" x14ac:dyDescent="0.2">
      <c r="B441" s="12" t="s">
        <v>10898</v>
      </c>
      <c r="F441" s="12" t="s">
        <v>10899</v>
      </c>
      <c r="G441" s="12" t="s">
        <v>10900</v>
      </c>
      <c r="H441" s="12">
        <v>2022</v>
      </c>
      <c r="I441" s="13" t="s">
        <v>10901</v>
      </c>
      <c r="J441" s="12" t="s">
        <v>539</v>
      </c>
    </row>
    <row r="442" spans="1:10" x14ac:dyDescent="0.2">
      <c r="A442" s="12" t="s">
        <v>10902</v>
      </c>
      <c r="B442" s="12" t="s">
        <v>10903</v>
      </c>
      <c r="F442" s="12" t="s">
        <v>10904</v>
      </c>
      <c r="G442" s="12" t="s">
        <v>10905</v>
      </c>
      <c r="H442" s="12">
        <v>2019</v>
      </c>
      <c r="I442" s="13" t="s">
        <v>10906</v>
      </c>
      <c r="J442" s="12" t="s">
        <v>9539</v>
      </c>
    </row>
    <row r="443" spans="1:10" x14ac:dyDescent="0.2">
      <c r="B443" s="12" t="s">
        <v>10907</v>
      </c>
      <c r="F443" s="12" t="s">
        <v>10908</v>
      </c>
      <c r="G443" s="12" t="s">
        <v>10909</v>
      </c>
      <c r="H443" s="12">
        <v>2021</v>
      </c>
      <c r="I443" s="13" t="s">
        <v>10910</v>
      </c>
      <c r="J443" s="12" t="s">
        <v>539</v>
      </c>
    </row>
    <row r="444" spans="1:10" x14ac:dyDescent="0.2">
      <c r="A444" s="12" t="s">
        <v>9481</v>
      </c>
      <c r="B444" s="12" t="s">
        <v>10911</v>
      </c>
      <c r="F444" s="12" t="s">
        <v>10912</v>
      </c>
      <c r="G444" s="12" t="s">
        <v>10913</v>
      </c>
      <c r="H444" s="12">
        <v>2022</v>
      </c>
      <c r="I444" s="13" t="s">
        <v>10914</v>
      </c>
      <c r="J444" s="12" t="s">
        <v>9539</v>
      </c>
    </row>
    <row r="445" spans="1:10" x14ac:dyDescent="0.2">
      <c r="A445" s="12" t="s">
        <v>9481</v>
      </c>
      <c r="B445" s="12" t="s">
        <v>10915</v>
      </c>
      <c r="F445" s="12" t="s">
        <v>10916</v>
      </c>
      <c r="G445" s="12" t="s">
        <v>10917</v>
      </c>
      <c r="H445" s="12">
        <v>2018</v>
      </c>
      <c r="I445" s="13" t="s">
        <v>10918</v>
      </c>
      <c r="J445" s="12" t="s">
        <v>9539</v>
      </c>
    </row>
    <row r="446" spans="1:10" x14ac:dyDescent="0.2">
      <c r="A446" s="12" t="s">
        <v>9335</v>
      </c>
      <c r="B446" s="12" t="s">
        <v>10919</v>
      </c>
      <c r="F446" s="12" t="s">
        <v>10920</v>
      </c>
      <c r="G446" s="12" t="s">
        <v>10921</v>
      </c>
      <c r="H446" s="12">
        <v>2020</v>
      </c>
      <c r="I446" s="13" t="s">
        <v>10922</v>
      </c>
      <c r="J446" s="12" t="s">
        <v>9539</v>
      </c>
    </row>
    <row r="447" spans="1:10" x14ac:dyDescent="0.2">
      <c r="B447" s="12" t="s">
        <v>10923</v>
      </c>
      <c r="F447" s="12" t="s">
        <v>10924</v>
      </c>
      <c r="G447" s="12" t="s">
        <v>10925</v>
      </c>
      <c r="H447" s="12">
        <v>2021</v>
      </c>
      <c r="I447" s="13" t="s">
        <v>10926</v>
      </c>
      <c r="J447" s="12" t="s">
        <v>539</v>
      </c>
    </row>
    <row r="448" spans="1:10" x14ac:dyDescent="0.2">
      <c r="A448" s="12" t="s">
        <v>9624</v>
      </c>
      <c r="B448" s="12" t="s">
        <v>10927</v>
      </c>
      <c r="F448" s="12" t="s">
        <v>10928</v>
      </c>
      <c r="G448" s="12" t="s">
        <v>10929</v>
      </c>
      <c r="H448" s="12">
        <v>2022</v>
      </c>
      <c r="I448" s="13" t="s">
        <v>10930</v>
      </c>
      <c r="J448" s="12" t="s">
        <v>9539</v>
      </c>
    </row>
    <row r="449" spans="1:10" x14ac:dyDescent="0.2">
      <c r="A449" s="12" t="s">
        <v>10535</v>
      </c>
      <c r="B449" s="12" t="s">
        <v>10931</v>
      </c>
      <c r="F449" s="12" t="s">
        <v>10932</v>
      </c>
      <c r="G449" s="12" t="s">
        <v>10933</v>
      </c>
      <c r="H449" s="12">
        <v>2022</v>
      </c>
      <c r="I449" s="13" t="s">
        <v>10934</v>
      </c>
      <c r="J449" s="12" t="s">
        <v>539</v>
      </c>
    </row>
    <row r="450" spans="1:10" x14ac:dyDescent="0.2">
      <c r="A450" s="12" t="s">
        <v>10935</v>
      </c>
      <c r="B450" s="12" t="s">
        <v>10936</v>
      </c>
      <c r="F450" s="12" t="s">
        <v>10937</v>
      </c>
      <c r="G450" s="12" t="s">
        <v>10938</v>
      </c>
      <c r="H450" s="12">
        <v>2019</v>
      </c>
      <c r="I450" s="13" t="s">
        <v>10939</v>
      </c>
      <c r="J450" s="12" t="s">
        <v>9539</v>
      </c>
    </row>
    <row r="451" spans="1:10" x14ac:dyDescent="0.2">
      <c r="A451" s="12" t="s">
        <v>10940</v>
      </c>
      <c r="B451" s="12" t="s">
        <v>10941</v>
      </c>
      <c r="F451" s="12" t="s">
        <v>10942</v>
      </c>
      <c r="G451" s="12" t="s">
        <v>10943</v>
      </c>
      <c r="H451" s="12">
        <v>2019</v>
      </c>
      <c r="I451" s="13" t="s">
        <v>10944</v>
      </c>
      <c r="J451" s="12" t="s">
        <v>9539</v>
      </c>
    </row>
    <row r="452" spans="1:10" x14ac:dyDescent="0.2">
      <c r="A452" s="12" t="s">
        <v>10350</v>
      </c>
      <c r="B452" s="12" t="s">
        <v>10945</v>
      </c>
      <c r="F452" s="12" t="s">
        <v>10946</v>
      </c>
      <c r="G452" s="12" t="s">
        <v>10352</v>
      </c>
      <c r="H452" s="12">
        <v>2019</v>
      </c>
      <c r="I452" s="13" t="s">
        <v>10947</v>
      </c>
      <c r="J452" s="12" t="s">
        <v>9539</v>
      </c>
    </row>
    <row r="453" spans="1:10" x14ac:dyDescent="0.2">
      <c r="A453" s="12" t="s">
        <v>9737</v>
      </c>
      <c r="B453" s="12" t="s">
        <v>10948</v>
      </c>
      <c r="F453" s="12" t="s">
        <v>10949</v>
      </c>
      <c r="G453" s="12" t="s">
        <v>10950</v>
      </c>
      <c r="H453" s="12">
        <v>2021</v>
      </c>
      <c r="I453" s="13" t="s">
        <v>10951</v>
      </c>
      <c r="J453" s="12" t="s">
        <v>9539</v>
      </c>
    </row>
    <row r="454" spans="1:10" x14ac:dyDescent="0.2">
      <c r="A454" s="12" t="s">
        <v>9637</v>
      </c>
      <c r="B454" s="12" t="s">
        <v>10952</v>
      </c>
      <c r="F454" s="12" t="s">
        <v>10953</v>
      </c>
      <c r="G454" s="12" t="s">
        <v>10954</v>
      </c>
      <c r="H454" s="12">
        <v>2021</v>
      </c>
      <c r="I454" s="13" t="s">
        <v>10955</v>
      </c>
      <c r="J454" s="12" t="s">
        <v>9539</v>
      </c>
    </row>
    <row r="455" spans="1:10" x14ac:dyDescent="0.2">
      <c r="A455" s="12" t="s">
        <v>10733</v>
      </c>
      <c r="B455" s="12" t="s">
        <v>10956</v>
      </c>
      <c r="F455" s="12" t="s">
        <v>10957</v>
      </c>
      <c r="G455" s="12" t="s">
        <v>10736</v>
      </c>
      <c r="H455" s="12">
        <v>2018</v>
      </c>
      <c r="I455" s="13" t="s">
        <v>10958</v>
      </c>
      <c r="J455" s="12" t="s">
        <v>9539</v>
      </c>
    </row>
    <row r="456" spans="1:10" x14ac:dyDescent="0.2">
      <c r="A456" s="12" t="s">
        <v>9592</v>
      </c>
      <c r="B456" s="12" t="s">
        <v>10959</v>
      </c>
      <c r="F456" s="12" t="s">
        <v>10960</v>
      </c>
      <c r="G456" s="12" t="s">
        <v>10961</v>
      </c>
      <c r="H456" s="12">
        <v>2021</v>
      </c>
      <c r="I456" s="13" t="s">
        <v>10962</v>
      </c>
      <c r="J456" s="12" t="s">
        <v>9539</v>
      </c>
    </row>
    <row r="457" spans="1:10" x14ac:dyDescent="0.2">
      <c r="A457" s="12" t="s">
        <v>10963</v>
      </c>
      <c r="B457" s="12" t="s">
        <v>10964</v>
      </c>
      <c r="F457" s="12" t="s">
        <v>10965</v>
      </c>
      <c r="G457" s="12" t="s">
        <v>10966</v>
      </c>
      <c r="H457" s="12">
        <v>2016</v>
      </c>
      <c r="I457" s="13" t="s">
        <v>10967</v>
      </c>
      <c r="J457" s="12" t="s">
        <v>9539</v>
      </c>
    </row>
    <row r="458" spans="1:10" x14ac:dyDescent="0.2">
      <c r="A458" s="12" t="s">
        <v>9331</v>
      </c>
      <c r="B458" s="12" t="s">
        <v>10968</v>
      </c>
      <c r="F458" s="12" t="s">
        <v>10969</v>
      </c>
      <c r="G458" s="12" t="s">
        <v>10970</v>
      </c>
      <c r="H458" s="12">
        <v>2021</v>
      </c>
      <c r="I458" s="13" t="s">
        <v>10971</v>
      </c>
      <c r="J458" s="12" t="s">
        <v>9539</v>
      </c>
    </row>
    <row r="459" spans="1:10" x14ac:dyDescent="0.2">
      <c r="A459" s="12" t="s">
        <v>2134</v>
      </c>
      <c r="B459" s="12" t="s">
        <v>10972</v>
      </c>
      <c r="D459" s="12">
        <v>26</v>
      </c>
      <c r="E459" s="12">
        <v>19</v>
      </c>
      <c r="F459" s="12" t="s">
        <v>10973</v>
      </c>
      <c r="G459" s="12" t="s">
        <v>10974</v>
      </c>
      <c r="H459" s="12">
        <v>2022</v>
      </c>
      <c r="I459" s="13" t="s">
        <v>10975</v>
      </c>
      <c r="J459" s="12" t="s">
        <v>9478</v>
      </c>
    </row>
    <row r="460" spans="1:10" x14ac:dyDescent="0.2">
      <c r="A460" s="12" t="s">
        <v>9395</v>
      </c>
      <c r="B460" s="12" t="s">
        <v>10976</v>
      </c>
      <c r="F460" s="12" t="s">
        <v>10977</v>
      </c>
      <c r="G460" s="12" t="s">
        <v>9397</v>
      </c>
      <c r="H460" s="12">
        <v>2022</v>
      </c>
      <c r="I460" s="13" t="s">
        <v>10978</v>
      </c>
      <c r="J460" s="12" t="s">
        <v>9539</v>
      </c>
    </row>
    <row r="461" spans="1:10" x14ac:dyDescent="0.2">
      <c r="A461" s="12" t="s">
        <v>10979</v>
      </c>
      <c r="B461" s="12" t="s">
        <v>10980</v>
      </c>
      <c r="F461" s="12" t="s">
        <v>10981</v>
      </c>
      <c r="G461" s="12" t="s">
        <v>10982</v>
      </c>
      <c r="H461" s="12">
        <v>2018</v>
      </c>
      <c r="I461" s="13" t="s">
        <v>10983</v>
      </c>
      <c r="J461" s="12" t="s">
        <v>9539</v>
      </c>
    </row>
    <row r="462" spans="1:10" x14ac:dyDescent="0.2">
      <c r="A462" s="12" t="s">
        <v>10984</v>
      </c>
      <c r="B462" s="12" t="s">
        <v>10985</v>
      </c>
      <c r="F462" s="12" t="s">
        <v>10986</v>
      </c>
      <c r="G462" s="12" t="s">
        <v>10987</v>
      </c>
      <c r="H462" s="12">
        <v>2019</v>
      </c>
      <c r="I462" s="13" t="s">
        <v>10988</v>
      </c>
      <c r="J462" s="12" t="s">
        <v>9539</v>
      </c>
    </row>
    <row r="463" spans="1:10" x14ac:dyDescent="0.2">
      <c r="A463" s="12" t="s">
        <v>10989</v>
      </c>
      <c r="B463" s="12" t="s">
        <v>10990</v>
      </c>
      <c r="D463" s="12">
        <v>104</v>
      </c>
      <c r="E463" s="12">
        <v>1</v>
      </c>
      <c r="F463" s="12" t="s">
        <v>10991</v>
      </c>
      <c r="G463" s="12" t="s">
        <v>10992</v>
      </c>
      <c r="H463" s="12">
        <v>2022</v>
      </c>
      <c r="I463" s="13" t="s">
        <v>10993</v>
      </c>
      <c r="J463" s="12" t="s">
        <v>9478</v>
      </c>
    </row>
    <row r="464" spans="1:10" x14ac:dyDescent="0.2">
      <c r="A464" s="12" t="s">
        <v>10815</v>
      </c>
      <c r="B464" s="12" t="s">
        <v>10994</v>
      </c>
      <c r="F464" s="12" t="s">
        <v>10995</v>
      </c>
      <c r="G464" s="12" t="s">
        <v>10817</v>
      </c>
      <c r="H464" s="12">
        <v>2022</v>
      </c>
      <c r="I464" s="13" t="s">
        <v>10996</v>
      </c>
      <c r="J464" s="12" t="s">
        <v>9539</v>
      </c>
    </row>
    <row r="465" spans="1:10" x14ac:dyDescent="0.2">
      <c r="A465" s="12" t="s">
        <v>9926</v>
      </c>
      <c r="B465" s="12" t="s">
        <v>10997</v>
      </c>
      <c r="F465" s="12" t="s">
        <v>10998</v>
      </c>
      <c r="G465" s="12" t="s">
        <v>10999</v>
      </c>
      <c r="H465" s="12">
        <v>2022</v>
      </c>
      <c r="I465" s="13" t="s">
        <v>11000</v>
      </c>
      <c r="J465" s="12" t="s">
        <v>9539</v>
      </c>
    </row>
    <row r="466" spans="1:10" x14ac:dyDescent="0.2">
      <c r="A466" s="12" t="s">
        <v>136</v>
      </c>
      <c r="B466" s="12" t="s">
        <v>11001</v>
      </c>
      <c r="D466" s="12">
        <v>27</v>
      </c>
      <c r="E466" s="12">
        <v>2</v>
      </c>
      <c r="F466" s="12" t="s">
        <v>11002</v>
      </c>
      <c r="G466" s="12" t="s">
        <v>11003</v>
      </c>
      <c r="H466" s="12">
        <v>2022</v>
      </c>
      <c r="I466" s="13" t="s">
        <v>11004</v>
      </c>
      <c r="J466" s="12" t="s">
        <v>9478</v>
      </c>
    </row>
    <row r="467" spans="1:10" x14ac:dyDescent="0.2">
      <c r="B467" s="12" t="s">
        <v>11005</v>
      </c>
      <c r="F467" s="12" t="s">
        <v>11006</v>
      </c>
      <c r="G467" s="12" t="s">
        <v>11007</v>
      </c>
      <c r="H467" s="12">
        <v>2022</v>
      </c>
      <c r="I467" s="13" t="s">
        <v>11008</v>
      </c>
      <c r="J467" s="12" t="s">
        <v>539</v>
      </c>
    </row>
    <row r="468" spans="1:10" x14ac:dyDescent="0.2">
      <c r="A468" s="12" t="s">
        <v>10205</v>
      </c>
      <c r="B468" s="12" t="s">
        <v>11009</v>
      </c>
      <c r="F468" s="12" t="s">
        <v>11010</v>
      </c>
      <c r="G468" s="12" t="s">
        <v>11011</v>
      </c>
      <c r="H468" s="12">
        <v>2022</v>
      </c>
      <c r="I468" s="13" t="s">
        <v>11012</v>
      </c>
      <c r="J468" s="12" t="s">
        <v>9539</v>
      </c>
    </row>
    <row r="469" spans="1:10" x14ac:dyDescent="0.2">
      <c r="B469" s="12" t="s">
        <v>11013</v>
      </c>
      <c r="F469" s="12" t="s">
        <v>11014</v>
      </c>
      <c r="G469" s="12" t="s">
        <v>11015</v>
      </c>
      <c r="H469" s="12">
        <v>2019</v>
      </c>
      <c r="I469" s="13" t="s">
        <v>11016</v>
      </c>
      <c r="J469" s="12" t="s">
        <v>539</v>
      </c>
    </row>
    <row r="470" spans="1:10" x14ac:dyDescent="0.2">
      <c r="A470" s="12" t="s">
        <v>9609</v>
      </c>
      <c r="B470" s="12" t="s">
        <v>11017</v>
      </c>
      <c r="F470" s="12" t="s">
        <v>11018</v>
      </c>
      <c r="G470" s="12" t="s">
        <v>11019</v>
      </c>
      <c r="H470" s="12">
        <v>2021</v>
      </c>
      <c r="I470" s="13" t="s">
        <v>11020</v>
      </c>
      <c r="J470" s="12" t="s">
        <v>9539</v>
      </c>
    </row>
    <row r="471" spans="1:10" x14ac:dyDescent="0.2">
      <c r="A471" s="12" t="s">
        <v>9495</v>
      </c>
      <c r="B471" s="12" t="s">
        <v>11021</v>
      </c>
      <c r="F471" s="12" t="s">
        <v>11022</v>
      </c>
      <c r="G471" s="12" t="s">
        <v>9497</v>
      </c>
      <c r="H471" s="12">
        <v>2020</v>
      </c>
      <c r="I471" s="13" t="s">
        <v>11023</v>
      </c>
      <c r="J471" s="12" t="s">
        <v>9539</v>
      </c>
    </row>
    <row r="472" spans="1:10" x14ac:dyDescent="0.2">
      <c r="A472" s="12" t="s">
        <v>9276</v>
      </c>
      <c r="B472" s="12" t="s">
        <v>11024</v>
      </c>
      <c r="F472" s="12" t="s">
        <v>11025</v>
      </c>
      <c r="G472" s="12" t="s">
        <v>11026</v>
      </c>
      <c r="H472" s="12">
        <v>2022</v>
      </c>
      <c r="I472" s="13" t="s">
        <v>11027</v>
      </c>
      <c r="J472" s="12" t="s">
        <v>9539</v>
      </c>
    </row>
    <row r="473" spans="1:10" x14ac:dyDescent="0.2">
      <c r="A473" s="12" t="s">
        <v>11028</v>
      </c>
      <c r="B473" s="12" t="s">
        <v>11029</v>
      </c>
      <c r="F473" s="12" t="s">
        <v>11030</v>
      </c>
      <c r="G473" s="12" t="s">
        <v>11031</v>
      </c>
      <c r="H473" s="12">
        <v>2021</v>
      </c>
      <c r="I473" s="13" t="s">
        <v>11032</v>
      </c>
      <c r="J473" s="12" t="s">
        <v>539</v>
      </c>
    </row>
    <row r="474" spans="1:10" x14ac:dyDescent="0.2">
      <c r="A474" s="12" t="s">
        <v>9331</v>
      </c>
      <c r="B474" s="12" t="s">
        <v>11033</v>
      </c>
      <c r="F474" s="12" t="s">
        <v>11034</v>
      </c>
      <c r="G474" s="12" t="s">
        <v>11035</v>
      </c>
      <c r="H474" s="12">
        <v>2022</v>
      </c>
      <c r="I474" s="13" t="s">
        <v>11036</v>
      </c>
      <c r="J474" s="12" t="s">
        <v>9539</v>
      </c>
    </row>
    <row r="475" spans="1:10" x14ac:dyDescent="0.2">
      <c r="A475" s="12" t="s">
        <v>11037</v>
      </c>
      <c r="B475" s="12" t="s">
        <v>11038</v>
      </c>
      <c r="D475" s="12">
        <v>17</v>
      </c>
      <c r="F475" s="12" t="s">
        <v>11039</v>
      </c>
      <c r="G475" s="12" t="s">
        <v>10263</v>
      </c>
      <c r="H475" s="12">
        <v>2022</v>
      </c>
      <c r="I475" s="13" t="s">
        <v>11040</v>
      </c>
      <c r="J475" s="12" t="s">
        <v>9478</v>
      </c>
    </row>
  </sheetData>
  <hyperlinks>
    <hyperlink ref="I2" r:id="rId1" xr:uid="{00000000-0004-0000-0400-000000000000}"/>
    <hyperlink ref="I3" r:id="rId2" xr:uid="{00000000-0004-0000-0400-000001000000}"/>
    <hyperlink ref="I4" r:id="rId3" xr:uid="{00000000-0004-0000-0400-000002000000}"/>
    <hyperlink ref="I5" r:id="rId4" xr:uid="{00000000-0004-0000-0400-000003000000}"/>
    <hyperlink ref="I6" r:id="rId5" xr:uid="{00000000-0004-0000-0400-000004000000}"/>
    <hyperlink ref="I7" r:id="rId6" xr:uid="{00000000-0004-0000-0400-000005000000}"/>
    <hyperlink ref="I8" r:id="rId7" xr:uid="{00000000-0004-0000-0400-000006000000}"/>
    <hyperlink ref="I9" r:id="rId8" xr:uid="{00000000-0004-0000-0400-000007000000}"/>
    <hyperlink ref="I10" r:id="rId9" xr:uid="{00000000-0004-0000-0400-000008000000}"/>
    <hyperlink ref="I11" r:id="rId10" xr:uid="{00000000-0004-0000-0400-000009000000}"/>
    <hyperlink ref="I12" r:id="rId11" xr:uid="{00000000-0004-0000-0400-00000A000000}"/>
    <hyperlink ref="I13" r:id="rId12" xr:uid="{00000000-0004-0000-0400-00000B000000}"/>
    <hyperlink ref="I14" r:id="rId13" xr:uid="{00000000-0004-0000-0400-00000C000000}"/>
    <hyperlink ref="I15" r:id="rId14" xr:uid="{00000000-0004-0000-0400-00000D000000}"/>
    <hyperlink ref="I16" r:id="rId15" xr:uid="{00000000-0004-0000-0400-00000E000000}"/>
    <hyperlink ref="I17" r:id="rId16" xr:uid="{00000000-0004-0000-0400-00000F000000}"/>
    <hyperlink ref="I18" r:id="rId17" xr:uid="{00000000-0004-0000-0400-000010000000}"/>
    <hyperlink ref="I19" r:id="rId18" xr:uid="{00000000-0004-0000-0400-000011000000}"/>
    <hyperlink ref="I20" r:id="rId19" xr:uid="{00000000-0004-0000-0400-000012000000}"/>
    <hyperlink ref="I21" r:id="rId20" xr:uid="{00000000-0004-0000-0400-000013000000}"/>
    <hyperlink ref="I22" r:id="rId21" xr:uid="{00000000-0004-0000-0400-000014000000}"/>
    <hyperlink ref="I23" r:id="rId22" xr:uid="{00000000-0004-0000-0400-000015000000}"/>
    <hyperlink ref="I24" r:id="rId23" xr:uid="{00000000-0004-0000-0400-000016000000}"/>
    <hyperlink ref="I25" r:id="rId24" xr:uid="{00000000-0004-0000-0400-000017000000}"/>
    <hyperlink ref="I26" r:id="rId25" xr:uid="{00000000-0004-0000-0400-000018000000}"/>
    <hyperlink ref="I27" r:id="rId26" xr:uid="{00000000-0004-0000-0400-000019000000}"/>
    <hyperlink ref="I28" r:id="rId27" xr:uid="{00000000-0004-0000-0400-00001A000000}"/>
    <hyperlink ref="I29" r:id="rId28" xr:uid="{00000000-0004-0000-0400-00001B000000}"/>
    <hyperlink ref="I30" r:id="rId29" xr:uid="{00000000-0004-0000-0400-00001C000000}"/>
    <hyperlink ref="I31" r:id="rId30" xr:uid="{00000000-0004-0000-0400-00001D000000}"/>
    <hyperlink ref="I32" r:id="rId31" xr:uid="{00000000-0004-0000-0400-00001E000000}"/>
    <hyperlink ref="I33" r:id="rId32" xr:uid="{00000000-0004-0000-0400-00001F000000}"/>
    <hyperlink ref="I34" r:id="rId33" xr:uid="{00000000-0004-0000-0400-000020000000}"/>
    <hyperlink ref="I35" r:id="rId34" xr:uid="{00000000-0004-0000-0400-000021000000}"/>
    <hyperlink ref="I36" r:id="rId35" xr:uid="{00000000-0004-0000-0400-000022000000}"/>
    <hyperlink ref="I37" r:id="rId36" xr:uid="{00000000-0004-0000-0400-000023000000}"/>
    <hyperlink ref="I38" r:id="rId37" xr:uid="{00000000-0004-0000-0400-000024000000}"/>
    <hyperlink ref="I39" r:id="rId38" xr:uid="{00000000-0004-0000-0400-000025000000}"/>
    <hyperlink ref="I40" r:id="rId39" xr:uid="{00000000-0004-0000-0400-000026000000}"/>
    <hyperlink ref="I41" r:id="rId40" xr:uid="{00000000-0004-0000-0400-000027000000}"/>
    <hyperlink ref="I42" r:id="rId41" xr:uid="{00000000-0004-0000-0400-000028000000}"/>
    <hyperlink ref="I43" r:id="rId42" xr:uid="{00000000-0004-0000-0400-000029000000}"/>
    <hyperlink ref="I44" r:id="rId43" xr:uid="{00000000-0004-0000-0400-00002A000000}"/>
    <hyperlink ref="I45" r:id="rId44" xr:uid="{00000000-0004-0000-0400-00002B000000}"/>
    <hyperlink ref="I46" r:id="rId45" xr:uid="{00000000-0004-0000-0400-00002C000000}"/>
    <hyperlink ref="I47" r:id="rId46" xr:uid="{00000000-0004-0000-0400-00002D000000}"/>
    <hyperlink ref="I48" r:id="rId47" xr:uid="{00000000-0004-0000-0400-00002E000000}"/>
    <hyperlink ref="I49" r:id="rId48" xr:uid="{00000000-0004-0000-0400-00002F000000}"/>
    <hyperlink ref="I50" r:id="rId49" xr:uid="{00000000-0004-0000-0400-000030000000}"/>
    <hyperlink ref="I51" r:id="rId50" xr:uid="{00000000-0004-0000-0400-000031000000}"/>
    <hyperlink ref="I52" r:id="rId51" xr:uid="{00000000-0004-0000-0400-000032000000}"/>
    <hyperlink ref="I53" r:id="rId52" xr:uid="{00000000-0004-0000-0400-000033000000}"/>
    <hyperlink ref="I54" r:id="rId53" xr:uid="{00000000-0004-0000-0400-000034000000}"/>
    <hyperlink ref="I55" r:id="rId54" xr:uid="{00000000-0004-0000-0400-000035000000}"/>
    <hyperlink ref="I56" r:id="rId55" xr:uid="{00000000-0004-0000-0400-000036000000}"/>
    <hyperlink ref="I57" r:id="rId56" xr:uid="{00000000-0004-0000-0400-000037000000}"/>
    <hyperlink ref="I58" r:id="rId57" xr:uid="{00000000-0004-0000-0400-000038000000}"/>
    <hyperlink ref="I59" r:id="rId58" xr:uid="{00000000-0004-0000-0400-000039000000}"/>
    <hyperlink ref="I60" r:id="rId59" xr:uid="{00000000-0004-0000-0400-00003A000000}"/>
    <hyperlink ref="I61" r:id="rId60" xr:uid="{00000000-0004-0000-0400-00003B000000}"/>
    <hyperlink ref="I62" r:id="rId61" xr:uid="{00000000-0004-0000-0400-00003C000000}"/>
    <hyperlink ref="I63" r:id="rId62" xr:uid="{00000000-0004-0000-0400-00003D000000}"/>
    <hyperlink ref="I64" r:id="rId63" xr:uid="{00000000-0004-0000-0400-00003E000000}"/>
    <hyperlink ref="I65" r:id="rId64" xr:uid="{00000000-0004-0000-0400-00003F000000}"/>
    <hyperlink ref="I66" r:id="rId65" xr:uid="{00000000-0004-0000-0400-000040000000}"/>
    <hyperlink ref="I67" r:id="rId66" xr:uid="{00000000-0004-0000-0400-000041000000}"/>
    <hyperlink ref="I68" r:id="rId67" xr:uid="{00000000-0004-0000-0400-000042000000}"/>
    <hyperlink ref="I69" r:id="rId68" xr:uid="{00000000-0004-0000-0400-000043000000}"/>
    <hyperlink ref="I70" r:id="rId69" xr:uid="{00000000-0004-0000-0400-000044000000}"/>
    <hyperlink ref="I71" r:id="rId70" xr:uid="{00000000-0004-0000-0400-000045000000}"/>
    <hyperlink ref="I72" r:id="rId71" xr:uid="{00000000-0004-0000-0400-000046000000}"/>
    <hyperlink ref="I73" r:id="rId72" xr:uid="{00000000-0004-0000-0400-000047000000}"/>
    <hyperlink ref="I74" r:id="rId73" xr:uid="{00000000-0004-0000-0400-000048000000}"/>
    <hyperlink ref="I75" r:id="rId74" xr:uid="{00000000-0004-0000-0400-000049000000}"/>
    <hyperlink ref="I76" r:id="rId75" xr:uid="{00000000-0004-0000-0400-00004A000000}"/>
    <hyperlink ref="I77" r:id="rId76" xr:uid="{00000000-0004-0000-0400-00004B000000}"/>
    <hyperlink ref="I78" r:id="rId77" xr:uid="{00000000-0004-0000-0400-00004C000000}"/>
    <hyperlink ref="I79" r:id="rId78" xr:uid="{00000000-0004-0000-0400-00004D000000}"/>
    <hyperlink ref="I80" r:id="rId79" xr:uid="{00000000-0004-0000-0400-00004E000000}"/>
    <hyperlink ref="I81" r:id="rId80" xr:uid="{00000000-0004-0000-0400-00004F000000}"/>
    <hyperlink ref="I82" r:id="rId81" xr:uid="{00000000-0004-0000-0400-000050000000}"/>
    <hyperlink ref="I83" r:id="rId82" xr:uid="{00000000-0004-0000-0400-000051000000}"/>
    <hyperlink ref="I84" r:id="rId83" xr:uid="{00000000-0004-0000-0400-000052000000}"/>
    <hyperlink ref="I85" r:id="rId84" xr:uid="{00000000-0004-0000-0400-000053000000}"/>
    <hyperlink ref="I86" r:id="rId85" xr:uid="{00000000-0004-0000-0400-000054000000}"/>
    <hyperlink ref="I87" r:id="rId86" xr:uid="{00000000-0004-0000-0400-000055000000}"/>
    <hyperlink ref="I88" r:id="rId87" xr:uid="{00000000-0004-0000-0400-000056000000}"/>
    <hyperlink ref="I89" r:id="rId88" xr:uid="{00000000-0004-0000-0400-000057000000}"/>
    <hyperlink ref="I90" r:id="rId89" xr:uid="{00000000-0004-0000-0400-000058000000}"/>
    <hyperlink ref="I91" r:id="rId90" xr:uid="{00000000-0004-0000-0400-000059000000}"/>
    <hyperlink ref="I92" r:id="rId91" xr:uid="{00000000-0004-0000-0400-00005A000000}"/>
    <hyperlink ref="I93" r:id="rId92" xr:uid="{00000000-0004-0000-0400-00005B000000}"/>
    <hyperlink ref="I94" r:id="rId93" xr:uid="{00000000-0004-0000-0400-00005C000000}"/>
    <hyperlink ref="I95" r:id="rId94" xr:uid="{00000000-0004-0000-0400-00005D000000}"/>
    <hyperlink ref="I96" r:id="rId95" xr:uid="{00000000-0004-0000-0400-00005E000000}"/>
    <hyperlink ref="I97" r:id="rId96" xr:uid="{00000000-0004-0000-0400-00005F000000}"/>
    <hyperlink ref="I98" r:id="rId97" xr:uid="{00000000-0004-0000-0400-000060000000}"/>
    <hyperlink ref="I99" r:id="rId98" xr:uid="{00000000-0004-0000-0400-000061000000}"/>
    <hyperlink ref="I100" r:id="rId99" xr:uid="{00000000-0004-0000-0400-000062000000}"/>
    <hyperlink ref="I101" r:id="rId100" xr:uid="{00000000-0004-0000-0400-000063000000}"/>
    <hyperlink ref="I102" r:id="rId101" xr:uid="{00000000-0004-0000-0400-000064000000}"/>
    <hyperlink ref="I103" r:id="rId102" xr:uid="{00000000-0004-0000-0400-000065000000}"/>
    <hyperlink ref="I104" r:id="rId103" xr:uid="{00000000-0004-0000-0400-000066000000}"/>
    <hyperlink ref="I105" r:id="rId104" xr:uid="{00000000-0004-0000-0400-000067000000}"/>
    <hyperlink ref="I106" r:id="rId105" xr:uid="{00000000-0004-0000-0400-000068000000}"/>
    <hyperlink ref="I107" r:id="rId106" xr:uid="{00000000-0004-0000-0400-000069000000}"/>
    <hyperlink ref="I108" r:id="rId107" xr:uid="{00000000-0004-0000-0400-00006A000000}"/>
    <hyperlink ref="I109" r:id="rId108" xr:uid="{00000000-0004-0000-0400-00006B000000}"/>
    <hyperlink ref="I110" r:id="rId109" xr:uid="{00000000-0004-0000-0400-00006C000000}"/>
    <hyperlink ref="I111" r:id="rId110" xr:uid="{00000000-0004-0000-0400-00006D000000}"/>
    <hyperlink ref="I112" r:id="rId111" xr:uid="{00000000-0004-0000-0400-00006E000000}"/>
    <hyperlink ref="I113" r:id="rId112" xr:uid="{00000000-0004-0000-0400-00006F000000}"/>
    <hyperlink ref="I114" r:id="rId113" xr:uid="{00000000-0004-0000-0400-000070000000}"/>
    <hyperlink ref="I115" r:id="rId114" xr:uid="{00000000-0004-0000-0400-000071000000}"/>
    <hyperlink ref="I116" r:id="rId115" xr:uid="{00000000-0004-0000-0400-000072000000}"/>
    <hyperlink ref="I117" r:id="rId116" xr:uid="{00000000-0004-0000-0400-000073000000}"/>
    <hyperlink ref="I118" r:id="rId117" xr:uid="{00000000-0004-0000-0400-000074000000}"/>
    <hyperlink ref="I119" r:id="rId118" xr:uid="{00000000-0004-0000-0400-000075000000}"/>
    <hyperlink ref="I120" r:id="rId119" xr:uid="{00000000-0004-0000-0400-000076000000}"/>
    <hyperlink ref="I121" r:id="rId120" xr:uid="{00000000-0004-0000-0400-000077000000}"/>
    <hyperlink ref="I122" r:id="rId121" xr:uid="{00000000-0004-0000-0400-000078000000}"/>
    <hyperlink ref="I123" r:id="rId122" xr:uid="{00000000-0004-0000-0400-000079000000}"/>
    <hyperlink ref="I124" r:id="rId123" xr:uid="{00000000-0004-0000-0400-00007A000000}"/>
    <hyperlink ref="I125" r:id="rId124" xr:uid="{00000000-0004-0000-0400-00007B000000}"/>
    <hyperlink ref="I126" r:id="rId125" xr:uid="{00000000-0004-0000-0400-00007C000000}"/>
    <hyperlink ref="I127" r:id="rId126" xr:uid="{00000000-0004-0000-0400-00007D000000}"/>
    <hyperlink ref="I128" r:id="rId127" xr:uid="{00000000-0004-0000-0400-00007E000000}"/>
    <hyperlink ref="I129" r:id="rId128" xr:uid="{00000000-0004-0000-0400-00007F000000}"/>
    <hyperlink ref="I130" r:id="rId129" xr:uid="{00000000-0004-0000-0400-000080000000}"/>
    <hyperlink ref="I131" r:id="rId130" xr:uid="{00000000-0004-0000-0400-000081000000}"/>
    <hyperlink ref="I132" r:id="rId131" xr:uid="{00000000-0004-0000-0400-000082000000}"/>
    <hyperlink ref="I133" r:id="rId132" xr:uid="{00000000-0004-0000-0400-000083000000}"/>
    <hyperlink ref="I134" r:id="rId133" xr:uid="{00000000-0004-0000-0400-000084000000}"/>
    <hyperlink ref="I135" r:id="rId134" xr:uid="{00000000-0004-0000-0400-000085000000}"/>
    <hyperlink ref="I136" r:id="rId135" xr:uid="{00000000-0004-0000-0400-000086000000}"/>
    <hyperlink ref="I137" r:id="rId136" xr:uid="{00000000-0004-0000-0400-000087000000}"/>
    <hyperlink ref="I138" r:id="rId137" xr:uid="{00000000-0004-0000-0400-000088000000}"/>
    <hyperlink ref="I139" r:id="rId138" xr:uid="{00000000-0004-0000-0400-000089000000}"/>
    <hyperlink ref="I140" r:id="rId139" xr:uid="{00000000-0004-0000-0400-00008A000000}"/>
    <hyperlink ref="I141" r:id="rId140" xr:uid="{00000000-0004-0000-0400-00008B000000}"/>
    <hyperlink ref="I142" r:id="rId141" xr:uid="{00000000-0004-0000-0400-00008C000000}"/>
    <hyperlink ref="I143" r:id="rId142" xr:uid="{00000000-0004-0000-0400-00008D000000}"/>
    <hyperlink ref="I144" r:id="rId143" xr:uid="{00000000-0004-0000-0400-00008E000000}"/>
    <hyperlink ref="I145" r:id="rId144" xr:uid="{00000000-0004-0000-0400-00008F000000}"/>
    <hyperlink ref="I146" r:id="rId145" xr:uid="{00000000-0004-0000-0400-000090000000}"/>
    <hyperlink ref="I147" r:id="rId146" xr:uid="{00000000-0004-0000-0400-000091000000}"/>
    <hyperlink ref="I148" r:id="rId147" xr:uid="{00000000-0004-0000-0400-000092000000}"/>
    <hyperlink ref="I149" r:id="rId148" xr:uid="{00000000-0004-0000-0400-000093000000}"/>
    <hyperlink ref="I150" r:id="rId149" xr:uid="{00000000-0004-0000-0400-000094000000}"/>
    <hyperlink ref="I151" r:id="rId150" xr:uid="{00000000-0004-0000-0400-000095000000}"/>
    <hyperlink ref="I152" r:id="rId151" xr:uid="{00000000-0004-0000-0400-000096000000}"/>
    <hyperlink ref="I153" r:id="rId152" xr:uid="{00000000-0004-0000-0400-000097000000}"/>
    <hyperlink ref="I154" r:id="rId153" xr:uid="{00000000-0004-0000-0400-000098000000}"/>
    <hyperlink ref="I155" r:id="rId154" xr:uid="{00000000-0004-0000-0400-000099000000}"/>
    <hyperlink ref="I156" r:id="rId155" xr:uid="{00000000-0004-0000-0400-00009A000000}"/>
    <hyperlink ref="I157" r:id="rId156" xr:uid="{00000000-0004-0000-0400-00009B000000}"/>
    <hyperlink ref="I158" r:id="rId157" xr:uid="{00000000-0004-0000-0400-00009C000000}"/>
    <hyperlink ref="I159" r:id="rId158" xr:uid="{00000000-0004-0000-0400-00009D000000}"/>
    <hyperlink ref="I160" r:id="rId159" xr:uid="{00000000-0004-0000-0400-00009E000000}"/>
    <hyperlink ref="I161" r:id="rId160" xr:uid="{00000000-0004-0000-0400-00009F000000}"/>
    <hyperlink ref="I162" r:id="rId161" xr:uid="{00000000-0004-0000-0400-0000A0000000}"/>
    <hyperlink ref="I163" r:id="rId162" xr:uid="{00000000-0004-0000-0400-0000A1000000}"/>
    <hyperlink ref="I164" r:id="rId163" xr:uid="{00000000-0004-0000-0400-0000A2000000}"/>
    <hyperlink ref="I165" r:id="rId164" xr:uid="{00000000-0004-0000-0400-0000A3000000}"/>
    <hyperlink ref="I166" r:id="rId165" xr:uid="{00000000-0004-0000-0400-0000A4000000}"/>
    <hyperlink ref="I167" r:id="rId166" xr:uid="{00000000-0004-0000-0400-0000A5000000}"/>
    <hyperlink ref="I168" r:id="rId167" xr:uid="{00000000-0004-0000-0400-0000A6000000}"/>
    <hyperlink ref="I169" r:id="rId168" xr:uid="{00000000-0004-0000-0400-0000A7000000}"/>
    <hyperlink ref="I170" r:id="rId169" xr:uid="{00000000-0004-0000-0400-0000A8000000}"/>
    <hyperlink ref="I171" r:id="rId170" xr:uid="{00000000-0004-0000-0400-0000A9000000}"/>
    <hyperlink ref="I172" r:id="rId171" xr:uid="{00000000-0004-0000-0400-0000AA000000}"/>
    <hyperlink ref="I173" r:id="rId172" xr:uid="{00000000-0004-0000-0400-0000AB000000}"/>
    <hyperlink ref="I174" r:id="rId173" xr:uid="{00000000-0004-0000-0400-0000AC000000}"/>
    <hyperlink ref="I175" r:id="rId174" xr:uid="{00000000-0004-0000-0400-0000AD000000}"/>
    <hyperlink ref="I176" r:id="rId175" xr:uid="{00000000-0004-0000-0400-0000AE000000}"/>
    <hyperlink ref="I177" r:id="rId176" xr:uid="{00000000-0004-0000-0400-0000AF000000}"/>
    <hyperlink ref="I178" r:id="rId177" xr:uid="{00000000-0004-0000-0400-0000B0000000}"/>
    <hyperlink ref="I179" r:id="rId178" xr:uid="{00000000-0004-0000-0400-0000B1000000}"/>
    <hyperlink ref="I180" r:id="rId179" xr:uid="{00000000-0004-0000-0400-0000B2000000}"/>
    <hyperlink ref="I181" r:id="rId180" xr:uid="{00000000-0004-0000-0400-0000B3000000}"/>
    <hyperlink ref="I182" r:id="rId181" xr:uid="{00000000-0004-0000-0400-0000B4000000}"/>
    <hyperlink ref="I183" r:id="rId182" xr:uid="{00000000-0004-0000-0400-0000B5000000}"/>
    <hyperlink ref="I184" r:id="rId183" xr:uid="{00000000-0004-0000-0400-0000B6000000}"/>
    <hyperlink ref="I185" r:id="rId184" xr:uid="{00000000-0004-0000-0400-0000B7000000}"/>
    <hyperlink ref="I186" r:id="rId185" xr:uid="{00000000-0004-0000-0400-0000B8000000}"/>
    <hyperlink ref="I187" r:id="rId186" xr:uid="{00000000-0004-0000-0400-0000B9000000}"/>
    <hyperlink ref="I188" r:id="rId187" xr:uid="{00000000-0004-0000-0400-0000BA000000}"/>
    <hyperlink ref="I189" r:id="rId188" xr:uid="{00000000-0004-0000-0400-0000BB000000}"/>
    <hyperlink ref="I190" r:id="rId189" xr:uid="{00000000-0004-0000-0400-0000BC000000}"/>
    <hyperlink ref="I191" r:id="rId190" xr:uid="{00000000-0004-0000-0400-0000BD000000}"/>
    <hyperlink ref="I192" r:id="rId191" xr:uid="{00000000-0004-0000-0400-0000BE000000}"/>
    <hyperlink ref="I193" r:id="rId192" xr:uid="{00000000-0004-0000-0400-0000BF000000}"/>
    <hyperlink ref="I194" r:id="rId193" xr:uid="{00000000-0004-0000-0400-0000C0000000}"/>
    <hyperlink ref="I195" r:id="rId194" xr:uid="{00000000-0004-0000-0400-0000C1000000}"/>
    <hyperlink ref="I196" r:id="rId195" xr:uid="{00000000-0004-0000-0400-0000C2000000}"/>
    <hyperlink ref="I197" r:id="rId196" xr:uid="{00000000-0004-0000-0400-0000C3000000}"/>
    <hyperlink ref="I198" r:id="rId197" xr:uid="{00000000-0004-0000-0400-0000C4000000}"/>
    <hyperlink ref="I199" r:id="rId198" xr:uid="{00000000-0004-0000-0400-0000C5000000}"/>
    <hyperlink ref="I200" r:id="rId199" xr:uid="{00000000-0004-0000-0400-0000C6000000}"/>
    <hyperlink ref="I201" r:id="rId200" xr:uid="{00000000-0004-0000-0400-0000C7000000}"/>
    <hyperlink ref="I202" r:id="rId201" xr:uid="{00000000-0004-0000-0400-0000C8000000}"/>
    <hyperlink ref="I203" r:id="rId202" xr:uid="{00000000-0004-0000-0400-0000C9000000}"/>
    <hyperlink ref="I204" r:id="rId203" xr:uid="{00000000-0004-0000-0400-0000CA000000}"/>
    <hyperlink ref="I205" r:id="rId204" xr:uid="{00000000-0004-0000-0400-0000CB000000}"/>
    <hyperlink ref="I206" r:id="rId205" xr:uid="{00000000-0004-0000-0400-0000CC000000}"/>
    <hyperlink ref="I207" r:id="rId206" xr:uid="{00000000-0004-0000-0400-0000CD000000}"/>
    <hyperlink ref="I208" r:id="rId207" xr:uid="{00000000-0004-0000-0400-0000CE000000}"/>
    <hyperlink ref="I209" r:id="rId208" xr:uid="{00000000-0004-0000-0400-0000CF000000}"/>
    <hyperlink ref="I210" r:id="rId209" xr:uid="{00000000-0004-0000-0400-0000D0000000}"/>
    <hyperlink ref="I211" r:id="rId210" xr:uid="{00000000-0004-0000-0400-0000D1000000}"/>
    <hyperlink ref="I212" r:id="rId211" xr:uid="{00000000-0004-0000-0400-0000D2000000}"/>
    <hyperlink ref="I213" r:id="rId212" xr:uid="{00000000-0004-0000-0400-0000D3000000}"/>
    <hyperlink ref="I214" r:id="rId213" xr:uid="{00000000-0004-0000-0400-0000D4000000}"/>
    <hyperlink ref="I215" r:id="rId214" xr:uid="{00000000-0004-0000-0400-0000D5000000}"/>
    <hyperlink ref="I216" r:id="rId215" xr:uid="{00000000-0004-0000-0400-0000D6000000}"/>
    <hyperlink ref="I217" r:id="rId216" xr:uid="{00000000-0004-0000-0400-0000D7000000}"/>
    <hyperlink ref="I218" r:id="rId217" xr:uid="{00000000-0004-0000-0400-0000D8000000}"/>
    <hyperlink ref="I219" r:id="rId218" xr:uid="{00000000-0004-0000-0400-0000D9000000}"/>
    <hyperlink ref="I220" r:id="rId219" xr:uid="{00000000-0004-0000-0400-0000DA000000}"/>
    <hyperlink ref="I221" r:id="rId220" xr:uid="{00000000-0004-0000-0400-0000DB000000}"/>
    <hyperlink ref="I222" r:id="rId221" xr:uid="{00000000-0004-0000-0400-0000DC000000}"/>
    <hyperlink ref="I223" r:id="rId222" xr:uid="{00000000-0004-0000-0400-0000DD000000}"/>
    <hyperlink ref="I224" r:id="rId223" xr:uid="{00000000-0004-0000-0400-0000DE000000}"/>
    <hyperlink ref="I225" r:id="rId224" xr:uid="{00000000-0004-0000-0400-0000DF000000}"/>
    <hyperlink ref="I226" r:id="rId225" xr:uid="{00000000-0004-0000-0400-0000E0000000}"/>
    <hyperlink ref="I227" r:id="rId226" xr:uid="{00000000-0004-0000-0400-0000E1000000}"/>
    <hyperlink ref="I228" r:id="rId227" xr:uid="{00000000-0004-0000-0400-0000E2000000}"/>
    <hyperlink ref="I229" r:id="rId228" xr:uid="{00000000-0004-0000-0400-0000E3000000}"/>
    <hyperlink ref="I230" r:id="rId229" xr:uid="{00000000-0004-0000-0400-0000E4000000}"/>
    <hyperlink ref="I231" r:id="rId230" xr:uid="{00000000-0004-0000-0400-0000E5000000}"/>
    <hyperlink ref="I232" r:id="rId231" xr:uid="{00000000-0004-0000-0400-0000E6000000}"/>
    <hyperlink ref="I233" r:id="rId232" xr:uid="{00000000-0004-0000-0400-0000E7000000}"/>
    <hyperlink ref="I234" r:id="rId233" xr:uid="{00000000-0004-0000-0400-0000E8000000}"/>
    <hyperlink ref="I235" r:id="rId234" xr:uid="{00000000-0004-0000-0400-0000E9000000}"/>
    <hyperlink ref="I236" r:id="rId235" xr:uid="{00000000-0004-0000-0400-0000EA000000}"/>
    <hyperlink ref="I237" r:id="rId236" xr:uid="{00000000-0004-0000-0400-0000EB000000}"/>
    <hyperlink ref="I238" r:id="rId237" xr:uid="{00000000-0004-0000-0400-0000EC000000}"/>
    <hyperlink ref="I239" r:id="rId238" xr:uid="{00000000-0004-0000-0400-0000ED000000}"/>
    <hyperlink ref="I240" r:id="rId239" xr:uid="{00000000-0004-0000-0400-0000EE000000}"/>
    <hyperlink ref="I241" r:id="rId240" xr:uid="{00000000-0004-0000-0400-0000EF000000}"/>
    <hyperlink ref="I242" r:id="rId241" xr:uid="{00000000-0004-0000-0400-0000F0000000}"/>
    <hyperlink ref="I243" r:id="rId242" xr:uid="{00000000-0004-0000-0400-0000F1000000}"/>
    <hyperlink ref="I244" r:id="rId243" xr:uid="{00000000-0004-0000-0400-0000F2000000}"/>
    <hyperlink ref="I245" r:id="rId244" xr:uid="{00000000-0004-0000-0400-0000F3000000}"/>
    <hyperlink ref="I246" r:id="rId245" xr:uid="{00000000-0004-0000-0400-0000F4000000}"/>
    <hyperlink ref="I247" r:id="rId246" xr:uid="{00000000-0004-0000-0400-0000F5000000}"/>
    <hyperlink ref="I248" r:id="rId247" xr:uid="{00000000-0004-0000-0400-0000F6000000}"/>
    <hyperlink ref="I249" r:id="rId248" xr:uid="{00000000-0004-0000-0400-0000F7000000}"/>
    <hyperlink ref="I250" r:id="rId249" xr:uid="{00000000-0004-0000-0400-0000F8000000}"/>
    <hyperlink ref="I251" r:id="rId250" xr:uid="{00000000-0004-0000-0400-0000F9000000}"/>
    <hyperlink ref="I252" r:id="rId251" xr:uid="{00000000-0004-0000-0400-0000FA000000}"/>
    <hyperlink ref="I253" r:id="rId252" xr:uid="{00000000-0004-0000-0400-0000FB000000}"/>
    <hyperlink ref="I254" r:id="rId253" xr:uid="{00000000-0004-0000-0400-0000FC000000}"/>
    <hyperlink ref="I255" r:id="rId254" xr:uid="{00000000-0004-0000-0400-0000FD000000}"/>
    <hyperlink ref="I256" r:id="rId255" xr:uid="{00000000-0004-0000-0400-0000FE000000}"/>
    <hyperlink ref="I257" r:id="rId256" xr:uid="{00000000-0004-0000-0400-0000FF000000}"/>
    <hyperlink ref="I258" r:id="rId257" xr:uid="{00000000-0004-0000-0400-000000010000}"/>
    <hyperlink ref="I259" r:id="rId258" xr:uid="{00000000-0004-0000-0400-000001010000}"/>
    <hyperlink ref="I260" r:id="rId259" xr:uid="{00000000-0004-0000-0400-000002010000}"/>
    <hyperlink ref="I261" r:id="rId260" xr:uid="{00000000-0004-0000-0400-000003010000}"/>
    <hyperlink ref="I262" r:id="rId261" xr:uid="{00000000-0004-0000-0400-000004010000}"/>
    <hyperlink ref="I263" r:id="rId262" xr:uid="{00000000-0004-0000-0400-000005010000}"/>
    <hyperlink ref="I264" r:id="rId263" xr:uid="{00000000-0004-0000-0400-000006010000}"/>
    <hyperlink ref="I265" r:id="rId264" xr:uid="{00000000-0004-0000-0400-000007010000}"/>
    <hyperlink ref="I266" r:id="rId265" xr:uid="{00000000-0004-0000-0400-000008010000}"/>
    <hyperlink ref="I267" r:id="rId266" xr:uid="{00000000-0004-0000-0400-000009010000}"/>
    <hyperlink ref="I268" r:id="rId267" xr:uid="{00000000-0004-0000-0400-00000A010000}"/>
    <hyperlink ref="I269" r:id="rId268" xr:uid="{00000000-0004-0000-0400-00000B010000}"/>
    <hyperlink ref="I270" r:id="rId269" xr:uid="{00000000-0004-0000-0400-00000C010000}"/>
    <hyperlink ref="I271" r:id="rId270" xr:uid="{00000000-0004-0000-0400-00000D010000}"/>
    <hyperlink ref="I272" r:id="rId271" xr:uid="{00000000-0004-0000-0400-00000E010000}"/>
    <hyperlink ref="I273" r:id="rId272" xr:uid="{00000000-0004-0000-0400-00000F010000}"/>
    <hyperlink ref="I274" r:id="rId273" xr:uid="{00000000-0004-0000-0400-000010010000}"/>
    <hyperlink ref="I275" r:id="rId274" xr:uid="{00000000-0004-0000-0400-000011010000}"/>
    <hyperlink ref="I276" r:id="rId275" xr:uid="{00000000-0004-0000-0400-000012010000}"/>
    <hyperlink ref="I277" r:id="rId276" xr:uid="{00000000-0004-0000-0400-000013010000}"/>
    <hyperlink ref="I278" r:id="rId277" xr:uid="{00000000-0004-0000-0400-000014010000}"/>
    <hyperlink ref="I279" r:id="rId278" xr:uid="{00000000-0004-0000-0400-000015010000}"/>
    <hyperlink ref="I280" r:id="rId279" xr:uid="{00000000-0004-0000-0400-000016010000}"/>
    <hyperlink ref="I281" r:id="rId280" xr:uid="{00000000-0004-0000-0400-000017010000}"/>
    <hyperlink ref="I282" r:id="rId281" xr:uid="{00000000-0004-0000-0400-000018010000}"/>
    <hyperlink ref="I283" r:id="rId282" xr:uid="{00000000-0004-0000-0400-000019010000}"/>
    <hyperlink ref="I284" r:id="rId283" xr:uid="{00000000-0004-0000-0400-00001A010000}"/>
    <hyperlink ref="I285" r:id="rId284" xr:uid="{00000000-0004-0000-0400-00001B010000}"/>
    <hyperlink ref="I286" r:id="rId285" xr:uid="{00000000-0004-0000-0400-00001C010000}"/>
    <hyperlink ref="I287" r:id="rId286" xr:uid="{00000000-0004-0000-0400-00001D010000}"/>
    <hyperlink ref="I288" r:id="rId287" xr:uid="{00000000-0004-0000-0400-00001E010000}"/>
    <hyperlink ref="I289" r:id="rId288" xr:uid="{00000000-0004-0000-0400-00001F010000}"/>
    <hyperlink ref="I290" r:id="rId289" xr:uid="{00000000-0004-0000-0400-000020010000}"/>
    <hyperlink ref="I291" r:id="rId290" xr:uid="{00000000-0004-0000-0400-000021010000}"/>
    <hyperlink ref="I292" r:id="rId291" xr:uid="{00000000-0004-0000-0400-000022010000}"/>
    <hyperlink ref="I293" r:id="rId292" xr:uid="{00000000-0004-0000-0400-000023010000}"/>
    <hyperlink ref="I294" r:id="rId293" xr:uid="{00000000-0004-0000-0400-000024010000}"/>
    <hyperlink ref="I295" r:id="rId294" xr:uid="{00000000-0004-0000-0400-000025010000}"/>
    <hyperlink ref="I296" r:id="rId295" xr:uid="{00000000-0004-0000-0400-000026010000}"/>
    <hyperlink ref="I297" r:id="rId296" xr:uid="{00000000-0004-0000-0400-000027010000}"/>
    <hyperlink ref="I298" r:id="rId297" xr:uid="{00000000-0004-0000-0400-000028010000}"/>
    <hyperlink ref="I299" r:id="rId298" xr:uid="{00000000-0004-0000-0400-000029010000}"/>
    <hyperlink ref="I300" r:id="rId299" xr:uid="{00000000-0004-0000-0400-00002A010000}"/>
    <hyperlink ref="I301" r:id="rId300" xr:uid="{00000000-0004-0000-0400-00002B010000}"/>
    <hyperlink ref="I302" r:id="rId301" xr:uid="{00000000-0004-0000-0400-00002C010000}"/>
    <hyperlink ref="I303" r:id="rId302" xr:uid="{00000000-0004-0000-0400-00002D010000}"/>
    <hyperlink ref="I304" r:id="rId303" xr:uid="{00000000-0004-0000-0400-00002E010000}"/>
    <hyperlink ref="I305" r:id="rId304" xr:uid="{00000000-0004-0000-0400-00002F010000}"/>
    <hyperlink ref="I306" r:id="rId305" xr:uid="{00000000-0004-0000-0400-000030010000}"/>
    <hyperlink ref="I307" r:id="rId306" xr:uid="{00000000-0004-0000-0400-000031010000}"/>
    <hyperlink ref="I308" r:id="rId307" xr:uid="{00000000-0004-0000-0400-000032010000}"/>
    <hyperlink ref="I309" r:id="rId308" xr:uid="{00000000-0004-0000-0400-000033010000}"/>
    <hyperlink ref="I310" r:id="rId309" xr:uid="{00000000-0004-0000-0400-000034010000}"/>
    <hyperlink ref="I311" r:id="rId310" xr:uid="{00000000-0004-0000-0400-000035010000}"/>
    <hyperlink ref="I312" r:id="rId311" xr:uid="{00000000-0004-0000-0400-000036010000}"/>
    <hyperlink ref="I313" r:id="rId312" xr:uid="{00000000-0004-0000-0400-000037010000}"/>
    <hyperlink ref="I314" r:id="rId313" xr:uid="{00000000-0004-0000-0400-000038010000}"/>
    <hyperlink ref="I315" r:id="rId314" xr:uid="{00000000-0004-0000-0400-000039010000}"/>
    <hyperlink ref="I316" r:id="rId315" xr:uid="{00000000-0004-0000-0400-00003A010000}"/>
    <hyperlink ref="I317" r:id="rId316" xr:uid="{00000000-0004-0000-0400-00003B010000}"/>
    <hyperlink ref="I318" r:id="rId317" xr:uid="{00000000-0004-0000-0400-00003C010000}"/>
    <hyperlink ref="I319" r:id="rId318" xr:uid="{00000000-0004-0000-0400-00003D010000}"/>
    <hyperlink ref="I320" r:id="rId319" xr:uid="{00000000-0004-0000-0400-00003E010000}"/>
    <hyperlink ref="I321" r:id="rId320" xr:uid="{00000000-0004-0000-0400-00003F010000}"/>
    <hyperlink ref="I322" r:id="rId321" xr:uid="{00000000-0004-0000-0400-000040010000}"/>
    <hyperlink ref="I323" r:id="rId322" xr:uid="{00000000-0004-0000-0400-000041010000}"/>
    <hyperlink ref="I324" r:id="rId323" xr:uid="{00000000-0004-0000-0400-000042010000}"/>
    <hyperlink ref="I325" r:id="rId324" xr:uid="{00000000-0004-0000-0400-000043010000}"/>
    <hyperlink ref="I326" r:id="rId325" xr:uid="{00000000-0004-0000-0400-000044010000}"/>
    <hyperlink ref="I327" r:id="rId326" xr:uid="{00000000-0004-0000-0400-000045010000}"/>
    <hyperlink ref="I328" r:id="rId327" xr:uid="{00000000-0004-0000-0400-000046010000}"/>
    <hyperlink ref="I329" r:id="rId328" xr:uid="{00000000-0004-0000-0400-000047010000}"/>
    <hyperlink ref="I330" r:id="rId329" xr:uid="{00000000-0004-0000-0400-000048010000}"/>
    <hyperlink ref="I331" r:id="rId330" xr:uid="{00000000-0004-0000-0400-000049010000}"/>
    <hyperlink ref="I332" r:id="rId331" xr:uid="{00000000-0004-0000-0400-00004A010000}"/>
    <hyperlink ref="I333" r:id="rId332" xr:uid="{00000000-0004-0000-0400-00004B010000}"/>
    <hyperlink ref="I334" r:id="rId333" xr:uid="{00000000-0004-0000-0400-00004C010000}"/>
    <hyperlink ref="I335" r:id="rId334" xr:uid="{00000000-0004-0000-0400-00004D010000}"/>
    <hyperlink ref="I336" r:id="rId335" xr:uid="{00000000-0004-0000-0400-00004E010000}"/>
    <hyperlink ref="I337" r:id="rId336" xr:uid="{00000000-0004-0000-0400-00004F010000}"/>
    <hyperlink ref="I338" r:id="rId337" xr:uid="{00000000-0004-0000-0400-000050010000}"/>
    <hyperlink ref="I339" r:id="rId338" xr:uid="{00000000-0004-0000-0400-000051010000}"/>
    <hyperlink ref="I340" r:id="rId339" xr:uid="{00000000-0004-0000-0400-000052010000}"/>
    <hyperlink ref="I341" r:id="rId340" xr:uid="{00000000-0004-0000-0400-000053010000}"/>
    <hyperlink ref="I342" r:id="rId341" xr:uid="{00000000-0004-0000-0400-000054010000}"/>
    <hyperlink ref="I343" r:id="rId342" xr:uid="{00000000-0004-0000-0400-000055010000}"/>
    <hyperlink ref="I344" r:id="rId343" xr:uid="{00000000-0004-0000-0400-000056010000}"/>
    <hyperlink ref="I345" r:id="rId344" xr:uid="{00000000-0004-0000-0400-000057010000}"/>
    <hyperlink ref="I346" r:id="rId345" xr:uid="{00000000-0004-0000-0400-000058010000}"/>
    <hyperlink ref="I347" r:id="rId346" xr:uid="{00000000-0004-0000-0400-000059010000}"/>
    <hyperlink ref="I348" r:id="rId347" xr:uid="{00000000-0004-0000-0400-00005A010000}"/>
    <hyperlink ref="I349" r:id="rId348" xr:uid="{00000000-0004-0000-0400-00005B010000}"/>
    <hyperlink ref="I350" r:id="rId349" xr:uid="{00000000-0004-0000-0400-00005C010000}"/>
    <hyperlink ref="I351" r:id="rId350" xr:uid="{00000000-0004-0000-0400-00005D010000}"/>
    <hyperlink ref="I352" r:id="rId351" xr:uid="{00000000-0004-0000-0400-00005E010000}"/>
    <hyperlink ref="I353" r:id="rId352" xr:uid="{00000000-0004-0000-0400-00005F010000}"/>
    <hyperlink ref="I354" r:id="rId353" xr:uid="{00000000-0004-0000-0400-000060010000}"/>
    <hyperlink ref="I355" r:id="rId354" xr:uid="{00000000-0004-0000-0400-000061010000}"/>
    <hyperlink ref="I356" r:id="rId355" xr:uid="{00000000-0004-0000-0400-000062010000}"/>
    <hyperlink ref="I357" r:id="rId356" xr:uid="{00000000-0004-0000-0400-000063010000}"/>
    <hyperlink ref="I358" r:id="rId357" xr:uid="{00000000-0004-0000-0400-000064010000}"/>
    <hyperlink ref="I359" r:id="rId358" xr:uid="{00000000-0004-0000-0400-000065010000}"/>
    <hyperlink ref="I360" r:id="rId359" xr:uid="{00000000-0004-0000-0400-000066010000}"/>
    <hyperlink ref="I361" r:id="rId360" xr:uid="{00000000-0004-0000-0400-000067010000}"/>
    <hyperlink ref="I362" r:id="rId361" xr:uid="{00000000-0004-0000-0400-000068010000}"/>
    <hyperlink ref="I363" r:id="rId362" xr:uid="{00000000-0004-0000-0400-000069010000}"/>
    <hyperlink ref="I364" r:id="rId363" xr:uid="{00000000-0004-0000-0400-00006A010000}"/>
    <hyperlink ref="I365" r:id="rId364" xr:uid="{00000000-0004-0000-0400-00006B010000}"/>
    <hyperlink ref="I366" r:id="rId365" xr:uid="{00000000-0004-0000-0400-00006C010000}"/>
    <hyperlink ref="I367" r:id="rId366" xr:uid="{00000000-0004-0000-0400-00006D010000}"/>
    <hyperlink ref="I368" r:id="rId367" xr:uid="{00000000-0004-0000-0400-00006E010000}"/>
    <hyperlink ref="I369" r:id="rId368" xr:uid="{00000000-0004-0000-0400-00006F010000}"/>
    <hyperlink ref="I370" r:id="rId369" xr:uid="{00000000-0004-0000-0400-000070010000}"/>
    <hyperlink ref="I371" r:id="rId370" xr:uid="{00000000-0004-0000-0400-000071010000}"/>
    <hyperlink ref="I372" r:id="rId371" xr:uid="{00000000-0004-0000-0400-000072010000}"/>
    <hyperlink ref="I373" r:id="rId372" xr:uid="{00000000-0004-0000-0400-000073010000}"/>
    <hyperlink ref="I374" r:id="rId373" xr:uid="{00000000-0004-0000-0400-000074010000}"/>
    <hyperlink ref="I375" r:id="rId374" xr:uid="{00000000-0004-0000-0400-000075010000}"/>
    <hyperlink ref="I376" r:id="rId375" xr:uid="{00000000-0004-0000-0400-000076010000}"/>
    <hyperlink ref="I377" r:id="rId376" xr:uid="{00000000-0004-0000-0400-000077010000}"/>
    <hyperlink ref="I378" r:id="rId377" xr:uid="{00000000-0004-0000-0400-000078010000}"/>
    <hyperlink ref="I379" r:id="rId378" xr:uid="{00000000-0004-0000-0400-000079010000}"/>
    <hyperlink ref="I380" r:id="rId379" xr:uid="{00000000-0004-0000-0400-00007A010000}"/>
    <hyperlink ref="I381" r:id="rId380" xr:uid="{00000000-0004-0000-0400-00007B010000}"/>
    <hyperlink ref="I382" r:id="rId381" xr:uid="{00000000-0004-0000-0400-00007C010000}"/>
    <hyperlink ref="I383" r:id="rId382" xr:uid="{00000000-0004-0000-0400-00007D010000}"/>
    <hyperlink ref="I384" r:id="rId383" xr:uid="{00000000-0004-0000-0400-00007E010000}"/>
    <hyperlink ref="I385" r:id="rId384" xr:uid="{00000000-0004-0000-0400-00007F010000}"/>
    <hyperlink ref="I386" r:id="rId385" xr:uid="{00000000-0004-0000-0400-000080010000}"/>
    <hyperlink ref="I387" r:id="rId386" xr:uid="{00000000-0004-0000-0400-000081010000}"/>
    <hyperlink ref="I388" r:id="rId387" xr:uid="{00000000-0004-0000-0400-000082010000}"/>
    <hyperlink ref="I389" r:id="rId388" xr:uid="{00000000-0004-0000-0400-000083010000}"/>
    <hyperlink ref="I390" r:id="rId389" xr:uid="{00000000-0004-0000-0400-000084010000}"/>
    <hyperlink ref="I391" r:id="rId390" xr:uid="{00000000-0004-0000-0400-000085010000}"/>
    <hyperlink ref="I392" r:id="rId391" xr:uid="{00000000-0004-0000-0400-000086010000}"/>
    <hyperlink ref="I393" r:id="rId392" xr:uid="{00000000-0004-0000-0400-000087010000}"/>
    <hyperlink ref="I394" r:id="rId393" xr:uid="{00000000-0004-0000-0400-000088010000}"/>
    <hyperlink ref="I395" r:id="rId394" xr:uid="{00000000-0004-0000-0400-000089010000}"/>
    <hyperlink ref="I396" r:id="rId395" xr:uid="{00000000-0004-0000-0400-00008A010000}"/>
    <hyperlink ref="I397" r:id="rId396" xr:uid="{00000000-0004-0000-0400-00008B010000}"/>
    <hyperlink ref="I398" r:id="rId397" xr:uid="{00000000-0004-0000-0400-00008C010000}"/>
    <hyperlink ref="I399" r:id="rId398" xr:uid="{00000000-0004-0000-0400-00008D010000}"/>
    <hyperlink ref="I400" r:id="rId399" xr:uid="{00000000-0004-0000-0400-00008E010000}"/>
    <hyperlink ref="I401" r:id="rId400" xr:uid="{00000000-0004-0000-0400-00008F010000}"/>
    <hyperlink ref="I402" r:id="rId401" xr:uid="{00000000-0004-0000-0400-000090010000}"/>
    <hyperlink ref="I403" r:id="rId402" xr:uid="{00000000-0004-0000-0400-000091010000}"/>
    <hyperlink ref="I404" r:id="rId403" xr:uid="{00000000-0004-0000-0400-000092010000}"/>
    <hyperlink ref="I405" r:id="rId404" xr:uid="{00000000-0004-0000-0400-000093010000}"/>
    <hyperlink ref="I406" r:id="rId405" xr:uid="{00000000-0004-0000-0400-000094010000}"/>
    <hyperlink ref="I407" r:id="rId406" xr:uid="{00000000-0004-0000-0400-000095010000}"/>
    <hyperlink ref="I408" r:id="rId407" xr:uid="{00000000-0004-0000-0400-000096010000}"/>
    <hyperlink ref="I409" r:id="rId408" xr:uid="{00000000-0004-0000-0400-000097010000}"/>
    <hyperlink ref="I410" r:id="rId409" xr:uid="{00000000-0004-0000-0400-000098010000}"/>
    <hyperlink ref="I411" r:id="rId410" xr:uid="{00000000-0004-0000-0400-000099010000}"/>
    <hyperlink ref="I412" r:id="rId411" xr:uid="{00000000-0004-0000-0400-00009A010000}"/>
    <hyperlink ref="I413" r:id="rId412" xr:uid="{00000000-0004-0000-0400-00009B010000}"/>
    <hyperlink ref="I414" r:id="rId413" xr:uid="{00000000-0004-0000-0400-00009C010000}"/>
    <hyperlink ref="I415" r:id="rId414" xr:uid="{00000000-0004-0000-0400-00009D010000}"/>
    <hyperlink ref="I416" r:id="rId415" xr:uid="{00000000-0004-0000-0400-00009E010000}"/>
    <hyperlink ref="I417" r:id="rId416" xr:uid="{00000000-0004-0000-0400-00009F010000}"/>
    <hyperlink ref="I418" r:id="rId417" xr:uid="{00000000-0004-0000-0400-0000A0010000}"/>
    <hyperlink ref="I419" r:id="rId418" xr:uid="{00000000-0004-0000-0400-0000A1010000}"/>
    <hyperlink ref="I420" r:id="rId419" xr:uid="{00000000-0004-0000-0400-0000A2010000}"/>
    <hyperlink ref="I421" r:id="rId420" xr:uid="{00000000-0004-0000-0400-0000A3010000}"/>
    <hyperlink ref="I422" r:id="rId421" xr:uid="{00000000-0004-0000-0400-0000A4010000}"/>
    <hyperlink ref="I423" r:id="rId422" xr:uid="{00000000-0004-0000-0400-0000A5010000}"/>
    <hyperlink ref="I424" r:id="rId423" xr:uid="{00000000-0004-0000-0400-0000A6010000}"/>
    <hyperlink ref="I425" r:id="rId424" xr:uid="{00000000-0004-0000-0400-0000A7010000}"/>
    <hyperlink ref="I426" r:id="rId425" xr:uid="{00000000-0004-0000-0400-0000A8010000}"/>
    <hyperlink ref="I427" r:id="rId426" xr:uid="{00000000-0004-0000-0400-0000A9010000}"/>
    <hyperlink ref="I428" r:id="rId427" xr:uid="{00000000-0004-0000-0400-0000AA010000}"/>
    <hyperlink ref="I429" r:id="rId428" xr:uid="{00000000-0004-0000-0400-0000AB010000}"/>
    <hyperlink ref="I430" r:id="rId429" xr:uid="{00000000-0004-0000-0400-0000AC010000}"/>
    <hyperlink ref="I431" r:id="rId430" xr:uid="{00000000-0004-0000-0400-0000AD010000}"/>
    <hyperlink ref="I432" r:id="rId431" xr:uid="{00000000-0004-0000-0400-0000AE010000}"/>
    <hyperlink ref="I433" r:id="rId432" xr:uid="{00000000-0004-0000-0400-0000AF010000}"/>
    <hyperlink ref="I434" r:id="rId433" xr:uid="{00000000-0004-0000-0400-0000B0010000}"/>
    <hyperlink ref="I435" r:id="rId434" xr:uid="{00000000-0004-0000-0400-0000B1010000}"/>
    <hyperlink ref="I436" r:id="rId435" xr:uid="{00000000-0004-0000-0400-0000B2010000}"/>
    <hyperlink ref="I437" r:id="rId436" xr:uid="{00000000-0004-0000-0400-0000B3010000}"/>
    <hyperlink ref="I438" r:id="rId437" xr:uid="{00000000-0004-0000-0400-0000B4010000}"/>
    <hyperlink ref="I439" r:id="rId438" xr:uid="{00000000-0004-0000-0400-0000B5010000}"/>
    <hyperlink ref="I440" r:id="rId439" xr:uid="{00000000-0004-0000-0400-0000B6010000}"/>
    <hyperlink ref="I441" r:id="rId440" xr:uid="{00000000-0004-0000-0400-0000B7010000}"/>
    <hyperlink ref="I442" r:id="rId441" xr:uid="{00000000-0004-0000-0400-0000B8010000}"/>
    <hyperlink ref="I443" r:id="rId442" xr:uid="{00000000-0004-0000-0400-0000B9010000}"/>
    <hyperlink ref="I444" r:id="rId443" xr:uid="{00000000-0004-0000-0400-0000BA010000}"/>
    <hyperlink ref="I445" r:id="rId444" xr:uid="{00000000-0004-0000-0400-0000BB010000}"/>
    <hyperlink ref="I446" r:id="rId445" xr:uid="{00000000-0004-0000-0400-0000BC010000}"/>
    <hyperlink ref="I447" r:id="rId446" xr:uid="{00000000-0004-0000-0400-0000BD010000}"/>
    <hyperlink ref="I448" r:id="rId447" xr:uid="{00000000-0004-0000-0400-0000BE010000}"/>
    <hyperlink ref="I449" r:id="rId448" xr:uid="{00000000-0004-0000-0400-0000BF010000}"/>
    <hyperlink ref="I450" r:id="rId449" xr:uid="{00000000-0004-0000-0400-0000C0010000}"/>
    <hyperlink ref="I451" r:id="rId450" xr:uid="{00000000-0004-0000-0400-0000C1010000}"/>
    <hyperlink ref="I452" r:id="rId451" xr:uid="{00000000-0004-0000-0400-0000C2010000}"/>
    <hyperlink ref="I453" r:id="rId452" xr:uid="{00000000-0004-0000-0400-0000C3010000}"/>
    <hyperlink ref="I454" r:id="rId453" xr:uid="{00000000-0004-0000-0400-0000C4010000}"/>
    <hyperlink ref="I455" r:id="rId454" xr:uid="{00000000-0004-0000-0400-0000C5010000}"/>
    <hyperlink ref="I456" r:id="rId455" xr:uid="{00000000-0004-0000-0400-0000C6010000}"/>
    <hyperlink ref="I457" r:id="rId456" xr:uid="{00000000-0004-0000-0400-0000C7010000}"/>
    <hyperlink ref="I458" r:id="rId457" xr:uid="{00000000-0004-0000-0400-0000C8010000}"/>
    <hyperlink ref="I459" r:id="rId458" xr:uid="{00000000-0004-0000-0400-0000C9010000}"/>
    <hyperlink ref="I460" r:id="rId459" xr:uid="{00000000-0004-0000-0400-0000CA010000}"/>
    <hyperlink ref="I461" r:id="rId460" xr:uid="{00000000-0004-0000-0400-0000CB010000}"/>
    <hyperlink ref="I462" r:id="rId461" xr:uid="{00000000-0004-0000-0400-0000CC010000}"/>
    <hyperlink ref="I463" r:id="rId462" xr:uid="{00000000-0004-0000-0400-0000CD010000}"/>
    <hyperlink ref="I464" r:id="rId463" xr:uid="{00000000-0004-0000-0400-0000CE010000}"/>
    <hyperlink ref="I465" r:id="rId464" xr:uid="{00000000-0004-0000-0400-0000CF010000}"/>
    <hyperlink ref="I466" r:id="rId465" xr:uid="{00000000-0004-0000-0400-0000D0010000}"/>
    <hyperlink ref="I467" r:id="rId466" xr:uid="{00000000-0004-0000-0400-0000D1010000}"/>
    <hyperlink ref="I468" r:id="rId467" xr:uid="{00000000-0004-0000-0400-0000D2010000}"/>
    <hyperlink ref="I469" r:id="rId468" xr:uid="{00000000-0004-0000-0400-0000D3010000}"/>
    <hyperlink ref="I470" r:id="rId469" xr:uid="{00000000-0004-0000-0400-0000D4010000}"/>
    <hyperlink ref="I471" r:id="rId470" xr:uid="{00000000-0004-0000-0400-0000D5010000}"/>
    <hyperlink ref="I472" r:id="rId471" xr:uid="{00000000-0004-0000-0400-0000D6010000}"/>
    <hyperlink ref="I473" r:id="rId472" xr:uid="{00000000-0004-0000-0400-0000D7010000}"/>
    <hyperlink ref="I474" r:id="rId473" xr:uid="{00000000-0004-0000-0400-0000D8010000}"/>
    <hyperlink ref="I475" r:id="rId474" xr:uid="{00000000-0004-0000-0400-0000D901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V268"/>
  <sheetViews>
    <sheetView workbookViewId="0"/>
  </sheetViews>
  <sheetFormatPr defaultColWidth="12.5703125" defaultRowHeight="15.75" customHeight="1" x14ac:dyDescent="0.2"/>
  <sheetData>
    <row r="1" spans="1:22" ht="15.75" customHeight="1" x14ac:dyDescent="0.25">
      <c r="A1" s="1" t="s">
        <v>0</v>
      </c>
      <c r="B1" s="1" t="s">
        <v>1</v>
      </c>
      <c r="C1" s="1" t="s">
        <v>2</v>
      </c>
      <c r="D1" s="1" t="s">
        <v>3</v>
      </c>
      <c r="E1" s="1" t="s">
        <v>4</v>
      </c>
      <c r="F1" s="1" t="s">
        <v>5</v>
      </c>
      <c r="G1" s="1" t="s">
        <v>6</v>
      </c>
      <c r="H1" s="1" t="s">
        <v>7</v>
      </c>
      <c r="I1" s="1" t="s">
        <v>131</v>
      </c>
      <c r="J1" s="1" t="s">
        <v>8410</v>
      </c>
      <c r="K1" s="1" t="s">
        <v>6108</v>
      </c>
      <c r="L1" s="1" t="s">
        <v>11041</v>
      </c>
      <c r="M1" s="1" t="s">
        <v>8</v>
      </c>
      <c r="N1" s="1" t="s">
        <v>132</v>
      </c>
      <c r="O1" s="1" t="s">
        <v>9</v>
      </c>
      <c r="P1" s="1" t="s">
        <v>10</v>
      </c>
      <c r="Q1" s="1" t="s">
        <v>11</v>
      </c>
      <c r="R1" s="1" t="s">
        <v>12</v>
      </c>
      <c r="S1" s="1" t="s">
        <v>6109</v>
      </c>
      <c r="T1" s="1" t="s">
        <v>134</v>
      </c>
      <c r="U1" s="1" t="s">
        <v>11042</v>
      </c>
      <c r="V1" s="1" t="s">
        <v>8411</v>
      </c>
    </row>
    <row r="2" spans="1:22" ht="15.75" customHeight="1" x14ac:dyDescent="0.25">
      <c r="A2" s="1" t="s">
        <v>141</v>
      </c>
      <c r="B2" s="1" t="s">
        <v>3101</v>
      </c>
      <c r="C2" s="1" t="s">
        <v>3102</v>
      </c>
      <c r="D2" s="4"/>
      <c r="E2" s="1">
        <v>2020</v>
      </c>
      <c r="F2" s="4"/>
      <c r="G2" s="4"/>
      <c r="H2" s="1" t="s">
        <v>11043</v>
      </c>
      <c r="I2" s="1" t="s">
        <v>145</v>
      </c>
      <c r="J2" s="1" t="s">
        <v>11044</v>
      </c>
      <c r="K2" s="1" t="s">
        <v>11045</v>
      </c>
      <c r="L2" s="1" t="s">
        <v>11046</v>
      </c>
      <c r="M2" s="1">
        <v>2020</v>
      </c>
      <c r="N2" s="1">
        <v>9781450371223</v>
      </c>
      <c r="O2" s="4"/>
      <c r="P2" s="3" t="s">
        <v>11047</v>
      </c>
      <c r="Q2" s="1" t="s">
        <v>3105</v>
      </c>
      <c r="R2" s="1" t="s">
        <v>11048</v>
      </c>
      <c r="S2" s="1" t="s">
        <v>11049</v>
      </c>
      <c r="T2" s="4"/>
      <c r="U2" s="4"/>
      <c r="V2" s="1" t="s">
        <v>11050</v>
      </c>
    </row>
    <row r="3" spans="1:22" ht="15.75" customHeight="1" x14ac:dyDescent="0.25">
      <c r="A3" s="1" t="s">
        <v>141</v>
      </c>
      <c r="B3" s="1" t="s">
        <v>1856</v>
      </c>
      <c r="C3" s="1" t="s">
        <v>11051</v>
      </c>
      <c r="D3" s="4"/>
      <c r="E3" s="1">
        <v>2021</v>
      </c>
      <c r="F3" s="4"/>
      <c r="G3" s="4"/>
      <c r="H3" s="1" t="s">
        <v>11052</v>
      </c>
      <c r="I3" s="1" t="s">
        <v>145</v>
      </c>
      <c r="J3" s="1" t="s">
        <v>11044</v>
      </c>
      <c r="K3" s="1" t="s">
        <v>11053</v>
      </c>
      <c r="L3" s="1" t="s">
        <v>11054</v>
      </c>
      <c r="M3" s="1">
        <v>2021</v>
      </c>
      <c r="N3" s="1">
        <v>9781450390538</v>
      </c>
      <c r="O3" s="4"/>
      <c r="P3" s="3" t="s">
        <v>11055</v>
      </c>
      <c r="Q3" s="1" t="s">
        <v>1860</v>
      </c>
      <c r="R3" s="1" t="s">
        <v>11056</v>
      </c>
      <c r="S3" s="1" t="s">
        <v>11057</v>
      </c>
      <c r="T3" s="4"/>
      <c r="U3" s="4"/>
      <c r="V3" s="1" t="s">
        <v>11058</v>
      </c>
    </row>
    <row r="4" spans="1:22" ht="15.75" customHeight="1" x14ac:dyDescent="0.25">
      <c r="A4" s="1" t="s">
        <v>13</v>
      </c>
      <c r="B4" s="1" t="s">
        <v>11059</v>
      </c>
      <c r="C4" s="1" t="s">
        <v>11060</v>
      </c>
      <c r="D4" s="1" t="s">
        <v>11061</v>
      </c>
      <c r="E4" s="1">
        <v>2017</v>
      </c>
      <c r="F4" s="1">
        <v>42</v>
      </c>
      <c r="G4" s="1">
        <v>1</v>
      </c>
      <c r="H4" s="1" t="s">
        <v>11062</v>
      </c>
      <c r="I4" s="1" t="s">
        <v>145</v>
      </c>
      <c r="J4" s="1" t="s">
        <v>11044</v>
      </c>
      <c r="K4" s="4"/>
      <c r="L4" s="4"/>
      <c r="M4" s="6">
        <v>42795</v>
      </c>
      <c r="N4" s="4"/>
      <c r="O4" s="1" t="s">
        <v>11063</v>
      </c>
      <c r="P4" s="3" t="s">
        <v>11064</v>
      </c>
      <c r="Q4" s="1" t="s">
        <v>11065</v>
      </c>
      <c r="R4" s="1" t="s">
        <v>11066</v>
      </c>
      <c r="S4" s="1" t="s">
        <v>11067</v>
      </c>
      <c r="T4" s="4"/>
      <c r="U4" s="4"/>
      <c r="V4" s="4"/>
    </row>
    <row r="5" spans="1:22" ht="15.75" customHeight="1" x14ac:dyDescent="0.25">
      <c r="A5" s="1" t="s">
        <v>141</v>
      </c>
      <c r="B5" s="1" t="s">
        <v>6198</v>
      </c>
      <c r="C5" s="1" t="s">
        <v>6199</v>
      </c>
      <c r="D5" s="4"/>
      <c r="E5" s="1">
        <v>2016</v>
      </c>
      <c r="F5" s="4"/>
      <c r="G5" s="4"/>
      <c r="H5" s="1" t="s">
        <v>11068</v>
      </c>
      <c r="I5" s="1" t="s">
        <v>145</v>
      </c>
      <c r="J5" s="1" t="s">
        <v>11044</v>
      </c>
      <c r="K5" s="1" t="s">
        <v>11069</v>
      </c>
      <c r="L5" s="1" t="s">
        <v>11070</v>
      </c>
      <c r="M5" s="1">
        <v>2016</v>
      </c>
      <c r="N5" s="1">
        <v>9781450341868</v>
      </c>
      <c r="O5" s="4"/>
      <c r="P5" s="3" t="s">
        <v>11071</v>
      </c>
      <c r="Q5" s="1" t="s">
        <v>11072</v>
      </c>
      <c r="R5" s="1" t="s">
        <v>6202</v>
      </c>
      <c r="S5" s="1" t="s">
        <v>11073</v>
      </c>
      <c r="T5" s="4"/>
      <c r="U5" s="4"/>
      <c r="V5" s="1" t="s">
        <v>11074</v>
      </c>
    </row>
    <row r="6" spans="1:22" ht="15.75" customHeight="1" x14ac:dyDescent="0.25">
      <c r="A6" s="1" t="s">
        <v>141</v>
      </c>
      <c r="B6" s="1" t="s">
        <v>6230</v>
      </c>
      <c r="C6" s="1" t="s">
        <v>6231</v>
      </c>
      <c r="D6" s="4"/>
      <c r="E6" s="1">
        <v>2022</v>
      </c>
      <c r="F6" s="4"/>
      <c r="G6" s="4"/>
      <c r="H6" s="1" t="s">
        <v>11075</v>
      </c>
      <c r="I6" s="1" t="s">
        <v>145</v>
      </c>
      <c r="J6" s="1" t="s">
        <v>11044</v>
      </c>
      <c r="K6" s="1" t="s">
        <v>11076</v>
      </c>
      <c r="L6" s="1" t="s">
        <v>11077</v>
      </c>
      <c r="M6" s="1">
        <v>2022</v>
      </c>
      <c r="N6" s="1">
        <v>9781450393041</v>
      </c>
      <c r="O6" s="4"/>
      <c r="P6" s="3" t="s">
        <v>11078</v>
      </c>
      <c r="Q6" s="1" t="s">
        <v>6234</v>
      </c>
      <c r="R6" s="1" t="s">
        <v>11079</v>
      </c>
      <c r="S6" s="1" t="s">
        <v>11080</v>
      </c>
      <c r="T6" s="4"/>
      <c r="U6" s="4"/>
      <c r="V6" s="1" t="s">
        <v>11081</v>
      </c>
    </row>
    <row r="7" spans="1:22" ht="15.75" customHeight="1" x14ac:dyDescent="0.25">
      <c r="A7" s="1" t="s">
        <v>141</v>
      </c>
      <c r="B7" s="1" t="s">
        <v>3166</v>
      </c>
      <c r="C7" s="1" t="s">
        <v>6333</v>
      </c>
      <c r="D7" s="4"/>
      <c r="E7" s="1">
        <v>2021</v>
      </c>
      <c r="F7" s="4"/>
      <c r="G7" s="4"/>
      <c r="H7" s="1" t="s">
        <v>11082</v>
      </c>
      <c r="I7" s="1" t="s">
        <v>11083</v>
      </c>
      <c r="J7" s="1" t="s">
        <v>11084</v>
      </c>
      <c r="K7" s="1" t="s">
        <v>11085</v>
      </c>
      <c r="L7" s="4"/>
      <c r="M7" s="1">
        <v>2021</v>
      </c>
      <c r="N7" s="1">
        <v>9781450390859</v>
      </c>
      <c r="O7" s="4"/>
      <c r="P7" s="3" t="s">
        <v>11086</v>
      </c>
      <c r="Q7" s="1" t="s">
        <v>3170</v>
      </c>
      <c r="R7" s="1" t="s">
        <v>11087</v>
      </c>
      <c r="S7" s="1" t="s">
        <v>11088</v>
      </c>
      <c r="T7" s="4"/>
      <c r="U7" s="4"/>
      <c r="V7" s="1" t="s">
        <v>11089</v>
      </c>
    </row>
    <row r="8" spans="1:22" ht="15.75" customHeight="1" x14ac:dyDescent="0.25">
      <c r="A8" s="1" t="s">
        <v>13</v>
      </c>
      <c r="B8" s="1" t="s">
        <v>11090</v>
      </c>
      <c r="C8" s="1" t="s">
        <v>11091</v>
      </c>
      <c r="D8" s="1" t="s">
        <v>11061</v>
      </c>
      <c r="E8" s="1">
        <v>2017</v>
      </c>
      <c r="F8" s="1">
        <v>42</v>
      </c>
      <c r="G8" s="1">
        <v>3</v>
      </c>
      <c r="H8" s="1" t="s">
        <v>11092</v>
      </c>
      <c r="I8" s="1" t="s">
        <v>145</v>
      </c>
      <c r="J8" s="1" t="s">
        <v>11044</v>
      </c>
      <c r="K8" s="4"/>
      <c r="L8" s="4"/>
      <c r="M8" s="6">
        <v>42979</v>
      </c>
      <c r="N8" s="4"/>
      <c r="O8" s="1" t="s">
        <v>11063</v>
      </c>
      <c r="P8" s="3" t="s">
        <v>11093</v>
      </c>
      <c r="Q8" s="1" t="s">
        <v>11094</v>
      </c>
      <c r="R8" s="1" t="s">
        <v>11095</v>
      </c>
      <c r="S8" s="1" t="s">
        <v>11096</v>
      </c>
      <c r="T8" s="4"/>
      <c r="U8" s="4"/>
      <c r="V8" s="4"/>
    </row>
    <row r="9" spans="1:22" ht="15.75" customHeight="1" x14ac:dyDescent="0.25">
      <c r="A9" s="1" t="s">
        <v>13</v>
      </c>
      <c r="B9" s="1" t="s">
        <v>11097</v>
      </c>
      <c r="C9" s="1" t="s">
        <v>11098</v>
      </c>
      <c r="D9" s="1" t="s">
        <v>11061</v>
      </c>
      <c r="E9" s="1">
        <v>2016</v>
      </c>
      <c r="F9" s="1">
        <v>41</v>
      </c>
      <c r="G9" s="1">
        <v>2</v>
      </c>
      <c r="H9" s="1" t="s">
        <v>11099</v>
      </c>
      <c r="I9" s="1" t="s">
        <v>145</v>
      </c>
      <c r="J9" s="1" t="s">
        <v>11044</v>
      </c>
      <c r="K9" s="4"/>
      <c r="L9" s="4"/>
      <c r="M9" s="6">
        <v>42491</v>
      </c>
      <c r="N9" s="4"/>
      <c r="O9" s="1" t="s">
        <v>11063</v>
      </c>
      <c r="P9" s="3" t="s">
        <v>11100</v>
      </c>
      <c r="Q9" s="1" t="s">
        <v>11101</v>
      </c>
      <c r="R9" s="1" t="s">
        <v>11102</v>
      </c>
      <c r="S9" s="4"/>
      <c r="T9" s="4"/>
      <c r="U9" s="4"/>
      <c r="V9" s="4"/>
    </row>
    <row r="10" spans="1:22" ht="15.75" customHeight="1" x14ac:dyDescent="0.25">
      <c r="A10" s="1" t="s">
        <v>141</v>
      </c>
      <c r="B10" s="1" t="s">
        <v>2972</v>
      </c>
      <c r="C10" s="1" t="s">
        <v>6443</v>
      </c>
      <c r="D10" s="4"/>
      <c r="E10" s="1">
        <v>2018</v>
      </c>
      <c r="F10" s="4"/>
      <c r="G10" s="4"/>
      <c r="H10" s="1" t="s">
        <v>11103</v>
      </c>
      <c r="I10" s="1" t="s">
        <v>145</v>
      </c>
      <c r="J10" s="1" t="s">
        <v>11044</v>
      </c>
      <c r="K10" s="1" t="s">
        <v>11104</v>
      </c>
      <c r="L10" s="1" t="s">
        <v>11105</v>
      </c>
      <c r="M10" s="1">
        <v>2018</v>
      </c>
      <c r="N10" s="1">
        <v>9781450357135</v>
      </c>
      <c r="O10" s="4"/>
      <c r="P10" s="3" t="s">
        <v>11106</v>
      </c>
      <c r="Q10" s="1" t="s">
        <v>5509</v>
      </c>
      <c r="R10" s="1" t="s">
        <v>11107</v>
      </c>
      <c r="S10" s="1" t="s">
        <v>11108</v>
      </c>
      <c r="T10" s="4"/>
      <c r="U10" s="4"/>
      <c r="V10" s="1" t="s">
        <v>11109</v>
      </c>
    </row>
    <row r="11" spans="1:22" ht="15.75" customHeight="1" x14ac:dyDescent="0.25">
      <c r="A11" s="1" t="s">
        <v>141</v>
      </c>
      <c r="B11" s="1" t="s">
        <v>11110</v>
      </c>
      <c r="C11" s="1" t="s">
        <v>11111</v>
      </c>
      <c r="D11" s="4"/>
      <c r="E11" s="1">
        <v>2022</v>
      </c>
      <c r="F11" s="4"/>
      <c r="G11" s="4"/>
      <c r="H11" s="1" t="s">
        <v>11112</v>
      </c>
      <c r="I11" s="1" t="s">
        <v>145</v>
      </c>
      <c r="J11" s="1" t="s">
        <v>11044</v>
      </c>
      <c r="K11" s="1" t="s">
        <v>11113</v>
      </c>
      <c r="L11" s="1" t="s">
        <v>11114</v>
      </c>
      <c r="M11" s="1">
        <v>2022</v>
      </c>
      <c r="N11" s="1">
        <v>9781450394130</v>
      </c>
      <c r="O11" s="4"/>
      <c r="P11" s="3" t="s">
        <v>11115</v>
      </c>
      <c r="Q11" s="1" t="s">
        <v>566</v>
      </c>
      <c r="R11" s="1" t="s">
        <v>11116</v>
      </c>
      <c r="S11" s="1" t="s">
        <v>11117</v>
      </c>
      <c r="T11" s="4"/>
      <c r="U11" s="4"/>
      <c r="V11" s="1" t="s">
        <v>11118</v>
      </c>
    </row>
    <row r="12" spans="1:22" ht="15.75" customHeight="1" x14ac:dyDescent="0.25">
      <c r="A12" s="1" t="s">
        <v>141</v>
      </c>
      <c r="B12" s="1" t="s">
        <v>11119</v>
      </c>
      <c r="C12" s="1" t="s">
        <v>11120</v>
      </c>
      <c r="D12" s="4"/>
      <c r="E12" s="1">
        <v>2012</v>
      </c>
      <c r="F12" s="4"/>
      <c r="G12" s="4"/>
      <c r="H12" s="1" t="s">
        <v>11121</v>
      </c>
      <c r="I12" s="1" t="s">
        <v>11083</v>
      </c>
      <c r="J12" s="1" t="s">
        <v>11122</v>
      </c>
      <c r="K12" s="1" t="s">
        <v>11123</v>
      </c>
      <c r="L12" s="4"/>
      <c r="M12" s="1">
        <v>2012</v>
      </c>
      <c r="N12" s="1">
        <v>9781467317498</v>
      </c>
      <c r="O12" s="4"/>
      <c r="P12" s="4"/>
      <c r="Q12" s="4"/>
      <c r="R12" s="1" t="s">
        <v>11124</v>
      </c>
      <c r="S12" s="1" t="s">
        <v>11125</v>
      </c>
      <c r="T12" s="4"/>
      <c r="U12" s="4"/>
      <c r="V12" s="1" t="s">
        <v>11126</v>
      </c>
    </row>
    <row r="13" spans="1:22" ht="15.75" customHeight="1" x14ac:dyDescent="0.25">
      <c r="A13" s="1" t="s">
        <v>141</v>
      </c>
      <c r="B13" s="1" t="s">
        <v>3189</v>
      </c>
      <c r="C13" s="1" t="s">
        <v>11127</v>
      </c>
      <c r="D13" s="4"/>
      <c r="E13" s="1">
        <v>2019</v>
      </c>
      <c r="F13" s="4"/>
      <c r="G13" s="4"/>
      <c r="H13" s="1" t="s">
        <v>11128</v>
      </c>
      <c r="I13" s="1" t="s">
        <v>145</v>
      </c>
      <c r="J13" s="1" t="s">
        <v>11044</v>
      </c>
      <c r="K13" s="1" t="s">
        <v>11129</v>
      </c>
      <c r="L13" s="1" t="s">
        <v>11130</v>
      </c>
      <c r="M13" s="1">
        <v>2019</v>
      </c>
      <c r="N13" s="1">
        <v>9781450372336</v>
      </c>
      <c r="O13" s="4"/>
      <c r="P13" s="3" t="s">
        <v>11131</v>
      </c>
      <c r="Q13" s="1" t="s">
        <v>4952</v>
      </c>
      <c r="R13" s="1" t="s">
        <v>11132</v>
      </c>
      <c r="S13" s="1" t="s">
        <v>11133</v>
      </c>
      <c r="T13" s="4"/>
      <c r="U13" s="4"/>
      <c r="V13" s="1" t="s">
        <v>11134</v>
      </c>
    </row>
    <row r="14" spans="1:22" ht="15.75" customHeight="1" x14ac:dyDescent="0.25">
      <c r="A14" s="1" t="s">
        <v>141</v>
      </c>
      <c r="B14" s="1" t="s">
        <v>2494</v>
      </c>
      <c r="C14" s="1" t="s">
        <v>2495</v>
      </c>
      <c r="D14" s="4"/>
      <c r="E14" s="1">
        <v>2022</v>
      </c>
      <c r="F14" s="4"/>
      <c r="G14" s="4"/>
      <c r="H14" s="1" t="s">
        <v>11103</v>
      </c>
      <c r="I14" s="1" t="s">
        <v>145</v>
      </c>
      <c r="J14" s="1" t="s">
        <v>11044</v>
      </c>
      <c r="K14" s="1" t="s">
        <v>11076</v>
      </c>
      <c r="L14" s="1" t="s">
        <v>11077</v>
      </c>
      <c r="M14" s="1">
        <v>2022</v>
      </c>
      <c r="N14" s="1">
        <v>9781450393041</v>
      </c>
      <c r="O14" s="4"/>
      <c r="P14" s="3" t="s">
        <v>11135</v>
      </c>
      <c r="Q14" s="1" t="s">
        <v>2498</v>
      </c>
      <c r="R14" s="1" t="s">
        <v>11136</v>
      </c>
      <c r="S14" s="1" t="s">
        <v>11137</v>
      </c>
      <c r="T14" s="4"/>
      <c r="U14" s="4"/>
      <c r="V14" s="1" t="s">
        <v>11081</v>
      </c>
    </row>
    <row r="15" spans="1:22" ht="15.75" customHeight="1" x14ac:dyDescent="0.25">
      <c r="A15" s="1" t="s">
        <v>141</v>
      </c>
      <c r="B15" s="1" t="s">
        <v>11138</v>
      </c>
      <c r="C15" s="1" t="s">
        <v>11139</v>
      </c>
      <c r="D15" s="4"/>
      <c r="E15" s="1">
        <v>2022</v>
      </c>
      <c r="F15" s="4"/>
      <c r="G15" s="4"/>
      <c r="H15" s="1" t="s">
        <v>11140</v>
      </c>
      <c r="I15" s="1" t="s">
        <v>145</v>
      </c>
      <c r="J15" s="1" t="s">
        <v>11044</v>
      </c>
      <c r="K15" s="1" t="s">
        <v>11141</v>
      </c>
      <c r="L15" s="1" t="s">
        <v>11142</v>
      </c>
      <c r="M15" s="1">
        <v>2022</v>
      </c>
      <c r="N15" s="1">
        <v>9781450394277</v>
      </c>
      <c r="O15" s="4"/>
      <c r="P15" s="3" t="s">
        <v>11143</v>
      </c>
      <c r="Q15" s="1" t="s">
        <v>1364</v>
      </c>
      <c r="R15" s="1" t="s">
        <v>11144</v>
      </c>
      <c r="S15" s="4"/>
      <c r="T15" s="4"/>
      <c r="U15" s="4"/>
      <c r="V15" s="1" t="s">
        <v>11145</v>
      </c>
    </row>
    <row r="16" spans="1:22" ht="15.75" customHeight="1" x14ac:dyDescent="0.25">
      <c r="A16" s="1" t="s">
        <v>141</v>
      </c>
      <c r="B16" s="1" t="s">
        <v>4924</v>
      </c>
      <c r="C16" s="1" t="s">
        <v>4925</v>
      </c>
      <c r="D16" s="4"/>
      <c r="E16" s="1">
        <v>2019</v>
      </c>
      <c r="F16" s="4"/>
      <c r="G16" s="4"/>
      <c r="H16" s="1" t="s">
        <v>11146</v>
      </c>
      <c r="I16" s="1" t="s">
        <v>11083</v>
      </c>
      <c r="J16" s="1" t="s">
        <v>11147</v>
      </c>
      <c r="K16" s="1" t="s">
        <v>11148</v>
      </c>
      <c r="L16" s="4"/>
      <c r="M16" s="1">
        <v>2019</v>
      </c>
      <c r="N16" s="4"/>
      <c r="O16" s="4"/>
      <c r="P16" s="3" t="s">
        <v>11149</v>
      </c>
      <c r="Q16" s="1" t="s">
        <v>4928</v>
      </c>
      <c r="R16" s="1" t="s">
        <v>11150</v>
      </c>
      <c r="S16" s="1" t="s">
        <v>11151</v>
      </c>
      <c r="T16" s="4"/>
      <c r="U16" s="4"/>
      <c r="V16" s="1" t="s">
        <v>11152</v>
      </c>
    </row>
    <row r="17" spans="1:22" ht="15.75" customHeight="1" x14ac:dyDescent="0.25">
      <c r="A17" s="1" t="s">
        <v>141</v>
      </c>
      <c r="B17" s="1" t="s">
        <v>11153</v>
      </c>
      <c r="C17" s="1" t="s">
        <v>11154</v>
      </c>
      <c r="D17" s="4"/>
      <c r="E17" s="1">
        <v>2020</v>
      </c>
      <c r="F17" s="4"/>
      <c r="G17" s="4"/>
      <c r="H17" s="1" t="s">
        <v>11155</v>
      </c>
      <c r="I17" s="1" t="s">
        <v>145</v>
      </c>
      <c r="J17" s="1" t="s">
        <v>11044</v>
      </c>
      <c r="K17" s="1" t="s">
        <v>11156</v>
      </c>
      <c r="L17" s="1" t="s">
        <v>11157</v>
      </c>
      <c r="M17" s="1">
        <v>2020</v>
      </c>
      <c r="N17" s="1">
        <v>9781450379601</v>
      </c>
      <c r="O17" s="4"/>
      <c r="P17" s="3" t="s">
        <v>11158</v>
      </c>
      <c r="Q17" s="1" t="s">
        <v>11159</v>
      </c>
      <c r="R17" s="1" t="s">
        <v>11160</v>
      </c>
      <c r="S17" s="1" t="s">
        <v>11161</v>
      </c>
      <c r="T17" s="4"/>
      <c r="U17" s="4"/>
      <c r="V17" s="1" t="s">
        <v>11162</v>
      </c>
    </row>
    <row r="18" spans="1:22" ht="15.75" customHeight="1" x14ac:dyDescent="0.25">
      <c r="A18" s="1" t="s">
        <v>141</v>
      </c>
      <c r="B18" s="1" t="s">
        <v>11163</v>
      </c>
      <c r="C18" s="1" t="s">
        <v>11164</v>
      </c>
      <c r="D18" s="4"/>
      <c r="E18" s="1">
        <v>2019</v>
      </c>
      <c r="F18" s="4"/>
      <c r="G18" s="4"/>
      <c r="H18" s="1" t="s">
        <v>11165</v>
      </c>
      <c r="I18" s="1" t="s">
        <v>11083</v>
      </c>
      <c r="J18" s="1" t="s">
        <v>11147</v>
      </c>
      <c r="K18" s="1" t="s">
        <v>11166</v>
      </c>
      <c r="L18" s="4"/>
      <c r="M18" s="1">
        <v>2019</v>
      </c>
      <c r="N18" s="4"/>
      <c r="O18" s="4"/>
      <c r="P18" s="3" t="s">
        <v>11167</v>
      </c>
      <c r="Q18" s="1" t="s">
        <v>4255</v>
      </c>
      <c r="R18" s="1" t="s">
        <v>11168</v>
      </c>
      <c r="S18" s="1" t="s">
        <v>11169</v>
      </c>
      <c r="T18" s="4"/>
      <c r="U18" s="4"/>
      <c r="V18" s="1" t="s">
        <v>11170</v>
      </c>
    </row>
    <row r="19" spans="1:22" ht="15.75" customHeight="1" x14ac:dyDescent="0.25">
      <c r="A19" s="1" t="s">
        <v>141</v>
      </c>
      <c r="B19" s="1" t="s">
        <v>11171</v>
      </c>
      <c r="C19" s="1" t="s">
        <v>11172</v>
      </c>
      <c r="D19" s="4"/>
      <c r="E19" s="1">
        <v>2012</v>
      </c>
      <c r="F19" s="4"/>
      <c r="G19" s="4"/>
      <c r="H19" s="1" t="s">
        <v>11173</v>
      </c>
      <c r="I19" s="1" t="s">
        <v>11083</v>
      </c>
      <c r="J19" s="1" t="s">
        <v>11122</v>
      </c>
      <c r="K19" s="1" t="s">
        <v>11123</v>
      </c>
      <c r="L19" s="4"/>
      <c r="M19" s="1">
        <v>2012</v>
      </c>
      <c r="N19" s="1">
        <v>9781467317498</v>
      </c>
      <c r="O19" s="4"/>
      <c r="P19" s="4"/>
      <c r="Q19" s="4"/>
      <c r="R19" s="1" t="s">
        <v>11174</v>
      </c>
      <c r="S19" s="1" t="s">
        <v>11175</v>
      </c>
      <c r="T19" s="4"/>
      <c r="U19" s="4"/>
      <c r="V19" s="1" t="s">
        <v>11126</v>
      </c>
    </row>
    <row r="20" spans="1:22" ht="15.75" customHeight="1" x14ac:dyDescent="0.25">
      <c r="A20" s="1" t="s">
        <v>141</v>
      </c>
      <c r="B20" s="1" t="s">
        <v>3177</v>
      </c>
      <c r="C20" s="1" t="s">
        <v>3178</v>
      </c>
      <c r="D20" s="4"/>
      <c r="E20" s="1">
        <v>2020</v>
      </c>
      <c r="F20" s="4"/>
      <c r="G20" s="4"/>
      <c r="H20" s="1" t="s">
        <v>11176</v>
      </c>
      <c r="I20" s="1" t="s">
        <v>145</v>
      </c>
      <c r="J20" s="1" t="s">
        <v>11044</v>
      </c>
      <c r="K20" s="1" t="s">
        <v>11045</v>
      </c>
      <c r="L20" s="1" t="s">
        <v>11046</v>
      </c>
      <c r="M20" s="1">
        <v>2020</v>
      </c>
      <c r="N20" s="1">
        <v>9781450371223</v>
      </c>
      <c r="O20" s="4"/>
      <c r="P20" s="3" t="s">
        <v>11177</v>
      </c>
      <c r="Q20" s="1" t="s">
        <v>3181</v>
      </c>
      <c r="R20" s="1" t="s">
        <v>6244</v>
      </c>
      <c r="S20" s="1" t="s">
        <v>11178</v>
      </c>
      <c r="T20" s="4"/>
      <c r="U20" s="4"/>
      <c r="V20" s="1" t="s">
        <v>11050</v>
      </c>
    </row>
    <row r="21" spans="1:22" ht="15.75" customHeight="1" x14ac:dyDescent="0.25">
      <c r="A21" s="1" t="s">
        <v>141</v>
      </c>
      <c r="B21" s="1" t="s">
        <v>4991</v>
      </c>
      <c r="C21" s="1" t="s">
        <v>11179</v>
      </c>
      <c r="D21" s="4"/>
      <c r="E21" s="1">
        <v>2019</v>
      </c>
      <c r="F21" s="4"/>
      <c r="G21" s="4"/>
      <c r="H21" s="1" t="s">
        <v>11180</v>
      </c>
      <c r="I21" s="1" t="s">
        <v>11083</v>
      </c>
      <c r="J21" s="1" t="s">
        <v>11147</v>
      </c>
      <c r="K21" s="1" t="s">
        <v>11166</v>
      </c>
      <c r="L21" s="4"/>
      <c r="M21" s="1">
        <v>2019</v>
      </c>
      <c r="N21" s="4"/>
      <c r="O21" s="4"/>
      <c r="P21" s="3" t="s">
        <v>11181</v>
      </c>
      <c r="Q21" s="1" t="s">
        <v>4995</v>
      </c>
      <c r="R21" s="1" t="s">
        <v>11182</v>
      </c>
      <c r="S21" s="1" t="s">
        <v>11183</v>
      </c>
      <c r="T21" s="4"/>
      <c r="U21" s="4"/>
      <c r="V21" s="1" t="s">
        <v>11170</v>
      </c>
    </row>
    <row r="22" spans="1:22" ht="15.75" customHeight="1" x14ac:dyDescent="0.25">
      <c r="A22" s="1" t="s">
        <v>141</v>
      </c>
      <c r="B22" s="1" t="s">
        <v>4885</v>
      </c>
      <c r="C22" s="1" t="s">
        <v>11184</v>
      </c>
      <c r="D22" s="4"/>
      <c r="E22" s="1">
        <v>2019</v>
      </c>
      <c r="F22" s="4"/>
      <c r="G22" s="4"/>
      <c r="H22" s="1" t="s">
        <v>11185</v>
      </c>
      <c r="I22" s="1" t="s">
        <v>145</v>
      </c>
      <c r="J22" s="1" t="s">
        <v>11044</v>
      </c>
      <c r="K22" s="1" t="s">
        <v>11186</v>
      </c>
      <c r="L22" s="1" t="s">
        <v>11187</v>
      </c>
      <c r="M22" s="1">
        <v>2019</v>
      </c>
      <c r="N22" s="1">
        <v>9781450368551</v>
      </c>
      <c r="O22" s="4"/>
      <c r="P22" s="3" t="s">
        <v>11188</v>
      </c>
      <c r="Q22" s="1" t="s">
        <v>4889</v>
      </c>
      <c r="R22" s="1" t="s">
        <v>11189</v>
      </c>
      <c r="S22" s="1" t="s">
        <v>11190</v>
      </c>
      <c r="T22" s="4"/>
      <c r="U22" s="4"/>
      <c r="V22" s="1" t="s">
        <v>11191</v>
      </c>
    </row>
    <row r="23" spans="1:22" ht="15.75" customHeight="1" x14ac:dyDescent="0.25">
      <c r="A23" s="1" t="s">
        <v>141</v>
      </c>
      <c r="B23" s="1" t="s">
        <v>6219</v>
      </c>
      <c r="C23" s="1" t="s">
        <v>6220</v>
      </c>
      <c r="D23" s="4"/>
      <c r="E23" s="1">
        <v>2018</v>
      </c>
      <c r="F23" s="4"/>
      <c r="G23" s="4"/>
      <c r="H23" s="1" t="s">
        <v>11155</v>
      </c>
      <c r="I23" s="1" t="s">
        <v>145</v>
      </c>
      <c r="J23" s="1" t="s">
        <v>11044</v>
      </c>
      <c r="K23" s="1" t="s">
        <v>11104</v>
      </c>
      <c r="L23" s="1" t="s">
        <v>11105</v>
      </c>
      <c r="M23" s="1">
        <v>2018</v>
      </c>
      <c r="N23" s="1">
        <v>9781450357135</v>
      </c>
      <c r="O23" s="4"/>
      <c r="P23" s="3" t="s">
        <v>11192</v>
      </c>
      <c r="Q23" s="1" t="s">
        <v>11193</v>
      </c>
      <c r="R23" s="1" t="s">
        <v>6221</v>
      </c>
      <c r="S23" s="1" t="s">
        <v>11194</v>
      </c>
      <c r="T23" s="4"/>
      <c r="U23" s="4"/>
      <c r="V23" s="1" t="s">
        <v>11109</v>
      </c>
    </row>
    <row r="24" spans="1:22" ht="15.75" customHeight="1" x14ac:dyDescent="0.25">
      <c r="A24" s="1" t="s">
        <v>141</v>
      </c>
      <c r="B24" s="1" t="s">
        <v>6122</v>
      </c>
      <c r="C24" s="1" t="s">
        <v>6123</v>
      </c>
      <c r="D24" s="4"/>
      <c r="E24" s="1">
        <v>2018</v>
      </c>
      <c r="F24" s="4"/>
      <c r="G24" s="4"/>
      <c r="H24" s="1">
        <v>61</v>
      </c>
      <c r="I24" s="1" t="s">
        <v>145</v>
      </c>
      <c r="J24" s="1" t="s">
        <v>11044</v>
      </c>
      <c r="K24" s="1" t="s">
        <v>11104</v>
      </c>
      <c r="L24" s="1" t="s">
        <v>11105</v>
      </c>
      <c r="M24" s="1">
        <v>2018</v>
      </c>
      <c r="N24" s="1">
        <v>9781450357135</v>
      </c>
      <c r="O24" s="4"/>
      <c r="P24" s="3" t="s">
        <v>11195</v>
      </c>
      <c r="Q24" s="1" t="s">
        <v>11196</v>
      </c>
      <c r="R24" s="1" t="s">
        <v>11197</v>
      </c>
      <c r="S24" s="4"/>
      <c r="T24" s="4"/>
      <c r="U24" s="4"/>
      <c r="V24" s="1" t="s">
        <v>11109</v>
      </c>
    </row>
    <row r="25" spans="1:22" ht="15.75" customHeight="1" x14ac:dyDescent="0.25">
      <c r="A25" s="1" t="s">
        <v>141</v>
      </c>
      <c r="B25" s="1" t="s">
        <v>5662</v>
      </c>
      <c r="C25" s="1" t="s">
        <v>11198</v>
      </c>
      <c r="D25" s="4"/>
      <c r="E25" s="1">
        <v>2018</v>
      </c>
      <c r="F25" s="4"/>
      <c r="G25" s="4"/>
      <c r="H25" s="1" t="s">
        <v>11199</v>
      </c>
      <c r="I25" s="1" t="s">
        <v>145</v>
      </c>
      <c r="J25" s="1" t="s">
        <v>11044</v>
      </c>
      <c r="K25" s="1" t="s">
        <v>11104</v>
      </c>
      <c r="L25" s="1" t="s">
        <v>11105</v>
      </c>
      <c r="M25" s="1">
        <v>2018</v>
      </c>
      <c r="N25" s="1">
        <v>9781450357135</v>
      </c>
      <c r="O25" s="4"/>
      <c r="P25" s="3" t="s">
        <v>11200</v>
      </c>
      <c r="Q25" s="1" t="s">
        <v>11201</v>
      </c>
      <c r="R25" s="1" t="s">
        <v>11202</v>
      </c>
      <c r="S25" s="4"/>
      <c r="T25" s="4"/>
      <c r="U25" s="4"/>
      <c r="V25" s="1" t="s">
        <v>11109</v>
      </c>
    </row>
    <row r="26" spans="1:22" ht="15.75" customHeight="1" x14ac:dyDescent="0.25">
      <c r="A26" s="1" t="s">
        <v>141</v>
      </c>
      <c r="B26" s="1" t="s">
        <v>11203</v>
      </c>
      <c r="C26" s="1" t="s">
        <v>11204</v>
      </c>
      <c r="D26" s="4"/>
      <c r="E26" s="1">
        <v>2020</v>
      </c>
      <c r="F26" s="4"/>
      <c r="G26" s="4"/>
      <c r="H26" s="4"/>
      <c r="I26" s="1" t="s">
        <v>145</v>
      </c>
      <c r="J26" s="1" t="s">
        <v>11044</v>
      </c>
      <c r="K26" s="1" t="s">
        <v>11205</v>
      </c>
      <c r="L26" s="1" t="s">
        <v>11206</v>
      </c>
      <c r="M26" s="1">
        <v>2020</v>
      </c>
      <c r="N26" s="1">
        <v>9781450375801</v>
      </c>
      <c r="O26" s="4"/>
      <c r="P26" s="3" t="s">
        <v>11207</v>
      </c>
      <c r="Q26" s="1" t="s">
        <v>11208</v>
      </c>
      <c r="R26" s="1" t="s">
        <v>11209</v>
      </c>
      <c r="S26" s="1" t="s">
        <v>11210</v>
      </c>
      <c r="T26" s="4"/>
      <c r="U26" s="4"/>
      <c r="V26" s="1" t="s">
        <v>11211</v>
      </c>
    </row>
    <row r="27" spans="1:22" ht="15.75" customHeight="1" x14ac:dyDescent="0.25">
      <c r="A27" s="1" t="s">
        <v>13</v>
      </c>
      <c r="B27" s="1" t="s">
        <v>11212</v>
      </c>
      <c r="C27" s="1" t="s">
        <v>11213</v>
      </c>
      <c r="D27" s="1" t="s">
        <v>11214</v>
      </c>
      <c r="E27" s="1">
        <v>2023</v>
      </c>
      <c r="F27" s="1">
        <v>66</v>
      </c>
      <c r="G27" s="1">
        <v>2</v>
      </c>
      <c r="H27" s="1" t="s">
        <v>11215</v>
      </c>
      <c r="I27" s="1" t="s">
        <v>145</v>
      </c>
      <c r="J27" s="1" t="s">
        <v>11044</v>
      </c>
      <c r="K27" s="4"/>
      <c r="L27" s="4"/>
      <c r="M27" s="6">
        <v>44927</v>
      </c>
      <c r="N27" s="4"/>
      <c r="O27" s="1" t="s">
        <v>11216</v>
      </c>
      <c r="P27" s="3" t="s">
        <v>11217</v>
      </c>
      <c r="Q27" s="1" t="s">
        <v>11218</v>
      </c>
      <c r="R27" s="1" t="s">
        <v>11219</v>
      </c>
      <c r="S27" s="4"/>
      <c r="T27" s="4"/>
      <c r="U27" s="4"/>
      <c r="V27" s="4"/>
    </row>
    <row r="28" spans="1:22" ht="15.75" customHeight="1" x14ac:dyDescent="0.25">
      <c r="A28" s="1" t="s">
        <v>141</v>
      </c>
      <c r="B28" s="1" t="s">
        <v>11220</v>
      </c>
      <c r="C28" s="1" t="s">
        <v>11221</v>
      </c>
      <c r="D28" s="4"/>
      <c r="E28" s="1">
        <v>2019</v>
      </c>
      <c r="F28" s="4"/>
      <c r="G28" s="4"/>
      <c r="H28" s="1" t="s">
        <v>11222</v>
      </c>
      <c r="I28" s="1" t="s">
        <v>11083</v>
      </c>
      <c r="J28" s="1" t="s">
        <v>11147</v>
      </c>
      <c r="K28" s="1" t="s">
        <v>11166</v>
      </c>
      <c r="L28" s="4"/>
      <c r="M28" s="1">
        <v>2019</v>
      </c>
      <c r="N28" s="4"/>
      <c r="O28" s="4"/>
      <c r="P28" s="3" t="s">
        <v>11223</v>
      </c>
      <c r="Q28" s="1" t="s">
        <v>11224</v>
      </c>
      <c r="R28" s="1" t="s">
        <v>11225</v>
      </c>
      <c r="S28" s="1" t="s">
        <v>11226</v>
      </c>
      <c r="T28" s="4"/>
      <c r="U28" s="4"/>
      <c r="V28" s="1" t="s">
        <v>11170</v>
      </c>
    </row>
    <row r="29" spans="1:22" ht="15.75" customHeight="1" x14ac:dyDescent="0.25">
      <c r="A29" s="1" t="s">
        <v>13</v>
      </c>
      <c r="B29" s="1" t="s">
        <v>11227</v>
      </c>
      <c r="C29" s="1" t="s">
        <v>11228</v>
      </c>
      <c r="D29" s="1" t="s">
        <v>11229</v>
      </c>
      <c r="E29" s="1">
        <v>2022</v>
      </c>
      <c r="F29" s="1">
        <v>21</v>
      </c>
      <c r="G29" s="1">
        <v>4</v>
      </c>
      <c r="H29" s="1" t="s">
        <v>11230</v>
      </c>
      <c r="I29" s="1" t="s">
        <v>145</v>
      </c>
      <c r="J29" s="1" t="s">
        <v>11044</v>
      </c>
      <c r="K29" s="4"/>
      <c r="L29" s="4"/>
      <c r="M29" s="6">
        <v>44562</v>
      </c>
      <c r="N29" s="4"/>
      <c r="O29" s="1" t="s">
        <v>11231</v>
      </c>
      <c r="P29" s="3" t="s">
        <v>11232</v>
      </c>
      <c r="Q29" s="1" t="s">
        <v>11233</v>
      </c>
      <c r="R29" s="1" t="s">
        <v>11234</v>
      </c>
      <c r="S29" s="1" t="s">
        <v>11235</v>
      </c>
      <c r="T29" s="4"/>
      <c r="U29" s="4"/>
      <c r="V29" s="4"/>
    </row>
    <row r="30" spans="1:22" ht="15.75" customHeight="1" x14ac:dyDescent="0.25">
      <c r="A30" s="1" t="s">
        <v>141</v>
      </c>
      <c r="B30" s="1" t="s">
        <v>193</v>
      </c>
      <c r="C30" s="1" t="s">
        <v>194</v>
      </c>
      <c r="D30" s="4"/>
      <c r="E30" s="1">
        <v>2022</v>
      </c>
      <c r="F30" s="4"/>
      <c r="G30" s="4"/>
      <c r="H30" s="1" t="s">
        <v>11236</v>
      </c>
      <c r="I30" s="1" t="s">
        <v>145</v>
      </c>
      <c r="J30" s="1" t="s">
        <v>11044</v>
      </c>
      <c r="K30" s="1" t="s">
        <v>11141</v>
      </c>
      <c r="L30" s="1" t="s">
        <v>11142</v>
      </c>
      <c r="M30" s="1">
        <v>2022</v>
      </c>
      <c r="N30" s="1">
        <v>9781450394277</v>
      </c>
      <c r="O30" s="4"/>
      <c r="P30" s="3" t="s">
        <v>11237</v>
      </c>
      <c r="Q30" s="1" t="s">
        <v>199</v>
      </c>
      <c r="R30" s="1" t="s">
        <v>11238</v>
      </c>
      <c r="S30" s="1" t="s">
        <v>11239</v>
      </c>
      <c r="T30" s="4"/>
      <c r="U30" s="4"/>
      <c r="V30" s="1" t="s">
        <v>11145</v>
      </c>
    </row>
    <row r="31" spans="1:22" ht="15.75" customHeight="1" x14ac:dyDescent="0.25">
      <c r="A31" s="1" t="s">
        <v>141</v>
      </c>
      <c r="B31" s="1" t="s">
        <v>11240</v>
      </c>
      <c r="C31" s="1" t="s">
        <v>11241</v>
      </c>
      <c r="D31" s="4"/>
      <c r="E31" s="1">
        <v>2020</v>
      </c>
      <c r="F31" s="4"/>
      <c r="G31" s="4"/>
      <c r="H31" s="4"/>
      <c r="I31" s="1" t="s">
        <v>145</v>
      </c>
      <c r="J31" s="1" t="s">
        <v>11044</v>
      </c>
      <c r="K31" s="1" t="s">
        <v>11205</v>
      </c>
      <c r="L31" s="1" t="s">
        <v>11206</v>
      </c>
      <c r="M31" s="1">
        <v>2020</v>
      </c>
      <c r="N31" s="1">
        <v>9781450375801</v>
      </c>
      <c r="O31" s="4"/>
      <c r="P31" s="3" t="s">
        <v>11242</v>
      </c>
      <c r="Q31" s="1" t="s">
        <v>3321</v>
      </c>
      <c r="R31" s="1" t="s">
        <v>11243</v>
      </c>
      <c r="S31" s="1" t="s">
        <v>11244</v>
      </c>
      <c r="T31" s="4"/>
      <c r="U31" s="4"/>
      <c r="V31" s="1" t="s">
        <v>11211</v>
      </c>
    </row>
    <row r="32" spans="1:22" ht="15.75" customHeight="1" x14ac:dyDescent="0.25">
      <c r="A32" s="1" t="s">
        <v>13</v>
      </c>
      <c r="B32" s="1" t="s">
        <v>4306</v>
      </c>
      <c r="C32" s="1" t="s">
        <v>11245</v>
      </c>
      <c r="D32" s="1" t="s">
        <v>11246</v>
      </c>
      <c r="E32" s="1">
        <v>2019</v>
      </c>
      <c r="F32" s="1">
        <v>28</v>
      </c>
      <c r="G32" s="1">
        <v>3</v>
      </c>
      <c r="H32" s="4"/>
      <c r="I32" s="1" t="s">
        <v>145</v>
      </c>
      <c r="J32" s="1" t="s">
        <v>11044</v>
      </c>
      <c r="K32" s="4"/>
      <c r="L32" s="4"/>
      <c r="M32" s="6">
        <v>43647</v>
      </c>
      <c r="N32" s="4"/>
      <c r="O32" s="1" t="s">
        <v>329</v>
      </c>
      <c r="P32" s="3" t="s">
        <v>11247</v>
      </c>
      <c r="Q32" s="1" t="s">
        <v>4309</v>
      </c>
      <c r="R32" s="1" t="s">
        <v>11248</v>
      </c>
      <c r="S32" s="1" t="s">
        <v>11249</v>
      </c>
      <c r="T32" s="4"/>
      <c r="U32" s="4"/>
      <c r="V32" s="4"/>
    </row>
    <row r="33" spans="1:22" ht="15.75" customHeight="1" x14ac:dyDescent="0.25">
      <c r="A33" s="1" t="s">
        <v>141</v>
      </c>
      <c r="B33" s="1" t="s">
        <v>5651</v>
      </c>
      <c r="C33" s="1" t="s">
        <v>5652</v>
      </c>
      <c r="D33" s="4"/>
      <c r="E33" s="1">
        <v>2017</v>
      </c>
      <c r="F33" s="4"/>
      <c r="G33" s="4"/>
      <c r="H33" s="1" t="s">
        <v>11250</v>
      </c>
      <c r="I33" s="1" t="s">
        <v>145</v>
      </c>
      <c r="J33" s="1" t="s">
        <v>11044</v>
      </c>
      <c r="K33" s="1" t="s">
        <v>11251</v>
      </c>
      <c r="L33" s="1" t="s">
        <v>11252</v>
      </c>
      <c r="M33" s="1">
        <v>2017</v>
      </c>
      <c r="N33" s="1">
        <v>9781450353267</v>
      </c>
      <c r="O33" s="4"/>
      <c r="P33" s="3" t="s">
        <v>11253</v>
      </c>
      <c r="Q33" s="1" t="s">
        <v>5654</v>
      </c>
      <c r="R33" s="1" t="s">
        <v>11254</v>
      </c>
      <c r="S33" s="1" t="s">
        <v>11255</v>
      </c>
      <c r="T33" s="4"/>
      <c r="U33" s="4"/>
      <c r="V33" s="1" t="s">
        <v>11256</v>
      </c>
    </row>
    <row r="34" spans="1:22" ht="15.75" customHeight="1" x14ac:dyDescent="0.25">
      <c r="A34" s="1" t="s">
        <v>141</v>
      </c>
      <c r="B34" s="1" t="s">
        <v>11257</v>
      </c>
      <c r="C34" s="1" t="s">
        <v>11258</v>
      </c>
      <c r="D34" s="4"/>
      <c r="E34" s="1">
        <v>2020</v>
      </c>
      <c r="F34" s="4"/>
      <c r="G34" s="4"/>
      <c r="H34" s="1" t="s">
        <v>11259</v>
      </c>
      <c r="I34" s="1" t="s">
        <v>145</v>
      </c>
      <c r="J34" s="1" t="s">
        <v>11044</v>
      </c>
      <c r="K34" s="1" t="s">
        <v>11156</v>
      </c>
      <c r="L34" s="1" t="s">
        <v>11157</v>
      </c>
      <c r="M34" s="1">
        <v>2020</v>
      </c>
      <c r="N34" s="1">
        <v>9781450379601</v>
      </c>
      <c r="O34" s="4"/>
      <c r="P34" s="3" t="s">
        <v>11260</v>
      </c>
      <c r="Q34" s="1" t="s">
        <v>11261</v>
      </c>
      <c r="R34" s="1" t="s">
        <v>11262</v>
      </c>
      <c r="S34" s="4"/>
      <c r="T34" s="4"/>
      <c r="U34" s="4"/>
      <c r="V34" s="1" t="s">
        <v>11162</v>
      </c>
    </row>
    <row r="35" spans="1:22" ht="15.75" customHeight="1" x14ac:dyDescent="0.25">
      <c r="A35" s="1" t="s">
        <v>141</v>
      </c>
      <c r="B35" s="1" t="s">
        <v>6719</v>
      </c>
      <c r="C35" s="1" t="s">
        <v>11263</v>
      </c>
      <c r="D35" s="4"/>
      <c r="E35" s="1">
        <v>2022</v>
      </c>
      <c r="F35" s="4"/>
      <c r="G35" s="4"/>
      <c r="H35" s="1" t="s">
        <v>11264</v>
      </c>
      <c r="I35" s="1" t="s">
        <v>145</v>
      </c>
      <c r="J35" s="1" t="s">
        <v>11044</v>
      </c>
      <c r="K35" s="1" t="s">
        <v>11265</v>
      </c>
      <c r="L35" s="1" t="s">
        <v>11266</v>
      </c>
      <c r="M35" s="1">
        <v>2022</v>
      </c>
      <c r="N35" s="1">
        <v>9781450392983</v>
      </c>
      <c r="O35" s="4"/>
      <c r="P35" s="3" t="s">
        <v>11267</v>
      </c>
      <c r="Q35" s="1" t="s">
        <v>6724</v>
      </c>
      <c r="R35" s="1" t="s">
        <v>11268</v>
      </c>
      <c r="S35" s="1" t="s">
        <v>11269</v>
      </c>
      <c r="T35" s="4"/>
      <c r="U35" s="4"/>
      <c r="V35" s="1" t="s">
        <v>11270</v>
      </c>
    </row>
    <row r="36" spans="1:22" ht="15.75" customHeight="1" x14ac:dyDescent="0.25">
      <c r="A36" s="1" t="s">
        <v>141</v>
      </c>
      <c r="B36" s="1" t="s">
        <v>2307</v>
      </c>
      <c r="C36" s="1" t="s">
        <v>2308</v>
      </c>
      <c r="D36" s="4"/>
      <c r="E36" s="1">
        <v>2022</v>
      </c>
      <c r="F36" s="4"/>
      <c r="G36" s="4"/>
      <c r="H36" s="1" t="s">
        <v>11271</v>
      </c>
      <c r="I36" s="1" t="s">
        <v>145</v>
      </c>
      <c r="J36" s="1" t="s">
        <v>11044</v>
      </c>
      <c r="K36" s="1" t="s">
        <v>11076</v>
      </c>
      <c r="L36" s="1" t="s">
        <v>11077</v>
      </c>
      <c r="M36" s="1">
        <v>2022</v>
      </c>
      <c r="N36" s="1">
        <v>9781450393041</v>
      </c>
      <c r="O36" s="4"/>
      <c r="P36" s="3" t="s">
        <v>11272</v>
      </c>
      <c r="Q36" s="1" t="s">
        <v>2311</v>
      </c>
      <c r="R36" s="1" t="s">
        <v>11273</v>
      </c>
      <c r="S36" s="1" t="s">
        <v>11274</v>
      </c>
      <c r="T36" s="4"/>
      <c r="U36" s="4"/>
      <c r="V36" s="1" t="s">
        <v>11081</v>
      </c>
    </row>
    <row r="37" spans="1:22" ht="15.75" customHeight="1" x14ac:dyDescent="0.25">
      <c r="A37" s="1" t="s">
        <v>141</v>
      </c>
      <c r="B37" s="1" t="s">
        <v>2031</v>
      </c>
      <c r="C37" s="1" t="s">
        <v>2032</v>
      </c>
      <c r="D37" s="4"/>
      <c r="E37" s="1">
        <v>2022</v>
      </c>
      <c r="F37" s="4"/>
      <c r="G37" s="4"/>
      <c r="H37" s="1" t="s">
        <v>11275</v>
      </c>
      <c r="I37" s="1" t="s">
        <v>145</v>
      </c>
      <c r="J37" s="1" t="s">
        <v>11044</v>
      </c>
      <c r="K37" s="1" t="s">
        <v>11076</v>
      </c>
      <c r="L37" s="1" t="s">
        <v>11077</v>
      </c>
      <c r="M37" s="1">
        <v>2022</v>
      </c>
      <c r="N37" s="1">
        <v>9781450393041</v>
      </c>
      <c r="O37" s="4"/>
      <c r="P37" s="3" t="s">
        <v>11276</v>
      </c>
      <c r="Q37" s="1" t="s">
        <v>2035</v>
      </c>
      <c r="R37" s="1" t="s">
        <v>11277</v>
      </c>
      <c r="S37" s="1" t="s">
        <v>11278</v>
      </c>
      <c r="T37" s="4"/>
      <c r="U37" s="4"/>
      <c r="V37" s="1" t="s">
        <v>11081</v>
      </c>
    </row>
    <row r="38" spans="1:22" ht="15.75" customHeight="1" x14ac:dyDescent="0.25">
      <c r="A38" s="1" t="s">
        <v>141</v>
      </c>
      <c r="B38" s="1" t="s">
        <v>5806</v>
      </c>
      <c r="C38" s="1" t="s">
        <v>11279</v>
      </c>
      <c r="D38" s="4"/>
      <c r="E38" s="1">
        <v>2018</v>
      </c>
      <c r="F38" s="4"/>
      <c r="G38" s="4"/>
      <c r="H38" s="1" t="s">
        <v>11280</v>
      </c>
      <c r="I38" s="1" t="s">
        <v>145</v>
      </c>
      <c r="J38" s="1" t="s">
        <v>11044</v>
      </c>
      <c r="K38" s="1" t="s">
        <v>11281</v>
      </c>
      <c r="L38" s="1" t="s">
        <v>11105</v>
      </c>
      <c r="M38" s="1">
        <v>2018</v>
      </c>
      <c r="N38" s="1">
        <v>9781450357166</v>
      </c>
      <c r="O38" s="4"/>
      <c r="P38" s="3" t="s">
        <v>11282</v>
      </c>
      <c r="Q38" s="1" t="s">
        <v>5810</v>
      </c>
      <c r="R38" s="1" t="s">
        <v>6603</v>
      </c>
      <c r="S38" s="4"/>
      <c r="T38" s="4"/>
      <c r="U38" s="4"/>
      <c r="V38" s="1" t="s">
        <v>11283</v>
      </c>
    </row>
    <row r="39" spans="1:22" ht="15.75" customHeight="1" x14ac:dyDescent="0.25">
      <c r="A39" s="1" t="s">
        <v>141</v>
      </c>
      <c r="B39" s="1" t="s">
        <v>11284</v>
      </c>
      <c r="C39" s="1" t="s">
        <v>11285</v>
      </c>
      <c r="D39" s="4"/>
      <c r="E39" s="1">
        <v>2012</v>
      </c>
      <c r="F39" s="4"/>
      <c r="G39" s="4"/>
      <c r="H39" s="1" t="s">
        <v>11286</v>
      </c>
      <c r="I39" s="1" t="s">
        <v>11083</v>
      </c>
      <c r="J39" s="1" t="s">
        <v>11122</v>
      </c>
      <c r="K39" s="1" t="s">
        <v>11123</v>
      </c>
      <c r="L39" s="4"/>
      <c r="M39" s="1">
        <v>2012</v>
      </c>
      <c r="N39" s="1">
        <v>9781467317498</v>
      </c>
      <c r="O39" s="4"/>
      <c r="P39" s="4"/>
      <c r="Q39" s="4"/>
      <c r="R39" s="1" t="s">
        <v>11287</v>
      </c>
      <c r="S39" s="1" t="s">
        <v>11288</v>
      </c>
      <c r="T39" s="4"/>
      <c r="U39" s="4"/>
      <c r="V39" s="1" t="s">
        <v>11126</v>
      </c>
    </row>
    <row r="40" spans="1:22" ht="15.75" customHeight="1" x14ac:dyDescent="0.25">
      <c r="A40" s="1" t="s">
        <v>141</v>
      </c>
      <c r="B40" s="1" t="s">
        <v>6128</v>
      </c>
      <c r="C40" s="1" t="s">
        <v>6129</v>
      </c>
      <c r="D40" s="4"/>
      <c r="E40" s="1">
        <v>2019</v>
      </c>
      <c r="F40" s="4"/>
      <c r="G40" s="4"/>
      <c r="H40" s="1" t="s">
        <v>11199</v>
      </c>
      <c r="I40" s="1" t="s">
        <v>11083</v>
      </c>
      <c r="J40" s="1" t="s">
        <v>11147</v>
      </c>
      <c r="K40" s="1" t="s">
        <v>11166</v>
      </c>
      <c r="L40" s="4"/>
      <c r="M40" s="1">
        <v>2019</v>
      </c>
      <c r="N40" s="4"/>
      <c r="O40" s="4"/>
      <c r="P40" s="3" t="s">
        <v>11289</v>
      </c>
      <c r="Q40" s="1" t="s">
        <v>6133</v>
      </c>
      <c r="R40" s="1" t="s">
        <v>11290</v>
      </c>
      <c r="S40" s="1" t="s">
        <v>11291</v>
      </c>
      <c r="T40" s="4"/>
      <c r="U40" s="4"/>
      <c r="V40" s="1" t="s">
        <v>11170</v>
      </c>
    </row>
    <row r="41" spans="1:22" ht="15.75" customHeight="1" x14ac:dyDescent="0.25">
      <c r="A41" s="1" t="s">
        <v>141</v>
      </c>
      <c r="B41" s="1" t="s">
        <v>5917</v>
      </c>
      <c r="C41" s="1" t="s">
        <v>6149</v>
      </c>
      <c r="D41" s="4"/>
      <c r="E41" s="1">
        <v>2018</v>
      </c>
      <c r="F41" s="4"/>
      <c r="G41" s="4"/>
      <c r="H41" s="1" t="s">
        <v>11099</v>
      </c>
      <c r="I41" s="1" t="s">
        <v>145</v>
      </c>
      <c r="J41" s="1" t="s">
        <v>11044</v>
      </c>
      <c r="K41" s="1" t="s">
        <v>11281</v>
      </c>
      <c r="L41" s="1" t="s">
        <v>11105</v>
      </c>
      <c r="M41" s="1">
        <v>2018</v>
      </c>
      <c r="N41" s="1">
        <v>9781450357166</v>
      </c>
      <c r="O41" s="4"/>
      <c r="P41" s="3" t="s">
        <v>11292</v>
      </c>
      <c r="Q41" s="1" t="s">
        <v>5921</v>
      </c>
      <c r="R41" s="1" t="s">
        <v>11293</v>
      </c>
      <c r="S41" s="1" t="s">
        <v>11294</v>
      </c>
      <c r="T41" s="4"/>
      <c r="U41" s="4"/>
      <c r="V41" s="1" t="s">
        <v>11283</v>
      </c>
    </row>
    <row r="42" spans="1:22" ht="15.75" customHeight="1" x14ac:dyDescent="0.25">
      <c r="A42" s="1" t="s">
        <v>141</v>
      </c>
      <c r="B42" s="1" t="s">
        <v>3596</v>
      </c>
      <c r="C42" s="1" t="s">
        <v>11295</v>
      </c>
      <c r="D42" s="4"/>
      <c r="E42" s="1">
        <v>2021</v>
      </c>
      <c r="F42" s="4"/>
      <c r="G42" s="4"/>
      <c r="H42" s="1" t="s">
        <v>11296</v>
      </c>
      <c r="I42" s="1" t="s">
        <v>145</v>
      </c>
      <c r="J42" s="1" t="s">
        <v>11044</v>
      </c>
      <c r="K42" s="1" t="s">
        <v>11297</v>
      </c>
      <c r="L42" s="1" t="s">
        <v>11298</v>
      </c>
      <c r="M42" s="1">
        <v>2021</v>
      </c>
      <c r="N42" s="1">
        <v>9781450383097</v>
      </c>
      <c r="O42" s="4"/>
      <c r="P42" s="3" t="s">
        <v>11299</v>
      </c>
      <c r="Q42" s="1" t="s">
        <v>3600</v>
      </c>
      <c r="R42" s="1" t="s">
        <v>11300</v>
      </c>
      <c r="S42" s="1" t="s">
        <v>11301</v>
      </c>
      <c r="T42" s="4"/>
      <c r="U42" s="4"/>
      <c r="V42" s="1" t="s">
        <v>11302</v>
      </c>
    </row>
    <row r="43" spans="1:22" ht="15.75" customHeight="1" x14ac:dyDescent="0.25">
      <c r="A43" s="1" t="s">
        <v>13</v>
      </c>
      <c r="B43" s="1" t="s">
        <v>448</v>
      </c>
      <c r="C43" s="1" t="s">
        <v>449</v>
      </c>
      <c r="D43" s="1" t="s">
        <v>11246</v>
      </c>
      <c r="E43" s="1">
        <v>2022</v>
      </c>
      <c r="F43" s="1">
        <v>31</v>
      </c>
      <c r="G43" s="1">
        <v>3</v>
      </c>
      <c r="H43" s="4"/>
      <c r="I43" s="1" t="s">
        <v>145</v>
      </c>
      <c r="J43" s="1" t="s">
        <v>11044</v>
      </c>
      <c r="K43" s="4"/>
      <c r="L43" s="4"/>
      <c r="M43" s="6">
        <v>44652</v>
      </c>
      <c r="N43" s="4"/>
      <c r="O43" s="1" t="s">
        <v>329</v>
      </c>
      <c r="P43" s="3" t="s">
        <v>11303</v>
      </c>
      <c r="Q43" s="1" t="s">
        <v>451</v>
      </c>
      <c r="R43" s="1" t="s">
        <v>11304</v>
      </c>
      <c r="S43" s="1" t="s">
        <v>11305</v>
      </c>
      <c r="T43" s="4"/>
      <c r="U43" s="4"/>
      <c r="V43" s="4"/>
    </row>
    <row r="44" spans="1:22" x14ac:dyDescent="0.25">
      <c r="A44" s="1" t="s">
        <v>141</v>
      </c>
      <c r="B44" s="1" t="s">
        <v>11306</v>
      </c>
      <c r="C44" s="1" t="s">
        <v>11307</v>
      </c>
      <c r="D44" s="4"/>
      <c r="E44" s="1">
        <v>2022</v>
      </c>
      <c r="F44" s="4"/>
      <c r="G44" s="4"/>
      <c r="H44" s="1" t="s">
        <v>11308</v>
      </c>
      <c r="I44" s="1" t="s">
        <v>145</v>
      </c>
      <c r="J44" s="1" t="s">
        <v>11044</v>
      </c>
      <c r="K44" s="1" t="s">
        <v>11113</v>
      </c>
      <c r="L44" s="1" t="s">
        <v>11114</v>
      </c>
      <c r="M44" s="1">
        <v>2022</v>
      </c>
      <c r="N44" s="1">
        <v>9781450394130</v>
      </c>
      <c r="O44" s="4"/>
      <c r="P44" s="3" t="s">
        <v>11309</v>
      </c>
      <c r="Q44" s="1" t="s">
        <v>11310</v>
      </c>
      <c r="R44" s="1" t="s">
        <v>11311</v>
      </c>
      <c r="S44" s="1" t="s">
        <v>11312</v>
      </c>
      <c r="T44" s="4"/>
      <c r="U44" s="4"/>
      <c r="V44" s="1" t="s">
        <v>11118</v>
      </c>
    </row>
    <row r="45" spans="1:22" x14ac:dyDescent="0.25">
      <c r="A45" s="1" t="s">
        <v>141</v>
      </c>
      <c r="B45" s="1" t="s">
        <v>2068</v>
      </c>
      <c r="C45" s="1" t="s">
        <v>11313</v>
      </c>
      <c r="D45" s="4"/>
      <c r="E45" s="1">
        <v>2022</v>
      </c>
      <c r="F45" s="4"/>
      <c r="G45" s="4"/>
      <c r="H45" s="1" t="s">
        <v>11314</v>
      </c>
      <c r="I45" s="1" t="s">
        <v>145</v>
      </c>
      <c r="J45" s="1" t="s">
        <v>11044</v>
      </c>
      <c r="K45" s="1" t="s">
        <v>11076</v>
      </c>
      <c r="L45" s="1" t="s">
        <v>11077</v>
      </c>
      <c r="M45" s="1">
        <v>2022</v>
      </c>
      <c r="N45" s="1">
        <v>9781450393041</v>
      </c>
      <c r="O45" s="4"/>
      <c r="P45" s="3" t="s">
        <v>11315</v>
      </c>
      <c r="Q45" s="1" t="s">
        <v>2072</v>
      </c>
      <c r="R45" s="1" t="s">
        <v>11316</v>
      </c>
      <c r="S45" s="1" t="s">
        <v>11317</v>
      </c>
      <c r="T45" s="4"/>
      <c r="U45" s="4"/>
      <c r="V45" s="1" t="s">
        <v>11081</v>
      </c>
    </row>
    <row r="46" spans="1:22" x14ac:dyDescent="0.25">
      <c r="A46" s="1" t="s">
        <v>141</v>
      </c>
      <c r="B46" s="1" t="s">
        <v>6267</v>
      </c>
      <c r="C46" s="1" t="s">
        <v>2654</v>
      </c>
      <c r="D46" s="4"/>
      <c r="E46" s="1">
        <v>2022</v>
      </c>
      <c r="F46" s="4"/>
      <c r="G46" s="4"/>
      <c r="H46" s="1" t="s">
        <v>11318</v>
      </c>
      <c r="I46" s="1" t="s">
        <v>145</v>
      </c>
      <c r="J46" s="1" t="s">
        <v>11044</v>
      </c>
      <c r="K46" s="1" t="s">
        <v>11319</v>
      </c>
      <c r="L46" s="1" t="s">
        <v>11077</v>
      </c>
      <c r="M46" s="1">
        <v>2022</v>
      </c>
      <c r="N46" s="1">
        <v>9781450392754</v>
      </c>
      <c r="O46" s="4"/>
      <c r="P46" s="3" t="s">
        <v>11320</v>
      </c>
      <c r="Q46" s="1" t="s">
        <v>2657</v>
      </c>
      <c r="R46" s="1" t="s">
        <v>11321</v>
      </c>
      <c r="S46" s="1" t="s">
        <v>11322</v>
      </c>
      <c r="T46" s="4"/>
      <c r="U46" s="4"/>
      <c r="V46" s="1" t="s">
        <v>11323</v>
      </c>
    </row>
    <row r="47" spans="1:22" x14ac:dyDescent="0.25">
      <c r="A47" s="1" t="s">
        <v>141</v>
      </c>
      <c r="B47" s="1" t="s">
        <v>6466</v>
      </c>
      <c r="C47" s="1" t="s">
        <v>11324</v>
      </c>
      <c r="D47" s="4"/>
      <c r="E47" s="1">
        <v>2022</v>
      </c>
      <c r="F47" s="4"/>
      <c r="G47" s="4"/>
      <c r="H47" s="1" t="s">
        <v>11325</v>
      </c>
      <c r="I47" s="1" t="s">
        <v>145</v>
      </c>
      <c r="J47" s="1" t="s">
        <v>11044</v>
      </c>
      <c r="K47" s="1" t="s">
        <v>11326</v>
      </c>
      <c r="L47" s="1" t="s">
        <v>11077</v>
      </c>
      <c r="M47" s="1">
        <v>2022</v>
      </c>
      <c r="N47" s="1">
        <v>9781450393034</v>
      </c>
      <c r="O47" s="4"/>
      <c r="P47" s="3" t="s">
        <v>11327</v>
      </c>
      <c r="Q47" s="1" t="s">
        <v>6471</v>
      </c>
      <c r="R47" s="1" t="s">
        <v>6472</v>
      </c>
      <c r="S47" s="1" t="s">
        <v>11328</v>
      </c>
      <c r="T47" s="4"/>
      <c r="U47" s="4"/>
      <c r="V47" s="1" t="s">
        <v>11329</v>
      </c>
    </row>
    <row r="48" spans="1:22" x14ac:dyDescent="0.25">
      <c r="A48" s="1" t="s">
        <v>13</v>
      </c>
      <c r="B48" s="1" t="s">
        <v>11330</v>
      </c>
      <c r="C48" s="1" t="s">
        <v>11331</v>
      </c>
      <c r="D48" s="1" t="s">
        <v>11332</v>
      </c>
      <c r="E48" s="1">
        <v>2022</v>
      </c>
      <c r="F48" s="1">
        <v>54</v>
      </c>
      <c r="G48" s="1" t="s">
        <v>11333</v>
      </c>
      <c r="H48" s="4"/>
      <c r="I48" s="1" t="s">
        <v>145</v>
      </c>
      <c r="J48" s="1" t="s">
        <v>11044</v>
      </c>
      <c r="K48" s="4"/>
      <c r="L48" s="4"/>
      <c r="M48" s="6">
        <v>44805</v>
      </c>
      <c r="N48" s="4"/>
      <c r="O48" s="1" t="s">
        <v>5367</v>
      </c>
      <c r="P48" s="3" t="s">
        <v>11334</v>
      </c>
      <c r="Q48" s="1" t="s">
        <v>11335</v>
      </c>
      <c r="R48" s="1" t="s">
        <v>11336</v>
      </c>
      <c r="S48" s="1" t="s">
        <v>11337</v>
      </c>
      <c r="T48" s="4"/>
      <c r="U48" s="4"/>
      <c r="V48" s="4"/>
    </row>
    <row r="49" spans="1:22" x14ac:dyDescent="0.25">
      <c r="A49" s="1" t="s">
        <v>141</v>
      </c>
      <c r="B49" s="1" t="s">
        <v>11338</v>
      </c>
      <c r="C49" s="1" t="s">
        <v>11339</v>
      </c>
      <c r="D49" s="4"/>
      <c r="E49" s="1">
        <v>2018</v>
      </c>
      <c r="F49" s="4"/>
      <c r="G49" s="4"/>
      <c r="H49" s="1" t="s">
        <v>11103</v>
      </c>
      <c r="I49" s="1" t="s">
        <v>145</v>
      </c>
      <c r="J49" s="1" t="s">
        <v>11044</v>
      </c>
      <c r="K49" s="1" t="s">
        <v>11340</v>
      </c>
      <c r="L49" s="1" t="s">
        <v>11341</v>
      </c>
      <c r="M49" s="1">
        <v>2018</v>
      </c>
      <c r="N49" s="1">
        <v>9781450365659</v>
      </c>
      <c r="O49" s="4"/>
      <c r="P49" s="3" t="s">
        <v>11342</v>
      </c>
      <c r="Q49" s="1" t="s">
        <v>5153</v>
      </c>
      <c r="R49" s="1" t="s">
        <v>11343</v>
      </c>
      <c r="S49" s="1" t="s">
        <v>11344</v>
      </c>
      <c r="T49" s="4"/>
      <c r="U49" s="4"/>
      <c r="V49" s="1" t="s">
        <v>11345</v>
      </c>
    </row>
    <row r="50" spans="1:22" x14ac:dyDescent="0.25">
      <c r="A50" s="1" t="s">
        <v>141</v>
      </c>
      <c r="B50" s="1" t="s">
        <v>3984</v>
      </c>
      <c r="C50" s="1" t="s">
        <v>11346</v>
      </c>
      <c r="D50" s="4"/>
      <c r="E50" s="1">
        <v>2020</v>
      </c>
      <c r="F50" s="4"/>
      <c r="G50" s="4"/>
      <c r="H50" s="1" t="s">
        <v>11347</v>
      </c>
      <c r="I50" s="1" t="s">
        <v>145</v>
      </c>
      <c r="J50" s="1" t="s">
        <v>11044</v>
      </c>
      <c r="K50" s="1" t="s">
        <v>11156</v>
      </c>
      <c r="L50" s="1" t="s">
        <v>11157</v>
      </c>
      <c r="M50" s="1">
        <v>2020</v>
      </c>
      <c r="N50" s="1">
        <v>9781450379601</v>
      </c>
      <c r="O50" s="4"/>
      <c r="P50" s="3" t="s">
        <v>11348</v>
      </c>
      <c r="Q50" s="1" t="s">
        <v>3988</v>
      </c>
      <c r="R50" s="1" t="s">
        <v>11349</v>
      </c>
      <c r="S50" s="1" t="s">
        <v>11350</v>
      </c>
      <c r="T50" s="4"/>
      <c r="U50" s="4"/>
      <c r="V50" s="1" t="s">
        <v>11162</v>
      </c>
    </row>
    <row r="51" spans="1:22" x14ac:dyDescent="0.25">
      <c r="A51" s="1" t="s">
        <v>13</v>
      </c>
      <c r="B51" s="1" t="s">
        <v>1089</v>
      </c>
      <c r="C51" s="1" t="s">
        <v>1090</v>
      </c>
      <c r="D51" s="1" t="s">
        <v>11246</v>
      </c>
      <c r="E51" s="1">
        <v>2022</v>
      </c>
      <c r="F51" s="1">
        <v>31</v>
      </c>
      <c r="G51" s="1">
        <v>2</v>
      </c>
      <c r="H51" s="4"/>
      <c r="I51" s="1" t="s">
        <v>145</v>
      </c>
      <c r="J51" s="1" t="s">
        <v>11044</v>
      </c>
      <c r="K51" s="4"/>
      <c r="L51" s="4"/>
      <c r="M51" s="6">
        <v>44652</v>
      </c>
      <c r="N51" s="4"/>
      <c r="O51" s="1" t="s">
        <v>329</v>
      </c>
      <c r="P51" s="3" t="s">
        <v>11351</v>
      </c>
      <c r="Q51" s="1" t="s">
        <v>1092</v>
      </c>
      <c r="R51" s="1" t="s">
        <v>11352</v>
      </c>
      <c r="S51" s="1" t="s">
        <v>11353</v>
      </c>
      <c r="T51" s="4"/>
      <c r="U51" s="4"/>
      <c r="V51" s="4"/>
    </row>
    <row r="52" spans="1:22" x14ac:dyDescent="0.25">
      <c r="A52" s="1" t="s">
        <v>141</v>
      </c>
      <c r="B52" s="1" t="s">
        <v>5788</v>
      </c>
      <c r="C52" s="1" t="s">
        <v>6237</v>
      </c>
      <c r="D52" s="4"/>
      <c r="E52" s="1">
        <v>2018</v>
      </c>
      <c r="F52" s="4"/>
      <c r="G52" s="4"/>
      <c r="H52" s="1" t="s">
        <v>11354</v>
      </c>
      <c r="I52" s="1" t="s">
        <v>145</v>
      </c>
      <c r="J52" s="1" t="s">
        <v>11044</v>
      </c>
      <c r="K52" s="1" t="s">
        <v>11355</v>
      </c>
      <c r="L52" s="1" t="s">
        <v>11105</v>
      </c>
      <c r="M52" s="1">
        <v>2018</v>
      </c>
      <c r="N52" s="1">
        <v>9781450356633</v>
      </c>
      <c r="O52" s="4"/>
      <c r="P52" s="3" t="s">
        <v>11356</v>
      </c>
      <c r="Q52" s="1" t="s">
        <v>5792</v>
      </c>
      <c r="R52" s="1" t="s">
        <v>11357</v>
      </c>
      <c r="S52" s="1" t="s">
        <v>11358</v>
      </c>
      <c r="T52" s="4"/>
      <c r="U52" s="4"/>
      <c r="V52" s="1" t="s">
        <v>11359</v>
      </c>
    </row>
    <row r="53" spans="1:22" x14ac:dyDescent="0.25">
      <c r="A53" s="1" t="s">
        <v>141</v>
      </c>
      <c r="B53" s="1" t="s">
        <v>1025</v>
      </c>
      <c r="C53" s="1" t="s">
        <v>11360</v>
      </c>
      <c r="D53" s="4"/>
      <c r="E53" s="1">
        <v>2022</v>
      </c>
      <c r="F53" s="4"/>
      <c r="G53" s="4"/>
      <c r="H53" s="1" t="s">
        <v>11361</v>
      </c>
      <c r="I53" s="1" t="s">
        <v>145</v>
      </c>
      <c r="J53" s="1" t="s">
        <v>11044</v>
      </c>
      <c r="K53" s="1" t="s">
        <v>11362</v>
      </c>
      <c r="L53" s="1" t="s">
        <v>11114</v>
      </c>
      <c r="M53" s="1">
        <v>2022</v>
      </c>
      <c r="N53" s="1">
        <v>9781450394567</v>
      </c>
      <c r="O53" s="4"/>
      <c r="P53" s="3" t="s">
        <v>11363</v>
      </c>
      <c r="Q53" s="1" t="s">
        <v>1029</v>
      </c>
      <c r="R53" s="1" t="s">
        <v>11364</v>
      </c>
      <c r="S53" s="1" t="s">
        <v>11365</v>
      </c>
      <c r="T53" s="4"/>
      <c r="U53" s="4"/>
      <c r="V53" s="1" t="s">
        <v>11366</v>
      </c>
    </row>
    <row r="54" spans="1:22" x14ac:dyDescent="0.25">
      <c r="A54" s="1" t="s">
        <v>141</v>
      </c>
      <c r="B54" s="1" t="s">
        <v>11367</v>
      </c>
      <c r="C54" s="1" t="s">
        <v>11368</v>
      </c>
      <c r="D54" s="4"/>
      <c r="E54" s="1">
        <v>2019</v>
      </c>
      <c r="F54" s="4"/>
      <c r="G54" s="4"/>
      <c r="H54" s="1" t="s">
        <v>11369</v>
      </c>
      <c r="I54" s="1" t="s">
        <v>145</v>
      </c>
      <c r="J54" s="1" t="s">
        <v>11044</v>
      </c>
      <c r="K54" s="1" t="s">
        <v>11370</v>
      </c>
      <c r="L54" s="1" t="s">
        <v>11187</v>
      </c>
      <c r="M54" s="1">
        <v>2019</v>
      </c>
      <c r="N54" s="1">
        <v>9781450368520</v>
      </c>
      <c r="O54" s="4"/>
      <c r="P54" s="3" t="s">
        <v>11371</v>
      </c>
      <c r="Q54" s="1" t="s">
        <v>11372</v>
      </c>
      <c r="R54" s="1" t="s">
        <v>11373</v>
      </c>
      <c r="S54" s="1" t="s">
        <v>11374</v>
      </c>
      <c r="T54" s="4"/>
      <c r="U54" s="4"/>
      <c r="V54" s="1" t="s">
        <v>11375</v>
      </c>
    </row>
    <row r="55" spans="1:22" x14ac:dyDescent="0.25">
      <c r="A55" s="1" t="s">
        <v>141</v>
      </c>
      <c r="B55" s="1" t="s">
        <v>5625</v>
      </c>
      <c r="C55" s="1" t="s">
        <v>11376</v>
      </c>
      <c r="D55" s="4"/>
      <c r="E55" s="1">
        <v>2018</v>
      </c>
      <c r="F55" s="4"/>
      <c r="G55" s="4"/>
      <c r="H55" s="1" t="s">
        <v>11377</v>
      </c>
      <c r="I55" s="1" t="s">
        <v>145</v>
      </c>
      <c r="J55" s="1" t="s">
        <v>11044</v>
      </c>
      <c r="K55" s="1" t="s">
        <v>11378</v>
      </c>
      <c r="L55" s="1" t="s">
        <v>11379</v>
      </c>
      <c r="M55" s="1">
        <v>2018</v>
      </c>
      <c r="N55" s="1">
        <v>9781450350952</v>
      </c>
      <c r="O55" s="4"/>
      <c r="P55" s="3" t="s">
        <v>11380</v>
      </c>
      <c r="Q55" s="1" t="s">
        <v>5629</v>
      </c>
      <c r="R55" s="1" t="s">
        <v>11381</v>
      </c>
      <c r="S55" s="1" t="s">
        <v>11382</v>
      </c>
      <c r="T55" s="4"/>
      <c r="U55" s="4"/>
      <c r="V55" s="1" t="s">
        <v>11383</v>
      </c>
    </row>
    <row r="56" spans="1:22" x14ac:dyDescent="0.25">
      <c r="A56" s="1" t="s">
        <v>141</v>
      </c>
      <c r="B56" s="1" t="s">
        <v>3344</v>
      </c>
      <c r="C56" s="1" t="s">
        <v>3698</v>
      </c>
      <c r="D56" s="4"/>
      <c r="E56" s="1">
        <v>2020</v>
      </c>
      <c r="F56" s="4"/>
      <c r="G56" s="4"/>
      <c r="H56" s="1" t="s">
        <v>11155</v>
      </c>
      <c r="I56" s="1" t="s">
        <v>145</v>
      </c>
      <c r="J56" s="1" t="s">
        <v>11044</v>
      </c>
      <c r="K56" s="1" t="s">
        <v>11384</v>
      </c>
      <c r="L56" s="1" t="s">
        <v>11046</v>
      </c>
      <c r="M56" s="1">
        <v>2020</v>
      </c>
      <c r="N56" s="1">
        <v>9781450371254</v>
      </c>
      <c r="O56" s="4"/>
      <c r="P56" s="3" t="s">
        <v>11385</v>
      </c>
      <c r="Q56" s="1" t="s">
        <v>4359</v>
      </c>
      <c r="R56" s="1" t="s">
        <v>6394</v>
      </c>
      <c r="S56" s="1" t="s">
        <v>11386</v>
      </c>
      <c r="T56" s="4"/>
      <c r="U56" s="4"/>
      <c r="V56" s="1" t="s">
        <v>11387</v>
      </c>
    </row>
    <row r="57" spans="1:22" x14ac:dyDescent="0.25">
      <c r="A57" s="1" t="s">
        <v>141</v>
      </c>
      <c r="B57" s="1" t="s">
        <v>11388</v>
      </c>
      <c r="C57" s="1" t="s">
        <v>11389</v>
      </c>
      <c r="D57" s="4"/>
      <c r="E57" s="1">
        <v>2022</v>
      </c>
      <c r="F57" s="4"/>
      <c r="G57" s="4"/>
      <c r="H57" s="1" t="s">
        <v>11390</v>
      </c>
      <c r="I57" s="1" t="s">
        <v>145</v>
      </c>
      <c r="J57" s="1" t="s">
        <v>11044</v>
      </c>
      <c r="K57" s="1" t="s">
        <v>11391</v>
      </c>
      <c r="L57" s="1" t="s">
        <v>11392</v>
      </c>
      <c r="M57" s="1">
        <v>2022</v>
      </c>
      <c r="N57" s="1">
        <v>9781450398787</v>
      </c>
      <c r="O57" s="4"/>
      <c r="P57" s="3" t="s">
        <v>11393</v>
      </c>
      <c r="Q57" s="1" t="s">
        <v>11394</v>
      </c>
      <c r="R57" s="1" t="s">
        <v>11395</v>
      </c>
      <c r="S57" s="1" t="s">
        <v>11396</v>
      </c>
      <c r="T57" s="4"/>
      <c r="U57" s="4"/>
      <c r="V57" s="1" t="s">
        <v>11397</v>
      </c>
    </row>
    <row r="58" spans="1:22" x14ac:dyDescent="0.25">
      <c r="A58" s="1" t="s">
        <v>141</v>
      </c>
      <c r="B58" s="1" t="s">
        <v>4537</v>
      </c>
      <c r="C58" s="1" t="s">
        <v>11398</v>
      </c>
      <c r="D58" s="4"/>
      <c r="E58" s="1">
        <v>2020</v>
      </c>
      <c r="F58" s="4"/>
      <c r="G58" s="4"/>
      <c r="H58" s="1" t="s">
        <v>11173</v>
      </c>
      <c r="I58" s="1" t="s">
        <v>145</v>
      </c>
      <c r="J58" s="1" t="s">
        <v>11044</v>
      </c>
      <c r="K58" s="1" t="s">
        <v>11399</v>
      </c>
      <c r="L58" s="1" t="s">
        <v>11046</v>
      </c>
      <c r="M58" s="1">
        <v>2020</v>
      </c>
      <c r="N58" s="1">
        <v>9781450371247</v>
      </c>
      <c r="O58" s="4"/>
      <c r="P58" s="3" t="s">
        <v>11400</v>
      </c>
      <c r="Q58" s="1" t="s">
        <v>4541</v>
      </c>
      <c r="R58" s="1" t="s">
        <v>6376</v>
      </c>
      <c r="S58" s="4"/>
      <c r="T58" s="4"/>
      <c r="U58" s="4"/>
      <c r="V58" s="1" t="s">
        <v>11401</v>
      </c>
    </row>
    <row r="59" spans="1:22" x14ac:dyDescent="0.25">
      <c r="A59" s="1" t="s">
        <v>141</v>
      </c>
      <c r="B59" s="1" t="s">
        <v>6155</v>
      </c>
      <c r="C59" s="1" t="s">
        <v>6156</v>
      </c>
      <c r="D59" s="4"/>
      <c r="E59" s="1">
        <v>2017</v>
      </c>
      <c r="F59" s="4"/>
      <c r="G59" s="4"/>
      <c r="H59" s="1" t="s">
        <v>11402</v>
      </c>
      <c r="I59" s="1" t="s">
        <v>11083</v>
      </c>
      <c r="J59" s="1" t="s">
        <v>11403</v>
      </c>
      <c r="K59" s="1" t="s">
        <v>11404</v>
      </c>
      <c r="L59" s="4"/>
      <c r="M59" s="1">
        <v>2017</v>
      </c>
      <c r="N59" s="1">
        <v>9781538627976</v>
      </c>
      <c r="O59" s="4"/>
      <c r="P59" s="3" t="s">
        <v>11405</v>
      </c>
      <c r="Q59" s="1" t="s">
        <v>6160</v>
      </c>
      <c r="R59" s="1" t="s">
        <v>11406</v>
      </c>
      <c r="S59" s="1" t="s">
        <v>11407</v>
      </c>
      <c r="T59" s="4"/>
      <c r="U59" s="4"/>
      <c r="V59" s="1" t="s">
        <v>11408</v>
      </c>
    </row>
    <row r="60" spans="1:22" x14ac:dyDescent="0.25">
      <c r="A60" s="1" t="s">
        <v>141</v>
      </c>
      <c r="B60" s="1" t="s">
        <v>6297</v>
      </c>
      <c r="C60" s="1" t="s">
        <v>6298</v>
      </c>
      <c r="D60" s="4"/>
      <c r="E60" s="1">
        <v>2021</v>
      </c>
      <c r="F60" s="4"/>
      <c r="G60" s="4"/>
      <c r="H60" s="1" t="s">
        <v>11409</v>
      </c>
      <c r="I60" s="1" t="s">
        <v>11083</v>
      </c>
      <c r="J60" s="1" t="s">
        <v>11410</v>
      </c>
      <c r="K60" s="1" t="s">
        <v>11411</v>
      </c>
      <c r="L60" s="4"/>
      <c r="M60" s="1">
        <v>2021</v>
      </c>
      <c r="N60" s="4"/>
      <c r="O60" s="4"/>
      <c r="P60" s="3" t="s">
        <v>11412</v>
      </c>
      <c r="Q60" s="1" t="s">
        <v>6302</v>
      </c>
      <c r="R60" s="1" t="s">
        <v>6303</v>
      </c>
      <c r="S60" s="1" t="s">
        <v>11413</v>
      </c>
      <c r="T60" s="4"/>
      <c r="U60" s="4"/>
      <c r="V60" s="1" t="s">
        <v>11089</v>
      </c>
    </row>
    <row r="61" spans="1:22" x14ac:dyDescent="0.25">
      <c r="A61" s="1" t="s">
        <v>141</v>
      </c>
      <c r="B61" s="1" t="s">
        <v>11414</v>
      </c>
      <c r="C61" s="1" t="s">
        <v>11415</v>
      </c>
      <c r="D61" s="4"/>
      <c r="E61" s="1">
        <v>2014</v>
      </c>
      <c r="F61" s="4"/>
      <c r="G61" s="4"/>
      <c r="H61" s="1" t="s">
        <v>11416</v>
      </c>
      <c r="I61" s="1" t="s">
        <v>145</v>
      </c>
      <c r="J61" s="1" t="s">
        <v>11044</v>
      </c>
      <c r="K61" s="1" t="s">
        <v>11417</v>
      </c>
      <c r="L61" s="1" t="s">
        <v>11418</v>
      </c>
      <c r="M61" s="1">
        <v>2014</v>
      </c>
      <c r="N61" s="1">
        <v>9781450332262</v>
      </c>
      <c r="O61" s="4"/>
      <c r="P61" s="3" t="s">
        <v>11419</v>
      </c>
      <c r="Q61" s="1" t="s">
        <v>11420</v>
      </c>
      <c r="R61" s="1" t="s">
        <v>11421</v>
      </c>
      <c r="S61" s="1" t="s">
        <v>11422</v>
      </c>
      <c r="T61" s="4"/>
      <c r="U61" s="4"/>
      <c r="V61" s="1" t="s">
        <v>11423</v>
      </c>
    </row>
    <row r="62" spans="1:22" x14ac:dyDescent="0.25">
      <c r="A62" s="1" t="s">
        <v>141</v>
      </c>
      <c r="B62" s="1" t="s">
        <v>2937</v>
      </c>
      <c r="C62" s="1" t="s">
        <v>11424</v>
      </c>
      <c r="D62" s="4"/>
      <c r="E62" s="1">
        <v>2019</v>
      </c>
      <c r="F62" s="4"/>
      <c r="G62" s="4"/>
      <c r="H62" s="1" t="s">
        <v>11425</v>
      </c>
      <c r="I62" s="1" t="s">
        <v>145</v>
      </c>
      <c r="J62" s="1" t="s">
        <v>11044</v>
      </c>
      <c r="K62" s="1" t="s">
        <v>11186</v>
      </c>
      <c r="L62" s="1" t="s">
        <v>11187</v>
      </c>
      <c r="M62" s="1">
        <v>2019</v>
      </c>
      <c r="N62" s="1">
        <v>9781450368551</v>
      </c>
      <c r="O62" s="4"/>
      <c r="P62" s="3" t="s">
        <v>11426</v>
      </c>
      <c r="Q62" s="1" t="s">
        <v>4592</v>
      </c>
      <c r="R62" s="1" t="s">
        <v>11427</v>
      </c>
      <c r="S62" s="1" t="s">
        <v>11428</v>
      </c>
      <c r="T62" s="4"/>
      <c r="U62" s="4"/>
      <c r="V62" s="1" t="s">
        <v>11191</v>
      </c>
    </row>
    <row r="63" spans="1:22" x14ac:dyDescent="0.25">
      <c r="A63" s="1" t="s">
        <v>141</v>
      </c>
      <c r="B63" s="1" t="s">
        <v>11429</v>
      </c>
      <c r="C63" s="1" t="s">
        <v>11430</v>
      </c>
      <c r="D63" s="4"/>
      <c r="E63" s="1">
        <v>2020</v>
      </c>
      <c r="F63" s="4"/>
      <c r="G63" s="4"/>
      <c r="H63" s="4"/>
      <c r="I63" s="1" t="s">
        <v>145</v>
      </c>
      <c r="J63" s="1" t="s">
        <v>11044</v>
      </c>
      <c r="K63" s="1" t="s">
        <v>11431</v>
      </c>
      <c r="L63" s="1" t="s">
        <v>11432</v>
      </c>
      <c r="M63" s="1">
        <v>2020</v>
      </c>
      <c r="N63" s="1">
        <v>9781450377362</v>
      </c>
      <c r="O63" s="4"/>
      <c r="P63" s="3" t="s">
        <v>11433</v>
      </c>
      <c r="Q63" s="1" t="s">
        <v>3197</v>
      </c>
      <c r="R63" s="1" t="s">
        <v>11434</v>
      </c>
      <c r="S63" s="1" t="s">
        <v>11435</v>
      </c>
      <c r="T63" s="4"/>
      <c r="U63" s="4"/>
      <c r="V63" s="1" t="s">
        <v>11436</v>
      </c>
    </row>
    <row r="64" spans="1:22" x14ac:dyDescent="0.25">
      <c r="A64" s="1" t="s">
        <v>13</v>
      </c>
      <c r="B64" s="1" t="s">
        <v>11437</v>
      </c>
      <c r="C64" s="1" t="s">
        <v>11438</v>
      </c>
      <c r="D64" s="1" t="s">
        <v>11214</v>
      </c>
      <c r="E64" s="1">
        <v>2021</v>
      </c>
      <c r="F64" s="1">
        <v>65</v>
      </c>
      <c r="G64" s="1">
        <v>1</v>
      </c>
      <c r="H64" s="1" t="s">
        <v>11439</v>
      </c>
      <c r="I64" s="1" t="s">
        <v>145</v>
      </c>
      <c r="J64" s="1" t="s">
        <v>11044</v>
      </c>
      <c r="K64" s="4"/>
      <c r="L64" s="4"/>
      <c r="M64" s="2">
        <v>44531</v>
      </c>
      <c r="N64" s="4"/>
      <c r="O64" s="1" t="s">
        <v>11216</v>
      </c>
      <c r="P64" s="3" t="s">
        <v>11440</v>
      </c>
      <c r="Q64" s="1" t="s">
        <v>11441</v>
      </c>
      <c r="R64" s="1" t="s">
        <v>11442</v>
      </c>
      <c r="S64" s="4"/>
      <c r="T64" s="4"/>
      <c r="U64" s="4"/>
      <c r="V64" s="4"/>
    </row>
    <row r="65" spans="1:22" x14ac:dyDescent="0.25">
      <c r="A65" s="1" t="s">
        <v>141</v>
      </c>
      <c r="B65" s="1" t="s">
        <v>11443</v>
      </c>
      <c r="C65" s="1" t="s">
        <v>6624</v>
      </c>
      <c r="D65" s="4"/>
      <c r="E65" s="1">
        <v>2022</v>
      </c>
      <c r="F65" s="4"/>
      <c r="G65" s="4"/>
      <c r="H65" s="1" t="s">
        <v>11444</v>
      </c>
      <c r="I65" s="1" t="s">
        <v>145</v>
      </c>
      <c r="J65" s="1" t="s">
        <v>11044</v>
      </c>
      <c r="K65" s="1" t="s">
        <v>11445</v>
      </c>
      <c r="L65" s="1" t="s">
        <v>11077</v>
      </c>
      <c r="M65" s="1">
        <v>2022</v>
      </c>
      <c r="N65" s="1">
        <v>9781450392266</v>
      </c>
      <c r="O65" s="4"/>
      <c r="P65" s="3" t="s">
        <v>11446</v>
      </c>
      <c r="Q65" s="1" t="s">
        <v>6628</v>
      </c>
      <c r="R65" s="1" t="s">
        <v>11447</v>
      </c>
      <c r="S65" s="1" t="s">
        <v>11448</v>
      </c>
      <c r="T65" s="4"/>
      <c r="U65" s="4"/>
      <c r="V65" s="1" t="s">
        <v>11449</v>
      </c>
    </row>
    <row r="66" spans="1:22" x14ac:dyDescent="0.25">
      <c r="A66" s="1" t="s">
        <v>141</v>
      </c>
      <c r="B66" s="1" t="s">
        <v>4134</v>
      </c>
      <c r="C66" s="1" t="s">
        <v>11450</v>
      </c>
      <c r="D66" s="4"/>
      <c r="E66" s="1">
        <v>2020</v>
      </c>
      <c r="F66" s="4"/>
      <c r="G66" s="4"/>
      <c r="H66" s="1" t="s">
        <v>11451</v>
      </c>
      <c r="I66" s="1" t="s">
        <v>145</v>
      </c>
      <c r="J66" s="1" t="s">
        <v>11044</v>
      </c>
      <c r="K66" s="1" t="s">
        <v>11452</v>
      </c>
      <c r="L66" s="1" t="s">
        <v>11157</v>
      </c>
      <c r="M66" s="1">
        <v>2020</v>
      </c>
      <c r="N66" s="1">
        <v>9781450375122</v>
      </c>
      <c r="O66" s="4"/>
      <c r="P66" s="3" t="s">
        <v>11453</v>
      </c>
      <c r="Q66" s="1" t="s">
        <v>4138</v>
      </c>
      <c r="R66" s="1" t="s">
        <v>11454</v>
      </c>
      <c r="S66" s="1" t="s">
        <v>11455</v>
      </c>
      <c r="T66" s="4"/>
      <c r="U66" s="4"/>
      <c r="V66" s="1" t="s">
        <v>11456</v>
      </c>
    </row>
    <row r="67" spans="1:22" x14ac:dyDescent="0.25">
      <c r="A67" s="1" t="s">
        <v>539</v>
      </c>
      <c r="B67" s="4"/>
      <c r="C67" s="1" t="s">
        <v>11457</v>
      </c>
      <c r="D67" s="4"/>
      <c r="E67" s="1">
        <v>2022</v>
      </c>
      <c r="F67" s="4"/>
      <c r="G67" s="4"/>
      <c r="H67" s="4"/>
      <c r="I67" s="1" t="s">
        <v>145</v>
      </c>
      <c r="J67" s="1" t="s">
        <v>11044</v>
      </c>
      <c r="K67" s="4"/>
      <c r="L67" s="1" t="s">
        <v>11114</v>
      </c>
      <c r="M67" s="1">
        <v>2022</v>
      </c>
      <c r="N67" s="1">
        <v>9781450394130</v>
      </c>
      <c r="O67" s="4"/>
      <c r="P67" s="4"/>
      <c r="Q67" s="4"/>
      <c r="R67" s="1" t="s">
        <v>11458</v>
      </c>
      <c r="S67" s="4"/>
      <c r="T67" s="4"/>
      <c r="U67" s="1" t="s">
        <v>10544</v>
      </c>
      <c r="V67" s="4"/>
    </row>
    <row r="68" spans="1:22" x14ac:dyDescent="0.25">
      <c r="A68" s="1" t="s">
        <v>141</v>
      </c>
      <c r="B68" s="1" t="s">
        <v>4273</v>
      </c>
      <c r="C68" s="1" t="s">
        <v>6823</v>
      </c>
      <c r="D68" s="4"/>
      <c r="E68" s="1">
        <v>2019</v>
      </c>
      <c r="F68" s="4"/>
      <c r="G68" s="4"/>
      <c r="H68" s="1" t="s">
        <v>11459</v>
      </c>
      <c r="I68" s="1" t="s">
        <v>11083</v>
      </c>
      <c r="J68" s="1" t="s">
        <v>11147</v>
      </c>
      <c r="K68" s="1" t="s">
        <v>11460</v>
      </c>
      <c r="L68" s="4"/>
      <c r="M68" s="1">
        <v>2019</v>
      </c>
      <c r="N68" s="4"/>
      <c r="O68" s="4"/>
      <c r="P68" s="3" t="s">
        <v>11461</v>
      </c>
      <c r="Q68" s="1" t="s">
        <v>4277</v>
      </c>
      <c r="R68" s="1" t="s">
        <v>11462</v>
      </c>
      <c r="S68" s="1" t="s">
        <v>11463</v>
      </c>
      <c r="T68" s="4"/>
      <c r="U68" s="4"/>
      <c r="V68" s="1" t="s">
        <v>11464</v>
      </c>
    </row>
    <row r="69" spans="1:22" x14ac:dyDescent="0.25">
      <c r="A69" s="1" t="s">
        <v>141</v>
      </c>
      <c r="B69" s="1" t="s">
        <v>4854</v>
      </c>
      <c r="C69" s="1" t="s">
        <v>11465</v>
      </c>
      <c r="D69" s="4"/>
      <c r="E69" s="1">
        <v>2020</v>
      </c>
      <c r="F69" s="4"/>
      <c r="G69" s="4"/>
      <c r="H69" s="1" t="s">
        <v>11466</v>
      </c>
      <c r="I69" s="1" t="s">
        <v>145</v>
      </c>
      <c r="J69" s="1" t="s">
        <v>11044</v>
      </c>
      <c r="K69" s="1" t="s">
        <v>11467</v>
      </c>
      <c r="L69" s="1" t="s">
        <v>11468</v>
      </c>
      <c r="M69" s="1">
        <v>2020</v>
      </c>
      <c r="N69" s="1">
        <v>9781450368667</v>
      </c>
      <c r="O69" s="4"/>
      <c r="P69" s="3" t="s">
        <v>11469</v>
      </c>
      <c r="Q69" s="1" t="s">
        <v>4858</v>
      </c>
      <c r="R69" s="1" t="s">
        <v>11470</v>
      </c>
      <c r="S69" s="1" t="s">
        <v>11471</v>
      </c>
      <c r="T69" s="4"/>
      <c r="U69" s="4"/>
      <c r="V69" s="1" t="s">
        <v>11472</v>
      </c>
    </row>
    <row r="70" spans="1:22" x14ac:dyDescent="0.25">
      <c r="A70" s="1" t="s">
        <v>141</v>
      </c>
      <c r="B70" s="1" t="s">
        <v>6021</v>
      </c>
      <c r="C70" s="1" t="s">
        <v>11473</v>
      </c>
      <c r="D70" s="4"/>
      <c r="E70" s="1">
        <v>2018</v>
      </c>
      <c r="F70" s="4"/>
      <c r="G70" s="4"/>
      <c r="H70" s="1" t="s">
        <v>11474</v>
      </c>
      <c r="I70" s="1" t="s">
        <v>145</v>
      </c>
      <c r="J70" s="1" t="s">
        <v>11044</v>
      </c>
      <c r="K70" s="1" t="s">
        <v>11475</v>
      </c>
      <c r="L70" s="1" t="s">
        <v>11105</v>
      </c>
      <c r="M70" s="1">
        <v>2018</v>
      </c>
      <c r="N70" s="1">
        <v>9781450357173</v>
      </c>
      <c r="O70" s="4"/>
      <c r="P70" s="3" t="s">
        <v>11476</v>
      </c>
      <c r="Q70" s="1" t="s">
        <v>6025</v>
      </c>
      <c r="R70" s="1" t="s">
        <v>11477</v>
      </c>
      <c r="S70" s="1" t="s">
        <v>11478</v>
      </c>
      <c r="T70" s="4"/>
      <c r="U70" s="4"/>
      <c r="V70" s="1" t="s">
        <v>11479</v>
      </c>
    </row>
    <row r="71" spans="1:22" x14ac:dyDescent="0.25">
      <c r="A71" s="1" t="s">
        <v>141</v>
      </c>
      <c r="B71" s="1" t="s">
        <v>1955</v>
      </c>
      <c r="C71" s="1" t="s">
        <v>11480</v>
      </c>
      <c r="D71" s="4"/>
      <c r="E71" s="1">
        <v>2021</v>
      </c>
      <c r="F71" s="4"/>
      <c r="G71" s="4"/>
      <c r="H71" s="1" t="s">
        <v>11481</v>
      </c>
      <c r="I71" s="1" t="s">
        <v>145</v>
      </c>
      <c r="J71" s="1" t="s">
        <v>11044</v>
      </c>
      <c r="K71" s="1" t="s">
        <v>11482</v>
      </c>
      <c r="L71" s="1" t="s">
        <v>11483</v>
      </c>
      <c r="M71" s="1">
        <v>2021</v>
      </c>
      <c r="N71" s="1">
        <v>9781450386258</v>
      </c>
      <c r="O71" s="4"/>
      <c r="P71" s="3" t="s">
        <v>11484</v>
      </c>
      <c r="Q71" s="1" t="s">
        <v>1958</v>
      </c>
      <c r="R71" s="1" t="s">
        <v>11485</v>
      </c>
      <c r="S71" s="1" t="s">
        <v>11486</v>
      </c>
      <c r="T71" s="4"/>
      <c r="U71" s="4"/>
      <c r="V71" s="1" t="s">
        <v>11487</v>
      </c>
    </row>
    <row r="72" spans="1:22" x14ac:dyDescent="0.25">
      <c r="A72" s="1" t="s">
        <v>141</v>
      </c>
      <c r="B72" s="1" t="s">
        <v>2171</v>
      </c>
      <c r="C72" s="1" t="s">
        <v>11488</v>
      </c>
      <c r="D72" s="4"/>
      <c r="E72" s="1">
        <v>2021</v>
      </c>
      <c r="F72" s="4"/>
      <c r="G72" s="4"/>
      <c r="H72" s="1" t="s">
        <v>11489</v>
      </c>
      <c r="I72" s="1" t="s">
        <v>145</v>
      </c>
      <c r="J72" s="1" t="s">
        <v>11044</v>
      </c>
      <c r="K72" s="1" t="s">
        <v>11053</v>
      </c>
      <c r="L72" s="1" t="s">
        <v>11054</v>
      </c>
      <c r="M72" s="1">
        <v>2021</v>
      </c>
      <c r="N72" s="1">
        <v>9781450390538</v>
      </c>
      <c r="O72" s="4"/>
      <c r="P72" s="3" t="s">
        <v>11490</v>
      </c>
      <c r="Q72" s="1" t="s">
        <v>2175</v>
      </c>
      <c r="R72" s="1" t="s">
        <v>11491</v>
      </c>
      <c r="S72" s="1" t="s">
        <v>11492</v>
      </c>
      <c r="T72" s="4"/>
      <c r="U72" s="4"/>
      <c r="V72" s="1" t="s">
        <v>11058</v>
      </c>
    </row>
    <row r="73" spans="1:22" x14ac:dyDescent="0.25">
      <c r="A73" s="1" t="s">
        <v>141</v>
      </c>
      <c r="B73" s="1" t="s">
        <v>3590</v>
      </c>
      <c r="C73" s="1" t="s">
        <v>11493</v>
      </c>
      <c r="D73" s="4"/>
      <c r="E73" s="1">
        <v>2022</v>
      </c>
      <c r="F73" s="4"/>
      <c r="G73" s="4"/>
      <c r="H73" s="1" t="s">
        <v>11494</v>
      </c>
      <c r="I73" s="1" t="s">
        <v>11083</v>
      </c>
      <c r="J73" s="1" t="s">
        <v>11495</v>
      </c>
      <c r="K73" s="1" t="s">
        <v>11496</v>
      </c>
      <c r="L73" s="4"/>
      <c r="M73" s="1">
        <v>2022</v>
      </c>
      <c r="N73" s="1">
        <v>9781665403375</v>
      </c>
      <c r="O73" s="4"/>
      <c r="P73" s="3" t="s">
        <v>11497</v>
      </c>
      <c r="Q73" s="1" t="s">
        <v>3594</v>
      </c>
      <c r="R73" s="1" t="s">
        <v>6493</v>
      </c>
      <c r="S73" s="4"/>
      <c r="T73" s="4"/>
      <c r="U73" s="4"/>
      <c r="V73" s="1" t="s">
        <v>11498</v>
      </c>
    </row>
    <row r="74" spans="1:22" x14ac:dyDescent="0.25">
      <c r="A74" s="1" t="s">
        <v>13</v>
      </c>
      <c r="B74" s="1" t="s">
        <v>11499</v>
      </c>
      <c r="C74" s="1" t="s">
        <v>11500</v>
      </c>
      <c r="D74" s="1" t="s">
        <v>11246</v>
      </c>
      <c r="E74" s="1">
        <v>2021</v>
      </c>
      <c r="F74" s="1">
        <v>31</v>
      </c>
      <c r="G74" s="1">
        <v>1</v>
      </c>
      <c r="H74" s="4"/>
      <c r="I74" s="1" t="s">
        <v>145</v>
      </c>
      <c r="J74" s="1" t="s">
        <v>11044</v>
      </c>
      <c r="K74" s="4"/>
      <c r="L74" s="4"/>
      <c r="M74" s="2">
        <v>44470</v>
      </c>
      <c r="N74" s="4"/>
      <c r="O74" s="1" t="s">
        <v>329</v>
      </c>
      <c r="P74" s="3" t="s">
        <v>11501</v>
      </c>
      <c r="Q74" s="1" t="s">
        <v>11502</v>
      </c>
      <c r="R74" s="1" t="s">
        <v>11503</v>
      </c>
      <c r="S74" s="1" t="s">
        <v>11504</v>
      </c>
      <c r="T74" s="4"/>
      <c r="U74" s="4"/>
      <c r="V74" s="4"/>
    </row>
    <row r="75" spans="1:22" x14ac:dyDescent="0.25">
      <c r="A75" s="1" t="s">
        <v>13</v>
      </c>
      <c r="B75" s="1" t="s">
        <v>11505</v>
      </c>
      <c r="C75" s="1" t="s">
        <v>11506</v>
      </c>
      <c r="D75" s="1" t="s">
        <v>11507</v>
      </c>
      <c r="E75" s="1">
        <v>2019</v>
      </c>
      <c r="F75" s="1">
        <v>14</v>
      </c>
      <c r="G75" s="1">
        <v>2</v>
      </c>
      <c r="H75" s="4"/>
      <c r="I75" s="1" t="s">
        <v>145</v>
      </c>
      <c r="J75" s="1" t="s">
        <v>11044</v>
      </c>
      <c r="K75" s="4"/>
      <c r="L75" s="4"/>
      <c r="M75" s="2">
        <v>43739</v>
      </c>
      <c r="N75" s="4"/>
      <c r="O75" s="1" t="s">
        <v>1504</v>
      </c>
      <c r="P75" s="3" t="s">
        <v>11508</v>
      </c>
      <c r="Q75" s="1" t="s">
        <v>11509</v>
      </c>
      <c r="R75" s="1" t="s">
        <v>11510</v>
      </c>
      <c r="S75" s="1" t="s">
        <v>11511</v>
      </c>
      <c r="T75" s="4"/>
      <c r="U75" s="4"/>
      <c r="V75" s="4"/>
    </row>
    <row r="76" spans="1:22" x14ac:dyDescent="0.25">
      <c r="A76" s="1" t="s">
        <v>539</v>
      </c>
      <c r="B76" s="4"/>
      <c r="C76" s="1" t="s">
        <v>11512</v>
      </c>
      <c r="D76" s="4"/>
      <c r="E76" s="1">
        <v>2022</v>
      </c>
      <c r="F76" s="4"/>
      <c r="G76" s="4"/>
      <c r="H76" s="4"/>
      <c r="I76" s="1" t="s">
        <v>145</v>
      </c>
      <c r="J76" s="1" t="s">
        <v>11044</v>
      </c>
      <c r="K76" s="4"/>
      <c r="L76" s="1" t="s">
        <v>11114</v>
      </c>
      <c r="M76" s="1">
        <v>2022</v>
      </c>
      <c r="N76" s="1">
        <v>9781450398602</v>
      </c>
      <c r="O76" s="4"/>
      <c r="P76" s="4"/>
      <c r="Q76" s="4"/>
      <c r="R76" s="1" t="s">
        <v>11513</v>
      </c>
      <c r="S76" s="4"/>
      <c r="T76" s="4"/>
      <c r="U76" s="1" t="s">
        <v>10544</v>
      </c>
      <c r="V76" s="4"/>
    </row>
    <row r="77" spans="1:22" x14ac:dyDescent="0.25">
      <c r="A77" s="1" t="s">
        <v>141</v>
      </c>
      <c r="B77" s="1" t="s">
        <v>5800</v>
      </c>
      <c r="C77" s="1" t="s">
        <v>11514</v>
      </c>
      <c r="D77" s="4"/>
      <c r="E77" s="1">
        <v>2016</v>
      </c>
      <c r="F77" s="4"/>
      <c r="G77" s="4"/>
      <c r="H77" s="4"/>
      <c r="I77" s="1" t="s">
        <v>145</v>
      </c>
      <c r="J77" s="1" t="s">
        <v>11044</v>
      </c>
      <c r="K77" s="1" t="s">
        <v>11515</v>
      </c>
      <c r="L77" s="1" t="s">
        <v>11516</v>
      </c>
      <c r="M77" s="1">
        <v>2016</v>
      </c>
      <c r="N77" s="1">
        <v>9781450337342</v>
      </c>
      <c r="O77" s="4"/>
      <c r="P77" s="3" t="s">
        <v>11517</v>
      </c>
      <c r="Q77" s="1" t="s">
        <v>5804</v>
      </c>
      <c r="R77" s="1" t="s">
        <v>11518</v>
      </c>
      <c r="S77" s="1" t="s">
        <v>11519</v>
      </c>
      <c r="T77" s="4"/>
      <c r="U77" s="4"/>
      <c r="V77" s="1" t="s">
        <v>11520</v>
      </c>
    </row>
    <row r="78" spans="1:22" x14ac:dyDescent="0.25">
      <c r="A78" s="1" t="s">
        <v>539</v>
      </c>
      <c r="B78" s="4"/>
      <c r="C78" s="1" t="s">
        <v>11521</v>
      </c>
      <c r="D78" s="4"/>
      <c r="E78" s="1">
        <v>2022</v>
      </c>
      <c r="F78" s="4"/>
      <c r="G78" s="4"/>
      <c r="H78" s="4"/>
      <c r="I78" s="1" t="s">
        <v>145</v>
      </c>
      <c r="J78" s="1" t="s">
        <v>11044</v>
      </c>
      <c r="K78" s="4"/>
      <c r="L78" s="1" t="s">
        <v>11522</v>
      </c>
      <c r="M78" s="1">
        <v>2022</v>
      </c>
      <c r="N78" s="1">
        <v>9781450397353</v>
      </c>
      <c r="O78" s="4"/>
      <c r="P78" s="4"/>
      <c r="Q78" s="4"/>
      <c r="R78" s="4"/>
      <c r="S78" s="4"/>
      <c r="T78" s="4"/>
      <c r="U78" s="1" t="s">
        <v>10544</v>
      </c>
      <c r="V78" s="4"/>
    </row>
    <row r="79" spans="1:22" x14ac:dyDescent="0.25">
      <c r="A79" s="1" t="s">
        <v>141</v>
      </c>
      <c r="B79" s="1" t="s">
        <v>5057</v>
      </c>
      <c r="C79" s="1" t="s">
        <v>5058</v>
      </c>
      <c r="D79" s="4"/>
      <c r="E79" s="1">
        <v>2020</v>
      </c>
      <c r="F79" s="4"/>
      <c r="G79" s="4"/>
      <c r="H79" s="1" t="s">
        <v>11523</v>
      </c>
      <c r="I79" s="1" t="s">
        <v>145</v>
      </c>
      <c r="J79" s="1" t="s">
        <v>11044</v>
      </c>
      <c r="K79" s="1" t="s">
        <v>11524</v>
      </c>
      <c r="L79" s="1" t="s">
        <v>11157</v>
      </c>
      <c r="M79" s="1">
        <v>2020</v>
      </c>
      <c r="N79" s="1">
        <v>9781450375177</v>
      </c>
      <c r="O79" s="4"/>
      <c r="P79" s="3" t="s">
        <v>11525</v>
      </c>
      <c r="Q79" s="1" t="s">
        <v>5061</v>
      </c>
      <c r="R79" s="1" t="s">
        <v>11526</v>
      </c>
      <c r="S79" s="4"/>
      <c r="T79" s="4"/>
      <c r="U79" s="4"/>
      <c r="V79" s="1" t="s">
        <v>11527</v>
      </c>
    </row>
    <row r="80" spans="1:22" x14ac:dyDescent="0.25">
      <c r="A80" s="1" t="s">
        <v>539</v>
      </c>
      <c r="B80" s="4"/>
      <c r="C80" s="1" t="s">
        <v>11528</v>
      </c>
      <c r="D80" s="4"/>
      <c r="E80" s="1">
        <v>2022</v>
      </c>
      <c r="F80" s="4"/>
      <c r="G80" s="4"/>
      <c r="H80" s="4"/>
      <c r="I80" s="1" t="s">
        <v>145</v>
      </c>
      <c r="J80" s="1" t="s">
        <v>11044</v>
      </c>
      <c r="K80" s="4"/>
      <c r="L80" s="1" t="s">
        <v>11114</v>
      </c>
      <c r="M80" s="1">
        <v>2022</v>
      </c>
      <c r="N80" s="1">
        <v>9781450394567</v>
      </c>
      <c r="O80" s="4"/>
      <c r="P80" s="4"/>
      <c r="Q80" s="4"/>
      <c r="R80" s="1" t="s">
        <v>11529</v>
      </c>
      <c r="S80" s="4"/>
      <c r="T80" s="4"/>
      <c r="U80" s="1" t="s">
        <v>10544</v>
      </c>
      <c r="V80" s="4"/>
    </row>
    <row r="81" spans="1:22" x14ac:dyDescent="0.25">
      <c r="A81" s="1" t="s">
        <v>13</v>
      </c>
      <c r="B81" s="1" t="s">
        <v>11437</v>
      </c>
      <c r="C81" s="1" t="s">
        <v>11530</v>
      </c>
      <c r="D81" s="1" t="s">
        <v>11531</v>
      </c>
      <c r="E81" s="1">
        <v>2021</v>
      </c>
      <c r="F81" s="1">
        <v>19</v>
      </c>
      <c r="G81" s="1">
        <v>3</v>
      </c>
      <c r="H81" s="1" t="s">
        <v>11532</v>
      </c>
      <c r="I81" s="1" t="s">
        <v>145</v>
      </c>
      <c r="J81" s="1" t="s">
        <v>11044</v>
      </c>
      <c r="K81" s="4"/>
      <c r="L81" s="4"/>
      <c r="M81" s="6">
        <v>44409</v>
      </c>
      <c r="N81" s="4"/>
      <c r="O81" s="1" t="s">
        <v>11533</v>
      </c>
      <c r="P81" s="3" t="s">
        <v>11534</v>
      </c>
      <c r="Q81" s="1" t="s">
        <v>11535</v>
      </c>
      <c r="R81" s="1" t="s">
        <v>11536</v>
      </c>
      <c r="S81" s="4"/>
      <c r="T81" s="4"/>
      <c r="U81" s="4"/>
      <c r="V81" s="4"/>
    </row>
    <row r="82" spans="1:22" x14ac:dyDescent="0.25">
      <c r="A82" s="1" t="s">
        <v>13</v>
      </c>
      <c r="B82" s="1" t="s">
        <v>1501</v>
      </c>
      <c r="C82" s="1" t="s">
        <v>11537</v>
      </c>
      <c r="D82" s="1" t="s">
        <v>11507</v>
      </c>
      <c r="E82" s="1">
        <v>2021</v>
      </c>
      <c r="F82" s="1">
        <v>15</v>
      </c>
      <c r="G82" s="1">
        <v>3</v>
      </c>
      <c r="H82" s="4"/>
      <c r="I82" s="1" t="s">
        <v>145</v>
      </c>
      <c r="J82" s="1" t="s">
        <v>11044</v>
      </c>
      <c r="K82" s="4"/>
      <c r="L82" s="4"/>
      <c r="M82" s="6">
        <v>44409</v>
      </c>
      <c r="N82" s="4"/>
      <c r="O82" s="1" t="s">
        <v>1504</v>
      </c>
      <c r="P82" s="3" t="s">
        <v>11538</v>
      </c>
      <c r="Q82" s="1" t="s">
        <v>1506</v>
      </c>
      <c r="R82" s="1" t="s">
        <v>11539</v>
      </c>
      <c r="S82" s="1" t="s">
        <v>11540</v>
      </c>
      <c r="T82" s="4"/>
      <c r="U82" s="4"/>
      <c r="V82" s="4"/>
    </row>
    <row r="83" spans="1:22" x14ac:dyDescent="0.25">
      <c r="A83" s="1" t="s">
        <v>141</v>
      </c>
      <c r="B83" s="1" t="s">
        <v>11541</v>
      </c>
      <c r="C83" s="1" t="s">
        <v>11542</v>
      </c>
      <c r="D83" s="4"/>
      <c r="E83" s="1">
        <v>2022</v>
      </c>
      <c r="F83" s="4"/>
      <c r="G83" s="4"/>
      <c r="H83" s="1" t="s">
        <v>11543</v>
      </c>
      <c r="I83" s="1" t="s">
        <v>145</v>
      </c>
      <c r="J83" s="1" t="s">
        <v>11044</v>
      </c>
      <c r="K83" s="1" t="s">
        <v>11544</v>
      </c>
      <c r="L83" s="1" t="s">
        <v>11266</v>
      </c>
      <c r="M83" s="1">
        <v>2022</v>
      </c>
      <c r="N83" s="1">
        <v>9781450387132</v>
      </c>
      <c r="O83" s="4"/>
      <c r="P83" s="3" t="s">
        <v>11545</v>
      </c>
      <c r="Q83" s="1" t="s">
        <v>11546</v>
      </c>
      <c r="R83" s="1" t="s">
        <v>11547</v>
      </c>
      <c r="S83" s="1" t="s">
        <v>11548</v>
      </c>
      <c r="T83" s="4"/>
      <c r="U83" s="4"/>
      <c r="V83" s="1" t="s">
        <v>11549</v>
      </c>
    </row>
    <row r="84" spans="1:22" x14ac:dyDescent="0.25">
      <c r="A84" s="1" t="s">
        <v>141</v>
      </c>
      <c r="B84" s="1" t="s">
        <v>5268</v>
      </c>
      <c r="C84" s="1" t="s">
        <v>11550</v>
      </c>
      <c r="D84" s="4"/>
      <c r="E84" s="1">
        <v>2015</v>
      </c>
      <c r="F84" s="4"/>
      <c r="G84" s="4"/>
      <c r="H84" s="1" t="s">
        <v>11551</v>
      </c>
      <c r="I84" s="1" t="s">
        <v>145</v>
      </c>
      <c r="J84" s="1" t="s">
        <v>11044</v>
      </c>
      <c r="K84" s="1" t="s">
        <v>11552</v>
      </c>
      <c r="L84" s="1" t="s">
        <v>11553</v>
      </c>
      <c r="M84" s="1">
        <v>2015</v>
      </c>
      <c r="N84" s="1">
        <v>9781450334808</v>
      </c>
      <c r="O84" s="4"/>
      <c r="P84" s="3" t="s">
        <v>11554</v>
      </c>
      <c r="Q84" s="1" t="s">
        <v>5271</v>
      </c>
      <c r="R84" s="1" t="s">
        <v>11555</v>
      </c>
      <c r="S84" s="1" t="s">
        <v>11556</v>
      </c>
      <c r="T84" s="4"/>
      <c r="U84" s="4"/>
      <c r="V84" s="1" t="s">
        <v>11557</v>
      </c>
    </row>
    <row r="85" spans="1:22" x14ac:dyDescent="0.25">
      <c r="A85" s="1" t="s">
        <v>539</v>
      </c>
      <c r="B85" s="4"/>
      <c r="C85" s="1" t="s">
        <v>11558</v>
      </c>
      <c r="D85" s="4"/>
      <c r="E85" s="1">
        <v>2022</v>
      </c>
      <c r="F85" s="4"/>
      <c r="G85" s="4"/>
      <c r="H85" s="4"/>
      <c r="I85" s="1" t="s">
        <v>145</v>
      </c>
      <c r="J85" s="1" t="s">
        <v>11044</v>
      </c>
      <c r="K85" s="4"/>
      <c r="L85" s="1" t="s">
        <v>11559</v>
      </c>
      <c r="M85" s="1">
        <v>2022</v>
      </c>
      <c r="N85" s="1">
        <v>9781450394758</v>
      </c>
      <c r="O85" s="4"/>
      <c r="P85" s="4"/>
      <c r="Q85" s="4"/>
      <c r="R85" s="4"/>
      <c r="S85" s="4"/>
      <c r="T85" s="4"/>
      <c r="U85" s="1" t="s">
        <v>10544</v>
      </c>
      <c r="V85" s="4"/>
    </row>
    <row r="86" spans="1:22" x14ac:dyDescent="0.25">
      <c r="A86" s="1" t="s">
        <v>539</v>
      </c>
      <c r="B86" s="4"/>
      <c r="C86" s="1" t="s">
        <v>11560</v>
      </c>
      <c r="D86" s="4"/>
      <c r="E86" s="1">
        <v>2022</v>
      </c>
      <c r="F86" s="4"/>
      <c r="G86" s="4"/>
      <c r="H86" s="4"/>
      <c r="I86" s="1" t="s">
        <v>145</v>
      </c>
      <c r="J86" s="1" t="s">
        <v>11044</v>
      </c>
      <c r="K86" s="4"/>
      <c r="L86" s="1" t="s">
        <v>11142</v>
      </c>
      <c r="M86" s="1">
        <v>2022</v>
      </c>
      <c r="N86" s="1">
        <v>9781450394277</v>
      </c>
      <c r="O86" s="4"/>
      <c r="P86" s="4"/>
      <c r="Q86" s="4"/>
      <c r="R86" s="4"/>
      <c r="S86" s="4"/>
      <c r="T86" s="4"/>
      <c r="U86" s="1" t="s">
        <v>10544</v>
      </c>
      <c r="V86" s="4"/>
    </row>
    <row r="87" spans="1:22" x14ac:dyDescent="0.25">
      <c r="A87" s="1" t="s">
        <v>141</v>
      </c>
      <c r="B87" s="1" t="s">
        <v>6731</v>
      </c>
      <c r="C87" s="1" t="s">
        <v>11561</v>
      </c>
      <c r="D87" s="4"/>
      <c r="E87" s="1">
        <v>2022</v>
      </c>
      <c r="F87" s="4"/>
      <c r="G87" s="4"/>
      <c r="H87" s="1" t="s">
        <v>11562</v>
      </c>
      <c r="I87" s="1" t="s">
        <v>145</v>
      </c>
      <c r="J87" s="1" t="s">
        <v>11044</v>
      </c>
      <c r="K87" s="1" t="s">
        <v>11076</v>
      </c>
      <c r="L87" s="1" t="s">
        <v>11077</v>
      </c>
      <c r="M87" s="1">
        <v>2022</v>
      </c>
      <c r="N87" s="1">
        <v>9781450393041</v>
      </c>
      <c r="O87" s="4"/>
      <c r="P87" s="3" t="s">
        <v>11563</v>
      </c>
      <c r="Q87" s="1" t="s">
        <v>6735</v>
      </c>
      <c r="R87" s="1" t="s">
        <v>6736</v>
      </c>
      <c r="S87" s="1" t="s">
        <v>11564</v>
      </c>
      <c r="T87" s="4"/>
      <c r="U87" s="4"/>
      <c r="V87" s="1" t="s">
        <v>11081</v>
      </c>
    </row>
    <row r="88" spans="1:22" x14ac:dyDescent="0.25">
      <c r="A88" s="1" t="s">
        <v>141</v>
      </c>
      <c r="B88" s="1" t="s">
        <v>11565</v>
      </c>
      <c r="C88" s="1" t="s">
        <v>11566</v>
      </c>
      <c r="D88" s="4"/>
      <c r="E88" s="1">
        <v>2012</v>
      </c>
      <c r="F88" s="4"/>
      <c r="G88" s="4"/>
      <c r="H88" s="1" t="s">
        <v>11567</v>
      </c>
      <c r="I88" s="1" t="s">
        <v>11083</v>
      </c>
      <c r="J88" s="1" t="s">
        <v>11122</v>
      </c>
      <c r="K88" s="1" t="s">
        <v>11123</v>
      </c>
      <c r="L88" s="4"/>
      <c r="M88" s="1">
        <v>2012</v>
      </c>
      <c r="N88" s="1">
        <v>9781467317498</v>
      </c>
      <c r="O88" s="4"/>
      <c r="P88" s="4"/>
      <c r="Q88" s="4"/>
      <c r="R88" s="1" t="s">
        <v>11568</v>
      </c>
      <c r="S88" s="1" t="s">
        <v>11569</v>
      </c>
      <c r="T88" s="4"/>
      <c r="U88" s="4"/>
      <c r="V88" s="1" t="s">
        <v>11126</v>
      </c>
    </row>
    <row r="89" spans="1:22" x14ac:dyDescent="0.25">
      <c r="A89" s="1" t="s">
        <v>141</v>
      </c>
      <c r="B89" s="1" t="s">
        <v>11570</v>
      </c>
      <c r="C89" s="1" t="s">
        <v>11571</v>
      </c>
      <c r="D89" s="4"/>
      <c r="E89" s="1">
        <v>2022</v>
      </c>
      <c r="F89" s="4"/>
      <c r="G89" s="4"/>
      <c r="H89" s="1" t="s">
        <v>11572</v>
      </c>
      <c r="I89" s="1" t="s">
        <v>11083</v>
      </c>
      <c r="J89" s="1" t="s">
        <v>11495</v>
      </c>
      <c r="K89" s="1" t="s">
        <v>11496</v>
      </c>
      <c r="L89" s="4"/>
      <c r="M89" s="1">
        <v>2022</v>
      </c>
      <c r="N89" s="1">
        <v>9781665403375</v>
      </c>
      <c r="O89" s="4"/>
      <c r="P89" s="3" t="s">
        <v>11573</v>
      </c>
      <c r="Q89" s="1" t="s">
        <v>3361</v>
      </c>
      <c r="R89" s="1" t="s">
        <v>11574</v>
      </c>
      <c r="S89" s="1" t="s">
        <v>11575</v>
      </c>
      <c r="T89" s="4"/>
      <c r="U89" s="4"/>
      <c r="V89" s="1" t="s">
        <v>11498</v>
      </c>
    </row>
    <row r="90" spans="1:22" x14ac:dyDescent="0.25">
      <c r="A90" s="1" t="s">
        <v>141</v>
      </c>
      <c r="B90" s="1" t="s">
        <v>3183</v>
      </c>
      <c r="C90" s="1" t="s">
        <v>11576</v>
      </c>
      <c r="D90" s="4"/>
      <c r="E90" s="1">
        <v>2021</v>
      </c>
      <c r="F90" s="4"/>
      <c r="G90" s="4"/>
      <c r="H90" s="1" t="s">
        <v>11577</v>
      </c>
      <c r="I90" s="1" t="s">
        <v>145</v>
      </c>
      <c r="J90" s="1" t="s">
        <v>11044</v>
      </c>
      <c r="K90" s="1" t="s">
        <v>11578</v>
      </c>
      <c r="L90" s="1" t="s">
        <v>11579</v>
      </c>
      <c r="M90" s="1">
        <v>2021</v>
      </c>
      <c r="N90" s="1">
        <v>9781450367684</v>
      </c>
      <c r="O90" s="4"/>
      <c r="P90" s="3" t="s">
        <v>11580</v>
      </c>
      <c r="Q90" s="1" t="s">
        <v>3187</v>
      </c>
      <c r="R90" s="1" t="s">
        <v>11581</v>
      </c>
      <c r="S90" s="1" t="s">
        <v>11582</v>
      </c>
      <c r="T90" s="4"/>
      <c r="U90" s="4"/>
      <c r="V90" s="1" t="s">
        <v>11583</v>
      </c>
    </row>
    <row r="91" spans="1:22" x14ac:dyDescent="0.25">
      <c r="A91" s="1" t="s">
        <v>13</v>
      </c>
      <c r="B91" s="1" t="s">
        <v>1882</v>
      </c>
      <c r="C91" s="1" t="s">
        <v>1883</v>
      </c>
      <c r="D91" s="1" t="s">
        <v>11246</v>
      </c>
      <c r="E91" s="1">
        <v>2021</v>
      </c>
      <c r="F91" s="1">
        <v>30</v>
      </c>
      <c r="G91" s="1">
        <v>4</v>
      </c>
      <c r="H91" s="4"/>
      <c r="I91" s="1" t="s">
        <v>145</v>
      </c>
      <c r="J91" s="1" t="s">
        <v>11044</v>
      </c>
      <c r="K91" s="4"/>
      <c r="L91" s="4"/>
      <c r="M91" s="6">
        <v>44378</v>
      </c>
      <c r="N91" s="4"/>
      <c r="O91" s="1" t="s">
        <v>329</v>
      </c>
      <c r="P91" s="3" t="s">
        <v>11584</v>
      </c>
      <c r="Q91" s="1" t="s">
        <v>1885</v>
      </c>
      <c r="R91" s="1" t="s">
        <v>11585</v>
      </c>
      <c r="S91" s="1" t="s">
        <v>11586</v>
      </c>
      <c r="T91" s="4"/>
      <c r="U91" s="4"/>
      <c r="V91" s="4"/>
    </row>
    <row r="92" spans="1:22" x14ac:dyDescent="0.25">
      <c r="A92" s="1" t="s">
        <v>141</v>
      </c>
      <c r="B92" s="1" t="s">
        <v>11587</v>
      </c>
      <c r="C92" s="1" t="s">
        <v>11588</v>
      </c>
      <c r="D92" s="4"/>
      <c r="E92" s="1">
        <v>2021</v>
      </c>
      <c r="F92" s="4"/>
      <c r="G92" s="4"/>
      <c r="H92" s="1" t="s">
        <v>11589</v>
      </c>
      <c r="I92" s="1" t="s">
        <v>145</v>
      </c>
      <c r="J92" s="1" t="s">
        <v>11044</v>
      </c>
      <c r="K92" s="1" t="s">
        <v>11053</v>
      </c>
      <c r="L92" s="1" t="s">
        <v>11054</v>
      </c>
      <c r="M92" s="1">
        <v>2021</v>
      </c>
      <c r="N92" s="1">
        <v>9781450390538</v>
      </c>
      <c r="O92" s="4"/>
      <c r="P92" s="3" t="s">
        <v>11590</v>
      </c>
      <c r="Q92" s="1" t="s">
        <v>11591</v>
      </c>
      <c r="R92" s="1" t="s">
        <v>11592</v>
      </c>
      <c r="S92" s="1" t="s">
        <v>11593</v>
      </c>
      <c r="T92" s="4"/>
      <c r="U92" s="4"/>
      <c r="V92" s="1" t="s">
        <v>11058</v>
      </c>
    </row>
    <row r="93" spans="1:22" x14ac:dyDescent="0.25">
      <c r="A93" s="1" t="s">
        <v>141</v>
      </c>
      <c r="B93" s="1" t="s">
        <v>11594</v>
      </c>
      <c r="C93" s="1" t="s">
        <v>11595</v>
      </c>
      <c r="D93" s="4"/>
      <c r="E93" s="1">
        <v>2022</v>
      </c>
      <c r="F93" s="4"/>
      <c r="G93" s="4"/>
      <c r="H93" s="1" t="s">
        <v>11596</v>
      </c>
      <c r="I93" s="1" t="s">
        <v>145</v>
      </c>
      <c r="J93" s="1" t="s">
        <v>11044</v>
      </c>
      <c r="K93" s="1" t="s">
        <v>11597</v>
      </c>
      <c r="L93" s="1" t="s">
        <v>11598</v>
      </c>
      <c r="M93" s="1">
        <v>2022</v>
      </c>
      <c r="N93" s="1">
        <v>9781450387637</v>
      </c>
      <c r="O93" s="4"/>
      <c r="P93" s="3" t="s">
        <v>11599</v>
      </c>
      <c r="Q93" s="1" t="s">
        <v>11600</v>
      </c>
      <c r="R93" s="1" t="s">
        <v>11601</v>
      </c>
      <c r="S93" s="1" t="s">
        <v>11602</v>
      </c>
      <c r="T93" s="4"/>
      <c r="U93" s="4"/>
      <c r="V93" s="1" t="s">
        <v>11603</v>
      </c>
    </row>
    <row r="94" spans="1:22" x14ac:dyDescent="0.25">
      <c r="A94" s="1" t="s">
        <v>141</v>
      </c>
      <c r="B94" s="1" t="s">
        <v>5395</v>
      </c>
      <c r="C94" s="1" t="s">
        <v>11604</v>
      </c>
      <c r="D94" s="4"/>
      <c r="E94" s="1">
        <v>2017</v>
      </c>
      <c r="F94" s="4"/>
      <c r="G94" s="4"/>
      <c r="H94" s="1" t="s">
        <v>11605</v>
      </c>
      <c r="I94" s="1" t="s">
        <v>11083</v>
      </c>
      <c r="J94" s="1" t="s">
        <v>11606</v>
      </c>
      <c r="K94" s="1" t="s">
        <v>11607</v>
      </c>
      <c r="L94" s="4"/>
      <c r="M94" s="1">
        <v>2017</v>
      </c>
      <c r="N94" s="1">
        <v>9781509040391</v>
      </c>
      <c r="O94" s="4"/>
      <c r="P94" s="3" t="s">
        <v>11608</v>
      </c>
      <c r="Q94" s="1" t="s">
        <v>5400</v>
      </c>
      <c r="R94" s="1" t="s">
        <v>7156</v>
      </c>
      <c r="S94" s="1" t="s">
        <v>11609</v>
      </c>
      <c r="T94" s="4"/>
      <c r="U94" s="4"/>
      <c r="V94" s="1" t="s">
        <v>11610</v>
      </c>
    </row>
    <row r="95" spans="1:22" x14ac:dyDescent="0.25">
      <c r="A95" s="1" t="s">
        <v>141</v>
      </c>
      <c r="B95" s="1" t="s">
        <v>11611</v>
      </c>
      <c r="C95" s="1" t="s">
        <v>11612</v>
      </c>
      <c r="D95" s="4"/>
      <c r="E95" s="1">
        <v>2018</v>
      </c>
      <c r="F95" s="4"/>
      <c r="G95" s="4"/>
      <c r="H95" s="4"/>
      <c r="I95" s="1" t="s">
        <v>145</v>
      </c>
      <c r="J95" s="1" t="s">
        <v>11044</v>
      </c>
      <c r="K95" s="1" t="s">
        <v>11613</v>
      </c>
      <c r="L95" s="1" t="s">
        <v>11084</v>
      </c>
      <c r="M95" s="1">
        <v>2018</v>
      </c>
      <c r="N95" s="1">
        <v>9781450364836</v>
      </c>
      <c r="O95" s="4"/>
      <c r="P95" s="3" t="s">
        <v>11614</v>
      </c>
      <c r="Q95" s="1" t="s">
        <v>11615</v>
      </c>
      <c r="R95" s="1" t="s">
        <v>11616</v>
      </c>
      <c r="S95" s="1" t="s">
        <v>11617</v>
      </c>
      <c r="T95" s="4"/>
      <c r="U95" s="4"/>
      <c r="V95" s="1" t="s">
        <v>11618</v>
      </c>
    </row>
    <row r="96" spans="1:22" x14ac:dyDescent="0.25">
      <c r="A96" s="1" t="s">
        <v>141</v>
      </c>
      <c r="B96" s="1" t="s">
        <v>11619</v>
      </c>
      <c r="C96" s="1" t="s">
        <v>11620</v>
      </c>
      <c r="D96" s="4"/>
      <c r="E96" s="1">
        <v>2019</v>
      </c>
      <c r="F96" s="4"/>
      <c r="G96" s="4"/>
      <c r="H96" s="1" t="s">
        <v>11621</v>
      </c>
      <c r="I96" s="1" t="s">
        <v>145</v>
      </c>
      <c r="J96" s="1" t="s">
        <v>11044</v>
      </c>
      <c r="K96" s="1" t="s">
        <v>11622</v>
      </c>
      <c r="L96" s="1" t="s">
        <v>11623</v>
      </c>
      <c r="M96" s="1">
        <v>2019</v>
      </c>
      <c r="N96" s="1">
        <v>9781450368285</v>
      </c>
      <c r="O96" s="4"/>
      <c r="P96" s="3" t="s">
        <v>11624</v>
      </c>
      <c r="Q96" s="1" t="s">
        <v>11625</v>
      </c>
      <c r="R96" s="1" t="s">
        <v>11626</v>
      </c>
      <c r="S96" s="1" t="s">
        <v>11627</v>
      </c>
      <c r="T96" s="4"/>
      <c r="U96" s="4"/>
      <c r="V96" s="1" t="s">
        <v>11628</v>
      </c>
    </row>
    <row r="97" spans="1:22" x14ac:dyDescent="0.25">
      <c r="A97" s="1" t="s">
        <v>141</v>
      </c>
      <c r="B97" s="1" t="s">
        <v>1937</v>
      </c>
      <c r="C97" s="1" t="s">
        <v>1938</v>
      </c>
      <c r="D97" s="4"/>
      <c r="E97" s="1">
        <v>2022</v>
      </c>
      <c r="F97" s="4"/>
      <c r="G97" s="4"/>
      <c r="H97" s="1" t="s">
        <v>11629</v>
      </c>
      <c r="I97" s="1" t="s">
        <v>145</v>
      </c>
      <c r="J97" s="1" t="s">
        <v>11044</v>
      </c>
      <c r="K97" s="1" t="s">
        <v>11630</v>
      </c>
      <c r="L97" s="1" t="s">
        <v>11077</v>
      </c>
      <c r="M97" s="1">
        <v>2022</v>
      </c>
      <c r="N97" s="1">
        <v>9781450392235</v>
      </c>
      <c r="O97" s="4"/>
      <c r="P97" s="3" t="s">
        <v>11631</v>
      </c>
      <c r="Q97" s="1" t="s">
        <v>6672</v>
      </c>
      <c r="R97" s="1" t="s">
        <v>11632</v>
      </c>
      <c r="S97" s="1" t="s">
        <v>11633</v>
      </c>
      <c r="T97" s="4"/>
      <c r="U97" s="4"/>
      <c r="V97" s="1" t="s">
        <v>11634</v>
      </c>
    </row>
    <row r="98" spans="1:22" x14ac:dyDescent="0.25">
      <c r="A98" s="1" t="s">
        <v>141</v>
      </c>
      <c r="B98" s="1" t="s">
        <v>633</v>
      </c>
      <c r="C98" s="1" t="s">
        <v>11635</v>
      </c>
      <c r="D98" s="4"/>
      <c r="E98" s="1">
        <v>2022</v>
      </c>
      <c r="F98" s="4"/>
      <c r="G98" s="4"/>
      <c r="H98" s="1" t="s">
        <v>11636</v>
      </c>
      <c r="I98" s="1" t="s">
        <v>145</v>
      </c>
      <c r="J98" s="1" t="s">
        <v>11044</v>
      </c>
      <c r="K98" s="1" t="s">
        <v>11637</v>
      </c>
      <c r="L98" s="1" t="s">
        <v>11114</v>
      </c>
      <c r="M98" s="1">
        <v>2022</v>
      </c>
      <c r="N98" s="1">
        <v>9781450398602</v>
      </c>
      <c r="O98" s="4"/>
      <c r="P98" s="3" t="s">
        <v>11638</v>
      </c>
      <c r="Q98" s="1" t="s">
        <v>637</v>
      </c>
      <c r="R98" s="1" t="s">
        <v>11639</v>
      </c>
      <c r="S98" s="1" t="s">
        <v>11640</v>
      </c>
      <c r="T98" s="4"/>
      <c r="U98" s="4"/>
      <c r="V98" s="1" t="s">
        <v>11641</v>
      </c>
    </row>
    <row r="99" spans="1:22" x14ac:dyDescent="0.25">
      <c r="A99" s="1" t="s">
        <v>141</v>
      </c>
      <c r="B99" s="1" t="s">
        <v>6128</v>
      </c>
      <c r="C99" s="1" t="s">
        <v>6408</v>
      </c>
      <c r="D99" s="4"/>
      <c r="E99" s="1">
        <v>2018</v>
      </c>
      <c r="F99" s="4"/>
      <c r="G99" s="4"/>
      <c r="H99" s="1" t="s">
        <v>11642</v>
      </c>
      <c r="I99" s="1" t="s">
        <v>145</v>
      </c>
      <c r="J99" s="1" t="s">
        <v>11044</v>
      </c>
      <c r="K99" s="1" t="s">
        <v>11355</v>
      </c>
      <c r="L99" s="1" t="s">
        <v>11105</v>
      </c>
      <c r="M99" s="1">
        <v>2018</v>
      </c>
      <c r="N99" s="1">
        <v>9781450356633</v>
      </c>
      <c r="O99" s="4"/>
      <c r="P99" s="3" t="s">
        <v>11643</v>
      </c>
      <c r="Q99" s="1" t="s">
        <v>11644</v>
      </c>
      <c r="R99" s="1" t="s">
        <v>6410</v>
      </c>
      <c r="S99" s="1" t="s">
        <v>11645</v>
      </c>
      <c r="T99" s="4"/>
      <c r="U99" s="4"/>
      <c r="V99" s="1" t="s">
        <v>11359</v>
      </c>
    </row>
    <row r="100" spans="1:22" x14ac:dyDescent="0.25">
      <c r="A100" s="1" t="s">
        <v>141</v>
      </c>
      <c r="B100" s="1" t="s">
        <v>1784</v>
      </c>
      <c r="C100" s="1" t="s">
        <v>11646</v>
      </c>
      <c r="D100" s="4"/>
      <c r="E100" s="1">
        <v>2020</v>
      </c>
      <c r="F100" s="4"/>
      <c r="G100" s="4"/>
      <c r="H100" s="1" t="s">
        <v>11155</v>
      </c>
      <c r="I100" s="1" t="s">
        <v>145</v>
      </c>
      <c r="J100" s="1" t="s">
        <v>11044</v>
      </c>
      <c r="K100" s="1" t="s">
        <v>11452</v>
      </c>
      <c r="L100" s="1" t="s">
        <v>11157</v>
      </c>
      <c r="M100" s="1">
        <v>2020</v>
      </c>
      <c r="N100" s="1">
        <v>9781450375122</v>
      </c>
      <c r="O100" s="4"/>
      <c r="P100" s="3" t="s">
        <v>11647</v>
      </c>
      <c r="Q100" s="1" t="s">
        <v>5103</v>
      </c>
      <c r="R100" s="1" t="s">
        <v>11648</v>
      </c>
      <c r="S100" s="1" t="s">
        <v>11649</v>
      </c>
      <c r="T100" s="4"/>
      <c r="U100" s="4"/>
      <c r="V100" s="1" t="s">
        <v>11456</v>
      </c>
    </row>
    <row r="101" spans="1:22" x14ac:dyDescent="0.25">
      <c r="A101" s="1" t="s">
        <v>141</v>
      </c>
      <c r="B101" s="1" t="s">
        <v>11650</v>
      </c>
      <c r="C101" s="1" t="s">
        <v>11651</v>
      </c>
      <c r="D101" s="4"/>
      <c r="E101" s="1">
        <v>2021</v>
      </c>
      <c r="F101" s="4"/>
      <c r="G101" s="4"/>
      <c r="H101" s="1" t="s">
        <v>11652</v>
      </c>
      <c r="I101" s="1" t="s">
        <v>145</v>
      </c>
      <c r="J101" s="1" t="s">
        <v>11044</v>
      </c>
      <c r="K101" s="1" t="s">
        <v>11653</v>
      </c>
      <c r="L101" s="1" t="s">
        <v>11654</v>
      </c>
      <c r="M101" s="1">
        <v>2021</v>
      </c>
      <c r="N101" s="1">
        <v>9781450386586</v>
      </c>
      <c r="O101" s="4"/>
      <c r="P101" s="3" t="s">
        <v>11655</v>
      </c>
      <c r="Q101" s="1" t="s">
        <v>11656</v>
      </c>
      <c r="R101" s="1" t="s">
        <v>11657</v>
      </c>
      <c r="S101" s="1" t="s">
        <v>11658</v>
      </c>
      <c r="T101" s="4"/>
      <c r="U101" s="4"/>
      <c r="V101" s="1" t="s">
        <v>11659</v>
      </c>
    </row>
    <row r="102" spans="1:22" x14ac:dyDescent="0.25">
      <c r="A102" s="1" t="s">
        <v>141</v>
      </c>
      <c r="B102" s="1" t="s">
        <v>11660</v>
      </c>
      <c r="C102" s="1" t="s">
        <v>11661</v>
      </c>
      <c r="D102" s="4"/>
      <c r="E102" s="1">
        <v>2019</v>
      </c>
      <c r="F102" s="4"/>
      <c r="G102" s="4"/>
      <c r="H102" s="1" t="s">
        <v>11662</v>
      </c>
      <c r="I102" s="1" t="s">
        <v>11083</v>
      </c>
      <c r="J102" s="1" t="s">
        <v>11147</v>
      </c>
      <c r="K102" s="1" t="s">
        <v>11166</v>
      </c>
      <c r="L102" s="4"/>
      <c r="M102" s="1">
        <v>2019</v>
      </c>
      <c r="N102" s="4"/>
      <c r="O102" s="4"/>
      <c r="P102" s="3" t="s">
        <v>11663</v>
      </c>
      <c r="Q102" s="1" t="s">
        <v>11664</v>
      </c>
      <c r="R102" s="1" t="s">
        <v>11665</v>
      </c>
      <c r="S102" s="1" t="s">
        <v>11666</v>
      </c>
      <c r="T102" s="4"/>
      <c r="U102" s="4"/>
      <c r="V102" s="1" t="s">
        <v>11170</v>
      </c>
    </row>
    <row r="103" spans="1:22" x14ac:dyDescent="0.25">
      <c r="A103" s="1" t="s">
        <v>13</v>
      </c>
      <c r="B103" s="1" t="s">
        <v>2295</v>
      </c>
      <c r="C103" s="1" t="s">
        <v>11667</v>
      </c>
      <c r="D103" s="1" t="s">
        <v>11246</v>
      </c>
      <c r="E103" s="1">
        <v>2021</v>
      </c>
      <c r="F103" s="1">
        <v>30</v>
      </c>
      <c r="G103" s="1">
        <v>4</v>
      </c>
      <c r="H103" s="4"/>
      <c r="I103" s="1" t="s">
        <v>145</v>
      </c>
      <c r="J103" s="1" t="s">
        <v>11044</v>
      </c>
      <c r="K103" s="4"/>
      <c r="L103" s="4"/>
      <c r="M103" s="6">
        <v>44378</v>
      </c>
      <c r="N103" s="4"/>
      <c r="O103" s="1" t="s">
        <v>329</v>
      </c>
      <c r="P103" s="3" t="s">
        <v>11668</v>
      </c>
      <c r="Q103" s="1" t="s">
        <v>2298</v>
      </c>
      <c r="R103" s="1" t="s">
        <v>11669</v>
      </c>
      <c r="S103" s="1" t="s">
        <v>11670</v>
      </c>
      <c r="T103" s="4"/>
      <c r="U103" s="4"/>
      <c r="V103" s="4"/>
    </row>
    <row r="104" spans="1:22" x14ac:dyDescent="0.25">
      <c r="A104" s="1" t="s">
        <v>141</v>
      </c>
      <c r="B104" s="1" t="s">
        <v>11671</v>
      </c>
      <c r="C104" s="1" t="s">
        <v>11672</v>
      </c>
      <c r="D104" s="4"/>
      <c r="E104" s="1">
        <v>2021</v>
      </c>
      <c r="F104" s="4"/>
      <c r="G104" s="4"/>
      <c r="H104" s="1" t="s">
        <v>11673</v>
      </c>
      <c r="I104" s="1" t="s">
        <v>145</v>
      </c>
      <c r="J104" s="1" t="s">
        <v>11044</v>
      </c>
      <c r="K104" s="1" t="s">
        <v>11674</v>
      </c>
      <c r="L104" s="1" t="s">
        <v>11675</v>
      </c>
      <c r="M104" s="1">
        <v>2021</v>
      </c>
      <c r="N104" s="1">
        <v>9781450384582</v>
      </c>
      <c r="O104" s="4"/>
      <c r="P104" s="3" t="s">
        <v>11676</v>
      </c>
      <c r="Q104" s="1" t="s">
        <v>2206</v>
      </c>
      <c r="R104" s="1" t="s">
        <v>11677</v>
      </c>
      <c r="S104" s="1" t="s">
        <v>11678</v>
      </c>
      <c r="T104" s="4"/>
      <c r="U104" s="4"/>
      <c r="V104" s="1" t="s">
        <v>11679</v>
      </c>
    </row>
    <row r="105" spans="1:22" x14ac:dyDescent="0.25">
      <c r="A105" s="1" t="s">
        <v>141</v>
      </c>
      <c r="B105" s="1" t="s">
        <v>2718</v>
      </c>
      <c r="C105" s="1" t="s">
        <v>11680</v>
      </c>
      <c r="D105" s="4"/>
      <c r="E105" s="1">
        <v>2020</v>
      </c>
      <c r="F105" s="4"/>
      <c r="G105" s="4"/>
      <c r="H105" s="1" t="s">
        <v>11481</v>
      </c>
      <c r="I105" s="1" t="s">
        <v>145</v>
      </c>
      <c r="J105" s="1" t="s">
        <v>11044</v>
      </c>
      <c r="K105" s="1" t="s">
        <v>11681</v>
      </c>
      <c r="L105" s="1" t="s">
        <v>11682</v>
      </c>
      <c r="M105" s="1">
        <v>2020</v>
      </c>
      <c r="N105" s="1">
        <v>9781450381246</v>
      </c>
      <c r="O105" s="4"/>
      <c r="P105" s="3" t="s">
        <v>11683</v>
      </c>
      <c r="Q105" s="1" t="s">
        <v>2721</v>
      </c>
      <c r="R105" s="1" t="s">
        <v>11684</v>
      </c>
      <c r="S105" s="1" t="s">
        <v>11685</v>
      </c>
      <c r="T105" s="4"/>
      <c r="U105" s="4"/>
      <c r="V105" s="1" t="s">
        <v>11686</v>
      </c>
    </row>
    <row r="106" spans="1:22" x14ac:dyDescent="0.25">
      <c r="A106" s="1" t="s">
        <v>141</v>
      </c>
      <c r="B106" s="1" t="s">
        <v>6906</v>
      </c>
      <c r="C106" s="1" t="s">
        <v>6907</v>
      </c>
      <c r="D106" s="4"/>
      <c r="E106" s="1">
        <v>2016</v>
      </c>
      <c r="F106" s="4"/>
      <c r="G106" s="4"/>
      <c r="H106" s="1" t="s">
        <v>11687</v>
      </c>
      <c r="I106" s="1" t="s">
        <v>145</v>
      </c>
      <c r="J106" s="1" t="s">
        <v>11044</v>
      </c>
      <c r="K106" s="1" t="s">
        <v>11688</v>
      </c>
      <c r="L106" s="1" t="s">
        <v>11070</v>
      </c>
      <c r="M106" s="1">
        <v>2016</v>
      </c>
      <c r="N106" s="1">
        <v>9781450341653</v>
      </c>
      <c r="O106" s="4"/>
      <c r="P106" s="3" t="s">
        <v>11689</v>
      </c>
      <c r="Q106" s="1" t="s">
        <v>6910</v>
      </c>
      <c r="R106" s="1" t="s">
        <v>11690</v>
      </c>
      <c r="S106" s="1" t="s">
        <v>11691</v>
      </c>
      <c r="T106" s="4"/>
      <c r="U106" s="4"/>
      <c r="V106" s="1" t="s">
        <v>11692</v>
      </c>
    </row>
    <row r="107" spans="1:22" x14ac:dyDescent="0.25">
      <c r="A107" s="1" t="s">
        <v>141</v>
      </c>
      <c r="B107" s="1" t="s">
        <v>1747</v>
      </c>
      <c r="C107" s="1" t="s">
        <v>11693</v>
      </c>
      <c r="D107" s="4"/>
      <c r="E107" s="1">
        <v>2022</v>
      </c>
      <c r="F107" s="4"/>
      <c r="G107" s="4"/>
      <c r="H107" s="1" t="s">
        <v>11694</v>
      </c>
      <c r="I107" s="1" t="s">
        <v>145</v>
      </c>
      <c r="J107" s="1" t="s">
        <v>11044</v>
      </c>
      <c r="K107" s="1" t="s">
        <v>11319</v>
      </c>
      <c r="L107" s="1" t="s">
        <v>11077</v>
      </c>
      <c r="M107" s="1">
        <v>2022</v>
      </c>
      <c r="N107" s="1">
        <v>9781450392754</v>
      </c>
      <c r="O107" s="4"/>
      <c r="P107" s="3" t="s">
        <v>11695</v>
      </c>
      <c r="Q107" s="1" t="s">
        <v>1751</v>
      </c>
      <c r="R107" s="1" t="s">
        <v>11696</v>
      </c>
      <c r="S107" s="1" t="s">
        <v>11697</v>
      </c>
      <c r="T107" s="4"/>
      <c r="U107" s="4"/>
      <c r="V107" s="1" t="s">
        <v>11323</v>
      </c>
    </row>
    <row r="108" spans="1:22" x14ac:dyDescent="0.25">
      <c r="A108" s="1" t="s">
        <v>141</v>
      </c>
      <c r="B108" s="1" t="s">
        <v>11698</v>
      </c>
      <c r="C108" s="1" t="s">
        <v>11699</v>
      </c>
      <c r="D108" s="4"/>
      <c r="E108" s="1">
        <v>2019</v>
      </c>
      <c r="F108" s="4"/>
      <c r="G108" s="4"/>
      <c r="H108" s="1" t="s">
        <v>11700</v>
      </c>
      <c r="I108" s="1" t="s">
        <v>11083</v>
      </c>
      <c r="J108" s="1" t="s">
        <v>11147</v>
      </c>
      <c r="K108" s="1" t="s">
        <v>11166</v>
      </c>
      <c r="L108" s="4"/>
      <c r="M108" s="1">
        <v>2019</v>
      </c>
      <c r="N108" s="4"/>
      <c r="O108" s="4"/>
      <c r="P108" s="3" t="s">
        <v>11701</v>
      </c>
      <c r="Q108" s="1" t="s">
        <v>11702</v>
      </c>
      <c r="R108" s="1" t="s">
        <v>11703</v>
      </c>
      <c r="S108" s="1" t="s">
        <v>11704</v>
      </c>
      <c r="T108" s="4"/>
      <c r="U108" s="4"/>
      <c r="V108" s="1" t="s">
        <v>11170</v>
      </c>
    </row>
    <row r="109" spans="1:22" x14ac:dyDescent="0.25">
      <c r="A109" s="1" t="s">
        <v>141</v>
      </c>
      <c r="B109" s="1" t="s">
        <v>2442</v>
      </c>
      <c r="C109" s="1" t="s">
        <v>2443</v>
      </c>
      <c r="D109" s="4"/>
      <c r="E109" s="1">
        <v>2022</v>
      </c>
      <c r="F109" s="4"/>
      <c r="G109" s="4"/>
      <c r="H109" s="1" t="s">
        <v>11562</v>
      </c>
      <c r="I109" s="1" t="s">
        <v>145</v>
      </c>
      <c r="J109" s="1" t="s">
        <v>11044</v>
      </c>
      <c r="K109" s="1" t="s">
        <v>11705</v>
      </c>
      <c r="L109" s="1" t="s">
        <v>11077</v>
      </c>
      <c r="M109" s="1">
        <v>2022</v>
      </c>
      <c r="N109" s="1">
        <v>9781450392242</v>
      </c>
      <c r="O109" s="4"/>
      <c r="P109" s="3" t="s">
        <v>11706</v>
      </c>
      <c r="Q109" s="1" t="s">
        <v>6811</v>
      </c>
      <c r="R109" s="1" t="s">
        <v>11707</v>
      </c>
      <c r="S109" s="1" t="s">
        <v>11708</v>
      </c>
      <c r="T109" s="4"/>
      <c r="U109" s="4"/>
      <c r="V109" s="1" t="s">
        <v>11709</v>
      </c>
    </row>
    <row r="110" spans="1:22" x14ac:dyDescent="0.25">
      <c r="A110" s="1" t="s">
        <v>141</v>
      </c>
      <c r="B110" s="1" t="s">
        <v>11710</v>
      </c>
      <c r="C110" s="1" t="s">
        <v>11711</v>
      </c>
      <c r="D110" s="4"/>
      <c r="E110" s="1">
        <v>2015</v>
      </c>
      <c r="F110" s="4"/>
      <c r="G110" s="4"/>
      <c r="H110" s="1" t="s">
        <v>11712</v>
      </c>
      <c r="I110" s="1" t="s">
        <v>145</v>
      </c>
      <c r="J110" s="1" t="s">
        <v>11044</v>
      </c>
      <c r="K110" s="1" t="s">
        <v>11713</v>
      </c>
      <c r="L110" s="1" t="s">
        <v>11714</v>
      </c>
      <c r="M110" s="1">
        <v>2015</v>
      </c>
      <c r="N110" s="1">
        <v>9781450333177</v>
      </c>
      <c r="O110" s="4"/>
      <c r="P110" s="3" t="s">
        <v>11715</v>
      </c>
      <c r="Q110" s="1" t="s">
        <v>11716</v>
      </c>
      <c r="R110" s="1" t="s">
        <v>11717</v>
      </c>
      <c r="S110" s="1" t="s">
        <v>11718</v>
      </c>
      <c r="T110" s="4"/>
      <c r="U110" s="4"/>
      <c r="V110" s="1" t="s">
        <v>11719</v>
      </c>
    </row>
    <row r="111" spans="1:22" x14ac:dyDescent="0.25">
      <c r="A111" s="1" t="s">
        <v>141</v>
      </c>
      <c r="B111" s="1" t="s">
        <v>6991</v>
      </c>
      <c r="C111" s="1" t="s">
        <v>6992</v>
      </c>
      <c r="D111" s="4"/>
      <c r="E111" s="1">
        <v>2018</v>
      </c>
      <c r="F111" s="4"/>
      <c r="G111" s="4"/>
      <c r="H111" s="1" t="s">
        <v>11720</v>
      </c>
      <c r="I111" s="1" t="s">
        <v>145</v>
      </c>
      <c r="J111" s="1" t="s">
        <v>11044</v>
      </c>
      <c r="K111" s="1" t="s">
        <v>11721</v>
      </c>
      <c r="L111" s="1" t="s">
        <v>11105</v>
      </c>
      <c r="M111" s="1">
        <v>2018</v>
      </c>
      <c r="N111" s="1">
        <v>9781450356596</v>
      </c>
      <c r="O111" s="4"/>
      <c r="P111" s="3" t="s">
        <v>11722</v>
      </c>
      <c r="Q111" s="1" t="s">
        <v>11723</v>
      </c>
      <c r="R111" s="1" t="s">
        <v>11724</v>
      </c>
      <c r="S111" s="1" t="s">
        <v>11725</v>
      </c>
      <c r="T111" s="4"/>
      <c r="U111" s="4"/>
      <c r="V111" s="1" t="s">
        <v>11726</v>
      </c>
    </row>
    <row r="112" spans="1:22" x14ac:dyDescent="0.25">
      <c r="A112" s="1" t="s">
        <v>141</v>
      </c>
      <c r="B112" s="1" t="s">
        <v>11727</v>
      </c>
      <c r="C112" s="1" t="s">
        <v>11728</v>
      </c>
      <c r="D112" s="4"/>
      <c r="E112" s="1">
        <v>2023</v>
      </c>
      <c r="F112" s="4"/>
      <c r="G112" s="4"/>
      <c r="H112" s="4"/>
      <c r="I112" s="1" t="s">
        <v>145</v>
      </c>
      <c r="J112" s="1" t="s">
        <v>11044</v>
      </c>
      <c r="K112" s="1" t="s">
        <v>11729</v>
      </c>
      <c r="L112" s="1" t="s">
        <v>11559</v>
      </c>
      <c r="M112" s="1">
        <v>2023</v>
      </c>
      <c r="N112" s="1">
        <v>9781450394758</v>
      </c>
      <c r="O112" s="4"/>
      <c r="P112" s="3" t="s">
        <v>11730</v>
      </c>
      <c r="Q112" s="1" t="s">
        <v>11731</v>
      </c>
      <c r="R112" s="1" t="s">
        <v>11732</v>
      </c>
      <c r="S112" s="4"/>
      <c r="T112" s="4"/>
      <c r="U112" s="4"/>
      <c r="V112" s="1" t="s">
        <v>11733</v>
      </c>
    </row>
    <row r="113" spans="1:22" x14ac:dyDescent="0.25">
      <c r="A113" s="1" t="s">
        <v>141</v>
      </c>
      <c r="B113" s="1" t="s">
        <v>11734</v>
      </c>
      <c r="C113" s="1" t="s">
        <v>11735</v>
      </c>
      <c r="D113" s="4"/>
      <c r="E113" s="1">
        <v>2016</v>
      </c>
      <c r="F113" s="4"/>
      <c r="G113" s="4"/>
      <c r="H113" s="4"/>
      <c r="I113" s="1" t="s">
        <v>145</v>
      </c>
      <c r="J113" s="1" t="s">
        <v>11044</v>
      </c>
      <c r="K113" s="1" t="s">
        <v>11736</v>
      </c>
      <c r="L113" s="1" t="s">
        <v>11737</v>
      </c>
      <c r="M113" s="1">
        <v>2016</v>
      </c>
      <c r="N113" s="1">
        <v>9781450347723</v>
      </c>
      <c r="O113" s="4"/>
      <c r="P113" s="3" t="s">
        <v>11738</v>
      </c>
      <c r="Q113" s="1" t="s">
        <v>11739</v>
      </c>
      <c r="R113" s="1" t="s">
        <v>11740</v>
      </c>
      <c r="S113" s="1" t="s">
        <v>11741</v>
      </c>
      <c r="T113" s="4"/>
      <c r="U113" s="4"/>
      <c r="V113" s="1" t="s">
        <v>11742</v>
      </c>
    </row>
    <row r="114" spans="1:22" x14ac:dyDescent="0.25">
      <c r="A114" s="1" t="s">
        <v>141</v>
      </c>
      <c r="B114" s="1" t="s">
        <v>11743</v>
      </c>
      <c r="C114" s="1" t="s">
        <v>11744</v>
      </c>
      <c r="D114" s="4"/>
      <c r="E114" s="1">
        <v>2022</v>
      </c>
      <c r="F114" s="4"/>
      <c r="G114" s="4"/>
      <c r="H114" s="1" t="s">
        <v>11745</v>
      </c>
      <c r="I114" s="1" t="s">
        <v>145</v>
      </c>
      <c r="J114" s="1" t="s">
        <v>11044</v>
      </c>
      <c r="K114" s="1" t="s">
        <v>11746</v>
      </c>
      <c r="L114" s="1" t="s">
        <v>11747</v>
      </c>
      <c r="M114" s="1">
        <v>2022</v>
      </c>
      <c r="N114" s="1">
        <v>9781450397452</v>
      </c>
      <c r="O114" s="4"/>
      <c r="P114" s="3" t="s">
        <v>11748</v>
      </c>
      <c r="Q114" s="1" t="s">
        <v>852</v>
      </c>
      <c r="R114" s="1" t="s">
        <v>11749</v>
      </c>
      <c r="S114" s="1" t="s">
        <v>11750</v>
      </c>
      <c r="T114" s="4"/>
      <c r="U114" s="4"/>
      <c r="V114" s="1" t="s">
        <v>11751</v>
      </c>
    </row>
    <row r="115" spans="1:22" x14ac:dyDescent="0.25">
      <c r="A115" s="1" t="s">
        <v>141</v>
      </c>
      <c r="B115" s="1" t="s">
        <v>11752</v>
      </c>
      <c r="C115" s="1" t="s">
        <v>7391</v>
      </c>
      <c r="D115" s="4"/>
      <c r="E115" s="1">
        <v>2019</v>
      </c>
      <c r="F115" s="4"/>
      <c r="G115" s="4"/>
      <c r="H115" s="1" t="s">
        <v>11753</v>
      </c>
      <c r="I115" s="1" t="s">
        <v>11083</v>
      </c>
      <c r="J115" s="1" t="s">
        <v>11147</v>
      </c>
      <c r="K115" s="1" t="s">
        <v>11754</v>
      </c>
      <c r="L115" s="4"/>
      <c r="M115" s="1">
        <v>2019</v>
      </c>
      <c r="N115" s="4"/>
      <c r="O115" s="4"/>
      <c r="P115" s="3" t="s">
        <v>11755</v>
      </c>
      <c r="Q115" s="1" t="s">
        <v>7395</v>
      </c>
      <c r="R115" s="1" t="s">
        <v>11756</v>
      </c>
      <c r="S115" s="1" t="s">
        <v>11757</v>
      </c>
      <c r="T115" s="4"/>
      <c r="U115" s="4"/>
      <c r="V115" s="1" t="s">
        <v>11758</v>
      </c>
    </row>
    <row r="116" spans="1:22" x14ac:dyDescent="0.25">
      <c r="A116" s="1" t="s">
        <v>141</v>
      </c>
      <c r="B116" s="1" t="s">
        <v>5273</v>
      </c>
      <c r="C116" s="1" t="s">
        <v>11759</v>
      </c>
      <c r="D116" s="4"/>
      <c r="E116" s="1">
        <v>2013</v>
      </c>
      <c r="F116" s="4"/>
      <c r="G116" s="4"/>
      <c r="H116" s="1" t="s">
        <v>11760</v>
      </c>
      <c r="I116" s="1" t="s">
        <v>11083</v>
      </c>
      <c r="J116" s="1" t="s">
        <v>11761</v>
      </c>
      <c r="K116" s="1" t="s">
        <v>11762</v>
      </c>
      <c r="L116" s="4"/>
      <c r="M116" s="1">
        <v>2013</v>
      </c>
      <c r="N116" s="1">
        <v>9781467364430</v>
      </c>
      <c r="O116" s="4"/>
      <c r="P116" s="4"/>
      <c r="Q116" s="4"/>
      <c r="R116" s="1" t="s">
        <v>11763</v>
      </c>
      <c r="S116" s="4"/>
      <c r="T116" s="4"/>
      <c r="U116" s="4"/>
      <c r="V116" s="1" t="s">
        <v>11764</v>
      </c>
    </row>
    <row r="117" spans="1:22" x14ac:dyDescent="0.25">
      <c r="A117" s="1" t="s">
        <v>141</v>
      </c>
      <c r="B117" s="1" t="s">
        <v>11765</v>
      </c>
      <c r="C117" s="1" t="s">
        <v>11766</v>
      </c>
      <c r="D117" s="4"/>
      <c r="E117" s="1">
        <v>2016</v>
      </c>
      <c r="F117" s="4"/>
      <c r="G117" s="4"/>
      <c r="H117" s="1" t="s">
        <v>11767</v>
      </c>
      <c r="I117" s="1" t="s">
        <v>145</v>
      </c>
      <c r="J117" s="1" t="s">
        <v>11044</v>
      </c>
      <c r="K117" s="1" t="s">
        <v>11768</v>
      </c>
      <c r="L117" s="1" t="s">
        <v>11769</v>
      </c>
      <c r="M117" s="1">
        <v>2016</v>
      </c>
      <c r="N117" s="1">
        <v>9781450342186</v>
      </c>
      <c r="O117" s="4"/>
      <c r="P117" s="3" t="s">
        <v>11770</v>
      </c>
      <c r="Q117" s="1" t="s">
        <v>11771</v>
      </c>
      <c r="R117" s="1" t="s">
        <v>11772</v>
      </c>
      <c r="S117" s="1" t="s">
        <v>11773</v>
      </c>
      <c r="T117" s="4"/>
      <c r="U117" s="4"/>
      <c r="V117" s="1" t="s">
        <v>11774</v>
      </c>
    </row>
    <row r="118" spans="1:22" x14ac:dyDescent="0.25">
      <c r="A118" s="1" t="s">
        <v>141</v>
      </c>
      <c r="B118" s="1" t="s">
        <v>7521</v>
      </c>
      <c r="C118" s="1" t="s">
        <v>7522</v>
      </c>
      <c r="D118" s="4"/>
      <c r="E118" s="1">
        <v>2021</v>
      </c>
      <c r="F118" s="4"/>
      <c r="G118" s="4"/>
      <c r="H118" s="1" t="s">
        <v>11775</v>
      </c>
      <c r="I118" s="1" t="s">
        <v>11083</v>
      </c>
      <c r="J118" s="1" t="s">
        <v>11084</v>
      </c>
      <c r="K118" s="1" t="s">
        <v>11085</v>
      </c>
      <c r="L118" s="4"/>
      <c r="M118" s="1">
        <v>2021</v>
      </c>
      <c r="N118" s="1">
        <v>9781450390859</v>
      </c>
      <c r="O118" s="4"/>
      <c r="P118" s="3" t="s">
        <v>11776</v>
      </c>
      <c r="Q118" s="1" t="s">
        <v>7525</v>
      </c>
      <c r="R118" s="1" t="s">
        <v>11777</v>
      </c>
      <c r="S118" s="1" t="s">
        <v>11778</v>
      </c>
      <c r="T118" s="4"/>
      <c r="U118" s="4"/>
      <c r="V118" s="1" t="s">
        <v>11089</v>
      </c>
    </row>
    <row r="119" spans="1:22" x14ac:dyDescent="0.25">
      <c r="A119" s="1" t="s">
        <v>141</v>
      </c>
      <c r="B119" s="1" t="s">
        <v>4575</v>
      </c>
      <c r="C119" s="1" t="s">
        <v>4576</v>
      </c>
      <c r="D119" s="4"/>
      <c r="E119" s="1">
        <v>2020</v>
      </c>
      <c r="F119" s="4"/>
      <c r="G119" s="4"/>
      <c r="H119" s="1" t="s">
        <v>11779</v>
      </c>
      <c r="I119" s="1" t="s">
        <v>145</v>
      </c>
      <c r="J119" s="1" t="s">
        <v>11044</v>
      </c>
      <c r="K119" s="1" t="s">
        <v>11524</v>
      </c>
      <c r="L119" s="1" t="s">
        <v>11157</v>
      </c>
      <c r="M119" s="1">
        <v>2020</v>
      </c>
      <c r="N119" s="1">
        <v>9781450375177</v>
      </c>
      <c r="O119" s="4"/>
      <c r="P119" s="3" t="s">
        <v>11780</v>
      </c>
      <c r="Q119" s="1" t="s">
        <v>4579</v>
      </c>
      <c r="R119" s="1" t="s">
        <v>11781</v>
      </c>
      <c r="S119" s="1" t="s">
        <v>11782</v>
      </c>
      <c r="T119" s="4"/>
      <c r="U119" s="4"/>
      <c r="V119" s="1" t="s">
        <v>11527</v>
      </c>
    </row>
    <row r="120" spans="1:22" x14ac:dyDescent="0.25">
      <c r="A120" s="1" t="s">
        <v>141</v>
      </c>
      <c r="B120" s="1" t="s">
        <v>1095</v>
      </c>
      <c r="C120" s="1" t="s">
        <v>4193</v>
      </c>
      <c r="D120" s="4"/>
      <c r="E120" s="1">
        <v>2020</v>
      </c>
      <c r="F120" s="4"/>
      <c r="G120" s="4"/>
      <c r="H120" s="1" t="s">
        <v>11783</v>
      </c>
      <c r="I120" s="1" t="s">
        <v>145</v>
      </c>
      <c r="J120" s="1" t="s">
        <v>11044</v>
      </c>
      <c r="K120" s="1" t="s">
        <v>11524</v>
      </c>
      <c r="L120" s="1" t="s">
        <v>11157</v>
      </c>
      <c r="M120" s="1">
        <v>2020</v>
      </c>
      <c r="N120" s="1">
        <v>9781450375177</v>
      </c>
      <c r="O120" s="4"/>
      <c r="P120" s="3" t="s">
        <v>11784</v>
      </c>
      <c r="Q120" s="1" t="s">
        <v>4196</v>
      </c>
      <c r="R120" s="1" t="s">
        <v>11785</v>
      </c>
      <c r="S120" s="1" t="s">
        <v>11786</v>
      </c>
      <c r="T120" s="4"/>
      <c r="U120" s="4"/>
      <c r="V120" s="1" t="s">
        <v>11527</v>
      </c>
    </row>
    <row r="121" spans="1:22" x14ac:dyDescent="0.25">
      <c r="A121" s="1" t="s">
        <v>141</v>
      </c>
      <c r="B121" s="1" t="s">
        <v>6829</v>
      </c>
      <c r="C121" s="1" t="s">
        <v>11787</v>
      </c>
      <c r="D121" s="4"/>
      <c r="E121" s="1">
        <v>2022</v>
      </c>
      <c r="F121" s="4"/>
      <c r="G121" s="4"/>
      <c r="H121" s="1" t="s">
        <v>11788</v>
      </c>
      <c r="I121" s="1" t="s">
        <v>145</v>
      </c>
      <c r="J121" s="1" t="s">
        <v>11044</v>
      </c>
      <c r="K121" s="1" t="s">
        <v>11445</v>
      </c>
      <c r="L121" s="1" t="s">
        <v>11077</v>
      </c>
      <c r="M121" s="1">
        <v>2022</v>
      </c>
      <c r="N121" s="1">
        <v>9781450392266</v>
      </c>
      <c r="O121" s="4"/>
      <c r="P121" s="3" t="s">
        <v>11789</v>
      </c>
      <c r="Q121" s="1" t="s">
        <v>6833</v>
      </c>
      <c r="R121" s="1" t="s">
        <v>6834</v>
      </c>
      <c r="S121" s="1" t="s">
        <v>11790</v>
      </c>
      <c r="T121" s="4"/>
      <c r="U121" s="4"/>
      <c r="V121" s="1" t="s">
        <v>11449</v>
      </c>
    </row>
    <row r="122" spans="1:22" x14ac:dyDescent="0.25">
      <c r="A122" s="1" t="s">
        <v>141</v>
      </c>
      <c r="B122" s="1" t="s">
        <v>11791</v>
      </c>
      <c r="C122" s="1" t="s">
        <v>11792</v>
      </c>
      <c r="D122" s="4"/>
      <c r="E122" s="1">
        <v>2021</v>
      </c>
      <c r="F122" s="4"/>
      <c r="G122" s="4"/>
      <c r="H122" s="1" t="s">
        <v>11793</v>
      </c>
      <c r="I122" s="1" t="s">
        <v>145</v>
      </c>
      <c r="J122" s="1" t="s">
        <v>11044</v>
      </c>
      <c r="K122" s="1" t="s">
        <v>11653</v>
      </c>
      <c r="L122" s="1" t="s">
        <v>11654</v>
      </c>
      <c r="M122" s="1">
        <v>2021</v>
      </c>
      <c r="N122" s="1">
        <v>9781450386586</v>
      </c>
      <c r="O122" s="4"/>
      <c r="P122" s="3" t="s">
        <v>11794</v>
      </c>
      <c r="Q122" s="1" t="s">
        <v>11795</v>
      </c>
      <c r="R122" s="1" t="s">
        <v>11796</v>
      </c>
      <c r="S122" s="1" t="s">
        <v>11797</v>
      </c>
      <c r="T122" s="4"/>
      <c r="U122" s="4"/>
      <c r="V122" s="1" t="s">
        <v>11659</v>
      </c>
    </row>
    <row r="123" spans="1:22" x14ac:dyDescent="0.25">
      <c r="A123" s="1" t="s">
        <v>141</v>
      </c>
      <c r="B123" s="1" t="s">
        <v>11798</v>
      </c>
      <c r="C123" s="1" t="s">
        <v>11799</v>
      </c>
      <c r="D123" s="4"/>
      <c r="E123" s="1">
        <v>2020</v>
      </c>
      <c r="F123" s="4"/>
      <c r="G123" s="4"/>
      <c r="H123" s="1" t="s">
        <v>11800</v>
      </c>
      <c r="I123" s="1" t="s">
        <v>145</v>
      </c>
      <c r="J123" s="1" t="s">
        <v>11044</v>
      </c>
      <c r="K123" s="1" t="s">
        <v>11801</v>
      </c>
      <c r="L123" s="1" t="s">
        <v>11157</v>
      </c>
      <c r="M123" s="1">
        <v>2020</v>
      </c>
      <c r="N123" s="1">
        <v>9781450370936</v>
      </c>
      <c r="O123" s="4"/>
      <c r="P123" s="3" t="s">
        <v>11802</v>
      </c>
      <c r="Q123" s="1" t="s">
        <v>11803</v>
      </c>
      <c r="R123" s="1" t="s">
        <v>11804</v>
      </c>
      <c r="S123" s="1" t="s">
        <v>11805</v>
      </c>
      <c r="T123" s="4"/>
      <c r="U123" s="4"/>
      <c r="V123" s="1" t="s">
        <v>11806</v>
      </c>
    </row>
    <row r="124" spans="1:22" x14ac:dyDescent="0.25">
      <c r="A124" s="1" t="s">
        <v>141</v>
      </c>
      <c r="B124" s="1" t="s">
        <v>11807</v>
      </c>
      <c r="C124" s="1" t="s">
        <v>11808</v>
      </c>
      <c r="D124" s="4"/>
      <c r="E124" s="1">
        <v>2021</v>
      </c>
      <c r="F124" s="4"/>
      <c r="G124" s="4"/>
      <c r="H124" s="1" t="s">
        <v>11809</v>
      </c>
      <c r="I124" s="1" t="s">
        <v>145</v>
      </c>
      <c r="J124" s="1" t="s">
        <v>11044</v>
      </c>
      <c r="K124" s="1" t="s">
        <v>11810</v>
      </c>
      <c r="L124" s="1" t="s">
        <v>11483</v>
      </c>
      <c r="M124" s="1">
        <v>2021</v>
      </c>
      <c r="N124" s="1">
        <v>9781450385626</v>
      </c>
      <c r="O124" s="4"/>
      <c r="P124" s="3" t="s">
        <v>11811</v>
      </c>
      <c r="Q124" s="1" t="s">
        <v>11812</v>
      </c>
      <c r="R124" s="1" t="s">
        <v>11813</v>
      </c>
      <c r="S124" s="1" t="s">
        <v>11814</v>
      </c>
      <c r="T124" s="4"/>
      <c r="U124" s="4"/>
      <c r="V124" s="1" t="s">
        <v>11815</v>
      </c>
    </row>
    <row r="125" spans="1:22" x14ac:dyDescent="0.25">
      <c r="A125" s="1" t="s">
        <v>141</v>
      </c>
      <c r="B125" s="1" t="s">
        <v>7854</v>
      </c>
      <c r="C125" s="1" t="s">
        <v>7855</v>
      </c>
      <c r="D125" s="4"/>
      <c r="E125" s="1">
        <v>2018</v>
      </c>
      <c r="F125" s="4"/>
      <c r="G125" s="4"/>
      <c r="H125" s="1" t="s">
        <v>11816</v>
      </c>
      <c r="I125" s="1" t="s">
        <v>145</v>
      </c>
      <c r="J125" s="1" t="s">
        <v>11044</v>
      </c>
      <c r="K125" s="1" t="s">
        <v>11817</v>
      </c>
      <c r="L125" s="1" t="s">
        <v>11105</v>
      </c>
      <c r="M125" s="1">
        <v>2018</v>
      </c>
      <c r="N125" s="1">
        <v>9781450357371</v>
      </c>
      <c r="O125" s="4"/>
      <c r="P125" s="3" t="s">
        <v>11818</v>
      </c>
      <c r="Q125" s="1" t="s">
        <v>11819</v>
      </c>
      <c r="R125" s="1" t="s">
        <v>7857</v>
      </c>
      <c r="S125" s="1" t="s">
        <v>11820</v>
      </c>
      <c r="T125" s="4"/>
      <c r="U125" s="4"/>
      <c r="V125" s="1" t="s">
        <v>11821</v>
      </c>
    </row>
    <row r="126" spans="1:22" x14ac:dyDescent="0.25">
      <c r="A126" s="1" t="s">
        <v>141</v>
      </c>
      <c r="B126" s="1" t="s">
        <v>2386</v>
      </c>
      <c r="C126" s="1" t="s">
        <v>11822</v>
      </c>
      <c r="D126" s="4"/>
      <c r="E126" s="1">
        <v>2022</v>
      </c>
      <c r="F126" s="4"/>
      <c r="G126" s="4"/>
      <c r="H126" s="1" t="s">
        <v>11823</v>
      </c>
      <c r="I126" s="1" t="s">
        <v>145</v>
      </c>
      <c r="J126" s="1" t="s">
        <v>11044</v>
      </c>
      <c r="K126" s="1" t="s">
        <v>11319</v>
      </c>
      <c r="L126" s="1" t="s">
        <v>11077</v>
      </c>
      <c r="M126" s="1">
        <v>2022</v>
      </c>
      <c r="N126" s="1">
        <v>9781450392754</v>
      </c>
      <c r="O126" s="4"/>
      <c r="P126" s="3" t="s">
        <v>11824</v>
      </c>
      <c r="Q126" s="1" t="s">
        <v>2390</v>
      </c>
      <c r="R126" s="1" t="s">
        <v>11825</v>
      </c>
      <c r="S126" s="4"/>
      <c r="T126" s="4"/>
      <c r="U126" s="4"/>
      <c r="V126" s="1" t="s">
        <v>11323</v>
      </c>
    </row>
    <row r="127" spans="1:22" x14ac:dyDescent="0.25">
      <c r="A127" s="1" t="s">
        <v>13</v>
      </c>
      <c r="B127" s="1" t="s">
        <v>11826</v>
      </c>
      <c r="C127" s="1" t="s">
        <v>11827</v>
      </c>
      <c r="D127" s="1" t="s">
        <v>11061</v>
      </c>
      <c r="E127" s="1">
        <v>2019</v>
      </c>
      <c r="F127" s="1">
        <v>43</v>
      </c>
      <c r="G127" s="1">
        <v>4</v>
      </c>
      <c r="H127" s="1" t="s">
        <v>11828</v>
      </c>
      <c r="I127" s="1" t="s">
        <v>145</v>
      </c>
      <c r="J127" s="1" t="s">
        <v>11044</v>
      </c>
      <c r="K127" s="4"/>
      <c r="L127" s="4"/>
      <c r="M127" s="6">
        <v>43466</v>
      </c>
      <c r="N127" s="4"/>
      <c r="O127" s="1" t="s">
        <v>11063</v>
      </c>
      <c r="P127" s="3" t="s">
        <v>11829</v>
      </c>
      <c r="Q127" s="1" t="s">
        <v>11830</v>
      </c>
      <c r="R127" s="1" t="s">
        <v>11831</v>
      </c>
      <c r="S127" s="1" t="s">
        <v>11832</v>
      </c>
      <c r="T127" s="4"/>
      <c r="U127" s="4"/>
      <c r="V127" s="4"/>
    </row>
    <row r="128" spans="1:22" x14ac:dyDescent="0.25">
      <c r="A128" s="1" t="s">
        <v>141</v>
      </c>
      <c r="B128" s="1" t="s">
        <v>7089</v>
      </c>
      <c r="C128" s="1" t="s">
        <v>7090</v>
      </c>
      <c r="D128" s="4"/>
      <c r="E128" s="1">
        <v>2019</v>
      </c>
      <c r="F128" s="4"/>
      <c r="G128" s="4"/>
      <c r="H128" s="1" t="s">
        <v>11250</v>
      </c>
      <c r="I128" s="1" t="s">
        <v>11083</v>
      </c>
      <c r="J128" s="1" t="s">
        <v>11147</v>
      </c>
      <c r="K128" s="1" t="s">
        <v>11452</v>
      </c>
      <c r="L128" s="4"/>
      <c r="M128" s="1">
        <v>2019</v>
      </c>
      <c r="N128" s="4"/>
      <c r="O128" s="4"/>
      <c r="P128" s="3" t="s">
        <v>11833</v>
      </c>
      <c r="Q128" s="1" t="s">
        <v>7093</v>
      </c>
      <c r="R128" s="1" t="s">
        <v>11834</v>
      </c>
      <c r="S128" s="1" t="s">
        <v>11835</v>
      </c>
      <c r="T128" s="4"/>
      <c r="U128" s="4"/>
      <c r="V128" s="1" t="s">
        <v>11836</v>
      </c>
    </row>
    <row r="129" spans="1:22" x14ac:dyDescent="0.25">
      <c r="A129" s="1" t="s">
        <v>141</v>
      </c>
      <c r="B129" s="1" t="s">
        <v>7296</v>
      </c>
      <c r="C129" s="1" t="s">
        <v>1664</v>
      </c>
      <c r="D129" s="4"/>
      <c r="E129" s="1">
        <v>2022</v>
      </c>
      <c r="F129" s="4"/>
      <c r="G129" s="4"/>
      <c r="H129" s="1" t="s">
        <v>11837</v>
      </c>
      <c r="I129" s="1" t="s">
        <v>145</v>
      </c>
      <c r="J129" s="1" t="s">
        <v>11044</v>
      </c>
      <c r="K129" s="1" t="s">
        <v>11319</v>
      </c>
      <c r="L129" s="1" t="s">
        <v>11077</v>
      </c>
      <c r="M129" s="1">
        <v>2022</v>
      </c>
      <c r="N129" s="1">
        <v>9781450392754</v>
      </c>
      <c r="O129" s="4"/>
      <c r="P129" s="3" t="s">
        <v>11838</v>
      </c>
      <c r="Q129" s="1" t="s">
        <v>1667</v>
      </c>
      <c r="R129" s="1" t="s">
        <v>7299</v>
      </c>
      <c r="S129" s="4"/>
      <c r="T129" s="4"/>
      <c r="U129" s="4"/>
      <c r="V129" s="1" t="s">
        <v>11323</v>
      </c>
    </row>
    <row r="130" spans="1:22" x14ac:dyDescent="0.25">
      <c r="A130" s="1" t="s">
        <v>141</v>
      </c>
      <c r="B130" s="1" t="s">
        <v>7070</v>
      </c>
      <c r="C130" s="1" t="s">
        <v>11839</v>
      </c>
      <c r="D130" s="4"/>
      <c r="E130" s="1">
        <v>2022</v>
      </c>
      <c r="F130" s="4"/>
      <c r="G130" s="4"/>
      <c r="H130" s="1" t="s">
        <v>11840</v>
      </c>
      <c r="I130" s="1" t="s">
        <v>145</v>
      </c>
      <c r="J130" s="1" t="s">
        <v>11044</v>
      </c>
      <c r="K130" s="1" t="s">
        <v>11265</v>
      </c>
      <c r="L130" s="1" t="s">
        <v>11266</v>
      </c>
      <c r="M130" s="1">
        <v>2022</v>
      </c>
      <c r="N130" s="1">
        <v>9781450392983</v>
      </c>
      <c r="O130" s="4"/>
      <c r="P130" s="3" t="s">
        <v>11841</v>
      </c>
      <c r="Q130" s="1" t="s">
        <v>7074</v>
      </c>
      <c r="R130" s="1" t="s">
        <v>7075</v>
      </c>
      <c r="S130" s="1" t="s">
        <v>11842</v>
      </c>
      <c r="T130" s="4"/>
      <c r="U130" s="4"/>
      <c r="V130" s="1" t="s">
        <v>11270</v>
      </c>
    </row>
    <row r="131" spans="1:22" x14ac:dyDescent="0.25">
      <c r="A131" s="1" t="s">
        <v>141</v>
      </c>
      <c r="B131" s="1" t="s">
        <v>5750</v>
      </c>
      <c r="C131" s="1" t="s">
        <v>6874</v>
      </c>
      <c r="D131" s="4"/>
      <c r="E131" s="1">
        <v>2018</v>
      </c>
      <c r="F131" s="4"/>
      <c r="G131" s="4"/>
      <c r="H131" s="1" t="s">
        <v>11843</v>
      </c>
      <c r="I131" s="1" t="s">
        <v>145</v>
      </c>
      <c r="J131" s="1" t="s">
        <v>11044</v>
      </c>
      <c r="K131" s="1" t="s">
        <v>11844</v>
      </c>
      <c r="L131" s="1" t="s">
        <v>11105</v>
      </c>
      <c r="M131" s="1">
        <v>2018</v>
      </c>
      <c r="N131" s="1">
        <v>9781450357401</v>
      </c>
      <c r="O131" s="4"/>
      <c r="P131" s="3" t="s">
        <v>11845</v>
      </c>
      <c r="Q131" s="1" t="s">
        <v>5754</v>
      </c>
      <c r="R131" s="1" t="s">
        <v>11846</v>
      </c>
      <c r="S131" s="1" t="s">
        <v>11847</v>
      </c>
      <c r="T131" s="4"/>
      <c r="U131" s="4"/>
      <c r="V131" s="1" t="s">
        <v>11848</v>
      </c>
    </row>
    <row r="132" spans="1:22" x14ac:dyDescent="0.25">
      <c r="A132" s="1" t="s">
        <v>141</v>
      </c>
      <c r="B132" s="1" t="s">
        <v>11849</v>
      </c>
      <c r="C132" s="1" t="s">
        <v>11850</v>
      </c>
      <c r="D132" s="4"/>
      <c r="E132" s="1">
        <v>2019</v>
      </c>
      <c r="F132" s="4"/>
      <c r="G132" s="4"/>
      <c r="H132" s="1" t="s">
        <v>11851</v>
      </c>
      <c r="I132" s="1" t="s">
        <v>11083</v>
      </c>
      <c r="J132" s="1" t="s">
        <v>11147</v>
      </c>
      <c r="K132" s="1" t="s">
        <v>11852</v>
      </c>
      <c r="L132" s="4"/>
      <c r="M132" s="1">
        <v>2019</v>
      </c>
      <c r="N132" s="4"/>
      <c r="O132" s="4"/>
      <c r="P132" s="3" t="s">
        <v>11853</v>
      </c>
      <c r="Q132" s="1" t="s">
        <v>4354</v>
      </c>
      <c r="R132" s="1" t="s">
        <v>6807</v>
      </c>
      <c r="S132" s="4"/>
      <c r="T132" s="4"/>
      <c r="U132" s="4"/>
      <c r="V132" s="1" t="s">
        <v>11854</v>
      </c>
    </row>
    <row r="133" spans="1:22" x14ac:dyDescent="0.25">
      <c r="A133" s="1" t="s">
        <v>141</v>
      </c>
      <c r="B133" s="1" t="s">
        <v>5737</v>
      </c>
      <c r="C133" s="1" t="s">
        <v>7498</v>
      </c>
      <c r="D133" s="4"/>
      <c r="E133" s="1">
        <v>2018</v>
      </c>
      <c r="F133" s="4"/>
      <c r="G133" s="4"/>
      <c r="H133" s="1" t="s">
        <v>11855</v>
      </c>
      <c r="I133" s="1" t="s">
        <v>145</v>
      </c>
      <c r="J133" s="1" t="s">
        <v>11044</v>
      </c>
      <c r="K133" s="1" t="s">
        <v>11281</v>
      </c>
      <c r="L133" s="1" t="s">
        <v>11105</v>
      </c>
      <c r="M133" s="1">
        <v>2018</v>
      </c>
      <c r="N133" s="1">
        <v>9781450357166</v>
      </c>
      <c r="O133" s="4"/>
      <c r="P133" s="3" t="s">
        <v>11856</v>
      </c>
      <c r="Q133" s="1" t="s">
        <v>5741</v>
      </c>
      <c r="R133" s="1" t="s">
        <v>7500</v>
      </c>
      <c r="S133" s="4"/>
      <c r="T133" s="4"/>
      <c r="U133" s="4"/>
      <c r="V133" s="1" t="s">
        <v>11283</v>
      </c>
    </row>
    <row r="134" spans="1:22" x14ac:dyDescent="0.25">
      <c r="A134" s="1" t="s">
        <v>141</v>
      </c>
      <c r="B134" s="1" t="s">
        <v>11857</v>
      </c>
      <c r="C134" s="1" t="s">
        <v>11858</v>
      </c>
      <c r="D134" s="4"/>
      <c r="E134" s="1">
        <v>2019</v>
      </c>
      <c r="F134" s="4"/>
      <c r="G134" s="4"/>
      <c r="H134" s="1" t="s">
        <v>11155</v>
      </c>
      <c r="I134" s="1" t="s">
        <v>145</v>
      </c>
      <c r="J134" s="1" t="s">
        <v>11044</v>
      </c>
      <c r="K134" s="1" t="s">
        <v>11859</v>
      </c>
      <c r="L134" s="1" t="s">
        <v>11483</v>
      </c>
      <c r="M134" s="1">
        <v>2019</v>
      </c>
      <c r="N134" s="1">
        <v>9781450369855</v>
      </c>
      <c r="O134" s="4"/>
      <c r="P134" s="3" t="s">
        <v>11860</v>
      </c>
      <c r="Q134" s="1" t="s">
        <v>11861</v>
      </c>
      <c r="R134" s="1" t="s">
        <v>11862</v>
      </c>
      <c r="S134" s="1" t="s">
        <v>11863</v>
      </c>
      <c r="T134" s="4"/>
      <c r="U134" s="4"/>
      <c r="V134" s="1" t="s">
        <v>11864</v>
      </c>
    </row>
    <row r="135" spans="1:22" x14ac:dyDescent="0.25">
      <c r="A135" s="1" t="s">
        <v>141</v>
      </c>
      <c r="B135" s="1" t="s">
        <v>11865</v>
      </c>
      <c r="C135" s="1" t="s">
        <v>11866</v>
      </c>
      <c r="D135" s="4"/>
      <c r="E135" s="1">
        <v>2021</v>
      </c>
      <c r="F135" s="4"/>
      <c r="G135" s="4"/>
      <c r="H135" s="1">
        <v>25</v>
      </c>
      <c r="I135" s="1" t="s">
        <v>145</v>
      </c>
      <c r="J135" s="1" t="s">
        <v>11044</v>
      </c>
      <c r="K135" s="1" t="s">
        <v>11653</v>
      </c>
      <c r="L135" s="1" t="s">
        <v>11654</v>
      </c>
      <c r="M135" s="1">
        <v>2021</v>
      </c>
      <c r="N135" s="1">
        <v>9781450386586</v>
      </c>
      <c r="O135" s="4"/>
      <c r="P135" s="3" t="s">
        <v>11867</v>
      </c>
      <c r="Q135" s="1" t="s">
        <v>11868</v>
      </c>
      <c r="R135" s="1" t="s">
        <v>11869</v>
      </c>
      <c r="S135" s="1" t="s">
        <v>11870</v>
      </c>
      <c r="T135" s="4"/>
      <c r="U135" s="4"/>
      <c r="V135" s="1" t="s">
        <v>11659</v>
      </c>
    </row>
    <row r="136" spans="1:22" x14ac:dyDescent="0.25">
      <c r="A136" s="1" t="s">
        <v>141</v>
      </c>
      <c r="B136" s="1" t="s">
        <v>398</v>
      </c>
      <c r="C136" s="1" t="s">
        <v>399</v>
      </c>
      <c r="D136" s="4"/>
      <c r="E136" s="1">
        <v>2022</v>
      </c>
      <c r="F136" s="4"/>
      <c r="G136" s="4"/>
      <c r="H136" s="1" t="s">
        <v>11871</v>
      </c>
      <c r="I136" s="1" t="s">
        <v>145</v>
      </c>
      <c r="J136" s="1" t="s">
        <v>11044</v>
      </c>
      <c r="K136" s="1" t="s">
        <v>11872</v>
      </c>
      <c r="L136" s="1" t="s">
        <v>11873</v>
      </c>
      <c r="M136" s="1">
        <v>2022</v>
      </c>
      <c r="N136" s="1">
        <v>9781450393850</v>
      </c>
      <c r="O136" s="4"/>
      <c r="P136" s="3" t="s">
        <v>11874</v>
      </c>
      <c r="Q136" s="1" t="s">
        <v>402</v>
      </c>
      <c r="R136" s="1" t="s">
        <v>11875</v>
      </c>
      <c r="S136" s="1" t="s">
        <v>11876</v>
      </c>
      <c r="T136" s="4"/>
      <c r="U136" s="4"/>
      <c r="V136" s="1" t="s">
        <v>11877</v>
      </c>
    </row>
    <row r="137" spans="1:22" x14ac:dyDescent="0.25">
      <c r="A137" s="1" t="s">
        <v>141</v>
      </c>
      <c r="B137" s="1" t="s">
        <v>1981</v>
      </c>
      <c r="C137" s="1" t="s">
        <v>11878</v>
      </c>
      <c r="D137" s="4"/>
      <c r="E137" s="1">
        <v>2022</v>
      </c>
      <c r="F137" s="4"/>
      <c r="G137" s="4"/>
      <c r="H137" s="1" t="s">
        <v>11879</v>
      </c>
      <c r="I137" s="1" t="s">
        <v>145</v>
      </c>
      <c r="J137" s="1" t="s">
        <v>11044</v>
      </c>
      <c r="K137" s="1" t="s">
        <v>11326</v>
      </c>
      <c r="L137" s="1" t="s">
        <v>11077</v>
      </c>
      <c r="M137" s="1">
        <v>2022</v>
      </c>
      <c r="N137" s="1">
        <v>9781450393034</v>
      </c>
      <c r="O137" s="4"/>
      <c r="P137" s="3" t="s">
        <v>11880</v>
      </c>
      <c r="Q137" s="1" t="s">
        <v>1985</v>
      </c>
      <c r="R137" s="1" t="s">
        <v>11881</v>
      </c>
      <c r="S137" s="1" t="s">
        <v>11882</v>
      </c>
      <c r="T137" s="4"/>
      <c r="U137" s="4"/>
      <c r="V137" s="1" t="s">
        <v>11329</v>
      </c>
    </row>
    <row r="138" spans="1:22" x14ac:dyDescent="0.25">
      <c r="A138" s="1" t="s">
        <v>141</v>
      </c>
      <c r="B138" s="1" t="s">
        <v>2630</v>
      </c>
      <c r="C138" s="1" t="s">
        <v>2631</v>
      </c>
      <c r="D138" s="4"/>
      <c r="E138" s="1">
        <v>2022</v>
      </c>
      <c r="F138" s="4"/>
      <c r="G138" s="4"/>
      <c r="H138" s="1" t="s">
        <v>11883</v>
      </c>
      <c r="I138" s="1" t="s">
        <v>145</v>
      </c>
      <c r="J138" s="1" t="s">
        <v>11044</v>
      </c>
      <c r="K138" s="1" t="s">
        <v>11884</v>
      </c>
      <c r="L138" s="1" t="s">
        <v>11077</v>
      </c>
      <c r="M138" s="1">
        <v>2022</v>
      </c>
      <c r="N138" s="1">
        <v>9781450392211</v>
      </c>
      <c r="O138" s="4"/>
      <c r="P138" s="3" t="s">
        <v>11885</v>
      </c>
      <c r="Q138" s="1" t="s">
        <v>2634</v>
      </c>
      <c r="R138" s="1" t="s">
        <v>11886</v>
      </c>
      <c r="S138" s="1" t="s">
        <v>11887</v>
      </c>
      <c r="T138" s="4"/>
      <c r="U138" s="4"/>
      <c r="V138" s="1" t="s">
        <v>11634</v>
      </c>
    </row>
    <row r="139" spans="1:22" x14ac:dyDescent="0.25">
      <c r="A139" s="1" t="s">
        <v>141</v>
      </c>
      <c r="B139" s="1" t="s">
        <v>5829</v>
      </c>
      <c r="C139" s="1" t="s">
        <v>5830</v>
      </c>
      <c r="D139" s="4"/>
      <c r="E139" s="1">
        <v>2017</v>
      </c>
      <c r="F139" s="4"/>
      <c r="G139" s="4"/>
      <c r="H139" s="1" t="s">
        <v>11888</v>
      </c>
      <c r="I139" s="1" t="s">
        <v>11083</v>
      </c>
      <c r="J139" s="1" t="s">
        <v>11606</v>
      </c>
      <c r="K139" s="1" t="s">
        <v>11607</v>
      </c>
      <c r="L139" s="4"/>
      <c r="M139" s="1">
        <v>2017</v>
      </c>
      <c r="N139" s="1">
        <v>9781509040391</v>
      </c>
      <c r="O139" s="4"/>
      <c r="P139" s="3" t="s">
        <v>11889</v>
      </c>
      <c r="Q139" s="1" t="s">
        <v>5833</v>
      </c>
      <c r="R139" s="1" t="s">
        <v>7584</v>
      </c>
      <c r="S139" s="1" t="s">
        <v>11890</v>
      </c>
      <c r="T139" s="4"/>
      <c r="U139" s="4"/>
      <c r="V139" s="1" t="s">
        <v>11610</v>
      </c>
    </row>
    <row r="140" spans="1:22" x14ac:dyDescent="0.25">
      <c r="A140" s="1" t="s">
        <v>141</v>
      </c>
      <c r="B140" s="1" t="s">
        <v>11891</v>
      </c>
      <c r="C140" s="1" t="s">
        <v>11892</v>
      </c>
      <c r="D140" s="4"/>
      <c r="E140" s="1">
        <v>2020</v>
      </c>
      <c r="F140" s="4"/>
      <c r="G140" s="4"/>
      <c r="H140" s="1" t="s">
        <v>11893</v>
      </c>
      <c r="I140" s="1" t="s">
        <v>145</v>
      </c>
      <c r="J140" s="1" t="s">
        <v>11044</v>
      </c>
      <c r="K140" s="1" t="s">
        <v>11894</v>
      </c>
      <c r="L140" s="1" t="s">
        <v>11157</v>
      </c>
      <c r="M140" s="1">
        <v>2020</v>
      </c>
      <c r="N140" s="1">
        <v>9781450379588</v>
      </c>
      <c r="O140" s="4"/>
      <c r="P140" s="3" t="s">
        <v>11895</v>
      </c>
      <c r="Q140" s="1" t="s">
        <v>11896</v>
      </c>
      <c r="R140" s="1" t="s">
        <v>11897</v>
      </c>
      <c r="S140" s="1" t="s">
        <v>11898</v>
      </c>
      <c r="T140" s="4"/>
      <c r="U140" s="4"/>
      <c r="V140" s="1" t="s">
        <v>11899</v>
      </c>
    </row>
    <row r="141" spans="1:22" x14ac:dyDescent="0.25">
      <c r="A141" s="1" t="s">
        <v>141</v>
      </c>
      <c r="B141" s="1" t="s">
        <v>11900</v>
      </c>
      <c r="C141" s="1" t="s">
        <v>11901</v>
      </c>
      <c r="D141" s="4"/>
      <c r="E141" s="1">
        <v>2022</v>
      </c>
      <c r="F141" s="4"/>
      <c r="G141" s="4"/>
      <c r="H141" s="4"/>
      <c r="I141" s="1" t="s">
        <v>145</v>
      </c>
      <c r="J141" s="1" t="s">
        <v>11044</v>
      </c>
      <c r="K141" s="1" t="s">
        <v>11902</v>
      </c>
      <c r="L141" s="1" t="s">
        <v>11903</v>
      </c>
      <c r="M141" s="1">
        <v>2022</v>
      </c>
      <c r="N141" s="1">
        <v>9781450396189</v>
      </c>
      <c r="O141" s="4"/>
      <c r="P141" s="3" t="s">
        <v>11904</v>
      </c>
      <c r="Q141" s="1" t="s">
        <v>11905</v>
      </c>
      <c r="R141" s="1" t="s">
        <v>11906</v>
      </c>
      <c r="S141" s="1" t="s">
        <v>11907</v>
      </c>
      <c r="T141" s="4"/>
      <c r="U141" s="4"/>
      <c r="V141" s="1" t="s">
        <v>11908</v>
      </c>
    </row>
    <row r="142" spans="1:22" x14ac:dyDescent="0.25">
      <c r="A142" s="1" t="s">
        <v>141</v>
      </c>
      <c r="B142" s="1" t="s">
        <v>7628</v>
      </c>
      <c r="C142" s="1" t="s">
        <v>11909</v>
      </c>
      <c r="D142" s="4"/>
      <c r="E142" s="1">
        <v>2019</v>
      </c>
      <c r="F142" s="4"/>
      <c r="G142" s="4"/>
      <c r="H142" s="1" t="s">
        <v>11910</v>
      </c>
      <c r="I142" s="1" t="s">
        <v>11083</v>
      </c>
      <c r="J142" s="1" t="s">
        <v>11147</v>
      </c>
      <c r="K142" s="1" t="s">
        <v>11911</v>
      </c>
      <c r="L142" s="4"/>
      <c r="M142" s="1">
        <v>2019</v>
      </c>
      <c r="N142" s="4"/>
      <c r="O142" s="4"/>
      <c r="P142" s="3" t="s">
        <v>11912</v>
      </c>
      <c r="Q142" s="1" t="s">
        <v>7633</v>
      </c>
      <c r="R142" s="1" t="s">
        <v>7634</v>
      </c>
      <c r="S142" s="1" t="s">
        <v>11913</v>
      </c>
      <c r="T142" s="4"/>
      <c r="U142" s="4"/>
      <c r="V142" s="1" t="s">
        <v>11914</v>
      </c>
    </row>
    <row r="143" spans="1:22" x14ac:dyDescent="0.25">
      <c r="A143" s="1" t="s">
        <v>13</v>
      </c>
      <c r="B143" s="1" t="s">
        <v>11915</v>
      </c>
      <c r="C143" s="1" t="s">
        <v>11916</v>
      </c>
      <c r="D143" s="1" t="s">
        <v>11246</v>
      </c>
      <c r="E143" s="1">
        <v>2022</v>
      </c>
      <c r="F143" s="1">
        <v>31</v>
      </c>
      <c r="G143" s="1">
        <v>3</v>
      </c>
      <c r="H143" s="4"/>
      <c r="I143" s="1" t="s">
        <v>145</v>
      </c>
      <c r="J143" s="1" t="s">
        <v>11044</v>
      </c>
      <c r="K143" s="4"/>
      <c r="L143" s="4"/>
      <c r="M143" s="6">
        <v>44621</v>
      </c>
      <c r="N143" s="4"/>
      <c r="O143" s="1" t="s">
        <v>329</v>
      </c>
      <c r="P143" s="3" t="s">
        <v>11917</v>
      </c>
      <c r="Q143" s="1" t="s">
        <v>11918</v>
      </c>
      <c r="R143" s="1" t="s">
        <v>11919</v>
      </c>
      <c r="S143" s="1" t="s">
        <v>11920</v>
      </c>
      <c r="T143" s="4"/>
      <c r="U143" s="4"/>
      <c r="V143" s="4"/>
    </row>
    <row r="144" spans="1:22" x14ac:dyDescent="0.25">
      <c r="A144" s="1" t="s">
        <v>13</v>
      </c>
      <c r="B144" s="1" t="s">
        <v>11921</v>
      </c>
      <c r="C144" s="1" t="s">
        <v>11922</v>
      </c>
      <c r="D144" s="1" t="s">
        <v>11061</v>
      </c>
      <c r="E144" s="1">
        <v>2020</v>
      </c>
      <c r="F144" s="1">
        <v>45</v>
      </c>
      <c r="G144" s="1">
        <v>1</v>
      </c>
      <c r="H144" s="1" t="s">
        <v>11923</v>
      </c>
      <c r="I144" s="1" t="s">
        <v>145</v>
      </c>
      <c r="J144" s="1" t="s">
        <v>11044</v>
      </c>
      <c r="K144" s="4"/>
      <c r="L144" s="4"/>
      <c r="M144" s="6">
        <v>43831</v>
      </c>
      <c r="N144" s="4"/>
      <c r="O144" s="1" t="s">
        <v>11063</v>
      </c>
      <c r="P144" s="3" t="s">
        <v>11924</v>
      </c>
      <c r="Q144" s="1" t="s">
        <v>11925</v>
      </c>
      <c r="R144" s="1" t="s">
        <v>11926</v>
      </c>
      <c r="S144" s="4"/>
      <c r="T144" s="4"/>
      <c r="U144" s="4"/>
      <c r="V144" s="4"/>
    </row>
    <row r="145" spans="1:22" x14ac:dyDescent="0.25">
      <c r="A145" s="1" t="s">
        <v>141</v>
      </c>
      <c r="B145" s="1" t="s">
        <v>11927</v>
      </c>
      <c r="C145" s="1" t="s">
        <v>11928</v>
      </c>
      <c r="D145" s="4"/>
      <c r="E145" s="1">
        <v>2018</v>
      </c>
      <c r="F145" s="4"/>
      <c r="G145" s="4"/>
      <c r="H145" s="1" t="s">
        <v>11929</v>
      </c>
      <c r="I145" s="1" t="s">
        <v>145</v>
      </c>
      <c r="J145" s="1" t="s">
        <v>11044</v>
      </c>
      <c r="K145" s="1" t="s">
        <v>11930</v>
      </c>
      <c r="L145" s="1" t="s">
        <v>11931</v>
      </c>
      <c r="M145" s="1">
        <v>2018</v>
      </c>
      <c r="N145" s="1">
        <v>9781450355735</v>
      </c>
      <c r="O145" s="4"/>
      <c r="P145" s="3" t="s">
        <v>11932</v>
      </c>
      <c r="Q145" s="1" t="s">
        <v>11933</v>
      </c>
      <c r="R145" s="1" t="s">
        <v>11934</v>
      </c>
      <c r="S145" s="1" t="s">
        <v>11935</v>
      </c>
      <c r="T145" s="4"/>
      <c r="U145" s="4"/>
      <c r="V145" s="1" t="s">
        <v>11936</v>
      </c>
    </row>
    <row r="146" spans="1:22" x14ac:dyDescent="0.25">
      <c r="A146" s="1" t="s">
        <v>141</v>
      </c>
      <c r="B146" s="1" t="s">
        <v>6842</v>
      </c>
      <c r="C146" s="1" t="s">
        <v>11937</v>
      </c>
      <c r="D146" s="4"/>
      <c r="E146" s="1">
        <v>2021</v>
      </c>
      <c r="F146" s="4"/>
      <c r="G146" s="4"/>
      <c r="H146" s="1" t="s">
        <v>11938</v>
      </c>
      <c r="I146" s="1" t="s">
        <v>145</v>
      </c>
      <c r="J146" s="1" t="s">
        <v>11044</v>
      </c>
      <c r="K146" s="1" t="s">
        <v>11578</v>
      </c>
      <c r="L146" s="1" t="s">
        <v>11579</v>
      </c>
      <c r="M146" s="1">
        <v>2021</v>
      </c>
      <c r="N146" s="1">
        <v>9781450367684</v>
      </c>
      <c r="O146" s="4"/>
      <c r="P146" s="3" t="s">
        <v>11939</v>
      </c>
      <c r="Q146" s="1" t="s">
        <v>11940</v>
      </c>
      <c r="R146" s="1" t="s">
        <v>11941</v>
      </c>
      <c r="S146" s="1" t="s">
        <v>11942</v>
      </c>
      <c r="T146" s="4"/>
      <c r="U146" s="4"/>
      <c r="V146" s="1" t="s">
        <v>11583</v>
      </c>
    </row>
    <row r="147" spans="1:22" x14ac:dyDescent="0.25">
      <c r="A147" s="1" t="s">
        <v>141</v>
      </c>
      <c r="B147" s="1" t="s">
        <v>6842</v>
      </c>
      <c r="C147" s="1" t="s">
        <v>7685</v>
      </c>
      <c r="D147" s="4"/>
      <c r="E147" s="1">
        <v>2020</v>
      </c>
      <c r="F147" s="4"/>
      <c r="G147" s="4"/>
      <c r="H147" s="1" t="s">
        <v>11943</v>
      </c>
      <c r="I147" s="1" t="s">
        <v>11083</v>
      </c>
      <c r="J147" s="1" t="s">
        <v>11944</v>
      </c>
      <c r="K147" s="1" t="s">
        <v>11945</v>
      </c>
      <c r="L147" s="4"/>
      <c r="M147" s="1">
        <v>2020</v>
      </c>
      <c r="N147" s="1">
        <v>9781728125084</v>
      </c>
      <c r="O147" s="4"/>
      <c r="P147" s="3" t="s">
        <v>11946</v>
      </c>
      <c r="Q147" s="1" t="s">
        <v>5018</v>
      </c>
      <c r="R147" s="1" t="s">
        <v>7689</v>
      </c>
      <c r="S147" s="4"/>
      <c r="T147" s="4"/>
      <c r="U147" s="4"/>
      <c r="V147" s="1" t="s">
        <v>11947</v>
      </c>
    </row>
    <row r="148" spans="1:22" x14ac:dyDescent="0.25">
      <c r="A148" s="1" t="s">
        <v>141</v>
      </c>
      <c r="B148" s="1" t="s">
        <v>2016</v>
      </c>
      <c r="C148" s="1" t="s">
        <v>11948</v>
      </c>
      <c r="D148" s="4"/>
      <c r="E148" s="1">
        <v>2021</v>
      </c>
      <c r="F148" s="4"/>
      <c r="G148" s="4"/>
      <c r="H148" s="1" t="s">
        <v>11949</v>
      </c>
      <c r="I148" s="1" t="s">
        <v>145</v>
      </c>
      <c r="J148" s="1" t="s">
        <v>11044</v>
      </c>
      <c r="K148" s="1" t="s">
        <v>11053</v>
      </c>
      <c r="L148" s="1" t="s">
        <v>11054</v>
      </c>
      <c r="M148" s="1">
        <v>2021</v>
      </c>
      <c r="N148" s="1">
        <v>9781450390538</v>
      </c>
      <c r="O148" s="4"/>
      <c r="P148" s="3" t="s">
        <v>11950</v>
      </c>
      <c r="Q148" s="1" t="s">
        <v>2020</v>
      </c>
      <c r="R148" s="1" t="s">
        <v>11951</v>
      </c>
      <c r="S148" s="1" t="s">
        <v>11952</v>
      </c>
      <c r="T148" s="4"/>
      <c r="U148" s="4"/>
      <c r="V148" s="1" t="s">
        <v>11058</v>
      </c>
    </row>
    <row r="149" spans="1:22" x14ac:dyDescent="0.25">
      <c r="A149" s="1" t="s">
        <v>141</v>
      </c>
      <c r="B149" s="1" t="s">
        <v>11953</v>
      </c>
      <c r="C149" s="1" t="s">
        <v>11954</v>
      </c>
      <c r="D149" s="4"/>
      <c r="E149" s="1">
        <v>2015</v>
      </c>
      <c r="F149" s="4"/>
      <c r="G149" s="4"/>
      <c r="H149" s="1" t="s">
        <v>11955</v>
      </c>
      <c r="I149" s="1" t="s">
        <v>11083</v>
      </c>
      <c r="J149" s="1" t="s">
        <v>11956</v>
      </c>
      <c r="K149" s="1" t="s">
        <v>11957</v>
      </c>
      <c r="L149" s="4"/>
      <c r="M149" s="1">
        <v>2015</v>
      </c>
      <c r="N149" s="4"/>
      <c r="O149" s="4"/>
      <c r="P149" s="4"/>
      <c r="Q149" s="4"/>
      <c r="R149" s="1" t="s">
        <v>11958</v>
      </c>
      <c r="S149" s="4"/>
      <c r="T149" s="4"/>
      <c r="U149" s="4"/>
      <c r="V149" s="1" t="s">
        <v>11959</v>
      </c>
    </row>
    <row r="150" spans="1:22" x14ac:dyDescent="0.25">
      <c r="A150" s="1" t="s">
        <v>141</v>
      </c>
      <c r="B150" s="1" t="s">
        <v>6796</v>
      </c>
      <c r="C150" s="1" t="s">
        <v>6797</v>
      </c>
      <c r="D150" s="4"/>
      <c r="E150" s="1">
        <v>2022</v>
      </c>
      <c r="F150" s="4"/>
      <c r="G150" s="4"/>
      <c r="H150" s="1" t="s">
        <v>11960</v>
      </c>
      <c r="I150" s="1" t="s">
        <v>145</v>
      </c>
      <c r="J150" s="1" t="s">
        <v>11044</v>
      </c>
      <c r="K150" s="1" t="s">
        <v>11445</v>
      </c>
      <c r="L150" s="1" t="s">
        <v>11077</v>
      </c>
      <c r="M150" s="1">
        <v>2022</v>
      </c>
      <c r="N150" s="1">
        <v>9781450392266</v>
      </c>
      <c r="O150" s="4"/>
      <c r="P150" s="3" t="s">
        <v>11961</v>
      </c>
      <c r="Q150" s="1" t="s">
        <v>6800</v>
      </c>
      <c r="R150" s="1" t="s">
        <v>6801</v>
      </c>
      <c r="S150" s="1" t="s">
        <v>11962</v>
      </c>
      <c r="T150" s="4"/>
      <c r="U150" s="4"/>
      <c r="V150" s="1" t="s">
        <v>11449</v>
      </c>
    </row>
    <row r="151" spans="1:22" x14ac:dyDescent="0.25">
      <c r="A151" s="1" t="s">
        <v>141</v>
      </c>
      <c r="B151" s="1" t="s">
        <v>836</v>
      </c>
      <c r="C151" s="1" t="s">
        <v>837</v>
      </c>
      <c r="D151" s="4"/>
      <c r="E151" s="1">
        <v>2022</v>
      </c>
      <c r="F151" s="4"/>
      <c r="G151" s="4"/>
      <c r="H151" s="1" t="s">
        <v>11963</v>
      </c>
      <c r="I151" s="1" t="s">
        <v>145</v>
      </c>
      <c r="J151" s="1" t="s">
        <v>11044</v>
      </c>
      <c r="K151" s="1" t="s">
        <v>11964</v>
      </c>
      <c r="L151" s="1" t="s">
        <v>11965</v>
      </c>
      <c r="M151" s="1">
        <v>2022</v>
      </c>
      <c r="N151" s="1">
        <v>9781450397803</v>
      </c>
      <c r="O151" s="4"/>
      <c r="P151" s="3" t="s">
        <v>11966</v>
      </c>
      <c r="Q151" s="1" t="s">
        <v>840</v>
      </c>
      <c r="R151" s="1" t="s">
        <v>11967</v>
      </c>
      <c r="S151" s="1" t="s">
        <v>11968</v>
      </c>
      <c r="T151" s="4"/>
      <c r="U151" s="4"/>
      <c r="V151" s="1" t="s">
        <v>11969</v>
      </c>
    </row>
    <row r="152" spans="1:22" x14ac:dyDescent="0.25">
      <c r="A152" s="1" t="s">
        <v>141</v>
      </c>
      <c r="B152" s="1" t="s">
        <v>11970</v>
      </c>
      <c r="C152" s="1" t="s">
        <v>11971</v>
      </c>
      <c r="D152" s="4"/>
      <c r="E152" s="1">
        <v>2017</v>
      </c>
      <c r="F152" s="4"/>
      <c r="G152" s="4"/>
      <c r="H152" s="4"/>
      <c r="I152" s="1" t="s">
        <v>11972</v>
      </c>
      <c r="J152" s="1" t="s">
        <v>11973</v>
      </c>
      <c r="K152" s="1" t="s">
        <v>11974</v>
      </c>
      <c r="L152" s="1" t="s">
        <v>11975</v>
      </c>
      <c r="M152" s="1">
        <v>2017</v>
      </c>
      <c r="N152" s="1">
        <v>9781941652060</v>
      </c>
      <c r="O152" s="4"/>
      <c r="P152" s="4"/>
      <c r="Q152" s="4"/>
      <c r="R152" s="1" t="s">
        <v>11976</v>
      </c>
      <c r="S152" s="1" t="s">
        <v>11977</v>
      </c>
      <c r="T152" s="4"/>
      <c r="U152" s="4"/>
      <c r="V152" s="1" t="s">
        <v>11978</v>
      </c>
    </row>
    <row r="153" spans="1:22" x14ac:dyDescent="0.25">
      <c r="A153" s="1" t="s">
        <v>141</v>
      </c>
      <c r="B153" s="1" t="s">
        <v>7576</v>
      </c>
      <c r="C153" s="1" t="s">
        <v>7577</v>
      </c>
      <c r="D153" s="4"/>
      <c r="E153" s="1">
        <v>2022</v>
      </c>
      <c r="F153" s="4"/>
      <c r="G153" s="4"/>
      <c r="H153" s="1" t="s">
        <v>11979</v>
      </c>
      <c r="I153" s="1" t="s">
        <v>145</v>
      </c>
      <c r="J153" s="1" t="s">
        <v>11044</v>
      </c>
      <c r="K153" s="1" t="s">
        <v>11319</v>
      </c>
      <c r="L153" s="1" t="s">
        <v>11077</v>
      </c>
      <c r="M153" s="1">
        <v>2022</v>
      </c>
      <c r="N153" s="1">
        <v>9781450392754</v>
      </c>
      <c r="O153" s="4"/>
      <c r="P153" s="3" t="s">
        <v>11980</v>
      </c>
      <c r="Q153" s="1" t="s">
        <v>7579</v>
      </c>
      <c r="R153" s="1" t="s">
        <v>7580</v>
      </c>
      <c r="S153" s="1" t="s">
        <v>11981</v>
      </c>
      <c r="T153" s="4"/>
      <c r="U153" s="4"/>
      <c r="V153" s="1" t="s">
        <v>11323</v>
      </c>
    </row>
    <row r="154" spans="1:22" x14ac:dyDescent="0.25">
      <c r="A154" s="1" t="s">
        <v>141</v>
      </c>
      <c r="B154" s="1" t="s">
        <v>11982</v>
      </c>
      <c r="C154" s="1" t="s">
        <v>11983</v>
      </c>
      <c r="D154" s="4"/>
      <c r="E154" s="1">
        <v>2018</v>
      </c>
      <c r="F154" s="4"/>
      <c r="G154" s="4"/>
      <c r="H154" s="1" t="s">
        <v>11984</v>
      </c>
      <c r="I154" s="1" t="s">
        <v>145</v>
      </c>
      <c r="J154" s="1" t="s">
        <v>11044</v>
      </c>
      <c r="K154" s="1" t="s">
        <v>11930</v>
      </c>
      <c r="L154" s="1" t="s">
        <v>11931</v>
      </c>
      <c r="M154" s="1">
        <v>2018</v>
      </c>
      <c r="N154" s="1">
        <v>9781450355735</v>
      </c>
      <c r="O154" s="4"/>
      <c r="P154" s="3" t="s">
        <v>11985</v>
      </c>
      <c r="Q154" s="1" t="s">
        <v>11986</v>
      </c>
      <c r="R154" s="1" t="s">
        <v>11987</v>
      </c>
      <c r="S154" s="1" t="s">
        <v>11988</v>
      </c>
      <c r="T154" s="4"/>
      <c r="U154" s="4"/>
      <c r="V154" s="1" t="s">
        <v>11936</v>
      </c>
    </row>
    <row r="155" spans="1:22" x14ac:dyDescent="0.25">
      <c r="A155" s="1" t="s">
        <v>141</v>
      </c>
      <c r="B155" s="1" t="s">
        <v>11989</v>
      </c>
      <c r="C155" s="1" t="s">
        <v>11990</v>
      </c>
      <c r="D155" s="4"/>
      <c r="E155" s="1">
        <v>2019</v>
      </c>
      <c r="F155" s="4"/>
      <c r="G155" s="4"/>
      <c r="H155" s="1" t="s">
        <v>11991</v>
      </c>
      <c r="I155" s="1" t="s">
        <v>145</v>
      </c>
      <c r="J155" s="1" t="s">
        <v>11044</v>
      </c>
      <c r="K155" s="1" t="s">
        <v>11622</v>
      </c>
      <c r="L155" s="1" t="s">
        <v>11623</v>
      </c>
      <c r="M155" s="1">
        <v>2019</v>
      </c>
      <c r="N155" s="1">
        <v>9781450368285</v>
      </c>
      <c r="O155" s="4"/>
      <c r="P155" s="3" t="s">
        <v>11992</v>
      </c>
      <c r="Q155" s="1" t="s">
        <v>11993</v>
      </c>
      <c r="R155" s="1" t="s">
        <v>11994</v>
      </c>
      <c r="S155" s="1" t="s">
        <v>11995</v>
      </c>
      <c r="T155" s="4"/>
      <c r="U155" s="4"/>
      <c r="V155" s="1" t="s">
        <v>11628</v>
      </c>
    </row>
    <row r="156" spans="1:22" x14ac:dyDescent="0.25">
      <c r="A156" s="1" t="s">
        <v>141</v>
      </c>
      <c r="B156" s="1" t="s">
        <v>7307</v>
      </c>
      <c r="C156" s="1" t="s">
        <v>7308</v>
      </c>
      <c r="D156" s="4"/>
      <c r="E156" s="1">
        <v>2016</v>
      </c>
      <c r="F156" s="4"/>
      <c r="G156" s="4"/>
      <c r="H156" s="1" t="s">
        <v>11996</v>
      </c>
      <c r="I156" s="1" t="s">
        <v>145</v>
      </c>
      <c r="J156" s="1" t="s">
        <v>11044</v>
      </c>
      <c r="K156" s="1" t="s">
        <v>11997</v>
      </c>
      <c r="L156" s="1" t="s">
        <v>11070</v>
      </c>
      <c r="M156" s="1">
        <v>2016</v>
      </c>
      <c r="N156" s="1">
        <v>9781450341578</v>
      </c>
      <c r="O156" s="4"/>
      <c r="P156" s="3" t="s">
        <v>11998</v>
      </c>
      <c r="Q156" s="1" t="s">
        <v>7312</v>
      </c>
      <c r="R156" s="1" t="s">
        <v>7313</v>
      </c>
      <c r="S156" s="1" t="s">
        <v>11999</v>
      </c>
      <c r="T156" s="4"/>
      <c r="U156" s="4"/>
      <c r="V156" s="1" t="s">
        <v>12000</v>
      </c>
    </row>
    <row r="157" spans="1:22" x14ac:dyDescent="0.25">
      <c r="A157" s="1" t="s">
        <v>141</v>
      </c>
      <c r="B157" s="1" t="s">
        <v>12001</v>
      </c>
      <c r="C157" s="1" t="s">
        <v>12002</v>
      </c>
      <c r="D157" s="4"/>
      <c r="E157" s="1">
        <v>2021</v>
      </c>
      <c r="F157" s="4"/>
      <c r="G157" s="4"/>
      <c r="H157" s="1" t="s">
        <v>12003</v>
      </c>
      <c r="I157" s="1" t="s">
        <v>145</v>
      </c>
      <c r="J157" s="1" t="s">
        <v>11044</v>
      </c>
      <c r="K157" s="1" t="s">
        <v>12004</v>
      </c>
      <c r="L157" s="1" t="s">
        <v>12005</v>
      </c>
      <c r="M157" s="1">
        <v>2021</v>
      </c>
      <c r="N157" s="1">
        <v>9781450385428</v>
      </c>
      <c r="O157" s="4"/>
      <c r="P157" s="3" t="s">
        <v>12006</v>
      </c>
      <c r="Q157" s="1" t="s">
        <v>12007</v>
      </c>
      <c r="R157" s="1" t="s">
        <v>12008</v>
      </c>
      <c r="S157" s="1" t="s">
        <v>12009</v>
      </c>
      <c r="T157" s="4"/>
      <c r="U157" s="4"/>
      <c r="V157" s="1" t="s">
        <v>12010</v>
      </c>
    </row>
    <row r="158" spans="1:22" x14ac:dyDescent="0.25">
      <c r="A158" s="1" t="s">
        <v>141</v>
      </c>
      <c r="B158" s="1" t="s">
        <v>7345</v>
      </c>
      <c r="C158" s="1" t="s">
        <v>7346</v>
      </c>
      <c r="D158" s="4"/>
      <c r="E158" s="1">
        <v>2016</v>
      </c>
      <c r="F158" s="4"/>
      <c r="G158" s="4"/>
      <c r="H158" s="1" t="s">
        <v>12011</v>
      </c>
      <c r="I158" s="1" t="s">
        <v>145</v>
      </c>
      <c r="J158" s="1" t="s">
        <v>11044</v>
      </c>
      <c r="K158" s="1" t="s">
        <v>12012</v>
      </c>
      <c r="L158" s="1" t="s">
        <v>11070</v>
      </c>
      <c r="M158" s="1">
        <v>2016</v>
      </c>
      <c r="N158" s="1">
        <v>9781450342056</v>
      </c>
      <c r="O158" s="4"/>
      <c r="P158" s="3" t="s">
        <v>12013</v>
      </c>
      <c r="Q158" s="1" t="s">
        <v>12014</v>
      </c>
      <c r="R158" s="1" t="s">
        <v>12015</v>
      </c>
      <c r="S158" s="4"/>
      <c r="T158" s="4"/>
      <c r="U158" s="4"/>
      <c r="V158" s="1" t="s">
        <v>12016</v>
      </c>
    </row>
    <row r="159" spans="1:22" x14ac:dyDescent="0.25">
      <c r="A159" s="1" t="s">
        <v>141</v>
      </c>
      <c r="B159" s="1" t="s">
        <v>12017</v>
      </c>
      <c r="C159" s="1" t="s">
        <v>12018</v>
      </c>
      <c r="D159" s="4"/>
      <c r="E159" s="1">
        <v>2021</v>
      </c>
      <c r="F159" s="4"/>
      <c r="G159" s="4"/>
      <c r="H159" s="1" t="s">
        <v>11425</v>
      </c>
      <c r="I159" s="1" t="s">
        <v>145</v>
      </c>
      <c r="J159" s="1" t="s">
        <v>11044</v>
      </c>
      <c r="K159" s="1" t="s">
        <v>11482</v>
      </c>
      <c r="L159" s="1" t="s">
        <v>11483</v>
      </c>
      <c r="M159" s="1">
        <v>2021</v>
      </c>
      <c r="N159" s="1">
        <v>9781450386258</v>
      </c>
      <c r="O159" s="4"/>
      <c r="P159" s="3" t="s">
        <v>12019</v>
      </c>
      <c r="Q159" s="1" t="s">
        <v>12020</v>
      </c>
      <c r="R159" s="1" t="s">
        <v>12021</v>
      </c>
      <c r="S159" s="1" t="s">
        <v>12022</v>
      </c>
      <c r="T159" s="4"/>
      <c r="U159" s="4"/>
      <c r="V159" s="1" t="s">
        <v>11487</v>
      </c>
    </row>
    <row r="160" spans="1:22" x14ac:dyDescent="0.25">
      <c r="A160" s="1" t="s">
        <v>141</v>
      </c>
      <c r="B160" s="1" t="s">
        <v>7301</v>
      </c>
      <c r="C160" s="1" t="s">
        <v>7302</v>
      </c>
      <c r="D160" s="4"/>
      <c r="E160" s="1">
        <v>2018</v>
      </c>
      <c r="F160" s="4"/>
      <c r="G160" s="4"/>
      <c r="H160" s="1" t="s">
        <v>12023</v>
      </c>
      <c r="I160" s="1" t="s">
        <v>145</v>
      </c>
      <c r="J160" s="1" t="s">
        <v>11044</v>
      </c>
      <c r="K160" s="1" t="s">
        <v>12024</v>
      </c>
      <c r="L160" s="1" t="s">
        <v>11105</v>
      </c>
      <c r="M160" s="1">
        <v>2018</v>
      </c>
      <c r="N160" s="1">
        <v>9781450357128</v>
      </c>
      <c r="O160" s="4"/>
      <c r="P160" s="3" t="s">
        <v>12025</v>
      </c>
      <c r="Q160" s="1" t="s">
        <v>12026</v>
      </c>
      <c r="R160" s="1" t="s">
        <v>7305</v>
      </c>
      <c r="S160" s="1" t="s">
        <v>12027</v>
      </c>
      <c r="T160" s="4"/>
      <c r="U160" s="4"/>
      <c r="V160" s="1" t="s">
        <v>12028</v>
      </c>
    </row>
    <row r="161" spans="1:22" x14ac:dyDescent="0.25">
      <c r="A161" s="1" t="s">
        <v>13</v>
      </c>
      <c r="B161" s="1" t="s">
        <v>12029</v>
      </c>
      <c r="C161" s="1" t="s">
        <v>12030</v>
      </c>
      <c r="D161" s="1" t="s">
        <v>11061</v>
      </c>
      <c r="E161" s="1">
        <v>2023</v>
      </c>
      <c r="F161" s="1">
        <v>48</v>
      </c>
      <c r="G161" s="1">
        <v>1</v>
      </c>
      <c r="H161" s="1" t="s">
        <v>12031</v>
      </c>
      <c r="I161" s="1" t="s">
        <v>145</v>
      </c>
      <c r="J161" s="1" t="s">
        <v>11044</v>
      </c>
      <c r="K161" s="4"/>
      <c r="L161" s="4"/>
      <c r="M161" s="6">
        <v>44927</v>
      </c>
      <c r="N161" s="4"/>
      <c r="O161" s="1" t="s">
        <v>11063</v>
      </c>
      <c r="P161" s="3" t="s">
        <v>12032</v>
      </c>
      <c r="Q161" s="1" t="s">
        <v>12033</v>
      </c>
      <c r="R161" s="1" t="s">
        <v>12034</v>
      </c>
      <c r="S161" s="4"/>
      <c r="T161" s="4"/>
      <c r="U161" s="4"/>
      <c r="V161" s="4"/>
    </row>
    <row r="162" spans="1:22" x14ac:dyDescent="0.25">
      <c r="A162" s="1" t="s">
        <v>141</v>
      </c>
      <c r="B162" s="1" t="s">
        <v>7373</v>
      </c>
      <c r="C162" s="1" t="s">
        <v>12035</v>
      </c>
      <c r="D162" s="4"/>
      <c r="E162" s="1">
        <v>2022</v>
      </c>
      <c r="F162" s="4"/>
      <c r="G162" s="4"/>
      <c r="H162" s="1" t="s">
        <v>12036</v>
      </c>
      <c r="I162" s="1" t="s">
        <v>145</v>
      </c>
      <c r="J162" s="1" t="s">
        <v>11044</v>
      </c>
      <c r="K162" s="1" t="s">
        <v>11319</v>
      </c>
      <c r="L162" s="1" t="s">
        <v>11077</v>
      </c>
      <c r="M162" s="1">
        <v>2022</v>
      </c>
      <c r="N162" s="1">
        <v>9781450392754</v>
      </c>
      <c r="O162" s="4"/>
      <c r="P162" s="3" t="s">
        <v>12037</v>
      </c>
      <c r="Q162" s="1" t="s">
        <v>7377</v>
      </c>
      <c r="R162" s="1" t="s">
        <v>12038</v>
      </c>
      <c r="S162" s="1" t="s">
        <v>12039</v>
      </c>
      <c r="T162" s="4"/>
      <c r="U162" s="4"/>
      <c r="V162" s="1" t="s">
        <v>11323</v>
      </c>
    </row>
    <row r="163" spans="1:22" x14ac:dyDescent="0.25">
      <c r="A163" s="1" t="s">
        <v>141</v>
      </c>
      <c r="B163" s="1" t="s">
        <v>96</v>
      </c>
      <c r="C163" s="1" t="s">
        <v>3363</v>
      </c>
      <c r="D163" s="4"/>
      <c r="E163" s="1">
        <v>2022</v>
      </c>
      <c r="F163" s="4"/>
      <c r="G163" s="4"/>
      <c r="H163" s="1" t="s">
        <v>12040</v>
      </c>
      <c r="I163" s="1" t="s">
        <v>11083</v>
      </c>
      <c r="J163" s="1" t="s">
        <v>11495</v>
      </c>
      <c r="K163" s="1" t="s">
        <v>11496</v>
      </c>
      <c r="L163" s="4"/>
      <c r="M163" s="1">
        <v>2022</v>
      </c>
      <c r="N163" s="1">
        <v>9781665403375</v>
      </c>
      <c r="O163" s="4"/>
      <c r="P163" s="3" t="s">
        <v>12041</v>
      </c>
      <c r="Q163" s="1" t="s">
        <v>3366</v>
      </c>
      <c r="R163" s="1" t="s">
        <v>12042</v>
      </c>
      <c r="S163" s="1" t="s">
        <v>12043</v>
      </c>
      <c r="T163" s="4"/>
      <c r="U163" s="4"/>
      <c r="V163" s="1" t="s">
        <v>11498</v>
      </c>
    </row>
    <row r="164" spans="1:22" x14ac:dyDescent="0.25">
      <c r="A164" s="1" t="s">
        <v>141</v>
      </c>
      <c r="B164" s="1" t="s">
        <v>1759</v>
      </c>
      <c r="C164" s="1" t="s">
        <v>12044</v>
      </c>
      <c r="D164" s="4"/>
      <c r="E164" s="1">
        <v>2021</v>
      </c>
      <c r="F164" s="4"/>
      <c r="G164" s="4"/>
      <c r="H164" s="1" t="s">
        <v>12045</v>
      </c>
      <c r="I164" s="1" t="s">
        <v>145</v>
      </c>
      <c r="J164" s="1" t="s">
        <v>11044</v>
      </c>
      <c r="K164" s="1" t="s">
        <v>11810</v>
      </c>
      <c r="L164" s="1" t="s">
        <v>11483</v>
      </c>
      <c r="M164" s="1">
        <v>2021</v>
      </c>
      <c r="N164" s="1">
        <v>9781450385626</v>
      </c>
      <c r="O164" s="4"/>
      <c r="P164" s="3" t="s">
        <v>12046</v>
      </c>
      <c r="Q164" s="1" t="s">
        <v>1763</v>
      </c>
      <c r="R164" s="1" t="s">
        <v>12047</v>
      </c>
      <c r="S164" s="1" t="s">
        <v>12048</v>
      </c>
      <c r="T164" s="4"/>
      <c r="U164" s="4"/>
      <c r="V164" s="1" t="s">
        <v>11815</v>
      </c>
    </row>
    <row r="165" spans="1:22" x14ac:dyDescent="0.25">
      <c r="A165" s="1" t="s">
        <v>141</v>
      </c>
      <c r="B165" s="1" t="s">
        <v>7061</v>
      </c>
      <c r="C165" s="1" t="s">
        <v>7062</v>
      </c>
      <c r="D165" s="4"/>
      <c r="E165" s="1">
        <v>2019</v>
      </c>
      <c r="F165" s="4"/>
      <c r="G165" s="4"/>
      <c r="H165" s="1" t="s">
        <v>12049</v>
      </c>
      <c r="I165" s="1" t="s">
        <v>11083</v>
      </c>
      <c r="J165" s="1" t="s">
        <v>11147</v>
      </c>
      <c r="K165" s="1" t="s">
        <v>12050</v>
      </c>
      <c r="L165" s="4"/>
      <c r="M165" s="1">
        <v>2019</v>
      </c>
      <c r="N165" s="4"/>
      <c r="O165" s="4"/>
      <c r="P165" s="3" t="s">
        <v>12051</v>
      </c>
      <c r="Q165" s="1" t="s">
        <v>7067</v>
      </c>
      <c r="R165" s="1" t="s">
        <v>7068</v>
      </c>
      <c r="S165" s="1" t="s">
        <v>12052</v>
      </c>
      <c r="T165" s="4"/>
      <c r="U165" s="4"/>
      <c r="V165" s="1" t="s">
        <v>12053</v>
      </c>
    </row>
    <row r="166" spans="1:22" x14ac:dyDescent="0.25">
      <c r="A166" s="1" t="s">
        <v>141</v>
      </c>
      <c r="B166" s="1" t="s">
        <v>12054</v>
      </c>
      <c r="C166" s="1" t="s">
        <v>12055</v>
      </c>
      <c r="D166" s="4"/>
      <c r="E166" s="1">
        <v>2016</v>
      </c>
      <c r="F166" s="4"/>
      <c r="G166" s="4"/>
      <c r="H166" s="1" t="s">
        <v>12056</v>
      </c>
      <c r="I166" s="1" t="s">
        <v>145</v>
      </c>
      <c r="J166" s="1" t="s">
        <v>11044</v>
      </c>
      <c r="K166" s="1" t="s">
        <v>12057</v>
      </c>
      <c r="L166" s="1" t="s">
        <v>12058</v>
      </c>
      <c r="M166" s="1">
        <v>2016</v>
      </c>
      <c r="N166" s="1">
        <v>9781450345705</v>
      </c>
      <c r="O166" s="4"/>
      <c r="P166" s="3" t="s">
        <v>12059</v>
      </c>
      <c r="Q166" s="1" t="s">
        <v>12060</v>
      </c>
      <c r="R166" s="1" t="s">
        <v>12061</v>
      </c>
      <c r="S166" s="4"/>
      <c r="T166" s="4"/>
      <c r="U166" s="4"/>
      <c r="V166" s="1" t="s">
        <v>12062</v>
      </c>
    </row>
    <row r="167" spans="1:22" x14ac:dyDescent="0.25">
      <c r="A167" s="1" t="s">
        <v>141</v>
      </c>
      <c r="B167" s="1" t="s">
        <v>4614</v>
      </c>
      <c r="C167" s="1" t="s">
        <v>12063</v>
      </c>
      <c r="D167" s="4"/>
      <c r="E167" s="1">
        <v>2020</v>
      </c>
      <c r="F167" s="4"/>
      <c r="G167" s="4"/>
      <c r="H167" s="1" t="s">
        <v>12064</v>
      </c>
      <c r="I167" s="1" t="s">
        <v>145</v>
      </c>
      <c r="J167" s="1" t="s">
        <v>11044</v>
      </c>
      <c r="K167" s="1" t="s">
        <v>12065</v>
      </c>
      <c r="L167" s="1" t="s">
        <v>12066</v>
      </c>
      <c r="M167" s="1">
        <v>2020</v>
      </c>
      <c r="N167" s="1">
        <v>9781450369367</v>
      </c>
      <c r="O167" s="4"/>
      <c r="P167" s="3" t="s">
        <v>12067</v>
      </c>
      <c r="Q167" s="1" t="s">
        <v>4618</v>
      </c>
      <c r="R167" s="1" t="s">
        <v>12068</v>
      </c>
      <c r="S167" s="1" t="s">
        <v>12069</v>
      </c>
      <c r="T167" s="4"/>
      <c r="U167" s="4"/>
      <c r="V167" s="1" t="s">
        <v>12070</v>
      </c>
    </row>
    <row r="168" spans="1:22" x14ac:dyDescent="0.25">
      <c r="A168" s="1" t="s">
        <v>141</v>
      </c>
      <c r="B168" s="1" t="s">
        <v>4739</v>
      </c>
      <c r="C168" s="1" t="s">
        <v>12071</v>
      </c>
      <c r="D168" s="4"/>
      <c r="E168" s="1">
        <v>2019</v>
      </c>
      <c r="F168" s="4"/>
      <c r="G168" s="4"/>
      <c r="H168" s="1" t="s">
        <v>12072</v>
      </c>
      <c r="I168" s="1" t="s">
        <v>145</v>
      </c>
      <c r="J168" s="1" t="s">
        <v>11044</v>
      </c>
      <c r="K168" s="1" t="s">
        <v>12073</v>
      </c>
      <c r="L168" s="1" t="s">
        <v>11044</v>
      </c>
      <c r="M168" s="1">
        <v>2019</v>
      </c>
      <c r="N168" s="1">
        <v>9781450368476</v>
      </c>
      <c r="O168" s="4"/>
      <c r="P168" s="3" t="s">
        <v>12074</v>
      </c>
      <c r="Q168" s="1" t="s">
        <v>4845</v>
      </c>
      <c r="R168" s="1" t="s">
        <v>12075</v>
      </c>
      <c r="S168" s="1" t="s">
        <v>12076</v>
      </c>
      <c r="T168" s="4"/>
      <c r="U168" s="4"/>
      <c r="V168" s="1" t="s">
        <v>12077</v>
      </c>
    </row>
    <row r="169" spans="1:22" x14ac:dyDescent="0.25">
      <c r="A169" s="1" t="s">
        <v>13</v>
      </c>
      <c r="B169" s="1" t="s">
        <v>4239</v>
      </c>
      <c r="C169" s="1" t="s">
        <v>12078</v>
      </c>
      <c r="D169" s="1" t="s">
        <v>12079</v>
      </c>
      <c r="E169" s="1">
        <v>2021</v>
      </c>
      <c r="F169" s="1">
        <v>14</v>
      </c>
      <c r="G169" s="1">
        <v>4</v>
      </c>
      <c r="H169" s="1" t="s">
        <v>12080</v>
      </c>
      <c r="I169" s="1" t="s">
        <v>4234</v>
      </c>
      <c r="J169" s="4"/>
      <c r="K169" s="4"/>
      <c r="L169" s="4"/>
      <c r="M169" s="6">
        <v>44228</v>
      </c>
      <c r="N169" s="4"/>
      <c r="O169" s="1" t="s">
        <v>4235</v>
      </c>
      <c r="P169" s="3" t="s">
        <v>12081</v>
      </c>
      <c r="Q169" s="1" t="s">
        <v>4243</v>
      </c>
      <c r="R169" s="1" t="s">
        <v>12082</v>
      </c>
      <c r="S169" s="4"/>
      <c r="T169" s="4"/>
      <c r="U169" s="4"/>
      <c r="V169" s="4"/>
    </row>
    <row r="170" spans="1:22" x14ac:dyDescent="0.25">
      <c r="A170" s="1" t="s">
        <v>141</v>
      </c>
      <c r="B170" s="1" t="s">
        <v>12083</v>
      </c>
      <c r="C170" s="1" t="s">
        <v>12084</v>
      </c>
      <c r="D170" s="4"/>
      <c r="E170" s="1">
        <v>2020</v>
      </c>
      <c r="F170" s="4"/>
      <c r="G170" s="4"/>
      <c r="H170" s="1" t="s">
        <v>12085</v>
      </c>
      <c r="I170" s="1" t="s">
        <v>145</v>
      </c>
      <c r="J170" s="1" t="s">
        <v>11044</v>
      </c>
      <c r="K170" s="1" t="s">
        <v>12086</v>
      </c>
      <c r="L170" s="1" t="s">
        <v>12087</v>
      </c>
      <c r="M170" s="1">
        <v>2020</v>
      </c>
      <c r="N170" s="1">
        <v>9781450370431</v>
      </c>
      <c r="O170" s="4"/>
      <c r="P170" s="3" t="s">
        <v>12088</v>
      </c>
      <c r="Q170" s="1" t="s">
        <v>12089</v>
      </c>
      <c r="R170" s="1" t="s">
        <v>12090</v>
      </c>
      <c r="S170" s="1" t="s">
        <v>12091</v>
      </c>
      <c r="T170" s="4"/>
      <c r="U170" s="4"/>
      <c r="V170" s="1" t="s">
        <v>12092</v>
      </c>
    </row>
    <row r="171" spans="1:22" x14ac:dyDescent="0.25">
      <c r="A171" s="1" t="s">
        <v>141</v>
      </c>
      <c r="B171" s="1" t="s">
        <v>12093</v>
      </c>
      <c r="C171" s="1" t="s">
        <v>12094</v>
      </c>
      <c r="D171" s="4"/>
      <c r="E171" s="1">
        <v>2022</v>
      </c>
      <c r="F171" s="4"/>
      <c r="G171" s="4"/>
      <c r="H171" s="1" t="s">
        <v>12095</v>
      </c>
      <c r="I171" s="1" t="s">
        <v>145</v>
      </c>
      <c r="J171" s="1" t="s">
        <v>11044</v>
      </c>
      <c r="K171" s="1" t="s">
        <v>12096</v>
      </c>
      <c r="L171" s="1" t="s">
        <v>11522</v>
      </c>
      <c r="M171" s="1">
        <v>2022</v>
      </c>
      <c r="N171" s="1">
        <v>9781450397353</v>
      </c>
      <c r="O171" s="4"/>
      <c r="P171" s="3" t="s">
        <v>12097</v>
      </c>
      <c r="Q171" s="1" t="s">
        <v>12098</v>
      </c>
      <c r="R171" s="1" t="s">
        <v>12099</v>
      </c>
      <c r="S171" s="1" t="s">
        <v>12100</v>
      </c>
      <c r="T171" s="4"/>
      <c r="U171" s="4"/>
      <c r="V171" s="1" t="s">
        <v>12101</v>
      </c>
    </row>
    <row r="172" spans="1:22" x14ac:dyDescent="0.25">
      <c r="A172" s="1" t="s">
        <v>141</v>
      </c>
      <c r="B172" s="1" t="s">
        <v>1455</v>
      </c>
      <c r="C172" s="1" t="s">
        <v>12102</v>
      </c>
      <c r="D172" s="4"/>
      <c r="E172" s="1">
        <v>2022</v>
      </c>
      <c r="F172" s="4"/>
      <c r="G172" s="4"/>
      <c r="H172" s="1" t="s">
        <v>12103</v>
      </c>
      <c r="I172" s="1" t="s">
        <v>145</v>
      </c>
      <c r="J172" s="1" t="s">
        <v>11044</v>
      </c>
      <c r="K172" s="1" t="s">
        <v>11884</v>
      </c>
      <c r="L172" s="1" t="s">
        <v>11077</v>
      </c>
      <c r="M172" s="1">
        <v>2022</v>
      </c>
      <c r="N172" s="1">
        <v>9781450392211</v>
      </c>
      <c r="O172" s="4"/>
      <c r="P172" s="3" t="s">
        <v>12104</v>
      </c>
      <c r="Q172" s="1" t="s">
        <v>1460</v>
      </c>
      <c r="R172" s="1" t="s">
        <v>12105</v>
      </c>
      <c r="S172" s="1" t="s">
        <v>12106</v>
      </c>
      <c r="T172" s="4"/>
      <c r="U172" s="4"/>
      <c r="V172" s="1" t="s">
        <v>11634</v>
      </c>
    </row>
    <row r="173" spans="1:22" x14ac:dyDescent="0.25">
      <c r="A173" s="1" t="s">
        <v>141</v>
      </c>
      <c r="B173" s="1" t="s">
        <v>7653</v>
      </c>
      <c r="C173" s="1" t="s">
        <v>7654</v>
      </c>
      <c r="D173" s="4"/>
      <c r="E173" s="1">
        <v>2018</v>
      </c>
      <c r="F173" s="4"/>
      <c r="G173" s="4"/>
      <c r="H173" s="1" t="s">
        <v>12107</v>
      </c>
      <c r="I173" s="1" t="s">
        <v>145</v>
      </c>
      <c r="J173" s="1" t="s">
        <v>11044</v>
      </c>
      <c r="K173" s="1" t="s">
        <v>12108</v>
      </c>
      <c r="L173" s="1" t="s">
        <v>11105</v>
      </c>
      <c r="M173" s="1">
        <v>2018</v>
      </c>
      <c r="N173" s="1">
        <v>9781450357142</v>
      </c>
      <c r="O173" s="4"/>
      <c r="P173" s="3" t="s">
        <v>12109</v>
      </c>
      <c r="Q173" s="1" t="s">
        <v>12110</v>
      </c>
      <c r="R173" s="1" t="s">
        <v>7657</v>
      </c>
      <c r="S173" s="1" t="s">
        <v>12111</v>
      </c>
      <c r="T173" s="4"/>
      <c r="U173" s="4"/>
      <c r="V173" s="1" t="s">
        <v>12112</v>
      </c>
    </row>
    <row r="174" spans="1:22" x14ac:dyDescent="0.25">
      <c r="A174" s="1" t="s">
        <v>141</v>
      </c>
      <c r="B174" s="1" t="s">
        <v>12113</v>
      </c>
      <c r="C174" s="1" t="s">
        <v>12114</v>
      </c>
      <c r="D174" s="4"/>
      <c r="E174" s="1">
        <v>2022</v>
      </c>
      <c r="F174" s="4"/>
      <c r="G174" s="4"/>
      <c r="H174" s="1" t="s">
        <v>12115</v>
      </c>
      <c r="I174" s="1" t="s">
        <v>145</v>
      </c>
      <c r="J174" s="1" t="s">
        <v>11044</v>
      </c>
      <c r="K174" s="1" t="s">
        <v>12116</v>
      </c>
      <c r="L174" s="1" t="s">
        <v>12117</v>
      </c>
      <c r="M174" s="1">
        <v>2022</v>
      </c>
      <c r="N174" s="1">
        <v>9781450392730</v>
      </c>
      <c r="O174" s="4"/>
      <c r="P174" s="3" t="s">
        <v>12118</v>
      </c>
      <c r="Q174" s="1" t="s">
        <v>12119</v>
      </c>
      <c r="R174" s="1" t="s">
        <v>12120</v>
      </c>
      <c r="S174" s="1" t="s">
        <v>12121</v>
      </c>
      <c r="T174" s="4"/>
      <c r="U174" s="4"/>
      <c r="V174" s="1" t="s">
        <v>12122</v>
      </c>
    </row>
    <row r="175" spans="1:22" x14ac:dyDescent="0.25">
      <c r="A175" s="1" t="s">
        <v>13</v>
      </c>
      <c r="B175" s="1" t="s">
        <v>12123</v>
      </c>
      <c r="C175" s="1" t="s">
        <v>12124</v>
      </c>
      <c r="D175" s="1" t="s">
        <v>11246</v>
      </c>
      <c r="E175" s="1">
        <v>2022</v>
      </c>
      <c r="F175" s="4"/>
      <c r="G175" s="4"/>
      <c r="H175" s="4"/>
      <c r="I175" s="1" t="s">
        <v>145</v>
      </c>
      <c r="J175" s="1" t="s">
        <v>11044</v>
      </c>
      <c r="K175" s="4"/>
      <c r="L175" s="4"/>
      <c r="M175" s="2">
        <v>44835</v>
      </c>
      <c r="N175" s="4"/>
      <c r="O175" s="1" t="s">
        <v>329</v>
      </c>
      <c r="P175" s="3" t="s">
        <v>12125</v>
      </c>
      <c r="Q175" s="1" t="s">
        <v>12126</v>
      </c>
      <c r="R175" s="1" t="s">
        <v>12127</v>
      </c>
      <c r="S175" s="1" t="s">
        <v>12128</v>
      </c>
      <c r="T175" s="1" t="s">
        <v>12129</v>
      </c>
      <c r="U175" s="4"/>
      <c r="V175" s="4"/>
    </row>
    <row r="176" spans="1:22" x14ac:dyDescent="0.25">
      <c r="A176" s="1" t="s">
        <v>141</v>
      </c>
      <c r="B176" s="1" t="s">
        <v>12130</v>
      </c>
      <c r="C176" s="1" t="s">
        <v>12131</v>
      </c>
      <c r="D176" s="4"/>
      <c r="E176" s="1">
        <v>2017</v>
      </c>
      <c r="F176" s="4"/>
      <c r="G176" s="4"/>
      <c r="H176" s="1" t="s">
        <v>12132</v>
      </c>
      <c r="I176" s="1" t="s">
        <v>145</v>
      </c>
      <c r="J176" s="1" t="s">
        <v>11044</v>
      </c>
      <c r="K176" s="1" t="s">
        <v>12133</v>
      </c>
      <c r="L176" s="1" t="s">
        <v>12134</v>
      </c>
      <c r="M176" s="1">
        <v>2017</v>
      </c>
      <c r="N176" s="1">
        <v>9781450351768</v>
      </c>
      <c r="O176" s="4"/>
      <c r="P176" s="3" t="s">
        <v>12135</v>
      </c>
      <c r="Q176" s="1" t="s">
        <v>12136</v>
      </c>
      <c r="R176" s="1" t="s">
        <v>12137</v>
      </c>
      <c r="S176" s="1" t="s">
        <v>12138</v>
      </c>
      <c r="T176" s="4"/>
      <c r="U176" s="4"/>
      <c r="V176" s="1" t="s">
        <v>12139</v>
      </c>
    </row>
    <row r="177" spans="1:22" x14ac:dyDescent="0.25">
      <c r="A177" s="1" t="s">
        <v>141</v>
      </c>
      <c r="B177" s="1" t="s">
        <v>4739</v>
      </c>
      <c r="C177" s="1" t="s">
        <v>12140</v>
      </c>
      <c r="D177" s="4"/>
      <c r="E177" s="1">
        <v>2019</v>
      </c>
      <c r="F177" s="4"/>
      <c r="G177" s="4"/>
      <c r="H177" s="1" t="s">
        <v>11979</v>
      </c>
      <c r="I177" s="1" t="s">
        <v>145</v>
      </c>
      <c r="J177" s="1" t="s">
        <v>11044</v>
      </c>
      <c r="K177" s="1" t="s">
        <v>12141</v>
      </c>
      <c r="L177" s="1" t="s">
        <v>11147</v>
      </c>
      <c r="M177" s="1">
        <v>2019</v>
      </c>
      <c r="N177" s="1">
        <v>9781450366991</v>
      </c>
      <c r="O177" s="4"/>
      <c r="P177" s="3" t="s">
        <v>12142</v>
      </c>
      <c r="Q177" s="1" t="s">
        <v>4743</v>
      </c>
      <c r="R177" s="1" t="s">
        <v>12143</v>
      </c>
      <c r="S177" s="1" t="s">
        <v>12144</v>
      </c>
      <c r="T177" s="4"/>
      <c r="U177" s="4"/>
      <c r="V177" s="1" t="s">
        <v>12145</v>
      </c>
    </row>
    <row r="178" spans="1:22" x14ac:dyDescent="0.25">
      <c r="A178" s="1" t="s">
        <v>141</v>
      </c>
      <c r="B178" s="1" t="s">
        <v>993</v>
      </c>
      <c r="C178" s="1" t="s">
        <v>12146</v>
      </c>
      <c r="D178" s="4"/>
      <c r="E178" s="1">
        <v>2022</v>
      </c>
      <c r="F178" s="4"/>
      <c r="G178" s="4"/>
      <c r="H178" s="1" t="s">
        <v>12147</v>
      </c>
      <c r="I178" s="1" t="s">
        <v>145</v>
      </c>
      <c r="J178" s="1" t="s">
        <v>11044</v>
      </c>
      <c r="K178" s="1" t="s">
        <v>11113</v>
      </c>
      <c r="L178" s="1" t="s">
        <v>11114</v>
      </c>
      <c r="M178" s="1">
        <v>2022</v>
      </c>
      <c r="N178" s="1">
        <v>9781450394130</v>
      </c>
      <c r="O178" s="4"/>
      <c r="P178" s="3" t="s">
        <v>12148</v>
      </c>
      <c r="Q178" s="1" t="s">
        <v>997</v>
      </c>
      <c r="R178" s="1" t="s">
        <v>12149</v>
      </c>
      <c r="S178" s="1" t="s">
        <v>12150</v>
      </c>
      <c r="T178" s="4"/>
      <c r="U178" s="4"/>
      <c r="V178" s="1" t="s">
        <v>11118</v>
      </c>
    </row>
    <row r="179" spans="1:22" x14ac:dyDescent="0.25">
      <c r="A179" s="1" t="s">
        <v>141</v>
      </c>
      <c r="B179" s="1" t="s">
        <v>12151</v>
      </c>
      <c r="C179" s="1" t="s">
        <v>12152</v>
      </c>
      <c r="D179" s="4"/>
      <c r="E179" s="1">
        <v>2022</v>
      </c>
      <c r="F179" s="4"/>
      <c r="G179" s="4"/>
      <c r="H179" s="1" t="s">
        <v>12153</v>
      </c>
      <c r="I179" s="1" t="s">
        <v>145</v>
      </c>
      <c r="J179" s="1" t="s">
        <v>11044</v>
      </c>
      <c r="K179" s="1" t="s">
        <v>11391</v>
      </c>
      <c r="L179" s="1" t="s">
        <v>11392</v>
      </c>
      <c r="M179" s="1">
        <v>2022</v>
      </c>
      <c r="N179" s="1">
        <v>9781450398787</v>
      </c>
      <c r="O179" s="4"/>
      <c r="P179" s="3" t="s">
        <v>12154</v>
      </c>
      <c r="Q179" s="1" t="s">
        <v>12155</v>
      </c>
      <c r="R179" s="1" t="s">
        <v>12156</v>
      </c>
      <c r="S179" s="1" t="s">
        <v>12157</v>
      </c>
      <c r="T179" s="4"/>
      <c r="U179" s="4"/>
      <c r="V179" s="1" t="s">
        <v>11397</v>
      </c>
    </row>
    <row r="180" spans="1:22" x14ac:dyDescent="0.25">
      <c r="A180" s="1" t="s">
        <v>141</v>
      </c>
      <c r="B180" s="1" t="s">
        <v>8317</v>
      </c>
      <c r="C180" s="1" t="s">
        <v>12158</v>
      </c>
      <c r="D180" s="4"/>
      <c r="E180" s="1">
        <v>2012</v>
      </c>
      <c r="F180" s="4"/>
      <c r="G180" s="4"/>
      <c r="H180" s="1" t="s">
        <v>12159</v>
      </c>
      <c r="I180" s="1" t="s">
        <v>11083</v>
      </c>
      <c r="J180" s="1" t="s">
        <v>11122</v>
      </c>
      <c r="K180" s="1" t="s">
        <v>12160</v>
      </c>
      <c r="L180" s="4"/>
      <c r="M180" s="1">
        <v>2012</v>
      </c>
      <c r="N180" s="1">
        <v>9781467310673</v>
      </c>
      <c r="O180" s="4"/>
      <c r="P180" s="4"/>
      <c r="Q180" s="4"/>
      <c r="R180" s="1" t="s">
        <v>8323</v>
      </c>
      <c r="S180" s="4"/>
      <c r="T180" s="4"/>
      <c r="U180" s="4"/>
      <c r="V180" s="1" t="s">
        <v>12161</v>
      </c>
    </row>
    <row r="181" spans="1:22" x14ac:dyDescent="0.25">
      <c r="A181" s="1" t="s">
        <v>141</v>
      </c>
      <c r="B181" s="1" t="s">
        <v>4561</v>
      </c>
      <c r="C181" s="1" t="s">
        <v>6631</v>
      </c>
      <c r="D181" s="4"/>
      <c r="E181" s="1">
        <v>2020</v>
      </c>
      <c r="F181" s="4"/>
      <c r="G181" s="4"/>
      <c r="H181" s="1" t="s">
        <v>12162</v>
      </c>
      <c r="I181" s="1" t="s">
        <v>145</v>
      </c>
      <c r="J181" s="1" t="s">
        <v>11044</v>
      </c>
      <c r="K181" s="1" t="s">
        <v>12163</v>
      </c>
      <c r="L181" s="1" t="s">
        <v>11046</v>
      </c>
      <c r="M181" s="1">
        <v>2020</v>
      </c>
      <c r="N181" s="1">
        <v>9781450371216</v>
      </c>
      <c r="O181" s="4"/>
      <c r="P181" s="3" t="s">
        <v>12164</v>
      </c>
      <c r="Q181" s="1" t="s">
        <v>4565</v>
      </c>
      <c r="R181" s="1" t="s">
        <v>12165</v>
      </c>
      <c r="S181" s="1" t="s">
        <v>12166</v>
      </c>
      <c r="T181" s="4"/>
      <c r="U181" s="4"/>
      <c r="V181" s="1" t="s">
        <v>11050</v>
      </c>
    </row>
    <row r="182" spans="1:22" x14ac:dyDescent="0.25">
      <c r="A182" s="1" t="s">
        <v>13</v>
      </c>
      <c r="B182" s="1" t="s">
        <v>12167</v>
      </c>
      <c r="C182" s="1" t="s">
        <v>12168</v>
      </c>
      <c r="D182" s="1" t="s">
        <v>11246</v>
      </c>
      <c r="E182" s="1">
        <v>2022</v>
      </c>
      <c r="F182" s="4"/>
      <c r="G182" s="4"/>
      <c r="H182" s="4"/>
      <c r="I182" s="1" t="s">
        <v>145</v>
      </c>
      <c r="J182" s="1" t="s">
        <v>11044</v>
      </c>
      <c r="K182" s="4"/>
      <c r="L182" s="4"/>
      <c r="M182" s="2">
        <v>44896</v>
      </c>
      <c r="N182" s="4"/>
      <c r="O182" s="1" t="s">
        <v>329</v>
      </c>
      <c r="P182" s="3" t="s">
        <v>12169</v>
      </c>
      <c r="Q182" s="1" t="s">
        <v>12170</v>
      </c>
      <c r="R182" s="1" t="s">
        <v>12171</v>
      </c>
      <c r="S182" s="1" t="s">
        <v>12172</v>
      </c>
      <c r="T182" s="1" t="s">
        <v>12129</v>
      </c>
      <c r="U182" s="4"/>
      <c r="V182" s="4"/>
    </row>
    <row r="183" spans="1:22" x14ac:dyDescent="0.25">
      <c r="A183" s="1" t="s">
        <v>141</v>
      </c>
      <c r="B183" s="1" t="s">
        <v>12173</v>
      </c>
      <c r="C183" s="1" t="s">
        <v>12174</v>
      </c>
      <c r="D183" s="4"/>
      <c r="E183" s="1">
        <v>2016</v>
      </c>
      <c r="F183" s="4"/>
      <c r="G183" s="4"/>
      <c r="H183" s="1" t="s">
        <v>12175</v>
      </c>
      <c r="I183" s="1" t="s">
        <v>145</v>
      </c>
      <c r="J183" s="1" t="s">
        <v>11044</v>
      </c>
      <c r="K183" s="1" t="s">
        <v>11768</v>
      </c>
      <c r="L183" s="1" t="s">
        <v>11769</v>
      </c>
      <c r="M183" s="1">
        <v>2016</v>
      </c>
      <c r="N183" s="1">
        <v>9781450342186</v>
      </c>
      <c r="O183" s="4"/>
      <c r="P183" s="3" t="s">
        <v>12176</v>
      </c>
      <c r="Q183" s="1" t="s">
        <v>12177</v>
      </c>
      <c r="R183" s="1" t="s">
        <v>12178</v>
      </c>
      <c r="S183" s="1" t="s">
        <v>12179</v>
      </c>
      <c r="T183" s="4"/>
      <c r="U183" s="4"/>
      <c r="V183" s="1" t="s">
        <v>11774</v>
      </c>
    </row>
    <row r="184" spans="1:22" x14ac:dyDescent="0.25">
      <c r="A184" s="1" t="s">
        <v>141</v>
      </c>
      <c r="B184" s="1" t="s">
        <v>7145</v>
      </c>
      <c r="C184" s="1" t="s">
        <v>12180</v>
      </c>
      <c r="D184" s="4"/>
      <c r="E184" s="1">
        <v>2022</v>
      </c>
      <c r="F184" s="4"/>
      <c r="G184" s="4"/>
      <c r="H184" s="1" t="s">
        <v>12181</v>
      </c>
      <c r="I184" s="1" t="s">
        <v>11083</v>
      </c>
      <c r="J184" s="1" t="s">
        <v>11495</v>
      </c>
      <c r="K184" s="1" t="s">
        <v>11496</v>
      </c>
      <c r="L184" s="4"/>
      <c r="M184" s="1">
        <v>2022</v>
      </c>
      <c r="N184" s="1">
        <v>9781665403375</v>
      </c>
      <c r="O184" s="4"/>
      <c r="P184" s="3" t="s">
        <v>12182</v>
      </c>
      <c r="Q184" s="1" t="s">
        <v>7149</v>
      </c>
      <c r="R184" s="1" t="s">
        <v>7150</v>
      </c>
      <c r="S184" s="1" t="s">
        <v>12183</v>
      </c>
      <c r="T184" s="4"/>
      <c r="U184" s="4"/>
      <c r="V184" s="1" t="s">
        <v>11498</v>
      </c>
    </row>
    <row r="185" spans="1:22" x14ac:dyDescent="0.25">
      <c r="A185" s="1" t="s">
        <v>141</v>
      </c>
      <c r="B185" s="1" t="s">
        <v>12184</v>
      </c>
      <c r="C185" s="1" t="s">
        <v>12185</v>
      </c>
      <c r="D185" s="4"/>
      <c r="E185" s="1">
        <v>2013</v>
      </c>
      <c r="F185" s="4"/>
      <c r="G185" s="4"/>
      <c r="H185" s="1" t="s">
        <v>12186</v>
      </c>
      <c r="I185" s="1" t="s">
        <v>11083</v>
      </c>
      <c r="J185" s="1" t="s">
        <v>12187</v>
      </c>
      <c r="K185" s="1" t="s">
        <v>12188</v>
      </c>
      <c r="L185" s="4"/>
      <c r="M185" s="1">
        <v>2013</v>
      </c>
      <c r="N185" s="1">
        <v>9781467330763</v>
      </c>
      <c r="O185" s="4"/>
      <c r="P185" s="4"/>
      <c r="Q185" s="4"/>
      <c r="R185" s="1" t="s">
        <v>6748</v>
      </c>
      <c r="S185" s="4"/>
      <c r="T185" s="4"/>
      <c r="U185" s="4"/>
      <c r="V185" s="1" t="s">
        <v>12189</v>
      </c>
    </row>
    <row r="186" spans="1:22" x14ac:dyDescent="0.25">
      <c r="A186" s="1" t="s">
        <v>141</v>
      </c>
      <c r="B186" s="1" t="s">
        <v>5359</v>
      </c>
      <c r="C186" s="1" t="s">
        <v>12190</v>
      </c>
      <c r="D186" s="4"/>
      <c r="E186" s="1">
        <v>2018</v>
      </c>
      <c r="F186" s="4"/>
      <c r="G186" s="4"/>
      <c r="H186" s="1" t="s">
        <v>12191</v>
      </c>
      <c r="I186" s="1" t="s">
        <v>145</v>
      </c>
      <c r="J186" s="1" t="s">
        <v>11044</v>
      </c>
      <c r="K186" s="1" t="s">
        <v>12192</v>
      </c>
      <c r="L186" s="1" t="s">
        <v>12193</v>
      </c>
      <c r="M186" s="1">
        <v>2018</v>
      </c>
      <c r="N186" s="1">
        <v>9781450365031</v>
      </c>
      <c r="O186" s="4"/>
      <c r="P186" s="3" t="s">
        <v>12194</v>
      </c>
      <c r="Q186" s="1" t="s">
        <v>5363</v>
      </c>
      <c r="R186" s="1" t="s">
        <v>12195</v>
      </c>
      <c r="S186" s="1" t="s">
        <v>12196</v>
      </c>
      <c r="T186" s="4"/>
      <c r="U186" s="4"/>
      <c r="V186" s="1" t="s">
        <v>12197</v>
      </c>
    </row>
    <row r="187" spans="1:22" x14ac:dyDescent="0.25">
      <c r="A187" s="1" t="s">
        <v>141</v>
      </c>
      <c r="B187" s="1" t="s">
        <v>12198</v>
      </c>
      <c r="C187" s="1" t="s">
        <v>12199</v>
      </c>
      <c r="D187" s="4"/>
      <c r="E187" s="1">
        <v>2021</v>
      </c>
      <c r="F187" s="4"/>
      <c r="G187" s="4"/>
      <c r="H187" s="1" t="s">
        <v>12200</v>
      </c>
      <c r="I187" s="1" t="s">
        <v>145</v>
      </c>
      <c r="J187" s="1" t="s">
        <v>11044</v>
      </c>
      <c r="K187" s="1" t="s">
        <v>11053</v>
      </c>
      <c r="L187" s="1" t="s">
        <v>11054</v>
      </c>
      <c r="M187" s="1">
        <v>2021</v>
      </c>
      <c r="N187" s="1">
        <v>9781450390538</v>
      </c>
      <c r="O187" s="4"/>
      <c r="P187" s="3" t="s">
        <v>12201</v>
      </c>
      <c r="Q187" s="1" t="s">
        <v>12202</v>
      </c>
      <c r="R187" s="1" t="s">
        <v>12203</v>
      </c>
      <c r="S187" s="4"/>
      <c r="T187" s="4"/>
      <c r="U187" s="4"/>
      <c r="V187" s="1" t="s">
        <v>11058</v>
      </c>
    </row>
    <row r="188" spans="1:22" x14ac:dyDescent="0.25">
      <c r="A188" s="1" t="s">
        <v>141</v>
      </c>
      <c r="B188" s="1" t="s">
        <v>7289</v>
      </c>
      <c r="C188" s="1" t="s">
        <v>12204</v>
      </c>
      <c r="D188" s="4"/>
      <c r="E188" s="1">
        <v>2013</v>
      </c>
      <c r="F188" s="4"/>
      <c r="G188" s="4"/>
      <c r="H188" s="1" t="s">
        <v>12205</v>
      </c>
      <c r="I188" s="1" t="s">
        <v>11083</v>
      </c>
      <c r="J188" s="1" t="s">
        <v>12187</v>
      </c>
      <c r="K188" s="1" t="s">
        <v>12188</v>
      </c>
      <c r="L188" s="4"/>
      <c r="M188" s="1">
        <v>2013</v>
      </c>
      <c r="N188" s="1">
        <v>9781467330763</v>
      </c>
      <c r="O188" s="4"/>
      <c r="P188" s="4"/>
      <c r="Q188" s="4"/>
      <c r="R188" s="1" t="s">
        <v>7294</v>
      </c>
      <c r="S188" s="4"/>
      <c r="T188" s="4"/>
      <c r="U188" s="4"/>
      <c r="V188" s="1" t="s">
        <v>12189</v>
      </c>
    </row>
    <row r="189" spans="1:22" x14ac:dyDescent="0.25">
      <c r="A189" s="1" t="s">
        <v>141</v>
      </c>
      <c r="B189" s="1" t="s">
        <v>12206</v>
      </c>
      <c r="C189" s="1" t="s">
        <v>12207</v>
      </c>
      <c r="D189" s="4"/>
      <c r="E189" s="1">
        <v>2016</v>
      </c>
      <c r="F189" s="4"/>
      <c r="G189" s="4"/>
      <c r="H189" s="1" t="s">
        <v>12208</v>
      </c>
      <c r="I189" s="1" t="s">
        <v>145</v>
      </c>
      <c r="J189" s="1" t="s">
        <v>11044</v>
      </c>
      <c r="K189" s="1" t="s">
        <v>12057</v>
      </c>
      <c r="L189" s="1" t="s">
        <v>12058</v>
      </c>
      <c r="M189" s="1">
        <v>2016</v>
      </c>
      <c r="N189" s="1">
        <v>9781450345705</v>
      </c>
      <c r="O189" s="4"/>
      <c r="P189" s="3" t="s">
        <v>12209</v>
      </c>
      <c r="Q189" s="1" t="s">
        <v>12210</v>
      </c>
      <c r="R189" s="1" t="s">
        <v>12211</v>
      </c>
      <c r="S189" s="1" t="s">
        <v>12212</v>
      </c>
      <c r="T189" s="4"/>
      <c r="U189" s="4"/>
      <c r="V189" s="1" t="s">
        <v>12062</v>
      </c>
    </row>
    <row r="190" spans="1:22" x14ac:dyDescent="0.25">
      <c r="A190" s="1" t="s">
        <v>13</v>
      </c>
      <c r="B190" s="1" t="s">
        <v>12213</v>
      </c>
      <c r="C190" s="1" t="s">
        <v>12214</v>
      </c>
      <c r="D190" s="1" t="s">
        <v>11246</v>
      </c>
      <c r="E190" s="1">
        <v>2021</v>
      </c>
      <c r="F190" s="1">
        <v>30</v>
      </c>
      <c r="G190" s="1">
        <v>2</v>
      </c>
      <c r="H190" s="4"/>
      <c r="I190" s="1" t="s">
        <v>145</v>
      </c>
      <c r="J190" s="1" t="s">
        <v>11044</v>
      </c>
      <c r="K190" s="4"/>
      <c r="L190" s="4"/>
      <c r="M190" s="6">
        <v>44228</v>
      </c>
      <c r="N190" s="4"/>
      <c r="O190" s="1" t="s">
        <v>329</v>
      </c>
      <c r="P190" s="3" t="s">
        <v>12215</v>
      </c>
      <c r="Q190" s="1" t="s">
        <v>12216</v>
      </c>
      <c r="R190" s="1" t="s">
        <v>12217</v>
      </c>
      <c r="S190" s="1" t="s">
        <v>12218</v>
      </c>
      <c r="T190" s="4"/>
      <c r="U190" s="4"/>
      <c r="V190" s="4"/>
    </row>
    <row r="191" spans="1:22" x14ac:dyDescent="0.25">
      <c r="A191" s="1" t="s">
        <v>141</v>
      </c>
      <c r="B191" s="1" t="s">
        <v>12219</v>
      </c>
      <c r="C191" s="1" t="s">
        <v>12220</v>
      </c>
      <c r="D191" s="4"/>
      <c r="E191" s="1">
        <v>2010</v>
      </c>
      <c r="F191" s="4"/>
      <c r="G191" s="4"/>
      <c r="H191" s="4"/>
      <c r="I191" s="1" t="s">
        <v>145</v>
      </c>
      <c r="J191" s="1" t="s">
        <v>11044</v>
      </c>
      <c r="K191" s="1" t="s">
        <v>12221</v>
      </c>
      <c r="L191" s="1" t="s">
        <v>12222</v>
      </c>
      <c r="M191" s="1">
        <v>2010</v>
      </c>
      <c r="N191" s="1">
        <v>9781450300391</v>
      </c>
      <c r="O191" s="4"/>
      <c r="P191" s="3" t="s">
        <v>12223</v>
      </c>
      <c r="Q191" s="1" t="s">
        <v>12224</v>
      </c>
      <c r="R191" s="1" t="s">
        <v>12225</v>
      </c>
      <c r="S191" s="1" t="s">
        <v>12226</v>
      </c>
      <c r="T191" s="4"/>
      <c r="U191" s="4"/>
      <c r="V191" s="1" t="s">
        <v>12227</v>
      </c>
    </row>
    <row r="192" spans="1:22" x14ac:dyDescent="0.25">
      <c r="A192" s="1" t="s">
        <v>141</v>
      </c>
      <c r="B192" s="1" t="s">
        <v>12228</v>
      </c>
      <c r="C192" s="1" t="s">
        <v>12229</v>
      </c>
      <c r="D192" s="4"/>
      <c r="E192" s="1">
        <v>2019</v>
      </c>
      <c r="F192" s="4"/>
      <c r="G192" s="4"/>
      <c r="H192" s="1" t="s">
        <v>12230</v>
      </c>
      <c r="I192" s="1" t="s">
        <v>11083</v>
      </c>
      <c r="J192" s="1" t="s">
        <v>11147</v>
      </c>
      <c r="K192" s="1" t="s">
        <v>11460</v>
      </c>
      <c r="L192" s="4"/>
      <c r="M192" s="1">
        <v>2019</v>
      </c>
      <c r="N192" s="4"/>
      <c r="O192" s="4"/>
      <c r="P192" s="3" t="s">
        <v>12231</v>
      </c>
      <c r="Q192" s="1" t="s">
        <v>12232</v>
      </c>
      <c r="R192" s="1" t="s">
        <v>12233</v>
      </c>
      <c r="S192" s="1" t="s">
        <v>12234</v>
      </c>
      <c r="T192" s="4"/>
      <c r="U192" s="4"/>
      <c r="V192" s="1" t="s">
        <v>11464</v>
      </c>
    </row>
    <row r="193" spans="1:22" x14ac:dyDescent="0.25">
      <c r="A193" s="1" t="s">
        <v>141</v>
      </c>
      <c r="B193" s="1" t="s">
        <v>12235</v>
      </c>
      <c r="C193" s="1" t="s">
        <v>12236</v>
      </c>
      <c r="D193" s="4"/>
      <c r="E193" s="1">
        <v>2020</v>
      </c>
      <c r="F193" s="4"/>
      <c r="G193" s="4"/>
      <c r="H193" s="1" t="s">
        <v>12237</v>
      </c>
      <c r="I193" s="1" t="s">
        <v>145</v>
      </c>
      <c r="J193" s="1" t="s">
        <v>11044</v>
      </c>
      <c r="K193" s="1" t="s">
        <v>12086</v>
      </c>
      <c r="L193" s="1" t="s">
        <v>12087</v>
      </c>
      <c r="M193" s="1">
        <v>2020</v>
      </c>
      <c r="N193" s="1">
        <v>9781450370431</v>
      </c>
      <c r="O193" s="4"/>
      <c r="P193" s="3" t="s">
        <v>12238</v>
      </c>
      <c r="Q193" s="1" t="s">
        <v>12239</v>
      </c>
      <c r="R193" s="1" t="s">
        <v>12240</v>
      </c>
      <c r="S193" s="1" t="s">
        <v>12241</v>
      </c>
      <c r="T193" s="4"/>
      <c r="U193" s="4"/>
      <c r="V193" s="1" t="s">
        <v>12092</v>
      </c>
    </row>
    <row r="194" spans="1:22" x14ac:dyDescent="0.25">
      <c r="A194" s="1" t="s">
        <v>141</v>
      </c>
      <c r="B194" s="1" t="s">
        <v>5637</v>
      </c>
      <c r="C194" s="1" t="s">
        <v>5638</v>
      </c>
      <c r="D194" s="4"/>
      <c r="E194" s="1">
        <v>2017</v>
      </c>
      <c r="F194" s="4"/>
      <c r="G194" s="4"/>
      <c r="H194" s="1" t="s">
        <v>12242</v>
      </c>
      <c r="I194" s="1" t="s">
        <v>11083</v>
      </c>
      <c r="J194" s="1" t="s">
        <v>11403</v>
      </c>
      <c r="K194" s="1" t="s">
        <v>12243</v>
      </c>
      <c r="L194" s="4"/>
      <c r="M194" s="1">
        <v>2017</v>
      </c>
      <c r="N194" s="1">
        <v>9781538605356</v>
      </c>
      <c r="O194" s="4"/>
      <c r="P194" s="3" t="s">
        <v>12244</v>
      </c>
      <c r="Q194" s="1" t="s">
        <v>5641</v>
      </c>
      <c r="R194" s="1" t="s">
        <v>12245</v>
      </c>
      <c r="S194" s="1" t="s">
        <v>12246</v>
      </c>
      <c r="T194" s="4"/>
      <c r="U194" s="4"/>
      <c r="V194" s="1" t="s">
        <v>12247</v>
      </c>
    </row>
    <row r="195" spans="1:22" x14ac:dyDescent="0.25">
      <c r="A195" s="1" t="s">
        <v>141</v>
      </c>
      <c r="B195" s="1" t="s">
        <v>7772</v>
      </c>
      <c r="C195" s="1" t="s">
        <v>7773</v>
      </c>
      <c r="D195" s="4"/>
      <c r="E195" s="1">
        <v>2018</v>
      </c>
      <c r="F195" s="4"/>
      <c r="G195" s="4"/>
      <c r="H195" s="1" t="s">
        <v>12248</v>
      </c>
      <c r="I195" s="1" t="s">
        <v>145</v>
      </c>
      <c r="J195" s="1" t="s">
        <v>11044</v>
      </c>
      <c r="K195" s="1" t="s">
        <v>12249</v>
      </c>
      <c r="L195" s="1" t="s">
        <v>12250</v>
      </c>
      <c r="M195" s="1">
        <v>2018</v>
      </c>
      <c r="N195" s="1">
        <v>9781450359375</v>
      </c>
      <c r="O195" s="4"/>
      <c r="P195" s="3" t="s">
        <v>12251</v>
      </c>
      <c r="Q195" s="1" t="s">
        <v>7777</v>
      </c>
      <c r="R195" s="1" t="s">
        <v>12252</v>
      </c>
      <c r="S195" s="1" t="s">
        <v>12253</v>
      </c>
      <c r="T195" s="4"/>
      <c r="U195" s="4"/>
      <c r="V195" s="1" t="s">
        <v>12254</v>
      </c>
    </row>
    <row r="196" spans="1:22" x14ac:dyDescent="0.25">
      <c r="A196" s="1" t="s">
        <v>141</v>
      </c>
      <c r="B196" s="1" t="s">
        <v>660</v>
      </c>
      <c r="C196" s="1" t="s">
        <v>661</v>
      </c>
      <c r="D196" s="4"/>
      <c r="E196" s="1">
        <v>2022</v>
      </c>
      <c r="F196" s="4"/>
      <c r="G196" s="4"/>
      <c r="H196" s="1" t="s">
        <v>12255</v>
      </c>
      <c r="I196" s="1" t="s">
        <v>145</v>
      </c>
      <c r="J196" s="1" t="s">
        <v>11044</v>
      </c>
      <c r="K196" s="1" t="s">
        <v>12256</v>
      </c>
      <c r="L196" s="1" t="s">
        <v>12257</v>
      </c>
      <c r="M196" s="1">
        <v>2022</v>
      </c>
      <c r="N196" s="1">
        <v>9781450395717</v>
      </c>
      <c r="O196" s="4"/>
      <c r="P196" s="3" t="s">
        <v>12258</v>
      </c>
      <c r="Q196" s="1" t="s">
        <v>664</v>
      </c>
      <c r="R196" s="4"/>
      <c r="S196" s="1" t="s">
        <v>12259</v>
      </c>
      <c r="T196" s="4"/>
      <c r="U196" s="4"/>
      <c r="V196" s="1" t="s">
        <v>12260</v>
      </c>
    </row>
    <row r="197" spans="1:22" x14ac:dyDescent="0.25">
      <c r="A197" s="1" t="s">
        <v>141</v>
      </c>
      <c r="B197" s="1" t="s">
        <v>12261</v>
      </c>
      <c r="C197" s="1" t="s">
        <v>7261</v>
      </c>
      <c r="D197" s="4"/>
      <c r="E197" s="1">
        <v>2019</v>
      </c>
      <c r="F197" s="4"/>
      <c r="G197" s="4"/>
      <c r="H197" s="1" t="s">
        <v>11155</v>
      </c>
      <c r="I197" s="1" t="s">
        <v>11083</v>
      </c>
      <c r="J197" s="1" t="s">
        <v>11147</v>
      </c>
      <c r="K197" s="1" t="s">
        <v>11148</v>
      </c>
      <c r="L197" s="4"/>
      <c r="M197" s="1">
        <v>2019</v>
      </c>
      <c r="N197" s="4"/>
      <c r="O197" s="4"/>
      <c r="P197" s="3" t="s">
        <v>12262</v>
      </c>
      <c r="Q197" s="1" t="s">
        <v>7263</v>
      </c>
      <c r="R197" s="1" t="s">
        <v>12263</v>
      </c>
      <c r="S197" s="1" t="s">
        <v>12264</v>
      </c>
      <c r="T197" s="4"/>
      <c r="U197" s="4"/>
      <c r="V197" s="1" t="s">
        <v>11152</v>
      </c>
    </row>
    <row r="198" spans="1:22" x14ac:dyDescent="0.25">
      <c r="A198" s="1" t="s">
        <v>141</v>
      </c>
      <c r="B198" s="1" t="s">
        <v>3062</v>
      </c>
      <c r="C198" s="1" t="s">
        <v>7470</v>
      </c>
      <c r="D198" s="4"/>
      <c r="E198" s="1">
        <v>2019</v>
      </c>
      <c r="F198" s="4"/>
      <c r="G198" s="4"/>
      <c r="H198" s="1" t="s">
        <v>12265</v>
      </c>
      <c r="I198" s="1" t="s">
        <v>11083</v>
      </c>
      <c r="J198" s="1" t="s">
        <v>11147</v>
      </c>
      <c r="K198" s="1" t="s">
        <v>12266</v>
      </c>
      <c r="L198" s="4"/>
      <c r="M198" s="1">
        <v>2019</v>
      </c>
      <c r="N198" s="4"/>
      <c r="O198" s="4"/>
      <c r="P198" s="3" t="s">
        <v>12267</v>
      </c>
      <c r="Q198" s="1" t="s">
        <v>4558</v>
      </c>
      <c r="R198" s="1" t="s">
        <v>7474</v>
      </c>
      <c r="S198" s="1" t="s">
        <v>12268</v>
      </c>
      <c r="T198" s="4"/>
      <c r="U198" s="4"/>
      <c r="V198" s="1" t="s">
        <v>12269</v>
      </c>
    </row>
    <row r="199" spans="1:22" x14ac:dyDescent="0.25">
      <c r="A199" s="1" t="s">
        <v>141</v>
      </c>
      <c r="B199" s="1" t="s">
        <v>6984</v>
      </c>
      <c r="C199" s="1" t="s">
        <v>12270</v>
      </c>
      <c r="D199" s="4"/>
      <c r="E199" s="1">
        <v>2019</v>
      </c>
      <c r="F199" s="4"/>
      <c r="G199" s="4"/>
      <c r="H199" s="1" t="s">
        <v>12271</v>
      </c>
      <c r="I199" s="1" t="s">
        <v>11083</v>
      </c>
      <c r="J199" s="1" t="s">
        <v>11147</v>
      </c>
      <c r="K199" s="1" t="s">
        <v>12272</v>
      </c>
      <c r="L199" s="4"/>
      <c r="M199" s="1">
        <v>2019</v>
      </c>
      <c r="N199" s="4"/>
      <c r="O199" s="4"/>
      <c r="P199" s="3" t="s">
        <v>12273</v>
      </c>
      <c r="Q199" s="1" t="s">
        <v>6988</v>
      </c>
      <c r="R199" s="1" t="s">
        <v>6989</v>
      </c>
      <c r="S199" s="1" t="s">
        <v>12274</v>
      </c>
      <c r="T199" s="4"/>
      <c r="U199" s="4"/>
      <c r="V199" s="1" t="s">
        <v>12275</v>
      </c>
    </row>
    <row r="200" spans="1:22" x14ac:dyDescent="0.25">
      <c r="A200" s="1" t="s">
        <v>141</v>
      </c>
      <c r="B200" s="1" t="s">
        <v>5782</v>
      </c>
      <c r="C200" s="1" t="s">
        <v>12276</v>
      </c>
      <c r="D200" s="4"/>
      <c r="E200" s="1">
        <v>2018</v>
      </c>
      <c r="F200" s="4"/>
      <c r="G200" s="4"/>
      <c r="H200" s="1" t="s">
        <v>11092</v>
      </c>
      <c r="I200" s="1" t="s">
        <v>145</v>
      </c>
      <c r="J200" s="1" t="s">
        <v>11044</v>
      </c>
      <c r="K200" s="1" t="s">
        <v>12277</v>
      </c>
      <c r="L200" s="1" t="s">
        <v>11931</v>
      </c>
      <c r="M200" s="1">
        <v>2018</v>
      </c>
      <c r="N200" s="1">
        <v>9781450360555</v>
      </c>
      <c r="O200" s="4"/>
      <c r="P200" s="3" t="s">
        <v>12278</v>
      </c>
      <c r="Q200" s="1" t="s">
        <v>5786</v>
      </c>
      <c r="R200" s="1" t="s">
        <v>12279</v>
      </c>
      <c r="S200" s="1" t="s">
        <v>12280</v>
      </c>
      <c r="T200" s="4"/>
      <c r="U200" s="4"/>
      <c r="V200" s="1" t="s">
        <v>12281</v>
      </c>
    </row>
    <row r="201" spans="1:22" x14ac:dyDescent="0.25">
      <c r="A201" s="1" t="s">
        <v>141</v>
      </c>
      <c r="B201" s="1" t="s">
        <v>4517</v>
      </c>
      <c r="C201" s="1" t="s">
        <v>12282</v>
      </c>
      <c r="D201" s="4"/>
      <c r="E201" s="1">
        <v>2020</v>
      </c>
      <c r="F201" s="4"/>
      <c r="G201" s="4"/>
      <c r="H201" s="1" t="s">
        <v>12283</v>
      </c>
      <c r="I201" s="1" t="s">
        <v>145</v>
      </c>
      <c r="J201" s="1" t="s">
        <v>11044</v>
      </c>
      <c r="K201" s="1" t="s">
        <v>12163</v>
      </c>
      <c r="L201" s="1" t="s">
        <v>11046</v>
      </c>
      <c r="M201" s="1">
        <v>2020</v>
      </c>
      <c r="N201" s="1">
        <v>9781450371216</v>
      </c>
      <c r="O201" s="4"/>
      <c r="P201" s="3" t="s">
        <v>12284</v>
      </c>
      <c r="Q201" s="1" t="s">
        <v>4521</v>
      </c>
      <c r="R201" s="1" t="s">
        <v>12285</v>
      </c>
      <c r="S201" s="1" t="s">
        <v>12286</v>
      </c>
      <c r="T201" s="4"/>
      <c r="U201" s="4"/>
      <c r="V201" s="1" t="s">
        <v>11050</v>
      </c>
    </row>
    <row r="202" spans="1:22" x14ac:dyDescent="0.25">
      <c r="A202" s="1" t="s">
        <v>141</v>
      </c>
      <c r="B202" s="1" t="s">
        <v>7601</v>
      </c>
      <c r="C202" s="1" t="s">
        <v>7602</v>
      </c>
      <c r="D202" s="4"/>
      <c r="E202" s="1">
        <v>2021</v>
      </c>
      <c r="F202" s="4"/>
      <c r="G202" s="4"/>
      <c r="H202" s="1" t="s">
        <v>12287</v>
      </c>
      <c r="I202" s="1" t="s">
        <v>11083</v>
      </c>
      <c r="J202" s="1" t="s">
        <v>11084</v>
      </c>
      <c r="K202" s="1" t="s">
        <v>11085</v>
      </c>
      <c r="L202" s="4"/>
      <c r="M202" s="1">
        <v>2021</v>
      </c>
      <c r="N202" s="1">
        <v>9781450390859</v>
      </c>
      <c r="O202" s="4"/>
      <c r="P202" s="3" t="s">
        <v>12288</v>
      </c>
      <c r="Q202" s="1" t="s">
        <v>7605</v>
      </c>
      <c r="R202" s="1" t="s">
        <v>7606</v>
      </c>
      <c r="S202" s="1" t="s">
        <v>12289</v>
      </c>
      <c r="T202" s="4"/>
      <c r="U202" s="4"/>
      <c r="V202" s="1" t="s">
        <v>11089</v>
      </c>
    </row>
    <row r="203" spans="1:22" x14ac:dyDescent="0.25">
      <c r="A203" s="1" t="s">
        <v>141</v>
      </c>
      <c r="B203" s="1" t="s">
        <v>12290</v>
      </c>
      <c r="C203" s="1" t="s">
        <v>12291</v>
      </c>
      <c r="D203" s="4"/>
      <c r="E203" s="1">
        <v>2016</v>
      </c>
      <c r="F203" s="4"/>
      <c r="G203" s="4"/>
      <c r="H203" s="1" t="s">
        <v>12292</v>
      </c>
      <c r="I203" s="1" t="s">
        <v>145</v>
      </c>
      <c r="J203" s="1" t="s">
        <v>11044</v>
      </c>
      <c r="K203" s="1" t="s">
        <v>12293</v>
      </c>
      <c r="L203" s="1" t="s">
        <v>12294</v>
      </c>
      <c r="M203" s="1">
        <v>2016</v>
      </c>
      <c r="N203" s="1">
        <v>9781450337397</v>
      </c>
      <c r="O203" s="4"/>
      <c r="P203" s="3" t="s">
        <v>12295</v>
      </c>
      <c r="Q203" s="1" t="s">
        <v>12296</v>
      </c>
      <c r="R203" s="1" t="s">
        <v>12297</v>
      </c>
      <c r="S203" s="1" t="s">
        <v>12298</v>
      </c>
      <c r="T203" s="4"/>
      <c r="U203" s="4"/>
      <c r="V203" s="1" t="s">
        <v>12299</v>
      </c>
    </row>
    <row r="204" spans="1:22" x14ac:dyDescent="0.25">
      <c r="A204" s="1" t="s">
        <v>141</v>
      </c>
      <c r="B204" s="1" t="s">
        <v>12300</v>
      </c>
      <c r="C204" s="1" t="s">
        <v>12301</v>
      </c>
      <c r="D204" s="4"/>
      <c r="E204" s="1">
        <v>2019</v>
      </c>
      <c r="F204" s="4"/>
      <c r="G204" s="4"/>
      <c r="H204" s="1" t="s">
        <v>12302</v>
      </c>
      <c r="I204" s="1" t="s">
        <v>145</v>
      </c>
      <c r="J204" s="1" t="s">
        <v>11044</v>
      </c>
      <c r="K204" s="1" t="s">
        <v>11622</v>
      </c>
      <c r="L204" s="1" t="s">
        <v>11623</v>
      </c>
      <c r="M204" s="1">
        <v>2019</v>
      </c>
      <c r="N204" s="1">
        <v>9781450368285</v>
      </c>
      <c r="O204" s="4"/>
      <c r="P204" s="3" t="s">
        <v>12303</v>
      </c>
      <c r="Q204" s="1" t="s">
        <v>12304</v>
      </c>
      <c r="R204" s="1" t="s">
        <v>12305</v>
      </c>
      <c r="S204" s="1" t="s">
        <v>12306</v>
      </c>
      <c r="T204" s="4"/>
      <c r="U204" s="4"/>
      <c r="V204" s="1" t="s">
        <v>11628</v>
      </c>
    </row>
    <row r="205" spans="1:22" x14ac:dyDescent="0.25">
      <c r="A205" s="1" t="s">
        <v>141</v>
      </c>
      <c r="B205" s="1" t="s">
        <v>7569</v>
      </c>
      <c r="C205" s="1" t="s">
        <v>7817</v>
      </c>
      <c r="D205" s="4"/>
      <c r="E205" s="1">
        <v>2016</v>
      </c>
      <c r="F205" s="4"/>
      <c r="G205" s="4"/>
      <c r="H205" s="1" t="s">
        <v>12307</v>
      </c>
      <c r="I205" s="1" t="s">
        <v>145</v>
      </c>
      <c r="J205" s="1" t="s">
        <v>11044</v>
      </c>
      <c r="K205" s="1" t="s">
        <v>12308</v>
      </c>
      <c r="L205" s="1" t="s">
        <v>11070</v>
      </c>
      <c r="M205" s="1">
        <v>2016</v>
      </c>
      <c r="N205" s="1">
        <v>9781450339001</v>
      </c>
      <c r="O205" s="4"/>
      <c r="P205" s="3" t="s">
        <v>12309</v>
      </c>
      <c r="Q205" s="1" t="s">
        <v>7821</v>
      </c>
      <c r="R205" s="1" t="s">
        <v>12310</v>
      </c>
      <c r="S205" s="1" t="s">
        <v>12311</v>
      </c>
      <c r="T205" s="4"/>
      <c r="U205" s="4"/>
      <c r="V205" s="1" t="s">
        <v>12016</v>
      </c>
    </row>
    <row r="206" spans="1:22" x14ac:dyDescent="0.25">
      <c r="A206" s="1" t="s">
        <v>141</v>
      </c>
      <c r="B206" s="1" t="s">
        <v>7165</v>
      </c>
      <c r="C206" s="1" t="s">
        <v>12312</v>
      </c>
      <c r="D206" s="4"/>
      <c r="E206" s="1">
        <v>2020</v>
      </c>
      <c r="F206" s="4"/>
      <c r="G206" s="4"/>
      <c r="H206" s="1" t="s">
        <v>11347</v>
      </c>
      <c r="I206" s="1" t="s">
        <v>145</v>
      </c>
      <c r="J206" s="1" t="s">
        <v>11044</v>
      </c>
      <c r="K206" s="1" t="s">
        <v>12313</v>
      </c>
      <c r="L206" s="1" t="s">
        <v>11046</v>
      </c>
      <c r="M206" s="1">
        <v>2020</v>
      </c>
      <c r="N206" s="1">
        <v>9781450371230</v>
      </c>
      <c r="O206" s="4"/>
      <c r="P206" s="3" t="s">
        <v>12314</v>
      </c>
      <c r="Q206" s="1" t="s">
        <v>12315</v>
      </c>
      <c r="R206" s="1" t="s">
        <v>12316</v>
      </c>
      <c r="S206" s="4"/>
      <c r="T206" s="4"/>
      <c r="U206" s="4"/>
      <c r="V206" s="1" t="s">
        <v>12317</v>
      </c>
    </row>
    <row r="207" spans="1:22" x14ac:dyDescent="0.25">
      <c r="A207" s="1" t="s">
        <v>141</v>
      </c>
      <c r="B207" s="1" t="s">
        <v>4140</v>
      </c>
      <c r="C207" s="1" t="s">
        <v>12318</v>
      </c>
      <c r="D207" s="4"/>
      <c r="E207" s="1">
        <v>2019</v>
      </c>
      <c r="F207" s="4"/>
      <c r="G207" s="4"/>
      <c r="H207" s="1" t="s">
        <v>12319</v>
      </c>
      <c r="I207" s="1" t="s">
        <v>145</v>
      </c>
      <c r="J207" s="1" t="s">
        <v>11044</v>
      </c>
      <c r="K207" s="1" t="s">
        <v>12320</v>
      </c>
      <c r="L207" s="1" t="s">
        <v>11187</v>
      </c>
      <c r="M207" s="1">
        <v>2019</v>
      </c>
      <c r="N207" s="1">
        <v>9781450355728</v>
      </c>
      <c r="O207" s="4"/>
      <c r="P207" s="3" t="s">
        <v>12321</v>
      </c>
      <c r="Q207" s="1" t="s">
        <v>4143</v>
      </c>
      <c r="R207" s="1" t="s">
        <v>12322</v>
      </c>
      <c r="S207" s="1" t="s">
        <v>12323</v>
      </c>
      <c r="T207" s="4"/>
      <c r="U207" s="4"/>
      <c r="V207" s="1" t="s">
        <v>12324</v>
      </c>
    </row>
    <row r="208" spans="1:22" x14ac:dyDescent="0.25">
      <c r="A208" s="1" t="s">
        <v>13</v>
      </c>
      <c r="B208" s="1" t="s">
        <v>12325</v>
      </c>
      <c r="C208" s="1" t="s">
        <v>12326</v>
      </c>
      <c r="D208" s="1" t="s">
        <v>11061</v>
      </c>
      <c r="E208" s="1">
        <v>2018</v>
      </c>
      <c r="F208" s="1">
        <v>43</v>
      </c>
      <c r="G208" s="1">
        <v>1</v>
      </c>
      <c r="H208" s="1" t="s">
        <v>11481</v>
      </c>
      <c r="I208" s="1" t="s">
        <v>145</v>
      </c>
      <c r="J208" s="1" t="s">
        <v>11044</v>
      </c>
      <c r="K208" s="4"/>
      <c r="L208" s="4"/>
      <c r="M208" s="6">
        <v>43160</v>
      </c>
      <c r="N208" s="4"/>
      <c r="O208" s="1" t="s">
        <v>11063</v>
      </c>
      <c r="P208" s="3" t="s">
        <v>12327</v>
      </c>
      <c r="Q208" s="1" t="s">
        <v>12328</v>
      </c>
      <c r="R208" s="1" t="s">
        <v>12329</v>
      </c>
      <c r="S208" s="1" t="s">
        <v>12330</v>
      </c>
      <c r="T208" s="4"/>
      <c r="U208" s="4"/>
      <c r="V208" s="4"/>
    </row>
    <row r="209" spans="1:22" x14ac:dyDescent="0.25">
      <c r="A209" s="1" t="s">
        <v>141</v>
      </c>
      <c r="B209" s="1" t="s">
        <v>12331</v>
      </c>
      <c r="C209" s="1" t="s">
        <v>12332</v>
      </c>
      <c r="D209" s="4"/>
      <c r="E209" s="1">
        <v>2021</v>
      </c>
      <c r="F209" s="4"/>
      <c r="G209" s="4"/>
      <c r="H209" s="1" t="s">
        <v>12333</v>
      </c>
      <c r="I209" s="1" t="s">
        <v>145</v>
      </c>
      <c r="J209" s="1" t="s">
        <v>11044</v>
      </c>
      <c r="K209" s="1" t="s">
        <v>12334</v>
      </c>
      <c r="L209" s="1" t="s">
        <v>12335</v>
      </c>
      <c r="M209" s="1">
        <v>2021</v>
      </c>
      <c r="N209" s="1">
        <v>9781450382144</v>
      </c>
      <c r="O209" s="4"/>
      <c r="P209" s="3" t="s">
        <v>12336</v>
      </c>
      <c r="Q209" s="1" t="s">
        <v>12337</v>
      </c>
      <c r="R209" s="1" t="s">
        <v>12338</v>
      </c>
      <c r="S209" s="1" t="s">
        <v>12339</v>
      </c>
      <c r="T209" s="4"/>
      <c r="U209" s="4"/>
      <c r="V209" s="1" t="s">
        <v>12340</v>
      </c>
    </row>
    <row r="210" spans="1:22" x14ac:dyDescent="0.25">
      <c r="A210" s="1" t="s">
        <v>141</v>
      </c>
      <c r="B210" s="1" t="s">
        <v>12341</v>
      </c>
      <c r="C210" s="1" t="s">
        <v>12342</v>
      </c>
      <c r="D210" s="4"/>
      <c r="E210" s="1">
        <v>2020</v>
      </c>
      <c r="F210" s="4"/>
      <c r="G210" s="4"/>
      <c r="H210" s="1" t="s">
        <v>12343</v>
      </c>
      <c r="I210" s="1" t="s">
        <v>145</v>
      </c>
      <c r="J210" s="1" t="s">
        <v>11044</v>
      </c>
      <c r="K210" s="1" t="s">
        <v>12086</v>
      </c>
      <c r="L210" s="1" t="s">
        <v>12087</v>
      </c>
      <c r="M210" s="1">
        <v>2020</v>
      </c>
      <c r="N210" s="1">
        <v>9781450370431</v>
      </c>
      <c r="O210" s="4"/>
      <c r="P210" s="3" t="s">
        <v>12344</v>
      </c>
      <c r="Q210" s="1" t="s">
        <v>12345</v>
      </c>
      <c r="R210" s="1" t="s">
        <v>12346</v>
      </c>
      <c r="S210" s="1" t="s">
        <v>12347</v>
      </c>
      <c r="T210" s="4"/>
      <c r="U210" s="4"/>
      <c r="V210" s="1" t="s">
        <v>12092</v>
      </c>
    </row>
    <row r="211" spans="1:22" x14ac:dyDescent="0.25">
      <c r="A211" s="1" t="s">
        <v>141</v>
      </c>
      <c r="B211" s="1" t="s">
        <v>8249</v>
      </c>
      <c r="C211" s="1" t="s">
        <v>8250</v>
      </c>
      <c r="D211" s="4"/>
      <c r="E211" s="1">
        <v>2022</v>
      </c>
      <c r="F211" s="4"/>
      <c r="G211" s="4"/>
      <c r="H211" s="1" t="s">
        <v>12348</v>
      </c>
      <c r="I211" s="1" t="s">
        <v>145</v>
      </c>
      <c r="J211" s="1" t="s">
        <v>11044</v>
      </c>
      <c r="K211" s="1" t="s">
        <v>11326</v>
      </c>
      <c r="L211" s="1" t="s">
        <v>11077</v>
      </c>
      <c r="M211" s="1">
        <v>2022</v>
      </c>
      <c r="N211" s="1">
        <v>9781450393034</v>
      </c>
      <c r="O211" s="4"/>
      <c r="P211" s="3" t="s">
        <v>12349</v>
      </c>
      <c r="Q211" s="1" t="s">
        <v>8253</v>
      </c>
      <c r="R211" s="1" t="s">
        <v>12350</v>
      </c>
      <c r="S211" s="1" t="s">
        <v>12351</v>
      </c>
      <c r="T211" s="4"/>
      <c r="U211" s="4"/>
      <c r="V211" s="1" t="s">
        <v>11329</v>
      </c>
    </row>
    <row r="212" spans="1:22" x14ac:dyDescent="0.25">
      <c r="A212" s="1" t="s">
        <v>13</v>
      </c>
      <c r="B212" s="1" t="s">
        <v>12352</v>
      </c>
      <c r="C212" s="1" t="s">
        <v>12353</v>
      </c>
      <c r="D212" s="1" t="s">
        <v>12354</v>
      </c>
      <c r="E212" s="1">
        <v>2022</v>
      </c>
      <c r="F212" s="1">
        <v>6</v>
      </c>
      <c r="G212" s="1" t="s">
        <v>1286</v>
      </c>
      <c r="H212" s="4"/>
      <c r="I212" s="1" t="s">
        <v>145</v>
      </c>
      <c r="J212" s="1" t="s">
        <v>11044</v>
      </c>
      <c r="K212" s="4"/>
      <c r="L212" s="4"/>
      <c r="M212" s="6">
        <v>44652</v>
      </c>
      <c r="N212" s="4"/>
      <c r="O212" s="4"/>
      <c r="P212" s="3" t="s">
        <v>12355</v>
      </c>
      <c r="Q212" s="1" t="s">
        <v>12356</v>
      </c>
      <c r="R212" s="1" t="s">
        <v>12357</v>
      </c>
      <c r="S212" s="1" t="s">
        <v>12358</v>
      </c>
      <c r="T212" s="4"/>
      <c r="U212" s="4"/>
      <c r="V212" s="4"/>
    </row>
    <row r="213" spans="1:22" x14ac:dyDescent="0.25">
      <c r="A213" s="1" t="s">
        <v>141</v>
      </c>
      <c r="B213" s="1" t="s">
        <v>8185</v>
      </c>
      <c r="C213" s="1" t="s">
        <v>8186</v>
      </c>
      <c r="D213" s="4"/>
      <c r="E213" s="1">
        <v>2018</v>
      </c>
      <c r="F213" s="4"/>
      <c r="G213" s="4"/>
      <c r="H213" s="1" t="s">
        <v>12359</v>
      </c>
      <c r="I213" s="1" t="s">
        <v>145</v>
      </c>
      <c r="J213" s="1" t="s">
        <v>11044</v>
      </c>
      <c r="K213" s="1" t="s">
        <v>11281</v>
      </c>
      <c r="L213" s="1" t="s">
        <v>11105</v>
      </c>
      <c r="M213" s="1">
        <v>2018</v>
      </c>
      <c r="N213" s="1">
        <v>9781450357166</v>
      </c>
      <c r="O213" s="4"/>
      <c r="P213" s="3" t="s">
        <v>12360</v>
      </c>
      <c r="Q213" s="1" t="s">
        <v>12361</v>
      </c>
      <c r="R213" s="1" t="s">
        <v>8188</v>
      </c>
      <c r="S213" s="1" t="s">
        <v>12362</v>
      </c>
      <c r="T213" s="4"/>
      <c r="U213" s="4"/>
      <c r="V213" s="1" t="s">
        <v>11283</v>
      </c>
    </row>
    <row r="214" spans="1:22" x14ac:dyDescent="0.25">
      <c r="A214" s="1" t="s">
        <v>13</v>
      </c>
      <c r="B214" s="1" t="s">
        <v>12363</v>
      </c>
      <c r="C214" s="1" t="s">
        <v>12364</v>
      </c>
      <c r="D214" s="1" t="s">
        <v>11246</v>
      </c>
      <c r="E214" s="1">
        <v>2021</v>
      </c>
      <c r="F214" s="1">
        <v>31</v>
      </c>
      <c r="G214" s="1">
        <v>1</v>
      </c>
      <c r="H214" s="4"/>
      <c r="I214" s="1" t="s">
        <v>145</v>
      </c>
      <c r="J214" s="1" t="s">
        <v>11044</v>
      </c>
      <c r="K214" s="4"/>
      <c r="L214" s="4"/>
      <c r="M214" s="6">
        <v>44440</v>
      </c>
      <c r="N214" s="4"/>
      <c r="O214" s="1" t="s">
        <v>329</v>
      </c>
      <c r="P214" s="3" t="s">
        <v>12365</v>
      </c>
      <c r="Q214" s="1" t="s">
        <v>12366</v>
      </c>
      <c r="R214" s="1" t="s">
        <v>12367</v>
      </c>
      <c r="S214" s="1" t="s">
        <v>12368</v>
      </c>
      <c r="T214" s="4"/>
      <c r="U214" s="4"/>
      <c r="V214" s="4"/>
    </row>
    <row r="215" spans="1:22" x14ac:dyDescent="0.25">
      <c r="A215" s="1" t="s">
        <v>141</v>
      </c>
      <c r="B215" s="1" t="s">
        <v>8080</v>
      </c>
      <c r="C215" s="1" t="s">
        <v>8081</v>
      </c>
      <c r="D215" s="4"/>
      <c r="E215" s="1">
        <v>2017</v>
      </c>
      <c r="F215" s="4"/>
      <c r="G215" s="4"/>
      <c r="H215" s="1" t="s">
        <v>12003</v>
      </c>
      <c r="I215" s="1" t="s">
        <v>11083</v>
      </c>
      <c r="J215" s="1" t="s">
        <v>11403</v>
      </c>
      <c r="K215" s="1" t="s">
        <v>12369</v>
      </c>
      <c r="L215" s="4"/>
      <c r="M215" s="1">
        <v>2017</v>
      </c>
      <c r="N215" s="1">
        <v>9781538615485</v>
      </c>
      <c r="O215" s="4"/>
      <c r="P215" s="3" t="s">
        <v>12370</v>
      </c>
      <c r="Q215" s="1" t="s">
        <v>8084</v>
      </c>
      <c r="R215" s="1" t="s">
        <v>8085</v>
      </c>
      <c r="S215" s="1" t="s">
        <v>12371</v>
      </c>
      <c r="T215" s="4"/>
      <c r="U215" s="4"/>
      <c r="V215" s="1" t="s">
        <v>12372</v>
      </c>
    </row>
    <row r="216" spans="1:22" x14ac:dyDescent="0.25">
      <c r="A216" s="1" t="s">
        <v>141</v>
      </c>
      <c r="B216" s="1" t="s">
        <v>8129</v>
      </c>
      <c r="C216" s="1" t="s">
        <v>2112</v>
      </c>
      <c r="D216" s="4"/>
      <c r="E216" s="1">
        <v>2022</v>
      </c>
      <c r="F216" s="4"/>
      <c r="G216" s="4"/>
      <c r="H216" s="1" t="s">
        <v>12373</v>
      </c>
      <c r="I216" s="1" t="s">
        <v>145</v>
      </c>
      <c r="J216" s="1" t="s">
        <v>11044</v>
      </c>
      <c r="K216" s="1" t="s">
        <v>11326</v>
      </c>
      <c r="L216" s="1" t="s">
        <v>11077</v>
      </c>
      <c r="M216" s="1">
        <v>2022</v>
      </c>
      <c r="N216" s="1">
        <v>9781450393034</v>
      </c>
      <c r="O216" s="4"/>
      <c r="P216" s="3" t="s">
        <v>12374</v>
      </c>
      <c r="Q216" s="1" t="s">
        <v>2115</v>
      </c>
      <c r="R216" s="1" t="s">
        <v>12375</v>
      </c>
      <c r="S216" s="1" t="s">
        <v>12376</v>
      </c>
      <c r="T216" s="4"/>
      <c r="U216" s="4"/>
      <c r="V216" s="1" t="s">
        <v>11329</v>
      </c>
    </row>
    <row r="217" spans="1:22" x14ac:dyDescent="0.25">
      <c r="A217" s="1" t="s">
        <v>141</v>
      </c>
      <c r="B217" s="1" t="s">
        <v>7824</v>
      </c>
      <c r="C217" s="1" t="s">
        <v>7825</v>
      </c>
      <c r="D217" s="4"/>
      <c r="E217" s="1">
        <v>2019</v>
      </c>
      <c r="F217" s="4"/>
      <c r="G217" s="4"/>
      <c r="H217" s="1" t="s">
        <v>12377</v>
      </c>
      <c r="I217" s="1" t="s">
        <v>11083</v>
      </c>
      <c r="J217" s="1" t="s">
        <v>11147</v>
      </c>
      <c r="K217" s="1" t="s">
        <v>12272</v>
      </c>
      <c r="L217" s="4"/>
      <c r="M217" s="1">
        <v>2019</v>
      </c>
      <c r="N217" s="4"/>
      <c r="O217" s="4"/>
      <c r="P217" s="3" t="s">
        <v>12378</v>
      </c>
      <c r="Q217" s="1" t="s">
        <v>7828</v>
      </c>
      <c r="R217" s="1" t="s">
        <v>12379</v>
      </c>
      <c r="S217" s="1" t="s">
        <v>12380</v>
      </c>
      <c r="T217" s="4"/>
      <c r="U217" s="4"/>
      <c r="V217" s="1" t="s">
        <v>12275</v>
      </c>
    </row>
    <row r="218" spans="1:22" x14ac:dyDescent="0.25">
      <c r="A218" s="1" t="s">
        <v>141</v>
      </c>
      <c r="B218" s="1" t="s">
        <v>12381</v>
      </c>
      <c r="C218" s="1" t="s">
        <v>12382</v>
      </c>
      <c r="D218" s="4"/>
      <c r="E218" s="1">
        <v>2018</v>
      </c>
      <c r="F218" s="4"/>
      <c r="G218" s="4"/>
      <c r="H218" s="1" t="s">
        <v>12383</v>
      </c>
      <c r="I218" s="1" t="s">
        <v>145</v>
      </c>
      <c r="J218" s="1" t="s">
        <v>11044</v>
      </c>
      <c r="K218" s="1" t="s">
        <v>12384</v>
      </c>
      <c r="L218" s="1" t="s">
        <v>11105</v>
      </c>
      <c r="M218" s="1">
        <v>2018</v>
      </c>
      <c r="N218" s="1">
        <v>9781450356381</v>
      </c>
      <c r="O218" s="4"/>
      <c r="P218" s="3" t="s">
        <v>12385</v>
      </c>
      <c r="Q218" s="1" t="s">
        <v>12386</v>
      </c>
      <c r="R218" s="1" t="s">
        <v>12387</v>
      </c>
      <c r="S218" s="1" t="s">
        <v>12388</v>
      </c>
      <c r="T218" s="4"/>
      <c r="U218" s="4"/>
      <c r="V218" s="1" t="s">
        <v>11359</v>
      </c>
    </row>
    <row r="219" spans="1:22" x14ac:dyDescent="0.25">
      <c r="A219" s="1" t="s">
        <v>141</v>
      </c>
      <c r="B219" s="1" t="s">
        <v>12389</v>
      </c>
      <c r="C219" s="1" t="s">
        <v>12390</v>
      </c>
      <c r="D219" s="4"/>
      <c r="E219" s="1">
        <v>2022</v>
      </c>
      <c r="F219" s="4"/>
      <c r="G219" s="4"/>
      <c r="H219" s="1" t="s">
        <v>12391</v>
      </c>
      <c r="I219" s="1" t="s">
        <v>145</v>
      </c>
      <c r="J219" s="1" t="s">
        <v>11044</v>
      </c>
      <c r="K219" s="1" t="s">
        <v>12392</v>
      </c>
      <c r="L219" s="1" t="s">
        <v>12393</v>
      </c>
      <c r="M219" s="1">
        <v>2022</v>
      </c>
      <c r="N219" s="1">
        <v>9781450393799</v>
      </c>
      <c r="O219" s="4"/>
      <c r="P219" s="3" t="s">
        <v>12394</v>
      </c>
      <c r="Q219" s="1" t="s">
        <v>12395</v>
      </c>
      <c r="R219" s="1" t="s">
        <v>12396</v>
      </c>
      <c r="S219" s="1" t="s">
        <v>12397</v>
      </c>
      <c r="T219" s="4"/>
      <c r="U219" s="4"/>
      <c r="V219" s="1" t="s">
        <v>12398</v>
      </c>
    </row>
    <row r="220" spans="1:22" x14ac:dyDescent="0.25">
      <c r="A220" s="1" t="s">
        <v>141</v>
      </c>
      <c r="B220" s="1" t="s">
        <v>12399</v>
      </c>
      <c r="C220" s="1" t="s">
        <v>12400</v>
      </c>
      <c r="D220" s="4"/>
      <c r="E220" s="1">
        <v>2021</v>
      </c>
      <c r="F220" s="4"/>
      <c r="G220" s="4"/>
      <c r="H220" s="1" t="s">
        <v>12401</v>
      </c>
      <c r="I220" s="1" t="s">
        <v>145</v>
      </c>
      <c r="J220" s="1" t="s">
        <v>11044</v>
      </c>
      <c r="K220" s="1" t="s">
        <v>11653</v>
      </c>
      <c r="L220" s="1" t="s">
        <v>11654</v>
      </c>
      <c r="M220" s="1">
        <v>2021</v>
      </c>
      <c r="N220" s="1">
        <v>9781450386586</v>
      </c>
      <c r="O220" s="4"/>
      <c r="P220" s="3" t="s">
        <v>12402</v>
      </c>
      <c r="Q220" s="1" t="s">
        <v>12403</v>
      </c>
      <c r="R220" s="4"/>
      <c r="S220" s="1" t="s">
        <v>12404</v>
      </c>
      <c r="T220" s="4"/>
      <c r="U220" s="4"/>
      <c r="V220" s="1" t="s">
        <v>11659</v>
      </c>
    </row>
    <row r="221" spans="1:22" x14ac:dyDescent="0.25">
      <c r="A221" s="1" t="s">
        <v>141</v>
      </c>
      <c r="B221" s="1" t="s">
        <v>2460</v>
      </c>
      <c r="C221" s="1" t="s">
        <v>12405</v>
      </c>
      <c r="D221" s="4"/>
      <c r="E221" s="1">
        <v>2021</v>
      </c>
      <c r="F221" s="4"/>
      <c r="G221" s="4"/>
      <c r="H221" s="4"/>
      <c r="I221" s="1" t="s">
        <v>145</v>
      </c>
      <c r="J221" s="1" t="s">
        <v>11044</v>
      </c>
      <c r="K221" s="1" t="s">
        <v>12406</v>
      </c>
      <c r="L221" s="1" t="s">
        <v>11206</v>
      </c>
      <c r="M221" s="1">
        <v>2021</v>
      </c>
      <c r="N221" s="1">
        <v>9781450386654</v>
      </c>
      <c r="O221" s="4"/>
      <c r="P221" s="3" t="s">
        <v>12407</v>
      </c>
      <c r="Q221" s="1" t="s">
        <v>2463</v>
      </c>
      <c r="R221" s="1" t="s">
        <v>12408</v>
      </c>
      <c r="S221" s="1" t="s">
        <v>12409</v>
      </c>
      <c r="T221" s="4"/>
      <c r="U221" s="4"/>
      <c r="V221" s="1" t="s">
        <v>12410</v>
      </c>
    </row>
    <row r="222" spans="1:22" x14ac:dyDescent="0.25">
      <c r="A222" s="1" t="s">
        <v>141</v>
      </c>
      <c r="B222" s="1" t="s">
        <v>5716</v>
      </c>
      <c r="C222" s="1" t="s">
        <v>12411</v>
      </c>
      <c r="D222" s="4"/>
      <c r="E222" s="1">
        <v>2014</v>
      </c>
      <c r="F222" s="4"/>
      <c r="G222" s="4"/>
      <c r="H222" s="1" t="s">
        <v>12412</v>
      </c>
      <c r="I222" s="1" t="s">
        <v>145</v>
      </c>
      <c r="J222" s="1" t="s">
        <v>11044</v>
      </c>
      <c r="K222" s="1" t="s">
        <v>12413</v>
      </c>
      <c r="L222" s="1" t="s">
        <v>12414</v>
      </c>
      <c r="M222" s="1">
        <v>2014</v>
      </c>
      <c r="N222" s="1">
        <v>9781450327688</v>
      </c>
      <c r="O222" s="4"/>
      <c r="P222" s="3" t="s">
        <v>12415</v>
      </c>
      <c r="Q222" s="1" t="s">
        <v>5720</v>
      </c>
      <c r="R222" s="1" t="s">
        <v>12416</v>
      </c>
      <c r="S222" s="1" t="s">
        <v>12417</v>
      </c>
      <c r="T222" s="4"/>
      <c r="U222" s="4"/>
      <c r="V222" s="1" t="s">
        <v>12418</v>
      </c>
    </row>
    <row r="223" spans="1:22" x14ac:dyDescent="0.25">
      <c r="A223" s="1" t="s">
        <v>141</v>
      </c>
      <c r="B223" s="1" t="s">
        <v>12419</v>
      </c>
      <c r="C223" s="1" t="s">
        <v>12420</v>
      </c>
      <c r="D223" s="4"/>
      <c r="E223" s="1">
        <v>2019</v>
      </c>
      <c r="F223" s="4"/>
      <c r="G223" s="4"/>
      <c r="H223" s="1" t="s">
        <v>12421</v>
      </c>
      <c r="I223" s="1" t="s">
        <v>145</v>
      </c>
      <c r="J223" s="1" t="s">
        <v>11044</v>
      </c>
      <c r="K223" s="1" t="s">
        <v>12422</v>
      </c>
      <c r="L223" s="1" t="s">
        <v>11187</v>
      </c>
      <c r="M223" s="1">
        <v>2019</v>
      </c>
      <c r="N223" s="1">
        <v>9781450368506</v>
      </c>
      <c r="O223" s="4"/>
      <c r="P223" s="3" t="s">
        <v>12423</v>
      </c>
      <c r="Q223" s="1" t="s">
        <v>12424</v>
      </c>
      <c r="R223" s="1" t="s">
        <v>12425</v>
      </c>
      <c r="S223" s="1" t="s">
        <v>12426</v>
      </c>
      <c r="T223" s="4"/>
      <c r="U223" s="4"/>
      <c r="V223" s="1" t="s">
        <v>12427</v>
      </c>
    </row>
    <row r="224" spans="1:22" x14ac:dyDescent="0.25">
      <c r="A224" s="1" t="s">
        <v>141</v>
      </c>
      <c r="B224" s="1" t="s">
        <v>8159</v>
      </c>
      <c r="C224" s="1" t="s">
        <v>2551</v>
      </c>
      <c r="D224" s="4"/>
      <c r="E224" s="1">
        <v>2022</v>
      </c>
      <c r="F224" s="4"/>
      <c r="G224" s="4"/>
      <c r="H224" s="1" t="s">
        <v>12428</v>
      </c>
      <c r="I224" s="1" t="s">
        <v>145</v>
      </c>
      <c r="J224" s="1" t="s">
        <v>11044</v>
      </c>
      <c r="K224" s="1" t="s">
        <v>11326</v>
      </c>
      <c r="L224" s="1" t="s">
        <v>11077</v>
      </c>
      <c r="M224" s="1">
        <v>2022</v>
      </c>
      <c r="N224" s="1">
        <v>9781450393034</v>
      </c>
      <c r="O224" s="4"/>
      <c r="P224" s="3" t="s">
        <v>12429</v>
      </c>
      <c r="Q224" s="1" t="s">
        <v>2554</v>
      </c>
      <c r="R224" s="1" t="s">
        <v>8162</v>
      </c>
      <c r="S224" s="1" t="s">
        <v>12430</v>
      </c>
      <c r="T224" s="4"/>
      <c r="U224" s="4"/>
      <c r="V224" s="1" t="s">
        <v>11329</v>
      </c>
    </row>
    <row r="225" spans="1:22" x14ac:dyDescent="0.25">
      <c r="A225" s="1" t="s">
        <v>13</v>
      </c>
      <c r="B225" s="1" t="s">
        <v>12431</v>
      </c>
      <c r="C225" s="1" t="s">
        <v>12432</v>
      </c>
      <c r="D225" s="1" t="s">
        <v>11246</v>
      </c>
      <c r="E225" s="1">
        <v>2021</v>
      </c>
      <c r="F225" s="1">
        <v>31</v>
      </c>
      <c r="G225" s="1">
        <v>1</v>
      </c>
      <c r="H225" s="4"/>
      <c r="I225" s="1" t="s">
        <v>145</v>
      </c>
      <c r="J225" s="1" t="s">
        <v>11044</v>
      </c>
      <c r="K225" s="4"/>
      <c r="L225" s="4"/>
      <c r="M225" s="6">
        <v>44440</v>
      </c>
      <c r="N225" s="4"/>
      <c r="O225" s="1" t="s">
        <v>329</v>
      </c>
      <c r="P225" s="3" t="s">
        <v>12433</v>
      </c>
      <c r="Q225" s="1" t="s">
        <v>12434</v>
      </c>
      <c r="R225" s="1" t="s">
        <v>12435</v>
      </c>
      <c r="S225" s="1" t="s">
        <v>12436</v>
      </c>
      <c r="T225" s="4"/>
      <c r="U225" s="4"/>
      <c r="V225" s="4"/>
    </row>
    <row r="226" spans="1:22" x14ac:dyDescent="0.25">
      <c r="A226" s="1" t="s">
        <v>141</v>
      </c>
      <c r="B226" s="1" t="s">
        <v>12437</v>
      </c>
      <c r="C226" s="1" t="s">
        <v>12438</v>
      </c>
      <c r="D226" s="4"/>
      <c r="E226" s="1">
        <v>2014</v>
      </c>
      <c r="F226" s="4"/>
      <c r="G226" s="4"/>
      <c r="H226" s="1" t="s">
        <v>11347</v>
      </c>
      <c r="I226" s="1" t="s">
        <v>145</v>
      </c>
      <c r="J226" s="1" t="s">
        <v>11044</v>
      </c>
      <c r="K226" s="1" t="s">
        <v>12439</v>
      </c>
      <c r="L226" s="1" t="s">
        <v>12440</v>
      </c>
      <c r="M226" s="1">
        <v>2014</v>
      </c>
      <c r="N226" s="1">
        <v>9781450331500</v>
      </c>
      <c r="O226" s="4"/>
      <c r="P226" s="3" t="s">
        <v>12441</v>
      </c>
      <c r="Q226" s="1" t="s">
        <v>12442</v>
      </c>
      <c r="R226" s="1" t="s">
        <v>12443</v>
      </c>
      <c r="S226" s="1" t="s">
        <v>12444</v>
      </c>
      <c r="T226" s="4"/>
      <c r="U226" s="4"/>
      <c r="V226" s="1" t="s">
        <v>12445</v>
      </c>
    </row>
    <row r="227" spans="1:22" x14ac:dyDescent="0.25">
      <c r="A227" s="1" t="s">
        <v>141</v>
      </c>
      <c r="B227" s="1" t="s">
        <v>12446</v>
      </c>
      <c r="C227" s="1" t="s">
        <v>12447</v>
      </c>
      <c r="D227" s="4"/>
      <c r="E227" s="1">
        <v>2020</v>
      </c>
      <c r="F227" s="4"/>
      <c r="G227" s="4"/>
      <c r="H227" s="4"/>
      <c r="I227" s="1" t="s">
        <v>145</v>
      </c>
      <c r="J227" s="1" t="s">
        <v>11044</v>
      </c>
      <c r="K227" s="1" t="s">
        <v>12448</v>
      </c>
      <c r="L227" s="1" t="s">
        <v>12449</v>
      </c>
      <c r="M227" s="1">
        <v>2020</v>
      </c>
      <c r="N227" s="1">
        <v>9781450377331</v>
      </c>
      <c r="O227" s="4"/>
      <c r="P227" s="3" t="s">
        <v>12450</v>
      </c>
      <c r="Q227" s="1" t="s">
        <v>12451</v>
      </c>
      <c r="R227" s="1" t="s">
        <v>12452</v>
      </c>
      <c r="S227" s="1" t="s">
        <v>12453</v>
      </c>
      <c r="T227" s="4"/>
      <c r="U227" s="4"/>
      <c r="V227" s="1" t="s">
        <v>12454</v>
      </c>
    </row>
    <row r="228" spans="1:22" x14ac:dyDescent="0.25">
      <c r="A228" s="1" t="s">
        <v>141</v>
      </c>
      <c r="B228" s="1" t="s">
        <v>12455</v>
      </c>
      <c r="C228" s="1" t="s">
        <v>12456</v>
      </c>
      <c r="D228" s="4"/>
      <c r="E228" s="1">
        <v>2020</v>
      </c>
      <c r="F228" s="4"/>
      <c r="G228" s="4"/>
      <c r="H228" s="1" t="s">
        <v>12457</v>
      </c>
      <c r="I228" s="1" t="s">
        <v>145</v>
      </c>
      <c r="J228" s="1" t="s">
        <v>11044</v>
      </c>
      <c r="K228" s="1" t="s">
        <v>12458</v>
      </c>
      <c r="L228" s="1" t="s">
        <v>12087</v>
      </c>
      <c r="M228" s="1">
        <v>2020</v>
      </c>
      <c r="N228" s="1">
        <v>9781450380850</v>
      </c>
      <c r="O228" s="4"/>
      <c r="P228" s="3" t="s">
        <v>12459</v>
      </c>
      <c r="Q228" s="1" t="s">
        <v>12460</v>
      </c>
      <c r="R228" s="1" t="s">
        <v>12461</v>
      </c>
      <c r="S228" s="1" t="s">
        <v>12462</v>
      </c>
      <c r="T228" s="4"/>
      <c r="U228" s="4"/>
      <c r="V228" s="1" t="s">
        <v>12463</v>
      </c>
    </row>
    <row r="229" spans="1:22" x14ac:dyDescent="0.25">
      <c r="A229" s="1" t="s">
        <v>13</v>
      </c>
      <c r="B229" s="1" t="s">
        <v>12464</v>
      </c>
      <c r="C229" s="1" t="s">
        <v>12465</v>
      </c>
      <c r="D229" s="1" t="s">
        <v>11332</v>
      </c>
      <c r="E229" s="1">
        <v>2023</v>
      </c>
      <c r="F229" s="1">
        <v>55</v>
      </c>
      <c r="G229" s="1">
        <v>9</v>
      </c>
      <c r="H229" s="4"/>
      <c r="I229" s="1" t="s">
        <v>145</v>
      </c>
      <c r="J229" s="1" t="s">
        <v>11044</v>
      </c>
      <c r="K229" s="4"/>
      <c r="L229" s="4"/>
      <c r="M229" s="6">
        <v>44927</v>
      </c>
      <c r="N229" s="4"/>
      <c r="O229" s="1" t="s">
        <v>5367</v>
      </c>
      <c r="P229" s="3" t="s">
        <v>12466</v>
      </c>
      <c r="Q229" s="1" t="s">
        <v>12467</v>
      </c>
      <c r="R229" s="1" t="s">
        <v>12468</v>
      </c>
      <c r="S229" s="1" t="s">
        <v>12469</v>
      </c>
      <c r="T229" s="4"/>
      <c r="U229" s="4"/>
      <c r="V229" s="4"/>
    </row>
    <row r="230" spans="1:22" x14ac:dyDescent="0.25">
      <c r="A230" s="1" t="s">
        <v>141</v>
      </c>
      <c r="B230" s="1" t="s">
        <v>12470</v>
      </c>
      <c r="C230" s="1" t="s">
        <v>12471</v>
      </c>
      <c r="D230" s="4"/>
      <c r="E230" s="1">
        <v>2022</v>
      </c>
      <c r="F230" s="4"/>
      <c r="G230" s="4"/>
      <c r="H230" s="4"/>
      <c r="I230" s="1" t="s">
        <v>145</v>
      </c>
      <c r="J230" s="1" t="s">
        <v>11044</v>
      </c>
      <c r="K230" s="1" t="s">
        <v>12472</v>
      </c>
      <c r="L230" s="1" t="s">
        <v>12473</v>
      </c>
      <c r="M230" s="1">
        <v>2022</v>
      </c>
      <c r="N230" s="1">
        <v>9781450394772</v>
      </c>
      <c r="O230" s="4"/>
      <c r="P230" s="3" t="s">
        <v>12474</v>
      </c>
      <c r="Q230" s="1" t="s">
        <v>12475</v>
      </c>
      <c r="R230" s="1" t="s">
        <v>12476</v>
      </c>
      <c r="S230" s="1" t="s">
        <v>12477</v>
      </c>
      <c r="T230" s="4"/>
      <c r="U230" s="4"/>
      <c r="V230" s="1" t="s">
        <v>12478</v>
      </c>
    </row>
    <row r="231" spans="1:22" x14ac:dyDescent="0.25">
      <c r="A231" s="1" t="s">
        <v>141</v>
      </c>
      <c r="B231" s="1" t="s">
        <v>12479</v>
      </c>
      <c r="C231" s="1" t="s">
        <v>12480</v>
      </c>
      <c r="D231" s="4"/>
      <c r="E231" s="1">
        <v>2021</v>
      </c>
      <c r="F231" s="4"/>
      <c r="G231" s="4"/>
      <c r="H231" s="1" t="s">
        <v>11390</v>
      </c>
      <c r="I231" s="1" t="s">
        <v>145</v>
      </c>
      <c r="J231" s="1" t="s">
        <v>11044</v>
      </c>
      <c r="K231" s="1" t="s">
        <v>11653</v>
      </c>
      <c r="L231" s="1" t="s">
        <v>11654</v>
      </c>
      <c r="M231" s="1">
        <v>2021</v>
      </c>
      <c r="N231" s="1">
        <v>9781450386586</v>
      </c>
      <c r="O231" s="4"/>
      <c r="P231" s="3" t="s">
        <v>12481</v>
      </c>
      <c r="Q231" s="1" t="s">
        <v>12482</v>
      </c>
      <c r="R231" s="1" t="s">
        <v>12483</v>
      </c>
      <c r="S231" s="1" t="s">
        <v>12484</v>
      </c>
      <c r="T231" s="4"/>
      <c r="U231" s="4"/>
      <c r="V231" s="1" t="s">
        <v>11659</v>
      </c>
    </row>
    <row r="232" spans="1:22" x14ac:dyDescent="0.25">
      <c r="A232" s="1" t="s">
        <v>141</v>
      </c>
      <c r="B232" s="1" t="s">
        <v>1422</v>
      </c>
      <c r="C232" s="1" t="s">
        <v>12485</v>
      </c>
      <c r="D232" s="4"/>
      <c r="E232" s="1">
        <v>2022</v>
      </c>
      <c r="F232" s="4"/>
      <c r="G232" s="4"/>
      <c r="H232" s="1" t="s">
        <v>12486</v>
      </c>
      <c r="I232" s="1" t="s">
        <v>145</v>
      </c>
      <c r="J232" s="1" t="s">
        <v>11044</v>
      </c>
      <c r="K232" s="1" t="s">
        <v>11265</v>
      </c>
      <c r="L232" s="1" t="s">
        <v>11266</v>
      </c>
      <c r="M232" s="1">
        <v>2022</v>
      </c>
      <c r="N232" s="1">
        <v>9781450392983</v>
      </c>
      <c r="O232" s="4"/>
      <c r="P232" s="3" t="s">
        <v>12487</v>
      </c>
      <c r="Q232" s="1" t="s">
        <v>1426</v>
      </c>
      <c r="R232" s="1" t="s">
        <v>12488</v>
      </c>
      <c r="S232" s="1" t="s">
        <v>12489</v>
      </c>
      <c r="T232" s="4"/>
      <c r="U232" s="4"/>
      <c r="V232" s="1" t="s">
        <v>11270</v>
      </c>
    </row>
    <row r="233" spans="1:22" x14ac:dyDescent="0.25">
      <c r="A233" s="1" t="s">
        <v>141</v>
      </c>
      <c r="B233" s="1" t="s">
        <v>12490</v>
      </c>
      <c r="C233" s="1" t="s">
        <v>12491</v>
      </c>
      <c r="D233" s="4"/>
      <c r="E233" s="1">
        <v>2017</v>
      </c>
      <c r="F233" s="4"/>
      <c r="G233" s="4"/>
      <c r="H233" s="1" t="s">
        <v>12492</v>
      </c>
      <c r="I233" s="1" t="s">
        <v>145</v>
      </c>
      <c r="J233" s="1" t="s">
        <v>11044</v>
      </c>
      <c r="K233" s="1" t="s">
        <v>12133</v>
      </c>
      <c r="L233" s="1" t="s">
        <v>12134</v>
      </c>
      <c r="M233" s="1">
        <v>2017</v>
      </c>
      <c r="N233" s="1">
        <v>9781450351768</v>
      </c>
      <c r="O233" s="4"/>
      <c r="P233" s="3" t="s">
        <v>12493</v>
      </c>
      <c r="Q233" s="1" t="s">
        <v>12494</v>
      </c>
      <c r="R233" s="1" t="s">
        <v>12495</v>
      </c>
      <c r="S233" s="1" t="s">
        <v>12496</v>
      </c>
      <c r="T233" s="4"/>
      <c r="U233" s="4"/>
      <c r="V233" s="1" t="s">
        <v>12139</v>
      </c>
    </row>
    <row r="234" spans="1:22" x14ac:dyDescent="0.25">
      <c r="A234" s="1" t="s">
        <v>141</v>
      </c>
      <c r="B234" s="1" t="s">
        <v>12497</v>
      </c>
      <c r="C234" s="1" t="s">
        <v>12498</v>
      </c>
      <c r="D234" s="4"/>
      <c r="E234" s="1">
        <v>2020</v>
      </c>
      <c r="F234" s="4"/>
      <c r="G234" s="4"/>
      <c r="H234" s="1" t="s">
        <v>12499</v>
      </c>
      <c r="I234" s="1" t="s">
        <v>145</v>
      </c>
      <c r="J234" s="1" t="s">
        <v>11044</v>
      </c>
      <c r="K234" s="1" t="s">
        <v>12500</v>
      </c>
      <c r="L234" s="1" t="s">
        <v>11682</v>
      </c>
      <c r="M234" s="1">
        <v>2020</v>
      </c>
      <c r="N234" s="1">
        <v>9781450381789</v>
      </c>
      <c r="O234" s="4"/>
      <c r="P234" s="3" t="s">
        <v>12501</v>
      </c>
      <c r="Q234" s="1" t="s">
        <v>12502</v>
      </c>
      <c r="R234" s="1" t="s">
        <v>12503</v>
      </c>
      <c r="S234" s="1" t="s">
        <v>12504</v>
      </c>
      <c r="T234" s="4"/>
      <c r="U234" s="4"/>
      <c r="V234" s="1" t="s">
        <v>12505</v>
      </c>
    </row>
    <row r="235" spans="1:22" x14ac:dyDescent="0.25">
      <c r="A235" s="1" t="s">
        <v>141</v>
      </c>
      <c r="B235" s="1" t="s">
        <v>3204</v>
      </c>
      <c r="C235" s="1" t="s">
        <v>12506</v>
      </c>
      <c r="D235" s="4"/>
      <c r="E235" s="1">
        <v>2020</v>
      </c>
      <c r="F235" s="4"/>
      <c r="G235" s="4"/>
      <c r="H235" s="1" t="s">
        <v>12507</v>
      </c>
      <c r="I235" s="1" t="s">
        <v>145</v>
      </c>
      <c r="J235" s="1" t="s">
        <v>11044</v>
      </c>
      <c r="K235" s="1" t="s">
        <v>11894</v>
      </c>
      <c r="L235" s="1" t="s">
        <v>11157</v>
      </c>
      <c r="M235" s="1">
        <v>2020</v>
      </c>
      <c r="N235" s="1">
        <v>9781450379588</v>
      </c>
      <c r="O235" s="4"/>
      <c r="P235" s="3" t="s">
        <v>12508</v>
      </c>
      <c r="Q235" s="1" t="s">
        <v>3208</v>
      </c>
      <c r="R235" s="1" t="s">
        <v>12509</v>
      </c>
      <c r="S235" s="1" t="s">
        <v>12510</v>
      </c>
      <c r="T235" s="4"/>
      <c r="U235" s="4"/>
      <c r="V235" s="1" t="s">
        <v>11899</v>
      </c>
    </row>
    <row r="236" spans="1:22" x14ac:dyDescent="0.25">
      <c r="A236" s="1" t="s">
        <v>141</v>
      </c>
      <c r="B236" s="1" t="s">
        <v>12511</v>
      </c>
      <c r="C236" s="1" t="s">
        <v>12512</v>
      </c>
      <c r="D236" s="4"/>
      <c r="E236" s="1">
        <v>2018</v>
      </c>
      <c r="F236" s="4"/>
      <c r="G236" s="4"/>
      <c r="H236" s="4"/>
      <c r="I236" s="1" t="s">
        <v>145</v>
      </c>
      <c r="J236" s="1" t="s">
        <v>11044</v>
      </c>
      <c r="K236" s="1" t="s">
        <v>12513</v>
      </c>
      <c r="L236" s="1" t="s">
        <v>12514</v>
      </c>
      <c r="M236" s="1">
        <v>2018</v>
      </c>
      <c r="N236" s="1">
        <v>9781450364225</v>
      </c>
      <c r="O236" s="4"/>
      <c r="P236" s="3" t="s">
        <v>12515</v>
      </c>
      <c r="Q236" s="1" t="s">
        <v>12516</v>
      </c>
      <c r="R236" s="1" t="s">
        <v>12517</v>
      </c>
      <c r="S236" s="1" t="s">
        <v>12518</v>
      </c>
      <c r="T236" s="4"/>
      <c r="U236" s="4"/>
      <c r="V236" s="1" t="s">
        <v>12519</v>
      </c>
    </row>
    <row r="237" spans="1:22" x14ac:dyDescent="0.25">
      <c r="A237" s="1" t="s">
        <v>141</v>
      </c>
      <c r="B237" s="1" t="s">
        <v>12520</v>
      </c>
      <c r="C237" s="1" t="s">
        <v>12521</v>
      </c>
      <c r="D237" s="4"/>
      <c r="E237" s="1">
        <v>2021</v>
      </c>
      <c r="F237" s="4"/>
      <c r="G237" s="4"/>
      <c r="H237" s="4"/>
      <c r="I237" s="1" t="s">
        <v>145</v>
      </c>
      <c r="J237" s="1" t="s">
        <v>11044</v>
      </c>
      <c r="K237" s="1" t="s">
        <v>12522</v>
      </c>
      <c r="L237" s="1" t="s">
        <v>12523</v>
      </c>
      <c r="M237" s="1">
        <v>2021</v>
      </c>
      <c r="N237" s="1">
        <v>9781450380966</v>
      </c>
      <c r="O237" s="4"/>
      <c r="P237" s="3" t="s">
        <v>12524</v>
      </c>
      <c r="Q237" s="1" t="s">
        <v>1607</v>
      </c>
      <c r="R237" s="1" t="s">
        <v>12525</v>
      </c>
      <c r="S237" s="1" t="s">
        <v>12526</v>
      </c>
      <c r="T237" s="4"/>
      <c r="U237" s="4"/>
      <c r="V237" s="1" t="s">
        <v>12527</v>
      </c>
    </row>
    <row r="238" spans="1:22" x14ac:dyDescent="0.25">
      <c r="A238" s="1" t="s">
        <v>141</v>
      </c>
      <c r="B238" s="1" t="s">
        <v>4343</v>
      </c>
      <c r="C238" s="1" t="s">
        <v>4344</v>
      </c>
      <c r="D238" s="4"/>
      <c r="E238" s="1">
        <v>2020</v>
      </c>
      <c r="F238" s="4"/>
      <c r="G238" s="4"/>
      <c r="H238" s="1" t="s">
        <v>12528</v>
      </c>
      <c r="I238" s="1" t="s">
        <v>145</v>
      </c>
      <c r="J238" s="1" t="s">
        <v>11044</v>
      </c>
      <c r="K238" s="1" t="s">
        <v>12529</v>
      </c>
      <c r="L238" s="1" t="s">
        <v>12530</v>
      </c>
      <c r="M238" s="1">
        <v>2020</v>
      </c>
      <c r="N238" s="1">
        <v>9781450377652</v>
      </c>
      <c r="O238" s="4"/>
      <c r="P238" s="3" t="s">
        <v>12531</v>
      </c>
      <c r="Q238" s="1" t="s">
        <v>4347</v>
      </c>
      <c r="R238" s="1" t="s">
        <v>12532</v>
      </c>
      <c r="S238" s="1" t="s">
        <v>12533</v>
      </c>
      <c r="T238" s="4"/>
      <c r="U238" s="4"/>
      <c r="V238" s="1" t="s">
        <v>12534</v>
      </c>
    </row>
    <row r="239" spans="1:22" x14ac:dyDescent="0.25">
      <c r="A239" s="1" t="s">
        <v>13</v>
      </c>
      <c r="B239" s="1" t="s">
        <v>7373</v>
      </c>
      <c r="C239" s="1" t="s">
        <v>12535</v>
      </c>
      <c r="D239" s="1" t="s">
        <v>12354</v>
      </c>
      <c r="E239" s="1">
        <v>2022</v>
      </c>
      <c r="F239" s="1">
        <v>6</v>
      </c>
      <c r="G239" s="1" t="s">
        <v>1286</v>
      </c>
      <c r="H239" s="4"/>
      <c r="I239" s="1" t="s">
        <v>145</v>
      </c>
      <c r="J239" s="1" t="s">
        <v>11044</v>
      </c>
      <c r="K239" s="4"/>
      <c r="L239" s="4"/>
      <c r="M239" s="6">
        <v>44652</v>
      </c>
      <c r="N239" s="4"/>
      <c r="O239" s="4"/>
      <c r="P239" s="3" t="s">
        <v>12536</v>
      </c>
      <c r="Q239" s="1" t="s">
        <v>12537</v>
      </c>
      <c r="R239" s="1" t="s">
        <v>12538</v>
      </c>
      <c r="S239" s="1" t="s">
        <v>12539</v>
      </c>
      <c r="T239" s="4"/>
      <c r="U239" s="4"/>
      <c r="V239" s="4"/>
    </row>
    <row r="240" spans="1:22" x14ac:dyDescent="0.25">
      <c r="A240" s="1" t="s">
        <v>539</v>
      </c>
      <c r="B240" s="4"/>
      <c r="C240" s="1" t="s">
        <v>12540</v>
      </c>
      <c r="D240" s="4"/>
      <c r="E240" s="1">
        <v>2022</v>
      </c>
      <c r="F240" s="4"/>
      <c r="G240" s="4"/>
      <c r="H240" s="4"/>
      <c r="I240" s="1" t="s">
        <v>145</v>
      </c>
      <c r="J240" s="1" t="s">
        <v>11044</v>
      </c>
      <c r="K240" s="4"/>
      <c r="L240" s="1" t="s">
        <v>12541</v>
      </c>
      <c r="M240" s="1">
        <v>2022</v>
      </c>
      <c r="N240" s="1">
        <v>9781450399203</v>
      </c>
      <c r="O240" s="4"/>
      <c r="P240" s="4"/>
      <c r="Q240" s="4"/>
      <c r="R240" s="1" t="s">
        <v>12542</v>
      </c>
      <c r="S240" s="4"/>
      <c r="T240" s="4"/>
      <c r="U240" s="1" t="s">
        <v>10544</v>
      </c>
      <c r="V240" s="4"/>
    </row>
    <row r="241" spans="1:22" x14ac:dyDescent="0.25">
      <c r="A241" s="1" t="s">
        <v>13</v>
      </c>
      <c r="B241" s="1" t="s">
        <v>12543</v>
      </c>
      <c r="C241" s="1" t="s">
        <v>12544</v>
      </c>
      <c r="D241" s="1" t="s">
        <v>11214</v>
      </c>
      <c r="E241" s="1">
        <v>2019</v>
      </c>
      <c r="F241" s="1">
        <v>62</v>
      </c>
      <c r="G241" s="1">
        <v>7</v>
      </c>
      <c r="H241" s="1" t="s">
        <v>11402</v>
      </c>
      <c r="I241" s="1" t="s">
        <v>145</v>
      </c>
      <c r="J241" s="1" t="s">
        <v>11044</v>
      </c>
      <c r="K241" s="4"/>
      <c r="L241" s="4"/>
      <c r="M241" s="6">
        <v>43617</v>
      </c>
      <c r="N241" s="4"/>
      <c r="O241" s="1" t="s">
        <v>11216</v>
      </c>
      <c r="P241" s="3" t="s">
        <v>12545</v>
      </c>
      <c r="Q241" s="1" t="s">
        <v>12546</v>
      </c>
      <c r="R241" s="1" t="s">
        <v>12547</v>
      </c>
      <c r="S241" s="4"/>
      <c r="T241" s="4"/>
      <c r="U241" s="4"/>
      <c r="V241" s="4"/>
    </row>
    <row r="242" spans="1:22" x14ac:dyDescent="0.25">
      <c r="A242" s="1" t="s">
        <v>13</v>
      </c>
      <c r="B242" s="1" t="s">
        <v>12543</v>
      </c>
      <c r="C242" s="1" t="s">
        <v>12548</v>
      </c>
      <c r="D242" s="1" t="s">
        <v>11531</v>
      </c>
      <c r="E242" s="1">
        <v>2019</v>
      </c>
      <c r="F242" s="1">
        <v>17</v>
      </c>
      <c r="G242" s="1">
        <v>1</v>
      </c>
      <c r="H242" s="1" t="s">
        <v>12549</v>
      </c>
      <c r="I242" s="1" t="s">
        <v>145</v>
      </c>
      <c r="J242" s="1" t="s">
        <v>11044</v>
      </c>
      <c r="K242" s="4"/>
      <c r="L242" s="4"/>
      <c r="M242" s="6">
        <v>43497</v>
      </c>
      <c r="N242" s="4"/>
      <c r="O242" s="1" t="s">
        <v>11533</v>
      </c>
      <c r="P242" s="3" t="s">
        <v>12550</v>
      </c>
      <c r="Q242" s="1" t="s">
        <v>12551</v>
      </c>
      <c r="R242" s="1" t="s">
        <v>12552</v>
      </c>
      <c r="S242" s="4"/>
      <c r="T242" s="4"/>
      <c r="U242" s="4"/>
      <c r="V242" s="4"/>
    </row>
    <row r="243" spans="1:22" x14ac:dyDescent="0.25">
      <c r="A243" s="1" t="s">
        <v>13</v>
      </c>
      <c r="B243" s="1" t="s">
        <v>4682</v>
      </c>
      <c r="C243" s="1" t="s">
        <v>12553</v>
      </c>
      <c r="D243" s="1" t="s">
        <v>11246</v>
      </c>
      <c r="E243" s="1">
        <v>2022</v>
      </c>
      <c r="F243" s="4"/>
      <c r="G243" s="4"/>
      <c r="H243" s="4"/>
      <c r="I243" s="1" t="s">
        <v>145</v>
      </c>
      <c r="J243" s="1" t="s">
        <v>11044</v>
      </c>
      <c r="K243" s="4"/>
      <c r="L243" s="4"/>
      <c r="M243" s="6">
        <v>44682</v>
      </c>
      <c r="N243" s="4"/>
      <c r="O243" s="1" t="s">
        <v>329</v>
      </c>
      <c r="P243" s="3" t="s">
        <v>12554</v>
      </c>
      <c r="Q243" s="1" t="s">
        <v>12555</v>
      </c>
      <c r="R243" s="1" t="s">
        <v>12556</v>
      </c>
      <c r="S243" s="1" t="s">
        <v>12557</v>
      </c>
      <c r="T243" s="1" t="s">
        <v>12129</v>
      </c>
      <c r="U243" s="4"/>
      <c r="V243" s="4"/>
    </row>
    <row r="244" spans="1:22" x14ac:dyDescent="0.25">
      <c r="A244" s="1" t="s">
        <v>141</v>
      </c>
      <c r="B244" s="1" t="s">
        <v>7913</v>
      </c>
      <c r="C244" s="1" t="s">
        <v>12558</v>
      </c>
      <c r="D244" s="4"/>
      <c r="E244" s="1">
        <v>2022</v>
      </c>
      <c r="F244" s="4"/>
      <c r="G244" s="4"/>
      <c r="H244" s="1" t="s">
        <v>12559</v>
      </c>
      <c r="I244" s="1" t="s">
        <v>12560</v>
      </c>
      <c r="J244" s="1" t="s">
        <v>12561</v>
      </c>
      <c r="K244" s="1" t="s">
        <v>12562</v>
      </c>
      <c r="L244" s="1" t="s">
        <v>12563</v>
      </c>
      <c r="M244" s="1">
        <v>2022</v>
      </c>
      <c r="N244" s="1">
        <v>9783981926361</v>
      </c>
      <c r="O244" s="4"/>
      <c r="P244" s="4"/>
      <c r="Q244" s="4"/>
      <c r="R244" s="1" t="s">
        <v>12564</v>
      </c>
      <c r="S244" s="1" t="s">
        <v>12565</v>
      </c>
      <c r="T244" s="4"/>
      <c r="U244" s="4"/>
      <c r="V244" s="1" t="s">
        <v>12566</v>
      </c>
    </row>
    <row r="245" spans="1:22" x14ac:dyDescent="0.25">
      <c r="A245" s="1" t="s">
        <v>539</v>
      </c>
      <c r="B245" s="4"/>
      <c r="C245" s="1" t="s">
        <v>12567</v>
      </c>
      <c r="D245" s="4"/>
      <c r="E245" s="1">
        <v>2022</v>
      </c>
      <c r="F245" s="4"/>
      <c r="G245" s="4"/>
      <c r="H245" s="4"/>
      <c r="I245" s="1" t="s">
        <v>145</v>
      </c>
      <c r="J245" s="1" t="s">
        <v>11044</v>
      </c>
      <c r="K245" s="4"/>
      <c r="L245" s="1" t="s">
        <v>11965</v>
      </c>
      <c r="M245" s="1">
        <v>2022</v>
      </c>
      <c r="N245" s="1">
        <v>9781450397803</v>
      </c>
      <c r="O245" s="4"/>
      <c r="P245" s="4"/>
      <c r="Q245" s="4"/>
      <c r="R245" s="4"/>
      <c r="S245" s="4"/>
      <c r="T245" s="4"/>
      <c r="U245" s="1" t="s">
        <v>10544</v>
      </c>
      <c r="V245" s="4"/>
    </row>
    <row r="246" spans="1:22" x14ac:dyDescent="0.25">
      <c r="A246" s="1" t="s">
        <v>141</v>
      </c>
      <c r="B246" s="1" t="s">
        <v>12568</v>
      </c>
      <c r="C246" s="1" t="s">
        <v>12569</v>
      </c>
      <c r="D246" s="4"/>
      <c r="E246" s="1">
        <v>2017</v>
      </c>
      <c r="F246" s="4"/>
      <c r="G246" s="4"/>
      <c r="H246" s="1">
        <v>326</v>
      </c>
      <c r="I246" s="1" t="s">
        <v>12570</v>
      </c>
      <c r="J246" s="1" t="s">
        <v>11973</v>
      </c>
      <c r="K246" s="1" t="s">
        <v>12571</v>
      </c>
      <c r="L246" s="1" t="s">
        <v>11606</v>
      </c>
      <c r="M246" s="1">
        <v>2017</v>
      </c>
      <c r="N246" s="4"/>
      <c r="O246" s="4"/>
      <c r="P246" s="4"/>
      <c r="Q246" s="4"/>
      <c r="R246" s="1" t="s">
        <v>12572</v>
      </c>
      <c r="S246" s="4"/>
      <c r="T246" s="4"/>
      <c r="U246" s="4"/>
      <c r="V246" s="1" t="s">
        <v>12573</v>
      </c>
    </row>
    <row r="247" spans="1:22" x14ac:dyDescent="0.25">
      <c r="A247" s="1" t="s">
        <v>141</v>
      </c>
      <c r="B247" s="1" t="s">
        <v>3386</v>
      </c>
      <c r="C247" s="1" t="s">
        <v>12574</v>
      </c>
      <c r="D247" s="4"/>
      <c r="E247" s="1">
        <v>2020</v>
      </c>
      <c r="F247" s="4"/>
      <c r="G247" s="4"/>
      <c r="H247" s="1" t="s">
        <v>12575</v>
      </c>
      <c r="I247" s="1" t="s">
        <v>145</v>
      </c>
      <c r="J247" s="1" t="s">
        <v>11044</v>
      </c>
      <c r="K247" s="1" t="s">
        <v>12500</v>
      </c>
      <c r="L247" s="1" t="s">
        <v>11682</v>
      </c>
      <c r="M247" s="1">
        <v>2020</v>
      </c>
      <c r="N247" s="1">
        <v>9781450381789</v>
      </c>
      <c r="O247" s="4"/>
      <c r="P247" s="3" t="s">
        <v>12576</v>
      </c>
      <c r="Q247" s="1" t="s">
        <v>3390</v>
      </c>
      <c r="R247" s="1" t="s">
        <v>12577</v>
      </c>
      <c r="S247" s="1" t="s">
        <v>12578</v>
      </c>
      <c r="T247" s="4"/>
      <c r="U247" s="4"/>
      <c r="V247" s="1" t="s">
        <v>12505</v>
      </c>
    </row>
    <row r="248" spans="1:22" x14ac:dyDescent="0.25">
      <c r="A248" s="1" t="s">
        <v>539</v>
      </c>
      <c r="B248" s="4"/>
      <c r="C248" s="1" t="s">
        <v>12579</v>
      </c>
      <c r="D248" s="4"/>
      <c r="E248" s="1">
        <v>2022</v>
      </c>
      <c r="F248" s="4"/>
      <c r="G248" s="4"/>
      <c r="H248" s="4"/>
      <c r="I248" s="1" t="s">
        <v>145</v>
      </c>
      <c r="J248" s="1" t="s">
        <v>11044</v>
      </c>
      <c r="K248" s="4"/>
      <c r="L248" s="1" t="s">
        <v>12541</v>
      </c>
      <c r="M248" s="1">
        <v>2022</v>
      </c>
      <c r="N248" s="1">
        <v>9781450399012</v>
      </c>
      <c r="O248" s="4"/>
      <c r="P248" s="4"/>
      <c r="Q248" s="4"/>
      <c r="R248" s="1" t="s">
        <v>12580</v>
      </c>
      <c r="S248" s="4"/>
      <c r="T248" s="4"/>
      <c r="U248" s="1" t="s">
        <v>10544</v>
      </c>
      <c r="V248" s="4"/>
    </row>
    <row r="249" spans="1:22" x14ac:dyDescent="0.25">
      <c r="A249" s="1" t="s">
        <v>13</v>
      </c>
      <c r="B249" s="1" t="s">
        <v>12581</v>
      </c>
      <c r="C249" s="1" t="s">
        <v>12582</v>
      </c>
      <c r="D249" s="1" t="s">
        <v>11246</v>
      </c>
      <c r="E249" s="1">
        <v>2022</v>
      </c>
      <c r="F249" s="4"/>
      <c r="G249" s="4"/>
      <c r="H249" s="4"/>
      <c r="I249" s="1" t="s">
        <v>145</v>
      </c>
      <c r="J249" s="1" t="s">
        <v>11044</v>
      </c>
      <c r="K249" s="4"/>
      <c r="L249" s="4"/>
      <c r="M249" s="6">
        <v>44713</v>
      </c>
      <c r="N249" s="4"/>
      <c r="O249" s="1" t="s">
        <v>329</v>
      </c>
      <c r="P249" s="3" t="s">
        <v>12583</v>
      </c>
      <c r="Q249" s="1" t="s">
        <v>12584</v>
      </c>
      <c r="R249" s="1" t="s">
        <v>12585</v>
      </c>
      <c r="S249" s="1" t="s">
        <v>12586</v>
      </c>
      <c r="T249" s="1" t="s">
        <v>12129</v>
      </c>
      <c r="U249" s="4"/>
      <c r="V249" s="4"/>
    </row>
    <row r="250" spans="1:22" x14ac:dyDescent="0.25">
      <c r="A250" s="1" t="s">
        <v>141</v>
      </c>
      <c r="B250" s="1" t="s">
        <v>12587</v>
      </c>
      <c r="C250" s="1" t="s">
        <v>12588</v>
      </c>
      <c r="D250" s="4"/>
      <c r="E250" s="1">
        <v>2022</v>
      </c>
      <c r="F250" s="4"/>
      <c r="G250" s="4"/>
      <c r="H250" s="1" t="s">
        <v>12589</v>
      </c>
      <c r="I250" s="1" t="s">
        <v>145</v>
      </c>
      <c r="J250" s="1" t="s">
        <v>11044</v>
      </c>
      <c r="K250" s="1" t="s">
        <v>12590</v>
      </c>
      <c r="L250" s="1" t="s">
        <v>12591</v>
      </c>
      <c r="M250" s="1">
        <v>2022</v>
      </c>
      <c r="N250" s="1">
        <v>9781450391580</v>
      </c>
      <c r="O250" s="4"/>
      <c r="P250" s="3" t="s">
        <v>12592</v>
      </c>
      <c r="Q250" s="1" t="s">
        <v>12593</v>
      </c>
      <c r="R250" s="1" t="s">
        <v>12594</v>
      </c>
      <c r="S250" s="1" t="s">
        <v>12595</v>
      </c>
      <c r="T250" s="4"/>
      <c r="U250" s="4"/>
      <c r="V250" s="1" t="s">
        <v>12596</v>
      </c>
    </row>
    <row r="251" spans="1:22" x14ac:dyDescent="0.25">
      <c r="A251" s="1" t="s">
        <v>141</v>
      </c>
      <c r="B251" s="1" t="s">
        <v>1141</v>
      </c>
      <c r="C251" s="1" t="s">
        <v>1142</v>
      </c>
      <c r="D251" s="4"/>
      <c r="E251" s="1">
        <v>2022</v>
      </c>
      <c r="F251" s="4"/>
      <c r="G251" s="4"/>
      <c r="H251" s="1" t="s">
        <v>12597</v>
      </c>
      <c r="I251" s="1" t="s">
        <v>145</v>
      </c>
      <c r="J251" s="1" t="s">
        <v>11044</v>
      </c>
      <c r="K251" s="1" t="s">
        <v>12598</v>
      </c>
      <c r="L251" s="1" t="s">
        <v>11157</v>
      </c>
      <c r="M251" s="1">
        <v>2022</v>
      </c>
      <c r="N251" s="1">
        <v>9781450393522</v>
      </c>
      <c r="O251" s="4"/>
      <c r="P251" s="3" t="s">
        <v>12599</v>
      </c>
      <c r="Q251" s="1" t="s">
        <v>1145</v>
      </c>
      <c r="R251" s="1" t="s">
        <v>12600</v>
      </c>
      <c r="S251" s="4"/>
      <c r="T251" s="4"/>
      <c r="U251" s="4"/>
      <c r="V251" s="1" t="s">
        <v>12601</v>
      </c>
    </row>
    <row r="252" spans="1:22" x14ac:dyDescent="0.25">
      <c r="A252" s="1" t="s">
        <v>141</v>
      </c>
      <c r="B252" s="1" t="s">
        <v>12602</v>
      </c>
      <c r="C252" s="1" t="s">
        <v>12603</v>
      </c>
      <c r="D252" s="4"/>
      <c r="E252" s="1">
        <v>2018</v>
      </c>
      <c r="F252" s="4"/>
      <c r="G252" s="4"/>
      <c r="H252" s="1" t="s">
        <v>11991</v>
      </c>
      <c r="I252" s="1" t="s">
        <v>145</v>
      </c>
      <c r="J252" s="1" t="s">
        <v>11044</v>
      </c>
      <c r="K252" s="1" t="s">
        <v>12604</v>
      </c>
      <c r="L252" s="1" t="s">
        <v>12605</v>
      </c>
      <c r="M252" s="1">
        <v>2018</v>
      </c>
      <c r="N252" s="1">
        <v>9781450356206</v>
      </c>
      <c r="O252" s="4"/>
      <c r="P252" s="3" t="s">
        <v>12606</v>
      </c>
      <c r="Q252" s="1" t="s">
        <v>12607</v>
      </c>
      <c r="R252" s="1" t="s">
        <v>12608</v>
      </c>
      <c r="S252" s="1" t="s">
        <v>12609</v>
      </c>
      <c r="T252" s="4"/>
      <c r="U252" s="4"/>
      <c r="V252" s="1" t="s">
        <v>12610</v>
      </c>
    </row>
    <row r="253" spans="1:22" x14ac:dyDescent="0.25">
      <c r="A253" s="1" t="s">
        <v>539</v>
      </c>
      <c r="B253" s="4"/>
      <c r="C253" s="1" t="s">
        <v>12611</v>
      </c>
      <c r="D253" s="4"/>
      <c r="E253" s="1">
        <v>2021</v>
      </c>
      <c r="F253" s="4"/>
      <c r="G253" s="4"/>
      <c r="H253" s="4"/>
      <c r="I253" s="1" t="s">
        <v>145</v>
      </c>
      <c r="J253" s="1" t="s">
        <v>11044</v>
      </c>
      <c r="K253" s="4"/>
      <c r="L253" s="1" t="s">
        <v>12523</v>
      </c>
      <c r="M253" s="1">
        <v>2021</v>
      </c>
      <c r="N253" s="1">
        <v>9781450380966</v>
      </c>
      <c r="O253" s="4"/>
      <c r="P253" s="4"/>
      <c r="Q253" s="4"/>
      <c r="R253" s="4"/>
      <c r="S253" s="4"/>
      <c r="T253" s="4"/>
      <c r="U253" s="1" t="s">
        <v>10544</v>
      </c>
      <c r="V253" s="4"/>
    </row>
    <row r="254" spans="1:22" x14ac:dyDescent="0.25">
      <c r="A254" s="1" t="s">
        <v>13</v>
      </c>
      <c r="B254" s="1" t="s">
        <v>12612</v>
      </c>
      <c r="C254" s="1" t="s">
        <v>12613</v>
      </c>
      <c r="D254" s="1" t="s">
        <v>11214</v>
      </c>
      <c r="E254" s="1">
        <v>2020</v>
      </c>
      <c r="F254" s="1">
        <v>63</v>
      </c>
      <c r="G254" s="1">
        <v>5</v>
      </c>
      <c r="H254" s="1" t="s">
        <v>11173</v>
      </c>
      <c r="I254" s="1" t="s">
        <v>145</v>
      </c>
      <c r="J254" s="1" t="s">
        <v>11044</v>
      </c>
      <c r="K254" s="4"/>
      <c r="L254" s="4"/>
      <c r="M254" s="6">
        <v>43922</v>
      </c>
      <c r="N254" s="4"/>
      <c r="O254" s="1" t="s">
        <v>11216</v>
      </c>
      <c r="P254" s="3" t="s">
        <v>12614</v>
      </c>
      <c r="Q254" s="1" t="s">
        <v>12615</v>
      </c>
      <c r="R254" s="1" t="s">
        <v>12616</v>
      </c>
      <c r="S254" s="4"/>
      <c r="T254" s="4"/>
      <c r="U254" s="4"/>
      <c r="V254" s="4"/>
    </row>
    <row r="255" spans="1:22" x14ac:dyDescent="0.25">
      <c r="A255" s="1" t="s">
        <v>141</v>
      </c>
      <c r="B255" s="1" t="s">
        <v>12617</v>
      </c>
      <c r="C255" s="1" t="s">
        <v>12618</v>
      </c>
      <c r="D255" s="4"/>
      <c r="E255" s="1">
        <v>2021</v>
      </c>
      <c r="F255" s="4"/>
      <c r="G255" s="4"/>
      <c r="H255" s="1" t="s">
        <v>12619</v>
      </c>
      <c r="I255" s="1" t="s">
        <v>145</v>
      </c>
      <c r="J255" s="1" t="s">
        <v>11044</v>
      </c>
      <c r="K255" s="1" t="s">
        <v>11297</v>
      </c>
      <c r="L255" s="1" t="s">
        <v>11298</v>
      </c>
      <c r="M255" s="1">
        <v>2021</v>
      </c>
      <c r="N255" s="1">
        <v>9781450383097</v>
      </c>
      <c r="O255" s="4"/>
      <c r="P255" s="3" t="s">
        <v>12620</v>
      </c>
      <c r="Q255" s="1" t="s">
        <v>12621</v>
      </c>
      <c r="R255" s="1" t="s">
        <v>12622</v>
      </c>
      <c r="S255" s="1" t="s">
        <v>12623</v>
      </c>
      <c r="T255" s="4"/>
      <c r="U255" s="4"/>
      <c r="V255" s="1" t="s">
        <v>11302</v>
      </c>
    </row>
    <row r="256" spans="1:22" x14ac:dyDescent="0.25">
      <c r="A256" s="1" t="s">
        <v>13</v>
      </c>
      <c r="B256" s="1" t="s">
        <v>12624</v>
      </c>
      <c r="C256" s="1" t="s">
        <v>12625</v>
      </c>
      <c r="D256" s="1" t="s">
        <v>11246</v>
      </c>
      <c r="E256" s="1">
        <v>2023</v>
      </c>
      <c r="F256" s="4"/>
      <c r="G256" s="4"/>
      <c r="H256" s="4"/>
      <c r="I256" s="1" t="s">
        <v>145</v>
      </c>
      <c r="J256" s="1" t="s">
        <v>11044</v>
      </c>
      <c r="K256" s="4"/>
      <c r="L256" s="4"/>
      <c r="M256" s="6">
        <v>44927</v>
      </c>
      <c r="N256" s="4"/>
      <c r="O256" s="1" t="s">
        <v>329</v>
      </c>
      <c r="P256" s="3" t="s">
        <v>12626</v>
      </c>
      <c r="Q256" s="1" t="s">
        <v>12627</v>
      </c>
      <c r="R256" s="1" t="s">
        <v>12628</v>
      </c>
      <c r="S256" s="1" t="s">
        <v>12629</v>
      </c>
      <c r="T256" s="1" t="s">
        <v>12129</v>
      </c>
      <c r="U256" s="4"/>
      <c r="V256" s="4"/>
    </row>
    <row r="257" spans="1:22" x14ac:dyDescent="0.25">
      <c r="A257" s="1" t="s">
        <v>539</v>
      </c>
      <c r="B257" s="4"/>
      <c r="C257" s="1" t="s">
        <v>12630</v>
      </c>
      <c r="D257" s="4"/>
      <c r="E257" s="1">
        <v>2022</v>
      </c>
      <c r="F257" s="4"/>
      <c r="G257" s="4"/>
      <c r="H257" s="4"/>
      <c r="I257" s="1" t="s">
        <v>145</v>
      </c>
      <c r="J257" s="1" t="s">
        <v>11044</v>
      </c>
      <c r="K257" s="4"/>
      <c r="L257" s="1" t="s">
        <v>11747</v>
      </c>
      <c r="M257" s="1">
        <v>2022</v>
      </c>
      <c r="N257" s="1">
        <v>9781450397452</v>
      </c>
      <c r="O257" s="4"/>
      <c r="P257" s="4"/>
      <c r="Q257" s="4"/>
      <c r="R257" s="4"/>
      <c r="S257" s="4"/>
      <c r="T257" s="4"/>
      <c r="U257" s="1" t="s">
        <v>10544</v>
      </c>
      <c r="V257" s="4"/>
    </row>
    <row r="258" spans="1:22" x14ac:dyDescent="0.25">
      <c r="A258" s="1" t="s">
        <v>13</v>
      </c>
      <c r="B258" s="1" t="s">
        <v>12631</v>
      </c>
      <c r="C258" s="1" t="s">
        <v>12632</v>
      </c>
      <c r="D258" s="1" t="s">
        <v>12633</v>
      </c>
      <c r="E258" s="1">
        <v>2022</v>
      </c>
      <c r="F258" s="1">
        <v>53</v>
      </c>
      <c r="G258" s="1">
        <v>3</v>
      </c>
      <c r="H258" s="1" t="s">
        <v>12634</v>
      </c>
      <c r="I258" s="1" t="s">
        <v>145</v>
      </c>
      <c r="J258" s="1" t="s">
        <v>11044</v>
      </c>
      <c r="K258" s="4"/>
      <c r="L258" s="4"/>
      <c r="M258" s="6">
        <v>44743</v>
      </c>
      <c r="N258" s="4"/>
      <c r="O258" s="1" t="s">
        <v>12635</v>
      </c>
      <c r="P258" s="3" t="s">
        <v>12636</v>
      </c>
      <c r="Q258" s="1" t="s">
        <v>12637</v>
      </c>
      <c r="R258" s="1" t="s">
        <v>12638</v>
      </c>
      <c r="S258" s="1" t="s">
        <v>12639</v>
      </c>
      <c r="T258" s="4"/>
      <c r="U258" s="4"/>
      <c r="V258" s="4"/>
    </row>
    <row r="259" spans="1:22" x14ac:dyDescent="0.25">
      <c r="A259" s="1" t="s">
        <v>13</v>
      </c>
      <c r="B259" s="1" t="s">
        <v>12640</v>
      </c>
      <c r="C259" s="1" t="s">
        <v>12641</v>
      </c>
      <c r="D259" s="1" t="s">
        <v>12642</v>
      </c>
      <c r="E259" s="1">
        <v>2013</v>
      </c>
      <c r="F259" s="1">
        <v>14</v>
      </c>
      <c r="G259" s="1">
        <v>2</v>
      </c>
      <c r="H259" s="1" t="s">
        <v>12643</v>
      </c>
      <c r="I259" s="1" t="s">
        <v>145</v>
      </c>
      <c r="J259" s="1" t="s">
        <v>11044</v>
      </c>
      <c r="K259" s="4"/>
      <c r="L259" s="4"/>
      <c r="M259" s="6">
        <v>41365</v>
      </c>
      <c r="N259" s="4"/>
      <c r="O259" s="1" t="s">
        <v>12644</v>
      </c>
      <c r="P259" s="3" t="s">
        <v>12645</v>
      </c>
      <c r="Q259" s="1" t="s">
        <v>12646</v>
      </c>
      <c r="R259" s="1" t="s">
        <v>12647</v>
      </c>
      <c r="S259" s="4"/>
      <c r="T259" s="4"/>
      <c r="U259" s="4"/>
      <c r="V259" s="4"/>
    </row>
    <row r="260" spans="1:22" x14ac:dyDescent="0.25">
      <c r="A260" s="1" t="s">
        <v>13</v>
      </c>
      <c r="B260" s="1" t="s">
        <v>4230</v>
      </c>
      <c r="C260" s="1" t="s">
        <v>4231</v>
      </c>
      <c r="D260" s="1" t="s">
        <v>12079</v>
      </c>
      <c r="E260" s="1">
        <v>2020</v>
      </c>
      <c r="F260" s="1">
        <v>13</v>
      </c>
      <c r="G260" s="1">
        <v>12</v>
      </c>
      <c r="H260" s="1" t="s">
        <v>12648</v>
      </c>
      <c r="I260" s="1" t="s">
        <v>4234</v>
      </c>
      <c r="J260" s="4"/>
      <c r="K260" s="4"/>
      <c r="L260" s="4"/>
      <c r="M260" s="6">
        <v>44075</v>
      </c>
      <c r="N260" s="4"/>
      <c r="O260" s="1" t="s">
        <v>4235</v>
      </c>
      <c r="P260" s="3" t="s">
        <v>12649</v>
      </c>
      <c r="Q260" s="1" t="s">
        <v>4237</v>
      </c>
      <c r="R260" s="1" t="s">
        <v>12650</v>
      </c>
      <c r="S260" s="4"/>
      <c r="T260" s="4"/>
      <c r="U260" s="4"/>
      <c r="V260" s="4"/>
    </row>
    <row r="261" spans="1:22" x14ac:dyDescent="0.25">
      <c r="A261" s="1" t="s">
        <v>141</v>
      </c>
      <c r="B261" s="1" t="s">
        <v>8285</v>
      </c>
      <c r="C261" s="1" t="s">
        <v>12651</v>
      </c>
      <c r="D261" s="4"/>
      <c r="E261" s="1">
        <v>2020</v>
      </c>
      <c r="F261" s="4"/>
      <c r="G261" s="4"/>
      <c r="H261" s="4"/>
      <c r="I261" s="1" t="s">
        <v>145</v>
      </c>
      <c r="J261" s="1" t="s">
        <v>11044</v>
      </c>
      <c r="K261" s="1" t="s">
        <v>12652</v>
      </c>
      <c r="L261" s="1" t="s">
        <v>12087</v>
      </c>
      <c r="M261" s="1">
        <v>2020</v>
      </c>
      <c r="N261" s="1">
        <v>9781450380263</v>
      </c>
      <c r="O261" s="4"/>
      <c r="P261" s="3" t="s">
        <v>12653</v>
      </c>
      <c r="Q261" s="1" t="s">
        <v>12654</v>
      </c>
      <c r="R261" s="1" t="s">
        <v>12655</v>
      </c>
      <c r="S261" s="1" t="s">
        <v>12656</v>
      </c>
      <c r="T261" s="4"/>
      <c r="U261" s="4"/>
      <c r="V261" s="1" t="s">
        <v>12657</v>
      </c>
    </row>
    <row r="262" spans="1:22" x14ac:dyDescent="0.25">
      <c r="A262" s="1" t="s">
        <v>13</v>
      </c>
      <c r="B262" s="1" t="s">
        <v>12658</v>
      </c>
      <c r="C262" s="1" t="s">
        <v>12659</v>
      </c>
      <c r="D262" s="1" t="s">
        <v>11332</v>
      </c>
      <c r="E262" s="1">
        <v>2019</v>
      </c>
      <c r="F262" s="1">
        <v>52</v>
      </c>
      <c r="G262" s="1">
        <v>5</v>
      </c>
      <c r="H262" s="4"/>
      <c r="I262" s="1" t="s">
        <v>145</v>
      </c>
      <c r="J262" s="1" t="s">
        <v>11044</v>
      </c>
      <c r="K262" s="4"/>
      <c r="L262" s="4"/>
      <c r="M262" s="6">
        <v>43709</v>
      </c>
      <c r="N262" s="4"/>
      <c r="O262" s="1" t="s">
        <v>5367</v>
      </c>
      <c r="P262" s="3" t="s">
        <v>12660</v>
      </c>
      <c r="Q262" s="1" t="s">
        <v>12661</v>
      </c>
      <c r="R262" s="1" t="s">
        <v>12662</v>
      </c>
      <c r="S262" s="1" t="s">
        <v>12663</v>
      </c>
      <c r="T262" s="4"/>
      <c r="U262" s="4"/>
      <c r="V262" s="4"/>
    </row>
    <row r="263" spans="1:22" x14ac:dyDescent="0.25">
      <c r="A263" s="1" t="s">
        <v>13</v>
      </c>
      <c r="B263" s="1" t="s">
        <v>12664</v>
      </c>
      <c r="C263" s="1" t="s">
        <v>12665</v>
      </c>
      <c r="D263" s="1" t="s">
        <v>11246</v>
      </c>
      <c r="E263" s="1">
        <v>2022</v>
      </c>
      <c r="F263" s="4"/>
      <c r="G263" s="4"/>
      <c r="H263" s="4"/>
      <c r="I263" s="1" t="s">
        <v>145</v>
      </c>
      <c r="J263" s="1" t="s">
        <v>11044</v>
      </c>
      <c r="K263" s="4"/>
      <c r="L263" s="4"/>
      <c r="M263" s="2">
        <v>44835</v>
      </c>
      <c r="N263" s="4"/>
      <c r="O263" s="1" t="s">
        <v>329</v>
      </c>
      <c r="P263" s="3" t="s">
        <v>12666</v>
      </c>
      <c r="Q263" s="1" t="s">
        <v>12667</v>
      </c>
      <c r="R263" s="1" t="s">
        <v>12668</v>
      </c>
      <c r="S263" s="1" t="s">
        <v>12669</v>
      </c>
      <c r="T263" s="1" t="s">
        <v>12129</v>
      </c>
      <c r="U263" s="4"/>
      <c r="V263" s="4"/>
    </row>
    <row r="264" spans="1:22" x14ac:dyDescent="0.25">
      <c r="A264" s="1" t="s">
        <v>13</v>
      </c>
      <c r="B264" s="1" t="s">
        <v>12670</v>
      </c>
      <c r="C264" s="1" t="s">
        <v>12671</v>
      </c>
      <c r="D264" s="1" t="s">
        <v>11507</v>
      </c>
      <c r="E264" s="1">
        <v>2022</v>
      </c>
      <c r="F264" s="1">
        <v>16</v>
      </c>
      <c r="G264" s="1">
        <v>2</v>
      </c>
      <c r="H264" s="4"/>
      <c r="I264" s="1" t="s">
        <v>145</v>
      </c>
      <c r="J264" s="1" t="s">
        <v>11044</v>
      </c>
      <c r="K264" s="4"/>
      <c r="L264" s="4"/>
      <c r="M264" s="6">
        <v>44621</v>
      </c>
      <c r="N264" s="4"/>
      <c r="O264" s="1" t="s">
        <v>1504</v>
      </c>
      <c r="P264" s="3" t="s">
        <v>12672</v>
      </c>
      <c r="Q264" s="1" t="s">
        <v>12673</v>
      </c>
      <c r="R264" s="1" t="s">
        <v>12674</v>
      </c>
      <c r="S264" s="1" t="s">
        <v>12675</v>
      </c>
      <c r="T264" s="4"/>
      <c r="U264" s="4"/>
      <c r="V264" s="4"/>
    </row>
    <row r="265" spans="1:22" x14ac:dyDescent="0.25">
      <c r="A265" s="1" t="s">
        <v>539</v>
      </c>
      <c r="B265" s="4"/>
      <c r="C265" s="1" t="s">
        <v>12676</v>
      </c>
      <c r="D265" s="4"/>
      <c r="E265" s="1">
        <v>2022</v>
      </c>
      <c r="F265" s="4"/>
      <c r="G265" s="4"/>
      <c r="H265" s="4"/>
      <c r="I265" s="1" t="s">
        <v>145</v>
      </c>
      <c r="J265" s="1" t="s">
        <v>11044</v>
      </c>
      <c r="K265" s="4"/>
      <c r="L265" s="1" t="s">
        <v>12058</v>
      </c>
      <c r="M265" s="1">
        <v>2022</v>
      </c>
      <c r="N265" s="1">
        <v>9781450396707</v>
      </c>
      <c r="O265" s="4"/>
      <c r="P265" s="4"/>
      <c r="Q265" s="4"/>
      <c r="R265" s="4"/>
      <c r="S265" s="4"/>
      <c r="T265" s="4"/>
      <c r="U265" s="1" t="s">
        <v>10544</v>
      </c>
      <c r="V265" s="4"/>
    </row>
    <row r="266" spans="1:22" x14ac:dyDescent="0.25">
      <c r="A266" s="1" t="s">
        <v>539</v>
      </c>
      <c r="B266" s="4"/>
      <c r="C266" s="1" t="s">
        <v>12677</v>
      </c>
      <c r="D266" s="4"/>
      <c r="E266" s="1">
        <v>2022</v>
      </c>
      <c r="F266" s="4"/>
      <c r="G266" s="4"/>
      <c r="H266" s="4"/>
      <c r="I266" s="1" t="s">
        <v>145</v>
      </c>
      <c r="J266" s="1" t="s">
        <v>11044</v>
      </c>
      <c r="K266" s="4"/>
      <c r="L266" s="1" t="s">
        <v>12473</v>
      </c>
      <c r="M266" s="1">
        <v>2022</v>
      </c>
      <c r="N266" s="1">
        <v>9781450394772</v>
      </c>
      <c r="O266" s="4"/>
      <c r="P266" s="4"/>
      <c r="Q266" s="4"/>
      <c r="R266" s="4"/>
      <c r="S266" s="4"/>
      <c r="T266" s="4"/>
      <c r="U266" s="1" t="s">
        <v>10544</v>
      </c>
      <c r="V266" s="4"/>
    </row>
    <row r="267" spans="1:22" x14ac:dyDescent="0.25">
      <c r="A267" s="1" t="s">
        <v>539</v>
      </c>
      <c r="B267" s="4"/>
      <c r="C267" s="1" t="s">
        <v>12678</v>
      </c>
      <c r="D267" s="4"/>
      <c r="E267" s="1">
        <v>2022</v>
      </c>
      <c r="F267" s="4"/>
      <c r="G267" s="4"/>
      <c r="H267" s="4"/>
      <c r="I267" s="1" t="s">
        <v>145</v>
      </c>
      <c r="J267" s="1" t="s">
        <v>11044</v>
      </c>
      <c r="K267" s="4"/>
      <c r="L267" s="1" t="s">
        <v>12679</v>
      </c>
      <c r="M267" s="1">
        <v>2022</v>
      </c>
      <c r="N267" s="1">
        <v>9781450396967</v>
      </c>
      <c r="O267" s="4"/>
      <c r="P267" s="4"/>
      <c r="Q267" s="4"/>
      <c r="R267" s="4"/>
      <c r="S267" s="4"/>
      <c r="T267" s="4"/>
      <c r="U267" s="1" t="s">
        <v>10544</v>
      </c>
      <c r="V267" s="4"/>
    </row>
    <row r="268" spans="1:22" x14ac:dyDescent="0.25">
      <c r="A268" s="1" t="s">
        <v>539</v>
      </c>
      <c r="B268" s="4"/>
      <c r="C268" s="1" t="s">
        <v>12680</v>
      </c>
      <c r="D268" s="4"/>
      <c r="E268" s="1">
        <v>2017</v>
      </c>
      <c r="F268" s="4"/>
      <c r="G268" s="4"/>
      <c r="H268" s="4"/>
      <c r="I268" s="1" t="s">
        <v>145</v>
      </c>
      <c r="J268" s="1" t="s">
        <v>11044</v>
      </c>
      <c r="K268" s="4"/>
      <c r="L268" s="1" t="s">
        <v>12681</v>
      </c>
      <c r="M268" s="1">
        <v>2017</v>
      </c>
      <c r="N268" s="1">
        <v>9781450343350</v>
      </c>
      <c r="O268" s="4"/>
      <c r="P268" s="4"/>
      <c r="Q268" s="4"/>
      <c r="R268" s="1" t="s">
        <v>12682</v>
      </c>
      <c r="S268" s="4"/>
      <c r="T268" s="4"/>
      <c r="U268" s="1" t="s">
        <v>10544</v>
      </c>
      <c r="V268" s="4"/>
    </row>
  </sheetData>
  <hyperlinks>
    <hyperlink ref="P2" r:id="rId1" xr:uid="{00000000-0004-0000-0500-000000000000}"/>
    <hyperlink ref="P3" r:id="rId2" xr:uid="{00000000-0004-0000-0500-000001000000}"/>
    <hyperlink ref="P4" r:id="rId3" xr:uid="{00000000-0004-0000-0500-000002000000}"/>
    <hyperlink ref="P5" r:id="rId4" xr:uid="{00000000-0004-0000-0500-000003000000}"/>
    <hyperlink ref="P6" r:id="rId5" xr:uid="{00000000-0004-0000-0500-000004000000}"/>
    <hyperlink ref="P7" r:id="rId6" xr:uid="{00000000-0004-0000-0500-000005000000}"/>
    <hyperlink ref="P8" r:id="rId7" xr:uid="{00000000-0004-0000-0500-000006000000}"/>
    <hyperlink ref="P9" r:id="rId8" xr:uid="{00000000-0004-0000-0500-000007000000}"/>
    <hyperlink ref="P10" r:id="rId9" xr:uid="{00000000-0004-0000-0500-000008000000}"/>
    <hyperlink ref="P11" r:id="rId10" xr:uid="{00000000-0004-0000-0500-000009000000}"/>
    <hyperlink ref="P13" r:id="rId11" xr:uid="{00000000-0004-0000-0500-00000A000000}"/>
    <hyperlink ref="P14" r:id="rId12" xr:uid="{00000000-0004-0000-0500-00000B000000}"/>
    <hyperlink ref="P15" r:id="rId13" xr:uid="{00000000-0004-0000-0500-00000C000000}"/>
    <hyperlink ref="P16" r:id="rId14" xr:uid="{00000000-0004-0000-0500-00000D000000}"/>
    <hyperlink ref="P17" r:id="rId15" xr:uid="{00000000-0004-0000-0500-00000E000000}"/>
    <hyperlink ref="P18" r:id="rId16" xr:uid="{00000000-0004-0000-0500-00000F000000}"/>
    <hyperlink ref="P20" r:id="rId17" xr:uid="{00000000-0004-0000-0500-000010000000}"/>
    <hyperlink ref="P21" r:id="rId18" xr:uid="{00000000-0004-0000-0500-000011000000}"/>
    <hyperlink ref="P22" r:id="rId19" xr:uid="{00000000-0004-0000-0500-000012000000}"/>
    <hyperlink ref="P23" r:id="rId20" xr:uid="{00000000-0004-0000-0500-000013000000}"/>
    <hyperlink ref="P24" r:id="rId21" xr:uid="{00000000-0004-0000-0500-000014000000}"/>
    <hyperlink ref="P25" r:id="rId22" xr:uid="{00000000-0004-0000-0500-000015000000}"/>
    <hyperlink ref="P26" r:id="rId23" xr:uid="{00000000-0004-0000-0500-000016000000}"/>
    <hyperlink ref="P27" r:id="rId24" xr:uid="{00000000-0004-0000-0500-000017000000}"/>
    <hyperlink ref="P28" r:id="rId25" xr:uid="{00000000-0004-0000-0500-000018000000}"/>
    <hyperlink ref="P29" r:id="rId26" xr:uid="{00000000-0004-0000-0500-000019000000}"/>
    <hyperlink ref="P30" r:id="rId27" xr:uid="{00000000-0004-0000-0500-00001A000000}"/>
    <hyperlink ref="P31" r:id="rId28" xr:uid="{00000000-0004-0000-0500-00001B000000}"/>
    <hyperlink ref="P32" r:id="rId29" xr:uid="{00000000-0004-0000-0500-00001C000000}"/>
    <hyperlink ref="P33" r:id="rId30" xr:uid="{00000000-0004-0000-0500-00001D000000}"/>
    <hyperlink ref="P34" r:id="rId31" xr:uid="{00000000-0004-0000-0500-00001E000000}"/>
    <hyperlink ref="P35" r:id="rId32" xr:uid="{00000000-0004-0000-0500-00001F000000}"/>
    <hyperlink ref="P36" r:id="rId33" xr:uid="{00000000-0004-0000-0500-000020000000}"/>
    <hyperlink ref="P37" r:id="rId34" xr:uid="{00000000-0004-0000-0500-000021000000}"/>
    <hyperlink ref="P38" r:id="rId35" xr:uid="{00000000-0004-0000-0500-000022000000}"/>
    <hyperlink ref="P40" r:id="rId36" xr:uid="{00000000-0004-0000-0500-000023000000}"/>
    <hyperlink ref="P41" r:id="rId37" xr:uid="{00000000-0004-0000-0500-000024000000}"/>
    <hyperlink ref="P42" r:id="rId38" xr:uid="{00000000-0004-0000-0500-000025000000}"/>
    <hyperlink ref="P43" r:id="rId39" xr:uid="{00000000-0004-0000-0500-000026000000}"/>
    <hyperlink ref="P44" r:id="rId40" xr:uid="{00000000-0004-0000-0500-000027000000}"/>
    <hyperlink ref="P45" r:id="rId41" xr:uid="{00000000-0004-0000-0500-000028000000}"/>
    <hyperlink ref="P46" r:id="rId42" xr:uid="{00000000-0004-0000-0500-000029000000}"/>
    <hyperlink ref="P47" r:id="rId43" xr:uid="{00000000-0004-0000-0500-00002A000000}"/>
    <hyperlink ref="P48" r:id="rId44" xr:uid="{00000000-0004-0000-0500-00002B000000}"/>
    <hyperlink ref="P49" r:id="rId45" xr:uid="{00000000-0004-0000-0500-00002C000000}"/>
    <hyperlink ref="P50" r:id="rId46" xr:uid="{00000000-0004-0000-0500-00002D000000}"/>
    <hyperlink ref="P51" r:id="rId47" xr:uid="{00000000-0004-0000-0500-00002E000000}"/>
    <hyperlink ref="P52" r:id="rId48" xr:uid="{00000000-0004-0000-0500-00002F000000}"/>
    <hyperlink ref="P53" r:id="rId49" xr:uid="{00000000-0004-0000-0500-000030000000}"/>
    <hyperlink ref="P54" r:id="rId50" xr:uid="{00000000-0004-0000-0500-000031000000}"/>
    <hyperlink ref="P55" r:id="rId51" xr:uid="{00000000-0004-0000-0500-000032000000}"/>
    <hyperlink ref="P56" r:id="rId52" xr:uid="{00000000-0004-0000-0500-000033000000}"/>
    <hyperlink ref="P57" r:id="rId53" xr:uid="{00000000-0004-0000-0500-000034000000}"/>
    <hyperlink ref="P58" r:id="rId54" xr:uid="{00000000-0004-0000-0500-000035000000}"/>
    <hyperlink ref="P59" r:id="rId55" xr:uid="{00000000-0004-0000-0500-000036000000}"/>
    <hyperlink ref="P60" r:id="rId56" xr:uid="{00000000-0004-0000-0500-000037000000}"/>
    <hyperlink ref="P61" r:id="rId57" xr:uid="{00000000-0004-0000-0500-000038000000}"/>
    <hyperlink ref="P62" r:id="rId58" xr:uid="{00000000-0004-0000-0500-000039000000}"/>
    <hyperlink ref="P63" r:id="rId59" xr:uid="{00000000-0004-0000-0500-00003A000000}"/>
    <hyperlink ref="P64" r:id="rId60" xr:uid="{00000000-0004-0000-0500-00003B000000}"/>
    <hyperlink ref="P65" r:id="rId61" xr:uid="{00000000-0004-0000-0500-00003C000000}"/>
    <hyperlink ref="P66" r:id="rId62" xr:uid="{00000000-0004-0000-0500-00003D000000}"/>
    <hyperlink ref="P68" r:id="rId63" xr:uid="{00000000-0004-0000-0500-00003E000000}"/>
    <hyperlink ref="P69" r:id="rId64" xr:uid="{00000000-0004-0000-0500-00003F000000}"/>
    <hyperlink ref="P70" r:id="rId65" xr:uid="{00000000-0004-0000-0500-000040000000}"/>
    <hyperlink ref="P71" r:id="rId66" xr:uid="{00000000-0004-0000-0500-000041000000}"/>
    <hyperlink ref="P72" r:id="rId67" xr:uid="{00000000-0004-0000-0500-000042000000}"/>
    <hyperlink ref="P73" r:id="rId68" xr:uid="{00000000-0004-0000-0500-000043000000}"/>
    <hyperlink ref="P74" r:id="rId69" xr:uid="{00000000-0004-0000-0500-000044000000}"/>
    <hyperlink ref="P75" r:id="rId70" xr:uid="{00000000-0004-0000-0500-000045000000}"/>
    <hyperlink ref="P77" r:id="rId71" xr:uid="{00000000-0004-0000-0500-000046000000}"/>
    <hyperlink ref="P79" r:id="rId72" xr:uid="{00000000-0004-0000-0500-000047000000}"/>
    <hyperlink ref="P81" r:id="rId73" xr:uid="{00000000-0004-0000-0500-000048000000}"/>
    <hyperlink ref="P82" r:id="rId74" xr:uid="{00000000-0004-0000-0500-000049000000}"/>
    <hyperlink ref="P83" r:id="rId75" xr:uid="{00000000-0004-0000-0500-00004A000000}"/>
    <hyperlink ref="P84" r:id="rId76" xr:uid="{00000000-0004-0000-0500-00004B000000}"/>
    <hyperlink ref="P87" r:id="rId77" xr:uid="{00000000-0004-0000-0500-00004C000000}"/>
    <hyperlink ref="P89" r:id="rId78" xr:uid="{00000000-0004-0000-0500-00004D000000}"/>
    <hyperlink ref="P90" r:id="rId79" xr:uid="{00000000-0004-0000-0500-00004E000000}"/>
    <hyperlink ref="P91" r:id="rId80" xr:uid="{00000000-0004-0000-0500-00004F000000}"/>
    <hyperlink ref="P92" r:id="rId81" xr:uid="{00000000-0004-0000-0500-000050000000}"/>
    <hyperlink ref="P93" r:id="rId82" xr:uid="{00000000-0004-0000-0500-000051000000}"/>
    <hyperlink ref="P94" r:id="rId83" xr:uid="{00000000-0004-0000-0500-000052000000}"/>
    <hyperlink ref="P95" r:id="rId84" xr:uid="{00000000-0004-0000-0500-000053000000}"/>
    <hyperlink ref="P96" r:id="rId85" xr:uid="{00000000-0004-0000-0500-000054000000}"/>
    <hyperlink ref="P97" r:id="rId86" xr:uid="{00000000-0004-0000-0500-000055000000}"/>
    <hyperlink ref="P98" r:id="rId87" xr:uid="{00000000-0004-0000-0500-000056000000}"/>
    <hyperlink ref="P99" r:id="rId88" xr:uid="{00000000-0004-0000-0500-000057000000}"/>
    <hyperlink ref="P100" r:id="rId89" xr:uid="{00000000-0004-0000-0500-000058000000}"/>
    <hyperlink ref="P101" r:id="rId90" xr:uid="{00000000-0004-0000-0500-000059000000}"/>
    <hyperlink ref="P102" r:id="rId91" xr:uid="{00000000-0004-0000-0500-00005A000000}"/>
    <hyperlink ref="P103" r:id="rId92" xr:uid="{00000000-0004-0000-0500-00005B000000}"/>
    <hyperlink ref="P104" r:id="rId93" xr:uid="{00000000-0004-0000-0500-00005C000000}"/>
    <hyperlink ref="P105" r:id="rId94" xr:uid="{00000000-0004-0000-0500-00005D000000}"/>
    <hyperlink ref="P106" r:id="rId95" xr:uid="{00000000-0004-0000-0500-00005E000000}"/>
    <hyperlink ref="P107" r:id="rId96" xr:uid="{00000000-0004-0000-0500-00005F000000}"/>
    <hyperlink ref="P108" r:id="rId97" xr:uid="{00000000-0004-0000-0500-000060000000}"/>
    <hyperlink ref="P109" r:id="rId98" xr:uid="{00000000-0004-0000-0500-000061000000}"/>
    <hyperlink ref="P110" r:id="rId99" xr:uid="{00000000-0004-0000-0500-000062000000}"/>
    <hyperlink ref="P111" r:id="rId100" xr:uid="{00000000-0004-0000-0500-000063000000}"/>
    <hyperlink ref="P112" r:id="rId101" xr:uid="{00000000-0004-0000-0500-000064000000}"/>
    <hyperlink ref="P113" r:id="rId102" xr:uid="{00000000-0004-0000-0500-000065000000}"/>
    <hyperlink ref="P114" r:id="rId103" xr:uid="{00000000-0004-0000-0500-000066000000}"/>
    <hyperlink ref="P115" r:id="rId104" xr:uid="{00000000-0004-0000-0500-000067000000}"/>
    <hyperlink ref="P117" r:id="rId105" xr:uid="{00000000-0004-0000-0500-000068000000}"/>
    <hyperlink ref="P118" r:id="rId106" xr:uid="{00000000-0004-0000-0500-000069000000}"/>
    <hyperlink ref="P119" r:id="rId107" xr:uid="{00000000-0004-0000-0500-00006A000000}"/>
    <hyperlink ref="P120" r:id="rId108" xr:uid="{00000000-0004-0000-0500-00006B000000}"/>
    <hyperlink ref="P121" r:id="rId109" xr:uid="{00000000-0004-0000-0500-00006C000000}"/>
    <hyperlink ref="P122" r:id="rId110" xr:uid="{00000000-0004-0000-0500-00006D000000}"/>
    <hyperlink ref="P123" r:id="rId111" xr:uid="{00000000-0004-0000-0500-00006E000000}"/>
    <hyperlink ref="P124" r:id="rId112" xr:uid="{00000000-0004-0000-0500-00006F000000}"/>
    <hyperlink ref="P125" r:id="rId113" xr:uid="{00000000-0004-0000-0500-000070000000}"/>
    <hyperlink ref="P126" r:id="rId114" xr:uid="{00000000-0004-0000-0500-000071000000}"/>
    <hyperlink ref="P127" r:id="rId115" xr:uid="{00000000-0004-0000-0500-000072000000}"/>
    <hyperlink ref="P128" r:id="rId116" xr:uid="{00000000-0004-0000-0500-000073000000}"/>
    <hyperlink ref="P129" r:id="rId117" xr:uid="{00000000-0004-0000-0500-000074000000}"/>
    <hyperlink ref="P130" r:id="rId118" xr:uid="{00000000-0004-0000-0500-000075000000}"/>
    <hyperlink ref="P131" r:id="rId119" xr:uid="{00000000-0004-0000-0500-000076000000}"/>
    <hyperlink ref="P132" r:id="rId120" xr:uid="{00000000-0004-0000-0500-000077000000}"/>
    <hyperlink ref="P133" r:id="rId121" xr:uid="{00000000-0004-0000-0500-000078000000}"/>
    <hyperlink ref="P134" r:id="rId122" xr:uid="{00000000-0004-0000-0500-000079000000}"/>
    <hyperlink ref="P135" r:id="rId123" xr:uid="{00000000-0004-0000-0500-00007A000000}"/>
    <hyperlink ref="P136" r:id="rId124" xr:uid="{00000000-0004-0000-0500-00007B000000}"/>
    <hyperlink ref="P137" r:id="rId125" xr:uid="{00000000-0004-0000-0500-00007C000000}"/>
    <hyperlink ref="P138" r:id="rId126" xr:uid="{00000000-0004-0000-0500-00007D000000}"/>
    <hyperlink ref="P139" r:id="rId127" xr:uid="{00000000-0004-0000-0500-00007E000000}"/>
    <hyperlink ref="P140" r:id="rId128" xr:uid="{00000000-0004-0000-0500-00007F000000}"/>
    <hyperlink ref="P141" r:id="rId129" xr:uid="{00000000-0004-0000-0500-000080000000}"/>
    <hyperlink ref="P142" r:id="rId130" xr:uid="{00000000-0004-0000-0500-000081000000}"/>
    <hyperlink ref="P143" r:id="rId131" xr:uid="{00000000-0004-0000-0500-000082000000}"/>
    <hyperlink ref="P144" r:id="rId132" xr:uid="{00000000-0004-0000-0500-000083000000}"/>
    <hyperlink ref="P145" r:id="rId133" xr:uid="{00000000-0004-0000-0500-000084000000}"/>
    <hyperlink ref="P146" r:id="rId134" xr:uid="{00000000-0004-0000-0500-000085000000}"/>
    <hyperlink ref="P147" r:id="rId135" xr:uid="{00000000-0004-0000-0500-000086000000}"/>
    <hyperlink ref="P148" r:id="rId136" xr:uid="{00000000-0004-0000-0500-000087000000}"/>
    <hyperlink ref="P150" r:id="rId137" xr:uid="{00000000-0004-0000-0500-000088000000}"/>
    <hyperlink ref="P151" r:id="rId138" xr:uid="{00000000-0004-0000-0500-000089000000}"/>
    <hyperlink ref="P153" r:id="rId139" xr:uid="{00000000-0004-0000-0500-00008A000000}"/>
    <hyperlink ref="P154" r:id="rId140" xr:uid="{00000000-0004-0000-0500-00008B000000}"/>
    <hyperlink ref="P155" r:id="rId141" xr:uid="{00000000-0004-0000-0500-00008C000000}"/>
    <hyperlink ref="P156" r:id="rId142" xr:uid="{00000000-0004-0000-0500-00008D000000}"/>
    <hyperlink ref="P157" r:id="rId143" xr:uid="{00000000-0004-0000-0500-00008E000000}"/>
    <hyperlink ref="P158" r:id="rId144" xr:uid="{00000000-0004-0000-0500-00008F000000}"/>
    <hyperlink ref="P159" r:id="rId145" xr:uid="{00000000-0004-0000-0500-000090000000}"/>
    <hyperlink ref="P160" r:id="rId146" xr:uid="{00000000-0004-0000-0500-000091000000}"/>
    <hyperlink ref="P161" r:id="rId147" xr:uid="{00000000-0004-0000-0500-000092000000}"/>
    <hyperlink ref="P162" r:id="rId148" xr:uid="{00000000-0004-0000-0500-000093000000}"/>
    <hyperlink ref="P163" r:id="rId149" xr:uid="{00000000-0004-0000-0500-000094000000}"/>
    <hyperlink ref="P164" r:id="rId150" xr:uid="{00000000-0004-0000-0500-000095000000}"/>
    <hyperlink ref="P165" r:id="rId151" xr:uid="{00000000-0004-0000-0500-000096000000}"/>
    <hyperlink ref="P166" r:id="rId152" xr:uid="{00000000-0004-0000-0500-000097000000}"/>
    <hyperlink ref="P167" r:id="rId153" xr:uid="{00000000-0004-0000-0500-000098000000}"/>
    <hyperlink ref="P168" r:id="rId154" xr:uid="{00000000-0004-0000-0500-000099000000}"/>
    <hyperlink ref="P169" r:id="rId155" xr:uid="{00000000-0004-0000-0500-00009A000000}"/>
    <hyperlink ref="P170" r:id="rId156" xr:uid="{00000000-0004-0000-0500-00009B000000}"/>
    <hyperlink ref="P171" r:id="rId157" xr:uid="{00000000-0004-0000-0500-00009C000000}"/>
    <hyperlink ref="P172" r:id="rId158" xr:uid="{00000000-0004-0000-0500-00009D000000}"/>
    <hyperlink ref="P173" r:id="rId159" xr:uid="{00000000-0004-0000-0500-00009E000000}"/>
    <hyperlink ref="P174" r:id="rId160" xr:uid="{00000000-0004-0000-0500-00009F000000}"/>
    <hyperlink ref="P175" r:id="rId161" xr:uid="{00000000-0004-0000-0500-0000A0000000}"/>
    <hyperlink ref="P176" r:id="rId162" xr:uid="{00000000-0004-0000-0500-0000A1000000}"/>
    <hyperlink ref="P177" r:id="rId163" xr:uid="{00000000-0004-0000-0500-0000A2000000}"/>
    <hyperlink ref="P178" r:id="rId164" xr:uid="{00000000-0004-0000-0500-0000A3000000}"/>
    <hyperlink ref="P179" r:id="rId165" xr:uid="{00000000-0004-0000-0500-0000A4000000}"/>
    <hyperlink ref="P181" r:id="rId166" xr:uid="{00000000-0004-0000-0500-0000A5000000}"/>
    <hyperlink ref="P182" r:id="rId167" xr:uid="{00000000-0004-0000-0500-0000A6000000}"/>
    <hyperlink ref="P183" r:id="rId168" xr:uid="{00000000-0004-0000-0500-0000A7000000}"/>
    <hyperlink ref="P184" r:id="rId169" xr:uid="{00000000-0004-0000-0500-0000A8000000}"/>
    <hyperlink ref="P186" r:id="rId170" xr:uid="{00000000-0004-0000-0500-0000A9000000}"/>
    <hyperlink ref="P187" r:id="rId171" xr:uid="{00000000-0004-0000-0500-0000AA000000}"/>
    <hyperlink ref="P189" r:id="rId172" xr:uid="{00000000-0004-0000-0500-0000AB000000}"/>
    <hyperlink ref="P190" r:id="rId173" xr:uid="{00000000-0004-0000-0500-0000AC000000}"/>
    <hyperlink ref="P191" r:id="rId174" xr:uid="{00000000-0004-0000-0500-0000AD000000}"/>
    <hyperlink ref="P192" r:id="rId175" xr:uid="{00000000-0004-0000-0500-0000AE000000}"/>
    <hyperlink ref="P193" r:id="rId176" xr:uid="{00000000-0004-0000-0500-0000AF000000}"/>
    <hyperlink ref="P194" r:id="rId177" xr:uid="{00000000-0004-0000-0500-0000B0000000}"/>
    <hyperlink ref="P195" r:id="rId178" xr:uid="{00000000-0004-0000-0500-0000B1000000}"/>
    <hyperlink ref="P196" r:id="rId179" xr:uid="{00000000-0004-0000-0500-0000B2000000}"/>
    <hyperlink ref="P197" r:id="rId180" xr:uid="{00000000-0004-0000-0500-0000B3000000}"/>
    <hyperlink ref="P198" r:id="rId181" xr:uid="{00000000-0004-0000-0500-0000B4000000}"/>
    <hyperlink ref="P199" r:id="rId182" xr:uid="{00000000-0004-0000-0500-0000B5000000}"/>
    <hyperlink ref="P200" r:id="rId183" xr:uid="{00000000-0004-0000-0500-0000B6000000}"/>
    <hyperlink ref="P201" r:id="rId184" xr:uid="{00000000-0004-0000-0500-0000B7000000}"/>
    <hyperlink ref="P202" r:id="rId185" xr:uid="{00000000-0004-0000-0500-0000B8000000}"/>
    <hyperlink ref="P203" r:id="rId186" xr:uid="{00000000-0004-0000-0500-0000B9000000}"/>
    <hyperlink ref="P204" r:id="rId187" xr:uid="{00000000-0004-0000-0500-0000BA000000}"/>
    <hyperlink ref="P205" r:id="rId188" xr:uid="{00000000-0004-0000-0500-0000BB000000}"/>
    <hyperlink ref="P206" r:id="rId189" xr:uid="{00000000-0004-0000-0500-0000BC000000}"/>
    <hyperlink ref="P207" r:id="rId190" xr:uid="{00000000-0004-0000-0500-0000BD000000}"/>
    <hyperlink ref="P208" r:id="rId191" xr:uid="{00000000-0004-0000-0500-0000BE000000}"/>
    <hyperlink ref="P209" r:id="rId192" xr:uid="{00000000-0004-0000-0500-0000BF000000}"/>
    <hyperlink ref="P210" r:id="rId193" xr:uid="{00000000-0004-0000-0500-0000C0000000}"/>
    <hyperlink ref="P211" r:id="rId194" xr:uid="{00000000-0004-0000-0500-0000C1000000}"/>
    <hyperlink ref="P212" r:id="rId195" xr:uid="{00000000-0004-0000-0500-0000C2000000}"/>
    <hyperlink ref="P213" r:id="rId196" xr:uid="{00000000-0004-0000-0500-0000C3000000}"/>
    <hyperlink ref="P214" r:id="rId197" xr:uid="{00000000-0004-0000-0500-0000C4000000}"/>
    <hyperlink ref="P215" r:id="rId198" xr:uid="{00000000-0004-0000-0500-0000C5000000}"/>
    <hyperlink ref="P216" r:id="rId199" xr:uid="{00000000-0004-0000-0500-0000C6000000}"/>
    <hyperlink ref="P217" r:id="rId200" xr:uid="{00000000-0004-0000-0500-0000C7000000}"/>
    <hyperlink ref="P218" r:id="rId201" xr:uid="{00000000-0004-0000-0500-0000C8000000}"/>
    <hyperlink ref="P219" r:id="rId202" xr:uid="{00000000-0004-0000-0500-0000C9000000}"/>
    <hyperlink ref="P220" r:id="rId203" xr:uid="{00000000-0004-0000-0500-0000CA000000}"/>
    <hyperlink ref="P221" r:id="rId204" xr:uid="{00000000-0004-0000-0500-0000CB000000}"/>
    <hyperlink ref="P222" r:id="rId205" xr:uid="{00000000-0004-0000-0500-0000CC000000}"/>
    <hyperlink ref="P223" r:id="rId206" xr:uid="{00000000-0004-0000-0500-0000CD000000}"/>
    <hyperlink ref="P224" r:id="rId207" xr:uid="{00000000-0004-0000-0500-0000CE000000}"/>
    <hyperlink ref="P225" r:id="rId208" xr:uid="{00000000-0004-0000-0500-0000CF000000}"/>
    <hyperlink ref="P226" r:id="rId209" xr:uid="{00000000-0004-0000-0500-0000D0000000}"/>
    <hyperlink ref="P227" r:id="rId210" xr:uid="{00000000-0004-0000-0500-0000D1000000}"/>
    <hyperlink ref="P228" r:id="rId211" xr:uid="{00000000-0004-0000-0500-0000D2000000}"/>
    <hyperlink ref="P229" r:id="rId212" xr:uid="{00000000-0004-0000-0500-0000D3000000}"/>
    <hyperlink ref="P230" r:id="rId213" xr:uid="{00000000-0004-0000-0500-0000D4000000}"/>
    <hyperlink ref="P231" r:id="rId214" xr:uid="{00000000-0004-0000-0500-0000D5000000}"/>
    <hyperlink ref="P232" r:id="rId215" xr:uid="{00000000-0004-0000-0500-0000D6000000}"/>
    <hyperlink ref="P233" r:id="rId216" xr:uid="{00000000-0004-0000-0500-0000D7000000}"/>
    <hyperlink ref="P234" r:id="rId217" xr:uid="{00000000-0004-0000-0500-0000D8000000}"/>
    <hyperlink ref="P235" r:id="rId218" xr:uid="{00000000-0004-0000-0500-0000D9000000}"/>
    <hyperlink ref="P236" r:id="rId219" xr:uid="{00000000-0004-0000-0500-0000DA000000}"/>
    <hyperlink ref="P237" r:id="rId220" xr:uid="{00000000-0004-0000-0500-0000DB000000}"/>
    <hyperlink ref="P238" r:id="rId221" xr:uid="{00000000-0004-0000-0500-0000DC000000}"/>
    <hyperlink ref="P239" r:id="rId222" xr:uid="{00000000-0004-0000-0500-0000DD000000}"/>
    <hyperlink ref="P241" r:id="rId223" xr:uid="{00000000-0004-0000-0500-0000DE000000}"/>
    <hyperlink ref="P242" r:id="rId224" xr:uid="{00000000-0004-0000-0500-0000DF000000}"/>
    <hyperlink ref="P243" r:id="rId225" xr:uid="{00000000-0004-0000-0500-0000E0000000}"/>
    <hyperlink ref="P247" r:id="rId226" xr:uid="{00000000-0004-0000-0500-0000E1000000}"/>
    <hyperlink ref="P249" r:id="rId227" xr:uid="{00000000-0004-0000-0500-0000E2000000}"/>
    <hyperlink ref="P250" r:id="rId228" xr:uid="{00000000-0004-0000-0500-0000E3000000}"/>
    <hyperlink ref="P251" r:id="rId229" xr:uid="{00000000-0004-0000-0500-0000E4000000}"/>
    <hyperlink ref="P252" r:id="rId230" xr:uid="{00000000-0004-0000-0500-0000E5000000}"/>
    <hyperlink ref="P254" r:id="rId231" xr:uid="{00000000-0004-0000-0500-0000E6000000}"/>
    <hyperlink ref="P255" r:id="rId232" xr:uid="{00000000-0004-0000-0500-0000E7000000}"/>
    <hyperlink ref="P256" r:id="rId233" xr:uid="{00000000-0004-0000-0500-0000E8000000}"/>
    <hyperlink ref="P258" r:id="rId234" xr:uid="{00000000-0004-0000-0500-0000E9000000}"/>
    <hyperlink ref="P259" r:id="rId235" xr:uid="{00000000-0004-0000-0500-0000EA000000}"/>
    <hyperlink ref="P260" r:id="rId236" xr:uid="{00000000-0004-0000-0500-0000EB000000}"/>
    <hyperlink ref="P261" r:id="rId237" xr:uid="{00000000-0004-0000-0500-0000EC000000}"/>
    <hyperlink ref="P262" r:id="rId238" xr:uid="{00000000-0004-0000-0500-0000ED000000}"/>
    <hyperlink ref="P263" r:id="rId239" xr:uid="{00000000-0004-0000-0500-0000EE000000}"/>
    <hyperlink ref="P264" r:id="rId240" xr:uid="{00000000-0004-0000-0500-0000EF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2350"/>
  <sheetViews>
    <sheetView workbookViewId="0"/>
  </sheetViews>
  <sheetFormatPr defaultColWidth="12.5703125" defaultRowHeight="15.75" customHeight="1" x14ac:dyDescent="0.2"/>
  <cols>
    <col min="2" max="2" width="24.140625" customWidth="1"/>
    <col min="3" max="3" width="50.5703125" customWidth="1"/>
    <col min="14" max="14" width="38.5703125" customWidth="1"/>
  </cols>
  <sheetData>
    <row r="1" spans="1:22" ht="15.75" customHeight="1" x14ac:dyDescent="0.25">
      <c r="A1" s="14" t="s">
        <v>0</v>
      </c>
      <c r="B1" s="14" t="s">
        <v>1</v>
      </c>
      <c r="C1" s="14" t="s">
        <v>2</v>
      </c>
      <c r="D1" s="14" t="s">
        <v>3</v>
      </c>
      <c r="E1" s="14" t="s">
        <v>4</v>
      </c>
      <c r="F1" s="14" t="s">
        <v>5</v>
      </c>
      <c r="G1" s="14" t="s">
        <v>6</v>
      </c>
      <c r="H1" s="14" t="s">
        <v>7</v>
      </c>
      <c r="I1" s="14" t="s">
        <v>8</v>
      </c>
      <c r="J1" s="14" t="s">
        <v>9</v>
      </c>
      <c r="K1" s="14" t="s">
        <v>10</v>
      </c>
      <c r="L1" s="14" t="s">
        <v>11</v>
      </c>
      <c r="M1" s="14" t="s">
        <v>12</v>
      </c>
      <c r="N1" s="15"/>
      <c r="O1" s="15"/>
      <c r="P1" s="15"/>
      <c r="Q1" s="15"/>
      <c r="R1" s="15"/>
      <c r="S1" s="15"/>
      <c r="T1" s="15"/>
      <c r="U1" s="15"/>
      <c r="V1" s="15"/>
    </row>
    <row r="2" spans="1:22" ht="15.75" customHeight="1" x14ac:dyDescent="0.25">
      <c r="A2" s="14" t="s">
        <v>13</v>
      </c>
      <c r="B2" s="14" t="s">
        <v>14</v>
      </c>
      <c r="C2" s="14" t="s">
        <v>15</v>
      </c>
      <c r="D2" s="14" t="s">
        <v>16</v>
      </c>
      <c r="E2" s="14">
        <v>2017</v>
      </c>
      <c r="F2" s="14">
        <v>43</v>
      </c>
      <c r="G2" s="14">
        <v>11</v>
      </c>
      <c r="H2" s="14" t="s">
        <v>17</v>
      </c>
      <c r="I2" s="16">
        <v>43040</v>
      </c>
      <c r="J2" s="14" t="s">
        <v>18</v>
      </c>
      <c r="K2" s="17" t="s">
        <v>19</v>
      </c>
      <c r="L2" s="14" t="s">
        <v>20</v>
      </c>
      <c r="M2" s="14" t="s">
        <v>21</v>
      </c>
      <c r="N2" s="15"/>
      <c r="O2" s="15"/>
      <c r="P2" s="15"/>
      <c r="Q2" s="15"/>
      <c r="R2" s="15"/>
      <c r="S2" s="15"/>
      <c r="T2" s="15"/>
      <c r="U2" s="15"/>
      <c r="V2" s="15"/>
    </row>
    <row r="3" spans="1:22" ht="15.75" customHeight="1" x14ac:dyDescent="0.25">
      <c r="A3" s="14" t="s">
        <v>13</v>
      </c>
      <c r="B3" s="14" t="s">
        <v>22</v>
      </c>
      <c r="C3" s="14" t="s">
        <v>23</v>
      </c>
      <c r="D3" s="14" t="s">
        <v>24</v>
      </c>
      <c r="E3" s="14">
        <v>2022</v>
      </c>
      <c r="F3" s="14">
        <v>16</v>
      </c>
      <c r="G3" s="14" t="s">
        <v>25</v>
      </c>
      <c r="H3" s="18"/>
      <c r="I3" s="19">
        <v>44685</v>
      </c>
      <c r="J3" s="14" t="s">
        <v>26</v>
      </c>
      <c r="K3" s="17" t="s">
        <v>27</v>
      </c>
      <c r="L3" s="14" t="s">
        <v>28</v>
      </c>
      <c r="M3" s="14" t="s">
        <v>29</v>
      </c>
      <c r="N3" s="15"/>
      <c r="O3" s="15"/>
      <c r="P3" s="15"/>
      <c r="Q3" s="15"/>
      <c r="R3" s="15"/>
      <c r="S3" s="15"/>
      <c r="T3" s="15"/>
      <c r="U3" s="15"/>
      <c r="V3" s="15"/>
    </row>
    <row r="4" spans="1:22" ht="15.75" customHeight="1" x14ac:dyDescent="0.25">
      <c r="A4" s="14" t="s">
        <v>13</v>
      </c>
      <c r="B4" s="14" t="s">
        <v>30</v>
      </c>
      <c r="C4" s="14" t="s">
        <v>31</v>
      </c>
      <c r="D4" s="14" t="s">
        <v>32</v>
      </c>
      <c r="E4" s="14">
        <v>2022</v>
      </c>
      <c r="F4" s="14">
        <v>27</v>
      </c>
      <c r="G4" s="14">
        <v>6</v>
      </c>
      <c r="H4" s="18"/>
      <c r="I4" s="16">
        <v>44866</v>
      </c>
      <c r="J4" s="14" t="s">
        <v>33</v>
      </c>
      <c r="K4" s="17" t="s">
        <v>34</v>
      </c>
      <c r="L4" s="14" t="s">
        <v>35</v>
      </c>
      <c r="M4" s="14" t="s">
        <v>36</v>
      </c>
      <c r="N4" s="15"/>
      <c r="O4" s="15"/>
      <c r="P4" s="15"/>
      <c r="Q4" s="15"/>
      <c r="R4" s="15"/>
      <c r="S4" s="15"/>
      <c r="T4" s="15"/>
      <c r="U4" s="15"/>
      <c r="V4" s="15"/>
    </row>
    <row r="5" spans="1:22" ht="15.75" customHeight="1" x14ac:dyDescent="0.25">
      <c r="A5" s="14" t="s">
        <v>13</v>
      </c>
      <c r="B5" s="14" t="s">
        <v>37</v>
      </c>
      <c r="C5" s="14" t="s">
        <v>38</v>
      </c>
      <c r="D5" s="14" t="s">
        <v>16</v>
      </c>
      <c r="E5" s="14">
        <v>2022</v>
      </c>
      <c r="F5" s="14">
        <v>48</v>
      </c>
      <c r="G5" s="14">
        <v>12</v>
      </c>
      <c r="H5" s="14" t="s">
        <v>39</v>
      </c>
      <c r="I5" s="19">
        <v>44896</v>
      </c>
      <c r="J5" s="14" t="s">
        <v>18</v>
      </c>
      <c r="K5" s="17" t="s">
        <v>40</v>
      </c>
      <c r="L5" s="14" t="s">
        <v>41</v>
      </c>
      <c r="M5" s="14" t="s">
        <v>42</v>
      </c>
      <c r="N5" s="15"/>
      <c r="O5" s="15"/>
      <c r="P5" s="15"/>
      <c r="Q5" s="15"/>
      <c r="R5" s="15"/>
      <c r="S5" s="15"/>
      <c r="T5" s="15"/>
      <c r="U5" s="15"/>
      <c r="V5" s="15"/>
    </row>
    <row r="6" spans="1:22" ht="15.75" customHeight="1" x14ac:dyDescent="0.25">
      <c r="A6" s="14" t="s">
        <v>13</v>
      </c>
      <c r="B6" s="14" t="s">
        <v>43</v>
      </c>
      <c r="C6" s="14" t="s">
        <v>44</v>
      </c>
      <c r="D6" s="14" t="s">
        <v>45</v>
      </c>
      <c r="E6" s="14">
        <v>2023</v>
      </c>
      <c r="F6" s="14">
        <v>17</v>
      </c>
      <c r="G6" s="14">
        <v>3</v>
      </c>
      <c r="H6" s="18"/>
      <c r="I6" s="20">
        <v>45078</v>
      </c>
      <c r="J6" s="14" t="s">
        <v>46</v>
      </c>
      <c r="K6" s="17" t="s">
        <v>47</v>
      </c>
      <c r="L6" s="14" t="s">
        <v>48</v>
      </c>
      <c r="M6" s="14" t="s">
        <v>49</v>
      </c>
      <c r="N6" s="15"/>
      <c r="O6" s="15"/>
      <c r="P6" s="15"/>
      <c r="Q6" s="15"/>
      <c r="R6" s="15"/>
      <c r="S6" s="15"/>
      <c r="T6" s="15"/>
      <c r="U6" s="15"/>
      <c r="V6" s="15"/>
    </row>
    <row r="7" spans="1:22" ht="15.75" customHeight="1" x14ac:dyDescent="0.25">
      <c r="A7" s="14" t="s">
        <v>13</v>
      </c>
      <c r="B7" s="14" t="s">
        <v>50</v>
      </c>
      <c r="C7" s="14" t="s">
        <v>51</v>
      </c>
      <c r="D7" s="14" t="s">
        <v>45</v>
      </c>
      <c r="E7" s="14">
        <v>2021</v>
      </c>
      <c r="F7" s="14">
        <v>15</v>
      </c>
      <c r="G7" s="14">
        <v>4</v>
      </c>
      <c r="H7" s="18"/>
      <c r="I7" s="20">
        <v>44409</v>
      </c>
      <c r="J7" s="14" t="s">
        <v>46</v>
      </c>
      <c r="K7" s="17" t="s">
        <v>52</v>
      </c>
      <c r="L7" s="14" t="s">
        <v>53</v>
      </c>
      <c r="M7" s="14" t="s">
        <v>54</v>
      </c>
      <c r="N7" s="15"/>
      <c r="O7" s="15"/>
      <c r="P7" s="15"/>
      <c r="Q7" s="15"/>
      <c r="R7" s="15"/>
      <c r="S7" s="15"/>
      <c r="T7" s="15"/>
      <c r="U7" s="15"/>
      <c r="V7" s="15"/>
    </row>
    <row r="8" spans="1:22" ht="15.75" customHeight="1" x14ac:dyDescent="0.25">
      <c r="A8" s="14" t="s">
        <v>13</v>
      </c>
      <c r="B8" s="14" t="s">
        <v>55</v>
      </c>
      <c r="C8" s="14" t="s">
        <v>56</v>
      </c>
      <c r="D8" s="14" t="s">
        <v>57</v>
      </c>
      <c r="E8" s="14">
        <v>2022</v>
      </c>
      <c r="F8" s="14">
        <v>29</v>
      </c>
      <c r="G8" s="14">
        <v>2</v>
      </c>
      <c r="H8" s="18"/>
      <c r="I8" s="16">
        <v>44866</v>
      </c>
      <c r="J8" s="14" t="s">
        <v>58</v>
      </c>
      <c r="K8" s="17" t="s">
        <v>59</v>
      </c>
      <c r="L8" s="14" t="s">
        <v>60</v>
      </c>
      <c r="M8" s="14" t="s">
        <v>61</v>
      </c>
      <c r="N8" s="15"/>
      <c r="O8" s="15"/>
      <c r="P8" s="15"/>
      <c r="Q8" s="15"/>
      <c r="R8" s="15"/>
      <c r="S8" s="15"/>
      <c r="T8" s="15"/>
      <c r="U8" s="15"/>
      <c r="V8" s="15"/>
    </row>
    <row r="9" spans="1:22" ht="15.75" customHeight="1" x14ac:dyDescent="0.25">
      <c r="A9" s="14" t="s">
        <v>13</v>
      </c>
      <c r="B9" s="14" t="s">
        <v>62</v>
      </c>
      <c r="C9" s="14" t="s">
        <v>63</v>
      </c>
      <c r="D9" s="14" t="s">
        <v>64</v>
      </c>
      <c r="E9" s="14">
        <v>2020</v>
      </c>
      <c r="F9" s="14">
        <v>170</v>
      </c>
      <c r="G9" s="18"/>
      <c r="H9" s="18"/>
      <c r="I9" s="16">
        <v>44166</v>
      </c>
      <c r="J9" s="14" t="s">
        <v>65</v>
      </c>
      <c r="K9" s="17" t="s">
        <v>66</v>
      </c>
      <c r="L9" s="14" t="s">
        <v>67</v>
      </c>
      <c r="M9" s="14" t="s">
        <v>68</v>
      </c>
      <c r="N9" s="15"/>
      <c r="O9" s="15"/>
      <c r="P9" s="15"/>
      <c r="Q9" s="15"/>
      <c r="R9" s="15"/>
      <c r="S9" s="15"/>
      <c r="T9" s="15"/>
      <c r="U9" s="15"/>
      <c r="V9" s="15"/>
    </row>
    <row r="10" spans="1:22" ht="15.75" customHeight="1" x14ac:dyDescent="0.25">
      <c r="A10" s="14" t="s">
        <v>13</v>
      </c>
      <c r="B10" s="14" t="s">
        <v>69</v>
      </c>
      <c r="C10" s="14" t="s">
        <v>70</v>
      </c>
      <c r="D10" s="14" t="s">
        <v>71</v>
      </c>
      <c r="E10" s="14">
        <v>2021</v>
      </c>
      <c r="F10" s="14">
        <v>31</v>
      </c>
      <c r="G10" s="14">
        <v>2</v>
      </c>
      <c r="H10" s="14" t="s">
        <v>72</v>
      </c>
      <c r="I10" s="20">
        <v>44228</v>
      </c>
      <c r="J10" s="14" t="s">
        <v>73</v>
      </c>
      <c r="K10" s="17" t="s">
        <v>74</v>
      </c>
      <c r="L10" s="14" t="s">
        <v>75</v>
      </c>
      <c r="M10" s="14" t="s">
        <v>76</v>
      </c>
      <c r="N10" s="15"/>
      <c r="O10" s="15"/>
      <c r="P10" s="15"/>
      <c r="Q10" s="15"/>
      <c r="R10" s="15"/>
      <c r="S10" s="15"/>
      <c r="T10" s="15"/>
      <c r="U10" s="15"/>
      <c r="V10" s="15"/>
    </row>
    <row r="11" spans="1:22" ht="15.75" customHeight="1" x14ac:dyDescent="0.25">
      <c r="A11" s="14" t="s">
        <v>13</v>
      </c>
      <c r="B11" s="14" t="s">
        <v>77</v>
      </c>
      <c r="C11" s="14" t="s">
        <v>78</v>
      </c>
      <c r="D11" s="14" t="s">
        <v>57</v>
      </c>
      <c r="E11" s="14">
        <v>2022</v>
      </c>
      <c r="F11" s="14">
        <v>29</v>
      </c>
      <c r="G11" s="14">
        <v>2</v>
      </c>
      <c r="H11" s="18"/>
      <c r="I11" s="16">
        <v>44866</v>
      </c>
      <c r="J11" s="14" t="s">
        <v>58</v>
      </c>
      <c r="K11" s="17" t="s">
        <v>79</v>
      </c>
      <c r="L11" s="14" t="s">
        <v>80</v>
      </c>
      <c r="M11" s="14" t="s">
        <v>81</v>
      </c>
      <c r="N11" s="15"/>
      <c r="O11" s="15"/>
      <c r="P11" s="15"/>
      <c r="Q11" s="15"/>
      <c r="R11" s="15"/>
      <c r="S11" s="15"/>
      <c r="T11" s="15"/>
      <c r="U11" s="15"/>
      <c r="V11" s="15"/>
    </row>
    <row r="12" spans="1:22" ht="15.75" customHeight="1" x14ac:dyDescent="0.25">
      <c r="A12" s="14" t="s">
        <v>13</v>
      </c>
      <c r="B12" s="14" t="s">
        <v>82</v>
      </c>
      <c r="C12" s="14" t="s">
        <v>83</v>
      </c>
      <c r="D12" s="14" t="s">
        <v>32</v>
      </c>
      <c r="E12" s="14">
        <v>2018</v>
      </c>
      <c r="F12" s="14">
        <v>23</v>
      </c>
      <c r="G12" s="14">
        <v>1</v>
      </c>
      <c r="H12" s="14" t="s">
        <v>84</v>
      </c>
      <c r="I12" s="20">
        <v>43132</v>
      </c>
      <c r="J12" s="14" t="s">
        <v>33</v>
      </c>
      <c r="K12" s="17" t="s">
        <v>85</v>
      </c>
      <c r="L12" s="14" t="s">
        <v>86</v>
      </c>
      <c r="M12" s="14" t="s">
        <v>87</v>
      </c>
      <c r="N12" s="15"/>
      <c r="O12" s="15"/>
      <c r="P12" s="15"/>
      <c r="Q12" s="15"/>
      <c r="R12" s="15"/>
      <c r="S12" s="15"/>
      <c r="T12" s="15"/>
      <c r="U12" s="15"/>
      <c r="V12" s="15"/>
    </row>
    <row r="13" spans="1:22" ht="15.75" customHeight="1" x14ac:dyDescent="0.25">
      <c r="A13" s="14" t="s">
        <v>13</v>
      </c>
      <c r="B13" s="14" t="s">
        <v>88</v>
      </c>
      <c r="C13" s="14" t="s">
        <v>89</v>
      </c>
      <c r="D13" s="14" t="s">
        <v>90</v>
      </c>
      <c r="E13" s="14">
        <v>2022</v>
      </c>
      <c r="F13" s="14">
        <v>71</v>
      </c>
      <c r="G13" s="14">
        <v>3</v>
      </c>
      <c r="H13" s="14" t="s">
        <v>91</v>
      </c>
      <c r="I13" s="20">
        <v>44805</v>
      </c>
      <c r="J13" s="14" t="s">
        <v>92</v>
      </c>
      <c r="K13" s="17" t="s">
        <v>93</v>
      </c>
      <c r="L13" s="14" t="s">
        <v>94</v>
      </c>
      <c r="M13" s="14" t="s">
        <v>95</v>
      </c>
      <c r="N13" s="15"/>
      <c r="O13" s="15"/>
      <c r="P13" s="15"/>
      <c r="Q13" s="15"/>
      <c r="R13" s="15"/>
      <c r="S13" s="15"/>
      <c r="T13" s="15"/>
      <c r="U13" s="15"/>
      <c r="V13" s="15"/>
    </row>
    <row r="14" spans="1:22" ht="15.75" customHeight="1" x14ac:dyDescent="0.25">
      <c r="A14" s="14" t="s">
        <v>13</v>
      </c>
      <c r="B14" s="14" t="s">
        <v>96</v>
      </c>
      <c r="C14" s="14" t="s">
        <v>97</v>
      </c>
      <c r="D14" s="14" t="s">
        <v>32</v>
      </c>
      <c r="E14" s="14">
        <v>2022</v>
      </c>
      <c r="F14" s="14">
        <v>27</v>
      </c>
      <c r="G14" s="14">
        <v>4</v>
      </c>
      <c r="H14" s="18"/>
      <c r="I14" s="20">
        <v>44743</v>
      </c>
      <c r="J14" s="14" t="s">
        <v>33</v>
      </c>
      <c r="K14" s="17" t="s">
        <v>98</v>
      </c>
      <c r="L14" s="14" t="s">
        <v>99</v>
      </c>
      <c r="M14" s="14" t="s">
        <v>100</v>
      </c>
      <c r="N14" s="15"/>
      <c r="O14" s="15"/>
      <c r="P14" s="15"/>
      <c r="Q14" s="15"/>
      <c r="R14" s="15"/>
      <c r="S14" s="15"/>
      <c r="T14" s="15"/>
      <c r="U14" s="15"/>
      <c r="V14" s="15"/>
    </row>
    <row r="15" spans="1:22" ht="15.75" customHeight="1" x14ac:dyDescent="0.25">
      <c r="A15" s="14" t="s">
        <v>13</v>
      </c>
      <c r="B15" s="14" t="s">
        <v>101</v>
      </c>
      <c r="C15" s="14" t="s">
        <v>102</v>
      </c>
      <c r="D15" s="14" t="s">
        <v>103</v>
      </c>
      <c r="E15" s="14">
        <v>2022</v>
      </c>
      <c r="F15" s="14">
        <v>10</v>
      </c>
      <c r="G15" s="14">
        <v>1</v>
      </c>
      <c r="H15" s="18"/>
      <c r="I15" s="14" t="s">
        <v>104</v>
      </c>
      <c r="J15" s="14" t="s">
        <v>105</v>
      </c>
      <c r="K15" s="17" t="s">
        <v>106</v>
      </c>
      <c r="L15" s="14" t="s">
        <v>107</v>
      </c>
      <c r="M15" s="14" t="s">
        <v>108</v>
      </c>
      <c r="N15" s="15"/>
      <c r="O15" s="15"/>
      <c r="P15" s="15"/>
      <c r="Q15" s="15"/>
      <c r="R15" s="15"/>
      <c r="S15" s="15"/>
      <c r="T15" s="15"/>
      <c r="U15" s="15"/>
      <c r="V15" s="15"/>
    </row>
    <row r="16" spans="1:22" ht="15.75" customHeight="1" x14ac:dyDescent="0.25">
      <c r="A16" s="14" t="s">
        <v>13</v>
      </c>
      <c r="B16" s="14" t="s">
        <v>109</v>
      </c>
      <c r="C16" s="14" t="s">
        <v>110</v>
      </c>
      <c r="D16" s="14" t="s">
        <v>16</v>
      </c>
      <c r="E16" s="14">
        <v>2022</v>
      </c>
      <c r="F16" s="14">
        <v>48</v>
      </c>
      <c r="G16" s="14">
        <v>5</v>
      </c>
      <c r="H16" s="14" t="s">
        <v>111</v>
      </c>
      <c r="I16" s="19">
        <v>44682</v>
      </c>
      <c r="J16" s="14" t="s">
        <v>18</v>
      </c>
      <c r="K16" s="17" t="s">
        <v>112</v>
      </c>
      <c r="L16" s="14" t="s">
        <v>113</v>
      </c>
      <c r="M16" s="14" t="s">
        <v>114</v>
      </c>
      <c r="N16" s="15"/>
      <c r="O16" s="15"/>
      <c r="P16" s="15"/>
      <c r="Q16" s="15"/>
      <c r="R16" s="15"/>
      <c r="S16" s="15"/>
      <c r="T16" s="15"/>
      <c r="U16" s="15"/>
      <c r="V16" s="15"/>
    </row>
    <row r="17" spans="1:22" ht="15.75" customHeight="1" x14ac:dyDescent="0.25">
      <c r="A17" s="14" t="s">
        <v>13</v>
      </c>
      <c r="B17" s="14" t="s">
        <v>115</v>
      </c>
      <c r="C17" s="14" t="s">
        <v>116</v>
      </c>
      <c r="D17" s="14" t="s">
        <v>32</v>
      </c>
      <c r="E17" s="14">
        <v>2022</v>
      </c>
      <c r="F17" s="14">
        <v>27</v>
      </c>
      <c r="G17" s="14">
        <v>3</v>
      </c>
      <c r="H17" s="18"/>
      <c r="I17" s="20">
        <v>44682</v>
      </c>
      <c r="J17" s="14" t="s">
        <v>33</v>
      </c>
      <c r="K17" s="17" t="s">
        <v>117</v>
      </c>
      <c r="L17" s="14" t="s">
        <v>118</v>
      </c>
      <c r="M17" s="14" t="s">
        <v>119</v>
      </c>
      <c r="N17" s="15"/>
      <c r="O17" s="15"/>
      <c r="P17" s="15"/>
      <c r="Q17" s="15"/>
      <c r="R17" s="15"/>
      <c r="S17" s="15"/>
      <c r="T17" s="15"/>
      <c r="U17" s="15"/>
      <c r="V17" s="15"/>
    </row>
    <row r="18" spans="1:22" ht="15.75" customHeight="1" x14ac:dyDescent="0.25">
      <c r="A18" s="14" t="s">
        <v>13</v>
      </c>
      <c r="B18" s="14" t="s">
        <v>120</v>
      </c>
      <c r="C18" s="14" t="s">
        <v>121</v>
      </c>
      <c r="D18" s="14" t="s">
        <v>57</v>
      </c>
      <c r="E18" s="14">
        <v>2022</v>
      </c>
      <c r="F18" s="14">
        <v>29</v>
      </c>
      <c r="G18" s="14">
        <v>1</v>
      </c>
      <c r="H18" s="18"/>
      <c r="I18" s="20">
        <v>44682</v>
      </c>
      <c r="J18" s="14" t="s">
        <v>58</v>
      </c>
      <c r="K18" s="17" t="s">
        <v>122</v>
      </c>
      <c r="L18" s="14" t="s">
        <v>123</v>
      </c>
      <c r="M18" s="14" t="s">
        <v>124</v>
      </c>
      <c r="N18" s="15"/>
      <c r="O18" s="15"/>
      <c r="P18" s="15"/>
      <c r="Q18" s="15"/>
      <c r="R18" s="15"/>
      <c r="S18" s="15"/>
      <c r="T18" s="15"/>
      <c r="U18" s="15"/>
      <c r="V18" s="15"/>
    </row>
    <row r="19" spans="1:22" ht="15.75" customHeight="1" x14ac:dyDescent="0.25">
      <c r="A19" s="14" t="s">
        <v>13</v>
      </c>
      <c r="B19" s="14" t="s">
        <v>125</v>
      </c>
      <c r="C19" s="14" t="s">
        <v>126</v>
      </c>
      <c r="D19" s="14" t="s">
        <v>64</v>
      </c>
      <c r="E19" s="14">
        <v>2018</v>
      </c>
      <c r="F19" s="14">
        <v>138</v>
      </c>
      <c r="G19" s="18"/>
      <c r="H19" s="14" t="s">
        <v>127</v>
      </c>
      <c r="I19" s="20">
        <v>43191</v>
      </c>
      <c r="J19" s="14" t="s">
        <v>65</v>
      </c>
      <c r="K19" s="17" t="s">
        <v>128</v>
      </c>
      <c r="L19" s="14" t="s">
        <v>129</v>
      </c>
      <c r="M19" s="14" t="s">
        <v>130</v>
      </c>
      <c r="N19" s="15"/>
      <c r="O19" s="15"/>
      <c r="P19" s="15"/>
      <c r="Q19" s="15"/>
      <c r="R19" s="15"/>
      <c r="S19" s="15"/>
      <c r="T19" s="15"/>
      <c r="U19" s="15"/>
      <c r="V19" s="15"/>
    </row>
    <row r="20" spans="1:22" ht="15.75" customHeight="1" x14ac:dyDescent="0.25">
      <c r="A20" s="14" t="s">
        <v>13</v>
      </c>
      <c r="B20" s="14" t="s">
        <v>30</v>
      </c>
      <c r="C20" s="14" t="s">
        <v>31</v>
      </c>
      <c r="D20" s="14" t="s">
        <v>136</v>
      </c>
      <c r="E20" s="14">
        <v>2022</v>
      </c>
      <c r="F20" s="14">
        <v>27</v>
      </c>
      <c r="G20" s="14">
        <v>6</v>
      </c>
      <c r="H20" s="18"/>
      <c r="I20" s="14" t="s">
        <v>137</v>
      </c>
      <c r="J20" s="14">
        <v>2022</v>
      </c>
      <c r="K20" s="18"/>
      <c r="L20" s="18"/>
      <c r="M20" s="14" t="s">
        <v>33</v>
      </c>
      <c r="N20" s="17" t="s">
        <v>138</v>
      </c>
      <c r="O20" s="14" t="s">
        <v>35</v>
      </c>
      <c r="P20" s="14" t="s">
        <v>139</v>
      </c>
      <c r="Q20" s="14" t="s">
        <v>140</v>
      </c>
      <c r="R20" s="18"/>
      <c r="S20" s="15"/>
      <c r="T20" s="15"/>
      <c r="U20" s="15"/>
      <c r="V20" s="15"/>
    </row>
    <row r="21" spans="1:22" ht="15.75" customHeight="1" x14ac:dyDescent="0.25">
      <c r="A21" s="14" t="s">
        <v>141</v>
      </c>
      <c r="B21" s="14" t="s">
        <v>142</v>
      </c>
      <c r="C21" s="14" t="s">
        <v>143</v>
      </c>
      <c r="D21" s="18"/>
      <c r="E21" s="14">
        <v>2022</v>
      </c>
      <c r="F21" s="18"/>
      <c r="G21" s="18"/>
      <c r="H21" s="14" t="s">
        <v>144</v>
      </c>
      <c r="I21" s="14" t="s">
        <v>145</v>
      </c>
      <c r="J21" s="14">
        <v>2022</v>
      </c>
      <c r="K21" s="14">
        <v>9781450396134</v>
      </c>
      <c r="L21" s="18"/>
      <c r="M21" s="18"/>
      <c r="N21" s="17" t="s">
        <v>146</v>
      </c>
      <c r="O21" s="14" t="s">
        <v>147</v>
      </c>
      <c r="P21" s="14" t="s">
        <v>148</v>
      </c>
      <c r="Q21" s="14" t="s">
        <v>149</v>
      </c>
      <c r="R21" s="18"/>
      <c r="S21" s="15"/>
      <c r="T21" s="15"/>
      <c r="U21" s="15"/>
      <c r="V21" s="15"/>
    </row>
    <row r="22" spans="1:22" ht="15.75" customHeight="1" x14ac:dyDescent="0.25">
      <c r="A22" s="14" t="s">
        <v>141</v>
      </c>
      <c r="B22" s="14" t="s">
        <v>150</v>
      </c>
      <c r="C22" s="14" t="s">
        <v>151</v>
      </c>
      <c r="D22" s="18"/>
      <c r="E22" s="14">
        <v>2022</v>
      </c>
      <c r="F22" s="18"/>
      <c r="G22" s="18"/>
      <c r="H22" s="14" t="s">
        <v>152</v>
      </c>
      <c r="I22" s="14" t="s">
        <v>153</v>
      </c>
      <c r="J22" s="14">
        <v>2022</v>
      </c>
      <c r="K22" s="14">
        <v>9781450394567</v>
      </c>
      <c r="L22" s="18"/>
      <c r="M22" s="18"/>
      <c r="N22" s="17" t="s">
        <v>154</v>
      </c>
      <c r="O22" s="14" t="s">
        <v>155</v>
      </c>
      <c r="P22" s="14" t="s">
        <v>156</v>
      </c>
      <c r="Q22" s="14" t="s">
        <v>157</v>
      </c>
      <c r="R22" s="18"/>
      <c r="S22" s="15"/>
      <c r="T22" s="15"/>
      <c r="U22" s="15"/>
      <c r="V22" s="15"/>
    </row>
    <row r="23" spans="1:22" ht="15.75" customHeight="1" x14ac:dyDescent="0.25">
      <c r="A23" s="14" t="s">
        <v>141</v>
      </c>
      <c r="B23" s="14" t="s">
        <v>158</v>
      </c>
      <c r="C23" s="14" t="s">
        <v>159</v>
      </c>
      <c r="D23" s="18"/>
      <c r="E23" s="14">
        <v>2022</v>
      </c>
      <c r="F23" s="18"/>
      <c r="G23" s="18"/>
      <c r="H23" s="14" t="s">
        <v>160</v>
      </c>
      <c r="I23" s="14" t="s">
        <v>161</v>
      </c>
      <c r="J23" s="14">
        <v>2022</v>
      </c>
      <c r="K23" s="14">
        <v>9789897585685</v>
      </c>
      <c r="L23" s="18"/>
      <c r="M23" s="14" t="s">
        <v>162</v>
      </c>
      <c r="N23" s="17" t="s">
        <v>163</v>
      </c>
      <c r="O23" s="14" t="s">
        <v>164</v>
      </c>
      <c r="P23" s="14" t="s">
        <v>165</v>
      </c>
      <c r="Q23" s="14" t="s">
        <v>166</v>
      </c>
      <c r="R23" s="18"/>
      <c r="S23" s="15"/>
      <c r="T23" s="15"/>
      <c r="U23" s="15"/>
      <c r="V23" s="15"/>
    </row>
    <row r="24" spans="1:22" ht="15.75" customHeight="1" x14ac:dyDescent="0.25">
      <c r="A24" s="14" t="s">
        <v>13</v>
      </c>
      <c r="B24" s="14" t="s">
        <v>167</v>
      </c>
      <c r="C24" s="14" t="s">
        <v>168</v>
      </c>
      <c r="D24" s="14" t="s">
        <v>169</v>
      </c>
      <c r="E24" s="14">
        <v>2022</v>
      </c>
      <c r="F24" s="14">
        <v>110</v>
      </c>
      <c r="G24" s="14">
        <v>17</v>
      </c>
      <c r="H24" s="14" t="s">
        <v>170</v>
      </c>
      <c r="I24" s="14" t="s">
        <v>171</v>
      </c>
      <c r="J24" s="14">
        <v>2022</v>
      </c>
      <c r="K24" s="18"/>
      <c r="L24" s="18"/>
      <c r="M24" s="14" t="s">
        <v>172</v>
      </c>
      <c r="N24" s="17" t="s">
        <v>173</v>
      </c>
      <c r="O24" s="14" t="s">
        <v>174</v>
      </c>
      <c r="P24" s="14" t="s">
        <v>175</v>
      </c>
      <c r="Q24" s="14" t="s">
        <v>176</v>
      </c>
      <c r="R24" s="18"/>
      <c r="S24" s="15"/>
      <c r="T24" s="15"/>
      <c r="U24" s="15"/>
      <c r="V24" s="15"/>
    </row>
    <row r="25" spans="1:22" ht="15.75" customHeight="1" x14ac:dyDescent="0.25">
      <c r="A25" s="14" t="s">
        <v>13</v>
      </c>
      <c r="B25" s="14" t="s">
        <v>177</v>
      </c>
      <c r="C25" s="14" t="s">
        <v>178</v>
      </c>
      <c r="D25" s="14" t="s">
        <v>179</v>
      </c>
      <c r="E25" s="14">
        <v>2022</v>
      </c>
      <c r="F25" s="14">
        <v>37</v>
      </c>
      <c r="G25" s="14">
        <v>1</v>
      </c>
      <c r="H25" s="14" t="s">
        <v>180</v>
      </c>
      <c r="I25" s="14" t="s">
        <v>137</v>
      </c>
      <c r="J25" s="14">
        <v>2022</v>
      </c>
      <c r="K25" s="18"/>
      <c r="L25" s="18"/>
      <c r="M25" s="14" t="s">
        <v>181</v>
      </c>
      <c r="N25" s="17" t="s">
        <v>182</v>
      </c>
      <c r="O25" s="14" t="s">
        <v>183</v>
      </c>
      <c r="P25" s="14" t="s">
        <v>184</v>
      </c>
      <c r="Q25" s="14" t="s">
        <v>185</v>
      </c>
      <c r="R25" s="18"/>
      <c r="S25" s="15"/>
      <c r="T25" s="15"/>
      <c r="U25" s="15"/>
      <c r="V25" s="15"/>
    </row>
    <row r="26" spans="1:22" ht="15.75" customHeight="1" x14ac:dyDescent="0.25">
      <c r="A26" s="14" t="s">
        <v>13</v>
      </c>
      <c r="B26" s="14" t="s">
        <v>186</v>
      </c>
      <c r="C26" s="14" t="s">
        <v>187</v>
      </c>
      <c r="D26" s="14" t="s">
        <v>188</v>
      </c>
      <c r="E26" s="14">
        <v>2022</v>
      </c>
      <c r="F26" s="18"/>
      <c r="G26" s="18"/>
      <c r="H26" s="18"/>
      <c r="I26" s="14" t="s">
        <v>189</v>
      </c>
      <c r="J26" s="14">
        <v>2022</v>
      </c>
      <c r="K26" s="18"/>
      <c r="L26" s="18"/>
      <c r="M26" s="14" t="s">
        <v>73</v>
      </c>
      <c r="N26" s="17" t="s">
        <v>190</v>
      </c>
      <c r="O26" s="14" t="s">
        <v>191</v>
      </c>
      <c r="P26" s="14" t="s">
        <v>192</v>
      </c>
      <c r="Q26" s="14" t="s">
        <v>157</v>
      </c>
      <c r="R26" s="18"/>
      <c r="S26" s="15"/>
      <c r="T26" s="15"/>
      <c r="U26" s="15"/>
      <c r="V26" s="15"/>
    </row>
    <row r="27" spans="1:22" ht="15.75" customHeight="1" x14ac:dyDescent="0.25">
      <c r="A27" s="14" t="s">
        <v>141</v>
      </c>
      <c r="B27" s="14" t="s">
        <v>193</v>
      </c>
      <c r="C27" s="14" t="s">
        <v>194</v>
      </c>
      <c r="D27" s="18"/>
      <c r="E27" s="14">
        <v>2022</v>
      </c>
      <c r="F27" s="18"/>
      <c r="G27" s="18"/>
      <c r="H27" s="14" t="s">
        <v>195</v>
      </c>
      <c r="I27" s="14" t="s">
        <v>196</v>
      </c>
      <c r="J27" s="14">
        <v>2022</v>
      </c>
      <c r="K27" s="14">
        <v>9781450394277</v>
      </c>
      <c r="L27" s="18"/>
      <c r="M27" s="14" t="s">
        <v>197</v>
      </c>
      <c r="N27" s="17" t="s">
        <v>198</v>
      </c>
      <c r="O27" s="14" t="s">
        <v>199</v>
      </c>
      <c r="P27" s="14" t="s">
        <v>200</v>
      </c>
      <c r="Q27" s="14" t="s">
        <v>157</v>
      </c>
      <c r="R27" s="18"/>
      <c r="S27" s="15"/>
      <c r="T27" s="15"/>
      <c r="U27" s="15"/>
      <c r="V27" s="15"/>
    </row>
    <row r="28" spans="1:22" ht="15.75" customHeight="1" x14ac:dyDescent="0.25">
      <c r="A28" s="14" t="s">
        <v>13</v>
      </c>
      <c r="B28" s="14" t="s">
        <v>201</v>
      </c>
      <c r="C28" s="14" t="s">
        <v>202</v>
      </c>
      <c r="D28" s="14" t="s">
        <v>136</v>
      </c>
      <c r="E28" s="14">
        <v>2022</v>
      </c>
      <c r="F28" s="14">
        <v>27</v>
      </c>
      <c r="G28" s="14">
        <v>6</v>
      </c>
      <c r="H28" s="18"/>
      <c r="I28" s="14" t="s">
        <v>137</v>
      </c>
      <c r="J28" s="14">
        <v>2022</v>
      </c>
      <c r="K28" s="18"/>
      <c r="L28" s="18"/>
      <c r="M28" s="14" t="s">
        <v>33</v>
      </c>
      <c r="N28" s="17" t="s">
        <v>203</v>
      </c>
      <c r="O28" s="14" t="s">
        <v>204</v>
      </c>
      <c r="P28" s="14" t="s">
        <v>205</v>
      </c>
      <c r="Q28" s="14" t="s">
        <v>206</v>
      </c>
      <c r="R28" s="18"/>
      <c r="S28" s="15"/>
      <c r="T28" s="15"/>
      <c r="U28" s="15"/>
      <c r="V28" s="15"/>
    </row>
    <row r="29" spans="1:22" ht="15.75" customHeight="1" x14ac:dyDescent="0.25">
      <c r="A29" s="14" t="s">
        <v>13</v>
      </c>
      <c r="B29" s="14" t="s">
        <v>207</v>
      </c>
      <c r="C29" s="14" t="s">
        <v>208</v>
      </c>
      <c r="D29" s="14" t="s">
        <v>209</v>
      </c>
      <c r="E29" s="14">
        <v>2022</v>
      </c>
      <c r="F29" s="14" t="s">
        <v>210</v>
      </c>
      <c r="G29" s="18"/>
      <c r="H29" s="14" t="s">
        <v>211</v>
      </c>
      <c r="I29" s="14" t="s">
        <v>212</v>
      </c>
      <c r="J29" s="14">
        <v>2022</v>
      </c>
      <c r="K29" s="18"/>
      <c r="L29" s="18"/>
      <c r="M29" s="14" t="s">
        <v>213</v>
      </c>
      <c r="N29" s="17" t="s">
        <v>214</v>
      </c>
      <c r="O29" s="14" t="s">
        <v>215</v>
      </c>
      <c r="P29" s="14" t="s">
        <v>216</v>
      </c>
      <c r="Q29" s="14" t="s">
        <v>157</v>
      </c>
      <c r="R29" s="18"/>
      <c r="S29" s="15"/>
      <c r="T29" s="15"/>
      <c r="U29" s="15"/>
      <c r="V29" s="15"/>
    </row>
    <row r="30" spans="1:22" ht="15.75" customHeight="1" x14ac:dyDescent="0.25">
      <c r="A30" s="14" t="s">
        <v>13</v>
      </c>
      <c r="B30" s="14" t="s">
        <v>217</v>
      </c>
      <c r="C30" s="14" t="s">
        <v>218</v>
      </c>
      <c r="D30" s="14" t="s">
        <v>219</v>
      </c>
      <c r="E30" s="14">
        <v>2022</v>
      </c>
      <c r="F30" s="14">
        <v>24</v>
      </c>
      <c r="G30" s="14">
        <v>4</v>
      </c>
      <c r="H30" s="14" t="s">
        <v>220</v>
      </c>
      <c r="I30" s="14" t="s">
        <v>212</v>
      </c>
      <c r="J30" s="14">
        <v>2022</v>
      </c>
      <c r="K30" s="18"/>
      <c r="L30" s="18"/>
      <c r="M30" s="14" t="s">
        <v>221</v>
      </c>
      <c r="N30" s="17" t="s">
        <v>222</v>
      </c>
      <c r="O30" s="14" t="s">
        <v>223</v>
      </c>
      <c r="P30" s="14" t="s">
        <v>224</v>
      </c>
      <c r="Q30" s="14" t="s">
        <v>176</v>
      </c>
      <c r="R30" s="18"/>
      <c r="S30" s="15"/>
      <c r="T30" s="15"/>
      <c r="U30" s="15"/>
      <c r="V30" s="15"/>
    </row>
    <row r="31" spans="1:22" ht="15.75" customHeight="1" x14ac:dyDescent="0.25">
      <c r="A31" s="14" t="s">
        <v>13</v>
      </c>
      <c r="B31" s="14" t="s">
        <v>225</v>
      </c>
      <c r="C31" s="14" t="s">
        <v>226</v>
      </c>
      <c r="D31" s="14" t="s">
        <v>227</v>
      </c>
      <c r="E31" s="14">
        <v>2022</v>
      </c>
      <c r="F31" s="14">
        <v>12</v>
      </c>
      <c r="G31" s="14">
        <v>19</v>
      </c>
      <c r="H31" s="18"/>
      <c r="I31" s="14" t="s">
        <v>228</v>
      </c>
      <c r="J31" s="14">
        <v>2022</v>
      </c>
      <c r="K31" s="18"/>
      <c r="L31" s="18"/>
      <c r="M31" s="14" t="s">
        <v>229</v>
      </c>
      <c r="N31" s="17" t="s">
        <v>230</v>
      </c>
      <c r="O31" s="14" t="s">
        <v>231</v>
      </c>
      <c r="P31" s="14" t="s">
        <v>232</v>
      </c>
      <c r="Q31" s="14" t="s">
        <v>233</v>
      </c>
      <c r="R31" s="18"/>
      <c r="S31" s="15"/>
      <c r="T31" s="15"/>
      <c r="U31" s="15"/>
      <c r="V31" s="15"/>
    </row>
    <row r="32" spans="1:22" ht="15.75" customHeight="1" x14ac:dyDescent="0.25">
      <c r="A32" s="14" t="s">
        <v>13</v>
      </c>
      <c r="B32" s="14" t="s">
        <v>234</v>
      </c>
      <c r="C32" s="14" t="s">
        <v>235</v>
      </c>
      <c r="D32" s="14" t="s">
        <v>136</v>
      </c>
      <c r="E32" s="14">
        <v>2022</v>
      </c>
      <c r="F32" s="14">
        <v>27</v>
      </c>
      <c r="G32" s="14">
        <v>7</v>
      </c>
      <c r="H32" s="18"/>
      <c r="I32" s="14" t="s">
        <v>137</v>
      </c>
      <c r="J32" s="14">
        <v>2022</v>
      </c>
      <c r="K32" s="18"/>
      <c r="L32" s="18"/>
      <c r="M32" s="14" t="s">
        <v>33</v>
      </c>
      <c r="N32" s="17" t="s">
        <v>236</v>
      </c>
      <c r="O32" s="14" t="s">
        <v>237</v>
      </c>
      <c r="P32" s="14" t="s">
        <v>238</v>
      </c>
      <c r="Q32" s="14" t="s">
        <v>166</v>
      </c>
      <c r="R32" s="18"/>
      <c r="S32" s="15"/>
      <c r="T32" s="15"/>
      <c r="U32" s="15"/>
      <c r="V32" s="15"/>
    </row>
    <row r="33" spans="1:22" ht="15.75" customHeight="1" x14ac:dyDescent="0.25">
      <c r="A33" s="14" t="s">
        <v>13</v>
      </c>
      <c r="B33" s="14" t="s">
        <v>239</v>
      </c>
      <c r="C33" s="14" t="s">
        <v>240</v>
      </c>
      <c r="D33" s="14" t="s">
        <v>188</v>
      </c>
      <c r="E33" s="14">
        <v>2022</v>
      </c>
      <c r="F33" s="18"/>
      <c r="G33" s="18"/>
      <c r="H33" s="18"/>
      <c r="I33" s="14" t="s">
        <v>189</v>
      </c>
      <c r="J33" s="14">
        <v>2022</v>
      </c>
      <c r="K33" s="18"/>
      <c r="L33" s="18"/>
      <c r="M33" s="14" t="s">
        <v>73</v>
      </c>
      <c r="N33" s="17" t="s">
        <v>241</v>
      </c>
      <c r="O33" s="14" t="s">
        <v>242</v>
      </c>
      <c r="P33" s="14" t="s">
        <v>243</v>
      </c>
      <c r="Q33" s="14" t="s">
        <v>157</v>
      </c>
      <c r="R33" s="18"/>
      <c r="S33" s="15"/>
      <c r="T33" s="15"/>
      <c r="U33" s="15"/>
      <c r="V33" s="15"/>
    </row>
    <row r="34" spans="1:22" ht="15.75" customHeight="1" x14ac:dyDescent="0.25">
      <c r="A34" s="14" t="s">
        <v>13</v>
      </c>
      <c r="B34" s="14" t="s">
        <v>244</v>
      </c>
      <c r="C34" s="14" t="s">
        <v>245</v>
      </c>
      <c r="D34" s="14" t="s">
        <v>246</v>
      </c>
      <c r="E34" s="14">
        <v>2022</v>
      </c>
      <c r="F34" s="14">
        <v>23</v>
      </c>
      <c r="G34" s="14">
        <v>5</v>
      </c>
      <c r="H34" s="14" t="s">
        <v>247</v>
      </c>
      <c r="I34" s="14" t="s">
        <v>248</v>
      </c>
      <c r="J34" s="14">
        <v>2022</v>
      </c>
      <c r="K34" s="18"/>
      <c r="L34" s="18"/>
      <c r="M34" s="14" t="s">
        <v>249</v>
      </c>
      <c r="N34" s="17" t="s">
        <v>250</v>
      </c>
      <c r="O34" s="14" t="s">
        <v>251</v>
      </c>
      <c r="P34" s="14" t="s">
        <v>252</v>
      </c>
      <c r="Q34" s="14" t="s">
        <v>157</v>
      </c>
      <c r="R34" s="18"/>
      <c r="S34" s="15"/>
      <c r="T34" s="15"/>
      <c r="U34" s="15"/>
      <c r="V34" s="15"/>
    </row>
    <row r="35" spans="1:22" ht="15.75" customHeight="1" x14ac:dyDescent="0.25">
      <c r="A35" s="14" t="s">
        <v>13</v>
      </c>
      <c r="B35" s="14" t="s">
        <v>253</v>
      </c>
      <c r="C35" s="14" t="s">
        <v>254</v>
      </c>
      <c r="D35" s="14" t="s">
        <v>255</v>
      </c>
      <c r="E35" s="14">
        <v>2022</v>
      </c>
      <c r="F35" s="14">
        <v>48</v>
      </c>
      <c r="G35" s="14">
        <v>7</v>
      </c>
      <c r="H35" s="14" t="s">
        <v>256</v>
      </c>
      <c r="I35" s="14" t="s">
        <v>257</v>
      </c>
      <c r="J35" s="14">
        <v>2022</v>
      </c>
      <c r="K35" s="18"/>
      <c r="L35" s="18"/>
      <c r="M35" s="14" t="s">
        <v>18</v>
      </c>
      <c r="N35" s="17" t="s">
        <v>258</v>
      </c>
      <c r="O35" s="14" t="s">
        <v>259</v>
      </c>
      <c r="P35" s="14" t="s">
        <v>260</v>
      </c>
      <c r="Q35" s="14" t="s">
        <v>261</v>
      </c>
      <c r="R35" s="18"/>
      <c r="S35" s="15"/>
      <c r="T35" s="15"/>
      <c r="U35" s="15"/>
      <c r="V35" s="15"/>
    </row>
    <row r="36" spans="1:22" ht="15.75" customHeight="1" x14ac:dyDescent="0.25">
      <c r="A36" s="14" t="s">
        <v>13</v>
      </c>
      <c r="B36" s="14" t="s">
        <v>262</v>
      </c>
      <c r="C36" s="14" t="s">
        <v>263</v>
      </c>
      <c r="D36" s="14" t="s">
        <v>264</v>
      </c>
      <c r="E36" s="14">
        <v>2022</v>
      </c>
      <c r="F36" s="14">
        <v>52</v>
      </c>
      <c r="G36" s="14">
        <v>12</v>
      </c>
      <c r="H36" s="14" t="s">
        <v>265</v>
      </c>
      <c r="I36" s="14" t="s">
        <v>266</v>
      </c>
      <c r="J36" s="14">
        <v>2022</v>
      </c>
      <c r="K36" s="18"/>
      <c r="L36" s="18"/>
      <c r="M36" s="14" t="s">
        <v>267</v>
      </c>
      <c r="N36" s="17" t="s">
        <v>268</v>
      </c>
      <c r="O36" s="14" t="s">
        <v>269</v>
      </c>
      <c r="P36" s="14" t="s">
        <v>270</v>
      </c>
      <c r="Q36" s="14" t="s">
        <v>157</v>
      </c>
      <c r="R36" s="18"/>
      <c r="S36" s="15"/>
      <c r="T36" s="15"/>
      <c r="U36" s="15"/>
      <c r="V36" s="15"/>
    </row>
    <row r="37" spans="1:22" ht="15.75" customHeight="1" x14ac:dyDescent="0.25">
      <c r="A37" s="14" t="s">
        <v>13</v>
      </c>
      <c r="B37" s="14" t="s">
        <v>271</v>
      </c>
      <c r="C37" s="14" t="s">
        <v>272</v>
      </c>
      <c r="D37" s="14" t="s">
        <v>264</v>
      </c>
      <c r="E37" s="14">
        <v>2022</v>
      </c>
      <c r="F37" s="14">
        <v>52</v>
      </c>
      <c r="G37" s="14">
        <v>10</v>
      </c>
      <c r="H37" s="14" t="s">
        <v>273</v>
      </c>
      <c r="I37" s="14" t="s">
        <v>266</v>
      </c>
      <c r="J37" s="14">
        <v>2022</v>
      </c>
      <c r="K37" s="18"/>
      <c r="L37" s="18"/>
      <c r="M37" s="14" t="s">
        <v>267</v>
      </c>
      <c r="N37" s="17" t="s">
        <v>274</v>
      </c>
      <c r="O37" s="14" t="s">
        <v>275</v>
      </c>
      <c r="P37" s="14" t="s">
        <v>276</v>
      </c>
      <c r="Q37" s="14" t="s">
        <v>157</v>
      </c>
      <c r="R37" s="18"/>
      <c r="S37" s="15"/>
      <c r="T37" s="15"/>
      <c r="U37" s="15"/>
      <c r="V37" s="15"/>
    </row>
    <row r="38" spans="1:22" ht="15.75" customHeight="1" x14ac:dyDescent="0.25">
      <c r="A38" s="14" t="s">
        <v>13</v>
      </c>
      <c r="B38" s="14" t="s">
        <v>277</v>
      </c>
      <c r="C38" s="14" t="s">
        <v>278</v>
      </c>
      <c r="D38" s="14" t="s">
        <v>279</v>
      </c>
      <c r="E38" s="14">
        <v>2022</v>
      </c>
      <c r="F38" s="14">
        <v>20</v>
      </c>
      <c r="G38" s="18"/>
      <c r="H38" s="18"/>
      <c r="I38" s="14" t="s">
        <v>280</v>
      </c>
      <c r="J38" s="14">
        <v>2022</v>
      </c>
      <c r="K38" s="18"/>
      <c r="L38" s="18"/>
      <c r="M38" s="14" t="s">
        <v>281</v>
      </c>
      <c r="N38" s="17" t="s">
        <v>282</v>
      </c>
      <c r="O38" s="14" t="s">
        <v>283</v>
      </c>
      <c r="P38" s="14" t="s">
        <v>284</v>
      </c>
      <c r="Q38" s="14" t="s">
        <v>285</v>
      </c>
      <c r="R38" s="18"/>
      <c r="S38" s="15"/>
      <c r="T38" s="15"/>
      <c r="U38" s="15"/>
      <c r="V38" s="15"/>
    </row>
    <row r="39" spans="1:22" ht="15.75" customHeight="1" x14ac:dyDescent="0.25">
      <c r="A39" s="14" t="s">
        <v>13</v>
      </c>
      <c r="B39" s="14" t="s">
        <v>286</v>
      </c>
      <c r="C39" s="14" t="s">
        <v>116</v>
      </c>
      <c r="D39" s="14" t="s">
        <v>136</v>
      </c>
      <c r="E39" s="14">
        <v>2022</v>
      </c>
      <c r="F39" s="14">
        <v>27</v>
      </c>
      <c r="G39" s="14">
        <v>3</v>
      </c>
      <c r="H39" s="18"/>
      <c r="I39" s="14" t="s">
        <v>137</v>
      </c>
      <c r="J39" s="14">
        <v>2022</v>
      </c>
      <c r="K39" s="18"/>
      <c r="L39" s="18"/>
      <c r="M39" s="14" t="s">
        <v>33</v>
      </c>
      <c r="N39" s="17" t="s">
        <v>287</v>
      </c>
      <c r="O39" s="14" t="s">
        <v>118</v>
      </c>
      <c r="P39" s="14" t="s">
        <v>288</v>
      </c>
      <c r="Q39" s="14" t="s">
        <v>289</v>
      </c>
      <c r="R39" s="18"/>
      <c r="S39" s="15"/>
      <c r="T39" s="15"/>
      <c r="U39" s="15"/>
      <c r="V39" s="15"/>
    </row>
    <row r="40" spans="1:22" ht="15.75" customHeight="1" x14ac:dyDescent="0.25">
      <c r="A40" s="14" t="s">
        <v>13</v>
      </c>
      <c r="B40" s="14" t="s">
        <v>290</v>
      </c>
      <c r="C40" s="14" t="s">
        <v>291</v>
      </c>
      <c r="D40" s="14" t="s">
        <v>292</v>
      </c>
      <c r="E40" s="14">
        <v>2022</v>
      </c>
      <c r="F40" s="14">
        <v>34</v>
      </c>
      <c r="G40" s="14">
        <v>10</v>
      </c>
      <c r="H40" s="14" t="s">
        <v>293</v>
      </c>
      <c r="I40" s="14" t="s">
        <v>294</v>
      </c>
      <c r="J40" s="14">
        <v>2022</v>
      </c>
      <c r="K40" s="18"/>
      <c r="L40" s="18"/>
      <c r="M40" s="14" t="s">
        <v>295</v>
      </c>
      <c r="N40" s="17" t="s">
        <v>296</v>
      </c>
      <c r="O40" s="14" t="s">
        <v>297</v>
      </c>
      <c r="P40" s="14" t="s">
        <v>298</v>
      </c>
      <c r="Q40" s="14" t="s">
        <v>285</v>
      </c>
      <c r="R40" s="18"/>
      <c r="S40" s="15"/>
      <c r="T40" s="15"/>
      <c r="U40" s="15"/>
      <c r="V40" s="15"/>
    </row>
    <row r="41" spans="1:22" ht="15.75" customHeight="1" x14ac:dyDescent="0.25">
      <c r="A41" s="14" t="s">
        <v>13</v>
      </c>
      <c r="B41" s="14" t="s">
        <v>299</v>
      </c>
      <c r="C41" s="14" t="s">
        <v>300</v>
      </c>
      <c r="D41" s="14" t="s">
        <v>255</v>
      </c>
      <c r="E41" s="14">
        <v>2022</v>
      </c>
      <c r="F41" s="14">
        <v>48</v>
      </c>
      <c r="G41" s="14">
        <v>8</v>
      </c>
      <c r="H41" s="14" t="s">
        <v>301</v>
      </c>
      <c r="I41" s="14" t="s">
        <v>257</v>
      </c>
      <c r="J41" s="14">
        <v>2022</v>
      </c>
      <c r="K41" s="18"/>
      <c r="L41" s="18"/>
      <c r="M41" s="14" t="s">
        <v>18</v>
      </c>
      <c r="N41" s="17" t="s">
        <v>302</v>
      </c>
      <c r="O41" s="14" t="s">
        <v>303</v>
      </c>
      <c r="P41" s="14" t="s">
        <v>304</v>
      </c>
      <c r="Q41" s="14" t="s">
        <v>176</v>
      </c>
      <c r="R41" s="18"/>
      <c r="S41" s="15"/>
      <c r="T41" s="15"/>
      <c r="U41" s="15"/>
      <c r="V41" s="15"/>
    </row>
    <row r="42" spans="1:22" ht="15.75" customHeight="1" x14ac:dyDescent="0.25">
      <c r="A42" s="14" t="s">
        <v>13</v>
      </c>
      <c r="B42" s="14" t="s">
        <v>305</v>
      </c>
      <c r="C42" s="14" t="s">
        <v>306</v>
      </c>
      <c r="D42" s="14" t="s">
        <v>307</v>
      </c>
      <c r="E42" s="14">
        <v>2023</v>
      </c>
      <c r="F42" s="14">
        <v>156</v>
      </c>
      <c r="G42" s="18"/>
      <c r="H42" s="18"/>
      <c r="I42" s="14" t="s">
        <v>280</v>
      </c>
      <c r="J42" s="14">
        <v>2023</v>
      </c>
      <c r="K42" s="18"/>
      <c r="L42" s="18"/>
      <c r="M42" s="14" t="s">
        <v>308</v>
      </c>
      <c r="N42" s="17" t="s">
        <v>309</v>
      </c>
      <c r="O42" s="14" t="s">
        <v>310</v>
      </c>
      <c r="P42" s="14" t="s">
        <v>311</v>
      </c>
      <c r="Q42" s="14" t="s">
        <v>157</v>
      </c>
      <c r="R42" s="18"/>
      <c r="S42" s="15"/>
      <c r="T42" s="15"/>
      <c r="U42" s="15"/>
      <c r="V42" s="15"/>
    </row>
    <row r="43" spans="1:22" ht="15.75" customHeight="1" x14ac:dyDescent="0.25">
      <c r="A43" s="14" t="s">
        <v>141</v>
      </c>
      <c r="B43" s="14" t="s">
        <v>312</v>
      </c>
      <c r="C43" s="14" t="s">
        <v>313</v>
      </c>
      <c r="D43" s="18"/>
      <c r="E43" s="14">
        <v>2022</v>
      </c>
      <c r="F43" s="18"/>
      <c r="G43" s="18"/>
      <c r="H43" s="14" t="s">
        <v>314</v>
      </c>
      <c r="I43" s="14" t="s">
        <v>153</v>
      </c>
      <c r="J43" s="14">
        <v>2022</v>
      </c>
      <c r="K43" s="14">
        <v>9781450394130</v>
      </c>
      <c r="L43" s="18"/>
      <c r="M43" s="18"/>
      <c r="N43" s="17" t="s">
        <v>315</v>
      </c>
      <c r="O43" s="14" t="s">
        <v>316</v>
      </c>
      <c r="P43" s="14" t="s">
        <v>317</v>
      </c>
      <c r="Q43" s="14" t="s">
        <v>318</v>
      </c>
      <c r="R43" s="18"/>
      <c r="S43" s="15"/>
      <c r="T43" s="15"/>
      <c r="U43" s="15"/>
      <c r="V43" s="15"/>
    </row>
    <row r="44" spans="1:22" x14ac:dyDescent="0.25">
      <c r="A44" s="14" t="s">
        <v>141</v>
      </c>
      <c r="B44" s="14" t="s">
        <v>319</v>
      </c>
      <c r="C44" s="14" t="s">
        <v>320</v>
      </c>
      <c r="D44" s="18"/>
      <c r="E44" s="14">
        <v>2022</v>
      </c>
      <c r="F44" s="21">
        <v>44774</v>
      </c>
      <c r="G44" s="18"/>
      <c r="H44" s="14" t="s">
        <v>321</v>
      </c>
      <c r="I44" s="14" t="s">
        <v>196</v>
      </c>
      <c r="J44" s="14">
        <v>2022</v>
      </c>
      <c r="K44" s="14">
        <v>9781665470001</v>
      </c>
      <c r="L44" s="18"/>
      <c r="M44" s="14" t="s">
        <v>322</v>
      </c>
      <c r="N44" s="17" t="s">
        <v>323</v>
      </c>
      <c r="O44" s="14" t="s">
        <v>324</v>
      </c>
      <c r="P44" s="14" t="s">
        <v>325</v>
      </c>
      <c r="Q44" s="14" t="s">
        <v>157</v>
      </c>
      <c r="R44" s="18"/>
      <c r="S44" s="15"/>
      <c r="T44" s="15"/>
      <c r="U44" s="15"/>
      <c r="V44" s="15"/>
    </row>
    <row r="45" spans="1:22" x14ac:dyDescent="0.25">
      <c r="A45" s="14" t="s">
        <v>13</v>
      </c>
      <c r="B45" s="14" t="s">
        <v>326</v>
      </c>
      <c r="C45" s="14" t="s">
        <v>327</v>
      </c>
      <c r="D45" s="14" t="s">
        <v>328</v>
      </c>
      <c r="E45" s="14">
        <v>2022</v>
      </c>
      <c r="F45" s="14">
        <v>31</v>
      </c>
      <c r="G45" s="14">
        <v>2</v>
      </c>
      <c r="H45" s="18"/>
      <c r="I45" s="14" t="s">
        <v>145</v>
      </c>
      <c r="J45" s="14">
        <v>2022</v>
      </c>
      <c r="K45" s="18"/>
      <c r="L45" s="18"/>
      <c r="M45" s="14" t="s">
        <v>329</v>
      </c>
      <c r="N45" s="17" t="s">
        <v>330</v>
      </c>
      <c r="O45" s="14" t="s">
        <v>331</v>
      </c>
      <c r="P45" s="14" t="s">
        <v>332</v>
      </c>
      <c r="Q45" s="14" t="s">
        <v>289</v>
      </c>
      <c r="R45" s="18"/>
      <c r="S45" s="15"/>
      <c r="T45" s="15"/>
      <c r="U45" s="15"/>
      <c r="V45" s="15"/>
    </row>
    <row r="46" spans="1:22" x14ac:dyDescent="0.25">
      <c r="A46" s="14" t="s">
        <v>13</v>
      </c>
      <c r="B46" s="14" t="s">
        <v>333</v>
      </c>
      <c r="C46" s="14" t="s">
        <v>334</v>
      </c>
      <c r="D46" s="14" t="s">
        <v>188</v>
      </c>
      <c r="E46" s="14">
        <v>2022</v>
      </c>
      <c r="F46" s="14">
        <v>32</v>
      </c>
      <c r="G46" s="14">
        <v>6</v>
      </c>
      <c r="H46" s="14" t="s">
        <v>335</v>
      </c>
      <c r="I46" s="14" t="s">
        <v>189</v>
      </c>
      <c r="J46" s="14">
        <v>2022</v>
      </c>
      <c r="K46" s="18"/>
      <c r="L46" s="18"/>
      <c r="M46" s="14" t="s">
        <v>73</v>
      </c>
      <c r="N46" s="17" t="s">
        <v>336</v>
      </c>
      <c r="O46" s="14" t="s">
        <v>337</v>
      </c>
      <c r="P46" s="14" t="s">
        <v>338</v>
      </c>
      <c r="Q46" s="14" t="s">
        <v>157</v>
      </c>
      <c r="R46" s="18"/>
      <c r="S46" s="15"/>
      <c r="T46" s="15"/>
      <c r="U46" s="15"/>
      <c r="V46" s="15"/>
    </row>
    <row r="47" spans="1:22" x14ac:dyDescent="0.25">
      <c r="A47" s="14" t="s">
        <v>141</v>
      </c>
      <c r="B47" s="14" t="s">
        <v>339</v>
      </c>
      <c r="C47" s="14" t="s">
        <v>340</v>
      </c>
      <c r="D47" s="18"/>
      <c r="E47" s="14">
        <v>2022</v>
      </c>
      <c r="F47" s="18"/>
      <c r="G47" s="18"/>
      <c r="H47" s="14" t="s">
        <v>341</v>
      </c>
      <c r="I47" s="14" t="s">
        <v>257</v>
      </c>
      <c r="J47" s="14">
        <v>2022</v>
      </c>
      <c r="K47" s="14">
        <v>9781665488105</v>
      </c>
      <c r="L47" s="18"/>
      <c r="M47" s="18"/>
      <c r="N47" s="17" t="s">
        <v>342</v>
      </c>
      <c r="O47" s="14" t="s">
        <v>343</v>
      </c>
      <c r="P47" s="14" t="s">
        <v>344</v>
      </c>
      <c r="Q47" s="14" t="s">
        <v>157</v>
      </c>
      <c r="R47" s="18"/>
      <c r="S47" s="15"/>
      <c r="T47" s="15"/>
      <c r="U47" s="15"/>
      <c r="V47" s="15"/>
    </row>
    <row r="48" spans="1:22" x14ac:dyDescent="0.25">
      <c r="A48" s="14" t="s">
        <v>13</v>
      </c>
      <c r="B48" s="14" t="s">
        <v>345</v>
      </c>
      <c r="C48" s="14" t="s">
        <v>346</v>
      </c>
      <c r="D48" s="14" t="s">
        <v>347</v>
      </c>
      <c r="E48" s="14">
        <v>2022</v>
      </c>
      <c r="F48" s="14">
        <v>71</v>
      </c>
      <c r="G48" s="14">
        <v>2</v>
      </c>
      <c r="H48" s="14" t="s">
        <v>348</v>
      </c>
      <c r="I48" s="14" t="s">
        <v>257</v>
      </c>
      <c r="J48" s="14">
        <v>2022</v>
      </c>
      <c r="K48" s="18"/>
      <c r="L48" s="18"/>
      <c r="M48" s="14" t="s">
        <v>92</v>
      </c>
      <c r="N48" s="17" t="s">
        <v>349</v>
      </c>
      <c r="O48" s="14" t="s">
        <v>350</v>
      </c>
      <c r="P48" s="14" t="s">
        <v>351</v>
      </c>
      <c r="Q48" s="14" t="s">
        <v>157</v>
      </c>
      <c r="R48" s="18"/>
      <c r="S48" s="15"/>
      <c r="T48" s="15"/>
      <c r="U48" s="15"/>
      <c r="V48" s="15"/>
    </row>
    <row r="49" spans="1:22" x14ac:dyDescent="0.25">
      <c r="A49" s="14" t="s">
        <v>13</v>
      </c>
      <c r="B49" s="14" t="s">
        <v>352</v>
      </c>
      <c r="C49" s="14" t="s">
        <v>353</v>
      </c>
      <c r="D49" s="14" t="s">
        <v>354</v>
      </c>
      <c r="E49" s="14">
        <v>2022</v>
      </c>
      <c r="F49" s="14">
        <v>194</v>
      </c>
      <c r="G49" s="18"/>
      <c r="H49" s="18"/>
      <c r="I49" s="14" t="s">
        <v>355</v>
      </c>
      <c r="J49" s="14">
        <v>2022</v>
      </c>
      <c r="K49" s="18"/>
      <c r="L49" s="18"/>
      <c r="M49" s="14" t="s">
        <v>65</v>
      </c>
      <c r="N49" s="17" t="s">
        <v>356</v>
      </c>
      <c r="O49" s="14" t="s">
        <v>357</v>
      </c>
      <c r="P49" s="14" t="s">
        <v>358</v>
      </c>
      <c r="Q49" s="14" t="s">
        <v>318</v>
      </c>
      <c r="R49" s="18"/>
      <c r="S49" s="15"/>
      <c r="T49" s="15"/>
      <c r="U49" s="15"/>
      <c r="V49" s="15"/>
    </row>
    <row r="50" spans="1:22" x14ac:dyDescent="0.25">
      <c r="A50" s="14" t="s">
        <v>13</v>
      </c>
      <c r="B50" s="14" t="s">
        <v>359</v>
      </c>
      <c r="C50" s="14" t="s">
        <v>360</v>
      </c>
      <c r="D50" s="14" t="s">
        <v>361</v>
      </c>
      <c r="E50" s="14">
        <v>2022</v>
      </c>
      <c r="F50" s="14">
        <v>5</v>
      </c>
      <c r="G50" s="14">
        <v>1</v>
      </c>
      <c r="H50" s="18"/>
      <c r="I50" s="14" t="s">
        <v>362</v>
      </c>
      <c r="J50" s="14">
        <v>2022</v>
      </c>
      <c r="K50" s="18"/>
      <c r="L50" s="18"/>
      <c r="M50" s="14" t="s">
        <v>363</v>
      </c>
      <c r="N50" s="17" t="s">
        <v>364</v>
      </c>
      <c r="O50" s="14" t="s">
        <v>365</v>
      </c>
      <c r="P50" s="14" t="s">
        <v>366</v>
      </c>
      <c r="Q50" s="14" t="s">
        <v>367</v>
      </c>
      <c r="R50" s="18"/>
      <c r="S50" s="15"/>
      <c r="T50" s="15"/>
      <c r="U50" s="15"/>
      <c r="V50" s="15"/>
    </row>
    <row r="51" spans="1:22" x14ac:dyDescent="0.25">
      <c r="A51" s="14" t="s">
        <v>13</v>
      </c>
      <c r="B51" s="14" t="s">
        <v>368</v>
      </c>
      <c r="C51" s="14" t="s">
        <v>369</v>
      </c>
      <c r="D51" s="14" t="s">
        <v>370</v>
      </c>
      <c r="E51" s="14">
        <v>2023</v>
      </c>
      <c r="F51" s="14">
        <v>16</v>
      </c>
      <c r="G51" s="14">
        <v>3</v>
      </c>
      <c r="H51" s="18"/>
      <c r="I51" s="14" t="s">
        <v>371</v>
      </c>
      <c r="J51" s="14">
        <v>2023</v>
      </c>
      <c r="K51" s="18"/>
      <c r="L51" s="18"/>
      <c r="M51" s="14" t="s">
        <v>372</v>
      </c>
      <c r="N51" s="17" t="s">
        <v>373</v>
      </c>
      <c r="O51" s="14" t="s">
        <v>374</v>
      </c>
      <c r="P51" s="14" t="s">
        <v>375</v>
      </c>
      <c r="Q51" s="14" t="s">
        <v>157</v>
      </c>
      <c r="R51" s="18"/>
      <c r="S51" s="15"/>
      <c r="T51" s="15"/>
      <c r="U51" s="15"/>
      <c r="V51" s="15"/>
    </row>
    <row r="52" spans="1:22" x14ac:dyDescent="0.25">
      <c r="A52" s="14" t="s">
        <v>141</v>
      </c>
      <c r="B52" s="14" t="s">
        <v>376</v>
      </c>
      <c r="C52" s="14" t="s">
        <v>377</v>
      </c>
      <c r="D52" s="18"/>
      <c r="E52" s="14">
        <v>2022</v>
      </c>
      <c r="F52" s="18"/>
      <c r="G52" s="18"/>
      <c r="H52" s="14" t="s">
        <v>378</v>
      </c>
      <c r="I52" s="14" t="s">
        <v>153</v>
      </c>
      <c r="J52" s="14">
        <v>2022</v>
      </c>
      <c r="K52" s="14">
        <v>9781450394574</v>
      </c>
      <c r="L52" s="18"/>
      <c r="M52" s="18"/>
      <c r="N52" s="17" t="s">
        <v>379</v>
      </c>
      <c r="O52" s="14" t="s">
        <v>380</v>
      </c>
      <c r="P52" s="14" t="s">
        <v>381</v>
      </c>
      <c r="Q52" s="14" t="s">
        <v>157</v>
      </c>
      <c r="R52" s="18"/>
      <c r="S52" s="15"/>
      <c r="T52" s="15"/>
      <c r="U52" s="15"/>
      <c r="V52" s="15"/>
    </row>
    <row r="53" spans="1:22" x14ac:dyDescent="0.25">
      <c r="A53" s="14" t="s">
        <v>13</v>
      </c>
      <c r="B53" s="14" t="s">
        <v>382</v>
      </c>
      <c r="C53" s="14" t="s">
        <v>383</v>
      </c>
      <c r="D53" s="14" t="s">
        <v>136</v>
      </c>
      <c r="E53" s="14">
        <v>2022</v>
      </c>
      <c r="F53" s="14">
        <v>27</v>
      </c>
      <c r="G53" s="14">
        <v>3</v>
      </c>
      <c r="H53" s="18"/>
      <c r="I53" s="14" t="s">
        <v>137</v>
      </c>
      <c r="J53" s="14">
        <v>2022</v>
      </c>
      <c r="K53" s="18"/>
      <c r="L53" s="18"/>
      <c r="M53" s="14" t="s">
        <v>33</v>
      </c>
      <c r="N53" s="17" t="s">
        <v>384</v>
      </c>
      <c r="O53" s="14" t="s">
        <v>385</v>
      </c>
      <c r="P53" s="14" t="s">
        <v>386</v>
      </c>
      <c r="Q53" s="14" t="s">
        <v>387</v>
      </c>
      <c r="R53" s="18"/>
      <c r="S53" s="15"/>
      <c r="T53" s="15"/>
      <c r="U53" s="15"/>
      <c r="V53" s="15"/>
    </row>
    <row r="54" spans="1:22" x14ac:dyDescent="0.25">
      <c r="A54" s="14" t="s">
        <v>13</v>
      </c>
      <c r="B54" s="14" t="s">
        <v>388</v>
      </c>
      <c r="C54" s="14" t="s">
        <v>389</v>
      </c>
      <c r="D54" s="14" t="s">
        <v>390</v>
      </c>
      <c r="E54" s="14">
        <v>2022</v>
      </c>
      <c r="F54" s="14">
        <v>55</v>
      </c>
      <c r="G54" s="14">
        <v>5</v>
      </c>
      <c r="H54" s="14" t="s">
        <v>391</v>
      </c>
      <c r="I54" s="14" t="s">
        <v>392</v>
      </c>
      <c r="J54" s="14">
        <v>2022</v>
      </c>
      <c r="K54" s="18"/>
      <c r="L54" s="18"/>
      <c r="M54" s="14" t="s">
        <v>393</v>
      </c>
      <c r="N54" s="17" t="s">
        <v>394</v>
      </c>
      <c r="O54" s="14" t="s">
        <v>395</v>
      </c>
      <c r="P54" s="14" t="s">
        <v>396</v>
      </c>
      <c r="Q54" s="14" t="s">
        <v>397</v>
      </c>
      <c r="R54" s="18"/>
      <c r="S54" s="15"/>
      <c r="T54" s="15"/>
      <c r="U54" s="15"/>
      <c r="V54" s="15"/>
    </row>
    <row r="55" spans="1:22" x14ac:dyDescent="0.25">
      <c r="A55" s="14" t="s">
        <v>141</v>
      </c>
      <c r="B55" s="14" t="s">
        <v>398</v>
      </c>
      <c r="C55" s="14" t="s">
        <v>399</v>
      </c>
      <c r="D55" s="18"/>
      <c r="E55" s="14">
        <v>2022</v>
      </c>
      <c r="F55" s="18"/>
      <c r="G55" s="18"/>
      <c r="H55" s="14" t="s">
        <v>400</v>
      </c>
      <c r="I55" s="14" t="s">
        <v>145</v>
      </c>
      <c r="J55" s="14">
        <v>2022</v>
      </c>
      <c r="K55" s="14">
        <v>9781450393850</v>
      </c>
      <c r="L55" s="18"/>
      <c r="M55" s="18"/>
      <c r="N55" s="17" t="s">
        <v>401</v>
      </c>
      <c r="O55" s="14" t="s">
        <v>402</v>
      </c>
      <c r="P55" s="14" t="s">
        <v>403</v>
      </c>
      <c r="Q55" s="14" t="s">
        <v>404</v>
      </c>
      <c r="R55" s="18"/>
      <c r="S55" s="15"/>
      <c r="T55" s="15"/>
      <c r="U55" s="15"/>
      <c r="V55" s="15"/>
    </row>
    <row r="56" spans="1:22" x14ac:dyDescent="0.25">
      <c r="A56" s="14" t="s">
        <v>13</v>
      </c>
      <c r="B56" s="14" t="s">
        <v>405</v>
      </c>
      <c r="C56" s="14" t="s">
        <v>406</v>
      </c>
      <c r="D56" s="14" t="s">
        <v>407</v>
      </c>
      <c r="E56" s="14">
        <v>2022</v>
      </c>
      <c r="F56" s="14">
        <v>21</v>
      </c>
      <c r="G56" s="14">
        <v>3</v>
      </c>
      <c r="H56" s="14" t="s">
        <v>408</v>
      </c>
      <c r="I56" s="14" t="s">
        <v>212</v>
      </c>
      <c r="J56" s="14">
        <v>2022</v>
      </c>
      <c r="K56" s="18"/>
      <c r="L56" s="18"/>
      <c r="M56" s="14" t="s">
        <v>409</v>
      </c>
      <c r="N56" s="17" t="s">
        <v>410</v>
      </c>
      <c r="O56" s="14" t="s">
        <v>411</v>
      </c>
      <c r="P56" s="14" t="s">
        <v>412</v>
      </c>
      <c r="Q56" s="14" t="s">
        <v>413</v>
      </c>
      <c r="R56" s="18"/>
      <c r="S56" s="15"/>
      <c r="T56" s="15"/>
      <c r="U56" s="15"/>
      <c r="V56" s="15"/>
    </row>
    <row r="57" spans="1:22" x14ac:dyDescent="0.25">
      <c r="A57" s="14" t="s">
        <v>141</v>
      </c>
      <c r="B57" s="14" t="s">
        <v>414</v>
      </c>
      <c r="C57" s="14" t="s">
        <v>415</v>
      </c>
      <c r="D57" s="18"/>
      <c r="E57" s="14">
        <v>2022</v>
      </c>
      <c r="F57" s="18"/>
      <c r="G57" s="18"/>
      <c r="H57" s="14" t="s">
        <v>416</v>
      </c>
      <c r="I57" s="14" t="s">
        <v>257</v>
      </c>
      <c r="J57" s="14">
        <v>2022</v>
      </c>
      <c r="K57" s="14">
        <v>9781665488648</v>
      </c>
      <c r="L57" s="18"/>
      <c r="M57" s="18"/>
      <c r="N57" s="17" t="s">
        <v>417</v>
      </c>
      <c r="O57" s="14" t="s">
        <v>418</v>
      </c>
      <c r="P57" s="14" t="s">
        <v>419</v>
      </c>
      <c r="Q57" s="14" t="s">
        <v>404</v>
      </c>
      <c r="R57" s="18"/>
      <c r="S57" s="15"/>
      <c r="T57" s="15"/>
      <c r="U57" s="15"/>
      <c r="V57" s="15"/>
    </row>
    <row r="58" spans="1:22" x14ac:dyDescent="0.25">
      <c r="A58" s="14" t="s">
        <v>13</v>
      </c>
      <c r="B58" s="14" t="s">
        <v>420</v>
      </c>
      <c r="C58" s="14" t="s">
        <v>421</v>
      </c>
      <c r="D58" s="14" t="s">
        <v>422</v>
      </c>
      <c r="E58" s="14">
        <v>2022</v>
      </c>
      <c r="F58" s="18"/>
      <c r="G58" s="18"/>
      <c r="H58" s="18"/>
      <c r="I58" s="14" t="s">
        <v>212</v>
      </c>
      <c r="J58" s="14">
        <v>2022</v>
      </c>
      <c r="K58" s="18"/>
      <c r="L58" s="18"/>
      <c r="M58" s="14" t="s">
        <v>423</v>
      </c>
      <c r="N58" s="17" t="s">
        <v>424</v>
      </c>
      <c r="O58" s="14" t="s">
        <v>425</v>
      </c>
      <c r="P58" s="14" t="s">
        <v>426</v>
      </c>
      <c r="Q58" s="14" t="s">
        <v>157</v>
      </c>
      <c r="R58" s="18"/>
      <c r="S58" s="15"/>
      <c r="T58" s="15"/>
      <c r="U58" s="15"/>
      <c r="V58" s="15"/>
    </row>
    <row r="59" spans="1:22" x14ac:dyDescent="0.25">
      <c r="A59" s="14" t="s">
        <v>13</v>
      </c>
      <c r="B59" s="14" t="s">
        <v>427</v>
      </c>
      <c r="C59" s="14" t="s">
        <v>428</v>
      </c>
      <c r="D59" s="14" t="s">
        <v>227</v>
      </c>
      <c r="E59" s="14">
        <v>2022</v>
      </c>
      <c r="F59" s="14">
        <v>12</v>
      </c>
      <c r="G59" s="14">
        <v>15</v>
      </c>
      <c r="H59" s="18"/>
      <c r="I59" s="14" t="s">
        <v>228</v>
      </c>
      <c r="J59" s="14">
        <v>2022</v>
      </c>
      <c r="K59" s="18"/>
      <c r="L59" s="18"/>
      <c r="M59" s="14" t="s">
        <v>229</v>
      </c>
      <c r="N59" s="17" t="s">
        <v>429</v>
      </c>
      <c r="O59" s="14" t="s">
        <v>430</v>
      </c>
      <c r="P59" s="14" t="s">
        <v>431</v>
      </c>
      <c r="Q59" s="14" t="s">
        <v>285</v>
      </c>
      <c r="R59" s="18"/>
      <c r="S59" s="15"/>
      <c r="T59" s="15"/>
      <c r="U59" s="15"/>
      <c r="V59" s="15"/>
    </row>
    <row r="60" spans="1:22" x14ac:dyDescent="0.25">
      <c r="A60" s="14" t="s">
        <v>13</v>
      </c>
      <c r="B60" s="14" t="s">
        <v>432</v>
      </c>
      <c r="C60" s="14" t="s">
        <v>433</v>
      </c>
      <c r="D60" s="14" t="s">
        <v>307</v>
      </c>
      <c r="E60" s="14">
        <v>2022</v>
      </c>
      <c r="F60" s="14">
        <v>147</v>
      </c>
      <c r="G60" s="18"/>
      <c r="H60" s="18"/>
      <c r="I60" s="14" t="s">
        <v>280</v>
      </c>
      <c r="J60" s="14">
        <v>2022</v>
      </c>
      <c r="K60" s="18"/>
      <c r="L60" s="18"/>
      <c r="M60" s="14" t="s">
        <v>308</v>
      </c>
      <c r="N60" s="17" t="s">
        <v>434</v>
      </c>
      <c r="O60" s="14" t="s">
        <v>435</v>
      </c>
      <c r="P60" s="14" t="s">
        <v>436</v>
      </c>
      <c r="Q60" s="14" t="s">
        <v>157</v>
      </c>
      <c r="R60" s="18"/>
      <c r="S60" s="15"/>
      <c r="T60" s="15"/>
      <c r="U60" s="15"/>
      <c r="V60" s="15"/>
    </row>
    <row r="61" spans="1:22" x14ac:dyDescent="0.25">
      <c r="A61" s="14" t="s">
        <v>13</v>
      </c>
      <c r="B61" s="14" t="s">
        <v>437</v>
      </c>
      <c r="C61" s="14" t="s">
        <v>438</v>
      </c>
      <c r="D61" s="14" t="s">
        <v>136</v>
      </c>
      <c r="E61" s="14">
        <v>2022</v>
      </c>
      <c r="F61" s="14">
        <v>27</v>
      </c>
      <c r="G61" s="14">
        <v>2</v>
      </c>
      <c r="H61" s="18"/>
      <c r="I61" s="14" t="s">
        <v>137</v>
      </c>
      <c r="J61" s="14">
        <v>2022</v>
      </c>
      <c r="K61" s="18"/>
      <c r="L61" s="18"/>
      <c r="M61" s="14" t="s">
        <v>33</v>
      </c>
      <c r="N61" s="17" t="s">
        <v>439</v>
      </c>
      <c r="O61" s="14" t="s">
        <v>440</v>
      </c>
      <c r="P61" s="14" t="s">
        <v>441</v>
      </c>
      <c r="Q61" s="14" t="s">
        <v>413</v>
      </c>
      <c r="R61" s="18"/>
      <c r="S61" s="15"/>
      <c r="T61" s="15"/>
      <c r="U61" s="15"/>
      <c r="V61" s="15"/>
    </row>
    <row r="62" spans="1:22" x14ac:dyDescent="0.25">
      <c r="A62" s="14" t="s">
        <v>13</v>
      </c>
      <c r="B62" s="14" t="s">
        <v>442</v>
      </c>
      <c r="C62" s="14" t="s">
        <v>443</v>
      </c>
      <c r="D62" s="14" t="s">
        <v>227</v>
      </c>
      <c r="E62" s="14">
        <v>2022</v>
      </c>
      <c r="F62" s="14">
        <v>12</v>
      </c>
      <c r="G62" s="14">
        <v>17</v>
      </c>
      <c r="H62" s="18"/>
      <c r="I62" s="14" t="s">
        <v>228</v>
      </c>
      <c r="J62" s="14">
        <v>2022</v>
      </c>
      <c r="K62" s="18"/>
      <c r="L62" s="18"/>
      <c r="M62" s="14" t="s">
        <v>229</v>
      </c>
      <c r="N62" s="17" t="s">
        <v>444</v>
      </c>
      <c r="O62" s="14" t="s">
        <v>445</v>
      </c>
      <c r="P62" s="14" t="s">
        <v>446</v>
      </c>
      <c r="Q62" s="14" t="s">
        <v>447</v>
      </c>
      <c r="R62" s="18"/>
      <c r="S62" s="15"/>
      <c r="T62" s="15"/>
      <c r="U62" s="15"/>
      <c r="V62" s="15"/>
    </row>
    <row r="63" spans="1:22" x14ac:dyDescent="0.25">
      <c r="A63" s="14" t="s">
        <v>13</v>
      </c>
      <c r="B63" s="14" t="s">
        <v>448</v>
      </c>
      <c r="C63" s="14" t="s">
        <v>449</v>
      </c>
      <c r="D63" s="14" t="s">
        <v>328</v>
      </c>
      <c r="E63" s="14">
        <v>2022</v>
      </c>
      <c r="F63" s="14">
        <v>31</v>
      </c>
      <c r="G63" s="14">
        <v>3</v>
      </c>
      <c r="H63" s="18"/>
      <c r="I63" s="14" t="s">
        <v>145</v>
      </c>
      <c r="J63" s="14">
        <v>2022</v>
      </c>
      <c r="K63" s="18"/>
      <c r="L63" s="18"/>
      <c r="M63" s="14" t="s">
        <v>329</v>
      </c>
      <c r="N63" s="17" t="s">
        <v>450</v>
      </c>
      <c r="O63" s="14" t="s">
        <v>451</v>
      </c>
      <c r="P63" s="14" t="s">
        <v>452</v>
      </c>
      <c r="Q63" s="14" t="s">
        <v>404</v>
      </c>
      <c r="R63" s="18"/>
      <c r="S63" s="15"/>
      <c r="T63" s="15"/>
      <c r="U63" s="15"/>
      <c r="V63" s="15"/>
    </row>
    <row r="64" spans="1:22" x14ac:dyDescent="0.25">
      <c r="A64" s="14" t="s">
        <v>141</v>
      </c>
      <c r="B64" s="14" t="s">
        <v>453</v>
      </c>
      <c r="C64" s="14" t="s">
        <v>454</v>
      </c>
      <c r="D64" s="18"/>
      <c r="E64" s="14">
        <v>2022</v>
      </c>
      <c r="F64" s="14">
        <v>115</v>
      </c>
      <c r="G64" s="18"/>
      <c r="H64" s="14" t="s">
        <v>455</v>
      </c>
      <c r="I64" s="14" t="s">
        <v>280</v>
      </c>
      <c r="J64" s="14">
        <v>2022</v>
      </c>
      <c r="K64" s="18"/>
      <c r="L64" s="18"/>
      <c r="M64" s="14" t="s">
        <v>456</v>
      </c>
      <c r="N64" s="17" t="s">
        <v>457</v>
      </c>
      <c r="O64" s="14" t="s">
        <v>458</v>
      </c>
      <c r="P64" s="14" t="s">
        <v>459</v>
      </c>
      <c r="Q64" s="14" t="s">
        <v>285</v>
      </c>
      <c r="R64" s="18"/>
      <c r="S64" s="15"/>
      <c r="T64" s="15"/>
      <c r="U64" s="15"/>
      <c r="V64" s="15"/>
    </row>
    <row r="65" spans="1:22" x14ac:dyDescent="0.25">
      <c r="A65" s="14" t="s">
        <v>13</v>
      </c>
      <c r="B65" s="14" t="s">
        <v>460</v>
      </c>
      <c r="C65" s="14" t="s">
        <v>461</v>
      </c>
      <c r="D65" s="14" t="s">
        <v>462</v>
      </c>
      <c r="E65" s="14">
        <v>2022</v>
      </c>
      <c r="F65" s="14" t="s">
        <v>463</v>
      </c>
      <c r="G65" s="18"/>
      <c r="H65" s="14" t="s">
        <v>464</v>
      </c>
      <c r="I65" s="14" t="s">
        <v>212</v>
      </c>
      <c r="J65" s="14">
        <v>2022</v>
      </c>
      <c r="K65" s="18"/>
      <c r="L65" s="18"/>
      <c r="M65" s="14" t="s">
        <v>465</v>
      </c>
      <c r="N65" s="17" t="s">
        <v>466</v>
      </c>
      <c r="O65" s="14" t="s">
        <v>467</v>
      </c>
      <c r="P65" s="14" t="s">
        <v>468</v>
      </c>
      <c r="Q65" s="14" t="s">
        <v>157</v>
      </c>
      <c r="R65" s="18"/>
      <c r="S65" s="15"/>
      <c r="T65" s="15"/>
      <c r="U65" s="15"/>
      <c r="V65" s="15"/>
    </row>
    <row r="66" spans="1:22" x14ac:dyDescent="0.25">
      <c r="A66" s="14" t="s">
        <v>141</v>
      </c>
      <c r="B66" s="14" t="s">
        <v>469</v>
      </c>
      <c r="C66" s="14" t="s">
        <v>470</v>
      </c>
      <c r="D66" s="18"/>
      <c r="E66" s="14">
        <v>2022</v>
      </c>
      <c r="F66" s="18"/>
      <c r="G66" s="18"/>
      <c r="H66" s="14" t="s">
        <v>471</v>
      </c>
      <c r="I66" s="14" t="s">
        <v>145</v>
      </c>
      <c r="J66" s="14">
        <v>2022</v>
      </c>
      <c r="K66" s="14">
        <v>9781450397254</v>
      </c>
      <c r="L66" s="18"/>
      <c r="M66" s="18"/>
      <c r="N66" s="17" t="s">
        <v>472</v>
      </c>
      <c r="O66" s="14" t="s">
        <v>473</v>
      </c>
      <c r="P66" s="14" t="s">
        <v>474</v>
      </c>
      <c r="Q66" s="14" t="s">
        <v>157</v>
      </c>
      <c r="R66" s="18"/>
      <c r="S66" s="15"/>
      <c r="T66" s="15"/>
      <c r="U66" s="15"/>
      <c r="V66" s="15"/>
    </row>
    <row r="67" spans="1:22" x14ac:dyDescent="0.25">
      <c r="A67" s="14" t="s">
        <v>13</v>
      </c>
      <c r="B67" s="14" t="s">
        <v>475</v>
      </c>
      <c r="C67" s="14" t="s">
        <v>476</v>
      </c>
      <c r="D67" s="14" t="s">
        <v>227</v>
      </c>
      <c r="E67" s="14">
        <v>2022</v>
      </c>
      <c r="F67" s="14">
        <v>12</v>
      </c>
      <c r="G67" s="14">
        <v>21</v>
      </c>
      <c r="H67" s="18"/>
      <c r="I67" s="14" t="s">
        <v>228</v>
      </c>
      <c r="J67" s="14">
        <v>2022</v>
      </c>
      <c r="K67" s="18"/>
      <c r="L67" s="18"/>
      <c r="M67" s="14" t="s">
        <v>229</v>
      </c>
      <c r="N67" s="17" t="s">
        <v>477</v>
      </c>
      <c r="O67" s="14" t="s">
        <v>478</v>
      </c>
      <c r="P67" s="14" t="s">
        <v>479</v>
      </c>
      <c r="Q67" s="14" t="s">
        <v>233</v>
      </c>
      <c r="R67" s="18"/>
      <c r="S67" s="15"/>
      <c r="T67" s="15"/>
      <c r="U67" s="15"/>
      <c r="V67" s="15"/>
    </row>
    <row r="68" spans="1:22" x14ac:dyDescent="0.25">
      <c r="A68" s="14" t="s">
        <v>13</v>
      </c>
      <c r="B68" s="14" t="s">
        <v>480</v>
      </c>
      <c r="C68" s="14" t="s">
        <v>481</v>
      </c>
      <c r="D68" s="14" t="s">
        <v>255</v>
      </c>
      <c r="E68" s="14">
        <v>2022</v>
      </c>
      <c r="F68" s="14">
        <v>48</v>
      </c>
      <c r="G68" s="14">
        <v>10</v>
      </c>
      <c r="H68" s="14" t="s">
        <v>482</v>
      </c>
      <c r="I68" s="14" t="s">
        <v>257</v>
      </c>
      <c r="J68" s="14">
        <v>2022</v>
      </c>
      <c r="K68" s="18"/>
      <c r="L68" s="18"/>
      <c r="M68" s="14" t="s">
        <v>18</v>
      </c>
      <c r="N68" s="17" t="s">
        <v>483</v>
      </c>
      <c r="O68" s="14" t="s">
        <v>484</v>
      </c>
      <c r="P68" s="14" t="s">
        <v>485</v>
      </c>
      <c r="Q68" s="14" t="s">
        <v>140</v>
      </c>
      <c r="R68" s="18"/>
      <c r="S68" s="15"/>
      <c r="T68" s="15"/>
      <c r="U68" s="15"/>
      <c r="V68" s="15"/>
    </row>
    <row r="69" spans="1:22" x14ac:dyDescent="0.25">
      <c r="A69" s="14" t="s">
        <v>13</v>
      </c>
      <c r="B69" s="14" t="s">
        <v>486</v>
      </c>
      <c r="C69" s="14" t="s">
        <v>487</v>
      </c>
      <c r="D69" s="14" t="s">
        <v>488</v>
      </c>
      <c r="E69" s="14">
        <v>2022</v>
      </c>
      <c r="F69" s="14">
        <v>18</v>
      </c>
      <c r="G69" s="14">
        <v>3</v>
      </c>
      <c r="H69" s="14" t="s">
        <v>489</v>
      </c>
      <c r="I69" s="14" t="s">
        <v>490</v>
      </c>
      <c r="J69" s="14">
        <v>2022</v>
      </c>
      <c r="K69" s="18"/>
      <c r="L69" s="18"/>
      <c r="M69" s="14" t="s">
        <v>491</v>
      </c>
      <c r="N69" s="17" t="s">
        <v>492</v>
      </c>
      <c r="O69" s="14" t="s">
        <v>493</v>
      </c>
      <c r="P69" s="14" t="s">
        <v>494</v>
      </c>
      <c r="Q69" s="14" t="s">
        <v>318</v>
      </c>
      <c r="R69" s="18"/>
      <c r="S69" s="15"/>
      <c r="T69" s="15"/>
      <c r="U69" s="15"/>
      <c r="V69" s="15"/>
    </row>
    <row r="70" spans="1:22" x14ac:dyDescent="0.25">
      <c r="A70" s="14" t="s">
        <v>141</v>
      </c>
      <c r="B70" s="14" t="s">
        <v>495</v>
      </c>
      <c r="C70" s="14" t="s">
        <v>496</v>
      </c>
      <c r="D70" s="18"/>
      <c r="E70" s="14">
        <v>2022</v>
      </c>
      <c r="F70" s="18"/>
      <c r="G70" s="18"/>
      <c r="H70" s="14" t="s">
        <v>497</v>
      </c>
      <c r="I70" s="14" t="s">
        <v>145</v>
      </c>
      <c r="J70" s="14">
        <v>2022</v>
      </c>
      <c r="K70" s="14">
        <v>9781450397803</v>
      </c>
      <c r="L70" s="18"/>
      <c r="M70" s="18"/>
      <c r="N70" s="17" t="s">
        <v>498</v>
      </c>
      <c r="O70" s="14" t="s">
        <v>499</v>
      </c>
      <c r="P70" s="14" t="s">
        <v>500</v>
      </c>
      <c r="Q70" s="14" t="s">
        <v>157</v>
      </c>
      <c r="R70" s="18"/>
      <c r="S70" s="15"/>
      <c r="T70" s="15"/>
      <c r="U70" s="15"/>
      <c r="V70" s="15"/>
    </row>
    <row r="71" spans="1:22" x14ac:dyDescent="0.25">
      <c r="A71" s="14" t="s">
        <v>13</v>
      </c>
      <c r="B71" s="14" t="s">
        <v>501</v>
      </c>
      <c r="C71" s="14" t="s">
        <v>502</v>
      </c>
      <c r="D71" s="14" t="s">
        <v>188</v>
      </c>
      <c r="E71" s="14">
        <v>2022</v>
      </c>
      <c r="F71" s="14">
        <v>32</v>
      </c>
      <c r="G71" s="14">
        <v>9</v>
      </c>
      <c r="H71" s="14" t="s">
        <v>503</v>
      </c>
      <c r="I71" s="14" t="s">
        <v>189</v>
      </c>
      <c r="J71" s="14">
        <v>2022</v>
      </c>
      <c r="K71" s="18"/>
      <c r="L71" s="18"/>
      <c r="M71" s="14" t="s">
        <v>73</v>
      </c>
      <c r="N71" s="17" t="s">
        <v>504</v>
      </c>
      <c r="O71" s="14" t="s">
        <v>505</v>
      </c>
      <c r="P71" s="14" t="s">
        <v>506</v>
      </c>
      <c r="Q71" s="14" t="s">
        <v>157</v>
      </c>
      <c r="R71" s="18"/>
      <c r="S71" s="15"/>
      <c r="T71" s="15"/>
      <c r="U71" s="15"/>
      <c r="V71" s="15"/>
    </row>
    <row r="72" spans="1:22" x14ac:dyDescent="0.25">
      <c r="A72" s="14" t="s">
        <v>13</v>
      </c>
      <c r="B72" s="14" t="s">
        <v>507</v>
      </c>
      <c r="C72" s="14" t="s">
        <v>508</v>
      </c>
      <c r="D72" s="14" t="s">
        <v>354</v>
      </c>
      <c r="E72" s="14">
        <v>2023</v>
      </c>
      <c r="F72" s="14">
        <v>195</v>
      </c>
      <c r="G72" s="18"/>
      <c r="H72" s="18"/>
      <c r="I72" s="14" t="s">
        <v>355</v>
      </c>
      <c r="J72" s="14">
        <v>2023</v>
      </c>
      <c r="K72" s="18"/>
      <c r="L72" s="18"/>
      <c r="M72" s="14" t="s">
        <v>65</v>
      </c>
      <c r="N72" s="17" t="s">
        <v>509</v>
      </c>
      <c r="O72" s="14" t="s">
        <v>510</v>
      </c>
      <c r="P72" s="14" t="s">
        <v>511</v>
      </c>
      <c r="Q72" s="14" t="s">
        <v>157</v>
      </c>
      <c r="R72" s="18"/>
      <c r="S72" s="15"/>
      <c r="T72" s="15"/>
      <c r="U72" s="15"/>
      <c r="V72" s="15"/>
    </row>
    <row r="73" spans="1:22" x14ac:dyDescent="0.25">
      <c r="A73" s="14" t="s">
        <v>13</v>
      </c>
      <c r="B73" s="14" t="s">
        <v>512</v>
      </c>
      <c r="C73" s="14" t="s">
        <v>513</v>
      </c>
      <c r="D73" s="14" t="s">
        <v>514</v>
      </c>
      <c r="E73" s="14">
        <v>2022</v>
      </c>
      <c r="F73" s="14">
        <v>4</v>
      </c>
      <c r="G73" s="14">
        <v>2</v>
      </c>
      <c r="H73" s="18"/>
      <c r="I73" s="14" t="s">
        <v>515</v>
      </c>
      <c r="J73" s="14">
        <v>2022</v>
      </c>
      <c r="K73" s="18"/>
      <c r="L73" s="18"/>
      <c r="M73" s="14" t="s">
        <v>516</v>
      </c>
      <c r="N73" s="17" t="s">
        <v>517</v>
      </c>
      <c r="O73" s="14" t="s">
        <v>518</v>
      </c>
      <c r="P73" s="14" t="s">
        <v>519</v>
      </c>
      <c r="Q73" s="14" t="s">
        <v>520</v>
      </c>
      <c r="R73" s="18"/>
      <c r="S73" s="15"/>
      <c r="T73" s="15"/>
      <c r="U73" s="15"/>
      <c r="V73" s="15"/>
    </row>
    <row r="74" spans="1:22" x14ac:dyDescent="0.25">
      <c r="A74" s="14" t="s">
        <v>13</v>
      </c>
      <c r="B74" s="14" t="s">
        <v>521</v>
      </c>
      <c r="C74" s="14" t="s">
        <v>522</v>
      </c>
      <c r="D74" s="14" t="s">
        <v>523</v>
      </c>
      <c r="E74" s="14">
        <v>2022</v>
      </c>
      <c r="F74" s="14">
        <v>30</v>
      </c>
      <c r="G74" s="14">
        <v>2</v>
      </c>
      <c r="H74" s="14" t="s">
        <v>524</v>
      </c>
      <c r="I74" s="14" t="s">
        <v>137</v>
      </c>
      <c r="J74" s="14">
        <v>2022</v>
      </c>
      <c r="K74" s="18"/>
      <c r="L74" s="18"/>
      <c r="M74" s="14" t="s">
        <v>525</v>
      </c>
      <c r="N74" s="17" t="s">
        <v>526</v>
      </c>
      <c r="O74" s="14" t="s">
        <v>527</v>
      </c>
      <c r="P74" s="14" t="s">
        <v>528</v>
      </c>
      <c r="Q74" s="14" t="s">
        <v>529</v>
      </c>
      <c r="R74" s="18"/>
      <c r="S74" s="15"/>
      <c r="T74" s="15"/>
      <c r="U74" s="15"/>
      <c r="V74" s="15"/>
    </row>
    <row r="75" spans="1:22" x14ac:dyDescent="0.25">
      <c r="A75" s="14" t="s">
        <v>13</v>
      </c>
      <c r="B75" s="14" t="s">
        <v>530</v>
      </c>
      <c r="C75" s="14" t="s">
        <v>531</v>
      </c>
      <c r="D75" s="14" t="s">
        <v>532</v>
      </c>
      <c r="E75" s="14">
        <v>2022</v>
      </c>
      <c r="F75" s="14">
        <v>55</v>
      </c>
      <c r="G75" s="14">
        <v>3</v>
      </c>
      <c r="H75" s="14" t="s">
        <v>533</v>
      </c>
      <c r="I75" s="14" t="s">
        <v>196</v>
      </c>
      <c r="J75" s="14">
        <v>2022</v>
      </c>
      <c r="K75" s="18"/>
      <c r="L75" s="18"/>
      <c r="M75" s="14" t="s">
        <v>534</v>
      </c>
      <c r="N75" s="17" t="s">
        <v>535</v>
      </c>
      <c r="O75" s="14" t="s">
        <v>536</v>
      </c>
      <c r="P75" s="14" t="s">
        <v>537</v>
      </c>
      <c r="Q75" s="14" t="s">
        <v>538</v>
      </c>
      <c r="R75" s="18"/>
      <c r="S75" s="15"/>
      <c r="T75" s="15"/>
      <c r="U75" s="15"/>
      <c r="V75" s="15"/>
    </row>
    <row r="76" spans="1:22" x14ac:dyDescent="0.25">
      <c r="A76" s="14" t="s">
        <v>539</v>
      </c>
      <c r="B76" s="18"/>
      <c r="C76" s="14" t="s">
        <v>540</v>
      </c>
      <c r="D76" s="18"/>
      <c r="E76" s="14">
        <v>2022</v>
      </c>
      <c r="F76" s="18"/>
      <c r="G76" s="18"/>
      <c r="H76" s="18"/>
      <c r="I76" s="14" t="s">
        <v>541</v>
      </c>
      <c r="J76" s="14">
        <v>2022</v>
      </c>
      <c r="K76" s="14">
        <v>9780309270175</v>
      </c>
      <c r="L76" s="18"/>
      <c r="M76" s="18"/>
      <c r="N76" s="17" t="s">
        <v>542</v>
      </c>
      <c r="O76" s="14" t="s">
        <v>543</v>
      </c>
      <c r="P76" s="14" t="s">
        <v>544</v>
      </c>
      <c r="Q76" s="14" t="s">
        <v>176</v>
      </c>
      <c r="R76" s="14" t="s">
        <v>545</v>
      </c>
      <c r="S76" s="15"/>
      <c r="T76" s="15"/>
      <c r="U76" s="15"/>
      <c r="V76" s="15"/>
    </row>
    <row r="77" spans="1:22" x14ac:dyDescent="0.25">
      <c r="A77" s="14" t="s">
        <v>13</v>
      </c>
      <c r="B77" s="14" t="s">
        <v>546</v>
      </c>
      <c r="C77" s="14" t="s">
        <v>547</v>
      </c>
      <c r="D77" s="14" t="s">
        <v>548</v>
      </c>
      <c r="E77" s="14">
        <v>2022</v>
      </c>
      <c r="F77" s="14">
        <v>14</v>
      </c>
      <c r="G77" s="14">
        <v>5</v>
      </c>
      <c r="H77" s="18"/>
      <c r="I77" s="14" t="s">
        <v>228</v>
      </c>
      <c r="J77" s="14">
        <v>2022</v>
      </c>
      <c r="K77" s="18"/>
      <c r="L77" s="18"/>
      <c r="M77" s="14" t="s">
        <v>549</v>
      </c>
      <c r="N77" s="17" t="s">
        <v>550</v>
      </c>
      <c r="O77" s="14" t="s">
        <v>551</v>
      </c>
      <c r="P77" s="14" t="s">
        <v>552</v>
      </c>
      <c r="Q77" s="14" t="s">
        <v>447</v>
      </c>
      <c r="R77" s="18"/>
      <c r="S77" s="15"/>
      <c r="T77" s="15"/>
      <c r="U77" s="15"/>
      <c r="V77" s="15"/>
    </row>
    <row r="78" spans="1:22" x14ac:dyDescent="0.25">
      <c r="A78" s="14" t="s">
        <v>13</v>
      </c>
      <c r="B78" s="14" t="s">
        <v>553</v>
      </c>
      <c r="C78" s="14" t="s">
        <v>554</v>
      </c>
      <c r="D78" s="14" t="s">
        <v>555</v>
      </c>
      <c r="E78" s="14">
        <v>2022</v>
      </c>
      <c r="F78" s="14">
        <v>13</v>
      </c>
      <c r="G78" s="14">
        <v>11</v>
      </c>
      <c r="H78" s="14" t="s">
        <v>556</v>
      </c>
      <c r="I78" s="14" t="s">
        <v>557</v>
      </c>
      <c r="J78" s="14">
        <v>2022</v>
      </c>
      <c r="K78" s="18"/>
      <c r="L78" s="18"/>
      <c r="M78" s="14" t="s">
        <v>558</v>
      </c>
      <c r="N78" s="17" t="s">
        <v>559</v>
      </c>
      <c r="O78" s="14" t="s">
        <v>560</v>
      </c>
      <c r="P78" s="14" t="s">
        <v>561</v>
      </c>
      <c r="Q78" s="14" t="s">
        <v>285</v>
      </c>
      <c r="R78" s="18"/>
      <c r="S78" s="15"/>
      <c r="T78" s="15"/>
      <c r="U78" s="15"/>
      <c r="V78" s="15"/>
    </row>
    <row r="79" spans="1:22" x14ac:dyDescent="0.25">
      <c r="A79" s="14" t="s">
        <v>141</v>
      </c>
      <c r="B79" s="14" t="s">
        <v>562</v>
      </c>
      <c r="C79" s="14" t="s">
        <v>563</v>
      </c>
      <c r="D79" s="18"/>
      <c r="E79" s="14">
        <v>2022</v>
      </c>
      <c r="F79" s="18"/>
      <c r="G79" s="18"/>
      <c r="H79" s="14" t="s">
        <v>564</v>
      </c>
      <c r="I79" s="14" t="s">
        <v>153</v>
      </c>
      <c r="J79" s="14">
        <v>2022</v>
      </c>
      <c r="K79" s="14">
        <v>9781450394130</v>
      </c>
      <c r="L79" s="18"/>
      <c r="M79" s="18"/>
      <c r="N79" s="17" t="s">
        <v>565</v>
      </c>
      <c r="O79" s="14" t="s">
        <v>566</v>
      </c>
      <c r="P79" s="14" t="s">
        <v>567</v>
      </c>
      <c r="Q79" s="14" t="s">
        <v>568</v>
      </c>
      <c r="R79" s="18"/>
      <c r="S79" s="15"/>
      <c r="T79" s="15"/>
      <c r="U79" s="15"/>
      <c r="V79" s="15"/>
    </row>
    <row r="80" spans="1:22" x14ac:dyDescent="0.25">
      <c r="A80" s="14" t="s">
        <v>13</v>
      </c>
      <c r="B80" s="14" t="s">
        <v>569</v>
      </c>
      <c r="C80" s="14" t="s">
        <v>570</v>
      </c>
      <c r="D80" s="14" t="s">
        <v>136</v>
      </c>
      <c r="E80" s="14">
        <v>2022</v>
      </c>
      <c r="F80" s="14">
        <v>27</v>
      </c>
      <c r="G80" s="14">
        <v>6</v>
      </c>
      <c r="H80" s="18"/>
      <c r="I80" s="14" t="s">
        <v>137</v>
      </c>
      <c r="J80" s="14">
        <v>2022</v>
      </c>
      <c r="K80" s="18"/>
      <c r="L80" s="18"/>
      <c r="M80" s="14" t="s">
        <v>33</v>
      </c>
      <c r="N80" s="17" t="s">
        <v>571</v>
      </c>
      <c r="O80" s="14" t="s">
        <v>572</v>
      </c>
      <c r="P80" s="14" t="s">
        <v>573</v>
      </c>
      <c r="Q80" s="14" t="s">
        <v>404</v>
      </c>
      <c r="R80" s="18"/>
      <c r="S80" s="15"/>
      <c r="T80" s="15"/>
      <c r="U80" s="15"/>
      <c r="V80" s="15"/>
    </row>
    <row r="81" spans="1:22" x14ac:dyDescent="0.25">
      <c r="A81" s="14" t="s">
        <v>13</v>
      </c>
      <c r="B81" s="14" t="s">
        <v>574</v>
      </c>
      <c r="C81" s="14" t="s">
        <v>575</v>
      </c>
      <c r="D81" s="14" t="s">
        <v>576</v>
      </c>
      <c r="E81" s="14">
        <v>2022</v>
      </c>
      <c r="F81" s="14">
        <v>15</v>
      </c>
      <c r="G81" s="18"/>
      <c r="H81" s="14" t="s">
        <v>577</v>
      </c>
      <c r="I81" s="14" t="s">
        <v>257</v>
      </c>
      <c r="J81" s="14">
        <v>2022</v>
      </c>
      <c r="K81" s="18"/>
      <c r="L81" s="18"/>
      <c r="M81" s="14" t="s">
        <v>578</v>
      </c>
      <c r="N81" s="17" t="s">
        <v>579</v>
      </c>
      <c r="O81" s="14" t="s">
        <v>580</v>
      </c>
      <c r="P81" s="14" t="s">
        <v>581</v>
      </c>
      <c r="Q81" s="14" t="s">
        <v>285</v>
      </c>
      <c r="R81" s="18"/>
      <c r="S81" s="15"/>
      <c r="T81" s="15"/>
      <c r="U81" s="15"/>
      <c r="V81" s="15"/>
    </row>
    <row r="82" spans="1:22" x14ac:dyDescent="0.25">
      <c r="A82" s="14" t="s">
        <v>13</v>
      </c>
      <c r="B82" s="14" t="s">
        <v>77</v>
      </c>
      <c r="C82" s="14" t="s">
        <v>78</v>
      </c>
      <c r="D82" s="14" t="s">
        <v>582</v>
      </c>
      <c r="E82" s="14">
        <v>2022</v>
      </c>
      <c r="F82" s="14">
        <v>29</v>
      </c>
      <c r="G82" s="14">
        <v>2</v>
      </c>
      <c r="H82" s="18"/>
      <c r="I82" s="14" t="s">
        <v>137</v>
      </c>
      <c r="J82" s="14">
        <v>2022</v>
      </c>
      <c r="K82" s="18"/>
      <c r="L82" s="18"/>
      <c r="M82" s="14" t="s">
        <v>58</v>
      </c>
      <c r="N82" s="17" t="s">
        <v>583</v>
      </c>
      <c r="O82" s="14" t="s">
        <v>80</v>
      </c>
      <c r="P82" s="14" t="s">
        <v>584</v>
      </c>
      <c r="Q82" s="14" t="s">
        <v>585</v>
      </c>
      <c r="R82" s="18"/>
      <c r="S82" s="15"/>
      <c r="T82" s="15"/>
      <c r="U82" s="15"/>
      <c r="V82" s="15"/>
    </row>
    <row r="83" spans="1:22" x14ac:dyDescent="0.25">
      <c r="A83" s="14" t="s">
        <v>13</v>
      </c>
      <c r="B83" s="14" t="s">
        <v>586</v>
      </c>
      <c r="C83" s="14" t="s">
        <v>587</v>
      </c>
      <c r="D83" s="14" t="s">
        <v>588</v>
      </c>
      <c r="E83" s="14">
        <v>2022</v>
      </c>
      <c r="F83" s="14">
        <v>70</v>
      </c>
      <c r="G83" s="14">
        <v>2</v>
      </c>
      <c r="H83" s="14" t="s">
        <v>589</v>
      </c>
      <c r="I83" s="14" t="s">
        <v>590</v>
      </c>
      <c r="J83" s="14">
        <v>2022</v>
      </c>
      <c r="K83" s="18"/>
      <c r="L83" s="18"/>
      <c r="M83" s="14" t="s">
        <v>591</v>
      </c>
      <c r="N83" s="17" t="s">
        <v>592</v>
      </c>
      <c r="O83" s="14" t="s">
        <v>593</v>
      </c>
      <c r="P83" s="14" t="s">
        <v>594</v>
      </c>
      <c r="Q83" s="14" t="s">
        <v>595</v>
      </c>
      <c r="R83" s="18"/>
      <c r="S83" s="15"/>
      <c r="T83" s="15"/>
      <c r="U83" s="15"/>
      <c r="V83" s="15"/>
    </row>
    <row r="84" spans="1:22" x14ac:dyDescent="0.25">
      <c r="A84" s="14" t="s">
        <v>13</v>
      </c>
      <c r="B84" s="14" t="s">
        <v>596</v>
      </c>
      <c r="C84" s="14" t="s">
        <v>597</v>
      </c>
      <c r="D84" s="14" t="s">
        <v>598</v>
      </c>
      <c r="E84" s="14">
        <v>2022</v>
      </c>
      <c r="F84" s="14">
        <v>33</v>
      </c>
      <c r="G84" s="14">
        <v>11</v>
      </c>
      <c r="H84" s="14" t="s">
        <v>599</v>
      </c>
      <c r="I84" s="14" t="s">
        <v>600</v>
      </c>
      <c r="J84" s="14">
        <v>2022</v>
      </c>
      <c r="K84" s="18"/>
      <c r="L84" s="18"/>
      <c r="M84" s="14" t="s">
        <v>601</v>
      </c>
      <c r="N84" s="17" t="s">
        <v>602</v>
      </c>
      <c r="O84" s="14" t="s">
        <v>603</v>
      </c>
      <c r="P84" s="14" t="s">
        <v>604</v>
      </c>
      <c r="Q84" s="14" t="s">
        <v>157</v>
      </c>
      <c r="R84" s="18"/>
      <c r="S84" s="15"/>
      <c r="T84" s="15"/>
      <c r="U84" s="15"/>
      <c r="V84" s="15"/>
    </row>
    <row r="85" spans="1:22" x14ac:dyDescent="0.25">
      <c r="A85" s="14" t="s">
        <v>141</v>
      </c>
      <c r="B85" s="14" t="s">
        <v>605</v>
      </c>
      <c r="C85" s="14" t="s">
        <v>606</v>
      </c>
      <c r="D85" s="18"/>
      <c r="E85" s="14">
        <v>2022</v>
      </c>
      <c r="F85" s="18"/>
      <c r="G85" s="18"/>
      <c r="H85" s="14" t="s">
        <v>607</v>
      </c>
      <c r="I85" s="14" t="s">
        <v>145</v>
      </c>
      <c r="J85" s="14">
        <v>2022</v>
      </c>
      <c r="K85" s="14">
        <v>9781450397353</v>
      </c>
      <c r="L85" s="18"/>
      <c r="M85" s="18"/>
      <c r="N85" s="17" t="s">
        <v>608</v>
      </c>
      <c r="O85" s="14" t="s">
        <v>609</v>
      </c>
      <c r="P85" s="14" t="s">
        <v>610</v>
      </c>
      <c r="Q85" s="14" t="s">
        <v>157</v>
      </c>
      <c r="R85" s="18"/>
      <c r="S85" s="15"/>
      <c r="T85" s="15"/>
      <c r="U85" s="15"/>
      <c r="V85" s="15"/>
    </row>
    <row r="86" spans="1:22" x14ac:dyDescent="0.25">
      <c r="A86" s="14" t="s">
        <v>141</v>
      </c>
      <c r="B86" s="14" t="s">
        <v>611</v>
      </c>
      <c r="C86" s="14" t="s">
        <v>612</v>
      </c>
      <c r="D86" s="18"/>
      <c r="E86" s="14">
        <v>2022</v>
      </c>
      <c r="F86" s="14">
        <v>3272</v>
      </c>
      <c r="G86" s="18"/>
      <c r="H86" s="18"/>
      <c r="I86" s="14" t="s">
        <v>613</v>
      </c>
      <c r="J86" s="14">
        <v>2022</v>
      </c>
      <c r="K86" s="18"/>
      <c r="L86" s="18"/>
      <c r="M86" s="14" t="s">
        <v>614</v>
      </c>
      <c r="N86" s="17" t="s">
        <v>615</v>
      </c>
      <c r="O86" s="18"/>
      <c r="P86" s="14" t="s">
        <v>616</v>
      </c>
      <c r="Q86" s="14" t="s">
        <v>157</v>
      </c>
      <c r="R86" s="18"/>
      <c r="S86" s="15"/>
      <c r="T86" s="15"/>
      <c r="U86" s="15"/>
      <c r="V86" s="15"/>
    </row>
    <row r="87" spans="1:22" x14ac:dyDescent="0.25">
      <c r="A87" s="14" t="s">
        <v>141</v>
      </c>
      <c r="B87" s="14" t="s">
        <v>617</v>
      </c>
      <c r="C87" s="14" t="s">
        <v>618</v>
      </c>
      <c r="D87" s="18"/>
      <c r="E87" s="14">
        <v>2022</v>
      </c>
      <c r="F87" s="18"/>
      <c r="G87" s="18"/>
      <c r="H87" s="18"/>
      <c r="I87" s="14" t="s">
        <v>257</v>
      </c>
      <c r="J87" s="14">
        <v>2022</v>
      </c>
      <c r="K87" s="14">
        <v>9781665485104</v>
      </c>
      <c r="L87" s="18"/>
      <c r="M87" s="18"/>
      <c r="N87" s="17" t="s">
        <v>619</v>
      </c>
      <c r="O87" s="14" t="s">
        <v>620</v>
      </c>
      <c r="P87" s="14" t="s">
        <v>621</v>
      </c>
      <c r="Q87" s="14" t="s">
        <v>157</v>
      </c>
      <c r="R87" s="18"/>
      <c r="S87" s="15"/>
      <c r="T87" s="15"/>
      <c r="U87" s="15"/>
      <c r="V87" s="15"/>
    </row>
    <row r="88" spans="1:22" x14ac:dyDescent="0.25">
      <c r="A88" s="14" t="s">
        <v>141</v>
      </c>
      <c r="B88" s="14" t="s">
        <v>622</v>
      </c>
      <c r="C88" s="14" t="s">
        <v>623</v>
      </c>
      <c r="D88" s="18"/>
      <c r="E88" s="14">
        <v>2022</v>
      </c>
      <c r="F88" s="18"/>
      <c r="G88" s="18"/>
      <c r="H88" s="18"/>
      <c r="I88" s="14" t="s">
        <v>624</v>
      </c>
      <c r="J88" s="14">
        <v>2022</v>
      </c>
      <c r="K88" s="18"/>
      <c r="L88" s="18"/>
      <c r="M88" s="14" t="s">
        <v>625</v>
      </c>
      <c r="N88" s="17" t="s">
        <v>626</v>
      </c>
      <c r="O88" s="14" t="s">
        <v>627</v>
      </c>
      <c r="P88" s="14" t="s">
        <v>628</v>
      </c>
      <c r="Q88" s="14" t="s">
        <v>157</v>
      </c>
      <c r="R88" s="18"/>
      <c r="S88" s="15"/>
      <c r="T88" s="15"/>
      <c r="U88" s="15"/>
      <c r="V88" s="15"/>
    </row>
    <row r="89" spans="1:22" x14ac:dyDescent="0.25">
      <c r="A89" s="14" t="s">
        <v>13</v>
      </c>
      <c r="B89" s="14" t="s">
        <v>43</v>
      </c>
      <c r="C89" s="14" t="s">
        <v>44</v>
      </c>
      <c r="D89" s="14" t="s">
        <v>629</v>
      </c>
      <c r="E89" s="14">
        <v>2023</v>
      </c>
      <c r="F89" s="14">
        <v>17</v>
      </c>
      <c r="G89" s="14">
        <v>3</v>
      </c>
      <c r="H89" s="18"/>
      <c r="I89" s="14" t="s">
        <v>630</v>
      </c>
      <c r="J89" s="14">
        <v>2023</v>
      </c>
      <c r="K89" s="18"/>
      <c r="L89" s="18"/>
      <c r="M89" s="14" t="s">
        <v>46</v>
      </c>
      <c r="N89" s="17" t="s">
        <v>631</v>
      </c>
      <c r="O89" s="14" t="s">
        <v>48</v>
      </c>
      <c r="P89" s="14" t="s">
        <v>632</v>
      </c>
      <c r="Q89" s="14" t="s">
        <v>157</v>
      </c>
      <c r="R89" s="18"/>
      <c r="S89" s="15"/>
      <c r="T89" s="15"/>
      <c r="U89" s="15"/>
      <c r="V89" s="15"/>
    </row>
    <row r="90" spans="1:22" x14ac:dyDescent="0.25">
      <c r="A90" s="14" t="s">
        <v>141</v>
      </c>
      <c r="B90" s="14" t="s">
        <v>633</v>
      </c>
      <c r="C90" s="14" t="s">
        <v>634</v>
      </c>
      <c r="D90" s="18"/>
      <c r="E90" s="14">
        <v>2022</v>
      </c>
      <c r="F90" s="18"/>
      <c r="G90" s="18"/>
      <c r="H90" s="14" t="s">
        <v>635</v>
      </c>
      <c r="I90" s="14" t="s">
        <v>153</v>
      </c>
      <c r="J90" s="14">
        <v>2022</v>
      </c>
      <c r="K90" s="14">
        <v>9781450398602</v>
      </c>
      <c r="L90" s="18"/>
      <c r="M90" s="18"/>
      <c r="N90" s="17" t="s">
        <v>636</v>
      </c>
      <c r="O90" s="14" t="s">
        <v>637</v>
      </c>
      <c r="P90" s="14" t="s">
        <v>638</v>
      </c>
      <c r="Q90" s="14" t="s">
        <v>568</v>
      </c>
      <c r="R90" s="18"/>
      <c r="S90" s="15"/>
      <c r="T90" s="15"/>
      <c r="U90" s="15"/>
      <c r="V90" s="15"/>
    </row>
    <row r="91" spans="1:22" x14ac:dyDescent="0.25">
      <c r="A91" s="14" t="s">
        <v>13</v>
      </c>
      <c r="B91" s="14" t="s">
        <v>639</v>
      </c>
      <c r="C91" s="14" t="s">
        <v>640</v>
      </c>
      <c r="D91" s="14" t="s">
        <v>354</v>
      </c>
      <c r="E91" s="14">
        <v>2023</v>
      </c>
      <c r="F91" s="14">
        <v>198</v>
      </c>
      <c r="G91" s="18"/>
      <c r="H91" s="18"/>
      <c r="I91" s="14" t="s">
        <v>355</v>
      </c>
      <c r="J91" s="14">
        <v>2023</v>
      </c>
      <c r="K91" s="18"/>
      <c r="L91" s="18"/>
      <c r="M91" s="14" t="s">
        <v>65</v>
      </c>
      <c r="N91" s="17" t="s">
        <v>641</v>
      </c>
      <c r="O91" s="14" t="s">
        <v>642</v>
      </c>
      <c r="P91" s="14" t="s">
        <v>643</v>
      </c>
      <c r="Q91" s="14" t="s">
        <v>404</v>
      </c>
      <c r="R91" s="18"/>
      <c r="S91" s="15"/>
      <c r="T91" s="15"/>
      <c r="U91" s="15"/>
      <c r="V91" s="15"/>
    </row>
    <row r="92" spans="1:22" x14ac:dyDescent="0.25">
      <c r="A92" s="14" t="s">
        <v>141</v>
      </c>
      <c r="B92" s="14" t="s">
        <v>644</v>
      </c>
      <c r="C92" s="14" t="s">
        <v>645</v>
      </c>
      <c r="D92" s="18"/>
      <c r="E92" s="14">
        <v>2022</v>
      </c>
      <c r="F92" s="18"/>
      <c r="G92" s="18"/>
      <c r="H92" s="18"/>
      <c r="I92" s="14" t="s">
        <v>145</v>
      </c>
      <c r="J92" s="14">
        <v>2022</v>
      </c>
      <c r="K92" s="14">
        <v>9781450391573</v>
      </c>
      <c r="L92" s="18"/>
      <c r="M92" s="18"/>
      <c r="N92" s="17" t="s">
        <v>646</v>
      </c>
      <c r="O92" s="14" t="s">
        <v>647</v>
      </c>
      <c r="P92" s="14" t="s">
        <v>648</v>
      </c>
      <c r="Q92" s="14" t="s">
        <v>318</v>
      </c>
      <c r="R92" s="18"/>
      <c r="S92" s="15"/>
      <c r="T92" s="15"/>
      <c r="U92" s="15"/>
      <c r="V92" s="15"/>
    </row>
    <row r="93" spans="1:22" x14ac:dyDescent="0.25">
      <c r="A93" s="14" t="s">
        <v>141</v>
      </c>
      <c r="B93" s="14" t="s">
        <v>649</v>
      </c>
      <c r="C93" s="14" t="s">
        <v>650</v>
      </c>
      <c r="D93" s="18"/>
      <c r="E93" s="14">
        <v>2022</v>
      </c>
      <c r="F93" s="18"/>
      <c r="G93" s="18"/>
      <c r="H93" s="14" t="s">
        <v>651</v>
      </c>
      <c r="I93" s="14" t="s">
        <v>196</v>
      </c>
      <c r="J93" s="14">
        <v>2022</v>
      </c>
      <c r="K93" s="14">
        <v>9781450394277</v>
      </c>
      <c r="L93" s="18"/>
      <c r="M93" s="14" t="s">
        <v>197</v>
      </c>
      <c r="N93" s="17" t="s">
        <v>652</v>
      </c>
      <c r="O93" s="14" t="s">
        <v>653</v>
      </c>
      <c r="P93" s="14" t="s">
        <v>654</v>
      </c>
      <c r="Q93" s="14" t="s">
        <v>157</v>
      </c>
      <c r="R93" s="18"/>
      <c r="S93" s="15"/>
      <c r="T93" s="15"/>
      <c r="U93" s="15"/>
      <c r="V93" s="15"/>
    </row>
    <row r="94" spans="1:22" x14ac:dyDescent="0.25">
      <c r="A94" s="14" t="s">
        <v>13</v>
      </c>
      <c r="B94" s="14" t="s">
        <v>655</v>
      </c>
      <c r="C94" s="14" t="s">
        <v>656</v>
      </c>
      <c r="D94" s="14" t="s">
        <v>279</v>
      </c>
      <c r="E94" s="14">
        <v>2022</v>
      </c>
      <c r="F94" s="14">
        <v>19</v>
      </c>
      <c r="G94" s="18"/>
      <c r="H94" s="18"/>
      <c r="I94" s="14" t="s">
        <v>280</v>
      </c>
      <c r="J94" s="14">
        <v>2022</v>
      </c>
      <c r="K94" s="18"/>
      <c r="L94" s="18"/>
      <c r="M94" s="14" t="s">
        <v>281</v>
      </c>
      <c r="N94" s="17" t="s">
        <v>657</v>
      </c>
      <c r="O94" s="14" t="s">
        <v>658</v>
      </c>
      <c r="P94" s="14" t="s">
        <v>659</v>
      </c>
      <c r="Q94" s="14" t="s">
        <v>285</v>
      </c>
      <c r="R94" s="18"/>
      <c r="S94" s="15"/>
      <c r="T94" s="15"/>
      <c r="U94" s="15"/>
      <c r="V94" s="15"/>
    </row>
    <row r="95" spans="1:22" x14ac:dyDescent="0.25">
      <c r="A95" s="14" t="s">
        <v>141</v>
      </c>
      <c r="B95" s="14" t="s">
        <v>660</v>
      </c>
      <c r="C95" s="14" t="s">
        <v>661</v>
      </c>
      <c r="D95" s="18"/>
      <c r="E95" s="14">
        <v>2022</v>
      </c>
      <c r="F95" s="18"/>
      <c r="G95" s="18"/>
      <c r="H95" s="14" t="s">
        <v>662</v>
      </c>
      <c r="I95" s="14" t="s">
        <v>145</v>
      </c>
      <c r="J95" s="14">
        <v>2022</v>
      </c>
      <c r="K95" s="14">
        <v>9781450395717</v>
      </c>
      <c r="L95" s="18"/>
      <c r="M95" s="18"/>
      <c r="N95" s="17" t="s">
        <v>663</v>
      </c>
      <c r="O95" s="14" t="s">
        <v>664</v>
      </c>
      <c r="P95" s="14" t="s">
        <v>665</v>
      </c>
      <c r="Q95" s="14" t="s">
        <v>157</v>
      </c>
      <c r="R95" s="18"/>
      <c r="S95" s="15"/>
      <c r="T95" s="15"/>
      <c r="U95" s="15"/>
      <c r="V95" s="15"/>
    </row>
    <row r="96" spans="1:22" x14ac:dyDescent="0.25">
      <c r="A96" s="14" t="s">
        <v>13</v>
      </c>
      <c r="B96" s="14" t="s">
        <v>666</v>
      </c>
      <c r="C96" s="14" t="s">
        <v>667</v>
      </c>
      <c r="D96" s="14" t="s">
        <v>668</v>
      </c>
      <c r="E96" s="14">
        <v>2022</v>
      </c>
      <c r="F96" s="14">
        <v>10</v>
      </c>
      <c r="G96" s="18"/>
      <c r="H96" s="14" t="s">
        <v>669</v>
      </c>
      <c r="I96" s="14" t="s">
        <v>257</v>
      </c>
      <c r="J96" s="14">
        <v>2022</v>
      </c>
      <c r="K96" s="18"/>
      <c r="L96" s="18"/>
      <c r="M96" s="14" t="s">
        <v>670</v>
      </c>
      <c r="N96" s="17" t="s">
        <v>671</v>
      </c>
      <c r="O96" s="14" t="s">
        <v>672</v>
      </c>
      <c r="P96" s="14" t="s">
        <v>673</v>
      </c>
      <c r="Q96" s="14" t="s">
        <v>285</v>
      </c>
      <c r="R96" s="18"/>
      <c r="S96" s="15"/>
      <c r="T96" s="15"/>
      <c r="U96" s="15"/>
      <c r="V96" s="15"/>
    </row>
    <row r="97" spans="1:22" x14ac:dyDescent="0.25">
      <c r="A97" s="14" t="s">
        <v>13</v>
      </c>
      <c r="B97" s="14" t="s">
        <v>674</v>
      </c>
      <c r="C97" s="14" t="s">
        <v>675</v>
      </c>
      <c r="D97" s="14" t="s">
        <v>676</v>
      </c>
      <c r="E97" s="14">
        <v>2023</v>
      </c>
      <c r="F97" s="14" t="s">
        <v>677</v>
      </c>
      <c r="G97" s="18"/>
      <c r="H97" s="14" t="s">
        <v>678</v>
      </c>
      <c r="I97" s="14" t="s">
        <v>212</v>
      </c>
      <c r="J97" s="14">
        <v>2023</v>
      </c>
      <c r="K97" s="18"/>
      <c r="L97" s="18"/>
      <c r="M97" s="14" t="s">
        <v>679</v>
      </c>
      <c r="N97" s="17" t="s">
        <v>680</v>
      </c>
      <c r="O97" s="14" t="s">
        <v>681</v>
      </c>
      <c r="P97" s="14" t="s">
        <v>682</v>
      </c>
      <c r="Q97" s="14" t="s">
        <v>157</v>
      </c>
      <c r="R97" s="18"/>
      <c r="S97" s="15"/>
      <c r="T97" s="15"/>
      <c r="U97" s="15"/>
      <c r="V97" s="15"/>
    </row>
    <row r="98" spans="1:22" x14ac:dyDescent="0.25">
      <c r="A98" s="14" t="s">
        <v>141</v>
      </c>
      <c r="B98" s="14" t="s">
        <v>683</v>
      </c>
      <c r="C98" s="14" t="s">
        <v>684</v>
      </c>
      <c r="D98" s="18"/>
      <c r="E98" s="14">
        <v>2022</v>
      </c>
      <c r="F98" s="14">
        <v>115</v>
      </c>
      <c r="G98" s="18"/>
      <c r="H98" s="14" t="s">
        <v>685</v>
      </c>
      <c r="I98" s="14" t="s">
        <v>280</v>
      </c>
      <c r="J98" s="14">
        <v>2022</v>
      </c>
      <c r="K98" s="18"/>
      <c r="L98" s="18"/>
      <c r="M98" s="14" t="s">
        <v>456</v>
      </c>
      <c r="N98" s="17" t="s">
        <v>686</v>
      </c>
      <c r="O98" s="14" t="s">
        <v>687</v>
      </c>
      <c r="P98" s="14" t="s">
        <v>688</v>
      </c>
      <c r="Q98" s="14" t="s">
        <v>285</v>
      </c>
      <c r="R98" s="18"/>
      <c r="S98" s="15"/>
      <c r="T98" s="15"/>
      <c r="U98" s="15"/>
      <c r="V98" s="15"/>
    </row>
    <row r="99" spans="1:22" x14ac:dyDescent="0.25">
      <c r="A99" s="14" t="s">
        <v>13</v>
      </c>
      <c r="B99" s="14" t="s">
        <v>689</v>
      </c>
      <c r="C99" s="14" t="s">
        <v>690</v>
      </c>
      <c r="D99" s="14" t="s">
        <v>691</v>
      </c>
      <c r="E99" s="14">
        <v>2022</v>
      </c>
      <c r="F99" s="18"/>
      <c r="G99" s="18"/>
      <c r="H99" s="18"/>
      <c r="I99" s="14" t="s">
        <v>212</v>
      </c>
      <c r="J99" s="14">
        <v>2022</v>
      </c>
      <c r="K99" s="18"/>
      <c r="L99" s="18"/>
      <c r="M99" s="14" t="s">
        <v>692</v>
      </c>
      <c r="N99" s="17" t="s">
        <v>693</v>
      </c>
      <c r="O99" s="14" t="s">
        <v>694</v>
      </c>
      <c r="P99" s="14" t="s">
        <v>695</v>
      </c>
      <c r="Q99" s="14" t="s">
        <v>166</v>
      </c>
      <c r="R99" s="18"/>
      <c r="S99" s="15"/>
      <c r="T99" s="15"/>
      <c r="U99" s="15"/>
      <c r="V99" s="15"/>
    </row>
    <row r="100" spans="1:22" x14ac:dyDescent="0.25">
      <c r="A100" s="14" t="s">
        <v>13</v>
      </c>
      <c r="B100" s="14" t="s">
        <v>696</v>
      </c>
      <c r="C100" s="14" t="s">
        <v>697</v>
      </c>
      <c r="D100" s="14" t="s">
        <v>698</v>
      </c>
      <c r="E100" s="14">
        <v>2022</v>
      </c>
      <c r="F100" s="14">
        <v>59</v>
      </c>
      <c r="G100" s="14">
        <v>11</v>
      </c>
      <c r="H100" s="14" t="s">
        <v>699</v>
      </c>
      <c r="I100" s="14" t="s">
        <v>700</v>
      </c>
      <c r="J100" s="14">
        <v>2022</v>
      </c>
      <c r="K100" s="18"/>
      <c r="L100" s="18"/>
      <c r="M100" s="14" t="s">
        <v>701</v>
      </c>
      <c r="N100" s="17" t="s">
        <v>702</v>
      </c>
      <c r="O100" s="14" t="s">
        <v>703</v>
      </c>
      <c r="P100" s="14" t="s">
        <v>704</v>
      </c>
      <c r="Q100" s="14" t="s">
        <v>157</v>
      </c>
      <c r="R100" s="18"/>
      <c r="S100" s="15"/>
      <c r="T100" s="15"/>
      <c r="U100" s="15"/>
      <c r="V100" s="15"/>
    </row>
    <row r="101" spans="1:22" x14ac:dyDescent="0.25">
      <c r="A101" s="14" t="s">
        <v>13</v>
      </c>
      <c r="B101" s="14" t="s">
        <v>705</v>
      </c>
      <c r="C101" s="14" t="s">
        <v>706</v>
      </c>
      <c r="D101" s="14" t="s">
        <v>707</v>
      </c>
      <c r="E101" s="14">
        <v>2022</v>
      </c>
      <c r="F101" s="14">
        <v>31</v>
      </c>
      <c r="G101" s="14">
        <v>3</v>
      </c>
      <c r="H101" s="18"/>
      <c r="I101" s="14" t="s">
        <v>280</v>
      </c>
      <c r="J101" s="14">
        <v>2022</v>
      </c>
      <c r="K101" s="18"/>
      <c r="L101" s="18"/>
      <c r="M101" s="14" t="s">
        <v>708</v>
      </c>
      <c r="N101" s="17" t="s">
        <v>709</v>
      </c>
      <c r="O101" s="14" t="s">
        <v>710</v>
      </c>
      <c r="P101" s="14" t="s">
        <v>711</v>
      </c>
      <c r="Q101" s="14" t="s">
        <v>166</v>
      </c>
      <c r="R101" s="18"/>
      <c r="S101" s="15"/>
      <c r="T101" s="15"/>
      <c r="U101" s="15"/>
      <c r="V101" s="15"/>
    </row>
    <row r="102" spans="1:22" x14ac:dyDescent="0.25">
      <c r="A102" s="14" t="s">
        <v>13</v>
      </c>
      <c r="B102" s="14" t="s">
        <v>712</v>
      </c>
      <c r="C102" s="14" t="s">
        <v>713</v>
      </c>
      <c r="D102" s="14" t="s">
        <v>714</v>
      </c>
      <c r="E102" s="14">
        <v>2022</v>
      </c>
      <c r="F102" s="14">
        <v>14</v>
      </c>
      <c r="G102" s="14">
        <v>4</v>
      </c>
      <c r="H102" s="14" t="s">
        <v>715</v>
      </c>
      <c r="I102" s="14" t="s">
        <v>212</v>
      </c>
      <c r="J102" s="14">
        <v>2022</v>
      </c>
      <c r="K102" s="18"/>
      <c r="L102" s="18"/>
      <c r="M102" s="14" t="s">
        <v>716</v>
      </c>
      <c r="N102" s="17" t="s">
        <v>717</v>
      </c>
      <c r="O102" s="14" t="s">
        <v>718</v>
      </c>
      <c r="P102" s="14" t="s">
        <v>719</v>
      </c>
      <c r="Q102" s="14" t="s">
        <v>166</v>
      </c>
      <c r="R102" s="18"/>
      <c r="S102" s="15"/>
      <c r="T102" s="15"/>
      <c r="U102" s="15"/>
      <c r="V102" s="15"/>
    </row>
    <row r="103" spans="1:22" x14ac:dyDescent="0.25">
      <c r="A103" s="14" t="s">
        <v>13</v>
      </c>
      <c r="B103" s="14" t="s">
        <v>88</v>
      </c>
      <c r="C103" s="14" t="s">
        <v>89</v>
      </c>
      <c r="D103" s="14" t="s">
        <v>347</v>
      </c>
      <c r="E103" s="14">
        <v>2022</v>
      </c>
      <c r="F103" s="14">
        <v>71</v>
      </c>
      <c r="G103" s="14">
        <v>3</v>
      </c>
      <c r="H103" s="14" t="s">
        <v>720</v>
      </c>
      <c r="I103" s="14" t="s">
        <v>257</v>
      </c>
      <c r="J103" s="14">
        <v>2022</v>
      </c>
      <c r="K103" s="18"/>
      <c r="L103" s="18"/>
      <c r="M103" s="14" t="s">
        <v>92</v>
      </c>
      <c r="N103" s="17" t="s">
        <v>721</v>
      </c>
      <c r="O103" s="14" t="s">
        <v>94</v>
      </c>
      <c r="P103" s="14" t="s">
        <v>722</v>
      </c>
      <c r="Q103" s="14" t="s">
        <v>318</v>
      </c>
      <c r="R103" s="18"/>
      <c r="S103" s="15"/>
      <c r="T103" s="15"/>
      <c r="U103" s="15"/>
      <c r="V103" s="15"/>
    </row>
    <row r="104" spans="1:22" x14ac:dyDescent="0.25">
      <c r="A104" s="14" t="s">
        <v>13</v>
      </c>
      <c r="B104" s="14" t="s">
        <v>723</v>
      </c>
      <c r="C104" s="14" t="s">
        <v>724</v>
      </c>
      <c r="D104" s="14" t="s">
        <v>136</v>
      </c>
      <c r="E104" s="14">
        <v>2022</v>
      </c>
      <c r="F104" s="14">
        <v>27</v>
      </c>
      <c r="G104" s="14">
        <v>3</v>
      </c>
      <c r="H104" s="18"/>
      <c r="I104" s="14" t="s">
        <v>137</v>
      </c>
      <c r="J104" s="14">
        <v>2022</v>
      </c>
      <c r="K104" s="18"/>
      <c r="L104" s="18"/>
      <c r="M104" s="14" t="s">
        <v>33</v>
      </c>
      <c r="N104" s="17" t="s">
        <v>725</v>
      </c>
      <c r="O104" s="14" t="s">
        <v>726</v>
      </c>
      <c r="P104" s="14" t="s">
        <v>727</v>
      </c>
      <c r="Q104" s="14" t="s">
        <v>206</v>
      </c>
      <c r="R104" s="18"/>
      <c r="S104" s="15"/>
      <c r="T104" s="15"/>
      <c r="U104" s="15"/>
      <c r="V104" s="15"/>
    </row>
    <row r="105" spans="1:22" x14ac:dyDescent="0.25">
      <c r="A105" s="14" t="s">
        <v>141</v>
      </c>
      <c r="B105" s="14" t="s">
        <v>728</v>
      </c>
      <c r="C105" s="14" t="s">
        <v>729</v>
      </c>
      <c r="D105" s="18"/>
      <c r="E105" s="14">
        <v>2022</v>
      </c>
      <c r="F105" s="18"/>
      <c r="G105" s="18"/>
      <c r="H105" s="14" t="s">
        <v>730</v>
      </c>
      <c r="I105" s="14" t="s">
        <v>153</v>
      </c>
      <c r="J105" s="14">
        <v>2022</v>
      </c>
      <c r="K105" s="14">
        <v>9781450394567</v>
      </c>
      <c r="L105" s="18"/>
      <c r="M105" s="18"/>
      <c r="N105" s="17" t="s">
        <v>731</v>
      </c>
      <c r="O105" s="14" t="s">
        <v>732</v>
      </c>
      <c r="P105" s="14" t="s">
        <v>733</v>
      </c>
      <c r="Q105" s="14" t="s">
        <v>404</v>
      </c>
      <c r="R105" s="18"/>
      <c r="S105" s="15"/>
      <c r="T105" s="15"/>
      <c r="U105" s="15"/>
      <c r="V105" s="15"/>
    </row>
    <row r="106" spans="1:22" x14ac:dyDescent="0.25">
      <c r="A106" s="14" t="s">
        <v>13</v>
      </c>
      <c r="B106" s="14" t="s">
        <v>734</v>
      </c>
      <c r="C106" s="14" t="s">
        <v>735</v>
      </c>
      <c r="D106" s="14" t="s">
        <v>736</v>
      </c>
      <c r="E106" s="14">
        <v>2023</v>
      </c>
      <c r="F106" s="18"/>
      <c r="G106" s="18"/>
      <c r="H106" s="18"/>
      <c r="I106" s="14" t="s">
        <v>212</v>
      </c>
      <c r="J106" s="14">
        <v>2023</v>
      </c>
      <c r="K106" s="18"/>
      <c r="L106" s="18"/>
      <c r="M106" s="14" t="s">
        <v>737</v>
      </c>
      <c r="N106" s="17" t="s">
        <v>738</v>
      </c>
      <c r="O106" s="14" t="s">
        <v>739</v>
      </c>
      <c r="P106" s="14" t="s">
        <v>740</v>
      </c>
      <c r="Q106" s="14" t="s">
        <v>404</v>
      </c>
      <c r="R106" s="18"/>
      <c r="S106" s="15"/>
      <c r="T106" s="15"/>
      <c r="U106" s="15"/>
      <c r="V106" s="15"/>
    </row>
    <row r="107" spans="1:22" x14ac:dyDescent="0.25">
      <c r="A107" s="14" t="s">
        <v>13</v>
      </c>
      <c r="B107" s="14" t="s">
        <v>741</v>
      </c>
      <c r="C107" s="14" t="s">
        <v>742</v>
      </c>
      <c r="D107" s="14" t="s">
        <v>255</v>
      </c>
      <c r="E107" s="14">
        <v>2022</v>
      </c>
      <c r="F107" s="14">
        <v>48</v>
      </c>
      <c r="G107" s="14">
        <v>3</v>
      </c>
      <c r="H107" s="14" t="s">
        <v>743</v>
      </c>
      <c r="I107" s="14" t="s">
        <v>257</v>
      </c>
      <c r="J107" s="14">
        <v>2022</v>
      </c>
      <c r="K107" s="18"/>
      <c r="L107" s="18"/>
      <c r="M107" s="14" t="s">
        <v>18</v>
      </c>
      <c r="N107" s="17" t="s">
        <v>744</v>
      </c>
      <c r="O107" s="14" t="s">
        <v>745</v>
      </c>
      <c r="P107" s="14" t="s">
        <v>746</v>
      </c>
      <c r="Q107" s="14" t="s">
        <v>747</v>
      </c>
      <c r="R107" s="18"/>
      <c r="S107" s="15"/>
      <c r="T107" s="15"/>
      <c r="U107" s="15"/>
      <c r="V107" s="15"/>
    </row>
    <row r="108" spans="1:22" x14ac:dyDescent="0.25">
      <c r="A108" s="14" t="s">
        <v>141</v>
      </c>
      <c r="B108" s="14" t="s">
        <v>748</v>
      </c>
      <c r="C108" s="14" t="s">
        <v>749</v>
      </c>
      <c r="D108" s="18"/>
      <c r="E108" s="14">
        <v>2022</v>
      </c>
      <c r="F108" s="14">
        <v>3231</v>
      </c>
      <c r="G108" s="18"/>
      <c r="H108" s="14" t="s">
        <v>750</v>
      </c>
      <c r="I108" s="14" t="s">
        <v>613</v>
      </c>
      <c r="J108" s="14">
        <v>2022</v>
      </c>
      <c r="K108" s="18"/>
      <c r="L108" s="18"/>
      <c r="M108" s="14" t="s">
        <v>614</v>
      </c>
      <c r="N108" s="17" t="s">
        <v>751</v>
      </c>
      <c r="O108" s="18"/>
      <c r="P108" s="14" t="s">
        <v>752</v>
      </c>
      <c r="Q108" s="14" t="s">
        <v>157</v>
      </c>
      <c r="R108" s="18"/>
      <c r="S108" s="15"/>
      <c r="T108" s="15"/>
      <c r="U108" s="15"/>
      <c r="V108" s="15"/>
    </row>
    <row r="109" spans="1:22" x14ac:dyDescent="0.25">
      <c r="A109" s="14" t="s">
        <v>13</v>
      </c>
      <c r="B109" s="14" t="s">
        <v>753</v>
      </c>
      <c r="C109" s="14" t="s">
        <v>754</v>
      </c>
      <c r="D109" s="14" t="s">
        <v>755</v>
      </c>
      <c r="E109" s="14">
        <v>2022</v>
      </c>
      <c r="F109" s="14">
        <v>38</v>
      </c>
      <c r="G109" s="14">
        <v>5</v>
      </c>
      <c r="H109" s="14" t="s">
        <v>756</v>
      </c>
      <c r="I109" s="14" t="s">
        <v>757</v>
      </c>
      <c r="J109" s="14">
        <v>2022</v>
      </c>
      <c r="K109" s="18"/>
      <c r="L109" s="18"/>
      <c r="M109" s="14" t="s">
        <v>758</v>
      </c>
      <c r="N109" s="17" t="s">
        <v>759</v>
      </c>
      <c r="O109" s="14" t="s">
        <v>760</v>
      </c>
      <c r="P109" s="14" t="s">
        <v>761</v>
      </c>
      <c r="Q109" s="14" t="s">
        <v>585</v>
      </c>
      <c r="R109" s="18"/>
      <c r="S109" s="15"/>
      <c r="T109" s="15"/>
      <c r="U109" s="15"/>
      <c r="V109" s="15"/>
    </row>
    <row r="110" spans="1:22" x14ac:dyDescent="0.25">
      <c r="A110" s="14" t="s">
        <v>13</v>
      </c>
      <c r="B110" s="14" t="s">
        <v>762</v>
      </c>
      <c r="C110" s="14" t="s">
        <v>763</v>
      </c>
      <c r="D110" s="14" t="s">
        <v>354</v>
      </c>
      <c r="E110" s="14">
        <v>2022</v>
      </c>
      <c r="F110" s="14">
        <v>193</v>
      </c>
      <c r="G110" s="18"/>
      <c r="H110" s="18"/>
      <c r="I110" s="14" t="s">
        <v>355</v>
      </c>
      <c r="J110" s="14">
        <v>2022</v>
      </c>
      <c r="K110" s="18"/>
      <c r="L110" s="18"/>
      <c r="M110" s="14" t="s">
        <v>65</v>
      </c>
      <c r="N110" s="17" t="s">
        <v>764</v>
      </c>
      <c r="O110" s="14" t="s">
        <v>765</v>
      </c>
      <c r="P110" s="14" t="s">
        <v>766</v>
      </c>
      <c r="Q110" s="14" t="s">
        <v>157</v>
      </c>
      <c r="R110" s="18"/>
      <c r="S110" s="15"/>
      <c r="T110" s="15"/>
      <c r="U110" s="15"/>
      <c r="V110" s="15"/>
    </row>
    <row r="111" spans="1:22" x14ac:dyDescent="0.25">
      <c r="A111" s="14" t="s">
        <v>13</v>
      </c>
      <c r="B111" s="14" t="s">
        <v>767</v>
      </c>
      <c r="C111" s="14" t="s">
        <v>768</v>
      </c>
      <c r="D111" s="14" t="s">
        <v>264</v>
      </c>
      <c r="E111" s="14">
        <v>2022</v>
      </c>
      <c r="F111" s="14">
        <v>52</v>
      </c>
      <c r="G111" s="14">
        <v>8</v>
      </c>
      <c r="H111" s="14" t="s">
        <v>769</v>
      </c>
      <c r="I111" s="14" t="s">
        <v>266</v>
      </c>
      <c r="J111" s="14">
        <v>2022</v>
      </c>
      <c r="K111" s="18"/>
      <c r="L111" s="18"/>
      <c r="M111" s="14" t="s">
        <v>267</v>
      </c>
      <c r="N111" s="17" t="s">
        <v>770</v>
      </c>
      <c r="O111" s="14" t="s">
        <v>771</v>
      </c>
      <c r="P111" s="14" t="s">
        <v>772</v>
      </c>
      <c r="Q111" s="14" t="s">
        <v>157</v>
      </c>
      <c r="R111" s="18"/>
      <c r="S111" s="15"/>
      <c r="T111" s="15"/>
      <c r="U111" s="15"/>
      <c r="V111" s="15"/>
    </row>
    <row r="112" spans="1:22" x14ac:dyDescent="0.25">
      <c r="A112" s="14" t="s">
        <v>13</v>
      </c>
      <c r="B112" s="14" t="s">
        <v>773</v>
      </c>
      <c r="C112" s="14" t="s">
        <v>774</v>
      </c>
      <c r="D112" s="14" t="s">
        <v>136</v>
      </c>
      <c r="E112" s="14">
        <v>2023</v>
      </c>
      <c r="F112" s="14">
        <v>28</v>
      </c>
      <c r="G112" s="14">
        <v>1</v>
      </c>
      <c r="H112" s="18"/>
      <c r="I112" s="14" t="s">
        <v>137</v>
      </c>
      <c r="J112" s="14">
        <v>2023</v>
      </c>
      <c r="K112" s="18"/>
      <c r="L112" s="18"/>
      <c r="M112" s="14" t="s">
        <v>33</v>
      </c>
      <c r="N112" s="17" t="s">
        <v>775</v>
      </c>
      <c r="O112" s="14" t="s">
        <v>776</v>
      </c>
      <c r="P112" s="14" t="s">
        <v>777</v>
      </c>
      <c r="Q112" s="14" t="s">
        <v>404</v>
      </c>
      <c r="R112" s="18"/>
      <c r="S112" s="15"/>
      <c r="T112" s="15"/>
      <c r="U112" s="15"/>
      <c r="V112" s="15"/>
    </row>
    <row r="113" spans="1:22" x14ac:dyDescent="0.25">
      <c r="A113" s="14" t="s">
        <v>13</v>
      </c>
      <c r="B113" s="14" t="s">
        <v>778</v>
      </c>
      <c r="C113" s="14" t="s">
        <v>779</v>
      </c>
      <c r="D113" s="14" t="s">
        <v>691</v>
      </c>
      <c r="E113" s="14">
        <v>2023</v>
      </c>
      <c r="F113" s="18"/>
      <c r="G113" s="18"/>
      <c r="H113" s="18"/>
      <c r="I113" s="14" t="s">
        <v>212</v>
      </c>
      <c r="J113" s="14">
        <v>2023</v>
      </c>
      <c r="K113" s="18"/>
      <c r="L113" s="18"/>
      <c r="M113" s="14" t="s">
        <v>692</v>
      </c>
      <c r="N113" s="17" t="s">
        <v>780</v>
      </c>
      <c r="O113" s="14" t="s">
        <v>781</v>
      </c>
      <c r="P113" s="14" t="s">
        <v>782</v>
      </c>
      <c r="Q113" s="14" t="s">
        <v>157</v>
      </c>
      <c r="R113" s="18"/>
      <c r="S113" s="15"/>
      <c r="T113" s="15"/>
      <c r="U113" s="15"/>
      <c r="V113" s="15"/>
    </row>
    <row r="114" spans="1:22" x14ac:dyDescent="0.25">
      <c r="A114" s="14" t="s">
        <v>13</v>
      </c>
      <c r="B114" s="14" t="s">
        <v>783</v>
      </c>
      <c r="C114" s="14" t="s">
        <v>784</v>
      </c>
      <c r="D114" s="14" t="s">
        <v>255</v>
      </c>
      <c r="E114" s="14">
        <v>2022</v>
      </c>
      <c r="F114" s="14">
        <v>48</v>
      </c>
      <c r="G114" s="14">
        <v>7</v>
      </c>
      <c r="H114" s="14" t="s">
        <v>785</v>
      </c>
      <c r="I114" s="14" t="s">
        <v>257</v>
      </c>
      <c r="J114" s="14">
        <v>2022</v>
      </c>
      <c r="K114" s="18"/>
      <c r="L114" s="18"/>
      <c r="M114" s="14" t="s">
        <v>18</v>
      </c>
      <c r="N114" s="17" t="s">
        <v>786</v>
      </c>
      <c r="O114" s="14" t="s">
        <v>787</v>
      </c>
      <c r="P114" s="14" t="s">
        <v>788</v>
      </c>
      <c r="Q114" s="14" t="s">
        <v>176</v>
      </c>
      <c r="R114" s="18"/>
      <c r="S114" s="15"/>
      <c r="T114" s="15"/>
      <c r="U114" s="15"/>
      <c r="V114" s="15"/>
    </row>
    <row r="115" spans="1:22" x14ac:dyDescent="0.25">
      <c r="A115" s="14" t="s">
        <v>13</v>
      </c>
      <c r="B115" s="14" t="s">
        <v>789</v>
      </c>
      <c r="C115" s="14" t="s">
        <v>790</v>
      </c>
      <c r="D115" s="14" t="s">
        <v>791</v>
      </c>
      <c r="E115" s="14">
        <v>2022</v>
      </c>
      <c r="F115" s="14">
        <v>11</v>
      </c>
      <c r="G115" s="14">
        <v>18</v>
      </c>
      <c r="H115" s="18"/>
      <c r="I115" s="14" t="s">
        <v>228</v>
      </c>
      <c r="J115" s="14">
        <v>2022</v>
      </c>
      <c r="K115" s="18"/>
      <c r="L115" s="18"/>
      <c r="M115" s="14" t="s">
        <v>792</v>
      </c>
      <c r="N115" s="17" t="s">
        <v>793</v>
      </c>
      <c r="O115" s="14" t="s">
        <v>794</v>
      </c>
      <c r="P115" s="14" t="s">
        <v>795</v>
      </c>
      <c r="Q115" s="14" t="s">
        <v>285</v>
      </c>
      <c r="R115" s="18"/>
      <c r="S115" s="15"/>
      <c r="T115" s="15"/>
      <c r="U115" s="15"/>
      <c r="V115" s="15"/>
    </row>
    <row r="116" spans="1:22" x14ac:dyDescent="0.25">
      <c r="A116" s="14" t="s">
        <v>13</v>
      </c>
      <c r="B116" s="14" t="s">
        <v>796</v>
      </c>
      <c r="C116" s="14" t="s">
        <v>797</v>
      </c>
      <c r="D116" s="14" t="s">
        <v>328</v>
      </c>
      <c r="E116" s="14">
        <v>2022</v>
      </c>
      <c r="F116" s="14">
        <v>31</v>
      </c>
      <c r="G116" s="14">
        <v>3</v>
      </c>
      <c r="H116" s="18"/>
      <c r="I116" s="14" t="s">
        <v>145</v>
      </c>
      <c r="J116" s="14">
        <v>2022</v>
      </c>
      <c r="K116" s="18"/>
      <c r="L116" s="18"/>
      <c r="M116" s="14" t="s">
        <v>329</v>
      </c>
      <c r="N116" s="17" t="s">
        <v>798</v>
      </c>
      <c r="O116" s="14" t="s">
        <v>799</v>
      </c>
      <c r="P116" s="14" t="s">
        <v>800</v>
      </c>
      <c r="Q116" s="14" t="s">
        <v>568</v>
      </c>
      <c r="R116" s="18"/>
      <c r="S116" s="15"/>
      <c r="T116" s="15"/>
      <c r="U116" s="15"/>
      <c r="V116" s="15"/>
    </row>
    <row r="117" spans="1:22" x14ac:dyDescent="0.25">
      <c r="A117" s="14" t="s">
        <v>13</v>
      </c>
      <c r="B117" s="14" t="s">
        <v>801</v>
      </c>
      <c r="C117" s="14" t="s">
        <v>802</v>
      </c>
      <c r="D117" s="14" t="s">
        <v>803</v>
      </c>
      <c r="E117" s="14">
        <v>2022</v>
      </c>
      <c r="F117" s="14">
        <v>18</v>
      </c>
      <c r="G117" s="14">
        <v>1</v>
      </c>
      <c r="H117" s="14" t="s">
        <v>804</v>
      </c>
      <c r="I117" s="14" t="s">
        <v>212</v>
      </c>
      <c r="J117" s="14">
        <v>2022</v>
      </c>
      <c r="K117" s="18"/>
      <c r="L117" s="18"/>
      <c r="M117" s="14" t="s">
        <v>805</v>
      </c>
      <c r="N117" s="17" t="s">
        <v>806</v>
      </c>
      <c r="O117" s="14" t="s">
        <v>807</v>
      </c>
      <c r="P117" s="14" t="s">
        <v>808</v>
      </c>
      <c r="Q117" s="14" t="s">
        <v>289</v>
      </c>
      <c r="R117" s="18"/>
      <c r="S117" s="15"/>
      <c r="T117" s="15"/>
      <c r="U117" s="15"/>
      <c r="V117" s="15"/>
    </row>
    <row r="118" spans="1:22" x14ac:dyDescent="0.25">
      <c r="A118" s="14" t="s">
        <v>141</v>
      </c>
      <c r="B118" s="14" t="s">
        <v>809</v>
      </c>
      <c r="C118" s="14" t="s">
        <v>810</v>
      </c>
      <c r="D118" s="18"/>
      <c r="E118" s="14">
        <v>2022</v>
      </c>
      <c r="F118" s="18"/>
      <c r="G118" s="18"/>
      <c r="H118" s="14" t="s">
        <v>811</v>
      </c>
      <c r="I118" s="14" t="s">
        <v>145</v>
      </c>
      <c r="J118" s="14">
        <v>2022</v>
      </c>
      <c r="K118" s="14">
        <v>9781450396134</v>
      </c>
      <c r="L118" s="18"/>
      <c r="M118" s="18"/>
      <c r="N118" s="17" t="s">
        <v>812</v>
      </c>
      <c r="O118" s="14" t="s">
        <v>813</v>
      </c>
      <c r="P118" s="14" t="s">
        <v>814</v>
      </c>
      <c r="Q118" s="14" t="s">
        <v>157</v>
      </c>
      <c r="R118" s="18"/>
      <c r="S118" s="15"/>
      <c r="T118" s="15"/>
      <c r="U118" s="15"/>
      <c r="V118" s="15"/>
    </row>
    <row r="119" spans="1:22" x14ac:dyDescent="0.25">
      <c r="A119" s="14" t="s">
        <v>13</v>
      </c>
      <c r="B119" s="14" t="s">
        <v>109</v>
      </c>
      <c r="C119" s="14" t="s">
        <v>110</v>
      </c>
      <c r="D119" s="14" t="s">
        <v>255</v>
      </c>
      <c r="E119" s="14">
        <v>2022</v>
      </c>
      <c r="F119" s="14">
        <v>48</v>
      </c>
      <c r="G119" s="14">
        <v>5</v>
      </c>
      <c r="H119" s="14" t="s">
        <v>815</v>
      </c>
      <c r="I119" s="14" t="s">
        <v>257</v>
      </c>
      <c r="J119" s="14">
        <v>2022</v>
      </c>
      <c r="K119" s="18"/>
      <c r="L119" s="18"/>
      <c r="M119" s="14" t="s">
        <v>18</v>
      </c>
      <c r="N119" s="17" t="s">
        <v>816</v>
      </c>
      <c r="O119" s="14" t="s">
        <v>113</v>
      </c>
      <c r="P119" s="14" t="s">
        <v>817</v>
      </c>
      <c r="Q119" s="14" t="s">
        <v>818</v>
      </c>
      <c r="R119" s="18"/>
      <c r="S119" s="15"/>
      <c r="T119" s="15"/>
      <c r="U119" s="15"/>
      <c r="V119" s="15"/>
    </row>
    <row r="120" spans="1:22" x14ac:dyDescent="0.25">
      <c r="A120" s="14" t="s">
        <v>13</v>
      </c>
      <c r="B120" s="14" t="s">
        <v>819</v>
      </c>
      <c r="C120" s="14" t="s">
        <v>820</v>
      </c>
      <c r="D120" s="14" t="s">
        <v>255</v>
      </c>
      <c r="E120" s="14">
        <v>2022</v>
      </c>
      <c r="F120" s="14">
        <v>48</v>
      </c>
      <c r="G120" s="14">
        <v>9</v>
      </c>
      <c r="H120" s="14" t="s">
        <v>821</v>
      </c>
      <c r="I120" s="14" t="s">
        <v>257</v>
      </c>
      <c r="J120" s="14">
        <v>2022</v>
      </c>
      <c r="K120" s="18"/>
      <c r="L120" s="18"/>
      <c r="M120" s="14" t="s">
        <v>18</v>
      </c>
      <c r="N120" s="17" t="s">
        <v>822</v>
      </c>
      <c r="O120" s="14" t="s">
        <v>823</v>
      </c>
      <c r="P120" s="14" t="s">
        <v>824</v>
      </c>
      <c r="Q120" s="14" t="s">
        <v>318</v>
      </c>
      <c r="R120" s="18"/>
      <c r="S120" s="15"/>
      <c r="T120" s="15"/>
      <c r="U120" s="15"/>
      <c r="V120" s="15"/>
    </row>
    <row r="121" spans="1:22" x14ac:dyDescent="0.25">
      <c r="A121" s="14" t="s">
        <v>141</v>
      </c>
      <c r="B121" s="14" t="s">
        <v>825</v>
      </c>
      <c r="C121" s="14" t="s">
        <v>826</v>
      </c>
      <c r="D121" s="18"/>
      <c r="E121" s="14">
        <v>2022</v>
      </c>
      <c r="F121" s="18"/>
      <c r="G121" s="18"/>
      <c r="H121" s="14" t="s">
        <v>827</v>
      </c>
      <c r="I121" s="14" t="s">
        <v>828</v>
      </c>
      <c r="J121" s="14">
        <v>2022</v>
      </c>
      <c r="K121" s="14">
        <v>9781713863298</v>
      </c>
      <c r="L121" s="18"/>
      <c r="M121" s="18"/>
      <c r="N121" s="17" t="s">
        <v>829</v>
      </c>
      <c r="O121" s="18"/>
      <c r="P121" s="14" t="s">
        <v>830</v>
      </c>
      <c r="Q121" s="14" t="s">
        <v>157</v>
      </c>
      <c r="R121" s="18"/>
      <c r="S121" s="15"/>
      <c r="T121" s="15"/>
      <c r="U121" s="15"/>
      <c r="V121" s="15"/>
    </row>
    <row r="122" spans="1:22" x14ac:dyDescent="0.25">
      <c r="A122" s="14" t="s">
        <v>13</v>
      </c>
      <c r="B122" s="14" t="s">
        <v>831</v>
      </c>
      <c r="C122" s="14" t="s">
        <v>832</v>
      </c>
      <c r="D122" s="14" t="s">
        <v>354</v>
      </c>
      <c r="E122" s="14">
        <v>2022</v>
      </c>
      <c r="F122" s="14">
        <v>194</v>
      </c>
      <c r="G122" s="18"/>
      <c r="H122" s="18"/>
      <c r="I122" s="14" t="s">
        <v>355</v>
      </c>
      <c r="J122" s="14">
        <v>2022</v>
      </c>
      <c r="K122" s="18"/>
      <c r="L122" s="18"/>
      <c r="M122" s="14" t="s">
        <v>65</v>
      </c>
      <c r="N122" s="17" t="s">
        <v>833</v>
      </c>
      <c r="O122" s="14" t="s">
        <v>834</v>
      </c>
      <c r="P122" s="14" t="s">
        <v>835</v>
      </c>
      <c r="Q122" s="14" t="s">
        <v>585</v>
      </c>
      <c r="R122" s="18"/>
      <c r="S122" s="15"/>
      <c r="T122" s="15"/>
      <c r="U122" s="15"/>
      <c r="V122" s="15"/>
    </row>
    <row r="123" spans="1:22" x14ac:dyDescent="0.25">
      <c r="A123" s="14" t="s">
        <v>141</v>
      </c>
      <c r="B123" s="14" t="s">
        <v>836</v>
      </c>
      <c r="C123" s="14" t="s">
        <v>837</v>
      </c>
      <c r="D123" s="18"/>
      <c r="E123" s="14">
        <v>2022</v>
      </c>
      <c r="F123" s="18"/>
      <c r="G123" s="18"/>
      <c r="H123" s="14" t="s">
        <v>838</v>
      </c>
      <c r="I123" s="14" t="s">
        <v>145</v>
      </c>
      <c r="J123" s="14">
        <v>2022</v>
      </c>
      <c r="K123" s="14">
        <v>9781450397803</v>
      </c>
      <c r="L123" s="18"/>
      <c r="M123" s="18"/>
      <c r="N123" s="17" t="s">
        <v>839</v>
      </c>
      <c r="O123" s="14" t="s">
        <v>840</v>
      </c>
      <c r="P123" s="14" t="s">
        <v>841</v>
      </c>
      <c r="Q123" s="14" t="s">
        <v>157</v>
      </c>
      <c r="R123" s="18"/>
      <c r="S123" s="15"/>
      <c r="T123" s="15"/>
      <c r="U123" s="15"/>
      <c r="V123" s="15"/>
    </row>
    <row r="124" spans="1:22" x14ac:dyDescent="0.25">
      <c r="A124" s="14" t="s">
        <v>141</v>
      </c>
      <c r="B124" s="14" t="s">
        <v>842</v>
      </c>
      <c r="C124" s="14" t="s">
        <v>843</v>
      </c>
      <c r="D124" s="18"/>
      <c r="E124" s="14">
        <v>2022</v>
      </c>
      <c r="F124" s="18"/>
      <c r="G124" s="18"/>
      <c r="H124" s="14" t="s">
        <v>844</v>
      </c>
      <c r="I124" s="14" t="s">
        <v>153</v>
      </c>
      <c r="J124" s="14">
        <v>2022</v>
      </c>
      <c r="K124" s="14">
        <v>9781450394130</v>
      </c>
      <c r="L124" s="18"/>
      <c r="M124" s="18"/>
      <c r="N124" s="17" t="s">
        <v>845</v>
      </c>
      <c r="O124" s="14" t="s">
        <v>846</v>
      </c>
      <c r="P124" s="14" t="s">
        <v>847</v>
      </c>
      <c r="Q124" s="14" t="s">
        <v>568</v>
      </c>
      <c r="R124" s="18"/>
      <c r="S124" s="15"/>
      <c r="T124" s="15"/>
      <c r="U124" s="15"/>
      <c r="V124" s="15"/>
    </row>
    <row r="125" spans="1:22" x14ac:dyDescent="0.25">
      <c r="A125" s="14" t="s">
        <v>141</v>
      </c>
      <c r="B125" s="14" t="s">
        <v>848</v>
      </c>
      <c r="C125" s="14" t="s">
        <v>849</v>
      </c>
      <c r="D125" s="18"/>
      <c r="E125" s="14">
        <v>2022</v>
      </c>
      <c r="F125" s="18"/>
      <c r="G125" s="18"/>
      <c r="H125" s="14" t="s">
        <v>850</v>
      </c>
      <c r="I125" s="14" t="s">
        <v>145</v>
      </c>
      <c r="J125" s="14">
        <v>2022</v>
      </c>
      <c r="K125" s="14">
        <v>9781450397452</v>
      </c>
      <c r="L125" s="18"/>
      <c r="M125" s="18"/>
      <c r="N125" s="17" t="s">
        <v>851</v>
      </c>
      <c r="O125" s="14" t="s">
        <v>852</v>
      </c>
      <c r="P125" s="14" t="s">
        <v>853</v>
      </c>
      <c r="Q125" s="14" t="s">
        <v>157</v>
      </c>
      <c r="R125" s="18"/>
      <c r="S125" s="15"/>
      <c r="T125" s="15"/>
      <c r="U125" s="15"/>
      <c r="V125" s="15"/>
    </row>
    <row r="126" spans="1:22" x14ac:dyDescent="0.25">
      <c r="A126" s="14" t="s">
        <v>13</v>
      </c>
      <c r="B126" s="14" t="s">
        <v>854</v>
      </c>
      <c r="C126" s="14" t="s">
        <v>855</v>
      </c>
      <c r="D126" s="14" t="s">
        <v>255</v>
      </c>
      <c r="E126" s="14">
        <v>2022</v>
      </c>
      <c r="F126" s="14">
        <v>48</v>
      </c>
      <c r="G126" s="14">
        <v>12</v>
      </c>
      <c r="H126" s="14" t="s">
        <v>856</v>
      </c>
      <c r="I126" s="14" t="s">
        <v>257</v>
      </c>
      <c r="J126" s="14">
        <v>2022</v>
      </c>
      <c r="K126" s="18"/>
      <c r="L126" s="18"/>
      <c r="M126" s="14" t="s">
        <v>18</v>
      </c>
      <c r="N126" s="17" t="s">
        <v>857</v>
      </c>
      <c r="O126" s="14" t="s">
        <v>858</v>
      </c>
      <c r="P126" s="14" t="s">
        <v>859</v>
      </c>
      <c r="Q126" s="14" t="s">
        <v>157</v>
      </c>
      <c r="R126" s="18"/>
      <c r="S126" s="15"/>
      <c r="T126" s="15"/>
      <c r="U126" s="15"/>
      <c r="V126" s="15"/>
    </row>
    <row r="127" spans="1:22" x14ac:dyDescent="0.25">
      <c r="A127" s="14" t="s">
        <v>13</v>
      </c>
      <c r="B127" s="14" t="s">
        <v>860</v>
      </c>
      <c r="C127" s="14" t="s">
        <v>861</v>
      </c>
      <c r="D127" s="14" t="s">
        <v>136</v>
      </c>
      <c r="E127" s="14">
        <v>2022</v>
      </c>
      <c r="F127" s="14">
        <v>27</v>
      </c>
      <c r="G127" s="14">
        <v>3</v>
      </c>
      <c r="H127" s="18"/>
      <c r="I127" s="14" t="s">
        <v>137</v>
      </c>
      <c r="J127" s="14">
        <v>2022</v>
      </c>
      <c r="K127" s="18"/>
      <c r="L127" s="18"/>
      <c r="M127" s="14" t="s">
        <v>33</v>
      </c>
      <c r="N127" s="17" t="s">
        <v>862</v>
      </c>
      <c r="O127" s="14" t="s">
        <v>863</v>
      </c>
      <c r="P127" s="14" t="s">
        <v>864</v>
      </c>
      <c r="Q127" s="14" t="s">
        <v>318</v>
      </c>
      <c r="R127" s="18"/>
      <c r="S127" s="15"/>
      <c r="T127" s="15"/>
      <c r="U127" s="15"/>
      <c r="V127" s="15"/>
    </row>
    <row r="128" spans="1:22" x14ac:dyDescent="0.25">
      <c r="A128" s="14" t="s">
        <v>13</v>
      </c>
      <c r="B128" s="14" t="s">
        <v>865</v>
      </c>
      <c r="C128" s="14" t="s">
        <v>866</v>
      </c>
      <c r="D128" s="14" t="s">
        <v>354</v>
      </c>
      <c r="E128" s="14">
        <v>2022</v>
      </c>
      <c r="F128" s="14">
        <v>184</v>
      </c>
      <c r="G128" s="18"/>
      <c r="H128" s="18"/>
      <c r="I128" s="14" t="s">
        <v>355</v>
      </c>
      <c r="J128" s="14">
        <v>2022</v>
      </c>
      <c r="K128" s="18"/>
      <c r="L128" s="18"/>
      <c r="M128" s="14" t="s">
        <v>65</v>
      </c>
      <c r="N128" s="17" t="s">
        <v>867</v>
      </c>
      <c r="O128" s="14" t="s">
        <v>868</v>
      </c>
      <c r="P128" s="14" t="s">
        <v>869</v>
      </c>
      <c r="Q128" s="14" t="s">
        <v>176</v>
      </c>
      <c r="R128" s="18"/>
      <c r="S128" s="15"/>
      <c r="T128" s="15"/>
      <c r="U128" s="15"/>
      <c r="V128" s="15"/>
    </row>
    <row r="129" spans="1:22" x14ac:dyDescent="0.25">
      <c r="A129" s="14" t="s">
        <v>141</v>
      </c>
      <c r="B129" s="14" t="s">
        <v>870</v>
      </c>
      <c r="C129" s="14" t="s">
        <v>871</v>
      </c>
      <c r="D129" s="18"/>
      <c r="E129" s="14">
        <v>2022</v>
      </c>
      <c r="F129" s="18"/>
      <c r="G129" s="18"/>
      <c r="H129" s="14" t="s">
        <v>872</v>
      </c>
      <c r="I129" s="14" t="s">
        <v>145</v>
      </c>
      <c r="J129" s="14">
        <v>2022</v>
      </c>
      <c r="K129" s="14">
        <v>9781450397353</v>
      </c>
      <c r="L129" s="18"/>
      <c r="M129" s="18"/>
      <c r="N129" s="17" t="s">
        <v>873</v>
      </c>
      <c r="O129" s="14" t="s">
        <v>874</v>
      </c>
      <c r="P129" s="14" t="s">
        <v>875</v>
      </c>
      <c r="Q129" s="14" t="s">
        <v>404</v>
      </c>
      <c r="R129" s="18"/>
      <c r="S129" s="15"/>
      <c r="T129" s="15"/>
      <c r="U129" s="15"/>
      <c r="V129" s="15"/>
    </row>
    <row r="130" spans="1:22" x14ac:dyDescent="0.25">
      <c r="A130" s="14" t="s">
        <v>13</v>
      </c>
      <c r="B130" s="14" t="s">
        <v>876</v>
      </c>
      <c r="C130" s="14" t="s">
        <v>877</v>
      </c>
      <c r="D130" s="14" t="s">
        <v>878</v>
      </c>
      <c r="E130" s="14">
        <v>2022</v>
      </c>
      <c r="F130" s="14">
        <v>34</v>
      </c>
      <c r="G130" s="14">
        <v>5</v>
      </c>
      <c r="H130" s="18"/>
      <c r="I130" s="14" t="s">
        <v>266</v>
      </c>
      <c r="J130" s="14">
        <v>2022</v>
      </c>
      <c r="K130" s="18"/>
      <c r="L130" s="18"/>
      <c r="M130" s="14" t="s">
        <v>879</v>
      </c>
      <c r="N130" s="17" t="s">
        <v>880</v>
      </c>
      <c r="O130" s="14" t="s">
        <v>881</v>
      </c>
      <c r="P130" s="14" t="s">
        <v>882</v>
      </c>
      <c r="Q130" s="14" t="s">
        <v>157</v>
      </c>
      <c r="R130" s="18"/>
      <c r="S130" s="15"/>
      <c r="T130" s="15"/>
      <c r="U130" s="15"/>
      <c r="V130" s="15"/>
    </row>
    <row r="131" spans="1:22" x14ac:dyDescent="0.25">
      <c r="A131" s="14" t="s">
        <v>13</v>
      </c>
      <c r="B131" s="14" t="s">
        <v>883</v>
      </c>
      <c r="C131" s="14" t="s">
        <v>884</v>
      </c>
      <c r="D131" s="14" t="s">
        <v>136</v>
      </c>
      <c r="E131" s="14">
        <v>2023</v>
      </c>
      <c r="F131" s="14">
        <v>28</v>
      </c>
      <c r="G131" s="14">
        <v>1</v>
      </c>
      <c r="H131" s="18"/>
      <c r="I131" s="14" t="s">
        <v>137</v>
      </c>
      <c r="J131" s="14">
        <v>2023</v>
      </c>
      <c r="K131" s="18"/>
      <c r="L131" s="18"/>
      <c r="M131" s="14" t="s">
        <v>33</v>
      </c>
      <c r="N131" s="17" t="s">
        <v>885</v>
      </c>
      <c r="O131" s="14" t="s">
        <v>886</v>
      </c>
      <c r="P131" s="14" t="s">
        <v>887</v>
      </c>
      <c r="Q131" s="14" t="s">
        <v>157</v>
      </c>
      <c r="R131" s="18"/>
      <c r="S131" s="15"/>
      <c r="T131" s="15"/>
      <c r="U131" s="15"/>
      <c r="V131" s="15"/>
    </row>
    <row r="132" spans="1:22" x14ac:dyDescent="0.25">
      <c r="A132" s="14" t="s">
        <v>13</v>
      </c>
      <c r="B132" s="14" t="s">
        <v>888</v>
      </c>
      <c r="C132" s="14" t="s">
        <v>889</v>
      </c>
      <c r="D132" s="14" t="s">
        <v>890</v>
      </c>
      <c r="E132" s="14">
        <v>2022</v>
      </c>
      <c r="F132" s="14">
        <v>4</v>
      </c>
      <c r="G132" s="18"/>
      <c r="H132" s="18"/>
      <c r="I132" s="14" t="s">
        <v>891</v>
      </c>
      <c r="J132" s="14">
        <v>2022</v>
      </c>
      <c r="K132" s="18"/>
      <c r="L132" s="18"/>
      <c r="M132" s="14" t="s">
        <v>892</v>
      </c>
      <c r="N132" s="17" t="s">
        <v>893</v>
      </c>
      <c r="O132" s="14" t="s">
        <v>894</v>
      </c>
      <c r="P132" s="14" t="s">
        <v>895</v>
      </c>
      <c r="Q132" s="14" t="s">
        <v>896</v>
      </c>
      <c r="R132" s="18"/>
      <c r="S132" s="15"/>
      <c r="T132" s="15"/>
      <c r="U132" s="15"/>
      <c r="V132" s="15"/>
    </row>
    <row r="133" spans="1:22" x14ac:dyDescent="0.25">
      <c r="A133" s="14" t="s">
        <v>13</v>
      </c>
      <c r="B133" s="14" t="s">
        <v>897</v>
      </c>
      <c r="C133" s="14" t="s">
        <v>898</v>
      </c>
      <c r="D133" s="14" t="s">
        <v>899</v>
      </c>
      <c r="E133" s="14">
        <v>2022</v>
      </c>
      <c r="F133" s="14">
        <v>5</v>
      </c>
      <c r="G133" s="14">
        <v>1</v>
      </c>
      <c r="H133" s="14" t="s">
        <v>900</v>
      </c>
      <c r="I133" s="14" t="s">
        <v>228</v>
      </c>
      <c r="J133" s="14">
        <v>2022</v>
      </c>
      <c r="K133" s="18"/>
      <c r="L133" s="18"/>
      <c r="M133" s="14" t="s">
        <v>901</v>
      </c>
      <c r="N133" s="17" t="s">
        <v>902</v>
      </c>
      <c r="O133" s="14" t="s">
        <v>903</v>
      </c>
      <c r="P133" s="14" t="s">
        <v>904</v>
      </c>
      <c r="Q133" s="14" t="s">
        <v>447</v>
      </c>
      <c r="R133" s="18"/>
      <c r="S133" s="15"/>
      <c r="T133" s="15"/>
      <c r="U133" s="15"/>
      <c r="V133" s="15"/>
    </row>
    <row r="134" spans="1:22" x14ac:dyDescent="0.25">
      <c r="A134" s="14" t="s">
        <v>13</v>
      </c>
      <c r="B134" s="14" t="s">
        <v>905</v>
      </c>
      <c r="C134" s="14" t="s">
        <v>906</v>
      </c>
      <c r="D134" s="14" t="s">
        <v>136</v>
      </c>
      <c r="E134" s="14">
        <v>2022</v>
      </c>
      <c r="F134" s="14">
        <v>27</v>
      </c>
      <c r="G134" s="14">
        <v>4</v>
      </c>
      <c r="H134" s="18"/>
      <c r="I134" s="14" t="s">
        <v>137</v>
      </c>
      <c r="J134" s="14">
        <v>2022</v>
      </c>
      <c r="K134" s="18"/>
      <c r="L134" s="18"/>
      <c r="M134" s="14" t="s">
        <v>33</v>
      </c>
      <c r="N134" s="17" t="s">
        <v>907</v>
      </c>
      <c r="O134" s="14" t="s">
        <v>908</v>
      </c>
      <c r="P134" s="14" t="s">
        <v>909</v>
      </c>
      <c r="Q134" s="14" t="s">
        <v>404</v>
      </c>
      <c r="R134" s="18"/>
      <c r="S134" s="15"/>
      <c r="T134" s="15"/>
      <c r="U134" s="15"/>
      <c r="V134" s="15"/>
    </row>
    <row r="135" spans="1:22" x14ac:dyDescent="0.25">
      <c r="A135" s="14" t="s">
        <v>13</v>
      </c>
      <c r="B135" s="14" t="s">
        <v>910</v>
      </c>
      <c r="C135" s="14" t="s">
        <v>911</v>
      </c>
      <c r="D135" s="14" t="s">
        <v>912</v>
      </c>
      <c r="E135" s="14">
        <v>2023</v>
      </c>
      <c r="F135" s="18"/>
      <c r="G135" s="18"/>
      <c r="H135" s="14" t="s">
        <v>913</v>
      </c>
      <c r="I135" s="14" t="s">
        <v>212</v>
      </c>
      <c r="J135" s="14">
        <v>2023</v>
      </c>
      <c r="K135" s="18"/>
      <c r="L135" s="18"/>
      <c r="M135" s="14" t="s">
        <v>914</v>
      </c>
      <c r="N135" s="17" t="s">
        <v>915</v>
      </c>
      <c r="O135" s="14" t="s">
        <v>916</v>
      </c>
      <c r="P135" s="14" t="s">
        <v>917</v>
      </c>
      <c r="Q135" s="14" t="s">
        <v>157</v>
      </c>
      <c r="R135" s="18"/>
      <c r="S135" s="15"/>
      <c r="T135" s="15"/>
      <c r="U135" s="15"/>
      <c r="V135" s="15"/>
    </row>
    <row r="136" spans="1:22" x14ac:dyDescent="0.25">
      <c r="A136" s="14" t="s">
        <v>13</v>
      </c>
      <c r="B136" s="14" t="s">
        <v>918</v>
      </c>
      <c r="C136" s="14" t="s">
        <v>919</v>
      </c>
      <c r="D136" s="14" t="s">
        <v>354</v>
      </c>
      <c r="E136" s="14">
        <v>2022</v>
      </c>
      <c r="F136" s="14">
        <v>193</v>
      </c>
      <c r="G136" s="18"/>
      <c r="H136" s="18"/>
      <c r="I136" s="14" t="s">
        <v>355</v>
      </c>
      <c r="J136" s="14">
        <v>2022</v>
      </c>
      <c r="K136" s="18"/>
      <c r="L136" s="18"/>
      <c r="M136" s="14" t="s">
        <v>65</v>
      </c>
      <c r="N136" s="17" t="s">
        <v>920</v>
      </c>
      <c r="O136" s="14" t="s">
        <v>921</v>
      </c>
      <c r="P136" s="14" t="s">
        <v>922</v>
      </c>
      <c r="Q136" s="14" t="s">
        <v>404</v>
      </c>
      <c r="R136" s="18"/>
      <c r="S136" s="15"/>
      <c r="T136" s="15"/>
      <c r="U136" s="15"/>
      <c r="V136" s="15"/>
    </row>
    <row r="137" spans="1:22" x14ac:dyDescent="0.25">
      <c r="A137" s="14" t="s">
        <v>13</v>
      </c>
      <c r="B137" s="14" t="s">
        <v>923</v>
      </c>
      <c r="C137" s="14" t="s">
        <v>924</v>
      </c>
      <c r="D137" s="14" t="s">
        <v>925</v>
      </c>
      <c r="E137" s="14">
        <v>2022</v>
      </c>
      <c r="F137" s="14">
        <v>11</v>
      </c>
      <c r="G137" s="14">
        <v>10</v>
      </c>
      <c r="H137" s="18"/>
      <c r="I137" s="14" t="s">
        <v>228</v>
      </c>
      <c r="J137" s="14">
        <v>2022</v>
      </c>
      <c r="K137" s="18"/>
      <c r="L137" s="18"/>
      <c r="M137" s="14" t="s">
        <v>926</v>
      </c>
      <c r="N137" s="17" t="s">
        <v>927</v>
      </c>
      <c r="O137" s="14" t="s">
        <v>928</v>
      </c>
      <c r="P137" s="14" t="s">
        <v>929</v>
      </c>
      <c r="Q137" s="14" t="s">
        <v>285</v>
      </c>
      <c r="R137" s="18"/>
      <c r="S137" s="15"/>
      <c r="T137" s="15"/>
      <c r="U137" s="15"/>
      <c r="V137" s="15"/>
    </row>
    <row r="138" spans="1:22" x14ac:dyDescent="0.25">
      <c r="A138" s="14" t="s">
        <v>141</v>
      </c>
      <c r="B138" s="14" t="s">
        <v>930</v>
      </c>
      <c r="C138" s="14" t="s">
        <v>931</v>
      </c>
      <c r="D138" s="18"/>
      <c r="E138" s="14">
        <v>2022</v>
      </c>
      <c r="F138" s="18"/>
      <c r="G138" s="18"/>
      <c r="H138" s="14" t="s">
        <v>932</v>
      </c>
      <c r="I138" s="14" t="s">
        <v>933</v>
      </c>
      <c r="J138" s="14">
        <v>2022</v>
      </c>
      <c r="K138" s="14">
        <v>9781891706547</v>
      </c>
      <c r="L138" s="18"/>
      <c r="M138" s="14" t="s">
        <v>934</v>
      </c>
      <c r="N138" s="17" t="s">
        <v>935</v>
      </c>
      <c r="O138" s="14" t="s">
        <v>936</v>
      </c>
      <c r="P138" s="14" t="s">
        <v>937</v>
      </c>
      <c r="Q138" s="14" t="s">
        <v>157</v>
      </c>
      <c r="R138" s="18"/>
      <c r="S138" s="15"/>
      <c r="T138" s="15"/>
      <c r="U138" s="15"/>
      <c r="V138" s="15"/>
    </row>
    <row r="139" spans="1:22" x14ac:dyDescent="0.25">
      <c r="A139" s="14" t="s">
        <v>13</v>
      </c>
      <c r="B139" s="14" t="s">
        <v>938</v>
      </c>
      <c r="C139" s="14" t="s">
        <v>939</v>
      </c>
      <c r="D139" s="14" t="s">
        <v>361</v>
      </c>
      <c r="E139" s="14">
        <v>2022</v>
      </c>
      <c r="F139" s="14">
        <v>5</v>
      </c>
      <c r="G139" s="14">
        <v>1</v>
      </c>
      <c r="H139" s="18"/>
      <c r="I139" s="14" t="s">
        <v>362</v>
      </c>
      <c r="J139" s="14">
        <v>2022</v>
      </c>
      <c r="K139" s="18"/>
      <c r="L139" s="18"/>
      <c r="M139" s="14" t="s">
        <v>363</v>
      </c>
      <c r="N139" s="17" t="s">
        <v>940</v>
      </c>
      <c r="O139" s="14" t="s">
        <v>941</v>
      </c>
      <c r="P139" s="14" t="s">
        <v>942</v>
      </c>
      <c r="Q139" s="14" t="s">
        <v>943</v>
      </c>
      <c r="R139" s="18"/>
      <c r="S139" s="15"/>
      <c r="T139" s="15"/>
      <c r="U139" s="15"/>
      <c r="V139" s="15"/>
    </row>
    <row r="140" spans="1:22" x14ac:dyDescent="0.25">
      <c r="A140" s="14" t="s">
        <v>13</v>
      </c>
      <c r="B140" s="14" t="s">
        <v>944</v>
      </c>
      <c r="C140" s="14" t="s">
        <v>945</v>
      </c>
      <c r="D140" s="14" t="s">
        <v>946</v>
      </c>
      <c r="E140" s="14">
        <v>2023</v>
      </c>
      <c r="F140" s="14">
        <v>13</v>
      </c>
      <c r="G140" s="14">
        <v>2</v>
      </c>
      <c r="H140" s="14" t="s">
        <v>947</v>
      </c>
      <c r="I140" s="14" t="s">
        <v>948</v>
      </c>
      <c r="J140" s="14">
        <v>2023</v>
      </c>
      <c r="K140" s="18"/>
      <c r="L140" s="18"/>
      <c r="M140" s="14" t="s">
        <v>949</v>
      </c>
      <c r="N140" s="17" t="s">
        <v>950</v>
      </c>
      <c r="O140" s="14" t="s">
        <v>951</v>
      </c>
      <c r="P140" s="14" t="s">
        <v>952</v>
      </c>
      <c r="Q140" s="14" t="s">
        <v>157</v>
      </c>
      <c r="R140" s="18"/>
      <c r="S140" s="15"/>
      <c r="T140" s="15"/>
      <c r="U140" s="15"/>
      <c r="V140" s="15"/>
    </row>
    <row r="141" spans="1:22" x14ac:dyDescent="0.25">
      <c r="A141" s="14" t="s">
        <v>13</v>
      </c>
      <c r="B141" s="14" t="s">
        <v>953</v>
      </c>
      <c r="C141" s="14" t="s">
        <v>954</v>
      </c>
      <c r="D141" s="14" t="s">
        <v>955</v>
      </c>
      <c r="E141" s="14">
        <v>2022</v>
      </c>
      <c r="F141" s="14">
        <v>22</v>
      </c>
      <c r="G141" s="14">
        <v>3</v>
      </c>
      <c r="H141" s="18"/>
      <c r="I141" s="14" t="s">
        <v>228</v>
      </c>
      <c r="J141" s="14">
        <v>2022</v>
      </c>
      <c r="K141" s="18"/>
      <c r="L141" s="18"/>
      <c r="M141" s="14" t="s">
        <v>956</v>
      </c>
      <c r="N141" s="17" t="s">
        <v>957</v>
      </c>
      <c r="O141" s="14" t="s">
        <v>958</v>
      </c>
      <c r="P141" s="14" t="s">
        <v>959</v>
      </c>
      <c r="Q141" s="14" t="s">
        <v>960</v>
      </c>
      <c r="R141" s="18"/>
      <c r="S141" s="15"/>
      <c r="T141" s="15"/>
      <c r="U141" s="15"/>
      <c r="V141" s="15"/>
    </row>
    <row r="142" spans="1:22" x14ac:dyDescent="0.25">
      <c r="A142" s="14" t="s">
        <v>13</v>
      </c>
      <c r="B142" s="14" t="s">
        <v>961</v>
      </c>
      <c r="C142" s="14" t="s">
        <v>962</v>
      </c>
      <c r="D142" s="14" t="s">
        <v>963</v>
      </c>
      <c r="E142" s="14">
        <v>2022</v>
      </c>
      <c r="F142" s="14">
        <v>24</v>
      </c>
      <c r="G142" s="14">
        <v>6</v>
      </c>
      <c r="H142" s="14" t="s">
        <v>964</v>
      </c>
      <c r="I142" s="14" t="s">
        <v>212</v>
      </c>
      <c r="J142" s="14">
        <v>2022</v>
      </c>
      <c r="K142" s="18"/>
      <c r="L142" s="18"/>
      <c r="M142" s="14" t="s">
        <v>965</v>
      </c>
      <c r="N142" s="17" t="s">
        <v>966</v>
      </c>
      <c r="O142" s="14" t="s">
        <v>967</v>
      </c>
      <c r="P142" s="14" t="s">
        <v>968</v>
      </c>
      <c r="Q142" s="14" t="s">
        <v>157</v>
      </c>
      <c r="R142" s="18"/>
      <c r="S142" s="15"/>
      <c r="T142" s="15"/>
      <c r="U142" s="15"/>
      <c r="V142" s="15"/>
    </row>
    <row r="143" spans="1:22" x14ac:dyDescent="0.25">
      <c r="A143" s="14" t="s">
        <v>13</v>
      </c>
      <c r="B143" s="14" t="s">
        <v>969</v>
      </c>
      <c r="C143" s="14" t="s">
        <v>970</v>
      </c>
      <c r="D143" s="14" t="s">
        <v>971</v>
      </c>
      <c r="E143" s="14">
        <v>2023</v>
      </c>
      <c r="F143" s="14">
        <v>140</v>
      </c>
      <c r="G143" s="18"/>
      <c r="H143" s="14" t="s">
        <v>972</v>
      </c>
      <c r="I143" s="14" t="s">
        <v>280</v>
      </c>
      <c r="J143" s="14">
        <v>2023</v>
      </c>
      <c r="K143" s="18"/>
      <c r="L143" s="18"/>
      <c r="M143" s="14" t="s">
        <v>973</v>
      </c>
      <c r="N143" s="17" t="s">
        <v>974</v>
      </c>
      <c r="O143" s="14" t="s">
        <v>975</v>
      </c>
      <c r="P143" s="14" t="s">
        <v>976</v>
      </c>
      <c r="Q143" s="14" t="s">
        <v>157</v>
      </c>
      <c r="R143" s="18"/>
      <c r="S143" s="15"/>
      <c r="T143" s="15"/>
      <c r="U143" s="15"/>
      <c r="V143" s="15"/>
    </row>
    <row r="144" spans="1:22" x14ac:dyDescent="0.25">
      <c r="A144" s="14" t="s">
        <v>13</v>
      </c>
      <c r="B144" s="14" t="s">
        <v>977</v>
      </c>
      <c r="C144" s="14" t="s">
        <v>978</v>
      </c>
      <c r="D144" s="14" t="s">
        <v>255</v>
      </c>
      <c r="E144" s="14">
        <v>2022</v>
      </c>
      <c r="F144" s="14">
        <v>48</v>
      </c>
      <c r="G144" s="14">
        <v>12</v>
      </c>
      <c r="H144" s="14" t="s">
        <v>979</v>
      </c>
      <c r="I144" s="14" t="s">
        <v>257</v>
      </c>
      <c r="J144" s="14">
        <v>2022</v>
      </c>
      <c r="K144" s="18"/>
      <c r="L144" s="18"/>
      <c r="M144" s="14" t="s">
        <v>18</v>
      </c>
      <c r="N144" s="17" t="s">
        <v>980</v>
      </c>
      <c r="O144" s="14" t="s">
        <v>981</v>
      </c>
      <c r="P144" s="14" t="s">
        <v>982</v>
      </c>
      <c r="Q144" s="14" t="s">
        <v>404</v>
      </c>
      <c r="R144" s="18"/>
      <c r="S144" s="15"/>
      <c r="T144" s="15"/>
      <c r="U144" s="15"/>
      <c r="V144" s="15"/>
    </row>
    <row r="145" spans="1:22" x14ac:dyDescent="0.25">
      <c r="A145" s="14" t="s">
        <v>13</v>
      </c>
      <c r="B145" s="14" t="s">
        <v>983</v>
      </c>
      <c r="C145" s="14" t="s">
        <v>984</v>
      </c>
      <c r="D145" s="14" t="s">
        <v>985</v>
      </c>
      <c r="E145" s="14">
        <v>2022</v>
      </c>
      <c r="F145" s="14">
        <v>17</v>
      </c>
      <c r="G145" s="14">
        <v>6</v>
      </c>
      <c r="H145" s="14" t="s">
        <v>986</v>
      </c>
      <c r="I145" s="14" t="s">
        <v>987</v>
      </c>
      <c r="J145" s="14">
        <v>2022</v>
      </c>
      <c r="K145" s="18"/>
      <c r="L145" s="18"/>
      <c r="M145" s="14" t="s">
        <v>988</v>
      </c>
      <c r="N145" s="17" t="s">
        <v>989</v>
      </c>
      <c r="O145" s="18"/>
      <c r="P145" s="14" t="s">
        <v>990</v>
      </c>
      <c r="Q145" s="14" t="s">
        <v>318</v>
      </c>
      <c r="R145" s="18"/>
      <c r="S145" s="15"/>
      <c r="T145" s="15"/>
      <c r="U145" s="15"/>
      <c r="V145" s="15"/>
    </row>
    <row r="146" spans="1:22" x14ac:dyDescent="0.25">
      <c r="A146" s="14" t="s">
        <v>13</v>
      </c>
      <c r="B146" s="14" t="s">
        <v>96</v>
      </c>
      <c r="C146" s="14" t="s">
        <v>97</v>
      </c>
      <c r="D146" s="14" t="s">
        <v>136</v>
      </c>
      <c r="E146" s="14">
        <v>2022</v>
      </c>
      <c r="F146" s="14">
        <v>27</v>
      </c>
      <c r="G146" s="14">
        <v>4</v>
      </c>
      <c r="H146" s="18"/>
      <c r="I146" s="14" t="s">
        <v>137</v>
      </c>
      <c r="J146" s="14">
        <v>2022</v>
      </c>
      <c r="K146" s="18"/>
      <c r="L146" s="18"/>
      <c r="M146" s="14" t="s">
        <v>33</v>
      </c>
      <c r="N146" s="17" t="s">
        <v>991</v>
      </c>
      <c r="O146" s="14" t="s">
        <v>99</v>
      </c>
      <c r="P146" s="14" t="s">
        <v>992</v>
      </c>
      <c r="Q146" s="14" t="s">
        <v>404</v>
      </c>
      <c r="R146" s="18"/>
      <c r="S146" s="15"/>
      <c r="T146" s="15"/>
      <c r="U146" s="15"/>
      <c r="V146" s="15"/>
    </row>
    <row r="147" spans="1:22" x14ac:dyDescent="0.25">
      <c r="A147" s="14" t="s">
        <v>141</v>
      </c>
      <c r="B147" s="14" t="s">
        <v>993</v>
      </c>
      <c r="C147" s="14" t="s">
        <v>994</v>
      </c>
      <c r="D147" s="18"/>
      <c r="E147" s="14">
        <v>2022</v>
      </c>
      <c r="F147" s="18"/>
      <c r="G147" s="18"/>
      <c r="H147" s="14" t="s">
        <v>995</v>
      </c>
      <c r="I147" s="14" t="s">
        <v>153</v>
      </c>
      <c r="J147" s="14">
        <v>2022</v>
      </c>
      <c r="K147" s="14">
        <v>9781450394130</v>
      </c>
      <c r="L147" s="18"/>
      <c r="M147" s="18"/>
      <c r="N147" s="17" t="s">
        <v>996</v>
      </c>
      <c r="O147" s="14" t="s">
        <v>997</v>
      </c>
      <c r="P147" s="14" t="s">
        <v>998</v>
      </c>
      <c r="Q147" s="14" t="s">
        <v>999</v>
      </c>
      <c r="R147" s="18"/>
      <c r="S147" s="15"/>
      <c r="T147" s="15"/>
      <c r="U147" s="15"/>
      <c r="V147" s="15"/>
    </row>
    <row r="148" spans="1:22" x14ac:dyDescent="0.25">
      <c r="A148" s="14" t="s">
        <v>13</v>
      </c>
      <c r="B148" s="14" t="s">
        <v>1000</v>
      </c>
      <c r="C148" s="14" t="s">
        <v>1001</v>
      </c>
      <c r="D148" s="14" t="s">
        <v>1002</v>
      </c>
      <c r="E148" s="14">
        <v>2022</v>
      </c>
      <c r="F148" s="14">
        <v>15</v>
      </c>
      <c r="G148" s="14">
        <v>1</v>
      </c>
      <c r="H148" s="18"/>
      <c r="I148" s="14" t="s">
        <v>145</v>
      </c>
      <c r="J148" s="14">
        <v>2022</v>
      </c>
      <c r="K148" s="18"/>
      <c r="L148" s="18"/>
      <c r="M148" s="14" t="s">
        <v>1003</v>
      </c>
      <c r="N148" s="17" t="s">
        <v>1004</v>
      </c>
      <c r="O148" s="14" t="s">
        <v>1005</v>
      </c>
      <c r="P148" s="14" t="s">
        <v>1006</v>
      </c>
      <c r="Q148" s="14" t="s">
        <v>157</v>
      </c>
      <c r="R148" s="18"/>
      <c r="S148" s="15"/>
      <c r="T148" s="15"/>
      <c r="U148" s="15"/>
      <c r="V148" s="15"/>
    </row>
    <row r="149" spans="1:22" x14ac:dyDescent="0.25">
      <c r="A149" s="14" t="s">
        <v>13</v>
      </c>
      <c r="B149" s="14" t="s">
        <v>1007</v>
      </c>
      <c r="C149" s="14" t="s">
        <v>1008</v>
      </c>
      <c r="D149" s="14" t="s">
        <v>136</v>
      </c>
      <c r="E149" s="14">
        <v>2022</v>
      </c>
      <c r="F149" s="14">
        <v>27</v>
      </c>
      <c r="G149" s="14">
        <v>2</v>
      </c>
      <c r="H149" s="18"/>
      <c r="I149" s="14" t="s">
        <v>137</v>
      </c>
      <c r="J149" s="14">
        <v>2022</v>
      </c>
      <c r="K149" s="18"/>
      <c r="L149" s="18"/>
      <c r="M149" s="14" t="s">
        <v>33</v>
      </c>
      <c r="N149" s="17" t="s">
        <v>1009</v>
      </c>
      <c r="O149" s="14" t="s">
        <v>1010</v>
      </c>
      <c r="P149" s="14" t="s">
        <v>1011</v>
      </c>
      <c r="Q149" s="14" t="s">
        <v>157</v>
      </c>
      <c r="R149" s="18"/>
      <c r="S149" s="15"/>
      <c r="T149" s="15"/>
      <c r="U149" s="15"/>
      <c r="V149" s="15"/>
    </row>
    <row r="150" spans="1:22" x14ac:dyDescent="0.25">
      <c r="A150" s="14" t="s">
        <v>13</v>
      </c>
      <c r="B150" s="14" t="s">
        <v>1012</v>
      </c>
      <c r="C150" s="14" t="s">
        <v>1013</v>
      </c>
      <c r="D150" s="14" t="s">
        <v>209</v>
      </c>
      <c r="E150" s="14">
        <v>2022</v>
      </c>
      <c r="F150" s="14" t="s">
        <v>1014</v>
      </c>
      <c r="G150" s="18"/>
      <c r="H150" s="14" t="s">
        <v>1015</v>
      </c>
      <c r="I150" s="14" t="s">
        <v>212</v>
      </c>
      <c r="J150" s="14">
        <v>2022</v>
      </c>
      <c r="K150" s="18"/>
      <c r="L150" s="18"/>
      <c r="M150" s="14" t="s">
        <v>213</v>
      </c>
      <c r="N150" s="17" t="s">
        <v>1016</v>
      </c>
      <c r="O150" s="14" t="s">
        <v>1017</v>
      </c>
      <c r="P150" s="14" t="s">
        <v>1018</v>
      </c>
      <c r="Q150" s="14" t="s">
        <v>157</v>
      </c>
      <c r="R150" s="18"/>
      <c r="S150" s="15"/>
      <c r="T150" s="15"/>
      <c r="U150" s="15"/>
      <c r="V150" s="15"/>
    </row>
    <row r="151" spans="1:22" x14ac:dyDescent="0.25">
      <c r="A151" s="14" t="s">
        <v>13</v>
      </c>
      <c r="B151" s="14" t="s">
        <v>1019</v>
      </c>
      <c r="C151" s="14" t="s">
        <v>1020</v>
      </c>
      <c r="D151" s="14" t="s">
        <v>361</v>
      </c>
      <c r="E151" s="14">
        <v>2022</v>
      </c>
      <c r="F151" s="14">
        <v>5</v>
      </c>
      <c r="G151" s="14">
        <v>1</v>
      </c>
      <c r="H151" s="18"/>
      <c r="I151" s="14" t="s">
        <v>362</v>
      </c>
      <c r="J151" s="14">
        <v>2022</v>
      </c>
      <c r="K151" s="18"/>
      <c r="L151" s="18"/>
      <c r="M151" s="14" t="s">
        <v>363</v>
      </c>
      <c r="N151" s="17" t="s">
        <v>1021</v>
      </c>
      <c r="O151" s="14" t="s">
        <v>1022</v>
      </c>
      <c r="P151" s="14" t="s">
        <v>1023</v>
      </c>
      <c r="Q151" s="14" t="s">
        <v>1024</v>
      </c>
      <c r="R151" s="18"/>
      <c r="S151" s="15"/>
      <c r="T151" s="15"/>
      <c r="U151" s="15"/>
      <c r="V151" s="15"/>
    </row>
    <row r="152" spans="1:22" x14ac:dyDescent="0.25">
      <c r="A152" s="14" t="s">
        <v>141</v>
      </c>
      <c r="B152" s="14" t="s">
        <v>1025</v>
      </c>
      <c r="C152" s="14" t="s">
        <v>1026</v>
      </c>
      <c r="D152" s="18"/>
      <c r="E152" s="14">
        <v>2022</v>
      </c>
      <c r="F152" s="18"/>
      <c r="G152" s="18"/>
      <c r="H152" s="14" t="s">
        <v>1027</v>
      </c>
      <c r="I152" s="14" t="s">
        <v>153</v>
      </c>
      <c r="J152" s="14">
        <v>2022</v>
      </c>
      <c r="K152" s="14">
        <v>9781450394567</v>
      </c>
      <c r="L152" s="18"/>
      <c r="M152" s="18"/>
      <c r="N152" s="17" t="s">
        <v>1028</v>
      </c>
      <c r="O152" s="14" t="s">
        <v>1029</v>
      </c>
      <c r="P152" s="14" t="s">
        <v>1030</v>
      </c>
      <c r="Q152" s="14" t="s">
        <v>157</v>
      </c>
      <c r="R152" s="18"/>
      <c r="S152" s="15"/>
      <c r="T152" s="15"/>
      <c r="U152" s="15"/>
      <c r="V152" s="15"/>
    </row>
    <row r="153" spans="1:22" x14ac:dyDescent="0.25">
      <c r="A153" s="14" t="s">
        <v>13</v>
      </c>
      <c r="B153" s="14" t="s">
        <v>1031</v>
      </c>
      <c r="C153" s="14" t="s">
        <v>1032</v>
      </c>
      <c r="D153" s="14" t="s">
        <v>1033</v>
      </c>
      <c r="E153" s="14">
        <v>2022</v>
      </c>
      <c r="F153" s="14">
        <v>47</v>
      </c>
      <c r="G153" s="14">
        <v>2</v>
      </c>
      <c r="H153" s="14" t="s">
        <v>1034</v>
      </c>
      <c r="I153" s="14" t="s">
        <v>212</v>
      </c>
      <c r="J153" s="14">
        <v>2022</v>
      </c>
      <c r="K153" s="18"/>
      <c r="L153" s="18"/>
      <c r="M153" s="14" t="s">
        <v>1035</v>
      </c>
      <c r="N153" s="17" t="s">
        <v>1036</v>
      </c>
      <c r="O153" s="14" t="s">
        <v>1037</v>
      </c>
      <c r="P153" s="14" t="s">
        <v>1038</v>
      </c>
      <c r="Q153" s="14" t="s">
        <v>176</v>
      </c>
      <c r="R153" s="18"/>
      <c r="S153" s="15"/>
      <c r="T153" s="15"/>
      <c r="U153" s="15"/>
      <c r="V153" s="15"/>
    </row>
    <row r="154" spans="1:22" x14ac:dyDescent="0.25">
      <c r="A154" s="14" t="s">
        <v>13</v>
      </c>
      <c r="B154" s="14" t="s">
        <v>1039</v>
      </c>
      <c r="C154" s="14" t="s">
        <v>1040</v>
      </c>
      <c r="D154" s="14" t="s">
        <v>1041</v>
      </c>
      <c r="E154" s="14">
        <v>2022</v>
      </c>
      <c r="F154" s="14">
        <v>6</v>
      </c>
      <c r="G154" s="14">
        <v>4</v>
      </c>
      <c r="H154" s="14" t="s">
        <v>1042</v>
      </c>
      <c r="I154" s="14" t="s">
        <v>1043</v>
      </c>
      <c r="J154" s="14">
        <v>2022</v>
      </c>
      <c r="K154" s="18"/>
      <c r="L154" s="18"/>
      <c r="M154" s="14" t="s">
        <v>1044</v>
      </c>
      <c r="N154" s="17" t="s">
        <v>1045</v>
      </c>
      <c r="O154" s="14" t="s">
        <v>1046</v>
      </c>
      <c r="P154" s="14" t="s">
        <v>1047</v>
      </c>
      <c r="Q154" s="14" t="s">
        <v>157</v>
      </c>
      <c r="R154" s="18"/>
      <c r="S154" s="15"/>
      <c r="T154" s="15"/>
      <c r="U154" s="15"/>
      <c r="V154" s="15"/>
    </row>
    <row r="155" spans="1:22" x14ac:dyDescent="0.25">
      <c r="A155" s="14" t="s">
        <v>13</v>
      </c>
      <c r="B155" s="14" t="s">
        <v>1048</v>
      </c>
      <c r="C155" s="14" t="s">
        <v>1049</v>
      </c>
      <c r="D155" s="14" t="s">
        <v>588</v>
      </c>
      <c r="E155" s="14">
        <v>2022</v>
      </c>
      <c r="F155" s="14">
        <v>70</v>
      </c>
      <c r="G155" s="14">
        <v>9</v>
      </c>
      <c r="H155" s="14" t="s">
        <v>1050</v>
      </c>
      <c r="I155" s="14" t="s">
        <v>590</v>
      </c>
      <c r="J155" s="14">
        <v>2022</v>
      </c>
      <c r="K155" s="18"/>
      <c r="L155" s="18"/>
      <c r="M155" s="14" t="s">
        <v>591</v>
      </c>
      <c r="N155" s="17" t="s">
        <v>1051</v>
      </c>
      <c r="O155" s="14" t="s">
        <v>1052</v>
      </c>
      <c r="P155" s="14" t="s">
        <v>1053</v>
      </c>
      <c r="Q155" s="14" t="s">
        <v>166</v>
      </c>
      <c r="R155" s="18"/>
      <c r="S155" s="15"/>
      <c r="T155" s="15"/>
      <c r="U155" s="15"/>
      <c r="V155" s="15"/>
    </row>
    <row r="156" spans="1:22" x14ac:dyDescent="0.25">
      <c r="A156" s="14" t="s">
        <v>13</v>
      </c>
      <c r="B156" s="18"/>
      <c r="C156" s="14" t="s">
        <v>1054</v>
      </c>
      <c r="D156" s="14" t="s">
        <v>209</v>
      </c>
      <c r="E156" s="14">
        <v>2022</v>
      </c>
      <c r="F156" s="14" t="s">
        <v>1014</v>
      </c>
      <c r="G156" s="18"/>
      <c r="H156" s="18"/>
      <c r="I156" s="14" t="s">
        <v>212</v>
      </c>
      <c r="J156" s="14">
        <v>2022</v>
      </c>
      <c r="K156" s="18"/>
      <c r="L156" s="18"/>
      <c r="M156" s="14" t="s">
        <v>213</v>
      </c>
      <c r="N156" s="17" t="s">
        <v>1055</v>
      </c>
      <c r="O156" s="18"/>
      <c r="P156" s="14" t="s">
        <v>1056</v>
      </c>
      <c r="Q156" s="14" t="s">
        <v>157</v>
      </c>
      <c r="R156" s="18"/>
      <c r="S156" s="15"/>
      <c r="T156" s="15"/>
      <c r="U156" s="15"/>
      <c r="V156" s="15"/>
    </row>
    <row r="157" spans="1:22" x14ac:dyDescent="0.25">
      <c r="A157" s="14" t="s">
        <v>13</v>
      </c>
      <c r="B157" s="14" t="s">
        <v>1057</v>
      </c>
      <c r="C157" s="14" t="s">
        <v>1058</v>
      </c>
      <c r="D157" s="14" t="s">
        <v>1059</v>
      </c>
      <c r="E157" s="14">
        <v>2022</v>
      </c>
      <c r="F157" s="14">
        <v>115</v>
      </c>
      <c r="G157" s="18"/>
      <c r="H157" s="18"/>
      <c r="I157" s="14" t="s">
        <v>1060</v>
      </c>
      <c r="J157" s="14">
        <v>2022</v>
      </c>
      <c r="K157" s="18"/>
      <c r="L157" s="18"/>
      <c r="M157" s="14" t="s">
        <v>1061</v>
      </c>
      <c r="N157" s="17" t="s">
        <v>1062</v>
      </c>
      <c r="O157" s="14" t="s">
        <v>1063</v>
      </c>
      <c r="P157" s="14" t="s">
        <v>1064</v>
      </c>
      <c r="Q157" s="14" t="s">
        <v>157</v>
      </c>
      <c r="R157" s="18"/>
      <c r="S157" s="15"/>
      <c r="T157" s="15"/>
      <c r="U157" s="15"/>
      <c r="V157" s="15"/>
    </row>
    <row r="158" spans="1:22" x14ac:dyDescent="0.25">
      <c r="A158" s="14" t="s">
        <v>13</v>
      </c>
      <c r="B158" s="14" t="s">
        <v>1065</v>
      </c>
      <c r="C158" s="14" t="s">
        <v>1066</v>
      </c>
      <c r="D158" s="14" t="s">
        <v>307</v>
      </c>
      <c r="E158" s="14">
        <v>2022</v>
      </c>
      <c r="F158" s="14">
        <v>149</v>
      </c>
      <c r="G158" s="18"/>
      <c r="H158" s="18"/>
      <c r="I158" s="14" t="s">
        <v>280</v>
      </c>
      <c r="J158" s="14">
        <v>2022</v>
      </c>
      <c r="K158" s="18"/>
      <c r="L158" s="18"/>
      <c r="M158" s="14" t="s">
        <v>308</v>
      </c>
      <c r="N158" s="17" t="s">
        <v>1067</v>
      </c>
      <c r="O158" s="14" t="s">
        <v>1068</v>
      </c>
      <c r="P158" s="14" t="s">
        <v>1069</v>
      </c>
      <c r="Q158" s="14" t="s">
        <v>318</v>
      </c>
      <c r="R158" s="18"/>
      <c r="S158" s="15"/>
      <c r="T158" s="15"/>
      <c r="U158" s="15"/>
      <c r="V158" s="15"/>
    </row>
    <row r="159" spans="1:22" x14ac:dyDescent="0.25">
      <c r="A159" s="14" t="s">
        <v>141</v>
      </c>
      <c r="B159" s="14" t="s">
        <v>1070</v>
      </c>
      <c r="C159" s="14" t="s">
        <v>1071</v>
      </c>
      <c r="D159" s="18"/>
      <c r="E159" s="14">
        <v>2022</v>
      </c>
      <c r="F159" s="18"/>
      <c r="G159" s="18"/>
      <c r="H159" s="18"/>
      <c r="I159" s="14" t="s">
        <v>257</v>
      </c>
      <c r="J159" s="14">
        <v>2022</v>
      </c>
      <c r="K159" s="14">
        <v>9781665470872</v>
      </c>
      <c r="L159" s="18"/>
      <c r="M159" s="18"/>
      <c r="N159" s="17" t="s">
        <v>1072</v>
      </c>
      <c r="O159" s="14" t="s">
        <v>1073</v>
      </c>
      <c r="P159" s="14" t="s">
        <v>1074</v>
      </c>
      <c r="Q159" s="14" t="s">
        <v>157</v>
      </c>
      <c r="R159" s="18"/>
      <c r="S159" s="15"/>
      <c r="T159" s="15"/>
      <c r="U159" s="15"/>
      <c r="V159" s="15"/>
    </row>
    <row r="160" spans="1:22" x14ac:dyDescent="0.25">
      <c r="A160" s="14" t="s">
        <v>13</v>
      </c>
      <c r="B160" s="14" t="s">
        <v>55</v>
      </c>
      <c r="C160" s="14" t="s">
        <v>56</v>
      </c>
      <c r="D160" s="14" t="s">
        <v>582</v>
      </c>
      <c r="E160" s="14">
        <v>2022</v>
      </c>
      <c r="F160" s="14">
        <v>29</v>
      </c>
      <c r="G160" s="14">
        <v>2</v>
      </c>
      <c r="H160" s="18"/>
      <c r="I160" s="14" t="s">
        <v>137</v>
      </c>
      <c r="J160" s="14">
        <v>2022</v>
      </c>
      <c r="K160" s="18"/>
      <c r="L160" s="18"/>
      <c r="M160" s="14" t="s">
        <v>58</v>
      </c>
      <c r="N160" s="17" t="s">
        <v>1075</v>
      </c>
      <c r="O160" s="14" t="s">
        <v>60</v>
      </c>
      <c r="P160" s="14" t="s">
        <v>1076</v>
      </c>
      <c r="Q160" s="14" t="s">
        <v>166</v>
      </c>
      <c r="R160" s="18"/>
      <c r="S160" s="15"/>
      <c r="T160" s="15"/>
      <c r="U160" s="15"/>
      <c r="V160" s="15"/>
    </row>
    <row r="161" spans="1:22" x14ac:dyDescent="0.25">
      <c r="A161" s="14" t="s">
        <v>13</v>
      </c>
      <c r="B161" s="14" t="s">
        <v>1077</v>
      </c>
      <c r="C161" s="14" t="s">
        <v>1078</v>
      </c>
      <c r="D161" s="14" t="s">
        <v>209</v>
      </c>
      <c r="E161" s="14">
        <v>2022</v>
      </c>
      <c r="F161" s="14" t="s">
        <v>1079</v>
      </c>
      <c r="G161" s="18"/>
      <c r="H161" s="14" t="s">
        <v>1080</v>
      </c>
      <c r="I161" s="14" t="s">
        <v>212</v>
      </c>
      <c r="J161" s="14">
        <v>2022</v>
      </c>
      <c r="K161" s="18"/>
      <c r="L161" s="18"/>
      <c r="M161" s="14" t="s">
        <v>213</v>
      </c>
      <c r="N161" s="17" t="s">
        <v>1081</v>
      </c>
      <c r="O161" s="14" t="s">
        <v>1082</v>
      </c>
      <c r="P161" s="14" t="s">
        <v>1083</v>
      </c>
      <c r="Q161" s="14" t="s">
        <v>318</v>
      </c>
      <c r="R161" s="18"/>
      <c r="S161" s="15"/>
      <c r="T161" s="15"/>
      <c r="U161" s="15"/>
      <c r="V161" s="15"/>
    </row>
    <row r="162" spans="1:22" x14ac:dyDescent="0.25">
      <c r="A162" s="14" t="s">
        <v>13</v>
      </c>
      <c r="B162" s="14" t="s">
        <v>1084</v>
      </c>
      <c r="C162" s="14" t="s">
        <v>1085</v>
      </c>
      <c r="D162" s="14" t="s">
        <v>354</v>
      </c>
      <c r="E162" s="14">
        <v>2022</v>
      </c>
      <c r="F162" s="14">
        <v>187</v>
      </c>
      <c r="G162" s="18"/>
      <c r="H162" s="18"/>
      <c r="I162" s="14" t="s">
        <v>355</v>
      </c>
      <c r="J162" s="14">
        <v>2022</v>
      </c>
      <c r="K162" s="18"/>
      <c r="L162" s="18"/>
      <c r="M162" s="14" t="s">
        <v>65</v>
      </c>
      <c r="N162" s="17" t="s">
        <v>1086</v>
      </c>
      <c r="O162" s="14" t="s">
        <v>1087</v>
      </c>
      <c r="P162" s="14" t="s">
        <v>1088</v>
      </c>
      <c r="Q162" s="14" t="s">
        <v>176</v>
      </c>
      <c r="R162" s="18"/>
      <c r="S162" s="15"/>
      <c r="T162" s="15"/>
      <c r="U162" s="15"/>
      <c r="V162" s="15"/>
    </row>
    <row r="163" spans="1:22" x14ac:dyDescent="0.25">
      <c r="A163" s="14" t="s">
        <v>13</v>
      </c>
      <c r="B163" s="14" t="s">
        <v>1089</v>
      </c>
      <c r="C163" s="14" t="s">
        <v>1090</v>
      </c>
      <c r="D163" s="14" t="s">
        <v>328</v>
      </c>
      <c r="E163" s="14">
        <v>2022</v>
      </c>
      <c r="F163" s="14">
        <v>31</v>
      </c>
      <c r="G163" s="14">
        <v>2</v>
      </c>
      <c r="H163" s="18"/>
      <c r="I163" s="14" t="s">
        <v>145</v>
      </c>
      <c r="J163" s="14">
        <v>2022</v>
      </c>
      <c r="K163" s="18"/>
      <c r="L163" s="18"/>
      <c r="M163" s="14" t="s">
        <v>329</v>
      </c>
      <c r="N163" s="17" t="s">
        <v>1091</v>
      </c>
      <c r="O163" s="14" t="s">
        <v>1092</v>
      </c>
      <c r="P163" s="14" t="s">
        <v>1093</v>
      </c>
      <c r="Q163" s="14" t="s">
        <v>1094</v>
      </c>
      <c r="R163" s="18"/>
      <c r="S163" s="15"/>
      <c r="T163" s="15"/>
      <c r="U163" s="15"/>
      <c r="V163" s="15"/>
    </row>
    <row r="164" spans="1:22" x14ac:dyDescent="0.25">
      <c r="A164" s="14" t="s">
        <v>13</v>
      </c>
      <c r="B164" s="14" t="s">
        <v>1095</v>
      </c>
      <c r="C164" s="14" t="s">
        <v>1096</v>
      </c>
      <c r="D164" s="14" t="s">
        <v>136</v>
      </c>
      <c r="E164" s="14">
        <v>2022</v>
      </c>
      <c r="F164" s="14">
        <v>27</v>
      </c>
      <c r="G164" s="14">
        <v>7</v>
      </c>
      <c r="H164" s="18"/>
      <c r="I164" s="14" t="s">
        <v>137</v>
      </c>
      <c r="J164" s="14">
        <v>2022</v>
      </c>
      <c r="K164" s="18"/>
      <c r="L164" s="18"/>
      <c r="M164" s="14" t="s">
        <v>33</v>
      </c>
      <c r="N164" s="17" t="s">
        <v>1097</v>
      </c>
      <c r="O164" s="14" t="s">
        <v>1098</v>
      </c>
      <c r="P164" s="14" t="s">
        <v>1099</v>
      </c>
      <c r="Q164" s="14" t="s">
        <v>157</v>
      </c>
      <c r="R164" s="18"/>
      <c r="S164" s="15"/>
      <c r="T164" s="15"/>
      <c r="U164" s="15"/>
      <c r="V164" s="15"/>
    </row>
    <row r="165" spans="1:22" x14ac:dyDescent="0.25">
      <c r="A165" s="14" t="s">
        <v>141</v>
      </c>
      <c r="B165" s="14" t="s">
        <v>1100</v>
      </c>
      <c r="C165" s="14" t="s">
        <v>1101</v>
      </c>
      <c r="D165" s="18"/>
      <c r="E165" s="14">
        <v>2022</v>
      </c>
      <c r="F165" s="18"/>
      <c r="G165" s="18"/>
      <c r="H165" s="14" t="s">
        <v>1102</v>
      </c>
      <c r="I165" s="14" t="s">
        <v>153</v>
      </c>
      <c r="J165" s="14">
        <v>2022</v>
      </c>
      <c r="K165" s="14">
        <v>9781450394130</v>
      </c>
      <c r="L165" s="18"/>
      <c r="M165" s="18"/>
      <c r="N165" s="17" t="s">
        <v>1103</v>
      </c>
      <c r="O165" s="14" t="s">
        <v>1104</v>
      </c>
      <c r="P165" s="14" t="s">
        <v>1105</v>
      </c>
      <c r="Q165" s="14" t="s">
        <v>387</v>
      </c>
      <c r="R165" s="18"/>
      <c r="S165" s="15"/>
      <c r="T165" s="15"/>
      <c r="U165" s="15"/>
      <c r="V165" s="15"/>
    </row>
    <row r="166" spans="1:22" x14ac:dyDescent="0.25">
      <c r="A166" s="14" t="s">
        <v>13</v>
      </c>
      <c r="B166" s="14" t="s">
        <v>1106</v>
      </c>
      <c r="C166" s="14" t="s">
        <v>1107</v>
      </c>
      <c r="D166" s="14" t="s">
        <v>1108</v>
      </c>
      <c r="E166" s="14">
        <v>2022</v>
      </c>
      <c r="F166" s="14">
        <v>13</v>
      </c>
      <c r="G166" s="18"/>
      <c r="H166" s="18"/>
      <c r="I166" s="14" t="s">
        <v>280</v>
      </c>
      <c r="J166" s="14">
        <v>2022</v>
      </c>
      <c r="K166" s="18"/>
      <c r="L166" s="18"/>
      <c r="M166" s="14" t="s">
        <v>1109</v>
      </c>
      <c r="N166" s="17" t="s">
        <v>1110</v>
      </c>
      <c r="O166" s="14" t="s">
        <v>1111</v>
      </c>
      <c r="P166" s="14" t="s">
        <v>1112</v>
      </c>
      <c r="Q166" s="14" t="s">
        <v>285</v>
      </c>
      <c r="R166" s="18"/>
      <c r="S166" s="15"/>
      <c r="T166" s="15"/>
      <c r="U166" s="15"/>
      <c r="V166" s="15"/>
    </row>
    <row r="167" spans="1:22" x14ac:dyDescent="0.25">
      <c r="A167" s="14" t="s">
        <v>13</v>
      </c>
      <c r="B167" s="14" t="s">
        <v>1113</v>
      </c>
      <c r="C167" s="14" t="s">
        <v>1114</v>
      </c>
      <c r="D167" s="14" t="s">
        <v>523</v>
      </c>
      <c r="E167" s="14">
        <v>2022</v>
      </c>
      <c r="F167" s="14">
        <v>30</v>
      </c>
      <c r="G167" s="14">
        <v>3</v>
      </c>
      <c r="H167" s="14" t="s">
        <v>1115</v>
      </c>
      <c r="I167" s="14" t="s">
        <v>137</v>
      </c>
      <c r="J167" s="14">
        <v>2022</v>
      </c>
      <c r="K167" s="18"/>
      <c r="L167" s="18"/>
      <c r="M167" s="14" t="s">
        <v>525</v>
      </c>
      <c r="N167" s="17" t="s">
        <v>1116</v>
      </c>
      <c r="O167" s="14" t="s">
        <v>1117</v>
      </c>
      <c r="P167" s="14" t="s">
        <v>1118</v>
      </c>
      <c r="Q167" s="14" t="s">
        <v>157</v>
      </c>
      <c r="R167" s="18"/>
      <c r="S167" s="15"/>
      <c r="T167" s="15"/>
      <c r="U167" s="15"/>
      <c r="V167" s="15"/>
    </row>
    <row r="168" spans="1:22" x14ac:dyDescent="0.25">
      <c r="A168" s="14" t="s">
        <v>13</v>
      </c>
      <c r="B168" s="14" t="s">
        <v>1119</v>
      </c>
      <c r="C168" s="14" t="s">
        <v>1120</v>
      </c>
      <c r="D168" s="14" t="s">
        <v>354</v>
      </c>
      <c r="E168" s="14">
        <v>2023</v>
      </c>
      <c r="F168" s="14">
        <v>195</v>
      </c>
      <c r="G168" s="18"/>
      <c r="H168" s="18"/>
      <c r="I168" s="14" t="s">
        <v>355</v>
      </c>
      <c r="J168" s="14">
        <v>2023</v>
      </c>
      <c r="K168" s="18"/>
      <c r="L168" s="18"/>
      <c r="M168" s="14" t="s">
        <v>65</v>
      </c>
      <c r="N168" s="17" t="s">
        <v>1121</v>
      </c>
      <c r="O168" s="14" t="s">
        <v>1122</v>
      </c>
      <c r="P168" s="14" t="s">
        <v>1123</v>
      </c>
      <c r="Q168" s="14" t="s">
        <v>157</v>
      </c>
      <c r="R168" s="18"/>
      <c r="S168" s="15"/>
      <c r="T168" s="15"/>
      <c r="U168" s="15"/>
      <c r="V168" s="15"/>
    </row>
    <row r="169" spans="1:22" x14ac:dyDescent="0.25">
      <c r="A169" s="14" t="s">
        <v>13</v>
      </c>
      <c r="B169" s="14" t="s">
        <v>1124</v>
      </c>
      <c r="C169" s="14" t="s">
        <v>1125</v>
      </c>
      <c r="D169" s="14" t="s">
        <v>255</v>
      </c>
      <c r="E169" s="14">
        <v>2022</v>
      </c>
      <c r="F169" s="18"/>
      <c r="G169" s="18"/>
      <c r="H169" s="14" t="s">
        <v>1126</v>
      </c>
      <c r="I169" s="14" t="s">
        <v>257</v>
      </c>
      <c r="J169" s="14">
        <v>2022</v>
      </c>
      <c r="K169" s="18"/>
      <c r="L169" s="18"/>
      <c r="M169" s="14" t="s">
        <v>18</v>
      </c>
      <c r="N169" s="17" t="s">
        <v>1127</v>
      </c>
      <c r="O169" s="14" t="s">
        <v>1128</v>
      </c>
      <c r="P169" s="14" t="s">
        <v>1129</v>
      </c>
      <c r="Q169" s="14" t="s">
        <v>157</v>
      </c>
      <c r="R169" s="18"/>
      <c r="S169" s="15"/>
      <c r="T169" s="15"/>
      <c r="U169" s="15"/>
      <c r="V169" s="15"/>
    </row>
    <row r="170" spans="1:22" x14ac:dyDescent="0.25">
      <c r="A170" s="14" t="s">
        <v>13</v>
      </c>
      <c r="B170" s="14" t="s">
        <v>1130</v>
      </c>
      <c r="C170" s="14" t="s">
        <v>1131</v>
      </c>
      <c r="D170" s="14" t="s">
        <v>354</v>
      </c>
      <c r="E170" s="14">
        <v>2022</v>
      </c>
      <c r="F170" s="14">
        <v>194</v>
      </c>
      <c r="G170" s="18"/>
      <c r="H170" s="18"/>
      <c r="I170" s="14" t="s">
        <v>355</v>
      </c>
      <c r="J170" s="14">
        <v>2022</v>
      </c>
      <c r="K170" s="18"/>
      <c r="L170" s="18"/>
      <c r="M170" s="14" t="s">
        <v>65</v>
      </c>
      <c r="N170" s="17" t="s">
        <v>1132</v>
      </c>
      <c r="O170" s="14" t="s">
        <v>1133</v>
      </c>
      <c r="P170" s="14" t="s">
        <v>1134</v>
      </c>
      <c r="Q170" s="14" t="s">
        <v>157</v>
      </c>
      <c r="R170" s="18"/>
      <c r="S170" s="15"/>
      <c r="T170" s="15"/>
      <c r="U170" s="15"/>
      <c r="V170" s="15"/>
    </row>
    <row r="171" spans="1:22" x14ac:dyDescent="0.25">
      <c r="A171" s="14" t="s">
        <v>141</v>
      </c>
      <c r="B171" s="14" t="s">
        <v>1135</v>
      </c>
      <c r="C171" s="14" t="s">
        <v>1136</v>
      </c>
      <c r="D171" s="18"/>
      <c r="E171" s="14">
        <v>2022</v>
      </c>
      <c r="F171" s="18"/>
      <c r="G171" s="18"/>
      <c r="H171" s="14" t="s">
        <v>1137</v>
      </c>
      <c r="I171" s="14" t="s">
        <v>145</v>
      </c>
      <c r="J171" s="14">
        <v>2022</v>
      </c>
      <c r="K171" s="14">
        <v>9781450392051</v>
      </c>
      <c r="L171" s="18"/>
      <c r="M171" s="18"/>
      <c r="N171" s="17" t="s">
        <v>1138</v>
      </c>
      <c r="O171" s="14" t="s">
        <v>1139</v>
      </c>
      <c r="P171" s="14" t="s">
        <v>1140</v>
      </c>
      <c r="Q171" s="14" t="s">
        <v>520</v>
      </c>
      <c r="R171" s="18"/>
      <c r="S171" s="15"/>
      <c r="T171" s="15"/>
      <c r="U171" s="15"/>
      <c r="V171" s="15"/>
    </row>
    <row r="172" spans="1:22" x14ac:dyDescent="0.25">
      <c r="A172" s="14" t="s">
        <v>141</v>
      </c>
      <c r="B172" s="14" t="s">
        <v>1141</v>
      </c>
      <c r="C172" s="14" t="s">
        <v>1142</v>
      </c>
      <c r="D172" s="18"/>
      <c r="E172" s="14">
        <v>2022</v>
      </c>
      <c r="F172" s="18"/>
      <c r="G172" s="18"/>
      <c r="H172" s="14" t="s">
        <v>1143</v>
      </c>
      <c r="I172" s="14" t="s">
        <v>145</v>
      </c>
      <c r="J172" s="14">
        <v>2022</v>
      </c>
      <c r="K172" s="14">
        <v>9781450393522</v>
      </c>
      <c r="L172" s="18"/>
      <c r="M172" s="18"/>
      <c r="N172" s="17" t="s">
        <v>1144</v>
      </c>
      <c r="O172" s="14" t="s">
        <v>1145</v>
      </c>
      <c r="P172" s="14" t="s">
        <v>1146</v>
      </c>
      <c r="Q172" s="14" t="s">
        <v>387</v>
      </c>
      <c r="R172" s="18"/>
      <c r="S172" s="15"/>
      <c r="T172" s="15"/>
      <c r="U172" s="15"/>
      <c r="V172" s="15"/>
    </row>
    <row r="173" spans="1:22" x14ac:dyDescent="0.25">
      <c r="A173" s="14" t="s">
        <v>13</v>
      </c>
      <c r="B173" s="14" t="s">
        <v>1147</v>
      </c>
      <c r="C173" s="14" t="s">
        <v>1148</v>
      </c>
      <c r="D173" s="14" t="s">
        <v>1149</v>
      </c>
      <c r="E173" s="14">
        <v>2022</v>
      </c>
      <c r="F173" s="18"/>
      <c r="G173" s="18"/>
      <c r="H173" s="18"/>
      <c r="I173" s="14" t="s">
        <v>212</v>
      </c>
      <c r="J173" s="14">
        <v>2022</v>
      </c>
      <c r="K173" s="18"/>
      <c r="L173" s="18"/>
      <c r="M173" s="14" t="s">
        <v>1150</v>
      </c>
      <c r="N173" s="17" t="s">
        <v>1151</v>
      </c>
      <c r="O173" s="14" t="s">
        <v>1152</v>
      </c>
      <c r="P173" s="14" t="s">
        <v>1153</v>
      </c>
      <c r="Q173" s="14" t="s">
        <v>999</v>
      </c>
      <c r="R173" s="18"/>
      <c r="S173" s="15"/>
      <c r="T173" s="15"/>
      <c r="U173" s="15"/>
      <c r="V173" s="15"/>
    </row>
    <row r="174" spans="1:22" x14ac:dyDescent="0.25">
      <c r="A174" s="14" t="s">
        <v>141</v>
      </c>
      <c r="B174" s="14" t="s">
        <v>1154</v>
      </c>
      <c r="C174" s="14" t="s">
        <v>1155</v>
      </c>
      <c r="D174" s="18"/>
      <c r="E174" s="14">
        <v>2022</v>
      </c>
      <c r="F174" s="18"/>
      <c r="G174" s="18"/>
      <c r="H174" s="14" t="s">
        <v>1042</v>
      </c>
      <c r="I174" s="14" t="s">
        <v>257</v>
      </c>
      <c r="J174" s="14">
        <v>2022</v>
      </c>
      <c r="K174" s="14">
        <v>9781665488105</v>
      </c>
      <c r="L174" s="18"/>
      <c r="M174" s="18"/>
      <c r="N174" s="17" t="s">
        <v>1156</v>
      </c>
      <c r="O174" s="14" t="s">
        <v>1157</v>
      </c>
      <c r="P174" s="14" t="s">
        <v>1158</v>
      </c>
      <c r="Q174" s="14" t="s">
        <v>404</v>
      </c>
      <c r="R174" s="18"/>
      <c r="S174" s="15"/>
      <c r="T174" s="15"/>
      <c r="U174" s="15"/>
      <c r="V174" s="15"/>
    </row>
    <row r="175" spans="1:22" x14ac:dyDescent="0.25">
      <c r="A175" s="14" t="s">
        <v>13</v>
      </c>
      <c r="B175" s="14" t="s">
        <v>1159</v>
      </c>
      <c r="C175" s="14" t="s">
        <v>1160</v>
      </c>
      <c r="D175" s="14" t="s">
        <v>1161</v>
      </c>
      <c r="E175" s="14">
        <v>2022</v>
      </c>
      <c r="F175" s="14">
        <v>10</v>
      </c>
      <c r="G175" s="14">
        <v>3</v>
      </c>
      <c r="H175" s="18"/>
      <c r="I175" s="14" t="s">
        <v>228</v>
      </c>
      <c r="J175" s="14">
        <v>2022</v>
      </c>
      <c r="K175" s="18"/>
      <c r="L175" s="18"/>
      <c r="M175" s="14" t="s">
        <v>1162</v>
      </c>
      <c r="N175" s="17" t="s">
        <v>1163</v>
      </c>
      <c r="O175" s="14" t="s">
        <v>1164</v>
      </c>
      <c r="P175" s="14" t="s">
        <v>1165</v>
      </c>
      <c r="Q175" s="14" t="s">
        <v>447</v>
      </c>
      <c r="R175" s="18"/>
      <c r="S175" s="15"/>
      <c r="T175" s="15"/>
      <c r="U175" s="15"/>
      <c r="V175" s="15"/>
    </row>
    <row r="176" spans="1:22" x14ac:dyDescent="0.25">
      <c r="A176" s="14" t="s">
        <v>141</v>
      </c>
      <c r="B176" s="14" t="s">
        <v>1166</v>
      </c>
      <c r="C176" s="14" t="s">
        <v>1167</v>
      </c>
      <c r="D176" s="18"/>
      <c r="E176" s="14">
        <v>2022</v>
      </c>
      <c r="F176" s="18"/>
      <c r="G176" s="18"/>
      <c r="H176" s="18"/>
      <c r="I176" s="14" t="s">
        <v>145</v>
      </c>
      <c r="J176" s="14">
        <v>2022</v>
      </c>
      <c r="K176" s="14">
        <v>9781450391566</v>
      </c>
      <c r="L176" s="18"/>
      <c r="M176" s="18"/>
      <c r="N176" s="17" t="s">
        <v>1168</v>
      </c>
      <c r="O176" s="14" t="s">
        <v>1169</v>
      </c>
      <c r="P176" s="14" t="s">
        <v>1170</v>
      </c>
      <c r="Q176" s="14" t="s">
        <v>404</v>
      </c>
      <c r="R176" s="18"/>
      <c r="S176" s="15"/>
      <c r="T176" s="15"/>
      <c r="U176" s="15"/>
      <c r="V176" s="15"/>
    </row>
    <row r="177" spans="1:22" x14ac:dyDescent="0.25">
      <c r="A177" s="14" t="s">
        <v>13</v>
      </c>
      <c r="B177" s="14" t="s">
        <v>1171</v>
      </c>
      <c r="C177" s="14" t="s">
        <v>1172</v>
      </c>
      <c r="D177" s="14" t="s">
        <v>971</v>
      </c>
      <c r="E177" s="14">
        <v>2023</v>
      </c>
      <c r="F177" s="14">
        <v>141</v>
      </c>
      <c r="G177" s="18"/>
      <c r="H177" s="14" t="s">
        <v>1173</v>
      </c>
      <c r="I177" s="14" t="s">
        <v>280</v>
      </c>
      <c r="J177" s="14">
        <v>2023</v>
      </c>
      <c r="K177" s="18"/>
      <c r="L177" s="18"/>
      <c r="M177" s="14" t="s">
        <v>973</v>
      </c>
      <c r="N177" s="17" t="s">
        <v>1174</v>
      </c>
      <c r="O177" s="14" t="s">
        <v>1175</v>
      </c>
      <c r="P177" s="14" t="s">
        <v>1176</v>
      </c>
      <c r="Q177" s="14" t="s">
        <v>157</v>
      </c>
      <c r="R177" s="18"/>
      <c r="S177" s="15"/>
      <c r="T177" s="15"/>
      <c r="U177" s="15"/>
      <c r="V177" s="15"/>
    </row>
    <row r="178" spans="1:22" x14ac:dyDescent="0.25">
      <c r="A178" s="14" t="s">
        <v>13</v>
      </c>
      <c r="B178" s="14" t="s">
        <v>1177</v>
      </c>
      <c r="C178" s="14" t="s">
        <v>1178</v>
      </c>
      <c r="D178" s="14" t="s">
        <v>354</v>
      </c>
      <c r="E178" s="14">
        <v>2022</v>
      </c>
      <c r="F178" s="14">
        <v>194</v>
      </c>
      <c r="G178" s="18"/>
      <c r="H178" s="18"/>
      <c r="I178" s="14" t="s">
        <v>355</v>
      </c>
      <c r="J178" s="14">
        <v>2022</v>
      </c>
      <c r="K178" s="18"/>
      <c r="L178" s="18"/>
      <c r="M178" s="14" t="s">
        <v>65</v>
      </c>
      <c r="N178" s="17" t="s">
        <v>1179</v>
      </c>
      <c r="O178" s="14" t="s">
        <v>1180</v>
      </c>
      <c r="P178" s="14" t="s">
        <v>1181</v>
      </c>
      <c r="Q178" s="14" t="s">
        <v>157</v>
      </c>
      <c r="R178" s="18"/>
      <c r="S178" s="15"/>
      <c r="T178" s="15"/>
      <c r="U178" s="15"/>
      <c r="V178" s="15"/>
    </row>
    <row r="179" spans="1:22" x14ac:dyDescent="0.25">
      <c r="A179" s="14" t="s">
        <v>13</v>
      </c>
      <c r="B179" s="14" t="s">
        <v>1182</v>
      </c>
      <c r="C179" s="14" t="s">
        <v>1183</v>
      </c>
      <c r="D179" s="14" t="s">
        <v>136</v>
      </c>
      <c r="E179" s="14">
        <v>2022</v>
      </c>
      <c r="F179" s="14">
        <v>27</v>
      </c>
      <c r="G179" s="14">
        <v>7</v>
      </c>
      <c r="H179" s="18"/>
      <c r="I179" s="14" t="s">
        <v>137</v>
      </c>
      <c r="J179" s="14">
        <v>2022</v>
      </c>
      <c r="K179" s="18"/>
      <c r="L179" s="18"/>
      <c r="M179" s="14" t="s">
        <v>33</v>
      </c>
      <c r="N179" s="17" t="s">
        <v>1184</v>
      </c>
      <c r="O179" s="14" t="s">
        <v>1185</v>
      </c>
      <c r="P179" s="14" t="s">
        <v>1186</v>
      </c>
      <c r="Q179" s="14" t="s">
        <v>157</v>
      </c>
      <c r="R179" s="18"/>
      <c r="S179" s="15"/>
      <c r="T179" s="15"/>
      <c r="U179" s="15"/>
      <c r="V179" s="15"/>
    </row>
    <row r="180" spans="1:22" x14ac:dyDescent="0.25">
      <c r="A180" s="14" t="s">
        <v>141</v>
      </c>
      <c r="B180" s="14" t="s">
        <v>1187</v>
      </c>
      <c r="C180" s="14" t="s">
        <v>1188</v>
      </c>
      <c r="D180" s="18"/>
      <c r="E180" s="14">
        <v>2022</v>
      </c>
      <c r="F180" s="18"/>
      <c r="G180" s="18"/>
      <c r="H180" s="18"/>
      <c r="I180" s="14" t="s">
        <v>145</v>
      </c>
      <c r="J180" s="14">
        <v>2022</v>
      </c>
      <c r="K180" s="14">
        <v>9781450391573</v>
      </c>
      <c r="L180" s="18"/>
      <c r="M180" s="18"/>
      <c r="N180" s="17" t="s">
        <v>1189</v>
      </c>
      <c r="O180" s="14" t="s">
        <v>1190</v>
      </c>
      <c r="P180" s="14" t="s">
        <v>1191</v>
      </c>
      <c r="Q180" s="14" t="s">
        <v>1192</v>
      </c>
      <c r="R180" s="18"/>
      <c r="S180" s="15"/>
      <c r="T180" s="15"/>
      <c r="U180" s="15"/>
      <c r="V180" s="15"/>
    </row>
    <row r="181" spans="1:22" x14ac:dyDescent="0.25">
      <c r="A181" s="14" t="s">
        <v>141</v>
      </c>
      <c r="B181" s="14" t="s">
        <v>1193</v>
      </c>
      <c r="C181" s="14" t="s">
        <v>1194</v>
      </c>
      <c r="D181" s="18"/>
      <c r="E181" s="14">
        <v>2022</v>
      </c>
      <c r="F181" s="18"/>
      <c r="G181" s="18"/>
      <c r="H181" s="14" t="s">
        <v>1195</v>
      </c>
      <c r="I181" s="14" t="s">
        <v>933</v>
      </c>
      <c r="J181" s="14">
        <v>2022</v>
      </c>
      <c r="K181" s="14">
        <v>9781891706547</v>
      </c>
      <c r="L181" s="18"/>
      <c r="M181" s="14" t="s">
        <v>934</v>
      </c>
      <c r="N181" s="17" t="s">
        <v>1196</v>
      </c>
      <c r="O181" s="14" t="s">
        <v>1197</v>
      </c>
      <c r="P181" s="14" t="s">
        <v>1198</v>
      </c>
      <c r="Q181" s="14" t="s">
        <v>157</v>
      </c>
      <c r="R181" s="18"/>
      <c r="S181" s="15"/>
      <c r="T181" s="15"/>
      <c r="U181" s="15"/>
      <c r="V181" s="15"/>
    </row>
    <row r="182" spans="1:22" x14ac:dyDescent="0.25">
      <c r="A182" s="14" t="s">
        <v>13</v>
      </c>
      <c r="B182" s="14" t="s">
        <v>1199</v>
      </c>
      <c r="C182" s="14" t="s">
        <v>1200</v>
      </c>
      <c r="D182" s="14" t="s">
        <v>354</v>
      </c>
      <c r="E182" s="14">
        <v>2022</v>
      </c>
      <c r="F182" s="14">
        <v>187</v>
      </c>
      <c r="G182" s="18"/>
      <c r="H182" s="18"/>
      <c r="I182" s="14" t="s">
        <v>355</v>
      </c>
      <c r="J182" s="14">
        <v>2022</v>
      </c>
      <c r="K182" s="18"/>
      <c r="L182" s="18"/>
      <c r="M182" s="14" t="s">
        <v>65</v>
      </c>
      <c r="N182" s="17" t="s">
        <v>1201</v>
      </c>
      <c r="O182" s="14" t="s">
        <v>1202</v>
      </c>
      <c r="P182" s="14" t="s">
        <v>1203</v>
      </c>
      <c r="Q182" s="14" t="s">
        <v>185</v>
      </c>
      <c r="R182" s="18"/>
      <c r="S182" s="15"/>
      <c r="T182" s="15"/>
      <c r="U182" s="15"/>
      <c r="V182" s="15"/>
    </row>
    <row r="183" spans="1:22" x14ac:dyDescent="0.25">
      <c r="A183" s="14" t="s">
        <v>13</v>
      </c>
      <c r="B183" s="14" t="s">
        <v>1204</v>
      </c>
      <c r="C183" s="14" t="s">
        <v>1205</v>
      </c>
      <c r="D183" s="14" t="s">
        <v>676</v>
      </c>
      <c r="E183" s="14">
        <v>2023</v>
      </c>
      <c r="F183" s="14" t="s">
        <v>1206</v>
      </c>
      <c r="G183" s="18"/>
      <c r="H183" s="14" t="s">
        <v>1207</v>
      </c>
      <c r="I183" s="14" t="s">
        <v>212</v>
      </c>
      <c r="J183" s="14">
        <v>2023</v>
      </c>
      <c r="K183" s="18"/>
      <c r="L183" s="18"/>
      <c r="M183" s="14" t="s">
        <v>679</v>
      </c>
      <c r="N183" s="17" t="s">
        <v>1208</v>
      </c>
      <c r="O183" s="14" t="s">
        <v>1209</v>
      </c>
      <c r="P183" s="14" t="s">
        <v>1210</v>
      </c>
      <c r="Q183" s="14" t="s">
        <v>157</v>
      </c>
      <c r="R183" s="18"/>
      <c r="S183" s="15"/>
      <c r="T183" s="15"/>
      <c r="U183" s="15"/>
      <c r="V183" s="15"/>
    </row>
    <row r="184" spans="1:22" x14ac:dyDescent="0.25">
      <c r="A184" s="14" t="s">
        <v>13</v>
      </c>
      <c r="B184" s="14" t="s">
        <v>37</v>
      </c>
      <c r="C184" s="14" t="s">
        <v>38</v>
      </c>
      <c r="D184" s="14" t="s">
        <v>255</v>
      </c>
      <c r="E184" s="14">
        <v>2022</v>
      </c>
      <c r="F184" s="14">
        <v>48</v>
      </c>
      <c r="G184" s="14">
        <v>12</v>
      </c>
      <c r="H184" s="14" t="s">
        <v>1211</v>
      </c>
      <c r="I184" s="14" t="s">
        <v>257</v>
      </c>
      <c r="J184" s="14">
        <v>2022</v>
      </c>
      <c r="K184" s="18"/>
      <c r="L184" s="18"/>
      <c r="M184" s="14" t="s">
        <v>18</v>
      </c>
      <c r="N184" s="17" t="s">
        <v>1212</v>
      </c>
      <c r="O184" s="14" t="s">
        <v>41</v>
      </c>
      <c r="P184" s="14" t="s">
        <v>1213</v>
      </c>
      <c r="Q184" s="14" t="s">
        <v>149</v>
      </c>
      <c r="R184" s="18"/>
      <c r="S184" s="15"/>
      <c r="T184" s="15"/>
      <c r="U184" s="15"/>
      <c r="V184" s="15"/>
    </row>
    <row r="185" spans="1:22" x14ac:dyDescent="0.25">
      <c r="A185" s="14" t="s">
        <v>141</v>
      </c>
      <c r="B185" s="14" t="s">
        <v>1214</v>
      </c>
      <c r="C185" s="14" t="s">
        <v>1215</v>
      </c>
      <c r="D185" s="18"/>
      <c r="E185" s="14">
        <v>2022</v>
      </c>
      <c r="F185" s="14" t="s">
        <v>1216</v>
      </c>
      <c r="G185" s="18"/>
      <c r="H185" s="14" t="s">
        <v>1217</v>
      </c>
      <c r="I185" s="14" t="s">
        <v>153</v>
      </c>
      <c r="J185" s="14">
        <v>2022</v>
      </c>
      <c r="K185" s="14">
        <v>9781450394437</v>
      </c>
      <c r="L185" s="18"/>
      <c r="M185" s="18"/>
      <c r="N185" s="17" t="s">
        <v>1218</v>
      </c>
      <c r="O185" s="14" t="s">
        <v>1219</v>
      </c>
      <c r="P185" s="14" t="s">
        <v>1220</v>
      </c>
      <c r="Q185" s="14" t="s">
        <v>404</v>
      </c>
      <c r="R185" s="18"/>
      <c r="S185" s="15"/>
      <c r="T185" s="15"/>
      <c r="U185" s="15"/>
      <c r="V185" s="15"/>
    </row>
    <row r="186" spans="1:22" x14ac:dyDescent="0.25">
      <c r="A186" s="14" t="s">
        <v>13</v>
      </c>
      <c r="B186" s="14" t="s">
        <v>1221</v>
      </c>
      <c r="C186" s="14" t="s">
        <v>1222</v>
      </c>
      <c r="D186" s="14" t="s">
        <v>354</v>
      </c>
      <c r="E186" s="14">
        <v>2023</v>
      </c>
      <c r="F186" s="14">
        <v>198</v>
      </c>
      <c r="G186" s="18"/>
      <c r="H186" s="18"/>
      <c r="I186" s="14" t="s">
        <v>355</v>
      </c>
      <c r="J186" s="14">
        <v>2023</v>
      </c>
      <c r="K186" s="18"/>
      <c r="L186" s="18"/>
      <c r="M186" s="14" t="s">
        <v>65</v>
      </c>
      <c r="N186" s="17" t="s">
        <v>1223</v>
      </c>
      <c r="O186" s="14" t="s">
        <v>1224</v>
      </c>
      <c r="P186" s="14" t="s">
        <v>1225</v>
      </c>
      <c r="Q186" s="14" t="s">
        <v>585</v>
      </c>
      <c r="R186" s="18"/>
      <c r="S186" s="15"/>
      <c r="T186" s="15"/>
      <c r="U186" s="15"/>
      <c r="V186" s="15"/>
    </row>
    <row r="187" spans="1:22" x14ac:dyDescent="0.25">
      <c r="A187" s="14" t="s">
        <v>13</v>
      </c>
      <c r="B187" s="14" t="s">
        <v>1226</v>
      </c>
      <c r="C187" s="14" t="s">
        <v>1227</v>
      </c>
      <c r="D187" s="14" t="s">
        <v>307</v>
      </c>
      <c r="E187" s="14">
        <v>2023</v>
      </c>
      <c r="F187" s="14">
        <v>155</v>
      </c>
      <c r="G187" s="18"/>
      <c r="H187" s="18"/>
      <c r="I187" s="14" t="s">
        <v>280</v>
      </c>
      <c r="J187" s="14">
        <v>2023</v>
      </c>
      <c r="K187" s="18"/>
      <c r="L187" s="18"/>
      <c r="M187" s="14" t="s">
        <v>308</v>
      </c>
      <c r="N187" s="17" t="s">
        <v>1228</v>
      </c>
      <c r="O187" s="14" t="s">
        <v>1229</v>
      </c>
      <c r="P187" s="14" t="s">
        <v>1230</v>
      </c>
      <c r="Q187" s="14" t="s">
        <v>157</v>
      </c>
      <c r="R187" s="18"/>
      <c r="S187" s="15"/>
      <c r="T187" s="15"/>
      <c r="U187" s="15"/>
      <c r="V187" s="15"/>
    </row>
    <row r="188" spans="1:22" x14ac:dyDescent="0.25">
      <c r="A188" s="14" t="s">
        <v>13</v>
      </c>
      <c r="B188" s="14" t="s">
        <v>1231</v>
      </c>
      <c r="C188" s="14" t="s">
        <v>1232</v>
      </c>
      <c r="D188" s="14" t="s">
        <v>925</v>
      </c>
      <c r="E188" s="14">
        <v>2022</v>
      </c>
      <c r="F188" s="14">
        <v>11</v>
      </c>
      <c r="G188" s="14">
        <v>12</v>
      </c>
      <c r="H188" s="18"/>
      <c r="I188" s="14" t="s">
        <v>228</v>
      </c>
      <c r="J188" s="14">
        <v>2022</v>
      </c>
      <c r="K188" s="18"/>
      <c r="L188" s="18"/>
      <c r="M188" s="14" t="s">
        <v>926</v>
      </c>
      <c r="N188" s="17" t="s">
        <v>1233</v>
      </c>
      <c r="O188" s="14" t="s">
        <v>1234</v>
      </c>
      <c r="P188" s="14" t="s">
        <v>1235</v>
      </c>
      <c r="Q188" s="14" t="s">
        <v>285</v>
      </c>
      <c r="R188" s="18"/>
      <c r="S188" s="15"/>
      <c r="T188" s="15"/>
      <c r="U188" s="15"/>
      <c r="V188" s="15"/>
    </row>
    <row r="189" spans="1:22" x14ac:dyDescent="0.25">
      <c r="A189" s="14" t="s">
        <v>13</v>
      </c>
      <c r="B189" s="14" t="s">
        <v>1236</v>
      </c>
      <c r="C189" s="14" t="s">
        <v>1237</v>
      </c>
      <c r="D189" s="14" t="s">
        <v>1238</v>
      </c>
      <c r="E189" s="14">
        <v>2023</v>
      </c>
      <c r="F189" s="18"/>
      <c r="G189" s="18"/>
      <c r="H189" s="18"/>
      <c r="I189" s="14" t="s">
        <v>137</v>
      </c>
      <c r="J189" s="14">
        <v>2023</v>
      </c>
      <c r="K189" s="18"/>
      <c r="L189" s="18"/>
      <c r="M189" s="14" t="s">
        <v>1239</v>
      </c>
      <c r="N189" s="17" t="s">
        <v>1240</v>
      </c>
      <c r="O189" s="14" t="s">
        <v>1241</v>
      </c>
      <c r="P189" s="14" t="s">
        <v>1242</v>
      </c>
      <c r="Q189" s="14" t="s">
        <v>157</v>
      </c>
      <c r="R189" s="18"/>
      <c r="S189" s="15"/>
      <c r="T189" s="15"/>
      <c r="U189" s="15"/>
      <c r="V189" s="15"/>
    </row>
    <row r="190" spans="1:22" x14ac:dyDescent="0.25">
      <c r="A190" s="14" t="s">
        <v>13</v>
      </c>
      <c r="B190" s="14" t="s">
        <v>1243</v>
      </c>
      <c r="C190" s="14" t="s">
        <v>1244</v>
      </c>
      <c r="D190" s="14" t="s">
        <v>255</v>
      </c>
      <c r="E190" s="14">
        <v>2022</v>
      </c>
      <c r="F190" s="14">
        <v>48</v>
      </c>
      <c r="G190" s="14">
        <v>4</v>
      </c>
      <c r="H190" s="14" t="s">
        <v>1245</v>
      </c>
      <c r="I190" s="14" t="s">
        <v>257</v>
      </c>
      <c r="J190" s="14">
        <v>2022</v>
      </c>
      <c r="K190" s="18"/>
      <c r="L190" s="18"/>
      <c r="M190" s="14" t="s">
        <v>18</v>
      </c>
      <c r="N190" s="17" t="s">
        <v>1246</v>
      </c>
      <c r="O190" s="14" t="s">
        <v>1247</v>
      </c>
      <c r="P190" s="14" t="s">
        <v>1248</v>
      </c>
      <c r="Q190" s="14" t="s">
        <v>1249</v>
      </c>
      <c r="R190" s="18"/>
      <c r="S190" s="15"/>
      <c r="T190" s="15"/>
      <c r="U190" s="15"/>
      <c r="V190" s="15"/>
    </row>
    <row r="191" spans="1:22" x14ac:dyDescent="0.25">
      <c r="A191" s="14" t="s">
        <v>13</v>
      </c>
      <c r="B191" s="14" t="s">
        <v>1250</v>
      </c>
      <c r="C191" s="14" t="s">
        <v>1251</v>
      </c>
      <c r="D191" s="14" t="s">
        <v>307</v>
      </c>
      <c r="E191" s="14">
        <v>2023</v>
      </c>
      <c r="F191" s="14">
        <v>153</v>
      </c>
      <c r="G191" s="18"/>
      <c r="H191" s="18"/>
      <c r="I191" s="14" t="s">
        <v>280</v>
      </c>
      <c r="J191" s="14">
        <v>2023</v>
      </c>
      <c r="K191" s="18"/>
      <c r="L191" s="18"/>
      <c r="M191" s="14" t="s">
        <v>308</v>
      </c>
      <c r="N191" s="17" t="s">
        <v>1252</v>
      </c>
      <c r="O191" s="14" t="s">
        <v>1253</v>
      </c>
      <c r="P191" s="14" t="s">
        <v>1254</v>
      </c>
      <c r="Q191" s="14" t="s">
        <v>999</v>
      </c>
      <c r="R191" s="18"/>
      <c r="S191" s="15"/>
      <c r="T191" s="15"/>
      <c r="U191" s="15"/>
      <c r="V191" s="15"/>
    </row>
    <row r="192" spans="1:22" x14ac:dyDescent="0.25">
      <c r="A192" s="14" t="s">
        <v>13</v>
      </c>
      <c r="B192" s="14" t="s">
        <v>1255</v>
      </c>
      <c r="C192" s="14" t="s">
        <v>1256</v>
      </c>
      <c r="D192" s="14" t="s">
        <v>328</v>
      </c>
      <c r="E192" s="14">
        <v>2022</v>
      </c>
      <c r="F192" s="14">
        <v>31</v>
      </c>
      <c r="G192" s="14">
        <v>2</v>
      </c>
      <c r="H192" s="18"/>
      <c r="I192" s="14" t="s">
        <v>145</v>
      </c>
      <c r="J192" s="14">
        <v>2022</v>
      </c>
      <c r="K192" s="18"/>
      <c r="L192" s="18"/>
      <c r="M192" s="14" t="s">
        <v>329</v>
      </c>
      <c r="N192" s="17" t="s">
        <v>1257</v>
      </c>
      <c r="O192" s="14" t="s">
        <v>1258</v>
      </c>
      <c r="P192" s="14" t="s">
        <v>1259</v>
      </c>
      <c r="Q192" s="14" t="s">
        <v>404</v>
      </c>
      <c r="R192" s="18"/>
      <c r="S192" s="15"/>
      <c r="T192" s="15"/>
      <c r="U192" s="15"/>
      <c r="V192" s="15"/>
    </row>
    <row r="193" spans="1:22" x14ac:dyDescent="0.25">
      <c r="A193" s="14" t="s">
        <v>13</v>
      </c>
      <c r="B193" s="14" t="s">
        <v>1260</v>
      </c>
      <c r="C193" s="14" t="s">
        <v>1261</v>
      </c>
      <c r="D193" s="14" t="s">
        <v>1262</v>
      </c>
      <c r="E193" s="14">
        <v>2022</v>
      </c>
      <c r="F193" s="14">
        <v>13</v>
      </c>
      <c r="G193" s="14">
        <v>1</v>
      </c>
      <c r="H193" s="18"/>
      <c r="I193" s="14" t="s">
        <v>362</v>
      </c>
      <c r="J193" s="14">
        <v>2022</v>
      </c>
      <c r="K193" s="18"/>
      <c r="L193" s="18"/>
      <c r="M193" s="14" t="s">
        <v>1263</v>
      </c>
      <c r="N193" s="17" t="s">
        <v>1264</v>
      </c>
      <c r="O193" s="14" t="s">
        <v>1265</v>
      </c>
      <c r="P193" s="14" t="s">
        <v>1266</v>
      </c>
      <c r="Q193" s="14" t="s">
        <v>233</v>
      </c>
      <c r="R193" s="18"/>
      <c r="S193" s="15"/>
      <c r="T193" s="15"/>
      <c r="U193" s="15"/>
      <c r="V193" s="15"/>
    </row>
    <row r="194" spans="1:22" x14ac:dyDescent="0.25">
      <c r="A194" s="14" t="s">
        <v>13</v>
      </c>
      <c r="B194" s="14" t="s">
        <v>1267</v>
      </c>
      <c r="C194" s="14" t="s">
        <v>1268</v>
      </c>
      <c r="D194" s="14" t="s">
        <v>1149</v>
      </c>
      <c r="E194" s="14">
        <v>2022</v>
      </c>
      <c r="F194" s="18"/>
      <c r="G194" s="18"/>
      <c r="H194" s="18"/>
      <c r="I194" s="14" t="s">
        <v>212</v>
      </c>
      <c r="J194" s="14">
        <v>2022</v>
      </c>
      <c r="K194" s="18"/>
      <c r="L194" s="18"/>
      <c r="M194" s="14" t="s">
        <v>1150</v>
      </c>
      <c r="N194" s="17" t="s">
        <v>1269</v>
      </c>
      <c r="O194" s="14" t="s">
        <v>1270</v>
      </c>
      <c r="P194" s="14" t="s">
        <v>1271</v>
      </c>
      <c r="Q194" s="14" t="s">
        <v>318</v>
      </c>
      <c r="R194" s="18"/>
      <c r="S194" s="15"/>
      <c r="T194" s="15"/>
      <c r="U194" s="15"/>
      <c r="V194" s="15"/>
    </row>
    <row r="195" spans="1:22" x14ac:dyDescent="0.25">
      <c r="A195" s="14" t="s">
        <v>13</v>
      </c>
      <c r="B195" s="14" t="s">
        <v>1272</v>
      </c>
      <c r="C195" s="14" t="s">
        <v>1273</v>
      </c>
      <c r="D195" s="14" t="s">
        <v>255</v>
      </c>
      <c r="E195" s="14">
        <v>2022</v>
      </c>
      <c r="F195" s="14">
        <v>48</v>
      </c>
      <c r="G195" s="14">
        <v>5</v>
      </c>
      <c r="H195" s="14" t="s">
        <v>1274</v>
      </c>
      <c r="I195" s="14" t="s">
        <v>257</v>
      </c>
      <c r="J195" s="14">
        <v>2022</v>
      </c>
      <c r="K195" s="18"/>
      <c r="L195" s="18"/>
      <c r="M195" s="14" t="s">
        <v>18</v>
      </c>
      <c r="N195" s="17" t="s">
        <v>1275</v>
      </c>
      <c r="O195" s="14" t="s">
        <v>1276</v>
      </c>
      <c r="P195" s="14" t="s">
        <v>1277</v>
      </c>
      <c r="Q195" s="14" t="s">
        <v>157</v>
      </c>
      <c r="R195" s="18"/>
      <c r="S195" s="15"/>
      <c r="T195" s="15"/>
      <c r="U195" s="15"/>
      <c r="V195" s="15"/>
    </row>
    <row r="196" spans="1:22" x14ac:dyDescent="0.25">
      <c r="A196" s="14" t="s">
        <v>13</v>
      </c>
      <c r="B196" s="14" t="s">
        <v>1278</v>
      </c>
      <c r="C196" s="14" t="s">
        <v>1279</v>
      </c>
      <c r="D196" s="14" t="s">
        <v>791</v>
      </c>
      <c r="E196" s="14">
        <v>2022</v>
      </c>
      <c r="F196" s="14">
        <v>11</v>
      </c>
      <c r="G196" s="14">
        <v>16</v>
      </c>
      <c r="H196" s="18"/>
      <c r="I196" s="14" t="s">
        <v>228</v>
      </c>
      <c r="J196" s="14">
        <v>2022</v>
      </c>
      <c r="K196" s="18"/>
      <c r="L196" s="18"/>
      <c r="M196" s="14" t="s">
        <v>792</v>
      </c>
      <c r="N196" s="17" t="s">
        <v>1280</v>
      </c>
      <c r="O196" s="14" t="s">
        <v>1281</v>
      </c>
      <c r="P196" s="14" t="s">
        <v>1282</v>
      </c>
      <c r="Q196" s="14" t="s">
        <v>285</v>
      </c>
      <c r="R196" s="18"/>
      <c r="S196" s="15"/>
      <c r="T196" s="15"/>
      <c r="U196" s="15"/>
      <c r="V196" s="15"/>
    </row>
    <row r="197" spans="1:22" x14ac:dyDescent="0.25">
      <c r="A197" s="14" t="s">
        <v>13</v>
      </c>
      <c r="B197" s="14" t="s">
        <v>1283</v>
      </c>
      <c r="C197" s="14" t="s">
        <v>1284</v>
      </c>
      <c r="D197" s="14" t="s">
        <v>1285</v>
      </c>
      <c r="E197" s="14">
        <v>2022</v>
      </c>
      <c r="F197" s="14">
        <v>6</v>
      </c>
      <c r="G197" s="14" t="s">
        <v>1286</v>
      </c>
      <c r="H197" s="18"/>
      <c r="I197" s="14" t="s">
        <v>145</v>
      </c>
      <c r="J197" s="14">
        <v>2022</v>
      </c>
      <c r="K197" s="18"/>
      <c r="L197" s="18"/>
      <c r="M197" s="14" t="s">
        <v>1287</v>
      </c>
      <c r="N197" s="17" t="s">
        <v>1288</v>
      </c>
      <c r="O197" s="14" t="s">
        <v>1289</v>
      </c>
      <c r="P197" s="14" t="s">
        <v>1290</v>
      </c>
      <c r="Q197" s="14" t="s">
        <v>157</v>
      </c>
      <c r="R197" s="18"/>
      <c r="S197" s="15"/>
      <c r="T197" s="15"/>
      <c r="U197" s="15"/>
      <c r="V197" s="15"/>
    </row>
    <row r="198" spans="1:22" x14ac:dyDescent="0.25">
      <c r="A198" s="14" t="s">
        <v>141</v>
      </c>
      <c r="B198" s="14" t="s">
        <v>1291</v>
      </c>
      <c r="C198" s="14" t="s">
        <v>1292</v>
      </c>
      <c r="D198" s="18"/>
      <c r="E198" s="14">
        <v>2022</v>
      </c>
      <c r="F198" s="21">
        <v>44835</v>
      </c>
      <c r="G198" s="18"/>
      <c r="H198" s="14" t="s">
        <v>1293</v>
      </c>
      <c r="I198" s="14" t="s">
        <v>196</v>
      </c>
      <c r="J198" s="14">
        <v>2022</v>
      </c>
      <c r="K198" s="14">
        <v>9781665469753</v>
      </c>
      <c r="L198" s="18"/>
      <c r="M198" s="14" t="s">
        <v>1294</v>
      </c>
      <c r="N198" s="17" t="s">
        <v>1295</v>
      </c>
      <c r="O198" s="14" t="s">
        <v>1296</v>
      </c>
      <c r="P198" s="14" t="s">
        <v>1297</v>
      </c>
      <c r="Q198" s="14" t="s">
        <v>157</v>
      </c>
      <c r="R198" s="18"/>
      <c r="S198" s="15"/>
      <c r="T198" s="15"/>
      <c r="U198" s="15"/>
      <c r="V198" s="15"/>
    </row>
    <row r="199" spans="1:22" x14ac:dyDescent="0.25">
      <c r="A199" s="14" t="s">
        <v>141</v>
      </c>
      <c r="B199" s="14" t="s">
        <v>1298</v>
      </c>
      <c r="C199" s="14" t="s">
        <v>1299</v>
      </c>
      <c r="D199" s="18"/>
      <c r="E199" s="14">
        <v>2022</v>
      </c>
      <c r="F199" s="18"/>
      <c r="G199" s="18"/>
      <c r="H199" s="14" t="s">
        <v>1300</v>
      </c>
      <c r="I199" s="14" t="s">
        <v>145</v>
      </c>
      <c r="J199" s="14">
        <v>2022</v>
      </c>
      <c r="K199" s="14">
        <v>9781450397353</v>
      </c>
      <c r="L199" s="18"/>
      <c r="M199" s="18"/>
      <c r="N199" s="17" t="s">
        <v>1301</v>
      </c>
      <c r="O199" s="14" t="s">
        <v>1302</v>
      </c>
      <c r="P199" s="14" t="s">
        <v>1303</v>
      </c>
      <c r="Q199" s="14" t="s">
        <v>157</v>
      </c>
      <c r="R199" s="18"/>
      <c r="S199" s="15"/>
      <c r="T199" s="15"/>
      <c r="U199" s="15"/>
      <c r="V199" s="15"/>
    </row>
    <row r="200" spans="1:22" x14ac:dyDescent="0.25">
      <c r="A200" s="14" t="s">
        <v>13</v>
      </c>
      <c r="B200" s="14" t="s">
        <v>1304</v>
      </c>
      <c r="C200" s="14" t="s">
        <v>1305</v>
      </c>
      <c r="D200" s="14" t="s">
        <v>1306</v>
      </c>
      <c r="E200" s="14">
        <v>2022</v>
      </c>
      <c r="F200" s="14">
        <v>10</v>
      </c>
      <c r="G200" s="14">
        <v>12</v>
      </c>
      <c r="H200" s="18"/>
      <c r="I200" s="14" t="s">
        <v>228</v>
      </c>
      <c r="J200" s="14">
        <v>2022</v>
      </c>
      <c r="K200" s="18"/>
      <c r="L200" s="18"/>
      <c r="M200" s="14" t="s">
        <v>1307</v>
      </c>
      <c r="N200" s="17" t="s">
        <v>1308</v>
      </c>
      <c r="O200" s="14" t="s">
        <v>1309</v>
      </c>
      <c r="P200" s="14" t="s">
        <v>1310</v>
      </c>
      <c r="Q200" s="14" t="s">
        <v>233</v>
      </c>
      <c r="R200" s="18"/>
      <c r="S200" s="15"/>
      <c r="T200" s="15"/>
      <c r="U200" s="15"/>
      <c r="V200" s="15"/>
    </row>
    <row r="201" spans="1:22" x14ac:dyDescent="0.25">
      <c r="A201" s="14" t="s">
        <v>13</v>
      </c>
      <c r="B201" s="14" t="s">
        <v>1311</v>
      </c>
      <c r="C201" s="14" t="s">
        <v>1312</v>
      </c>
      <c r="D201" s="14" t="s">
        <v>328</v>
      </c>
      <c r="E201" s="14">
        <v>2022</v>
      </c>
      <c r="F201" s="14">
        <v>31</v>
      </c>
      <c r="G201" s="14">
        <v>3</v>
      </c>
      <c r="H201" s="18"/>
      <c r="I201" s="14" t="s">
        <v>145</v>
      </c>
      <c r="J201" s="14">
        <v>2022</v>
      </c>
      <c r="K201" s="18"/>
      <c r="L201" s="18"/>
      <c r="M201" s="14" t="s">
        <v>329</v>
      </c>
      <c r="N201" s="17" t="s">
        <v>1313</v>
      </c>
      <c r="O201" s="14" t="s">
        <v>1314</v>
      </c>
      <c r="P201" s="14" t="s">
        <v>1315</v>
      </c>
      <c r="Q201" s="14" t="s">
        <v>289</v>
      </c>
      <c r="R201" s="18"/>
      <c r="S201" s="15"/>
      <c r="T201" s="15"/>
      <c r="U201" s="15"/>
      <c r="V201" s="15"/>
    </row>
    <row r="202" spans="1:22" x14ac:dyDescent="0.25">
      <c r="A202" s="14" t="s">
        <v>13</v>
      </c>
      <c r="B202" s="14" t="s">
        <v>1316</v>
      </c>
      <c r="C202" s="14" t="s">
        <v>1317</v>
      </c>
      <c r="D202" s="14" t="s">
        <v>1318</v>
      </c>
      <c r="E202" s="14">
        <v>2022</v>
      </c>
      <c r="F202" s="14">
        <v>5</v>
      </c>
      <c r="G202" s="14">
        <v>3</v>
      </c>
      <c r="H202" s="14" t="s">
        <v>1319</v>
      </c>
      <c r="I202" s="14" t="s">
        <v>1320</v>
      </c>
      <c r="J202" s="14">
        <v>2022</v>
      </c>
      <c r="K202" s="18"/>
      <c r="L202" s="18"/>
      <c r="M202" s="14" t="s">
        <v>1321</v>
      </c>
      <c r="N202" s="17" t="s">
        <v>1322</v>
      </c>
      <c r="O202" s="14" t="s">
        <v>1323</v>
      </c>
      <c r="P202" s="14" t="s">
        <v>1324</v>
      </c>
      <c r="Q202" s="14" t="s">
        <v>447</v>
      </c>
      <c r="R202" s="18"/>
      <c r="S202" s="15"/>
      <c r="T202" s="15"/>
      <c r="U202" s="15"/>
      <c r="V202" s="15"/>
    </row>
    <row r="203" spans="1:22" x14ac:dyDescent="0.25">
      <c r="A203" s="14" t="s">
        <v>13</v>
      </c>
      <c r="B203" s="14" t="s">
        <v>1325</v>
      </c>
      <c r="C203" s="14" t="s">
        <v>1326</v>
      </c>
      <c r="D203" s="14" t="s">
        <v>354</v>
      </c>
      <c r="E203" s="14">
        <v>2022</v>
      </c>
      <c r="F203" s="14">
        <v>190</v>
      </c>
      <c r="G203" s="18"/>
      <c r="H203" s="18"/>
      <c r="I203" s="14" t="s">
        <v>355</v>
      </c>
      <c r="J203" s="14">
        <v>2022</v>
      </c>
      <c r="K203" s="18"/>
      <c r="L203" s="18"/>
      <c r="M203" s="14" t="s">
        <v>65</v>
      </c>
      <c r="N203" s="17" t="s">
        <v>1327</v>
      </c>
      <c r="O203" s="14" t="s">
        <v>1328</v>
      </c>
      <c r="P203" s="14" t="s">
        <v>1329</v>
      </c>
      <c r="Q203" s="14" t="s">
        <v>176</v>
      </c>
      <c r="R203" s="18"/>
      <c r="S203" s="15"/>
      <c r="T203" s="15"/>
      <c r="U203" s="15"/>
      <c r="V203" s="15"/>
    </row>
    <row r="204" spans="1:22" x14ac:dyDescent="0.25">
      <c r="A204" s="14" t="s">
        <v>13</v>
      </c>
      <c r="B204" s="14" t="s">
        <v>1330</v>
      </c>
      <c r="C204" s="14" t="s">
        <v>1331</v>
      </c>
      <c r="D204" s="14" t="s">
        <v>1332</v>
      </c>
      <c r="E204" s="14">
        <v>2022</v>
      </c>
      <c r="F204" s="14">
        <v>2022</v>
      </c>
      <c r="G204" s="18"/>
      <c r="H204" s="18"/>
      <c r="I204" s="14" t="s">
        <v>1333</v>
      </c>
      <c r="J204" s="14">
        <v>2022</v>
      </c>
      <c r="K204" s="18"/>
      <c r="L204" s="18"/>
      <c r="M204" s="14" t="s">
        <v>1334</v>
      </c>
      <c r="N204" s="17" t="s">
        <v>1335</v>
      </c>
      <c r="O204" s="14" t="s">
        <v>1336</v>
      </c>
      <c r="P204" s="14" t="s">
        <v>1337</v>
      </c>
      <c r="Q204" s="14" t="s">
        <v>285</v>
      </c>
      <c r="R204" s="18"/>
      <c r="S204" s="15"/>
      <c r="T204" s="15"/>
      <c r="U204" s="15"/>
      <c r="V204" s="15"/>
    </row>
    <row r="205" spans="1:22" x14ac:dyDescent="0.25">
      <c r="A205" s="14" t="s">
        <v>13</v>
      </c>
      <c r="B205" s="14" t="s">
        <v>1338</v>
      </c>
      <c r="C205" s="14" t="s">
        <v>1339</v>
      </c>
      <c r="D205" s="14" t="s">
        <v>354</v>
      </c>
      <c r="E205" s="14">
        <v>2022</v>
      </c>
      <c r="F205" s="14">
        <v>190</v>
      </c>
      <c r="G205" s="18"/>
      <c r="H205" s="18"/>
      <c r="I205" s="14" t="s">
        <v>355</v>
      </c>
      <c r="J205" s="14">
        <v>2022</v>
      </c>
      <c r="K205" s="18"/>
      <c r="L205" s="18"/>
      <c r="M205" s="14" t="s">
        <v>65</v>
      </c>
      <c r="N205" s="17" t="s">
        <v>1340</v>
      </c>
      <c r="O205" s="14" t="s">
        <v>1341</v>
      </c>
      <c r="P205" s="14" t="s">
        <v>1342</v>
      </c>
      <c r="Q205" s="14" t="s">
        <v>157</v>
      </c>
      <c r="R205" s="18"/>
      <c r="S205" s="15"/>
      <c r="T205" s="15"/>
      <c r="U205" s="15"/>
      <c r="V205" s="15"/>
    </row>
    <row r="206" spans="1:22" x14ac:dyDescent="0.25">
      <c r="A206" s="14" t="s">
        <v>13</v>
      </c>
      <c r="B206" s="14" t="s">
        <v>1343</v>
      </c>
      <c r="C206" s="14" t="s">
        <v>1344</v>
      </c>
      <c r="D206" s="14" t="s">
        <v>307</v>
      </c>
      <c r="E206" s="14">
        <v>2022</v>
      </c>
      <c r="F206" s="14">
        <v>152</v>
      </c>
      <c r="G206" s="18"/>
      <c r="H206" s="18"/>
      <c r="I206" s="14" t="s">
        <v>280</v>
      </c>
      <c r="J206" s="14">
        <v>2022</v>
      </c>
      <c r="K206" s="18"/>
      <c r="L206" s="18"/>
      <c r="M206" s="14" t="s">
        <v>308</v>
      </c>
      <c r="N206" s="17" t="s">
        <v>1345</v>
      </c>
      <c r="O206" s="14" t="s">
        <v>1346</v>
      </c>
      <c r="P206" s="14" t="s">
        <v>1347</v>
      </c>
      <c r="Q206" s="14" t="s">
        <v>157</v>
      </c>
      <c r="R206" s="18"/>
      <c r="S206" s="15"/>
      <c r="T206" s="15"/>
      <c r="U206" s="15"/>
      <c r="V206" s="15"/>
    </row>
    <row r="207" spans="1:22" x14ac:dyDescent="0.25">
      <c r="A207" s="14" t="s">
        <v>13</v>
      </c>
      <c r="B207" s="14" t="s">
        <v>1348</v>
      </c>
      <c r="C207" s="14" t="s">
        <v>1349</v>
      </c>
      <c r="D207" s="14" t="s">
        <v>307</v>
      </c>
      <c r="E207" s="14">
        <v>2022</v>
      </c>
      <c r="F207" s="14">
        <v>142</v>
      </c>
      <c r="G207" s="18"/>
      <c r="H207" s="18"/>
      <c r="I207" s="14" t="s">
        <v>280</v>
      </c>
      <c r="J207" s="14">
        <v>2022</v>
      </c>
      <c r="K207" s="18"/>
      <c r="L207" s="18"/>
      <c r="M207" s="14" t="s">
        <v>308</v>
      </c>
      <c r="N207" s="17" t="s">
        <v>1350</v>
      </c>
      <c r="O207" s="14" t="s">
        <v>1351</v>
      </c>
      <c r="P207" s="14" t="s">
        <v>1352</v>
      </c>
      <c r="Q207" s="14" t="s">
        <v>206</v>
      </c>
      <c r="R207" s="18"/>
      <c r="S207" s="15"/>
      <c r="T207" s="15"/>
      <c r="U207" s="15"/>
      <c r="V207" s="15"/>
    </row>
    <row r="208" spans="1:22" x14ac:dyDescent="0.25">
      <c r="A208" s="14" t="s">
        <v>13</v>
      </c>
      <c r="B208" s="14" t="s">
        <v>1353</v>
      </c>
      <c r="C208" s="14" t="s">
        <v>1354</v>
      </c>
      <c r="D208" s="14" t="s">
        <v>1355</v>
      </c>
      <c r="E208" s="14">
        <v>2022</v>
      </c>
      <c r="F208" s="14">
        <v>201</v>
      </c>
      <c r="G208" s="18"/>
      <c r="H208" s="18"/>
      <c r="I208" s="14" t="s">
        <v>1060</v>
      </c>
      <c r="J208" s="14">
        <v>2022</v>
      </c>
      <c r="K208" s="18"/>
      <c r="L208" s="18"/>
      <c r="M208" s="14" t="s">
        <v>1356</v>
      </c>
      <c r="N208" s="17" t="s">
        <v>1357</v>
      </c>
      <c r="O208" s="14" t="s">
        <v>1358</v>
      </c>
      <c r="P208" s="14" t="s">
        <v>1359</v>
      </c>
      <c r="Q208" s="14" t="s">
        <v>318</v>
      </c>
      <c r="R208" s="18"/>
      <c r="S208" s="15"/>
      <c r="T208" s="15"/>
      <c r="U208" s="15"/>
      <c r="V208" s="15"/>
    </row>
    <row r="209" spans="1:22" x14ac:dyDescent="0.25">
      <c r="A209" s="14" t="s">
        <v>141</v>
      </c>
      <c r="B209" s="14" t="s">
        <v>1360</v>
      </c>
      <c r="C209" s="14" t="s">
        <v>1361</v>
      </c>
      <c r="D209" s="18"/>
      <c r="E209" s="14">
        <v>2022</v>
      </c>
      <c r="F209" s="18"/>
      <c r="G209" s="18"/>
      <c r="H209" s="14" t="s">
        <v>1362</v>
      </c>
      <c r="I209" s="14" t="s">
        <v>196</v>
      </c>
      <c r="J209" s="14">
        <v>2022</v>
      </c>
      <c r="K209" s="14">
        <v>9781450394277</v>
      </c>
      <c r="L209" s="18"/>
      <c r="M209" s="14" t="s">
        <v>197</v>
      </c>
      <c r="N209" s="17" t="s">
        <v>1363</v>
      </c>
      <c r="O209" s="14" t="s">
        <v>1364</v>
      </c>
      <c r="P209" s="14" t="s">
        <v>1365</v>
      </c>
      <c r="Q209" s="14" t="s">
        <v>568</v>
      </c>
      <c r="R209" s="18"/>
      <c r="S209" s="15"/>
      <c r="T209" s="15"/>
      <c r="U209" s="15"/>
      <c r="V209" s="15"/>
    </row>
    <row r="210" spans="1:22" x14ac:dyDescent="0.25">
      <c r="A210" s="14" t="s">
        <v>13</v>
      </c>
      <c r="B210" s="14" t="s">
        <v>1366</v>
      </c>
      <c r="C210" s="14" t="s">
        <v>1367</v>
      </c>
      <c r="D210" s="14" t="s">
        <v>328</v>
      </c>
      <c r="E210" s="14">
        <v>2022</v>
      </c>
      <c r="F210" s="14">
        <v>31</v>
      </c>
      <c r="G210" s="14">
        <v>2</v>
      </c>
      <c r="H210" s="18"/>
      <c r="I210" s="14" t="s">
        <v>145</v>
      </c>
      <c r="J210" s="14">
        <v>2022</v>
      </c>
      <c r="K210" s="18"/>
      <c r="L210" s="18"/>
      <c r="M210" s="14" t="s">
        <v>329</v>
      </c>
      <c r="N210" s="17" t="s">
        <v>1368</v>
      </c>
      <c r="O210" s="14" t="s">
        <v>1369</v>
      </c>
      <c r="P210" s="14" t="s">
        <v>1370</v>
      </c>
      <c r="Q210" s="14" t="s">
        <v>318</v>
      </c>
      <c r="R210" s="18"/>
      <c r="S210" s="15"/>
      <c r="T210" s="15"/>
      <c r="U210" s="15"/>
      <c r="V210" s="15"/>
    </row>
    <row r="211" spans="1:22" x14ac:dyDescent="0.25">
      <c r="A211" s="14" t="s">
        <v>13</v>
      </c>
      <c r="B211" s="14" t="s">
        <v>1371</v>
      </c>
      <c r="C211" s="14" t="s">
        <v>1372</v>
      </c>
      <c r="D211" s="14" t="s">
        <v>1373</v>
      </c>
      <c r="E211" s="14">
        <v>2022</v>
      </c>
      <c r="F211" s="14">
        <v>8</v>
      </c>
      <c r="G211" s="14">
        <v>1</v>
      </c>
      <c r="H211" s="14" t="s">
        <v>1374</v>
      </c>
      <c r="I211" s="14" t="s">
        <v>257</v>
      </c>
      <c r="J211" s="14">
        <v>2022</v>
      </c>
      <c r="K211" s="18"/>
      <c r="L211" s="18"/>
      <c r="M211" s="14" t="s">
        <v>1375</v>
      </c>
      <c r="N211" s="17" t="s">
        <v>1376</v>
      </c>
      <c r="O211" s="14" t="s">
        <v>1377</v>
      </c>
      <c r="P211" s="14" t="s">
        <v>1378</v>
      </c>
      <c r="Q211" s="14" t="s">
        <v>176</v>
      </c>
      <c r="R211" s="18"/>
      <c r="S211" s="15"/>
      <c r="T211" s="15"/>
      <c r="U211" s="15"/>
      <c r="V211" s="15"/>
    </row>
    <row r="212" spans="1:22" x14ac:dyDescent="0.25">
      <c r="A212" s="14" t="s">
        <v>13</v>
      </c>
      <c r="B212" s="14" t="s">
        <v>1379</v>
      </c>
      <c r="C212" s="14" t="s">
        <v>1380</v>
      </c>
      <c r="D212" s="14" t="s">
        <v>1161</v>
      </c>
      <c r="E212" s="14">
        <v>2022</v>
      </c>
      <c r="F212" s="14">
        <v>10</v>
      </c>
      <c r="G212" s="14">
        <v>18</v>
      </c>
      <c r="H212" s="18"/>
      <c r="I212" s="14" t="s">
        <v>228</v>
      </c>
      <c r="J212" s="14">
        <v>2022</v>
      </c>
      <c r="K212" s="18"/>
      <c r="L212" s="18"/>
      <c r="M212" s="14" t="s">
        <v>1162</v>
      </c>
      <c r="N212" s="17" t="s">
        <v>1381</v>
      </c>
      <c r="O212" s="14" t="s">
        <v>1382</v>
      </c>
      <c r="P212" s="14" t="s">
        <v>1383</v>
      </c>
      <c r="Q212" s="14" t="s">
        <v>447</v>
      </c>
      <c r="R212" s="18"/>
      <c r="S212" s="15"/>
      <c r="T212" s="15"/>
      <c r="U212" s="15"/>
      <c r="V212" s="15"/>
    </row>
    <row r="213" spans="1:22" x14ac:dyDescent="0.25">
      <c r="A213" s="14" t="s">
        <v>141</v>
      </c>
      <c r="B213" s="14" t="s">
        <v>1384</v>
      </c>
      <c r="C213" s="14" t="s">
        <v>1385</v>
      </c>
      <c r="D213" s="18"/>
      <c r="E213" s="14">
        <v>2022</v>
      </c>
      <c r="F213" s="18"/>
      <c r="G213" s="18"/>
      <c r="H213" s="14" t="s">
        <v>1386</v>
      </c>
      <c r="I213" s="14" t="s">
        <v>145</v>
      </c>
      <c r="J213" s="14">
        <v>2022</v>
      </c>
      <c r="K213" s="14">
        <v>9781450393522</v>
      </c>
      <c r="L213" s="18"/>
      <c r="M213" s="18"/>
      <c r="N213" s="17" t="s">
        <v>1387</v>
      </c>
      <c r="O213" s="14" t="s">
        <v>1388</v>
      </c>
      <c r="P213" s="14" t="s">
        <v>1389</v>
      </c>
      <c r="Q213" s="14" t="s">
        <v>387</v>
      </c>
      <c r="R213" s="18"/>
      <c r="S213" s="15"/>
      <c r="T213" s="15"/>
      <c r="U213" s="15"/>
      <c r="V213" s="15"/>
    </row>
    <row r="214" spans="1:22" x14ac:dyDescent="0.25">
      <c r="A214" s="14" t="s">
        <v>141</v>
      </c>
      <c r="B214" s="14" t="s">
        <v>1390</v>
      </c>
      <c r="C214" s="14" t="s">
        <v>1391</v>
      </c>
      <c r="D214" s="18"/>
      <c r="E214" s="14">
        <v>2022</v>
      </c>
      <c r="F214" s="14">
        <v>1</v>
      </c>
      <c r="G214" s="18"/>
      <c r="H214" s="14" t="s">
        <v>1392</v>
      </c>
      <c r="I214" s="14" t="s">
        <v>161</v>
      </c>
      <c r="J214" s="14">
        <v>2022</v>
      </c>
      <c r="K214" s="14">
        <v>9789897585623</v>
      </c>
      <c r="L214" s="18"/>
      <c r="M214" s="14" t="s">
        <v>1393</v>
      </c>
      <c r="N214" s="17" t="s">
        <v>1394</v>
      </c>
      <c r="O214" s="14" t="s">
        <v>1395</v>
      </c>
      <c r="P214" s="14" t="s">
        <v>1396</v>
      </c>
      <c r="Q214" s="14" t="s">
        <v>595</v>
      </c>
      <c r="R214" s="18"/>
      <c r="S214" s="15"/>
      <c r="T214" s="15"/>
      <c r="U214" s="15"/>
      <c r="V214" s="15"/>
    </row>
    <row r="215" spans="1:22" x14ac:dyDescent="0.25">
      <c r="A215" s="14" t="s">
        <v>13</v>
      </c>
      <c r="B215" s="14" t="s">
        <v>1397</v>
      </c>
      <c r="C215" s="14" t="s">
        <v>1398</v>
      </c>
      <c r="D215" s="14" t="s">
        <v>307</v>
      </c>
      <c r="E215" s="14">
        <v>2023</v>
      </c>
      <c r="F215" s="14">
        <v>155</v>
      </c>
      <c r="G215" s="18"/>
      <c r="H215" s="18"/>
      <c r="I215" s="14" t="s">
        <v>280</v>
      </c>
      <c r="J215" s="14">
        <v>2023</v>
      </c>
      <c r="K215" s="18"/>
      <c r="L215" s="18"/>
      <c r="M215" s="14" t="s">
        <v>308</v>
      </c>
      <c r="N215" s="17" t="s">
        <v>1399</v>
      </c>
      <c r="O215" s="14" t="s">
        <v>1400</v>
      </c>
      <c r="P215" s="14" t="s">
        <v>1401</v>
      </c>
      <c r="Q215" s="14" t="s">
        <v>166</v>
      </c>
      <c r="R215" s="18"/>
      <c r="S215" s="15"/>
      <c r="T215" s="15"/>
      <c r="U215" s="15"/>
      <c r="V215" s="15"/>
    </row>
    <row r="216" spans="1:22" x14ac:dyDescent="0.25">
      <c r="A216" s="14" t="s">
        <v>13</v>
      </c>
      <c r="B216" s="14" t="s">
        <v>120</v>
      </c>
      <c r="C216" s="14" t="s">
        <v>121</v>
      </c>
      <c r="D216" s="14" t="s">
        <v>582</v>
      </c>
      <c r="E216" s="14">
        <v>2022</v>
      </c>
      <c r="F216" s="14">
        <v>29</v>
      </c>
      <c r="G216" s="14">
        <v>1</v>
      </c>
      <c r="H216" s="18"/>
      <c r="I216" s="14" t="s">
        <v>137</v>
      </c>
      <c r="J216" s="14">
        <v>2022</v>
      </c>
      <c r="K216" s="18"/>
      <c r="L216" s="18"/>
      <c r="M216" s="14" t="s">
        <v>58</v>
      </c>
      <c r="N216" s="17" t="s">
        <v>1402</v>
      </c>
      <c r="O216" s="14" t="s">
        <v>123</v>
      </c>
      <c r="P216" s="14" t="s">
        <v>1403</v>
      </c>
      <c r="Q216" s="14" t="s">
        <v>1404</v>
      </c>
      <c r="R216" s="18"/>
      <c r="S216" s="15"/>
      <c r="T216" s="15"/>
      <c r="U216" s="15"/>
      <c r="V216" s="15"/>
    </row>
    <row r="217" spans="1:22" x14ac:dyDescent="0.25">
      <c r="A217" s="14" t="s">
        <v>13</v>
      </c>
      <c r="B217" s="14" t="s">
        <v>1405</v>
      </c>
      <c r="C217" s="14" t="s">
        <v>1406</v>
      </c>
      <c r="D217" s="14" t="s">
        <v>209</v>
      </c>
      <c r="E217" s="14">
        <v>2022</v>
      </c>
      <c r="F217" s="14" t="s">
        <v>1014</v>
      </c>
      <c r="G217" s="18"/>
      <c r="H217" s="14" t="s">
        <v>1407</v>
      </c>
      <c r="I217" s="14" t="s">
        <v>212</v>
      </c>
      <c r="J217" s="14">
        <v>2022</v>
      </c>
      <c r="K217" s="18"/>
      <c r="L217" s="18"/>
      <c r="M217" s="14" t="s">
        <v>213</v>
      </c>
      <c r="N217" s="17" t="s">
        <v>1408</v>
      </c>
      <c r="O217" s="14" t="s">
        <v>1409</v>
      </c>
      <c r="P217" s="14" t="s">
        <v>1410</v>
      </c>
      <c r="Q217" s="14" t="s">
        <v>157</v>
      </c>
      <c r="R217" s="18"/>
      <c r="S217" s="15"/>
      <c r="T217" s="15"/>
      <c r="U217" s="15"/>
      <c r="V217" s="15"/>
    </row>
    <row r="218" spans="1:22" x14ac:dyDescent="0.25">
      <c r="A218" s="14" t="s">
        <v>13</v>
      </c>
      <c r="B218" s="14" t="s">
        <v>1411</v>
      </c>
      <c r="C218" s="14" t="s">
        <v>1412</v>
      </c>
      <c r="D218" s="14" t="s">
        <v>1059</v>
      </c>
      <c r="E218" s="14">
        <v>2022</v>
      </c>
      <c r="F218" s="14">
        <v>115</v>
      </c>
      <c r="G218" s="18"/>
      <c r="H218" s="18"/>
      <c r="I218" s="14" t="s">
        <v>1060</v>
      </c>
      <c r="J218" s="14">
        <v>2022</v>
      </c>
      <c r="K218" s="18"/>
      <c r="L218" s="18"/>
      <c r="M218" s="14" t="s">
        <v>1061</v>
      </c>
      <c r="N218" s="17" t="s">
        <v>1413</v>
      </c>
      <c r="O218" s="14" t="s">
        <v>1414</v>
      </c>
      <c r="P218" s="14" t="s">
        <v>1415</v>
      </c>
      <c r="Q218" s="14" t="s">
        <v>157</v>
      </c>
      <c r="R218" s="18"/>
      <c r="S218" s="15"/>
      <c r="T218" s="15"/>
      <c r="U218" s="15"/>
      <c r="V218" s="15"/>
    </row>
    <row r="219" spans="1:22" x14ac:dyDescent="0.25">
      <c r="A219" s="14" t="s">
        <v>141</v>
      </c>
      <c r="B219" s="14" t="s">
        <v>1416</v>
      </c>
      <c r="C219" s="14" t="s">
        <v>1417</v>
      </c>
      <c r="D219" s="18"/>
      <c r="E219" s="14">
        <v>2022</v>
      </c>
      <c r="F219" s="18"/>
      <c r="G219" s="18"/>
      <c r="H219" s="14" t="s">
        <v>1418</v>
      </c>
      <c r="I219" s="14" t="s">
        <v>257</v>
      </c>
      <c r="J219" s="14">
        <v>2022</v>
      </c>
      <c r="K219" s="14">
        <v>9781665437868</v>
      </c>
      <c r="L219" s="18"/>
      <c r="M219" s="18"/>
      <c r="N219" s="17" t="s">
        <v>1419</v>
      </c>
      <c r="O219" s="14" t="s">
        <v>1420</v>
      </c>
      <c r="P219" s="14" t="s">
        <v>1421</v>
      </c>
      <c r="Q219" s="14" t="s">
        <v>404</v>
      </c>
      <c r="R219" s="18"/>
      <c r="S219" s="15"/>
      <c r="T219" s="15"/>
      <c r="U219" s="15"/>
      <c r="V219" s="15"/>
    </row>
    <row r="220" spans="1:22" x14ac:dyDescent="0.25">
      <c r="A220" s="14" t="s">
        <v>141</v>
      </c>
      <c r="B220" s="14" t="s">
        <v>1422</v>
      </c>
      <c r="C220" s="14" t="s">
        <v>1423</v>
      </c>
      <c r="D220" s="18"/>
      <c r="E220" s="14">
        <v>2022</v>
      </c>
      <c r="F220" s="21">
        <v>44621</v>
      </c>
      <c r="G220" s="18"/>
      <c r="H220" s="14" t="s">
        <v>1424</v>
      </c>
      <c r="I220" s="14" t="s">
        <v>196</v>
      </c>
      <c r="J220" s="14">
        <v>2022</v>
      </c>
      <c r="K220" s="14">
        <v>9781450392983</v>
      </c>
      <c r="L220" s="18"/>
      <c r="M220" s="18"/>
      <c r="N220" s="17" t="s">
        <v>1425</v>
      </c>
      <c r="O220" s="14" t="s">
        <v>1426</v>
      </c>
      <c r="P220" s="14" t="s">
        <v>1427</v>
      </c>
      <c r="Q220" s="14" t="s">
        <v>999</v>
      </c>
      <c r="R220" s="18"/>
      <c r="S220" s="15"/>
      <c r="T220" s="15"/>
      <c r="U220" s="15"/>
      <c r="V220" s="15"/>
    </row>
    <row r="221" spans="1:22" x14ac:dyDescent="0.25">
      <c r="A221" s="14" t="s">
        <v>13</v>
      </c>
      <c r="B221" s="14" t="s">
        <v>1428</v>
      </c>
      <c r="C221" s="14" t="s">
        <v>1429</v>
      </c>
      <c r="D221" s="14" t="s">
        <v>676</v>
      </c>
      <c r="E221" s="14">
        <v>2022</v>
      </c>
      <c r="F221" s="14" t="s">
        <v>1430</v>
      </c>
      <c r="G221" s="18"/>
      <c r="H221" s="14" t="s">
        <v>1431</v>
      </c>
      <c r="I221" s="14" t="s">
        <v>212</v>
      </c>
      <c r="J221" s="14">
        <v>2022</v>
      </c>
      <c r="K221" s="18"/>
      <c r="L221" s="18"/>
      <c r="M221" s="14" t="s">
        <v>679</v>
      </c>
      <c r="N221" s="17" t="s">
        <v>1432</v>
      </c>
      <c r="O221" s="14" t="s">
        <v>1433</v>
      </c>
      <c r="P221" s="14" t="s">
        <v>1434</v>
      </c>
      <c r="Q221" s="14" t="s">
        <v>157</v>
      </c>
      <c r="R221" s="18"/>
      <c r="S221" s="15"/>
      <c r="T221" s="15"/>
      <c r="U221" s="15"/>
      <c r="V221" s="15"/>
    </row>
    <row r="222" spans="1:22" x14ac:dyDescent="0.25">
      <c r="A222" s="14" t="s">
        <v>13</v>
      </c>
      <c r="B222" s="14" t="s">
        <v>1435</v>
      </c>
      <c r="C222" s="14" t="s">
        <v>1436</v>
      </c>
      <c r="D222" s="14" t="s">
        <v>523</v>
      </c>
      <c r="E222" s="14">
        <v>2021</v>
      </c>
      <c r="F222" s="14">
        <v>29</v>
      </c>
      <c r="G222" s="14">
        <v>4</v>
      </c>
      <c r="H222" s="14" t="s">
        <v>1437</v>
      </c>
      <c r="I222" s="14" t="s">
        <v>137</v>
      </c>
      <c r="J222" s="14">
        <v>2021</v>
      </c>
      <c r="K222" s="18"/>
      <c r="L222" s="18"/>
      <c r="M222" s="14" t="s">
        <v>525</v>
      </c>
      <c r="N222" s="17" t="s">
        <v>1438</v>
      </c>
      <c r="O222" s="14" t="s">
        <v>1439</v>
      </c>
      <c r="P222" s="14" t="s">
        <v>1440</v>
      </c>
      <c r="Q222" s="14" t="s">
        <v>318</v>
      </c>
      <c r="R222" s="18"/>
      <c r="S222" s="15"/>
      <c r="T222" s="15"/>
      <c r="U222" s="15"/>
      <c r="V222" s="15"/>
    </row>
    <row r="223" spans="1:22" x14ac:dyDescent="0.25">
      <c r="A223" s="14" t="s">
        <v>13</v>
      </c>
      <c r="B223" s="14" t="s">
        <v>1441</v>
      </c>
      <c r="C223" s="14" t="s">
        <v>1442</v>
      </c>
      <c r="D223" s="14" t="s">
        <v>1443</v>
      </c>
      <c r="E223" s="14">
        <v>2021</v>
      </c>
      <c r="F223" s="14">
        <v>2</v>
      </c>
      <c r="G223" s="14">
        <v>4</v>
      </c>
      <c r="H223" s="14" t="s">
        <v>1444</v>
      </c>
      <c r="I223" s="14" t="s">
        <v>257</v>
      </c>
      <c r="J223" s="14">
        <v>2021</v>
      </c>
      <c r="K223" s="18"/>
      <c r="L223" s="18"/>
      <c r="M223" s="14" t="s">
        <v>1445</v>
      </c>
      <c r="N223" s="17" t="s">
        <v>1446</v>
      </c>
      <c r="O223" s="14" t="s">
        <v>1447</v>
      </c>
      <c r="P223" s="14" t="s">
        <v>1448</v>
      </c>
      <c r="Q223" s="14" t="s">
        <v>447</v>
      </c>
      <c r="R223" s="18"/>
      <c r="S223" s="15"/>
      <c r="T223" s="15"/>
      <c r="U223" s="15"/>
      <c r="V223" s="15"/>
    </row>
    <row r="224" spans="1:22" x14ac:dyDescent="0.25">
      <c r="A224" s="14" t="s">
        <v>141</v>
      </c>
      <c r="B224" s="14" t="s">
        <v>1449</v>
      </c>
      <c r="C224" s="14" t="s">
        <v>1450</v>
      </c>
      <c r="D224" s="18"/>
      <c r="E224" s="14">
        <v>2022</v>
      </c>
      <c r="F224" s="18"/>
      <c r="G224" s="18"/>
      <c r="H224" s="14" t="s">
        <v>1451</v>
      </c>
      <c r="I224" s="14" t="s">
        <v>257</v>
      </c>
      <c r="J224" s="14">
        <v>2022</v>
      </c>
      <c r="K224" s="14">
        <v>9781450393331</v>
      </c>
      <c r="L224" s="18"/>
      <c r="M224" s="18"/>
      <c r="N224" s="17" t="s">
        <v>1452</v>
      </c>
      <c r="O224" s="14" t="s">
        <v>1453</v>
      </c>
      <c r="P224" s="14" t="s">
        <v>1454</v>
      </c>
      <c r="Q224" s="14" t="s">
        <v>568</v>
      </c>
      <c r="R224" s="18"/>
      <c r="S224" s="15"/>
      <c r="T224" s="15"/>
      <c r="U224" s="15"/>
      <c r="V224" s="15"/>
    </row>
    <row r="225" spans="1:22" x14ac:dyDescent="0.25">
      <c r="A225" s="14" t="s">
        <v>141</v>
      </c>
      <c r="B225" s="14" t="s">
        <v>1455</v>
      </c>
      <c r="C225" s="14" t="s">
        <v>1456</v>
      </c>
      <c r="D225" s="18"/>
      <c r="E225" s="14">
        <v>2022</v>
      </c>
      <c r="F225" s="21">
        <v>44682</v>
      </c>
      <c r="G225" s="18"/>
      <c r="H225" s="14" t="s">
        <v>1457</v>
      </c>
      <c r="I225" s="14" t="s">
        <v>196</v>
      </c>
      <c r="J225" s="14">
        <v>2022</v>
      </c>
      <c r="K225" s="14">
        <v>9781450392211</v>
      </c>
      <c r="L225" s="18"/>
      <c r="M225" s="14" t="s">
        <v>1458</v>
      </c>
      <c r="N225" s="17" t="s">
        <v>1459</v>
      </c>
      <c r="O225" s="14" t="s">
        <v>1460</v>
      </c>
      <c r="P225" s="14" t="s">
        <v>1461</v>
      </c>
      <c r="Q225" s="14" t="s">
        <v>1462</v>
      </c>
      <c r="R225" s="18"/>
      <c r="S225" s="15"/>
      <c r="T225" s="15"/>
      <c r="U225" s="15"/>
      <c r="V225" s="15"/>
    </row>
    <row r="226" spans="1:22" x14ac:dyDescent="0.25">
      <c r="A226" s="14" t="s">
        <v>539</v>
      </c>
      <c r="B226" s="14" t="s">
        <v>1463</v>
      </c>
      <c r="C226" s="14" t="s">
        <v>1464</v>
      </c>
      <c r="D226" s="18"/>
      <c r="E226" s="14">
        <v>2021</v>
      </c>
      <c r="F226" s="18"/>
      <c r="G226" s="18"/>
      <c r="H226" s="18"/>
      <c r="I226" s="14" t="s">
        <v>1465</v>
      </c>
      <c r="J226" s="14">
        <v>2021</v>
      </c>
      <c r="K226" s="14">
        <v>9781799869863</v>
      </c>
      <c r="L226" s="14">
        <v>9781799869856</v>
      </c>
      <c r="M226" s="18"/>
      <c r="N226" s="17" t="s">
        <v>1466</v>
      </c>
      <c r="O226" s="14" t="s">
        <v>1467</v>
      </c>
      <c r="P226" s="14" t="s">
        <v>1468</v>
      </c>
      <c r="Q226" s="14" t="s">
        <v>157</v>
      </c>
      <c r="R226" s="14" t="s">
        <v>1469</v>
      </c>
      <c r="S226" s="15"/>
      <c r="T226" s="15"/>
      <c r="U226" s="15"/>
      <c r="V226" s="15"/>
    </row>
    <row r="227" spans="1:22" x14ac:dyDescent="0.25">
      <c r="A227" s="14" t="s">
        <v>13</v>
      </c>
      <c r="B227" s="14" t="s">
        <v>1470</v>
      </c>
      <c r="C227" s="14" t="s">
        <v>1471</v>
      </c>
      <c r="D227" s="14" t="s">
        <v>136</v>
      </c>
      <c r="E227" s="14">
        <v>2022</v>
      </c>
      <c r="F227" s="14">
        <v>27</v>
      </c>
      <c r="G227" s="14">
        <v>1</v>
      </c>
      <c r="H227" s="18"/>
      <c r="I227" s="14" t="s">
        <v>137</v>
      </c>
      <c r="J227" s="14">
        <v>2022</v>
      </c>
      <c r="K227" s="18"/>
      <c r="L227" s="18"/>
      <c r="M227" s="14" t="s">
        <v>33</v>
      </c>
      <c r="N227" s="17" t="s">
        <v>1472</v>
      </c>
      <c r="O227" s="14" t="s">
        <v>1473</v>
      </c>
      <c r="P227" s="14" t="s">
        <v>1474</v>
      </c>
      <c r="Q227" s="14" t="s">
        <v>289</v>
      </c>
      <c r="R227" s="18"/>
      <c r="S227" s="15"/>
      <c r="T227" s="15"/>
      <c r="U227" s="15"/>
      <c r="V227" s="15"/>
    </row>
    <row r="228" spans="1:22" x14ac:dyDescent="0.25">
      <c r="A228" s="14" t="s">
        <v>141</v>
      </c>
      <c r="B228" s="14" t="s">
        <v>1475</v>
      </c>
      <c r="C228" s="14" t="s">
        <v>1476</v>
      </c>
      <c r="D228" s="18"/>
      <c r="E228" s="14">
        <v>2021</v>
      </c>
      <c r="F228" s="18"/>
      <c r="G228" s="18"/>
      <c r="H228" s="14" t="s">
        <v>1477</v>
      </c>
      <c r="I228" s="14" t="s">
        <v>153</v>
      </c>
      <c r="J228" s="14">
        <v>2021</v>
      </c>
      <c r="K228" s="14">
        <v>9781450384735</v>
      </c>
      <c r="L228" s="18"/>
      <c r="M228" s="18"/>
      <c r="N228" s="17" t="s">
        <v>1478</v>
      </c>
      <c r="O228" s="14" t="s">
        <v>1479</v>
      </c>
      <c r="P228" s="14" t="s">
        <v>1480</v>
      </c>
      <c r="Q228" s="14" t="s">
        <v>318</v>
      </c>
      <c r="R228" s="18"/>
      <c r="S228" s="15"/>
      <c r="T228" s="15"/>
      <c r="U228" s="15"/>
      <c r="V228" s="15"/>
    </row>
    <row r="229" spans="1:22" x14ac:dyDescent="0.25">
      <c r="A229" s="14" t="s">
        <v>13</v>
      </c>
      <c r="B229" s="14" t="s">
        <v>50</v>
      </c>
      <c r="C229" s="14" t="s">
        <v>51</v>
      </c>
      <c r="D229" s="14" t="s">
        <v>629</v>
      </c>
      <c r="E229" s="14">
        <v>2021</v>
      </c>
      <c r="F229" s="14">
        <v>15</v>
      </c>
      <c r="G229" s="14">
        <v>4</v>
      </c>
      <c r="H229" s="18"/>
      <c r="I229" s="14" t="s">
        <v>630</v>
      </c>
      <c r="J229" s="14">
        <v>2021</v>
      </c>
      <c r="K229" s="18"/>
      <c r="L229" s="18"/>
      <c r="M229" s="14" t="s">
        <v>46</v>
      </c>
      <c r="N229" s="17" t="s">
        <v>1481</v>
      </c>
      <c r="O229" s="14" t="s">
        <v>53</v>
      </c>
      <c r="P229" s="14" t="s">
        <v>1482</v>
      </c>
      <c r="Q229" s="14" t="s">
        <v>185</v>
      </c>
      <c r="R229" s="18"/>
      <c r="S229" s="15"/>
      <c r="T229" s="15"/>
      <c r="U229" s="15"/>
      <c r="V229" s="15"/>
    </row>
    <row r="230" spans="1:22" x14ac:dyDescent="0.25">
      <c r="A230" s="14" t="s">
        <v>141</v>
      </c>
      <c r="B230" s="14" t="s">
        <v>1483</v>
      </c>
      <c r="C230" s="14" t="s">
        <v>1484</v>
      </c>
      <c r="D230" s="18"/>
      <c r="E230" s="14">
        <v>2021</v>
      </c>
      <c r="F230" s="18"/>
      <c r="G230" s="18"/>
      <c r="H230" s="14" t="s">
        <v>1485</v>
      </c>
      <c r="I230" s="14" t="s">
        <v>257</v>
      </c>
      <c r="J230" s="14">
        <v>2021</v>
      </c>
      <c r="K230" s="14">
        <v>9781665414050</v>
      </c>
      <c r="L230" s="18"/>
      <c r="M230" s="18"/>
      <c r="N230" s="17" t="s">
        <v>1486</v>
      </c>
      <c r="O230" s="14" t="s">
        <v>1487</v>
      </c>
      <c r="P230" s="14" t="s">
        <v>1488</v>
      </c>
      <c r="Q230" s="14" t="s">
        <v>404</v>
      </c>
      <c r="R230" s="18"/>
      <c r="S230" s="15"/>
      <c r="T230" s="15"/>
      <c r="U230" s="15"/>
      <c r="V230" s="15"/>
    </row>
    <row r="231" spans="1:22" x14ac:dyDescent="0.25">
      <c r="A231" s="14" t="s">
        <v>141</v>
      </c>
      <c r="B231" s="14" t="s">
        <v>1489</v>
      </c>
      <c r="C231" s="14" t="s">
        <v>1490</v>
      </c>
      <c r="D231" s="18"/>
      <c r="E231" s="14">
        <v>2022</v>
      </c>
      <c r="F231" s="18"/>
      <c r="G231" s="18"/>
      <c r="H231" s="14" t="s">
        <v>1491</v>
      </c>
      <c r="I231" s="14" t="s">
        <v>257</v>
      </c>
      <c r="J231" s="14">
        <v>2022</v>
      </c>
      <c r="K231" s="14">
        <v>9781665483131</v>
      </c>
      <c r="L231" s="18"/>
      <c r="M231" s="18"/>
      <c r="N231" s="17" t="s">
        <v>1492</v>
      </c>
      <c r="O231" s="14" t="s">
        <v>1493</v>
      </c>
      <c r="P231" s="14" t="s">
        <v>1494</v>
      </c>
      <c r="Q231" s="14" t="s">
        <v>157</v>
      </c>
      <c r="R231" s="18"/>
      <c r="S231" s="15"/>
      <c r="T231" s="15"/>
      <c r="U231" s="15"/>
      <c r="V231" s="15"/>
    </row>
    <row r="232" spans="1:22" x14ac:dyDescent="0.25">
      <c r="A232" s="14" t="s">
        <v>13</v>
      </c>
      <c r="B232" s="14" t="s">
        <v>1495</v>
      </c>
      <c r="C232" s="14" t="s">
        <v>1496</v>
      </c>
      <c r="D232" s="14" t="s">
        <v>1285</v>
      </c>
      <c r="E232" s="14">
        <v>2021</v>
      </c>
      <c r="F232" s="14">
        <v>5</v>
      </c>
      <c r="G232" s="14" t="s">
        <v>1497</v>
      </c>
      <c r="H232" s="18"/>
      <c r="I232" s="14" t="s">
        <v>145</v>
      </c>
      <c r="J232" s="14">
        <v>2021</v>
      </c>
      <c r="K232" s="18"/>
      <c r="L232" s="18"/>
      <c r="M232" s="14" t="s">
        <v>1287</v>
      </c>
      <c r="N232" s="17" t="s">
        <v>1498</v>
      </c>
      <c r="O232" s="14" t="s">
        <v>1499</v>
      </c>
      <c r="P232" s="14" t="s">
        <v>1500</v>
      </c>
      <c r="Q232" s="14" t="s">
        <v>568</v>
      </c>
      <c r="R232" s="18"/>
      <c r="S232" s="15"/>
      <c r="T232" s="15"/>
      <c r="U232" s="15"/>
      <c r="V232" s="15"/>
    </row>
    <row r="233" spans="1:22" x14ac:dyDescent="0.25">
      <c r="A233" s="14" t="s">
        <v>13</v>
      </c>
      <c r="B233" s="14" t="s">
        <v>1501</v>
      </c>
      <c r="C233" s="14" t="s">
        <v>1502</v>
      </c>
      <c r="D233" s="14" t="s">
        <v>1503</v>
      </c>
      <c r="E233" s="14">
        <v>2021</v>
      </c>
      <c r="F233" s="14">
        <v>15</v>
      </c>
      <c r="G233" s="14">
        <v>3</v>
      </c>
      <c r="H233" s="18"/>
      <c r="I233" s="14" t="s">
        <v>145</v>
      </c>
      <c r="J233" s="14">
        <v>2021</v>
      </c>
      <c r="K233" s="18"/>
      <c r="L233" s="18"/>
      <c r="M233" s="14" t="s">
        <v>1504</v>
      </c>
      <c r="N233" s="17" t="s">
        <v>1505</v>
      </c>
      <c r="O233" s="14" t="s">
        <v>1506</v>
      </c>
      <c r="P233" s="14" t="s">
        <v>1507</v>
      </c>
      <c r="Q233" s="14" t="s">
        <v>1508</v>
      </c>
      <c r="R233" s="18"/>
      <c r="S233" s="15"/>
      <c r="T233" s="15"/>
      <c r="U233" s="15"/>
      <c r="V233" s="15"/>
    </row>
    <row r="234" spans="1:22" x14ac:dyDescent="0.25">
      <c r="A234" s="14" t="s">
        <v>13</v>
      </c>
      <c r="B234" s="14" t="s">
        <v>1509</v>
      </c>
      <c r="C234" s="14" t="s">
        <v>1510</v>
      </c>
      <c r="D234" s="14" t="s">
        <v>1511</v>
      </c>
      <c r="E234" s="14">
        <v>2021</v>
      </c>
      <c r="F234" s="14">
        <v>12</v>
      </c>
      <c r="G234" s="14">
        <v>10</v>
      </c>
      <c r="H234" s="18"/>
      <c r="I234" s="14" t="s">
        <v>228</v>
      </c>
      <c r="J234" s="14">
        <v>2021</v>
      </c>
      <c r="K234" s="18"/>
      <c r="L234" s="18"/>
      <c r="M234" s="14" t="s">
        <v>1512</v>
      </c>
      <c r="N234" s="17" t="s">
        <v>1513</v>
      </c>
      <c r="O234" s="14" t="s">
        <v>1514</v>
      </c>
      <c r="P234" s="14" t="s">
        <v>1515</v>
      </c>
      <c r="Q234" s="14" t="s">
        <v>285</v>
      </c>
      <c r="R234" s="18"/>
      <c r="S234" s="15"/>
      <c r="T234" s="15"/>
      <c r="U234" s="15"/>
      <c r="V234" s="15"/>
    </row>
    <row r="235" spans="1:22" x14ac:dyDescent="0.25">
      <c r="A235" s="14" t="s">
        <v>13</v>
      </c>
      <c r="B235" s="14" t="s">
        <v>1516</v>
      </c>
      <c r="C235" s="14" t="s">
        <v>1517</v>
      </c>
      <c r="D235" s="14" t="s">
        <v>523</v>
      </c>
      <c r="E235" s="14">
        <v>2021</v>
      </c>
      <c r="F235" s="14">
        <v>29</v>
      </c>
      <c r="G235" s="14">
        <v>2</v>
      </c>
      <c r="H235" s="14" t="s">
        <v>1518</v>
      </c>
      <c r="I235" s="14" t="s">
        <v>137</v>
      </c>
      <c r="J235" s="14">
        <v>2021</v>
      </c>
      <c r="K235" s="18"/>
      <c r="L235" s="18"/>
      <c r="M235" s="14" t="s">
        <v>525</v>
      </c>
      <c r="N235" s="17" t="s">
        <v>1519</v>
      </c>
      <c r="O235" s="14" t="s">
        <v>1520</v>
      </c>
      <c r="P235" s="14" t="s">
        <v>1521</v>
      </c>
      <c r="Q235" s="14" t="s">
        <v>818</v>
      </c>
      <c r="R235" s="18"/>
      <c r="S235" s="15"/>
      <c r="T235" s="15"/>
      <c r="U235" s="15"/>
      <c r="V235" s="15"/>
    </row>
    <row r="236" spans="1:22" x14ac:dyDescent="0.25">
      <c r="A236" s="14" t="s">
        <v>13</v>
      </c>
      <c r="B236" s="14" t="s">
        <v>1522</v>
      </c>
      <c r="C236" s="14" t="s">
        <v>1523</v>
      </c>
      <c r="D236" s="14" t="s">
        <v>136</v>
      </c>
      <c r="E236" s="14">
        <v>2022</v>
      </c>
      <c r="F236" s="14">
        <v>27</v>
      </c>
      <c r="G236" s="14">
        <v>1</v>
      </c>
      <c r="H236" s="18"/>
      <c r="I236" s="14" t="s">
        <v>137</v>
      </c>
      <c r="J236" s="14">
        <v>2022</v>
      </c>
      <c r="K236" s="18"/>
      <c r="L236" s="18"/>
      <c r="M236" s="14" t="s">
        <v>33</v>
      </c>
      <c r="N236" s="17" t="s">
        <v>1524</v>
      </c>
      <c r="O236" s="14" t="s">
        <v>1525</v>
      </c>
      <c r="P236" s="14" t="s">
        <v>1526</v>
      </c>
      <c r="Q236" s="14" t="s">
        <v>585</v>
      </c>
      <c r="R236" s="18"/>
      <c r="S236" s="15"/>
      <c r="T236" s="15"/>
      <c r="U236" s="15"/>
      <c r="V236" s="15"/>
    </row>
    <row r="237" spans="1:22" x14ac:dyDescent="0.25">
      <c r="A237" s="14" t="s">
        <v>13</v>
      </c>
      <c r="B237" s="14" t="s">
        <v>1527</v>
      </c>
      <c r="C237" s="14" t="s">
        <v>1528</v>
      </c>
      <c r="D237" s="14" t="s">
        <v>1511</v>
      </c>
      <c r="E237" s="14">
        <v>2021</v>
      </c>
      <c r="F237" s="14">
        <v>12</v>
      </c>
      <c r="G237" s="14">
        <v>11</v>
      </c>
      <c r="H237" s="18"/>
      <c r="I237" s="14" t="s">
        <v>228</v>
      </c>
      <c r="J237" s="14">
        <v>2021</v>
      </c>
      <c r="K237" s="18"/>
      <c r="L237" s="18"/>
      <c r="M237" s="14" t="s">
        <v>1512</v>
      </c>
      <c r="N237" s="17" t="s">
        <v>1529</v>
      </c>
      <c r="O237" s="14" t="s">
        <v>1530</v>
      </c>
      <c r="P237" s="14" t="s">
        <v>1531</v>
      </c>
      <c r="Q237" s="14" t="s">
        <v>285</v>
      </c>
      <c r="R237" s="18"/>
      <c r="S237" s="15"/>
      <c r="T237" s="15"/>
      <c r="U237" s="15"/>
      <c r="V237" s="15"/>
    </row>
    <row r="238" spans="1:22" x14ac:dyDescent="0.25">
      <c r="A238" s="14" t="s">
        <v>13</v>
      </c>
      <c r="B238" s="14" t="s">
        <v>1532</v>
      </c>
      <c r="C238" s="14" t="s">
        <v>1533</v>
      </c>
      <c r="D238" s="14" t="s">
        <v>668</v>
      </c>
      <c r="E238" s="14">
        <v>2022</v>
      </c>
      <c r="F238" s="14">
        <v>10</v>
      </c>
      <c r="G238" s="18"/>
      <c r="H238" s="14" t="s">
        <v>1534</v>
      </c>
      <c r="I238" s="14" t="s">
        <v>257</v>
      </c>
      <c r="J238" s="14">
        <v>2022</v>
      </c>
      <c r="K238" s="18"/>
      <c r="L238" s="18"/>
      <c r="M238" s="14" t="s">
        <v>670</v>
      </c>
      <c r="N238" s="17" t="s">
        <v>1535</v>
      </c>
      <c r="O238" s="14" t="s">
        <v>1536</v>
      </c>
      <c r="P238" s="14" t="s">
        <v>1537</v>
      </c>
      <c r="Q238" s="14" t="s">
        <v>447</v>
      </c>
      <c r="R238" s="18"/>
      <c r="S238" s="15"/>
      <c r="T238" s="15"/>
      <c r="U238" s="15"/>
      <c r="V238" s="15"/>
    </row>
    <row r="239" spans="1:22" x14ac:dyDescent="0.25">
      <c r="A239" s="14" t="s">
        <v>13</v>
      </c>
      <c r="B239" s="14" t="s">
        <v>1538</v>
      </c>
      <c r="C239" s="14" t="s">
        <v>1539</v>
      </c>
      <c r="D239" s="14" t="s">
        <v>1540</v>
      </c>
      <c r="E239" s="14">
        <v>2022</v>
      </c>
      <c r="F239" s="14">
        <v>13</v>
      </c>
      <c r="G239" s="14">
        <v>1</v>
      </c>
      <c r="H239" s="18"/>
      <c r="I239" s="14" t="s">
        <v>1465</v>
      </c>
      <c r="J239" s="14">
        <v>2022</v>
      </c>
      <c r="K239" s="18"/>
      <c r="L239" s="18"/>
      <c r="M239" s="14" t="s">
        <v>1541</v>
      </c>
      <c r="N239" s="17" t="s">
        <v>1542</v>
      </c>
      <c r="O239" s="14" t="s">
        <v>1543</v>
      </c>
      <c r="P239" s="14" t="s">
        <v>1544</v>
      </c>
      <c r="Q239" s="14" t="s">
        <v>157</v>
      </c>
      <c r="R239" s="18"/>
      <c r="S239" s="15"/>
      <c r="T239" s="15"/>
      <c r="U239" s="15"/>
      <c r="V239" s="15"/>
    </row>
    <row r="240" spans="1:22" x14ac:dyDescent="0.25">
      <c r="A240" s="14" t="s">
        <v>13</v>
      </c>
      <c r="B240" s="14" t="s">
        <v>1545</v>
      </c>
      <c r="C240" s="14" t="s">
        <v>1546</v>
      </c>
      <c r="D240" s="14" t="s">
        <v>1547</v>
      </c>
      <c r="E240" s="14">
        <v>2022</v>
      </c>
      <c r="F240" s="14">
        <v>881</v>
      </c>
      <c r="G240" s="18"/>
      <c r="H240" s="14" t="s">
        <v>1548</v>
      </c>
      <c r="I240" s="14" t="s">
        <v>212</v>
      </c>
      <c r="J240" s="14">
        <v>2022</v>
      </c>
      <c r="K240" s="18"/>
      <c r="L240" s="18"/>
      <c r="M240" s="14" t="s">
        <v>1549</v>
      </c>
      <c r="N240" s="17" t="s">
        <v>1550</v>
      </c>
      <c r="O240" s="14" t="s">
        <v>1551</v>
      </c>
      <c r="P240" s="14" t="s">
        <v>1552</v>
      </c>
      <c r="Q240" s="14" t="s">
        <v>157</v>
      </c>
      <c r="R240" s="18"/>
      <c r="S240" s="15"/>
      <c r="T240" s="15"/>
      <c r="U240" s="15"/>
      <c r="V240" s="15"/>
    </row>
    <row r="241" spans="1:22" x14ac:dyDescent="0.25">
      <c r="A241" s="14" t="s">
        <v>13</v>
      </c>
      <c r="B241" s="14" t="s">
        <v>1553</v>
      </c>
      <c r="C241" s="14" t="s">
        <v>1554</v>
      </c>
      <c r="D241" s="14" t="s">
        <v>668</v>
      </c>
      <c r="E241" s="14">
        <v>2022</v>
      </c>
      <c r="F241" s="14">
        <v>10</v>
      </c>
      <c r="G241" s="18"/>
      <c r="H241" s="14" t="s">
        <v>1555</v>
      </c>
      <c r="I241" s="14" t="s">
        <v>257</v>
      </c>
      <c r="J241" s="14">
        <v>2022</v>
      </c>
      <c r="K241" s="18"/>
      <c r="L241" s="18"/>
      <c r="M241" s="14" t="s">
        <v>670</v>
      </c>
      <c r="N241" s="17" t="s">
        <v>1556</v>
      </c>
      <c r="O241" s="14" t="s">
        <v>1557</v>
      </c>
      <c r="P241" s="14" t="s">
        <v>1558</v>
      </c>
      <c r="Q241" s="14" t="s">
        <v>896</v>
      </c>
      <c r="R241" s="18"/>
      <c r="S241" s="15"/>
      <c r="T241" s="15"/>
      <c r="U241" s="15"/>
      <c r="V241" s="15"/>
    </row>
    <row r="242" spans="1:22" x14ac:dyDescent="0.25">
      <c r="A242" s="14" t="s">
        <v>13</v>
      </c>
      <c r="B242" s="14" t="s">
        <v>1559</v>
      </c>
      <c r="C242" s="14" t="s">
        <v>1560</v>
      </c>
      <c r="D242" s="14" t="s">
        <v>354</v>
      </c>
      <c r="E242" s="14">
        <v>2021</v>
      </c>
      <c r="F242" s="14">
        <v>180</v>
      </c>
      <c r="G242" s="18"/>
      <c r="H242" s="18"/>
      <c r="I242" s="14" t="s">
        <v>355</v>
      </c>
      <c r="J242" s="14">
        <v>2021</v>
      </c>
      <c r="K242" s="18"/>
      <c r="L242" s="18"/>
      <c r="M242" s="14" t="s">
        <v>65</v>
      </c>
      <c r="N242" s="17" t="s">
        <v>1561</v>
      </c>
      <c r="O242" s="14" t="s">
        <v>1562</v>
      </c>
      <c r="P242" s="14" t="s">
        <v>1563</v>
      </c>
      <c r="Q242" s="14" t="s">
        <v>176</v>
      </c>
      <c r="R242" s="18"/>
      <c r="S242" s="15"/>
      <c r="T242" s="15"/>
      <c r="U242" s="15"/>
      <c r="V242" s="15"/>
    </row>
    <row r="243" spans="1:22" x14ac:dyDescent="0.25">
      <c r="A243" s="14" t="s">
        <v>13</v>
      </c>
      <c r="B243" s="14" t="s">
        <v>1564</v>
      </c>
      <c r="C243" s="14" t="s">
        <v>1565</v>
      </c>
      <c r="D243" s="14" t="s">
        <v>1566</v>
      </c>
      <c r="E243" s="14">
        <v>2021</v>
      </c>
      <c r="F243" s="14">
        <v>93</v>
      </c>
      <c r="G243" s="14">
        <v>12</v>
      </c>
      <c r="H243" s="14" t="s">
        <v>1567</v>
      </c>
      <c r="I243" s="14" t="s">
        <v>1568</v>
      </c>
      <c r="J243" s="14">
        <v>2021</v>
      </c>
      <c r="K243" s="18"/>
      <c r="L243" s="18"/>
      <c r="M243" s="14" t="s">
        <v>1569</v>
      </c>
      <c r="N243" s="17" t="s">
        <v>1570</v>
      </c>
      <c r="O243" s="14" t="s">
        <v>1571</v>
      </c>
      <c r="P243" s="14" t="s">
        <v>1572</v>
      </c>
      <c r="Q243" s="14" t="s">
        <v>1573</v>
      </c>
      <c r="R243" s="18"/>
      <c r="S243" s="15"/>
      <c r="T243" s="15"/>
      <c r="U243" s="15"/>
      <c r="V243" s="15"/>
    </row>
    <row r="244" spans="1:22" x14ac:dyDescent="0.25">
      <c r="A244" s="14" t="s">
        <v>13</v>
      </c>
      <c r="B244" s="14" t="s">
        <v>1574</v>
      </c>
      <c r="C244" s="14" t="s">
        <v>1575</v>
      </c>
      <c r="D244" s="14" t="s">
        <v>668</v>
      </c>
      <c r="E244" s="14">
        <v>2022</v>
      </c>
      <c r="F244" s="14">
        <v>10</v>
      </c>
      <c r="G244" s="18"/>
      <c r="H244" s="14" t="s">
        <v>1576</v>
      </c>
      <c r="I244" s="14" t="s">
        <v>257</v>
      </c>
      <c r="J244" s="14">
        <v>2022</v>
      </c>
      <c r="K244" s="18"/>
      <c r="L244" s="18"/>
      <c r="M244" s="14" t="s">
        <v>670</v>
      </c>
      <c r="N244" s="17" t="s">
        <v>1577</v>
      </c>
      <c r="O244" s="14" t="s">
        <v>1578</v>
      </c>
      <c r="P244" s="14" t="s">
        <v>1579</v>
      </c>
      <c r="Q244" s="14" t="s">
        <v>233</v>
      </c>
      <c r="R244" s="18"/>
      <c r="S244" s="15"/>
      <c r="T244" s="15"/>
      <c r="U244" s="15"/>
      <c r="V244" s="15"/>
    </row>
    <row r="245" spans="1:22" x14ac:dyDescent="0.25">
      <c r="A245" s="14" t="s">
        <v>13</v>
      </c>
      <c r="B245" s="14" t="s">
        <v>1580</v>
      </c>
      <c r="C245" s="14" t="s">
        <v>1581</v>
      </c>
      <c r="D245" s="14" t="s">
        <v>555</v>
      </c>
      <c r="E245" s="14">
        <v>2022</v>
      </c>
      <c r="F245" s="14">
        <v>13</v>
      </c>
      <c r="G245" s="14">
        <v>2</v>
      </c>
      <c r="H245" s="14" t="s">
        <v>1582</v>
      </c>
      <c r="I245" s="14" t="s">
        <v>557</v>
      </c>
      <c r="J245" s="14">
        <v>2022</v>
      </c>
      <c r="K245" s="18"/>
      <c r="L245" s="18"/>
      <c r="M245" s="14" t="s">
        <v>558</v>
      </c>
      <c r="N245" s="17" t="s">
        <v>1583</v>
      </c>
      <c r="O245" s="14" t="s">
        <v>1584</v>
      </c>
      <c r="P245" s="14" t="s">
        <v>1585</v>
      </c>
      <c r="Q245" s="14" t="s">
        <v>285</v>
      </c>
      <c r="R245" s="18"/>
      <c r="S245" s="15"/>
      <c r="T245" s="15"/>
      <c r="U245" s="15"/>
      <c r="V245" s="15"/>
    </row>
    <row r="246" spans="1:22" x14ac:dyDescent="0.25">
      <c r="A246" s="14" t="s">
        <v>141</v>
      </c>
      <c r="B246" s="14" t="s">
        <v>1166</v>
      </c>
      <c r="C246" s="14" t="s">
        <v>1586</v>
      </c>
      <c r="D246" s="18"/>
      <c r="E246" s="14">
        <v>2022</v>
      </c>
      <c r="F246" s="18"/>
      <c r="G246" s="18"/>
      <c r="H246" s="14" t="s">
        <v>1587</v>
      </c>
      <c r="I246" s="14" t="s">
        <v>257</v>
      </c>
      <c r="J246" s="14">
        <v>2022</v>
      </c>
      <c r="K246" s="14">
        <v>9781450392754</v>
      </c>
      <c r="L246" s="18"/>
      <c r="M246" s="18"/>
      <c r="N246" s="17" t="s">
        <v>1588</v>
      </c>
      <c r="O246" s="14" t="s">
        <v>1589</v>
      </c>
      <c r="P246" s="14" t="s">
        <v>1590</v>
      </c>
      <c r="Q246" s="14" t="s">
        <v>1591</v>
      </c>
      <c r="R246" s="18"/>
      <c r="S246" s="15"/>
      <c r="T246" s="15"/>
      <c r="U246" s="15"/>
      <c r="V246" s="15"/>
    </row>
    <row r="247" spans="1:22" x14ac:dyDescent="0.25">
      <c r="A247" s="14" t="s">
        <v>141</v>
      </c>
      <c r="B247" s="14" t="s">
        <v>1592</v>
      </c>
      <c r="C247" s="14" t="s">
        <v>1593</v>
      </c>
      <c r="D247" s="18"/>
      <c r="E247" s="14">
        <v>2021</v>
      </c>
      <c r="F247" s="18"/>
      <c r="G247" s="18"/>
      <c r="H247" s="14" t="s">
        <v>1594</v>
      </c>
      <c r="I247" s="14" t="s">
        <v>153</v>
      </c>
      <c r="J247" s="14">
        <v>2021</v>
      </c>
      <c r="K247" s="14">
        <v>9781450385626</v>
      </c>
      <c r="L247" s="18"/>
      <c r="M247" s="18"/>
      <c r="N247" s="17" t="s">
        <v>1595</v>
      </c>
      <c r="O247" s="14" t="s">
        <v>1596</v>
      </c>
      <c r="P247" s="14" t="s">
        <v>1597</v>
      </c>
      <c r="Q247" s="14" t="s">
        <v>1598</v>
      </c>
      <c r="R247" s="18"/>
      <c r="S247" s="15"/>
      <c r="T247" s="15"/>
      <c r="U247" s="15"/>
      <c r="V247" s="15"/>
    </row>
    <row r="248" spans="1:22" x14ac:dyDescent="0.25">
      <c r="A248" s="14" t="s">
        <v>13</v>
      </c>
      <c r="B248" s="14" t="s">
        <v>1599</v>
      </c>
      <c r="C248" s="14" t="s">
        <v>1600</v>
      </c>
      <c r="D248" s="14" t="s">
        <v>354</v>
      </c>
      <c r="E248" s="14">
        <v>2022</v>
      </c>
      <c r="F248" s="14">
        <v>183</v>
      </c>
      <c r="G248" s="18"/>
      <c r="H248" s="18"/>
      <c r="I248" s="14" t="s">
        <v>355</v>
      </c>
      <c r="J248" s="14">
        <v>2022</v>
      </c>
      <c r="K248" s="18"/>
      <c r="L248" s="18"/>
      <c r="M248" s="14" t="s">
        <v>65</v>
      </c>
      <c r="N248" s="17" t="s">
        <v>1601</v>
      </c>
      <c r="O248" s="14" t="s">
        <v>1602</v>
      </c>
      <c r="P248" s="14" t="s">
        <v>1603</v>
      </c>
      <c r="Q248" s="14" t="s">
        <v>140</v>
      </c>
      <c r="R248" s="18"/>
      <c r="S248" s="15"/>
      <c r="T248" s="15"/>
      <c r="U248" s="15"/>
      <c r="V248" s="15"/>
    </row>
    <row r="249" spans="1:22" x14ac:dyDescent="0.25">
      <c r="A249" s="14" t="s">
        <v>141</v>
      </c>
      <c r="B249" s="14" t="s">
        <v>1604</v>
      </c>
      <c r="C249" s="14" t="s">
        <v>1605</v>
      </c>
      <c r="D249" s="18"/>
      <c r="E249" s="14">
        <v>2021</v>
      </c>
      <c r="F249" s="18"/>
      <c r="G249" s="18"/>
      <c r="H249" s="18"/>
      <c r="I249" s="14" t="s">
        <v>145</v>
      </c>
      <c r="J249" s="14">
        <v>2021</v>
      </c>
      <c r="K249" s="14">
        <v>9781450380966</v>
      </c>
      <c r="L249" s="18"/>
      <c r="M249" s="18"/>
      <c r="N249" s="17" t="s">
        <v>1606</v>
      </c>
      <c r="O249" s="14" t="s">
        <v>1607</v>
      </c>
      <c r="P249" s="14" t="s">
        <v>1608</v>
      </c>
      <c r="Q249" s="14" t="s">
        <v>1609</v>
      </c>
      <c r="R249" s="18"/>
      <c r="S249" s="15"/>
      <c r="T249" s="15"/>
      <c r="U249" s="15"/>
      <c r="V249" s="15"/>
    </row>
    <row r="250" spans="1:22" x14ac:dyDescent="0.25">
      <c r="A250" s="14" t="s">
        <v>141</v>
      </c>
      <c r="B250" s="14" t="s">
        <v>1610</v>
      </c>
      <c r="C250" s="14" t="s">
        <v>1611</v>
      </c>
      <c r="D250" s="18"/>
      <c r="E250" s="14">
        <v>2021</v>
      </c>
      <c r="F250" s="18"/>
      <c r="G250" s="18"/>
      <c r="H250" s="18"/>
      <c r="I250" s="14" t="s">
        <v>196</v>
      </c>
      <c r="J250" s="14">
        <v>2021</v>
      </c>
      <c r="K250" s="14">
        <v>9781450386654</v>
      </c>
      <c r="L250" s="18"/>
      <c r="M250" s="14" t="s">
        <v>197</v>
      </c>
      <c r="N250" s="17" t="s">
        <v>1612</v>
      </c>
      <c r="O250" s="14" t="s">
        <v>1613</v>
      </c>
      <c r="P250" s="14" t="s">
        <v>1614</v>
      </c>
      <c r="Q250" s="14" t="s">
        <v>318</v>
      </c>
      <c r="R250" s="18"/>
      <c r="S250" s="15"/>
      <c r="T250" s="15"/>
      <c r="U250" s="15"/>
      <c r="V250" s="15"/>
    </row>
    <row r="251" spans="1:22" x14ac:dyDescent="0.25">
      <c r="A251" s="14" t="s">
        <v>141</v>
      </c>
      <c r="B251" s="14" t="s">
        <v>1615</v>
      </c>
      <c r="C251" s="14" t="s">
        <v>1616</v>
      </c>
      <c r="D251" s="18"/>
      <c r="E251" s="14">
        <v>2021</v>
      </c>
      <c r="F251" s="18"/>
      <c r="G251" s="18"/>
      <c r="H251" s="14" t="s">
        <v>1617</v>
      </c>
      <c r="I251" s="14" t="s">
        <v>153</v>
      </c>
      <c r="J251" s="14">
        <v>2021</v>
      </c>
      <c r="K251" s="14">
        <v>9781450385626</v>
      </c>
      <c r="L251" s="18"/>
      <c r="M251" s="18"/>
      <c r="N251" s="17" t="s">
        <v>1618</v>
      </c>
      <c r="O251" s="14" t="s">
        <v>1619</v>
      </c>
      <c r="P251" s="14" t="s">
        <v>1620</v>
      </c>
      <c r="Q251" s="14" t="s">
        <v>185</v>
      </c>
      <c r="R251" s="18"/>
      <c r="S251" s="15"/>
      <c r="T251" s="15"/>
      <c r="U251" s="15"/>
      <c r="V251" s="15"/>
    </row>
    <row r="252" spans="1:22" x14ac:dyDescent="0.25">
      <c r="A252" s="14" t="s">
        <v>13</v>
      </c>
      <c r="B252" s="14" t="s">
        <v>1621</v>
      </c>
      <c r="C252" s="14" t="s">
        <v>1622</v>
      </c>
      <c r="D252" s="14" t="s">
        <v>1623</v>
      </c>
      <c r="E252" s="14">
        <v>2021</v>
      </c>
      <c r="F252" s="14">
        <v>12</v>
      </c>
      <c r="G252" s="14">
        <v>1</v>
      </c>
      <c r="H252" s="18"/>
      <c r="I252" s="14" t="s">
        <v>212</v>
      </c>
      <c r="J252" s="14">
        <v>2021</v>
      </c>
      <c r="K252" s="18"/>
      <c r="L252" s="18"/>
      <c r="M252" s="14" t="s">
        <v>1624</v>
      </c>
      <c r="N252" s="17" t="s">
        <v>1625</v>
      </c>
      <c r="O252" s="14" t="s">
        <v>1626</v>
      </c>
      <c r="P252" s="14" t="s">
        <v>1627</v>
      </c>
      <c r="Q252" s="14" t="s">
        <v>447</v>
      </c>
      <c r="R252" s="18"/>
      <c r="S252" s="15"/>
      <c r="T252" s="15"/>
      <c r="U252" s="15"/>
      <c r="V252" s="15"/>
    </row>
    <row r="253" spans="1:22" x14ac:dyDescent="0.25">
      <c r="A253" s="14" t="s">
        <v>13</v>
      </c>
      <c r="B253" s="14" t="s">
        <v>1628</v>
      </c>
      <c r="C253" s="14" t="s">
        <v>1629</v>
      </c>
      <c r="D253" s="14" t="s">
        <v>209</v>
      </c>
      <c r="E253" s="14">
        <v>2022</v>
      </c>
      <c r="F253" s="14" t="s">
        <v>1630</v>
      </c>
      <c r="G253" s="18"/>
      <c r="H253" s="14" t="s">
        <v>1631</v>
      </c>
      <c r="I253" s="14" t="s">
        <v>212</v>
      </c>
      <c r="J253" s="14">
        <v>2022</v>
      </c>
      <c r="K253" s="18"/>
      <c r="L253" s="18"/>
      <c r="M253" s="14" t="s">
        <v>213</v>
      </c>
      <c r="N253" s="17" t="s">
        <v>1632</v>
      </c>
      <c r="O253" s="14" t="s">
        <v>1633</v>
      </c>
      <c r="P253" s="14" t="s">
        <v>1634</v>
      </c>
      <c r="Q253" s="14" t="s">
        <v>404</v>
      </c>
      <c r="R253" s="18"/>
      <c r="S253" s="15"/>
      <c r="T253" s="15"/>
      <c r="U253" s="15"/>
      <c r="V253" s="15"/>
    </row>
    <row r="254" spans="1:22" x14ac:dyDescent="0.25">
      <c r="A254" s="14" t="s">
        <v>13</v>
      </c>
      <c r="B254" s="14" t="s">
        <v>1635</v>
      </c>
      <c r="C254" s="14" t="s">
        <v>1636</v>
      </c>
      <c r="D254" s="14" t="s">
        <v>1637</v>
      </c>
      <c r="E254" s="14">
        <v>2021</v>
      </c>
      <c r="F254" s="14">
        <v>3</v>
      </c>
      <c r="G254" s="14">
        <v>2</v>
      </c>
      <c r="H254" s="14" t="s">
        <v>1638</v>
      </c>
      <c r="I254" s="14" t="s">
        <v>228</v>
      </c>
      <c r="J254" s="14">
        <v>2021</v>
      </c>
      <c r="K254" s="18"/>
      <c r="L254" s="18"/>
      <c r="M254" s="14" t="s">
        <v>1639</v>
      </c>
      <c r="N254" s="17" t="s">
        <v>1640</v>
      </c>
      <c r="O254" s="14" t="s">
        <v>1641</v>
      </c>
      <c r="P254" s="14" t="s">
        <v>1642</v>
      </c>
      <c r="Q254" s="14" t="s">
        <v>1643</v>
      </c>
      <c r="R254" s="18"/>
      <c r="S254" s="15"/>
      <c r="T254" s="15"/>
      <c r="U254" s="15"/>
      <c r="V254" s="15"/>
    </row>
    <row r="255" spans="1:22" x14ac:dyDescent="0.25">
      <c r="A255" s="14" t="s">
        <v>141</v>
      </c>
      <c r="B255" s="14" t="s">
        <v>1644</v>
      </c>
      <c r="C255" s="22" t="s">
        <v>1645</v>
      </c>
      <c r="D255" s="18"/>
      <c r="E255" s="14">
        <v>2022</v>
      </c>
      <c r="F255" s="18"/>
      <c r="G255" s="18"/>
      <c r="H255" s="14" t="s">
        <v>1646</v>
      </c>
      <c r="I255" s="14" t="s">
        <v>196</v>
      </c>
      <c r="J255" s="14">
        <v>2022</v>
      </c>
      <c r="K255" s="14">
        <v>9781665495905</v>
      </c>
      <c r="L255" s="18"/>
      <c r="M255" s="14" t="s">
        <v>1458</v>
      </c>
      <c r="N255" s="17" t="s">
        <v>1647</v>
      </c>
      <c r="O255" s="14" t="s">
        <v>1648</v>
      </c>
      <c r="P255" s="14" t="s">
        <v>1649</v>
      </c>
      <c r="Q255" s="14" t="s">
        <v>404</v>
      </c>
      <c r="R255" s="18"/>
      <c r="S255" s="15"/>
      <c r="T255" s="15"/>
      <c r="U255" s="15"/>
      <c r="V255" s="15"/>
    </row>
    <row r="256" spans="1:22" x14ac:dyDescent="0.25">
      <c r="A256" s="14" t="s">
        <v>141</v>
      </c>
      <c r="B256" s="14" t="s">
        <v>1650</v>
      </c>
      <c r="C256" s="14" t="s">
        <v>1651</v>
      </c>
      <c r="D256" s="18"/>
      <c r="E256" s="14">
        <v>2021</v>
      </c>
      <c r="F256" s="18"/>
      <c r="G256" s="18"/>
      <c r="H256" s="14" t="s">
        <v>1652</v>
      </c>
      <c r="I256" s="14" t="s">
        <v>145</v>
      </c>
      <c r="J256" s="14">
        <v>2021</v>
      </c>
      <c r="K256" s="14">
        <v>9781450390538</v>
      </c>
      <c r="L256" s="18"/>
      <c r="M256" s="18"/>
      <c r="N256" s="17" t="s">
        <v>1653</v>
      </c>
      <c r="O256" s="14" t="s">
        <v>1654</v>
      </c>
      <c r="P256" s="14" t="s">
        <v>1655</v>
      </c>
      <c r="Q256" s="14" t="s">
        <v>1656</v>
      </c>
      <c r="R256" s="18"/>
      <c r="S256" s="15"/>
      <c r="T256" s="15"/>
      <c r="U256" s="15"/>
      <c r="V256" s="15"/>
    </row>
    <row r="257" spans="1:22" x14ac:dyDescent="0.25">
      <c r="A257" s="14" t="s">
        <v>141</v>
      </c>
      <c r="B257" s="14" t="s">
        <v>1657</v>
      </c>
      <c r="C257" s="14" t="s">
        <v>1658</v>
      </c>
      <c r="D257" s="18"/>
      <c r="E257" s="14">
        <v>2021</v>
      </c>
      <c r="F257" s="18"/>
      <c r="G257" s="18"/>
      <c r="H257" s="14" t="s">
        <v>1659</v>
      </c>
      <c r="I257" s="14" t="s">
        <v>257</v>
      </c>
      <c r="J257" s="14">
        <v>2021</v>
      </c>
      <c r="K257" s="14">
        <v>9781665414050</v>
      </c>
      <c r="L257" s="18"/>
      <c r="M257" s="18"/>
      <c r="N257" s="17" t="s">
        <v>1660</v>
      </c>
      <c r="O257" s="14" t="s">
        <v>1661</v>
      </c>
      <c r="P257" s="14" t="s">
        <v>1662</v>
      </c>
      <c r="Q257" s="14" t="s">
        <v>1404</v>
      </c>
      <c r="R257" s="18"/>
      <c r="S257" s="15"/>
      <c r="T257" s="15"/>
      <c r="U257" s="15"/>
      <c r="V257" s="15"/>
    </row>
    <row r="258" spans="1:22" x14ac:dyDescent="0.25">
      <c r="A258" s="14" t="s">
        <v>141</v>
      </c>
      <c r="B258" s="14" t="s">
        <v>1663</v>
      </c>
      <c r="C258" s="14" t="s">
        <v>1664</v>
      </c>
      <c r="D258" s="18"/>
      <c r="E258" s="14">
        <v>2022</v>
      </c>
      <c r="F258" s="18"/>
      <c r="G258" s="18"/>
      <c r="H258" s="14" t="s">
        <v>1665</v>
      </c>
      <c r="I258" s="14" t="s">
        <v>257</v>
      </c>
      <c r="J258" s="14">
        <v>2022</v>
      </c>
      <c r="K258" s="14">
        <v>9781450392754</v>
      </c>
      <c r="L258" s="18"/>
      <c r="M258" s="18"/>
      <c r="N258" s="17" t="s">
        <v>1666</v>
      </c>
      <c r="O258" s="14" t="s">
        <v>1667</v>
      </c>
      <c r="P258" s="14" t="s">
        <v>1668</v>
      </c>
      <c r="Q258" s="14" t="s">
        <v>999</v>
      </c>
      <c r="R258" s="18"/>
      <c r="S258" s="15"/>
      <c r="T258" s="15"/>
      <c r="U258" s="15"/>
      <c r="V258" s="15"/>
    </row>
    <row r="259" spans="1:22" x14ac:dyDescent="0.25">
      <c r="A259" s="14" t="s">
        <v>13</v>
      </c>
      <c r="B259" s="14" t="s">
        <v>1669</v>
      </c>
      <c r="C259" s="14" t="s">
        <v>1670</v>
      </c>
      <c r="D259" s="14" t="s">
        <v>1671</v>
      </c>
      <c r="E259" s="14">
        <v>2021</v>
      </c>
      <c r="F259" s="14">
        <v>13</v>
      </c>
      <c r="G259" s="14">
        <v>18</v>
      </c>
      <c r="H259" s="18"/>
      <c r="I259" s="14" t="s">
        <v>228</v>
      </c>
      <c r="J259" s="14">
        <v>2021</v>
      </c>
      <c r="K259" s="18"/>
      <c r="L259" s="18"/>
      <c r="M259" s="14" t="s">
        <v>1672</v>
      </c>
      <c r="N259" s="17" t="s">
        <v>1673</v>
      </c>
      <c r="O259" s="14" t="s">
        <v>1674</v>
      </c>
      <c r="P259" s="14" t="s">
        <v>1675</v>
      </c>
      <c r="Q259" s="14" t="s">
        <v>1676</v>
      </c>
      <c r="R259" s="18"/>
      <c r="S259" s="15"/>
      <c r="T259" s="15"/>
      <c r="U259" s="15"/>
      <c r="V259" s="15"/>
    </row>
    <row r="260" spans="1:22" x14ac:dyDescent="0.25">
      <c r="A260" s="14" t="s">
        <v>13</v>
      </c>
      <c r="B260" s="14" t="s">
        <v>1677</v>
      </c>
      <c r="C260" s="14" t="s">
        <v>1678</v>
      </c>
      <c r="D260" s="14" t="s">
        <v>676</v>
      </c>
      <c r="E260" s="14">
        <v>2022</v>
      </c>
      <c r="F260" s="14" t="s">
        <v>1679</v>
      </c>
      <c r="G260" s="18"/>
      <c r="H260" s="14" t="s">
        <v>1680</v>
      </c>
      <c r="I260" s="14" t="s">
        <v>212</v>
      </c>
      <c r="J260" s="14">
        <v>2022</v>
      </c>
      <c r="K260" s="18"/>
      <c r="L260" s="18"/>
      <c r="M260" s="14" t="s">
        <v>679</v>
      </c>
      <c r="N260" s="17" t="s">
        <v>1681</v>
      </c>
      <c r="O260" s="14" t="s">
        <v>1682</v>
      </c>
      <c r="P260" s="14" t="s">
        <v>1683</v>
      </c>
      <c r="Q260" s="14" t="s">
        <v>176</v>
      </c>
      <c r="R260" s="18"/>
      <c r="S260" s="15"/>
      <c r="T260" s="15"/>
      <c r="U260" s="15"/>
      <c r="V260" s="15"/>
    </row>
    <row r="261" spans="1:22" x14ac:dyDescent="0.25">
      <c r="A261" s="14" t="s">
        <v>13</v>
      </c>
      <c r="B261" s="14" t="s">
        <v>1684</v>
      </c>
      <c r="C261" s="14" t="s">
        <v>1685</v>
      </c>
      <c r="D261" s="14" t="s">
        <v>1686</v>
      </c>
      <c r="E261" s="14">
        <v>2021</v>
      </c>
      <c r="F261" s="14">
        <v>8</v>
      </c>
      <c r="G261" s="14">
        <v>22</v>
      </c>
      <c r="H261" s="14" t="s">
        <v>1687</v>
      </c>
      <c r="I261" s="14" t="s">
        <v>257</v>
      </c>
      <c r="J261" s="14">
        <v>2021</v>
      </c>
      <c r="K261" s="18"/>
      <c r="L261" s="18"/>
      <c r="M261" s="14" t="s">
        <v>1688</v>
      </c>
      <c r="N261" s="17" t="s">
        <v>1689</v>
      </c>
      <c r="O261" s="14" t="s">
        <v>1690</v>
      </c>
      <c r="P261" s="14" t="s">
        <v>1691</v>
      </c>
      <c r="Q261" s="14" t="s">
        <v>1598</v>
      </c>
      <c r="R261" s="18"/>
      <c r="S261" s="15"/>
      <c r="T261" s="15"/>
      <c r="U261" s="15"/>
      <c r="V261" s="15"/>
    </row>
    <row r="262" spans="1:22" x14ac:dyDescent="0.25">
      <c r="A262" s="14" t="s">
        <v>13</v>
      </c>
      <c r="B262" s="14" t="s">
        <v>1692</v>
      </c>
      <c r="C262" s="14" t="s">
        <v>1693</v>
      </c>
      <c r="D262" s="14" t="s">
        <v>209</v>
      </c>
      <c r="E262" s="14">
        <v>2022</v>
      </c>
      <c r="F262" s="14" t="s">
        <v>1694</v>
      </c>
      <c r="G262" s="18"/>
      <c r="H262" s="14" t="s">
        <v>1695</v>
      </c>
      <c r="I262" s="14" t="s">
        <v>212</v>
      </c>
      <c r="J262" s="14">
        <v>2022</v>
      </c>
      <c r="K262" s="18"/>
      <c r="L262" s="18"/>
      <c r="M262" s="14" t="s">
        <v>213</v>
      </c>
      <c r="N262" s="17" t="s">
        <v>1696</v>
      </c>
      <c r="O262" s="14" t="s">
        <v>1697</v>
      </c>
      <c r="P262" s="14" t="s">
        <v>1698</v>
      </c>
      <c r="Q262" s="14" t="s">
        <v>157</v>
      </c>
      <c r="R262" s="18"/>
      <c r="S262" s="15"/>
      <c r="T262" s="15"/>
      <c r="U262" s="15"/>
      <c r="V262" s="15"/>
    </row>
    <row r="263" spans="1:22" x14ac:dyDescent="0.25">
      <c r="A263" s="14" t="s">
        <v>141</v>
      </c>
      <c r="B263" s="14" t="s">
        <v>1699</v>
      </c>
      <c r="C263" s="14" t="s">
        <v>1700</v>
      </c>
      <c r="D263" s="18"/>
      <c r="E263" s="14">
        <v>2022</v>
      </c>
      <c r="F263" s="18"/>
      <c r="G263" s="18"/>
      <c r="H263" s="14" t="s">
        <v>1701</v>
      </c>
      <c r="I263" s="14" t="s">
        <v>257</v>
      </c>
      <c r="J263" s="14">
        <v>2022</v>
      </c>
      <c r="K263" s="14">
        <v>9781450392754</v>
      </c>
      <c r="L263" s="18"/>
      <c r="M263" s="18"/>
      <c r="N263" s="17" t="s">
        <v>1702</v>
      </c>
      <c r="O263" s="14" t="s">
        <v>1703</v>
      </c>
      <c r="P263" s="14" t="s">
        <v>1704</v>
      </c>
      <c r="Q263" s="14" t="s">
        <v>568</v>
      </c>
      <c r="R263" s="18"/>
      <c r="S263" s="15"/>
      <c r="T263" s="15"/>
      <c r="U263" s="15"/>
      <c r="V263" s="15"/>
    </row>
    <row r="264" spans="1:22" x14ac:dyDescent="0.25">
      <c r="A264" s="14" t="s">
        <v>13</v>
      </c>
      <c r="B264" s="14" t="s">
        <v>1705</v>
      </c>
      <c r="C264" s="14" t="s">
        <v>1706</v>
      </c>
      <c r="D264" s="14" t="s">
        <v>255</v>
      </c>
      <c r="E264" s="14">
        <v>2022</v>
      </c>
      <c r="F264" s="14">
        <v>48</v>
      </c>
      <c r="G264" s="14">
        <v>1</v>
      </c>
      <c r="H264" s="18"/>
      <c r="I264" s="14" t="s">
        <v>257</v>
      </c>
      <c r="J264" s="14">
        <v>2022</v>
      </c>
      <c r="K264" s="18"/>
      <c r="L264" s="18"/>
      <c r="M264" s="14" t="s">
        <v>18</v>
      </c>
      <c r="N264" s="17" t="s">
        <v>1707</v>
      </c>
      <c r="O264" s="14" t="s">
        <v>1708</v>
      </c>
      <c r="P264" s="14" t="s">
        <v>1709</v>
      </c>
      <c r="Q264" s="14" t="s">
        <v>1710</v>
      </c>
      <c r="R264" s="18"/>
      <c r="S264" s="15"/>
      <c r="T264" s="15"/>
      <c r="U264" s="15"/>
      <c r="V264" s="15"/>
    </row>
    <row r="265" spans="1:22" x14ac:dyDescent="0.25">
      <c r="A265" s="14" t="s">
        <v>13</v>
      </c>
      <c r="B265" s="14" t="s">
        <v>1711</v>
      </c>
      <c r="C265" s="14" t="s">
        <v>1712</v>
      </c>
      <c r="D265" s="14" t="s">
        <v>1713</v>
      </c>
      <c r="E265" s="14">
        <v>2022</v>
      </c>
      <c r="F265" s="14">
        <v>36</v>
      </c>
      <c r="G265" s="14">
        <v>1</v>
      </c>
      <c r="H265" s="18"/>
      <c r="I265" s="14" t="s">
        <v>1714</v>
      </c>
      <c r="J265" s="14">
        <v>2022</v>
      </c>
      <c r="K265" s="18"/>
      <c r="L265" s="18"/>
      <c r="M265" s="14" t="s">
        <v>1715</v>
      </c>
      <c r="N265" s="17" t="s">
        <v>1716</v>
      </c>
      <c r="O265" s="14" t="s">
        <v>1717</v>
      </c>
      <c r="P265" s="14" t="s">
        <v>1718</v>
      </c>
      <c r="Q265" s="14" t="s">
        <v>140</v>
      </c>
      <c r="R265" s="18"/>
      <c r="S265" s="15"/>
      <c r="T265" s="15"/>
      <c r="U265" s="15"/>
      <c r="V265" s="15"/>
    </row>
    <row r="266" spans="1:22" x14ac:dyDescent="0.25">
      <c r="A266" s="14" t="s">
        <v>13</v>
      </c>
      <c r="B266" s="14" t="s">
        <v>1719</v>
      </c>
      <c r="C266" s="14" t="s">
        <v>1720</v>
      </c>
      <c r="D266" s="14" t="s">
        <v>1721</v>
      </c>
      <c r="E266" s="14">
        <v>2021</v>
      </c>
      <c r="F266" s="14">
        <v>63</v>
      </c>
      <c r="G266" s="14">
        <v>4</v>
      </c>
      <c r="H266" s="14" t="s">
        <v>1722</v>
      </c>
      <c r="I266" s="14" t="s">
        <v>590</v>
      </c>
      <c r="J266" s="14">
        <v>2021</v>
      </c>
      <c r="K266" s="18"/>
      <c r="L266" s="18"/>
      <c r="M266" s="14" t="s">
        <v>1723</v>
      </c>
      <c r="N266" s="17" t="s">
        <v>1724</v>
      </c>
      <c r="O266" s="14" t="s">
        <v>1725</v>
      </c>
      <c r="P266" s="14" t="s">
        <v>1726</v>
      </c>
      <c r="Q266" s="14" t="s">
        <v>585</v>
      </c>
      <c r="R266" s="18"/>
      <c r="S266" s="15"/>
      <c r="T266" s="15"/>
      <c r="U266" s="15"/>
      <c r="V266" s="15"/>
    </row>
    <row r="267" spans="1:22" x14ac:dyDescent="0.25">
      <c r="A267" s="14" t="s">
        <v>13</v>
      </c>
      <c r="B267" s="14" t="s">
        <v>1727</v>
      </c>
      <c r="C267" s="14" t="s">
        <v>1728</v>
      </c>
      <c r="D267" s="14" t="s">
        <v>255</v>
      </c>
      <c r="E267" s="14">
        <v>2021</v>
      </c>
      <c r="F267" s="14">
        <v>47</v>
      </c>
      <c r="G267" s="14">
        <v>6</v>
      </c>
      <c r="H267" s="14" t="s">
        <v>1729</v>
      </c>
      <c r="I267" s="14" t="s">
        <v>257</v>
      </c>
      <c r="J267" s="14">
        <v>2021</v>
      </c>
      <c r="K267" s="18"/>
      <c r="L267" s="18"/>
      <c r="M267" s="14" t="s">
        <v>18</v>
      </c>
      <c r="N267" s="17" t="s">
        <v>1730</v>
      </c>
      <c r="O267" s="14" t="s">
        <v>1731</v>
      </c>
      <c r="P267" s="14" t="s">
        <v>1732</v>
      </c>
      <c r="Q267" s="14" t="s">
        <v>1733</v>
      </c>
      <c r="R267" s="18"/>
      <c r="S267" s="15"/>
      <c r="T267" s="15"/>
      <c r="U267" s="15"/>
      <c r="V267" s="15"/>
    </row>
    <row r="268" spans="1:22" x14ac:dyDescent="0.25">
      <c r="A268" s="14" t="s">
        <v>141</v>
      </c>
      <c r="B268" s="14" t="s">
        <v>1734</v>
      </c>
      <c r="C268" s="14" t="s">
        <v>1735</v>
      </c>
      <c r="D268" s="18"/>
      <c r="E268" s="14">
        <v>2021</v>
      </c>
      <c r="F268" s="18"/>
      <c r="G268" s="18"/>
      <c r="H268" s="14" t="s">
        <v>1736</v>
      </c>
      <c r="I268" s="14" t="s">
        <v>257</v>
      </c>
      <c r="J268" s="14">
        <v>2021</v>
      </c>
      <c r="K268" s="14">
        <v>9781728187105</v>
      </c>
      <c r="L268" s="18"/>
      <c r="M268" s="18"/>
      <c r="N268" s="17" t="s">
        <v>1737</v>
      </c>
      <c r="O268" s="14" t="s">
        <v>1738</v>
      </c>
      <c r="P268" s="14" t="s">
        <v>1739</v>
      </c>
      <c r="Q268" s="14" t="s">
        <v>1740</v>
      </c>
      <c r="R268" s="18"/>
      <c r="S268" s="15"/>
      <c r="T268" s="15"/>
      <c r="U268" s="15"/>
      <c r="V268" s="15"/>
    </row>
    <row r="269" spans="1:22" x14ac:dyDescent="0.25">
      <c r="A269" s="14" t="s">
        <v>141</v>
      </c>
      <c r="B269" s="14" t="s">
        <v>1741</v>
      </c>
      <c r="C269" s="14" t="s">
        <v>1742</v>
      </c>
      <c r="D269" s="18"/>
      <c r="E269" s="14">
        <v>2022</v>
      </c>
      <c r="F269" s="18"/>
      <c r="G269" s="18"/>
      <c r="H269" s="14" t="s">
        <v>1743</v>
      </c>
      <c r="I269" s="14" t="s">
        <v>257</v>
      </c>
      <c r="J269" s="14">
        <v>2022</v>
      </c>
      <c r="K269" s="14">
        <v>9781665496285</v>
      </c>
      <c r="L269" s="18"/>
      <c r="M269" s="18"/>
      <c r="N269" s="17" t="s">
        <v>1744</v>
      </c>
      <c r="O269" s="14" t="s">
        <v>1745</v>
      </c>
      <c r="P269" s="14" t="s">
        <v>1746</v>
      </c>
      <c r="Q269" s="14" t="s">
        <v>404</v>
      </c>
      <c r="R269" s="18"/>
      <c r="S269" s="15"/>
      <c r="T269" s="15"/>
      <c r="U269" s="15"/>
      <c r="V269" s="15"/>
    </row>
    <row r="270" spans="1:22" x14ac:dyDescent="0.25">
      <c r="A270" s="14" t="s">
        <v>141</v>
      </c>
      <c r="B270" s="14" t="s">
        <v>1747</v>
      </c>
      <c r="C270" s="14" t="s">
        <v>1748</v>
      </c>
      <c r="D270" s="18"/>
      <c r="E270" s="14">
        <v>2022</v>
      </c>
      <c r="F270" s="18"/>
      <c r="G270" s="18"/>
      <c r="H270" s="14" t="s">
        <v>1749</v>
      </c>
      <c r="I270" s="14" t="s">
        <v>257</v>
      </c>
      <c r="J270" s="14">
        <v>2022</v>
      </c>
      <c r="K270" s="14">
        <v>9781450392754</v>
      </c>
      <c r="L270" s="18"/>
      <c r="M270" s="18"/>
      <c r="N270" s="17" t="s">
        <v>1750</v>
      </c>
      <c r="O270" s="14" t="s">
        <v>1751</v>
      </c>
      <c r="P270" s="14" t="s">
        <v>1752</v>
      </c>
      <c r="Q270" s="14" t="s">
        <v>568</v>
      </c>
      <c r="R270" s="18"/>
      <c r="S270" s="15"/>
      <c r="T270" s="15"/>
      <c r="U270" s="15"/>
      <c r="V270" s="15"/>
    </row>
    <row r="271" spans="1:22" x14ac:dyDescent="0.25">
      <c r="A271" s="14" t="s">
        <v>13</v>
      </c>
      <c r="B271" s="14" t="s">
        <v>1753</v>
      </c>
      <c r="C271" s="14" t="s">
        <v>1754</v>
      </c>
      <c r="D271" s="14" t="s">
        <v>598</v>
      </c>
      <c r="E271" s="14">
        <v>2022</v>
      </c>
      <c r="F271" s="14">
        <v>33</v>
      </c>
      <c r="G271" s="14">
        <v>1</v>
      </c>
      <c r="H271" s="14" t="s">
        <v>1755</v>
      </c>
      <c r="I271" s="14" t="s">
        <v>600</v>
      </c>
      <c r="J271" s="14">
        <v>2022</v>
      </c>
      <c r="K271" s="18"/>
      <c r="L271" s="18"/>
      <c r="M271" s="14" t="s">
        <v>601</v>
      </c>
      <c r="N271" s="17" t="s">
        <v>1756</v>
      </c>
      <c r="O271" s="14" t="s">
        <v>1757</v>
      </c>
      <c r="P271" s="14" t="s">
        <v>1758</v>
      </c>
      <c r="Q271" s="14" t="s">
        <v>157</v>
      </c>
      <c r="R271" s="18"/>
      <c r="S271" s="15"/>
      <c r="T271" s="15"/>
      <c r="U271" s="15"/>
      <c r="V271" s="15"/>
    </row>
    <row r="272" spans="1:22" x14ac:dyDescent="0.25">
      <c r="A272" s="14" t="s">
        <v>141</v>
      </c>
      <c r="B272" s="14" t="s">
        <v>1759</v>
      </c>
      <c r="C272" s="14" t="s">
        <v>1760</v>
      </c>
      <c r="D272" s="18"/>
      <c r="E272" s="14">
        <v>2021</v>
      </c>
      <c r="F272" s="18"/>
      <c r="G272" s="18"/>
      <c r="H272" s="14" t="s">
        <v>1761</v>
      </c>
      <c r="I272" s="14" t="s">
        <v>153</v>
      </c>
      <c r="J272" s="14">
        <v>2021</v>
      </c>
      <c r="K272" s="14">
        <v>9781450385626</v>
      </c>
      <c r="L272" s="18"/>
      <c r="M272" s="18"/>
      <c r="N272" s="17" t="s">
        <v>1762</v>
      </c>
      <c r="O272" s="14" t="s">
        <v>1763</v>
      </c>
      <c r="P272" s="14" t="s">
        <v>1764</v>
      </c>
      <c r="Q272" s="14" t="s">
        <v>1765</v>
      </c>
      <c r="R272" s="18"/>
      <c r="S272" s="15"/>
      <c r="T272" s="15"/>
      <c r="U272" s="15"/>
      <c r="V272" s="15"/>
    </row>
    <row r="273" spans="1:22" x14ac:dyDescent="0.25">
      <c r="A273" s="14" t="s">
        <v>13</v>
      </c>
      <c r="B273" s="14" t="s">
        <v>1766</v>
      </c>
      <c r="C273" s="14" t="s">
        <v>1767</v>
      </c>
      <c r="D273" s="14" t="s">
        <v>136</v>
      </c>
      <c r="E273" s="14">
        <v>2021</v>
      </c>
      <c r="F273" s="14">
        <v>26</v>
      </c>
      <c r="G273" s="14">
        <v>5</v>
      </c>
      <c r="H273" s="18"/>
      <c r="I273" s="14" t="s">
        <v>137</v>
      </c>
      <c r="J273" s="14">
        <v>2021</v>
      </c>
      <c r="K273" s="18"/>
      <c r="L273" s="18"/>
      <c r="M273" s="14" t="s">
        <v>33</v>
      </c>
      <c r="N273" s="17" t="s">
        <v>1768</v>
      </c>
      <c r="O273" s="14" t="s">
        <v>1769</v>
      </c>
      <c r="P273" s="14" t="s">
        <v>1770</v>
      </c>
      <c r="Q273" s="14" t="s">
        <v>157</v>
      </c>
      <c r="R273" s="18"/>
      <c r="S273" s="15"/>
      <c r="T273" s="15"/>
      <c r="U273" s="15"/>
      <c r="V273" s="15"/>
    </row>
    <row r="274" spans="1:22" x14ac:dyDescent="0.25">
      <c r="A274" s="14" t="s">
        <v>13</v>
      </c>
      <c r="B274" s="14" t="s">
        <v>1771</v>
      </c>
      <c r="C274" s="14" t="s">
        <v>1772</v>
      </c>
      <c r="D274" s="14" t="s">
        <v>1773</v>
      </c>
      <c r="E274" s="14">
        <v>2022</v>
      </c>
      <c r="F274" s="18"/>
      <c r="G274" s="18"/>
      <c r="H274" s="18"/>
      <c r="I274" s="14" t="s">
        <v>1714</v>
      </c>
      <c r="J274" s="14">
        <v>2022</v>
      </c>
      <c r="K274" s="18"/>
      <c r="L274" s="18"/>
      <c r="M274" s="14" t="s">
        <v>1774</v>
      </c>
      <c r="N274" s="17" t="s">
        <v>1775</v>
      </c>
      <c r="O274" s="14" t="s">
        <v>1776</v>
      </c>
      <c r="P274" s="14" t="s">
        <v>1777</v>
      </c>
      <c r="Q274" s="14" t="s">
        <v>585</v>
      </c>
      <c r="R274" s="18"/>
      <c r="S274" s="15"/>
      <c r="T274" s="15"/>
      <c r="U274" s="15"/>
      <c r="V274" s="15"/>
    </row>
    <row r="275" spans="1:22" x14ac:dyDescent="0.25">
      <c r="A275" s="14" t="s">
        <v>141</v>
      </c>
      <c r="B275" s="14" t="s">
        <v>1778</v>
      </c>
      <c r="C275" s="14" t="s">
        <v>1779</v>
      </c>
      <c r="D275" s="18"/>
      <c r="E275" s="14">
        <v>2022</v>
      </c>
      <c r="F275" s="18"/>
      <c r="G275" s="18"/>
      <c r="H275" s="14" t="s">
        <v>1780</v>
      </c>
      <c r="I275" s="14" t="s">
        <v>257</v>
      </c>
      <c r="J275" s="14">
        <v>2022</v>
      </c>
      <c r="K275" s="14">
        <v>9781665437868</v>
      </c>
      <c r="L275" s="18"/>
      <c r="M275" s="18"/>
      <c r="N275" s="17" t="s">
        <v>1781</v>
      </c>
      <c r="O275" s="14" t="s">
        <v>1782</v>
      </c>
      <c r="P275" s="14" t="s">
        <v>1783</v>
      </c>
      <c r="Q275" s="14" t="s">
        <v>289</v>
      </c>
      <c r="R275" s="18"/>
      <c r="S275" s="15"/>
      <c r="T275" s="15"/>
      <c r="U275" s="15"/>
      <c r="V275" s="15"/>
    </row>
    <row r="276" spans="1:22" x14ac:dyDescent="0.25">
      <c r="A276" s="14" t="s">
        <v>141</v>
      </c>
      <c r="B276" s="14" t="s">
        <v>1784</v>
      </c>
      <c r="C276" s="14" t="s">
        <v>1785</v>
      </c>
      <c r="D276" s="18"/>
      <c r="E276" s="14">
        <v>2021</v>
      </c>
      <c r="F276" s="18"/>
      <c r="G276" s="18"/>
      <c r="H276" s="14" t="s">
        <v>1786</v>
      </c>
      <c r="I276" s="14" t="s">
        <v>257</v>
      </c>
      <c r="J276" s="14">
        <v>2021</v>
      </c>
      <c r="K276" s="14">
        <v>9781665427050</v>
      </c>
      <c r="L276" s="18"/>
      <c r="M276" s="18"/>
      <c r="N276" s="17" t="s">
        <v>1787</v>
      </c>
      <c r="O276" s="14" t="s">
        <v>1788</v>
      </c>
      <c r="P276" s="14" t="s">
        <v>1789</v>
      </c>
      <c r="Q276" s="14" t="s">
        <v>397</v>
      </c>
      <c r="R276" s="18"/>
      <c r="S276" s="15"/>
      <c r="T276" s="15"/>
      <c r="U276" s="15"/>
      <c r="V276" s="15"/>
    </row>
    <row r="277" spans="1:22" x14ac:dyDescent="0.25">
      <c r="A277" s="14" t="s">
        <v>141</v>
      </c>
      <c r="B277" s="14" t="s">
        <v>1790</v>
      </c>
      <c r="C277" s="14" t="s">
        <v>1791</v>
      </c>
      <c r="D277" s="18"/>
      <c r="E277" s="14">
        <v>2022</v>
      </c>
      <c r="F277" s="18"/>
      <c r="G277" s="18"/>
      <c r="H277" s="14" t="s">
        <v>1792</v>
      </c>
      <c r="I277" s="14" t="s">
        <v>257</v>
      </c>
      <c r="J277" s="14">
        <v>2022</v>
      </c>
      <c r="K277" s="14">
        <v>9781665437868</v>
      </c>
      <c r="L277" s="18"/>
      <c r="M277" s="18"/>
      <c r="N277" s="17" t="s">
        <v>1793</v>
      </c>
      <c r="O277" s="14" t="s">
        <v>1794</v>
      </c>
      <c r="P277" s="14" t="s">
        <v>1795</v>
      </c>
      <c r="Q277" s="14" t="s">
        <v>157</v>
      </c>
      <c r="R277" s="18"/>
      <c r="S277" s="15"/>
      <c r="T277" s="15"/>
      <c r="U277" s="15"/>
      <c r="V277" s="15"/>
    </row>
    <row r="278" spans="1:22" x14ac:dyDescent="0.25">
      <c r="A278" s="14" t="s">
        <v>13</v>
      </c>
      <c r="B278" s="14" t="s">
        <v>1796</v>
      </c>
      <c r="C278" s="14" t="s">
        <v>1797</v>
      </c>
      <c r="D278" s="14" t="s">
        <v>227</v>
      </c>
      <c r="E278" s="14">
        <v>2021</v>
      </c>
      <c r="F278" s="14">
        <v>11</v>
      </c>
      <c r="G278" s="14">
        <v>17</v>
      </c>
      <c r="H278" s="18"/>
      <c r="I278" s="14" t="s">
        <v>228</v>
      </c>
      <c r="J278" s="14">
        <v>2021</v>
      </c>
      <c r="K278" s="18"/>
      <c r="L278" s="18"/>
      <c r="M278" s="14" t="s">
        <v>229</v>
      </c>
      <c r="N278" s="17" t="s">
        <v>1798</v>
      </c>
      <c r="O278" s="14" t="s">
        <v>1799</v>
      </c>
      <c r="P278" s="14" t="s">
        <v>1800</v>
      </c>
      <c r="Q278" s="14" t="s">
        <v>1801</v>
      </c>
      <c r="R278" s="18"/>
      <c r="S278" s="15"/>
      <c r="T278" s="15"/>
      <c r="U278" s="15"/>
      <c r="V278" s="15"/>
    </row>
    <row r="279" spans="1:22" x14ac:dyDescent="0.25">
      <c r="A279" s="14" t="s">
        <v>141</v>
      </c>
      <c r="B279" s="14" t="s">
        <v>1802</v>
      </c>
      <c r="C279" s="14" t="s">
        <v>1803</v>
      </c>
      <c r="D279" s="18"/>
      <c r="E279" s="14">
        <v>2022</v>
      </c>
      <c r="F279" s="18"/>
      <c r="G279" s="18"/>
      <c r="H279" s="14" t="s">
        <v>1804</v>
      </c>
      <c r="I279" s="14" t="s">
        <v>257</v>
      </c>
      <c r="J279" s="14">
        <v>2022</v>
      </c>
      <c r="K279" s="14">
        <v>9781665437868</v>
      </c>
      <c r="L279" s="18"/>
      <c r="M279" s="18"/>
      <c r="N279" s="17" t="s">
        <v>1805</v>
      </c>
      <c r="O279" s="14" t="s">
        <v>1806</v>
      </c>
      <c r="P279" s="14" t="s">
        <v>1807</v>
      </c>
      <c r="Q279" s="14" t="s">
        <v>289</v>
      </c>
      <c r="R279" s="18"/>
      <c r="S279" s="15"/>
      <c r="T279" s="15"/>
      <c r="U279" s="15"/>
      <c r="V279" s="15"/>
    </row>
    <row r="280" spans="1:22" x14ac:dyDescent="0.25">
      <c r="A280" s="14" t="s">
        <v>141</v>
      </c>
      <c r="B280" s="18"/>
      <c r="C280" s="14" t="s">
        <v>1808</v>
      </c>
      <c r="D280" s="18"/>
      <c r="E280" s="14">
        <v>2021</v>
      </c>
      <c r="F280" s="18"/>
      <c r="G280" s="18"/>
      <c r="H280" s="14" t="s">
        <v>1809</v>
      </c>
      <c r="I280" s="14" t="s">
        <v>257</v>
      </c>
      <c r="J280" s="14">
        <v>2021</v>
      </c>
      <c r="K280" s="14">
        <v>9781728187105</v>
      </c>
      <c r="L280" s="18"/>
      <c r="M280" s="18"/>
      <c r="N280" s="17" t="s">
        <v>1810</v>
      </c>
      <c r="O280" s="14" t="s">
        <v>1811</v>
      </c>
      <c r="P280" s="14" t="s">
        <v>1812</v>
      </c>
      <c r="Q280" s="14" t="s">
        <v>1813</v>
      </c>
      <c r="R280" s="18"/>
      <c r="S280" s="15"/>
      <c r="T280" s="15"/>
      <c r="U280" s="15"/>
      <c r="V280" s="15"/>
    </row>
    <row r="281" spans="1:22" x14ac:dyDescent="0.25">
      <c r="A281" s="14" t="s">
        <v>13</v>
      </c>
      <c r="B281" s="14" t="s">
        <v>1814</v>
      </c>
      <c r="C281" s="14" t="s">
        <v>1815</v>
      </c>
      <c r="D281" s="14" t="s">
        <v>136</v>
      </c>
      <c r="E281" s="14">
        <v>2021</v>
      </c>
      <c r="F281" s="14">
        <v>26</v>
      </c>
      <c r="G281" s="14">
        <v>6</v>
      </c>
      <c r="H281" s="18"/>
      <c r="I281" s="14" t="s">
        <v>137</v>
      </c>
      <c r="J281" s="14">
        <v>2021</v>
      </c>
      <c r="K281" s="18"/>
      <c r="L281" s="18"/>
      <c r="M281" s="14" t="s">
        <v>33</v>
      </c>
      <c r="N281" s="17" t="s">
        <v>1816</v>
      </c>
      <c r="O281" s="14" t="s">
        <v>1817</v>
      </c>
      <c r="P281" s="14" t="s">
        <v>1818</v>
      </c>
      <c r="Q281" s="14" t="s">
        <v>140</v>
      </c>
      <c r="R281" s="18"/>
      <c r="S281" s="15"/>
      <c r="T281" s="15"/>
      <c r="U281" s="15"/>
      <c r="V281" s="15"/>
    </row>
    <row r="282" spans="1:22" x14ac:dyDescent="0.25">
      <c r="A282" s="14" t="s">
        <v>141</v>
      </c>
      <c r="B282" s="14" t="s">
        <v>1819</v>
      </c>
      <c r="C282" s="14" t="s">
        <v>1820</v>
      </c>
      <c r="D282" s="18"/>
      <c r="E282" s="14">
        <v>2022</v>
      </c>
      <c r="F282" s="18"/>
      <c r="G282" s="18"/>
      <c r="H282" s="14" t="s">
        <v>1821</v>
      </c>
      <c r="I282" s="14" t="s">
        <v>257</v>
      </c>
      <c r="J282" s="14">
        <v>2022</v>
      </c>
      <c r="K282" s="14">
        <v>9789532331035</v>
      </c>
      <c r="L282" s="18"/>
      <c r="M282" s="18"/>
      <c r="N282" s="17" t="s">
        <v>1822</v>
      </c>
      <c r="O282" s="14" t="s">
        <v>1823</v>
      </c>
      <c r="P282" s="14" t="s">
        <v>1824</v>
      </c>
      <c r="Q282" s="14" t="s">
        <v>157</v>
      </c>
      <c r="R282" s="18"/>
      <c r="S282" s="15"/>
      <c r="T282" s="15"/>
      <c r="U282" s="15"/>
      <c r="V282" s="15"/>
    </row>
    <row r="283" spans="1:22" x14ac:dyDescent="0.25">
      <c r="A283" s="14" t="s">
        <v>13</v>
      </c>
      <c r="B283" s="14" t="s">
        <v>1825</v>
      </c>
      <c r="C283" s="14" t="s">
        <v>1826</v>
      </c>
      <c r="D283" s="14" t="s">
        <v>1827</v>
      </c>
      <c r="E283" s="14">
        <v>2022</v>
      </c>
      <c r="F283" s="14">
        <v>213</v>
      </c>
      <c r="G283" s="18"/>
      <c r="H283" s="18"/>
      <c r="I283" s="14" t="s">
        <v>280</v>
      </c>
      <c r="J283" s="14">
        <v>2022</v>
      </c>
      <c r="K283" s="18"/>
      <c r="L283" s="18"/>
      <c r="M283" s="14" t="s">
        <v>1828</v>
      </c>
      <c r="N283" s="17" t="s">
        <v>1829</v>
      </c>
      <c r="O283" s="14" t="s">
        <v>1830</v>
      </c>
      <c r="P283" s="14" t="s">
        <v>1831</v>
      </c>
      <c r="Q283" s="14" t="s">
        <v>520</v>
      </c>
      <c r="R283" s="18"/>
      <c r="S283" s="15"/>
      <c r="T283" s="15"/>
      <c r="U283" s="15"/>
      <c r="V283" s="15"/>
    </row>
    <row r="284" spans="1:22" x14ac:dyDescent="0.25">
      <c r="A284" s="14" t="s">
        <v>13</v>
      </c>
      <c r="B284" s="14" t="s">
        <v>1832</v>
      </c>
      <c r="C284" s="14" t="s">
        <v>1833</v>
      </c>
      <c r="D284" s="14" t="s">
        <v>209</v>
      </c>
      <c r="E284" s="14">
        <v>2022</v>
      </c>
      <c r="F284" s="14" t="s">
        <v>1834</v>
      </c>
      <c r="G284" s="18"/>
      <c r="H284" s="14" t="s">
        <v>1835</v>
      </c>
      <c r="I284" s="14" t="s">
        <v>212</v>
      </c>
      <c r="J284" s="14">
        <v>2022</v>
      </c>
      <c r="K284" s="18"/>
      <c r="L284" s="18"/>
      <c r="M284" s="14" t="s">
        <v>213</v>
      </c>
      <c r="N284" s="17" t="s">
        <v>1836</v>
      </c>
      <c r="O284" s="14" t="s">
        <v>1837</v>
      </c>
      <c r="P284" s="14" t="s">
        <v>1838</v>
      </c>
      <c r="Q284" s="14" t="s">
        <v>404</v>
      </c>
      <c r="R284" s="18"/>
      <c r="S284" s="15"/>
      <c r="T284" s="15"/>
      <c r="U284" s="15"/>
      <c r="V284" s="15"/>
    </row>
    <row r="285" spans="1:22" x14ac:dyDescent="0.25">
      <c r="A285" s="14" t="s">
        <v>13</v>
      </c>
      <c r="B285" s="14" t="s">
        <v>1839</v>
      </c>
      <c r="C285" s="14" t="s">
        <v>1840</v>
      </c>
      <c r="D285" s="14" t="s">
        <v>1306</v>
      </c>
      <c r="E285" s="14">
        <v>2022</v>
      </c>
      <c r="F285" s="14">
        <v>10</v>
      </c>
      <c r="G285" s="14">
        <v>1</v>
      </c>
      <c r="H285" s="18"/>
      <c r="I285" s="14" t="s">
        <v>228</v>
      </c>
      <c r="J285" s="14">
        <v>2022</v>
      </c>
      <c r="K285" s="18"/>
      <c r="L285" s="18"/>
      <c r="M285" s="14" t="s">
        <v>1307</v>
      </c>
      <c r="N285" s="17" t="s">
        <v>1841</v>
      </c>
      <c r="O285" s="14" t="s">
        <v>1842</v>
      </c>
      <c r="P285" s="14" t="s">
        <v>1843</v>
      </c>
      <c r="Q285" s="14" t="s">
        <v>1844</v>
      </c>
      <c r="R285" s="18"/>
      <c r="S285" s="15"/>
      <c r="T285" s="15"/>
      <c r="U285" s="15"/>
      <c r="V285" s="15"/>
    </row>
    <row r="286" spans="1:22" x14ac:dyDescent="0.25">
      <c r="A286" s="14" t="s">
        <v>13</v>
      </c>
      <c r="B286" s="14" t="s">
        <v>1784</v>
      </c>
      <c r="C286" s="14" t="s">
        <v>1845</v>
      </c>
      <c r="D286" s="14" t="s">
        <v>878</v>
      </c>
      <c r="E286" s="14">
        <v>2022</v>
      </c>
      <c r="F286" s="18"/>
      <c r="G286" s="18"/>
      <c r="H286" s="18"/>
      <c r="I286" s="14" t="s">
        <v>266</v>
      </c>
      <c r="J286" s="14">
        <v>2022</v>
      </c>
      <c r="K286" s="18"/>
      <c r="L286" s="18"/>
      <c r="M286" s="14" t="s">
        <v>879</v>
      </c>
      <c r="N286" s="17" t="s">
        <v>1846</v>
      </c>
      <c r="O286" s="14" t="s">
        <v>1847</v>
      </c>
      <c r="P286" s="14" t="s">
        <v>1848</v>
      </c>
      <c r="Q286" s="14" t="s">
        <v>404</v>
      </c>
      <c r="R286" s="18"/>
      <c r="S286" s="15"/>
      <c r="T286" s="15"/>
      <c r="U286" s="15"/>
      <c r="V286" s="15"/>
    </row>
    <row r="287" spans="1:22" x14ac:dyDescent="0.25">
      <c r="A287" s="14" t="s">
        <v>13</v>
      </c>
      <c r="B287" s="14" t="s">
        <v>352</v>
      </c>
      <c r="C287" s="14" t="s">
        <v>1849</v>
      </c>
      <c r="D287" s="14" t="s">
        <v>1850</v>
      </c>
      <c r="E287" s="14">
        <v>2021</v>
      </c>
      <c r="F287" s="14">
        <v>463</v>
      </c>
      <c r="G287" s="18"/>
      <c r="H287" s="14" t="s">
        <v>1851</v>
      </c>
      <c r="I287" s="14" t="s">
        <v>280</v>
      </c>
      <c r="J287" s="14">
        <v>2021</v>
      </c>
      <c r="K287" s="18"/>
      <c r="L287" s="18"/>
      <c r="M287" s="14" t="s">
        <v>1852</v>
      </c>
      <c r="N287" s="17" t="s">
        <v>1853</v>
      </c>
      <c r="O287" s="14" t="s">
        <v>1854</v>
      </c>
      <c r="P287" s="14" t="s">
        <v>1855</v>
      </c>
      <c r="Q287" s="14" t="s">
        <v>185</v>
      </c>
      <c r="R287" s="18"/>
      <c r="S287" s="15"/>
      <c r="T287" s="15"/>
      <c r="U287" s="15"/>
      <c r="V287" s="15"/>
    </row>
    <row r="288" spans="1:22" x14ac:dyDescent="0.25">
      <c r="A288" s="14" t="s">
        <v>141</v>
      </c>
      <c r="B288" s="14" t="s">
        <v>1856</v>
      </c>
      <c r="C288" s="14" t="s">
        <v>1857</v>
      </c>
      <c r="D288" s="18"/>
      <c r="E288" s="14">
        <v>2021</v>
      </c>
      <c r="F288" s="18"/>
      <c r="G288" s="18"/>
      <c r="H288" s="14" t="s">
        <v>1858</v>
      </c>
      <c r="I288" s="14" t="s">
        <v>145</v>
      </c>
      <c r="J288" s="14">
        <v>2021</v>
      </c>
      <c r="K288" s="14">
        <v>9781450390538</v>
      </c>
      <c r="L288" s="18"/>
      <c r="M288" s="18"/>
      <c r="N288" s="17" t="s">
        <v>1859</v>
      </c>
      <c r="O288" s="14" t="s">
        <v>1860</v>
      </c>
      <c r="P288" s="14" t="s">
        <v>1861</v>
      </c>
      <c r="Q288" s="14" t="s">
        <v>176</v>
      </c>
      <c r="R288" s="18"/>
      <c r="S288" s="15"/>
      <c r="T288" s="15"/>
      <c r="U288" s="15"/>
      <c r="V288" s="15"/>
    </row>
    <row r="289" spans="1:22" x14ac:dyDescent="0.25">
      <c r="A289" s="14" t="s">
        <v>141</v>
      </c>
      <c r="B289" s="14" t="s">
        <v>1862</v>
      </c>
      <c r="C289" s="14" t="s">
        <v>1863</v>
      </c>
      <c r="D289" s="18"/>
      <c r="E289" s="14">
        <v>2022</v>
      </c>
      <c r="F289" s="18"/>
      <c r="G289" s="18"/>
      <c r="H289" s="14" t="s">
        <v>1864</v>
      </c>
      <c r="I289" s="14" t="s">
        <v>196</v>
      </c>
      <c r="J289" s="14">
        <v>2022</v>
      </c>
      <c r="K289" s="14">
        <v>9781665495981</v>
      </c>
      <c r="L289" s="18"/>
      <c r="M289" s="14" t="s">
        <v>1458</v>
      </c>
      <c r="N289" s="17" t="s">
        <v>1865</v>
      </c>
      <c r="O289" s="14" t="s">
        <v>1866</v>
      </c>
      <c r="P289" s="14" t="s">
        <v>1867</v>
      </c>
      <c r="Q289" s="14" t="s">
        <v>157</v>
      </c>
      <c r="R289" s="18"/>
      <c r="S289" s="15"/>
      <c r="T289" s="15"/>
      <c r="U289" s="15"/>
      <c r="V289" s="15"/>
    </row>
    <row r="290" spans="1:22" x14ac:dyDescent="0.25">
      <c r="A290" s="14" t="s">
        <v>13</v>
      </c>
      <c r="B290" s="14" t="s">
        <v>1868</v>
      </c>
      <c r="C290" s="14" t="s">
        <v>1869</v>
      </c>
      <c r="D290" s="14" t="s">
        <v>1870</v>
      </c>
      <c r="E290" s="14">
        <v>2022</v>
      </c>
      <c r="F290" s="14" t="s">
        <v>1871</v>
      </c>
      <c r="G290" s="18"/>
      <c r="H290" s="14" t="s">
        <v>1872</v>
      </c>
      <c r="I290" s="14" t="s">
        <v>212</v>
      </c>
      <c r="J290" s="14">
        <v>2022</v>
      </c>
      <c r="K290" s="18"/>
      <c r="L290" s="18"/>
      <c r="M290" s="14" t="s">
        <v>1873</v>
      </c>
      <c r="N290" s="17" t="s">
        <v>1874</v>
      </c>
      <c r="O290" s="14" t="s">
        <v>1875</v>
      </c>
      <c r="P290" s="14" t="s">
        <v>1876</v>
      </c>
      <c r="Q290" s="14" t="s">
        <v>157</v>
      </c>
      <c r="R290" s="18"/>
      <c r="S290" s="15"/>
      <c r="T290" s="15"/>
      <c r="U290" s="15"/>
      <c r="V290" s="15"/>
    </row>
    <row r="291" spans="1:22" x14ac:dyDescent="0.25">
      <c r="A291" s="14" t="s">
        <v>13</v>
      </c>
      <c r="B291" s="14" t="s">
        <v>1877</v>
      </c>
      <c r="C291" s="14" t="s">
        <v>1878</v>
      </c>
      <c r="D291" s="14" t="s">
        <v>136</v>
      </c>
      <c r="E291" s="14">
        <v>2021</v>
      </c>
      <c r="F291" s="14">
        <v>26</v>
      </c>
      <c r="G291" s="14">
        <v>6</v>
      </c>
      <c r="H291" s="18"/>
      <c r="I291" s="14" t="s">
        <v>137</v>
      </c>
      <c r="J291" s="14">
        <v>2021</v>
      </c>
      <c r="K291" s="18"/>
      <c r="L291" s="18"/>
      <c r="M291" s="14" t="s">
        <v>33</v>
      </c>
      <c r="N291" s="17" t="s">
        <v>1879</v>
      </c>
      <c r="O291" s="14" t="s">
        <v>1880</v>
      </c>
      <c r="P291" s="14" t="s">
        <v>1881</v>
      </c>
      <c r="Q291" s="14" t="s">
        <v>1094</v>
      </c>
      <c r="R291" s="18"/>
      <c r="S291" s="15"/>
      <c r="T291" s="15"/>
      <c r="U291" s="15"/>
      <c r="V291" s="15"/>
    </row>
    <row r="292" spans="1:22" x14ac:dyDescent="0.25">
      <c r="A292" s="14" t="s">
        <v>13</v>
      </c>
      <c r="B292" s="14" t="s">
        <v>1882</v>
      </c>
      <c r="C292" s="14" t="s">
        <v>1883</v>
      </c>
      <c r="D292" s="14" t="s">
        <v>328</v>
      </c>
      <c r="E292" s="14">
        <v>2021</v>
      </c>
      <c r="F292" s="14">
        <v>30</v>
      </c>
      <c r="G292" s="14">
        <v>4</v>
      </c>
      <c r="H292" s="18"/>
      <c r="I292" s="14" t="s">
        <v>145</v>
      </c>
      <c r="J292" s="14">
        <v>2021</v>
      </c>
      <c r="K292" s="18"/>
      <c r="L292" s="18"/>
      <c r="M292" s="14" t="s">
        <v>329</v>
      </c>
      <c r="N292" s="17" t="s">
        <v>1884</v>
      </c>
      <c r="O292" s="14" t="s">
        <v>1885</v>
      </c>
      <c r="P292" s="14" t="s">
        <v>1886</v>
      </c>
      <c r="Q292" s="14" t="s">
        <v>1887</v>
      </c>
      <c r="R292" s="18"/>
      <c r="S292" s="15"/>
      <c r="T292" s="15"/>
      <c r="U292" s="15"/>
      <c r="V292" s="15"/>
    </row>
    <row r="293" spans="1:22" x14ac:dyDescent="0.25">
      <c r="A293" s="14" t="s">
        <v>141</v>
      </c>
      <c r="B293" s="14" t="s">
        <v>1888</v>
      </c>
      <c r="C293" s="14" t="s">
        <v>1889</v>
      </c>
      <c r="D293" s="18"/>
      <c r="E293" s="14">
        <v>2022</v>
      </c>
      <c r="F293" s="18"/>
      <c r="G293" s="18"/>
      <c r="H293" s="14" t="s">
        <v>1890</v>
      </c>
      <c r="I293" s="14" t="s">
        <v>257</v>
      </c>
      <c r="J293" s="14">
        <v>2022</v>
      </c>
      <c r="K293" s="14">
        <v>9781665481045</v>
      </c>
      <c r="L293" s="18"/>
      <c r="M293" s="18"/>
      <c r="N293" s="17" t="s">
        <v>1891</v>
      </c>
      <c r="O293" s="14" t="s">
        <v>1892</v>
      </c>
      <c r="P293" s="14" t="s">
        <v>1893</v>
      </c>
      <c r="Q293" s="14" t="s">
        <v>157</v>
      </c>
      <c r="R293" s="18"/>
      <c r="S293" s="15"/>
      <c r="T293" s="15"/>
      <c r="U293" s="15"/>
      <c r="V293" s="15"/>
    </row>
    <row r="294" spans="1:22" x14ac:dyDescent="0.25">
      <c r="A294" s="14" t="s">
        <v>13</v>
      </c>
      <c r="B294" s="14" t="s">
        <v>1894</v>
      </c>
      <c r="C294" s="14" t="s">
        <v>1895</v>
      </c>
      <c r="D294" s="14" t="s">
        <v>1896</v>
      </c>
      <c r="E294" s="14">
        <v>2021</v>
      </c>
      <c r="F294" s="14">
        <v>27</v>
      </c>
      <c r="G294" s="14">
        <v>2</v>
      </c>
      <c r="H294" s="14" t="s">
        <v>1897</v>
      </c>
      <c r="I294" s="14" t="s">
        <v>1898</v>
      </c>
      <c r="J294" s="14">
        <v>2021</v>
      </c>
      <c r="K294" s="18"/>
      <c r="L294" s="18"/>
      <c r="M294" s="14" t="s">
        <v>1899</v>
      </c>
      <c r="N294" s="17" t="s">
        <v>1900</v>
      </c>
      <c r="O294" s="14" t="s">
        <v>1901</v>
      </c>
      <c r="P294" s="14" t="s">
        <v>1902</v>
      </c>
      <c r="Q294" s="14" t="s">
        <v>318</v>
      </c>
      <c r="R294" s="18"/>
      <c r="S294" s="15"/>
      <c r="T294" s="15"/>
      <c r="U294" s="15"/>
      <c r="V294" s="15"/>
    </row>
    <row r="295" spans="1:22" x14ac:dyDescent="0.25">
      <c r="A295" s="14" t="s">
        <v>141</v>
      </c>
      <c r="B295" s="14" t="s">
        <v>1903</v>
      </c>
      <c r="C295" s="14" t="s">
        <v>1904</v>
      </c>
      <c r="D295" s="18"/>
      <c r="E295" s="14">
        <v>2021</v>
      </c>
      <c r="F295" s="18"/>
      <c r="G295" s="18"/>
      <c r="H295" s="14" t="s">
        <v>1905</v>
      </c>
      <c r="I295" s="14" t="s">
        <v>196</v>
      </c>
      <c r="J295" s="14">
        <v>2021</v>
      </c>
      <c r="K295" s="14">
        <v>9780738113197</v>
      </c>
      <c r="L295" s="18"/>
      <c r="M295" s="14" t="s">
        <v>1458</v>
      </c>
      <c r="N295" s="17" t="s">
        <v>1906</v>
      </c>
      <c r="O295" s="14" t="s">
        <v>1907</v>
      </c>
      <c r="P295" s="14" t="s">
        <v>1908</v>
      </c>
      <c r="Q295" s="14" t="s">
        <v>1598</v>
      </c>
      <c r="R295" s="18"/>
      <c r="S295" s="15"/>
      <c r="T295" s="15"/>
      <c r="U295" s="15"/>
      <c r="V295" s="15"/>
    </row>
    <row r="296" spans="1:22" x14ac:dyDescent="0.25">
      <c r="A296" s="14" t="s">
        <v>141</v>
      </c>
      <c r="B296" s="14" t="s">
        <v>1909</v>
      </c>
      <c r="C296" s="14" t="s">
        <v>1910</v>
      </c>
      <c r="D296" s="18"/>
      <c r="E296" s="14">
        <v>2022</v>
      </c>
      <c r="F296" s="18"/>
      <c r="G296" s="18"/>
      <c r="H296" s="14" t="s">
        <v>1911</v>
      </c>
      <c r="I296" s="14" t="s">
        <v>257</v>
      </c>
      <c r="J296" s="14">
        <v>2022</v>
      </c>
      <c r="K296" s="14">
        <v>9781450393195</v>
      </c>
      <c r="L296" s="18"/>
      <c r="M296" s="18"/>
      <c r="N296" s="17" t="s">
        <v>1912</v>
      </c>
      <c r="O296" s="14" t="s">
        <v>1913</v>
      </c>
      <c r="P296" s="14" t="s">
        <v>1914</v>
      </c>
      <c r="Q296" s="14" t="s">
        <v>318</v>
      </c>
      <c r="R296" s="18"/>
      <c r="S296" s="15"/>
      <c r="T296" s="15"/>
      <c r="U296" s="15"/>
      <c r="V296" s="15"/>
    </row>
    <row r="297" spans="1:22" x14ac:dyDescent="0.25">
      <c r="A297" s="14" t="s">
        <v>141</v>
      </c>
      <c r="B297" s="14" t="s">
        <v>1915</v>
      </c>
      <c r="C297" s="14" t="s">
        <v>1916</v>
      </c>
      <c r="D297" s="18"/>
      <c r="E297" s="14">
        <v>2021</v>
      </c>
      <c r="F297" s="18"/>
      <c r="G297" s="18"/>
      <c r="H297" s="14" t="s">
        <v>1917</v>
      </c>
      <c r="I297" s="14" t="s">
        <v>153</v>
      </c>
      <c r="J297" s="14">
        <v>2021</v>
      </c>
      <c r="K297" s="14">
        <v>9781450391122</v>
      </c>
      <c r="L297" s="18"/>
      <c r="M297" s="18"/>
      <c r="N297" s="17" t="s">
        <v>1918</v>
      </c>
      <c r="O297" s="14" t="s">
        <v>1919</v>
      </c>
      <c r="P297" s="14" t="s">
        <v>1920</v>
      </c>
      <c r="Q297" s="14" t="s">
        <v>1813</v>
      </c>
      <c r="R297" s="18"/>
      <c r="S297" s="15"/>
      <c r="T297" s="15"/>
      <c r="U297" s="15"/>
      <c r="V297" s="15"/>
    </row>
    <row r="298" spans="1:22" x14ac:dyDescent="0.25">
      <c r="A298" s="14" t="s">
        <v>13</v>
      </c>
      <c r="B298" s="14" t="s">
        <v>1921</v>
      </c>
      <c r="C298" s="14" t="s">
        <v>1922</v>
      </c>
      <c r="D298" s="14" t="s">
        <v>668</v>
      </c>
      <c r="E298" s="14">
        <v>2022</v>
      </c>
      <c r="F298" s="14">
        <v>10</v>
      </c>
      <c r="G298" s="18"/>
      <c r="H298" s="14" t="s">
        <v>1923</v>
      </c>
      <c r="I298" s="14" t="s">
        <v>257</v>
      </c>
      <c r="J298" s="14">
        <v>2022</v>
      </c>
      <c r="K298" s="18"/>
      <c r="L298" s="18"/>
      <c r="M298" s="14" t="s">
        <v>670</v>
      </c>
      <c r="N298" s="17" t="s">
        <v>1924</v>
      </c>
      <c r="O298" s="14" t="s">
        <v>1925</v>
      </c>
      <c r="P298" s="14" t="s">
        <v>1926</v>
      </c>
      <c r="Q298" s="14" t="s">
        <v>447</v>
      </c>
      <c r="R298" s="18"/>
      <c r="S298" s="15"/>
      <c r="T298" s="15"/>
      <c r="U298" s="15"/>
      <c r="V298" s="15"/>
    </row>
    <row r="299" spans="1:22" x14ac:dyDescent="0.25">
      <c r="A299" s="14" t="s">
        <v>13</v>
      </c>
      <c r="B299" s="14" t="s">
        <v>22</v>
      </c>
      <c r="C299" s="14" t="s">
        <v>23</v>
      </c>
      <c r="D299" s="14" t="s">
        <v>1927</v>
      </c>
      <c r="E299" s="14">
        <v>2022</v>
      </c>
      <c r="F299" s="14">
        <v>16</v>
      </c>
      <c r="G299" s="14">
        <v>5</v>
      </c>
      <c r="H299" s="18"/>
      <c r="I299" s="14" t="s">
        <v>1714</v>
      </c>
      <c r="J299" s="14">
        <v>2022</v>
      </c>
      <c r="K299" s="18"/>
      <c r="L299" s="18"/>
      <c r="M299" s="14" t="s">
        <v>26</v>
      </c>
      <c r="N299" s="17" t="s">
        <v>1928</v>
      </c>
      <c r="O299" s="14" t="s">
        <v>28</v>
      </c>
      <c r="P299" s="14" t="s">
        <v>1929</v>
      </c>
      <c r="Q299" s="14" t="s">
        <v>1930</v>
      </c>
      <c r="R299" s="18"/>
      <c r="S299" s="15"/>
      <c r="T299" s="15"/>
      <c r="U299" s="15"/>
      <c r="V299" s="15"/>
    </row>
    <row r="300" spans="1:22" x14ac:dyDescent="0.25">
      <c r="A300" s="14" t="s">
        <v>539</v>
      </c>
      <c r="B300" s="14" t="s">
        <v>1931</v>
      </c>
      <c r="C300" s="14" t="s">
        <v>1932</v>
      </c>
      <c r="D300" s="18"/>
      <c r="E300" s="14">
        <v>2021</v>
      </c>
      <c r="F300" s="18"/>
      <c r="G300" s="18"/>
      <c r="H300" s="18"/>
      <c r="I300" s="14" t="s">
        <v>1465</v>
      </c>
      <c r="J300" s="14">
        <v>2021</v>
      </c>
      <c r="K300" s="14">
        <v>9781799869863</v>
      </c>
      <c r="L300" s="14">
        <v>9781799869856</v>
      </c>
      <c r="M300" s="18"/>
      <c r="N300" s="17" t="s">
        <v>1933</v>
      </c>
      <c r="O300" s="14" t="s">
        <v>1934</v>
      </c>
      <c r="P300" s="14" t="s">
        <v>1935</v>
      </c>
      <c r="Q300" s="14" t="s">
        <v>176</v>
      </c>
      <c r="R300" s="14" t="s">
        <v>1936</v>
      </c>
      <c r="S300" s="15"/>
      <c r="T300" s="15"/>
      <c r="U300" s="15"/>
      <c r="V300" s="15"/>
    </row>
    <row r="301" spans="1:22" x14ac:dyDescent="0.25">
      <c r="A301" s="14" t="s">
        <v>141</v>
      </c>
      <c r="B301" s="14" t="s">
        <v>1937</v>
      </c>
      <c r="C301" s="14" t="s">
        <v>1938</v>
      </c>
      <c r="D301" s="18"/>
      <c r="E301" s="14">
        <v>2022</v>
      </c>
      <c r="F301" s="18"/>
      <c r="G301" s="18"/>
      <c r="H301" s="14" t="s">
        <v>1939</v>
      </c>
      <c r="I301" s="14" t="s">
        <v>196</v>
      </c>
      <c r="J301" s="14">
        <v>2022</v>
      </c>
      <c r="K301" s="14">
        <v>9781665495981</v>
      </c>
      <c r="L301" s="18"/>
      <c r="M301" s="14" t="s">
        <v>1458</v>
      </c>
      <c r="N301" s="17" t="s">
        <v>1940</v>
      </c>
      <c r="O301" s="14" t="s">
        <v>1941</v>
      </c>
      <c r="P301" s="14" t="s">
        <v>1942</v>
      </c>
      <c r="Q301" s="14" t="s">
        <v>404</v>
      </c>
      <c r="R301" s="18"/>
      <c r="S301" s="15"/>
      <c r="T301" s="15"/>
      <c r="U301" s="15"/>
      <c r="V301" s="15"/>
    </row>
    <row r="302" spans="1:22" x14ac:dyDescent="0.25">
      <c r="A302" s="14" t="s">
        <v>13</v>
      </c>
      <c r="B302" s="14" t="s">
        <v>1943</v>
      </c>
      <c r="C302" s="14" t="s">
        <v>1944</v>
      </c>
      <c r="D302" s="14" t="s">
        <v>1306</v>
      </c>
      <c r="E302" s="14">
        <v>2021</v>
      </c>
      <c r="F302" s="14">
        <v>9</v>
      </c>
      <c r="G302" s="14">
        <v>10</v>
      </c>
      <c r="H302" s="18"/>
      <c r="I302" s="14" t="s">
        <v>228</v>
      </c>
      <c r="J302" s="14">
        <v>2021</v>
      </c>
      <c r="K302" s="18"/>
      <c r="L302" s="18"/>
      <c r="M302" s="14" t="s">
        <v>1307</v>
      </c>
      <c r="N302" s="17" t="s">
        <v>1945</v>
      </c>
      <c r="O302" s="14" t="s">
        <v>1946</v>
      </c>
      <c r="P302" s="14" t="s">
        <v>1947</v>
      </c>
      <c r="Q302" s="14" t="s">
        <v>1948</v>
      </c>
      <c r="R302" s="18"/>
      <c r="S302" s="15"/>
      <c r="T302" s="15"/>
      <c r="U302" s="15"/>
      <c r="V302" s="15"/>
    </row>
    <row r="303" spans="1:22" x14ac:dyDescent="0.25">
      <c r="A303" s="14" t="s">
        <v>141</v>
      </c>
      <c r="B303" s="14" t="s">
        <v>1949</v>
      </c>
      <c r="C303" s="14" t="s">
        <v>1950</v>
      </c>
      <c r="D303" s="18"/>
      <c r="E303" s="14">
        <v>2022</v>
      </c>
      <c r="F303" s="18"/>
      <c r="G303" s="18"/>
      <c r="H303" s="14" t="s">
        <v>1951</v>
      </c>
      <c r="I303" s="14" t="s">
        <v>257</v>
      </c>
      <c r="J303" s="14">
        <v>2022</v>
      </c>
      <c r="K303" s="14">
        <v>9781665408165</v>
      </c>
      <c r="L303" s="18"/>
      <c r="M303" s="18"/>
      <c r="N303" s="17" t="s">
        <v>1952</v>
      </c>
      <c r="O303" s="14" t="s">
        <v>1953</v>
      </c>
      <c r="P303" s="14" t="s">
        <v>1954</v>
      </c>
      <c r="Q303" s="14" t="s">
        <v>157</v>
      </c>
      <c r="R303" s="18"/>
      <c r="S303" s="15"/>
      <c r="T303" s="15"/>
      <c r="U303" s="15"/>
      <c r="V303" s="15"/>
    </row>
    <row r="304" spans="1:22" x14ac:dyDescent="0.25">
      <c r="A304" s="14" t="s">
        <v>141</v>
      </c>
      <c r="B304" s="14" t="s">
        <v>1955</v>
      </c>
      <c r="C304" s="14" t="s">
        <v>1956</v>
      </c>
      <c r="D304" s="18"/>
      <c r="E304" s="14">
        <v>2021</v>
      </c>
      <c r="F304" s="18"/>
      <c r="G304" s="18"/>
      <c r="H304" s="14" t="s">
        <v>750</v>
      </c>
      <c r="I304" s="14" t="s">
        <v>153</v>
      </c>
      <c r="J304" s="14">
        <v>2021</v>
      </c>
      <c r="K304" s="14">
        <v>9781450386258</v>
      </c>
      <c r="L304" s="18"/>
      <c r="M304" s="18"/>
      <c r="N304" s="17" t="s">
        <v>1957</v>
      </c>
      <c r="O304" s="14" t="s">
        <v>1958</v>
      </c>
      <c r="P304" s="14" t="s">
        <v>1959</v>
      </c>
      <c r="Q304" s="14" t="s">
        <v>185</v>
      </c>
      <c r="R304" s="18"/>
      <c r="S304" s="15"/>
      <c r="T304" s="15"/>
      <c r="U304" s="15"/>
      <c r="V304" s="15"/>
    </row>
    <row r="305" spans="1:22" x14ac:dyDescent="0.25">
      <c r="A305" s="14" t="s">
        <v>141</v>
      </c>
      <c r="B305" s="14" t="s">
        <v>1960</v>
      </c>
      <c r="C305" s="14" t="s">
        <v>1961</v>
      </c>
      <c r="D305" s="18"/>
      <c r="E305" s="14">
        <v>2021</v>
      </c>
      <c r="F305" s="18"/>
      <c r="G305" s="18"/>
      <c r="H305" s="18"/>
      <c r="I305" s="14" t="s">
        <v>257</v>
      </c>
      <c r="J305" s="14">
        <v>2021</v>
      </c>
      <c r="K305" s="14">
        <v>9781728172897</v>
      </c>
      <c r="L305" s="18"/>
      <c r="M305" s="18"/>
      <c r="N305" s="17" t="s">
        <v>1962</v>
      </c>
      <c r="O305" s="14" t="s">
        <v>1963</v>
      </c>
      <c r="P305" s="14" t="s">
        <v>1964</v>
      </c>
      <c r="Q305" s="14" t="s">
        <v>289</v>
      </c>
      <c r="R305" s="18"/>
      <c r="S305" s="15"/>
      <c r="T305" s="15"/>
      <c r="U305" s="15"/>
      <c r="V305" s="15"/>
    </row>
    <row r="306" spans="1:22" x14ac:dyDescent="0.25">
      <c r="A306" s="14" t="s">
        <v>141</v>
      </c>
      <c r="B306" s="14" t="s">
        <v>1965</v>
      </c>
      <c r="C306" s="14" t="s">
        <v>1966</v>
      </c>
      <c r="D306" s="18"/>
      <c r="E306" s="14">
        <v>2022</v>
      </c>
      <c r="F306" s="18"/>
      <c r="G306" s="18"/>
      <c r="H306" s="14" t="s">
        <v>1967</v>
      </c>
      <c r="I306" s="14" t="s">
        <v>257</v>
      </c>
      <c r="J306" s="14">
        <v>2022</v>
      </c>
      <c r="K306" s="14">
        <v>9781665437868</v>
      </c>
      <c r="L306" s="18"/>
      <c r="M306" s="18"/>
      <c r="N306" s="17" t="s">
        <v>1968</v>
      </c>
      <c r="O306" s="14" t="s">
        <v>1969</v>
      </c>
      <c r="P306" s="14" t="s">
        <v>1970</v>
      </c>
      <c r="Q306" s="14" t="s">
        <v>157</v>
      </c>
      <c r="R306" s="18"/>
      <c r="S306" s="15"/>
      <c r="T306" s="15"/>
      <c r="U306" s="15"/>
      <c r="V306" s="15"/>
    </row>
    <row r="307" spans="1:22" x14ac:dyDescent="0.25">
      <c r="A307" s="14" t="s">
        <v>13</v>
      </c>
      <c r="B307" s="14" t="s">
        <v>1971</v>
      </c>
      <c r="C307" s="14" t="s">
        <v>1972</v>
      </c>
      <c r="D307" s="14" t="s">
        <v>1927</v>
      </c>
      <c r="E307" s="14">
        <v>2022</v>
      </c>
      <c r="F307" s="14">
        <v>16</v>
      </c>
      <c r="G307" s="14">
        <v>5</v>
      </c>
      <c r="H307" s="18"/>
      <c r="I307" s="14" t="s">
        <v>1714</v>
      </c>
      <c r="J307" s="14">
        <v>2022</v>
      </c>
      <c r="K307" s="18"/>
      <c r="L307" s="18"/>
      <c r="M307" s="14" t="s">
        <v>26</v>
      </c>
      <c r="N307" s="17" t="s">
        <v>1973</v>
      </c>
      <c r="O307" s="14" t="s">
        <v>1974</v>
      </c>
      <c r="P307" s="18"/>
      <c r="Q307" s="14" t="s">
        <v>387</v>
      </c>
      <c r="R307" s="18"/>
      <c r="S307" s="15"/>
      <c r="T307" s="15"/>
      <c r="U307" s="15"/>
      <c r="V307" s="15"/>
    </row>
    <row r="308" spans="1:22" x14ac:dyDescent="0.25">
      <c r="A308" s="14" t="s">
        <v>141</v>
      </c>
      <c r="B308" s="14" t="s">
        <v>1975</v>
      </c>
      <c r="C308" s="14" t="s">
        <v>1976</v>
      </c>
      <c r="D308" s="18"/>
      <c r="E308" s="14">
        <v>2021</v>
      </c>
      <c r="F308" s="18"/>
      <c r="G308" s="18"/>
      <c r="H308" s="14" t="s">
        <v>1977</v>
      </c>
      <c r="I308" s="14" t="s">
        <v>153</v>
      </c>
      <c r="J308" s="14">
        <v>2021</v>
      </c>
      <c r="K308" s="14">
        <v>9781450384681</v>
      </c>
      <c r="L308" s="18"/>
      <c r="M308" s="18"/>
      <c r="N308" s="17" t="s">
        <v>1978</v>
      </c>
      <c r="O308" s="14" t="s">
        <v>1979</v>
      </c>
      <c r="P308" s="14" t="s">
        <v>1980</v>
      </c>
      <c r="Q308" s="14" t="s">
        <v>176</v>
      </c>
      <c r="R308" s="18"/>
      <c r="S308" s="15"/>
      <c r="T308" s="15"/>
      <c r="U308" s="15"/>
      <c r="V308" s="15"/>
    </row>
    <row r="309" spans="1:22" x14ac:dyDescent="0.25">
      <c r="A309" s="14" t="s">
        <v>141</v>
      </c>
      <c r="B309" s="14" t="s">
        <v>1981</v>
      </c>
      <c r="C309" s="14" t="s">
        <v>1982</v>
      </c>
      <c r="D309" s="18"/>
      <c r="E309" s="14">
        <v>2022</v>
      </c>
      <c r="F309" s="18"/>
      <c r="G309" s="18"/>
      <c r="H309" s="14" t="s">
        <v>1983</v>
      </c>
      <c r="I309" s="14" t="s">
        <v>257</v>
      </c>
      <c r="J309" s="14">
        <v>2022</v>
      </c>
      <c r="K309" s="14">
        <v>9781450393034</v>
      </c>
      <c r="L309" s="18"/>
      <c r="M309" s="18"/>
      <c r="N309" s="17" t="s">
        <v>1984</v>
      </c>
      <c r="O309" s="14" t="s">
        <v>1985</v>
      </c>
      <c r="P309" s="14" t="s">
        <v>1986</v>
      </c>
      <c r="Q309" s="14" t="s">
        <v>149</v>
      </c>
      <c r="R309" s="18"/>
      <c r="S309" s="15"/>
      <c r="T309" s="15"/>
      <c r="U309" s="15"/>
      <c r="V309" s="15"/>
    </row>
    <row r="310" spans="1:22" x14ac:dyDescent="0.25">
      <c r="A310" s="14" t="s">
        <v>141</v>
      </c>
      <c r="B310" s="14" t="s">
        <v>1987</v>
      </c>
      <c r="C310" s="14" t="s">
        <v>1988</v>
      </c>
      <c r="D310" s="18"/>
      <c r="E310" s="14">
        <v>2021</v>
      </c>
      <c r="F310" s="18"/>
      <c r="G310" s="18"/>
      <c r="H310" s="14" t="s">
        <v>1659</v>
      </c>
      <c r="I310" s="14" t="s">
        <v>145</v>
      </c>
      <c r="J310" s="14">
        <v>2021</v>
      </c>
      <c r="K310" s="14">
        <v>9781450390613</v>
      </c>
      <c r="L310" s="18"/>
      <c r="M310" s="18"/>
      <c r="N310" s="17" t="s">
        <v>1989</v>
      </c>
      <c r="O310" s="14" t="s">
        <v>1990</v>
      </c>
      <c r="P310" s="14" t="s">
        <v>1991</v>
      </c>
      <c r="Q310" s="14" t="s">
        <v>404</v>
      </c>
      <c r="R310" s="18"/>
      <c r="S310" s="15"/>
      <c r="T310" s="15"/>
      <c r="U310" s="15"/>
      <c r="V310" s="15"/>
    </row>
    <row r="311" spans="1:22" x14ac:dyDescent="0.25">
      <c r="A311" s="14" t="s">
        <v>13</v>
      </c>
      <c r="B311" s="14" t="s">
        <v>1992</v>
      </c>
      <c r="C311" s="14" t="s">
        <v>1993</v>
      </c>
      <c r="D311" s="14" t="s">
        <v>1033</v>
      </c>
      <c r="E311" s="14">
        <v>2021</v>
      </c>
      <c r="F311" s="14">
        <v>46</v>
      </c>
      <c r="G311" s="14">
        <v>9</v>
      </c>
      <c r="H311" s="14" t="s">
        <v>1994</v>
      </c>
      <c r="I311" s="14" t="s">
        <v>212</v>
      </c>
      <c r="J311" s="14">
        <v>2021</v>
      </c>
      <c r="K311" s="18"/>
      <c r="L311" s="18"/>
      <c r="M311" s="14" t="s">
        <v>1035</v>
      </c>
      <c r="N311" s="17" t="s">
        <v>1995</v>
      </c>
      <c r="O311" s="14" t="s">
        <v>1996</v>
      </c>
      <c r="P311" s="14" t="s">
        <v>1997</v>
      </c>
      <c r="Q311" s="14" t="s">
        <v>318</v>
      </c>
      <c r="R311" s="18"/>
      <c r="S311" s="15"/>
      <c r="T311" s="15"/>
      <c r="U311" s="15"/>
      <c r="V311" s="15"/>
    </row>
    <row r="312" spans="1:22" x14ac:dyDescent="0.25">
      <c r="A312" s="14" t="s">
        <v>13</v>
      </c>
      <c r="B312" s="14" t="s">
        <v>1998</v>
      </c>
      <c r="C312" s="14" t="s">
        <v>1999</v>
      </c>
      <c r="D312" s="14" t="s">
        <v>878</v>
      </c>
      <c r="E312" s="14">
        <v>2021</v>
      </c>
      <c r="F312" s="14">
        <v>33</v>
      </c>
      <c r="G312" s="14">
        <v>12</v>
      </c>
      <c r="H312" s="18"/>
      <c r="I312" s="14" t="s">
        <v>266</v>
      </c>
      <c r="J312" s="14">
        <v>2021</v>
      </c>
      <c r="K312" s="18"/>
      <c r="L312" s="18"/>
      <c r="M312" s="14" t="s">
        <v>879</v>
      </c>
      <c r="N312" s="17" t="s">
        <v>2000</v>
      </c>
      <c r="O312" s="14" t="s">
        <v>2001</v>
      </c>
      <c r="P312" s="14" t="s">
        <v>2002</v>
      </c>
      <c r="Q312" s="14" t="s">
        <v>157</v>
      </c>
      <c r="R312" s="18"/>
      <c r="S312" s="15"/>
      <c r="T312" s="15"/>
      <c r="U312" s="15"/>
      <c r="V312" s="15"/>
    </row>
    <row r="313" spans="1:22" x14ac:dyDescent="0.25">
      <c r="A313" s="14" t="s">
        <v>13</v>
      </c>
      <c r="B313" s="14" t="s">
        <v>2003</v>
      </c>
      <c r="C313" s="14" t="s">
        <v>2004</v>
      </c>
      <c r="D313" s="14" t="s">
        <v>1285</v>
      </c>
      <c r="E313" s="14">
        <v>2021</v>
      </c>
      <c r="F313" s="14">
        <v>5</v>
      </c>
      <c r="G313" s="14" t="s">
        <v>2005</v>
      </c>
      <c r="H313" s="18"/>
      <c r="I313" s="14" t="s">
        <v>145</v>
      </c>
      <c r="J313" s="14">
        <v>2021</v>
      </c>
      <c r="K313" s="18"/>
      <c r="L313" s="18"/>
      <c r="M313" s="14" t="s">
        <v>1287</v>
      </c>
      <c r="N313" s="17" t="s">
        <v>2006</v>
      </c>
      <c r="O313" s="14" t="s">
        <v>2007</v>
      </c>
      <c r="P313" s="14" t="s">
        <v>2008</v>
      </c>
      <c r="Q313" s="14" t="s">
        <v>387</v>
      </c>
      <c r="R313" s="18"/>
      <c r="S313" s="15"/>
      <c r="T313" s="15"/>
      <c r="U313" s="15"/>
      <c r="V313" s="15"/>
    </row>
    <row r="314" spans="1:22" x14ac:dyDescent="0.25">
      <c r="A314" s="14" t="s">
        <v>13</v>
      </c>
      <c r="B314" s="14" t="s">
        <v>2009</v>
      </c>
      <c r="C314" s="14" t="s">
        <v>2010</v>
      </c>
      <c r="D314" s="14" t="s">
        <v>2011</v>
      </c>
      <c r="E314" s="14">
        <v>2021</v>
      </c>
      <c r="F314" s="14">
        <v>5</v>
      </c>
      <c r="G314" s="14">
        <v>4</v>
      </c>
      <c r="H314" s="18"/>
      <c r="I314" s="14" t="s">
        <v>145</v>
      </c>
      <c r="J314" s="14">
        <v>2021</v>
      </c>
      <c r="K314" s="18"/>
      <c r="L314" s="18"/>
      <c r="M314" s="14" t="s">
        <v>2012</v>
      </c>
      <c r="N314" s="17" t="s">
        <v>2013</v>
      </c>
      <c r="O314" s="14" t="s">
        <v>2014</v>
      </c>
      <c r="P314" s="14" t="s">
        <v>2015</v>
      </c>
      <c r="Q314" s="14" t="s">
        <v>1813</v>
      </c>
      <c r="R314" s="18"/>
      <c r="S314" s="15"/>
      <c r="T314" s="15"/>
      <c r="U314" s="15"/>
      <c r="V314" s="15"/>
    </row>
    <row r="315" spans="1:22" x14ac:dyDescent="0.25">
      <c r="A315" s="14" t="s">
        <v>141</v>
      </c>
      <c r="B315" s="14" t="s">
        <v>2016</v>
      </c>
      <c r="C315" s="14" t="s">
        <v>2017</v>
      </c>
      <c r="D315" s="18"/>
      <c r="E315" s="14">
        <v>2021</v>
      </c>
      <c r="F315" s="18"/>
      <c r="G315" s="18"/>
      <c r="H315" s="14" t="s">
        <v>2018</v>
      </c>
      <c r="I315" s="14" t="s">
        <v>145</v>
      </c>
      <c r="J315" s="14">
        <v>2021</v>
      </c>
      <c r="K315" s="14">
        <v>9781450390538</v>
      </c>
      <c r="L315" s="18"/>
      <c r="M315" s="18"/>
      <c r="N315" s="17" t="s">
        <v>2019</v>
      </c>
      <c r="O315" s="14" t="s">
        <v>2020</v>
      </c>
      <c r="P315" s="14" t="s">
        <v>2021</v>
      </c>
      <c r="Q315" s="14" t="s">
        <v>404</v>
      </c>
      <c r="R315" s="18"/>
      <c r="S315" s="15"/>
      <c r="T315" s="15"/>
      <c r="U315" s="15"/>
      <c r="V315" s="15"/>
    </row>
    <row r="316" spans="1:22" x14ac:dyDescent="0.25">
      <c r="A316" s="14" t="s">
        <v>13</v>
      </c>
      <c r="B316" s="14" t="s">
        <v>2022</v>
      </c>
      <c r="C316" s="14" t="s">
        <v>2023</v>
      </c>
      <c r="D316" s="14" t="s">
        <v>2024</v>
      </c>
      <c r="E316" s="14">
        <v>2022</v>
      </c>
      <c r="F316" s="14">
        <v>18</v>
      </c>
      <c r="G316" s="14">
        <v>2</v>
      </c>
      <c r="H316" s="14" t="s">
        <v>2025</v>
      </c>
      <c r="I316" s="14" t="s">
        <v>2026</v>
      </c>
      <c r="J316" s="14">
        <v>2022</v>
      </c>
      <c r="K316" s="18"/>
      <c r="L316" s="18"/>
      <c r="M316" s="14" t="s">
        <v>2027</v>
      </c>
      <c r="N316" s="17" t="s">
        <v>2028</v>
      </c>
      <c r="O316" s="14" t="s">
        <v>2029</v>
      </c>
      <c r="P316" s="14" t="s">
        <v>2030</v>
      </c>
      <c r="Q316" s="14" t="s">
        <v>896</v>
      </c>
      <c r="R316" s="18"/>
      <c r="S316" s="15"/>
      <c r="T316" s="15"/>
      <c r="U316" s="15"/>
      <c r="V316" s="15"/>
    </row>
    <row r="317" spans="1:22" x14ac:dyDescent="0.25">
      <c r="A317" s="14" t="s">
        <v>141</v>
      </c>
      <c r="B317" s="14" t="s">
        <v>2031</v>
      </c>
      <c r="C317" s="14" t="s">
        <v>2032</v>
      </c>
      <c r="D317" s="18"/>
      <c r="E317" s="14">
        <v>2022</v>
      </c>
      <c r="F317" s="18"/>
      <c r="G317" s="18"/>
      <c r="H317" s="14" t="s">
        <v>2033</v>
      </c>
      <c r="I317" s="14" t="s">
        <v>257</v>
      </c>
      <c r="J317" s="14">
        <v>2022</v>
      </c>
      <c r="K317" s="14">
        <v>9781450393041</v>
      </c>
      <c r="L317" s="18"/>
      <c r="M317" s="18"/>
      <c r="N317" s="17" t="s">
        <v>2034</v>
      </c>
      <c r="O317" s="14" t="s">
        <v>2035</v>
      </c>
      <c r="P317" s="14" t="s">
        <v>2036</v>
      </c>
      <c r="Q317" s="14" t="s">
        <v>568</v>
      </c>
      <c r="R317" s="18"/>
      <c r="S317" s="15"/>
      <c r="T317" s="15"/>
      <c r="U317" s="15"/>
      <c r="V317" s="15"/>
    </row>
    <row r="318" spans="1:22" x14ac:dyDescent="0.25">
      <c r="A318" s="14" t="s">
        <v>13</v>
      </c>
      <c r="B318" s="14" t="s">
        <v>2037</v>
      </c>
      <c r="C318" s="14" t="s">
        <v>2038</v>
      </c>
      <c r="D318" s="14" t="s">
        <v>1285</v>
      </c>
      <c r="E318" s="14">
        <v>2021</v>
      </c>
      <c r="F318" s="14">
        <v>5</v>
      </c>
      <c r="G318" s="14" t="s">
        <v>2005</v>
      </c>
      <c r="H318" s="18"/>
      <c r="I318" s="14" t="s">
        <v>145</v>
      </c>
      <c r="J318" s="14">
        <v>2021</v>
      </c>
      <c r="K318" s="18"/>
      <c r="L318" s="18"/>
      <c r="M318" s="14" t="s">
        <v>1287</v>
      </c>
      <c r="N318" s="17" t="s">
        <v>2039</v>
      </c>
      <c r="O318" s="14" t="s">
        <v>2040</v>
      </c>
      <c r="P318" s="14" t="s">
        <v>2041</v>
      </c>
      <c r="Q318" s="14" t="s">
        <v>2042</v>
      </c>
      <c r="R318" s="18"/>
      <c r="S318" s="15"/>
      <c r="T318" s="15"/>
      <c r="U318" s="15"/>
      <c r="V318" s="15"/>
    </row>
    <row r="319" spans="1:22" x14ac:dyDescent="0.25">
      <c r="A319" s="14" t="s">
        <v>13</v>
      </c>
      <c r="B319" s="14" t="s">
        <v>2043</v>
      </c>
      <c r="C319" s="14" t="s">
        <v>2044</v>
      </c>
      <c r="D319" s="14" t="s">
        <v>2045</v>
      </c>
      <c r="E319" s="14">
        <v>2021</v>
      </c>
      <c r="F319" s="14">
        <v>33</v>
      </c>
      <c r="G319" s="14">
        <v>19</v>
      </c>
      <c r="H319" s="18"/>
      <c r="I319" s="14" t="s">
        <v>266</v>
      </c>
      <c r="J319" s="14">
        <v>2021</v>
      </c>
      <c r="K319" s="18"/>
      <c r="L319" s="18"/>
      <c r="M319" s="14" t="s">
        <v>2046</v>
      </c>
      <c r="N319" s="17" t="s">
        <v>2047</v>
      </c>
      <c r="O319" s="14" t="s">
        <v>2048</v>
      </c>
      <c r="P319" s="14" t="s">
        <v>2049</v>
      </c>
      <c r="Q319" s="14" t="s">
        <v>1598</v>
      </c>
      <c r="R319" s="18"/>
      <c r="S319" s="15"/>
      <c r="T319" s="15"/>
      <c r="U319" s="15"/>
      <c r="V319" s="15"/>
    </row>
    <row r="320" spans="1:22" x14ac:dyDescent="0.25">
      <c r="A320" s="14" t="s">
        <v>141</v>
      </c>
      <c r="B320" s="14" t="s">
        <v>2050</v>
      </c>
      <c r="C320" s="14" t="s">
        <v>2051</v>
      </c>
      <c r="D320" s="18"/>
      <c r="E320" s="14">
        <v>2021</v>
      </c>
      <c r="F320" s="18"/>
      <c r="G320" s="18"/>
      <c r="H320" s="14" t="s">
        <v>2052</v>
      </c>
      <c r="I320" s="14" t="s">
        <v>257</v>
      </c>
      <c r="J320" s="14">
        <v>2021</v>
      </c>
      <c r="K320" s="14">
        <v>9781665414050</v>
      </c>
      <c r="L320" s="18"/>
      <c r="M320" s="18"/>
      <c r="N320" s="17" t="s">
        <v>2053</v>
      </c>
      <c r="O320" s="14" t="s">
        <v>2054</v>
      </c>
      <c r="P320" s="14" t="s">
        <v>2055</v>
      </c>
      <c r="Q320" s="14" t="s">
        <v>404</v>
      </c>
      <c r="R320" s="18"/>
      <c r="S320" s="15"/>
      <c r="T320" s="15"/>
      <c r="U320" s="15"/>
      <c r="V320" s="15"/>
    </row>
    <row r="321" spans="1:22" x14ac:dyDescent="0.25">
      <c r="A321" s="14" t="s">
        <v>141</v>
      </c>
      <c r="B321" s="14" t="s">
        <v>2056</v>
      </c>
      <c r="C321" s="14" t="s">
        <v>2057</v>
      </c>
      <c r="D321" s="18"/>
      <c r="E321" s="14">
        <v>2022</v>
      </c>
      <c r="F321" s="18"/>
      <c r="G321" s="18"/>
      <c r="H321" s="14" t="s">
        <v>2058</v>
      </c>
      <c r="I321" s="14" t="s">
        <v>257</v>
      </c>
      <c r="J321" s="14">
        <v>2022</v>
      </c>
      <c r="K321" s="14">
        <v>9781665437868</v>
      </c>
      <c r="L321" s="18"/>
      <c r="M321" s="18"/>
      <c r="N321" s="17" t="s">
        <v>2059</v>
      </c>
      <c r="O321" s="14" t="s">
        <v>2060</v>
      </c>
      <c r="P321" s="14" t="s">
        <v>2061</v>
      </c>
      <c r="Q321" s="14" t="s">
        <v>157</v>
      </c>
      <c r="R321" s="18"/>
      <c r="S321" s="15"/>
      <c r="T321" s="15"/>
      <c r="U321" s="15"/>
      <c r="V321" s="15"/>
    </row>
    <row r="322" spans="1:22" x14ac:dyDescent="0.25">
      <c r="A322" s="14" t="s">
        <v>141</v>
      </c>
      <c r="B322" s="14" t="s">
        <v>2062</v>
      </c>
      <c r="C322" s="14" t="s">
        <v>2063</v>
      </c>
      <c r="D322" s="18"/>
      <c r="E322" s="14">
        <v>2022</v>
      </c>
      <c r="F322" s="18"/>
      <c r="G322" s="18"/>
      <c r="H322" s="14" t="s">
        <v>2064</v>
      </c>
      <c r="I322" s="14" t="s">
        <v>257</v>
      </c>
      <c r="J322" s="14">
        <v>2022</v>
      </c>
      <c r="K322" s="14">
        <v>9781450393034</v>
      </c>
      <c r="L322" s="18"/>
      <c r="M322" s="18"/>
      <c r="N322" s="17" t="s">
        <v>2065</v>
      </c>
      <c r="O322" s="14" t="s">
        <v>2066</v>
      </c>
      <c r="P322" s="14" t="s">
        <v>2067</v>
      </c>
      <c r="Q322" s="14" t="s">
        <v>999</v>
      </c>
      <c r="R322" s="18"/>
      <c r="S322" s="15"/>
      <c r="T322" s="15"/>
      <c r="U322" s="15"/>
      <c r="V322" s="15"/>
    </row>
    <row r="323" spans="1:22" x14ac:dyDescent="0.25">
      <c r="A323" s="14" t="s">
        <v>141</v>
      </c>
      <c r="B323" s="14" t="s">
        <v>2068</v>
      </c>
      <c r="C323" s="14" t="s">
        <v>2069</v>
      </c>
      <c r="D323" s="18"/>
      <c r="E323" s="14">
        <v>2022</v>
      </c>
      <c r="F323" s="18"/>
      <c r="G323" s="18"/>
      <c r="H323" s="14" t="s">
        <v>2070</v>
      </c>
      <c r="I323" s="14" t="s">
        <v>257</v>
      </c>
      <c r="J323" s="14">
        <v>2022</v>
      </c>
      <c r="K323" s="14">
        <v>9781450393041</v>
      </c>
      <c r="L323" s="18"/>
      <c r="M323" s="18"/>
      <c r="N323" s="17" t="s">
        <v>2071</v>
      </c>
      <c r="O323" s="14" t="s">
        <v>2072</v>
      </c>
      <c r="P323" s="14" t="s">
        <v>2073</v>
      </c>
      <c r="Q323" s="14" t="s">
        <v>404</v>
      </c>
      <c r="R323" s="18"/>
      <c r="S323" s="15"/>
      <c r="T323" s="15"/>
      <c r="U323" s="15"/>
      <c r="V323" s="15"/>
    </row>
    <row r="324" spans="1:22" x14ac:dyDescent="0.25">
      <c r="A324" s="14" t="s">
        <v>141</v>
      </c>
      <c r="B324" s="14" t="s">
        <v>2074</v>
      </c>
      <c r="C324" s="14" t="s">
        <v>2075</v>
      </c>
      <c r="D324" s="18"/>
      <c r="E324" s="14">
        <v>2022</v>
      </c>
      <c r="F324" s="21">
        <v>44682</v>
      </c>
      <c r="G324" s="18"/>
      <c r="H324" s="14" t="s">
        <v>2076</v>
      </c>
      <c r="I324" s="14" t="s">
        <v>196</v>
      </c>
      <c r="J324" s="14">
        <v>2022</v>
      </c>
      <c r="K324" s="14">
        <v>9781450392211</v>
      </c>
      <c r="L324" s="18"/>
      <c r="M324" s="14" t="s">
        <v>1458</v>
      </c>
      <c r="N324" s="17" t="s">
        <v>2077</v>
      </c>
      <c r="O324" s="14" t="s">
        <v>2078</v>
      </c>
      <c r="P324" s="14" t="s">
        <v>2079</v>
      </c>
      <c r="Q324" s="14" t="s">
        <v>1591</v>
      </c>
      <c r="R324" s="18"/>
      <c r="S324" s="15"/>
      <c r="T324" s="15"/>
      <c r="U324" s="15"/>
      <c r="V324" s="15"/>
    </row>
    <row r="325" spans="1:22" x14ac:dyDescent="0.25">
      <c r="A325" s="14" t="s">
        <v>141</v>
      </c>
      <c r="B325" s="14" t="s">
        <v>2080</v>
      </c>
      <c r="C325" s="14" t="s">
        <v>2081</v>
      </c>
      <c r="D325" s="18"/>
      <c r="E325" s="14">
        <v>2021</v>
      </c>
      <c r="F325" s="18"/>
      <c r="G325" s="18"/>
      <c r="H325" s="14" t="s">
        <v>2082</v>
      </c>
      <c r="I325" s="14" t="s">
        <v>257</v>
      </c>
      <c r="J325" s="14">
        <v>2021</v>
      </c>
      <c r="K325" s="14">
        <v>9781728187105</v>
      </c>
      <c r="L325" s="18"/>
      <c r="M325" s="18"/>
      <c r="N325" s="17" t="s">
        <v>2083</v>
      </c>
      <c r="O325" s="14" t="s">
        <v>2084</v>
      </c>
      <c r="P325" s="14" t="s">
        <v>2085</v>
      </c>
      <c r="Q325" s="14" t="s">
        <v>1930</v>
      </c>
      <c r="R325" s="18"/>
      <c r="S325" s="15"/>
      <c r="T325" s="15"/>
      <c r="U325" s="15"/>
      <c r="V325" s="15"/>
    </row>
    <row r="326" spans="1:22" x14ac:dyDescent="0.25">
      <c r="A326" s="14" t="s">
        <v>141</v>
      </c>
      <c r="B326" s="14" t="s">
        <v>2086</v>
      </c>
      <c r="C326" s="14" t="s">
        <v>2087</v>
      </c>
      <c r="D326" s="18"/>
      <c r="E326" s="14">
        <v>2021</v>
      </c>
      <c r="F326" s="18"/>
      <c r="G326" s="18"/>
      <c r="H326" s="14" t="s">
        <v>2088</v>
      </c>
      <c r="I326" s="14" t="s">
        <v>257</v>
      </c>
      <c r="J326" s="14">
        <v>2021</v>
      </c>
      <c r="K326" s="14">
        <v>9781665427050</v>
      </c>
      <c r="L326" s="18"/>
      <c r="M326" s="18"/>
      <c r="N326" s="17" t="s">
        <v>2089</v>
      </c>
      <c r="O326" s="14" t="s">
        <v>2090</v>
      </c>
      <c r="P326" s="14" t="s">
        <v>2091</v>
      </c>
      <c r="Q326" s="14" t="s">
        <v>520</v>
      </c>
      <c r="R326" s="18"/>
      <c r="S326" s="15"/>
      <c r="T326" s="15"/>
      <c r="U326" s="15"/>
      <c r="V326" s="15"/>
    </row>
    <row r="327" spans="1:22" x14ac:dyDescent="0.25">
      <c r="A327" s="14" t="s">
        <v>141</v>
      </c>
      <c r="B327" s="14" t="s">
        <v>2092</v>
      </c>
      <c r="C327" s="14" t="s">
        <v>2093</v>
      </c>
      <c r="D327" s="18"/>
      <c r="E327" s="14">
        <v>2021</v>
      </c>
      <c r="F327" s="18"/>
      <c r="G327" s="18"/>
      <c r="H327" s="14" t="s">
        <v>533</v>
      </c>
      <c r="I327" s="14" t="s">
        <v>153</v>
      </c>
      <c r="J327" s="14">
        <v>2021</v>
      </c>
      <c r="K327" s="14">
        <v>9781450386807</v>
      </c>
      <c r="L327" s="18"/>
      <c r="M327" s="18"/>
      <c r="N327" s="17" t="s">
        <v>2094</v>
      </c>
      <c r="O327" s="14" t="s">
        <v>2095</v>
      </c>
      <c r="P327" s="14" t="s">
        <v>2096</v>
      </c>
      <c r="Q327" s="14" t="s">
        <v>2097</v>
      </c>
      <c r="R327" s="18"/>
      <c r="S327" s="15"/>
      <c r="T327" s="15"/>
      <c r="U327" s="15"/>
      <c r="V327" s="15"/>
    </row>
    <row r="328" spans="1:22" x14ac:dyDescent="0.25">
      <c r="A328" s="14" t="s">
        <v>141</v>
      </c>
      <c r="B328" s="14" t="s">
        <v>2098</v>
      </c>
      <c r="C328" s="14" t="s">
        <v>2099</v>
      </c>
      <c r="D328" s="18"/>
      <c r="E328" s="14">
        <v>2021</v>
      </c>
      <c r="F328" s="18"/>
      <c r="G328" s="18"/>
      <c r="H328" s="14" t="s">
        <v>2100</v>
      </c>
      <c r="I328" s="14" t="s">
        <v>196</v>
      </c>
      <c r="J328" s="14">
        <v>2021</v>
      </c>
      <c r="K328" s="14">
        <v>9780738113197</v>
      </c>
      <c r="L328" s="18"/>
      <c r="M328" s="14" t="s">
        <v>1458</v>
      </c>
      <c r="N328" s="17" t="s">
        <v>2101</v>
      </c>
      <c r="O328" s="14" t="s">
        <v>2102</v>
      </c>
      <c r="P328" s="14" t="s">
        <v>2103</v>
      </c>
      <c r="Q328" s="14" t="s">
        <v>818</v>
      </c>
      <c r="R328" s="18"/>
      <c r="S328" s="15"/>
      <c r="T328" s="15"/>
      <c r="U328" s="15"/>
      <c r="V328" s="15"/>
    </row>
    <row r="329" spans="1:22" x14ac:dyDescent="0.25">
      <c r="A329" s="14" t="s">
        <v>141</v>
      </c>
      <c r="B329" s="14" t="s">
        <v>2104</v>
      </c>
      <c r="C329" s="14" t="s">
        <v>2105</v>
      </c>
      <c r="D329" s="18"/>
      <c r="E329" s="14">
        <v>2021</v>
      </c>
      <c r="F329" s="18"/>
      <c r="G329" s="18"/>
      <c r="H329" s="14" t="s">
        <v>2106</v>
      </c>
      <c r="I329" s="14" t="s">
        <v>257</v>
      </c>
      <c r="J329" s="14">
        <v>2021</v>
      </c>
      <c r="K329" s="14">
        <v>9781728187105</v>
      </c>
      <c r="L329" s="18"/>
      <c r="M329" s="18"/>
      <c r="N329" s="17" t="s">
        <v>2107</v>
      </c>
      <c r="O329" s="14" t="s">
        <v>2108</v>
      </c>
      <c r="P329" s="14" t="s">
        <v>2109</v>
      </c>
      <c r="Q329" s="14" t="s">
        <v>2110</v>
      </c>
      <c r="R329" s="18"/>
      <c r="S329" s="15"/>
      <c r="T329" s="15"/>
      <c r="U329" s="15"/>
      <c r="V329" s="15"/>
    </row>
    <row r="330" spans="1:22" x14ac:dyDescent="0.25">
      <c r="A330" s="14" t="s">
        <v>141</v>
      </c>
      <c r="B330" s="14" t="s">
        <v>2111</v>
      </c>
      <c r="C330" s="14" t="s">
        <v>2112</v>
      </c>
      <c r="D330" s="18"/>
      <c r="E330" s="14">
        <v>2022</v>
      </c>
      <c r="F330" s="18"/>
      <c r="G330" s="18"/>
      <c r="H330" s="14" t="s">
        <v>2113</v>
      </c>
      <c r="I330" s="14" t="s">
        <v>257</v>
      </c>
      <c r="J330" s="14">
        <v>2022</v>
      </c>
      <c r="K330" s="14">
        <v>9781450393034</v>
      </c>
      <c r="L330" s="18"/>
      <c r="M330" s="18"/>
      <c r="N330" s="17" t="s">
        <v>2114</v>
      </c>
      <c r="O330" s="14" t="s">
        <v>2115</v>
      </c>
      <c r="P330" s="14" t="s">
        <v>2116</v>
      </c>
      <c r="Q330" s="14" t="s">
        <v>999</v>
      </c>
      <c r="R330" s="18"/>
      <c r="S330" s="15"/>
      <c r="T330" s="15"/>
      <c r="U330" s="15"/>
      <c r="V330" s="15"/>
    </row>
    <row r="331" spans="1:22" x14ac:dyDescent="0.25">
      <c r="A331" s="14" t="s">
        <v>13</v>
      </c>
      <c r="B331" s="14" t="s">
        <v>2117</v>
      </c>
      <c r="C331" s="14" t="s">
        <v>2118</v>
      </c>
      <c r="D331" s="14" t="s">
        <v>2119</v>
      </c>
      <c r="E331" s="14">
        <v>2021</v>
      </c>
      <c r="F331" s="14">
        <v>45</v>
      </c>
      <c r="G331" s="14">
        <v>3</v>
      </c>
      <c r="H331" s="14" t="s">
        <v>2120</v>
      </c>
      <c r="I331" s="14" t="s">
        <v>2121</v>
      </c>
      <c r="J331" s="14">
        <v>2021</v>
      </c>
      <c r="K331" s="18"/>
      <c r="L331" s="18"/>
      <c r="M331" s="14" t="s">
        <v>2122</v>
      </c>
      <c r="N331" s="17" t="s">
        <v>2123</v>
      </c>
      <c r="O331" s="14" t="s">
        <v>2124</v>
      </c>
      <c r="P331" s="14" t="s">
        <v>2125</v>
      </c>
      <c r="Q331" s="14" t="s">
        <v>397</v>
      </c>
      <c r="R331" s="18"/>
      <c r="S331" s="15"/>
      <c r="T331" s="15"/>
      <c r="U331" s="15"/>
      <c r="V331" s="15"/>
    </row>
    <row r="332" spans="1:22" x14ac:dyDescent="0.25">
      <c r="A332" s="14" t="s">
        <v>141</v>
      </c>
      <c r="B332" s="14" t="s">
        <v>2126</v>
      </c>
      <c r="C332" s="14" t="s">
        <v>2127</v>
      </c>
      <c r="D332" s="18"/>
      <c r="E332" s="14">
        <v>2022</v>
      </c>
      <c r="F332" s="18"/>
      <c r="G332" s="18"/>
      <c r="H332" s="14" t="s">
        <v>2128</v>
      </c>
      <c r="I332" s="14" t="s">
        <v>257</v>
      </c>
      <c r="J332" s="14">
        <v>2022</v>
      </c>
      <c r="K332" s="14">
        <v>9781665466790</v>
      </c>
      <c r="L332" s="18"/>
      <c r="M332" s="18"/>
      <c r="N332" s="17" t="s">
        <v>2129</v>
      </c>
      <c r="O332" s="14" t="s">
        <v>2130</v>
      </c>
      <c r="P332" s="14" t="s">
        <v>2131</v>
      </c>
      <c r="Q332" s="14" t="s">
        <v>157</v>
      </c>
      <c r="R332" s="18"/>
      <c r="S332" s="15"/>
      <c r="T332" s="15"/>
      <c r="U332" s="15"/>
      <c r="V332" s="15"/>
    </row>
    <row r="333" spans="1:22" x14ac:dyDescent="0.25">
      <c r="A333" s="14" t="s">
        <v>13</v>
      </c>
      <c r="B333" s="14" t="s">
        <v>2132</v>
      </c>
      <c r="C333" s="14" t="s">
        <v>2133</v>
      </c>
      <c r="D333" s="14" t="s">
        <v>2134</v>
      </c>
      <c r="E333" s="14">
        <v>2021</v>
      </c>
      <c r="F333" s="14">
        <v>25</v>
      </c>
      <c r="G333" s="14">
        <v>22</v>
      </c>
      <c r="H333" s="14" t="s">
        <v>2135</v>
      </c>
      <c r="I333" s="14" t="s">
        <v>212</v>
      </c>
      <c r="J333" s="14">
        <v>2021</v>
      </c>
      <c r="K333" s="18"/>
      <c r="L333" s="18"/>
      <c r="M333" s="14" t="s">
        <v>2136</v>
      </c>
      <c r="N333" s="17" t="s">
        <v>2137</v>
      </c>
      <c r="O333" s="14" t="s">
        <v>2138</v>
      </c>
      <c r="P333" s="14" t="s">
        <v>2139</v>
      </c>
      <c r="Q333" s="14" t="s">
        <v>176</v>
      </c>
      <c r="R333" s="18"/>
      <c r="S333" s="15"/>
      <c r="T333" s="15"/>
      <c r="U333" s="15"/>
      <c r="V333" s="15"/>
    </row>
    <row r="334" spans="1:22" x14ac:dyDescent="0.25">
      <c r="A334" s="14" t="s">
        <v>141</v>
      </c>
      <c r="B334" s="14" t="s">
        <v>2140</v>
      </c>
      <c r="C334" s="14" t="s">
        <v>2141</v>
      </c>
      <c r="D334" s="18"/>
      <c r="E334" s="14">
        <v>2021</v>
      </c>
      <c r="F334" s="18"/>
      <c r="G334" s="18"/>
      <c r="H334" s="14" t="s">
        <v>2142</v>
      </c>
      <c r="I334" s="14" t="s">
        <v>153</v>
      </c>
      <c r="J334" s="14">
        <v>2021</v>
      </c>
      <c r="K334" s="14">
        <v>9781450385626</v>
      </c>
      <c r="L334" s="18"/>
      <c r="M334" s="18"/>
      <c r="N334" s="17" t="s">
        <v>2143</v>
      </c>
      <c r="O334" s="14" t="s">
        <v>2144</v>
      </c>
      <c r="P334" s="14" t="s">
        <v>2145</v>
      </c>
      <c r="Q334" s="14" t="s">
        <v>318</v>
      </c>
      <c r="R334" s="18"/>
      <c r="S334" s="15"/>
      <c r="T334" s="15"/>
      <c r="U334" s="15"/>
      <c r="V334" s="15"/>
    </row>
    <row r="335" spans="1:22" x14ac:dyDescent="0.25">
      <c r="A335" s="14" t="s">
        <v>13</v>
      </c>
      <c r="B335" s="14" t="s">
        <v>2146</v>
      </c>
      <c r="C335" s="14" t="s">
        <v>2147</v>
      </c>
      <c r="D335" s="14" t="s">
        <v>422</v>
      </c>
      <c r="E335" s="14">
        <v>2021</v>
      </c>
      <c r="F335" s="14">
        <v>33</v>
      </c>
      <c r="G335" s="14">
        <v>11</v>
      </c>
      <c r="H335" s="14" t="s">
        <v>2148</v>
      </c>
      <c r="I335" s="14" t="s">
        <v>212</v>
      </c>
      <c r="J335" s="14">
        <v>2021</v>
      </c>
      <c r="K335" s="18"/>
      <c r="L335" s="18"/>
      <c r="M335" s="14" t="s">
        <v>423</v>
      </c>
      <c r="N335" s="17" t="s">
        <v>2149</v>
      </c>
      <c r="O335" s="14" t="s">
        <v>2150</v>
      </c>
      <c r="P335" s="14" t="s">
        <v>2151</v>
      </c>
      <c r="Q335" s="14" t="s">
        <v>318</v>
      </c>
      <c r="R335" s="18"/>
      <c r="S335" s="15"/>
      <c r="T335" s="15"/>
      <c r="U335" s="15"/>
      <c r="V335" s="15"/>
    </row>
    <row r="336" spans="1:22" x14ac:dyDescent="0.25">
      <c r="A336" s="14" t="s">
        <v>13</v>
      </c>
      <c r="B336" s="14" t="s">
        <v>2152</v>
      </c>
      <c r="C336" s="14" t="s">
        <v>2153</v>
      </c>
      <c r="D336" s="14" t="s">
        <v>354</v>
      </c>
      <c r="E336" s="14">
        <v>2021</v>
      </c>
      <c r="F336" s="14">
        <v>178</v>
      </c>
      <c r="G336" s="18"/>
      <c r="H336" s="18"/>
      <c r="I336" s="14" t="s">
        <v>355</v>
      </c>
      <c r="J336" s="14">
        <v>2021</v>
      </c>
      <c r="K336" s="18"/>
      <c r="L336" s="18"/>
      <c r="M336" s="14" t="s">
        <v>65</v>
      </c>
      <c r="N336" s="17" t="s">
        <v>2154</v>
      </c>
      <c r="O336" s="14" t="s">
        <v>2155</v>
      </c>
      <c r="P336" s="14" t="s">
        <v>2156</v>
      </c>
      <c r="Q336" s="14" t="s">
        <v>2157</v>
      </c>
      <c r="R336" s="18"/>
      <c r="S336" s="15"/>
      <c r="T336" s="15"/>
      <c r="U336" s="15"/>
      <c r="V336" s="15"/>
    </row>
    <row r="337" spans="1:22" x14ac:dyDescent="0.25">
      <c r="A337" s="14" t="s">
        <v>13</v>
      </c>
      <c r="B337" s="14" t="s">
        <v>2158</v>
      </c>
      <c r="C337" s="14" t="s">
        <v>2159</v>
      </c>
      <c r="D337" s="14" t="s">
        <v>255</v>
      </c>
      <c r="E337" s="14">
        <v>2021</v>
      </c>
      <c r="F337" s="14">
        <v>47</v>
      </c>
      <c r="G337" s="14">
        <v>12</v>
      </c>
      <c r="H337" s="14" t="s">
        <v>2160</v>
      </c>
      <c r="I337" s="14" t="s">
        <v>257</v>
      </c>
      <c r="J337" s="14">
        <v>2021</v>
      </c>
      <c r="K337" s="18"/>
      <c r="L337" s="18"/>
      <c r="M337" s="14" t="s">
        <v>18</v>
      </c>
      <c r="N337" s="17" t="s">
        <v>2161</v>
      </c>
      <c r="O337" s="14" t="s">
        <v>2162</v>
      </c>
      <c r="P337" s="14" t="s">
        <v>2163</v>
      </c>
      <c r="Q337" s="14" t="s">
        <v>1740</v>
      </c>
      <c r="R337" s="18"/>
      <c r="S337" s="15"/>
      <c r="T337" s="15"/>
      <c r="U337" s="15"/>
      <c r="V337" s="15"/>
    </row>
    <row r="338" spans="1:22" x14ac:dyDescent="0.25">
      <c r="A338" s="14" t="s">
        <v>13</v>
      </c>
      <c r="B338" s="14" t="s">
        <v>2164</v>
      </c>
      <c r="C338" s="14" t="s">
        <v>2165</v>
      </c>
      <c r="D338" s="14" t="s">
        <v>2166</v>
      </c>
      <c r="E338" s="14">
        <v>2021</v>
      </c>
      <c r="F338" s="14">
        <v>2</v>
      </c>
      <c r="G338" s="14">
        <v>5</v>
      </c>
      <c r="H338" s="18"/>
      <c r="I338" s="14" t="s">
        <v>137</v>
      </c>
      <c r="J338" s="14">
        <v>2021</v>
      </c>
      <c r="K338" s="18"/>
      <c r="L338" s="18"/>
      <c r="M338" s="14" t="s">
        <v>2167</v>
      </c>
      <c r="N338" s="17" t="s">
        <v>2168</v>
      </c>
      <c r="O338" s="14" t="s">
        <v>2169</v>
      </c>
      <c r="P338" s="14" t="s">
        <v>2170</v>
      </c>
      <c r="Q338" s="14" t="s">
        <v>1656</v>
      </c>
      <c r="R338" s="18"/>
      <c r="S338" s="15"/>
      <c r="T338" s="15"/>
      <c r="U338" s="15"/>
      <c r="V338" s="15"/>
    </row>
    <row r="339" spans="1:22" x14ac:dyDescent="0.25">
      <c r="A339" s="14" t="s">
        <v>141</v>
      </c>
      <c r="B339" s="14" t="s">
        <v>2171</v>
      </c>
      <c r="C339" s="14" t="s">
        <v>2172</v>
      </c>
      <c r="D339" s="18"/>
      <c r="E339" s="14">
        <v>2021</v>
      </c>
      <c r="F339" s="18"/>
      <c r="G339" s="18"/>
      <c r="H339" s="14" t="s">
        <v>2173</v>
      </c>
      <c r="I339" s="14" t="s">
        <v>145</v>
      </c>
      <c r="J339" s="14">
        <v>2021</v>
      </c>
      <c r="K339" s="14">
        <v>9781450390538</v>
      </c>
      <c r="L339" s="18"/>
      <c r="M339" s="18"/>
      <c r="N339" s="17" t="s">
        <v>2174</v>
      </c>
      <c r="O339" s="14" t="s">
        <v>2175</v>
      </c>
      <c r="P339" s="14" t="s">
        <v>2176</v>
      </c>
      <c r="Q339" s="14" t="s">
        <v>520</v>
      </c>
      <c r="R339" s="18"/>
      <c r="S339" s="15"/>
      <c r="T339" s="15"/>
      <c r="U339" s="15"/>
      <c r="V339" s="15"/>
    </row>
    <row r="340" spans="1:22" x14ac:dyDescent="0.25">
      <c r="A340" s="14" t="s">
        <v>13</v>
      </c>
      <c r="B340" s="14" t="s">
        <v>2177</v>
      </c>
      <c r="C340" s="14" t="s">
        <v>2178</v>
      </c>
      <c r="D340" s="14" t="s">
        <v>2179</v>
      </c>
      <c r="E340" s="14">
        <v>2022</v>
      </c>
      <c r="F340" s="14">
        <v>7</v>
      </c>
      <c r="G340" s="18"/>
      <c r="H340" s="18"/>
      <c r="I340" s="14" t="s">
        <v>2180</v>
      </c>
      <c r="J340" s="14">
        <v>2022</v>
      </c>
      <c r="K340" s="18"/>
      <c r="L340" s="18"/>
      <c r="M340" s="14" t="s">
        <v>2181</v>
      </c>
      <c r="N340" s="17" t="s">
        <v>2182</v>
      </c>
      <c r="O340" s="14" t="s">
        <v>2183</v>
      </c>
      <c r="P340" s="14" t="s">
        <v>2184</v>
      </c>
      <c r="Q340" s="14" t="s">
        <v>2185</v>
      </c>
      <c r="R340" s="18"/>
      <c r="S340" s="15"/>
      <c r="T340" s="15"/>
      <c r="U340" s="15"/>
      <c r="V340" s="15"/>
    </row>
    <row r="341" spans="1:22" x14ac:dyDescent="0.25">
      <c r="A341" s="14" t="s">
        <v>13</v>
      </c>
      <c r="B341" s="14" t="s">
        <v>2186</v>
      </c>
      <c r="C341" s="14" t="s">
        <v>2187</v>
      </c>
      <c r="D341" s="14" t="s">
        <v>1870</v>
      </c>
      <c r="E341" s="14">
        <v>2022</v>
      </c>
      <c r="F341" s="14" t="s">
        <v>2188</v>
      </c>
      <c r="G341" s="18"/>
      <c r="H341" s="14" t="s">
        <v>2189</v>
      </c>
      <c r="I341" s="14" t="s">
        <v>212</v>
      </c>
      <c r="J341" s="14">
        <v>2022</v>
      </c>
      <c r="K341" s="18"/>
      <c r="L341" s="18"/>
      <c r="M341" s="14" t="s">
        <v>1873</v>
      </c>
      <c r="N341" s="17" t="s">
        <v>2190</v>
      </c>
      <c r="O341" s="14" t="s">
        <v>2191</v>
      </c>
      <c r="P341" s="14" t="s">
        <v>2192</v>
      </c>
      <c r="Q341" s="14" t="s">
        <v>157</v>
      </c>
      <c r="R341" s="18"/>
      <c r="S341" s="15"/>
      <c r="T341" s="15"/>
      <c r="U341" s="15"/>
      <c r="V341" s="15"/>
    </row>
    <row r="342" spans="1:22" x14ac:dyDescent="0.25">
      <c r="A342" s="14" t="s">
        <v>13</v>
      </c>
      <c r="B342" s="14" t="s">
        <v>2193</v>
      </c>
      <c r="C342" s="14" t="s">
        <v>2194</v>
      </c>
      <c r="D342" s="14" t="s">
        <v>2195</v>
      </c>
      <c r="E342" s="14">
        <v>2021</v>
      </c>
      <c r="F342" s="14">
        <v>12</v>
      </c>
      <c r="G342" s="14">
        <v>4</v>
      </c>
      <c r="H342" s="14" t="s">
        <v>2196</v>
      </c>
      <c r="I342" s="14" t="s">
        <v>212</v>
      </c>
      <c r="J342" s="14">
        <v>2021</v>
      </c>
      <c r="K342" s="18"/>
      <c r="L342" s="18"/>
      <c r="M342" s="14" t="s">
        <v>2197</v>
      </c>
      <c r="N342" s="17" t="s">
        <v>2198</v>
      </c>
      <c r="O342" s="14" t="s">
        <v>2199</v>
      </c>
      <c r="P342" s="14" t="s">
        <v>2200</v>
      </c>
      <c r="Q342" s="14" t="s">
        <v>2201</v>
      </c>
      <c r="R342" s="18"/>
      <c r="S342" s="15"/>
      <c r="T342" s="15"/>
      <c r="U342" s="15"/>
      <c r="V342" s="15"/>
    </row>
    <row r="343" spans="1:22" x14ac:dyDescent="0.25">
      <c r="A343" s="14" t="s">
        <v>141</v>
      </c>
      <c r="B343" s="14" t="s">
        <v>2202</v>
      </c>
      <c r="C343" s="14" t="s">
        <v>2203</v>
      </c>
      <c r="D343" s="18"/>
      <c r="E343" s="14">
        <v>2021</v>
      </c>
      <c r="F343" s="18"/>
      <c r="G343" s="18"/>
      <c r="H343" s="14" t="s">
        <v>2204</v>
      </c>
      <c r="I343" s="14" t="s">
        <v>153</v>
      </c>
      <c r="J343" s="14">
        <v>2021</v>
      </c>
      <c r="K343" s="14">
        <v>9781450384582</v>
      </c>
      <c r="L343" s="18"/>
      <c r="M343" s="18"/>
      <c r="N343" s="17" t="s">
        <v>2205</v>
      </c>
      <c r="O343" s="14" t="s">
        <v>2206</v>
      </c>
      <c r="P343" s="14" t="s">
        <v>2207</v>
      </c>
      <c r="Q343" s="14" t="s">
        <v>289</v>
      </c>
      <c r="R343" s="18"/>
      <c r="S343" s="15"/>
      <c r="T343" s="15"/>
      <c r="U343" s="15"/>
      <c r="V343" s="15"/>
    </row>
    <row r="344" spans="1:22" x14ac:dyDescent="0.25">
      <c r="A344" s="14" t="s">
        <v>141</v>
      </c>
      <c r="B344" s="14" t="s">
        <v>2208</v>
      </c>
      <c r="C344" s="14" t="s">
        <v>2209</v>
      </c>
      <c r="D344" s="18"/>
      <c r="E344" s="14">
        <v>2022</v>
      </c>
      <c r="F344" s="18"/>
      <c r="G344" s="18"/>
      <c r="H344" s="14" t="s">
        <v>2210</v>
      </c>
      <c r="I344" s="14" t="s">
        <v>257</v>
      </c>
      <c r="J344" s="14">
        <v>2022</v>
      </c>
      <c r="K344" s="14">
        <v>9781665437868</v>
      </c>
      <c r="L344" s="18"/>
      <c r="M344" s="18"/>
      <c r="N344" s="17" t="s">
        <v>2211</v>
      </c>
      <c r="O344" s="14" t="s">
        <v>2212</v>
      </c>
      <c r="P344" s="14" t="s">
        <v>2213</v>
      </c>
      <c r="Q344" s="14" t="s">
        <v>520</v>
      </c>
      <c r="R344" s="18"/>
      <c r="S344" s="15"/>
      <c r="T344" s="15"/>
      <c r="U344" s="15"/>
      <c r="V344" s="15"/>
    </row>
    <row r="345" spans="1:22" x14ac:dyDescent="0.25">
      <c r="A345" s="14" t="s">
        <v>13</v>
      </c>
      <c r="B345" s="14" t="s">
        <v>2214</v>
      </c>
      <c r="C345" s="14" t="s">
        <v>2215</v>
      </c>
      <c r="D345" s="14" t="s">
        <v>523</v>
      </c>
      <c r="E345" s="14">
        <v>2021</v>
      </c>
      <c r="F345" s="14">
        <v>29</v>
      </c>
      <c r="G345" s="14">
        <v>4</v>
      </c>
      <c r="H345" s="14" t="s">
        <v>2216</v>
      </c>
      <c r="I345" s="14" t="s">
        <v>137</v>
      </c>
      <c r="J345" s="14">
        <v>2021</v>
      </c>
      <c r="K345" s="18"/>
      <c r="L345" s="18"/>
      <c r="M345" s="14" t="s">
        <v>525</v>
      </c>
      <c r="N345" s="17" t="s">
        <v>2217</v>
      </c>
      <c r="O345" s="14" t="s">
        <v>2218</v>
      </c>
      <c r="P345" s="14" t="s">
        <v>2219</v>
      </c>
      <c r="Q345" s="14" t="s">
        <v>318</v>
      </c>
      <c r="R345" s="18"/>
      <c r="S345" s="15"/>
      <c r="T345" s="15"/>
      <c r="U345" s="15"/>
      <c r="V345" s="15"/>
    </row>
    <row r="346" spans="1:22" x14ac:dyDescent="0.25">
      <c r="A346" s="14" t="s">
        <v>141</v>
      </c>
      <c r="B346" s="14" t="s">
        <v>2220</v>
      </c>
      <c r="C346" s="14" t="s">
        <v>2221</v>
      </c>
      <c r="D346" s="18"/>
      <c r="E346" s="14">
        <v>2022</v>
      </c>
      <c r="F346" s="18"/>
      <c r="G346" s="18"/>
      <c r="H346" s="14" t="s">
        <v>2222</v>
      </c>
      <c r="I346" s="14" t="s">
        <v>257</v>
      </c>
      <c r="J346" s="14">
        <v>2022</v>
      </c>
      <c r="K346" s="14">
        <v>9781665437868</v>
      </c>
      <c r="L346" s="18"/>
      <c r="M346" s="18"/>
      <c r="N346" s="17" t="s">
        <v>2223</v>
      </c>
      <c r="O346" s="14" t="s">
        <v>2224</v>
      </c>
      <c r="P346" s="14" t="s">
        <v>2225</v>
      </c>
      <c r="Q346" s="14" t="s">
        <v>318</v>
      </c>
      <c r="R346" s="18"/>
      <c r="S346" s="15"/>
      <c r="T346" s="15"/>
      <c r="U346" s="15"/>
      <c r="V346" s="15"/>
    </row>
    <row r="347" spans="1:22" x14ac:dyDescent="0.25">
      <c r="A347" s="14" t="s">
        <v>141</v>
      </c>
      <c r="B347" s="14" t="s">
        <v>2226</v>
      </c>
      <c r="C347" s="14" t="s">
        <v>2227</v>
      </c>
      <c r="D347" s="18"/>
      <c r="E347" s="14">
        <v>2021</v>
      </c>
      <c r="F347" s="18"/>
      <c r="G347" s="18"/>
      <c r="H347" s="14" t="s">
        <v>2228</v>
      </c>
      <c r="I347" s="14" t="s">
        <v>257</v>
      </c>
      <c r="J347" s="14">
        <v>2021</v>
      </c>
      <c r="K347" s="14">
        <v>9781665423922</v>
      </c>
      <c r="L347" s="18"/>
      <c r="M347" s="18"/>
      <c r="N347" s="17" t="s">
        <v>2229</v>
      </c>
      <c r="O347" s="14" t="s">
        <v>2230</v>
      </c>
      <c r="P347" s="14" t="s">
        <v>2231</v>
      </c>
      <c r="Q347" s="14" t="s">
        <v>157</v>
      </c>
      <c r="R347" s="18"/>
      <c r="S347" s="15"/>
      <c r="T347" s="15"/>
      <c r="U347" s="15"/>
      <c r="V347" s="15"/>
    </row>
    <row r="348" spans="1:22" x14ac:dyDescent="0.25">
      <c r="A348" s="14" t="s">
        <v>13</v>
      </c>
      <c r="B348" s="14" t="s">
        <v>2232</v>
      </c>
      <c r="C348" s="14" t="s">
        <v>2233</v>
      </c>
      <c r="D348" s="14" t="s">
        <v>255</v>
      </c>
      <c r="E348" s="14">
        <v>2022</v>
      </c>
      <c r="F348" s="14">
        <v>48</v>
      </c>
      <c r="G348" s="14">
        <v>1</v>
      </c>
      <c r="H348" s="14" t="s">
        <v>2234</v>
      </c>
      <c r="I348" s="14" t="s">
        <v>257</v>
      </c>
      <c r="J348" s="14">
        <v>2022</v>
      </c>
      <c r="K348" s="18"/>
      <c r="L348" s="18"/>
      <c r="M348" s="14" t="s">
        <v>18</v>
      </c>
      <c r="N348" s="17" t="s">
        <v>2235</v>
      </c>
      <c r="O348" s="14" t="s">
        <v>2236</v>
      </c>
      <c r="P348" s="14" t="s">
        <v>2237</v>
      </c>
      <c r="Q348" s="14" t="s">
        <v>1404</v>
      </c>
      <c r="R348" s="18"/>
      <c r="S348" s="15"/>
      <c r="T348" s="15"/>
      <c r="U348" s="15"/>
      <c r="V348" s="15"/>
    </row>
    <row r="349" spans="1:22" x14ac:dyDescent="0.25">
      <c r="A349" s="14" t="s">
        <v>13</v>
      </c>
      <c r="B349" s="14" t="s">
        <v>2238</v>
      </c>
      <c r="C349" s="14" t="s">
        <v>2239</v>
      </c>
      <c r="D349" s="14" t="s">
        <v>354</v>
      </c>
      <c r="E349" s="14">
        <v>2021</v>
      </c>
      <c r="F349" s="14">
        <v>178</v>
      </c>
      <c r="G349" s="18"/>
      <c r="H349" s="18"/>
      <c r="I349" s="14" t="s">
        <v>355</v>
      </c>
      <c r="J349" s="14">
        <v>2021</v>
      </c>
      <c r="K349" s="18"/>
      <c r="L349" s="18"/>
      <c r="M349" s="14" t="s">
        <v>65</v>
      </c>
      <c r="N349" s="17" t="s">
        <v>2240</v>
      </c>
      <c r="O349" s="14" t="s">
        <v>2241</v>
      </c>
      <c r="P349" s="14" t="s">
        <v>2242</v>
      </c>
      <c r="Q349" s="14" t="s">
        <v>2243</v>
      </c>
      <c r="R349" s="18"/>
      <c r="S349" s="15"/>
      <c r="T349" s="15"/>
      <c r="U349" s="15"/>
      <c r="V349" s="15"/>
    </row>
    <row r="350" spans="1:22" x14ac:dyDescent="0.25">
      <c r="A350" s="14" t="s">
        <v>141</v>
      </c>
      <c r="B350" s="14" t="s">
        <v>2244</v>
      </c>
      <c r="C350" s="14" t="s">
        <v>2245</v>
      </c>
      <c r="D350" s="18"/>
      <c r="E350" s="14">
        <v>2022</v>
      </c>
      <c r="F350" s="18"/>
      <c r="G350" s="18"/>
      <c r="H350" s="14" t="s">
        <v>2246</v>
      </c>
      <c r="I350" s="14" t="s">
        <v>257</v>
      </c>
      <c r="J350" s="14">
        <v>2022</v>
      </c>
      <c r="K350" s="14">
        <v>9783981926361</v>
      </c>
      <c r="L350" s="18"/>
      <c r="M350" s="18"/>
      <c r="N350" s="17" t="s">
        <v>2247</v>
      </c>
      <c r="O350" s="14" t="s">
        <v>2248</v>
      </c>
      <c r="P350" s="14" t="s">
        <v>2249</v>
      </c>
      <c r="Q350" s="14" t="s">
        <v>157</v>
      </c>
      <c r="R350" s="18"/>
      <c r="S350" s="15"/>
      <c r="T350" s="15"/>
      <c r="U350" s="15"/>
      <c r="V350" s="15"/>
    </row>
    <row r="351" spans="1:22" x14ac:dyDescent="0.25">
      <c r="A351" s="14" t="s">
        <v>141</v>
      </c>
      <c r="B351" s="14" t="s">
        <v>1747</v>
      </c>
      <c r="C351" s="14" t="s">
        <v>2250</v>
      </c>
      <c r="D351" s="18"/>
      <c r="E351" s="14">
        <v>2022</v>
      </c>
      <c r="F351" s="18"/>
      <c r="G351" s="18"/>
      <c r="H351" s="14" t="s">
        <v>2251</v>
      </c>
      <c r="I351" s="14" t="s">
        <v>257</v>
      </c>
      <c r="J351" s="14">
        <v>2022</v>
      </c>
      <c r="K351" s="14">
        <v>9781450393195</v>
      </c>
      <c r="L351" s="18"/>
      <c r="M351" s="18"/>
      <c r="N351" s="17" t="s">
        <v>2252</v>
      </c>
      <c r="O351" s="14" t="s">
        <v>2253</v>
      </c>
      <c r="P351" s="14" t="s">
        <v>2254</v>
      </c>
      <c r="Q351" s="14" t="s">
        <v>157</v>
      </c>
      <c r="R351" s="18"/>
      <c r="S351" s="15"/>
      <c r="T351" s="15"/>
      <c r="U351" s="15"/>
      <c r="V351" s="15"/>
    </row>
    <row r="352" spans="1:22" x14ac:dyDescent="0.25">
      <c r="A352" s="14" t="s">
        <v>13</v>
      </c>
      <c r="B352" s="14" t="s">
        <v>2255</v>
      </c>
      <c r="C352" s="14" t="s">
        <v>2256</v>
      </c>
      <c r="D352" s="14" t="s">
        <v>2257</v>
      </c>
      <c r="E352" s="14">
        <v>2022</v>
      </c>
      <c r="F352" s="14">
        <v>34</v>
      </c>
      <c r="G352" s="14">
        <v>1</v>
      </c>
      <c r="H352" s="14" t="s">
        <v>2258</v>
      </c>
      <c r="I352" s="14" t="s">
        <v>1714</v>
      </c>
      <c r="J352" s="14">
        <v>2022</v>
      </c>
      <c r="K352" s="18"/>
      <c r="L352" s="18"/>
      <c r="M352" s="14" t="s">
        <v>2259</v>
      </c>
      <c r="N352" s="17" t="s">
        <v>2260</v>
      </c>
      <c r="O352" s="14" t="s">
        <v>2261</v>
      </c>
      <c r="P352" s="14" t="s">
        <v>2262</v>
      </c>
      <c r="Q352" s="14" t="s">
        <v>447</v>
      </c>
      <c r="R352" s="18"/>
      <c r="S352" s="15"/>
      <c r="T352" s="15"/>
      <c r="U352" s="15"/>
      <c r="V352" s="15"/>
    </row>
    <row r="353" spans="1:22" x14ac:dyDescent="0.25">
      <c r="A353" s="14" t="s">
        <v>13</v>
      </c>
      <c r="B353" s="14" t="s">
        <v>2263</v>
      </c>
      <c r="C353" s="14" t="s">
        <v>2264</v>
      </c>
      <c r="D353" s="14" t="s">
        <v>2265</v>
      </c>
      <c r="E353" s="14">
        <v>2022</v>
      </c>
      <c r="F353" s="14">
        <v>43</v>
      </c>
      <c r="G353" s="14">
        <v>1</v>
      </c>
      <c r="H353" s="14" t="s">
        <v>2266</v>
      </c>
      <c r="I353" s="14" t="s">
        <v>2267</v>
      </c>
      <c r="J353" s="14">
        <v>2022</v>
      </c>
      <c r="K353" s="18"/>
      <c r="L353" s="18"/>
      <c r="M353" s="14" t="s">
        <v>2268</v>
      </c>
      <c r="N353" s="17" t="s">
        <v>2269</v>
      </c>
      <c r="O353" s="14" t="s">
        <v>2270</v>
      </c>
      <c r="P353" s="14" t="s">
        <v>2271</v>
      </c>
      <c r="Q353" s="14" t="s">
        <v>157</v>
      </c>
      <c r="R353" s="18"/>
      <c r="S353" s="15"/>
      <c r="T353" s="15"/>
      <c r="U353" s="15"/>
      <c r="V353" s="15"/>
    </row>
    <row r="354" spans="1:22" x14ac:dyDescent="0.25">
      <c r="A354" s="14" t="s">
        <v>141</v>
      </c>
      <c r="B354" s="14" t="s">
        <v>2272</v>
      </c>
      <c r="C354" s="14" t="s">
        <v>2273</v>
      </c>
      <c r="D354" s="18"/>
      <c r="E354" s="14">
        <v>2022</v>
      </c>
      <c r="F354" s="18"/>
      <c r="G354" s="18"/>
      <c r="H354" s="14" t="s">
        <v>2274</v>
      </c>
      <c r="I354" s="14" t="s">
        <v>257</v>
      </c>
      <c r="J354" s="14">
        <v>2022</v>
      </c>
      <c r="K354" s="14">
        <v>9781665437868</v>
      </c>
      <c r="L354" s="18"/>
      <c r="M354" s="18"/>
      <c r="N354" s="17" t="s">
        <v>2275</v>
      </c>
      <c r="O354" s="14" t="s">
        <v>2276</v>
      </c>
      <c r="P354" s="14" t="s">
        <v>2277</v>
      </c>
      <c r="Q354" s="14" t="s">
        <v>318</v>
      </c>
      <c r="R354" s="18"/>
      <c r="S354" s="15"/>
      <c r="T354" s="15"/>
      <c r="U354" s="15"/>
      <c r="V354" s="15"/>
    </row>
    <row r="355" spans="1:22" x14ac:dyDescent="0.25">
      <c r="A355" s="14" t="s">
        <v>13</v>
      </c>
      <c r="B355" s="14" t="s">
        <v>2278</v>
      </c>
      <c r="C355" s="14" t="s">
        <v>2279</v>
      </c>
      <c r="D355" s="14" t="s">
        <v>2280</v>
      </c>
      <c r="E355" s="14">
        <v>2021</v>
      </c>
      <c r="F355" s="14">
        <v>14</v>
      </c>
      <c r="G355" s="23">
        <v>44989</v>
      </c>
      <c r="H355" s="14" t="s">
        <v>2281</v>
      </c>
      <c r="I355" s="14" t="s">
        <v>137</v>
      </c>
      <c r="J355" s="14">
        <v>2021</v>
      </c>
      <c r="K355" s="18"/>
      <c r="L355" s="18"/>
      <c r="M355" s="14" t="s">
        <v>2282</v>
      </c>
      <c r="N355" s="17" t="s">
        <v>2283</v>
      </c>
      <c r="O355" s="14" t="s">
        <v>2284</v>
      </c>
      <c r="P355" s="14" t="s">
        <v>2285</v>
      </c>
      <c r="Q355" s="14" t="s">
        <v>2286</v>
      </c>
      <c r="R355" s="18"/>
      <c r="S355" s="15"/>
      <c r="T355" s="15"/>
      <c r="U355" s="15"/>
      <c r="V355" s="15"/>
    </row>
    <row r="356" spans="1:22" x14ac:dyDescent="0.25">
      <c r="A356" s="14" t="s">
        <v>13</v>
      </c>
      <c r="B356" s="14" t="s">
        <v>2287</v>
      </c>
      <c r="C356" s="14" t="s">
        <v>2288</v>
      </c>
      <c r="D356" s="14" t="s">
        <v>2289</v>
      </c>
      <c r="E356" s="14">
        <v>2022</v>
      </c>
      <c r="F356" s="14">
        <v>73</v>
      </c>
      <c r="G356" s="14">
        <v>4</v>
      </c>
      <c r="H356" s="14" t="s">
        <v>2290</v>
      </c>
      <c r="I356" s="14" t="s">
        <v>1714</v>
      </c>
      <c r="J356" s="14">
        <v>2022</v>
      </c>
      <c r="K356" s="18"/>
      <c r="L356" s="18"/>
      <c r="M356" s="14" t="s">
        <v>2291</v>
      </c>
      <c r="N356" s="17" t="s">
        <v>2292</v>
      </c>
      <c r="O356" s="14" t="s">
        <v>2293</v>
      </c>
      <c r="P356" s="14" t="s">
        <v>2294</v>
      </c>
      <c r="Q356" s="14" t="s">
        <v>318</v>
      </c>
      <c r="R356" s="18"/>
      <c r="S356" s="15"/>
      <c r="T356" s="15"/>
      <c r="U356" s="15"/>
      <c r="V356" s="15"/>
    </row>
    <row r="357" spans="1:22" x14ac:dyDescent="0.25">
      <c r="A357" s="14" t="s">
        <v>13</v>
      </c>
      <c r="B357" s="14" t="s">
        <v>2295</v>
      </c>
      <c r="C357" s="14" t="s">
        <v>2296</v>
      </c>
      <c r="D357" s="14" t="s">
        <v>328</v>
      </c>
      <c r="E357" s="14">
        <v>2021</v>
      </c>
      <c r="F357" s="14">
        <v>30</v>
      </c>
      <c r="G357" s="14">
        <v>4</v>
      </c>
      <c r="H357" s="18"/>
      <c r="I357" s="14" t="s">
        <v>145</v>
      </c>
      <c r="J357" s="14">
        <v>2021</v>
      </c>
      <c r="K357" s="18"/>
      <c r="L357" s="18"/>
      <c r="M357" s="14" t="s">
        <v>329</v>
      </c>
      <c r="N357" s="17" t="s">
        <v>2297</v>
      </c>
      <c r="O357" s="14" t="s">
        <v>2298</v>
      </c>
      <c r="P357" s="14" t="s">
        <v>2299</v>
      </c>
      <c r="Q357" s="14" t="s">
        <v>1573</v>
      </c>
      <c r="R357" s="18"/>
      <c r="S357" s="15"/>
      <c r="T357" s="15"/>
      <c r="U357" s="15"/>
      <c r="V357" s="15"/>
    </row>
    <row r="358" spans="1:22" x14ac:dyDescent="0.25">
      <c r="A358" s="14" t="s">
        <v>13</v>
      </c>
      <c r="B358" s="14" t="s">
        <v>2300</v>
      </c>
      <c r="C358" s="14" t="s">
        <v>2301</v>
      </c>
      <c r="D358" s="14" t="s">
        <v>2302</v>
      </c>
      <c r="E358" s="14">
        <v>2022</v>
      </c>
      <c r="F358" s="18"/>
      <c r="G358" s="18"/>
      <c r="H358" s="18"/>
      <c r="I358" s="14" t="s">
        <v>137</v>
      </c>
      <c r="J358" s="14">
        <v>2022</v>
      </c>
      <c r="K358" s="18"/>
      <c r="L358" s="18"/>
      <c r="M358" s="14" t="s">
        <v>2303</v>
      </c>
      <c r="N358" s="17" t="s">
        <v>2304</v>
      </c>
      <c r="O358" s="14" t="s">
        <v>2305</v>
      </c>
      <c r="P358" s="14" t="s">
        <v>2306</v>
      </c>
      <c r="Q358" s="14" t="s">
        <v>157</v>
      </c>
      <c r="R358" s="18"/>
      <c r="S358" s="15"/>
      <c r="T358" s="15"/>
      <c r="U358" s="15"/>
      <c r="V358" s="15"/>
    </row>
    <row r="359" spans="1:22" x14ac:dyDescent="0.25">
      <c r="A359" s="14" t="s">
        <v>141</v>
      </c>
      <c r="B359" s="14" t="s">
        <v>2307</v>
      </c>
      <c r="C359" s="14" t="s">
        <v>2308</v>
      </c>
      <c r="D359" s="18"/>
      <c r="E359" s="14">
        <v>2022</v>
      </c>
      <c r="F359" s="18"/>
      <c r="G359" s="18"/>
      <c r="H359" s="14" t="s">
        <v>2309</v>
      </c>
      <c r="I359" s="14" t="s">
        <v>257</v>
      </c>
      <c r="J359" s="14">
        <v>2022</v>
      </c>
      <c r="K359" s="14">
        <v>9781450393041</v>
      </c>
      <c r="L359" s="18"/>
      <c r="M359" s="18"/>
      <c r="N359" s="17" t="s">
        <v>2310</v>
      </c>
      <c r="O359" s="14" t="s">
        <v>2311</v>
      </c>
      <c r="P359" s="14" t="s">
        <v>2312</v>
      </c>
      <c r="Q359" s="14" t="s">
        <v>157</v>
      </c>
      <c r="R359" s="18"/>
      <c r="S359" s="15"/>
      <c r="T359" s="15"/>
      <c r="U359" s="15"/>
      <c r="V359" s="15"/>
    </row>
    <row r="360" spans="1:22" x14ac:dyDescent="0.25">
      <c r="A360" s="14" t="s">
        <v>141</v>
      </c>
      <c r="B360" s="14" t="s">
        <v>2313</v>
      </c>
      <c r="C360" s="14" t="s">
        <v>2314</v>
      </c>
      <c r="D360" s="18"/>
      <c r="E360" s="14">
        <v>2022</v>
      </c>
      <c r="F360" s="18"/>
      <c r="G360" s="18"/>
      <c r="H360" s="14" t="s">
        <v>1587</v>
      </c>
      <c r="I360" s="14" t="s">
        <v>257</v>
      </c>
      <c r="J360" s="14">
        <v>2022</v>
      </c>
      <c r="K360" s="14">
        <v>9781665417280</v>
      </c>
      <c r="L360" s="18"/>
      <c r="M360" s="18"/>
      <c r="N360" s="17" t="s">
        <v>2315</v>
      </c>
      <c r="O360" s="14" t="s">
        <v>2316</v>
      </c>
      <c r="P360" s="14" t="s">
        <v>2317</v>
      </c>
      <c r="Q360" s="14" t="s">
        <v>157</v>
      </c>
      <c r="R360" s="18"/>
      <c r="S360" s="15"/>
      <c r="T360" s="15"/>
      <c r="U360" s="15"/>
      <c r="V360" s="15"/>
    </row>
    <row r="361" spans="1:22" x14ac:dyDescent="0.25">
      <c r="A361" s="14" t="s">
        <v>13</v>
      </c>
      <c r="B361" s="14" t="s">
        <v>2318</v>
      </c>
      <c r="C361" s="14" t="s">
        <v>2319</v>
      </c>
      <c r="D361" s="14" t="s">
        <v>2320</v>
      </c>
      <c r="E361" s="14">
        <v>2022</v>
      </c>
      <c r="F361" s="14">
        <v>412</v>
      </c>
      <c r="G361" s="18"/>
      <c r="H361" s="18"/>
      <c r="I361" s="14" t="s">
        <v>355</v>
      </c>
      <c r="J361" s="14">
        <v>2022</v>
      </c>
      <c r="K361" s="18"/>
      <c r="L361" s="18"/>
      <c r="M361" s="14" t="s">
        <v>2321</v>
      </c>
      <c r="N361" s="17" t="s">
        <v>2322</v>
      </c>
      <c r="O361" s="14" t="s">
        <v>2323</v>
      </c>
      <c r="P361" s="14" t="s">
        <v>2324</v>
      </c>
      <c r="Q361" s="14" t="s">
        <v>1573</v>
      </c>
      <c r="R361" s="18"/>
      <c r="S361" s="15"/>
      <c r="T361" s="15"/>
      <c r="U361" s="15"/>
      <c r="V361" s="15"/>
    </row>
    <row r="362" spans="1:22" x14ac:dyDescent="0.25">
      <c r="A362" s="14" t="s">
        <v>13</v>
      </c>
      <c r="B362" s="14" t="s">
        <v>2325</v>
      </c>
      <c r="C362" s="14" t="s">
        <v>2326</v>
      </c>
      <c r="D362" s="14" t="s">
        <v>2327</v>
      </c>
      <c r="E362" s="14">
        <v>2021</v>
      </c>
      <c r="F362" s="14">
        <v>199</v>
      </c>
      <c r="G362" s="23">
        <v>44989</v>
      </c>
      <c r="H362" s="14" t="s">
        <v>2328</v>
      </c>
      <c r="I362" s="14" t="s">
        <v>392</v>
      </c>
      <c r="J362" s="14">
        <v>2021</v>
      </c>
      <c r="K362" s="18"/>
      <c r="L362" s="18"/>
      <c r="M362" s="14" t="s">
        <v>2329</v>
      </c>
      <c r="N362" s="17" t="s">
        <v>2330</v>
      </c>
      <c r="O362" s="14" t="s">
        <v>2331</v>
      </c>
      <c r="P362" s="14" t="s">
        <v>2332</v>
      </c>
      <c r="Q362" s="14" t="s">
        <v>2333</v>
      </c>
      <c r="R362" s="18"/>
      <c r="S362" s="15"/>
      <c r="T362" s="15"/>
      <c r="U362" s="15"/>
      <c r="V362" s="15"/>
    </row>
    <row r="363" spans="1:22" x14ac:dyDescent="0.25">
      <c r="A363" s="14" t="s">
        <v>141</v>
      </c>
      <c r="B363" s="14" t="s">
        <v>2334</v>
      </c>
      <c r="C363" s="14" t="s">
        <v>2335</v>
      </c>
      <c r="D363" s="18"/>
      <c r="E363" s="14">
        <v>2021</v>
      </c>
      <c r="F363" s="21">
        <v>44409</v>
      </c>
      <c r="G363" s="18"/>
      <c r="H363" s="14" t="s">
        <v>2336</v>
      </c>
      <c r="I363" s="14" t="s">
        <v>196</v>
      </c>
      <c r="J363" s="14">
        <v>2021</v>
      </c>
      <c r="K363" s="14">
        <v>9781665418737</v>
      </c>
      <c r="L363" s="18"/>
      <c r="M363" s="14" t="s">
        <v>2337</v>
      </c>
      <c r="N363" s="17" t="s">
        <v>2338</v>
      </c>
      <c r="O363" s="14" t="s">
        <v>2339</v>
      </c>
      <c r="P363" s="14" t="s">
        <v>2340</v>
      </c>
      <c r="Q363" s="14" t="s">
        <v>318</v>
      </c>
      <c r="R363" s="18"/>
      <c r="S363" s="15"/>
      <c r="T363" s="15"/>
      <c r="U363" s="15"/>
      <c r="V363" s="15"/>
    </row>
    <row r="364" spans="1:22" x14ac:dyDescent="0.25">
      <c r="A364" s="14" t="s">
        <v>141</v>
      </c>
      <c r="B364" s="14" t="s">
        <v>2341</v>
      </c>
      <c r="C364" s="14" t="s">
        <v>2342</v>
      </c>
      <c r="D364" s="18"/>
      <c r="E364" s="14">
        <v>2022</v>
      </c>
      <c r="F364" s="18"/>
      <c r="G364" s="18"/>
      <c r="H364" s="14" t="s">
        <v>2343</v>
      </c>
      <c r="I364" s="14" t="s">
        <v>196</v>
      </c>
      <c r="J364" s="14">
        <v>2022</v>
      </c>
      <c r="K364" s="14">
        <v>9781665495981</v>
      </c>
      <c r="L364" s="18"/>
      <c r="M364" s="14" t="s">
        <v>1458</v>
      </c>
      <c r="N364" s="17" t="s">
        <v>2344</v>
      </c>
      <c r="O364" s="14" t="s">
        <v>2345</v>
      </c>
      <c r="P364" s="14" t="s">
        <v>2346</v>
      </c>
      <c r="Q364" s="14" t="s">
        <v>157</v>
      </c>
      <c r="R364" s="18"/>
      <c r="S364" s="15"/>
      <c r="T364" s="15"/>
      <c r="U364" s="15"/>
      <c r="V364" s="15"/>
    </row>
    <row r="365" spans="1:22" x14ac:dyDescent="0.25">
      <c r="A365" s="14" t="s">
        <v>141</v>
      </c>
      <c r="B365" s="14" t="s">
        <v>2347</v>
      </c>
      <c r="C365" s="14" t="s">
        <v>2348</v>
      </c>
      <c r="D365" s="18"/>
      <c r="E365" s="14">
        <v>2022</v>
      </c>
      <c r="F365" s="18"/>
      <c r="G365" s="18"/>
      <c r="H365" s="14" t="s">
        <v>2349</v>
      </c>
      <c r="I365" s="14" t="s">
        <v>257</v>
      </c>
      <c r="J365" s="14">
        <v>2022</v>
      </c>
      <c r="K365" s="14">
        <v>9781450392754</v>
      </c>
      <c r="L365" s="18"/>
      <c r="M365" s="18"/>
      <c r="N365" s="17" t="s">
        <v>2350</v>
      </c>
      <c r="O365" s="14" t="s">
        <v>2351</v>
      </c>
      <c r="P365" s="14" t="s">
        <v>2352</v>
      </c>
      <c r="Q365" s="14" t="s">
        <v>568</v>
      </c>
      <c r="R365" s="18"/>
      <c r="S365" s="15"/>
      <c r="T365" s="15"/>
      <c r="U365" s="15"/>
      <c r="V365" s="15"/>
    </row>
    <row r="366" spans="1:22" x14ac:dyDescent="0.25">
      <c r="A366" s="14" t="s">
        <v>13</v>
      </c>
      <c r="B366" s="14" t="s">
        <v>2353</v>
      </c>
      <c r="C366" s="14" t="s">
        <v>2354</v>
      </c>
      <c r="D366" s="14" t="s">
        <v>2355</v>
      </c>
      <c r="E366" s="14">
        <v>2022</v>
      </c>
      <c r="F366" s="14">
        <v>23</v>
      </c>
      <c r="G366" s="14">
        <v>3</v>
      </c>
      <c r="H366" s="14" t="s">
        <v>2356</v>
      </c>
      <c r="I366" s="14" t="s">
        <v>2357</v>
      </c>
      <c r="J366" s="14">
        <v>2022</v>
      </c>
      <c r="K366" s="18"/>
      <c r="L366" s="18"/>
      <c r="M366" s="14" t="s">
        <v>2358</v>
      </c>
      <c r="N366" s="17" t="s">
        <v>2359</v>
      </c>
      <c r="O366" s="14" t="s">
        <v>2360</v>
      </c>
      <c r="P366" s="14" t="s">
        <v>2361</v>
      </c>
      <c r="Q366" s="14" t="s">
        <v>568</v>
      </c>
      <c r="R366" s="18"/>
      <c r="S366" s="15"/>
      <c r="T366" s="15"/>
      <c r="U366" s="15"/>
      <c r="V366" s="15"/>
    </row>
    <row r="367" spans="1:22" x14ac:dyDescent="0.25">
      <c r="A367" s="14" t="s">
        <v>141</v>
      </c>
      <c r="B367" s="14" t="s">
        <v>2362</v>
      </c>
      <c r="C367" s="14" t="s">
        <v>2363</v>
      </c>
      <c r="D367" s="18"/>
      <c r="E367" s="14">
        <v>2021</v>
      </c>
      <c r="F367" s="18"/>
      <c r="G367" s="18"/>
      <c r="H367" s="14" t="s">
        <v>2364</v>
      </c>
      <c r="I367" s="14" t="s">
        <v>153</v>
      </c>
      <c r="J367" s="14">
        <v>2021</v>
      </c>
      <c r="K367" s="14">
        <v>9781450385626</v>
      </c>
      <c r="L367" s="18"/>
      <c r="M367" s="18"/>
      <c r="N367" s="17" t="s">
        <v>2365</v>
      </c>
      <c r="O367" s="14" t="s">
        <v>2366</v>
      </c>
      <c r="P367" s="14" t="s">
        <v>2367</v>
      </c>
      <c r="Q367" s="14" t="s">
        <v>1591</v>
      </c>
      <c r="R367" s="18"/>
      <c r="S367" s="15"/>
      <c r="T367" s="15"/>
      <c r="U367" s="15"/>
      <c r="V367" s="15"/>
    </row>
    <row r="368" spans="1:22" x14ac:dyDescent="0.25">
      <c r="A368" s="14" t="s">
        <v>141</v>
      </c>
      <c r="B368" s="14" t="s">
        <v>2368</v>
      </c>
      <c r="C368" s="14" t="s">
        <v>2369</v>
      </c>
      <c r="D368" s="18"/>
      <c r="E368" s="14">
        <v>2021</v>
      </c>
      <c r="F368" s="18"/>
      <c r="G368" s="18"/>
      <c r="H368" s="14" t="s">
        <v>2370</v>
      </c>
      <c r="I368" s="14" t="s">
        <v>257</v>
      </c>
      <c r="J368" s="14">
        <v>2021</v>
      </c>
      <c r="K368" s="14">
        <v>9781665414098</v>
      </c>
      <c r="L368" s="18"/>
      <c r="M368" s="18"/>
      <c r="N368" s="17" t="s">
        <v>2371</v>
      </c>
      <c r="O368" s="14" t="s">
        <v>2372</v>
      </c>
      <c r="P368" s="14" t="s">
        <v>2373</v>
      </c>
      <c r="Q368" s="14" t="s">
        <v>157</v>
      </c>
      <c r="R368" s="18"/>
      <c r="S368" s="15"/>
      <c r="T368" s="15"/>
      <c r="U368" s="15"/>
      <c r="V368" s="15"/>
    </row>
    <row r="369" spans="1:22" x14ac:dyDescent="0.25">
      <c r="A369" s="14" t="s">
        <v>141</v>
      </c>
      <c r="B369" s="14" t="s">
        <v>2374</v>
      </c>
      <c r="C369" s="14" t="s">
        <v>2375</v>
      </c>
      <c r="D369" s="18"/>
      <c r="E369" s="14">
        <v>2022</v>
      </c>
      <c r="F369" s="18"/>
      <c r="G369" s="18"/>
      <c r="H369" s="14" t="s">
        <v>2376</v>
      </c>
      <c r="I369" s="14" t="s">
        <v>257</v>
      </c>
      <c r="J369" s="14">
        <v>2022</v>
      </c>
      <c r="K369" s="14">
        <v>9781450393034</v>
      </c>
      <c r="L369" s="18"/>
      <c r="M369" s="18"/>
      <c r="N369" s="17" t="s">
        <v>2377</v>
      </c>
      <c r="O369" s="14" t="s">
        <v>2378</v>
      </c>
      <c r="P369" s="14" t="s">
        <v>2379</v>
      </c>
      <c r="Q369" s="14" t="s">
        <v>568</v>
      </c>
      <c r="R369" s="18"/>
      <c r="S369" s="15"/>
      <c r="T369" s="15"/>
      <c r="U369" s="15"/>
      <c r="V369" s="15"/>
    </row>
    <row r="370" spans="1:22" x14ac:dyDescent="0.25">
      <c r="A370" s="14" t="s">
        <v>141</v>
      </c>
      <c r="B370" s="14" t="s">
        <v>2380</v>
      </c>
      <c r="C370" s="14" t="s">
        <v>2381</v>
      </c>
      <c r="D370" s="18"/>
      <c r="E370" s="14">
        <v>2021</v>
      </c>
      <c r="F370" s="18"/>
      <c r="G370" s="18"/>
      <c r="H370" s="14" t="s">
        <v>2382</v>
      </c>
      <c r="I370" s="14" t="s">
        <v>153</v>
      </c>
      <c r="J370" s="14">
        <v>2021</v>
      </c>
      <c r="K370" s="14">
        <v>9781450391108</v>
      </c>
      <c r="L370" s="18"/>
      <c r="M370" s="18"/>
      <c r="N370" s="17" t="s">
        <v>2383</v>
      </c>
      <c r="O370" s="14" t="s">
        <v>2384</v>
      </c>
      <c r="P370" s="14" t="s">
        <v>2385</v>
      </c>
      <c r="Q370" s="14" t="s">
        <v>999</v>
      </c>
      <c r="R370" s="18"/>
      <c r="S370" s="15"/>
      <c r="T370" s="15"/>
      <c r="U370" s="15"/>
      <c r="V370" s="15"/>
    </row>
    <row r="371" spans="1:22" x14ac:dyDescent="0.25">
      <c r="A371" s="14" t="s">
        <v>141</v>
      </c>
      <c r="B371" s="14" t="s">
        <v>2386</v>
      </c>
      <c r="C371" s="14" t="s">
        <v>2387</v>
      </c>
      <c r="D371" s="18"/>
      <c r="E371" s="14">
        <v>2022</v>
      </c>
      <c r="F371" s="18"/>
      <c r="G371" s="18"/>
      <c r="H371" s="14" t="s">
        <v>2388</v>
      </c>
      <c r="I371" s="14" t="s">
        <v>257</v>
      </c>
      <c r="J371" s="14">
        <v>2022</v>
      </c>
      <c r="K371" s="14">
        <v>9781450392754</v>
      </c>
      <c r="L371" s="18"/>
      <c r="M371" s="18"/>
      <c r="N371" s="17" t="s">
        <v>2389</v>
      </c>
      <c r="O371" s="14" t="s">
        <v>2390</v>
      </c>
      <c r="P371" s="14" t="s">
        <v>2391</v>
      </c>
      <c r="Q371" s="14" t="s">
        <v>2392</v>
      </c>
      <c r="R371" s="18"/>
      <c r="S371" s="15"/>
      <c r="T371" s="15"/>
      <c r="U371" s="15"/>
      <c r="V371" s="15"/>
    </row>
    <row r="372" spans="1:22" x14ac:dyDescent="0.25">
      <c r="A372" s="14" t="s">
        <v>13</v>
      </c>
      <c r="B372" s="14" t="s">
        <v>2393</v>
      </c>
      <c r="C372" s="14" t="s">
        <v>2394</v>
      </c>
      <c r="D372" s="14" t="s">
        <v>354</v>
      </c>
      <c r="E372" s="14">
        <v>2021</v>
      </c>
      <c r="F372" s="14">
        <v>181</v>
      </c>
      <c r="G372" s="18"/>
      <c r="H372" s="18"/>
      <c r="I372" s="14" t="s">
        <v>355</v>
      </c>
      <c r="J372" s="14">
        <v>2021</v>
      </c>
      <c r="K372" s="18"/>
      <c r="L372" s="18"/>
      <c r="M372" s="14" t="s">
        <v>65</v>
      </c>
      <c r="N372" s="17" t="s">
        <v>2395</v>
      </c>
      <c r="O372" s="14" t="s">
        <v>2396</v>
      </c>
      <c r="P372" s="14" t="s">
        <v>2397</v>
      </c>
      <c r="Q372" s="14" t="s">
        <v>1598</v>
      </c>
      <c r="R372" s="18"/>
      <c r="S372" s="15"/>
      <c r="T372" s="15"/>
      <c r="U372" s="15"/>
      <c r="V372" s="15"/>
    </row>
    <row r="373" spans="1:22" x14ac:dyDescent="0.25">
      <c r="A373" s="14" t="s">
        <v>141</v>
      </c>
      <c r="B373" s="14" t="s">
        <v>728</v>
      </c>
      <c r="C373" s="14" t="s">
        <v>2398</v>
      </c>
      <c r="D373" s="18"/>
      <c r="E373" s="14">
        <v>2022</v>
      </c>
      <c r="F373" s="18"/>
      <c r="G373" s="18"/>
      <c r="H373" s="14" t="s">
        <v>2399</v>
      </c>
      <c r="I373" s="14" t="s">
        <v>257</v>
      </c>
      <c r="J373" s="14">
        <v>2022</v>
      </c>
      <c r="K373" s="14">
        <v>9781450393034</v>
      </c>
      <c r="L373" s="18"/>
      <c r="M373" s="18"/>
      <c r="N373" s="17" t="s">
        <v>2400</v>
      </c>
      <c r="O373" s="14" t="s">
        <v>2401</v>
      </c>
      <c r="P373" s="14" t="s">
        <v>2402</v>
      </c>
      <c r="Q373" s="14" t="s">
        <v>149</v>
      </c>
      <c r="R373" s="18"/>
      <c r="S373" s="15"/>
      <c r="T373" s="15"/>
      <c r="U373" s="15"/>
      <c r="V373" s="15"/>
    </row>
    <row r="374" spans="1:22" x14ac:dyDescent="0.25">
      <c r="A374" s="14" t="s">
        <v>13</v>
      </c>
      <c r="B374" s="14" t="s">
        <v>2403</v>
      </c>
      <c r="C374" s="14" t="s">
        <v>2404</v>
      </c>
      <c r="D374" s="14" t="s">
        <v>523</v>
      </c>
      <c r="E374" s="14">
        <v>2021</v>
      </c>
      <c r="F374" s="14">
        <v>29</v>
      </c>
      <c r="G374" s="14">
        <v>2</v>
      </c>
      <c r="H374" s="14" t="s">
        <v>2405</v>
      </c>
      <c r="I374" s="14" t="s">
        <v>137</v>
      </c>
      <c r="J374" s="14">
        <v>2021</v>
      </c>
      <c r="K374" s="18"/>
      <c r="L374" s="18"/>
      <c r="M374" s="14" t="s">
        <v>525</v>
      </c>
      <c r="N374" s="17" t="s">
        <v>2406</v>
      </c>
      <c r="O374" s="14" t="s">
        <v>2407</v>
      </c>
      <c r="P374" s="14" t="s">
        <v>2408</v>
      </c>
      <c r="Q374" s="14" t="s">
        <v>1813</v>
      </c>
      <c r="R374" s="18"/>
      <c r="S374" s="15"/>
      <c r="T374" s="15"/>
      <c r="U374" s="15"/>
      <c r="V374" s="15"/>
    </row>
    <row r="375" spans="1:22" x14ac:dyDescent="0.25">
      <c r="A375" s="14" t="s">
        <v>141</v>
      </c>
      <c r="B375" s="14" t="s">
        <v>2409</v>
      </c>
      <c r="C375" s="14" t="s">
        <v>2410</v>
      </c>
      <c r="D375" s="18"/>
      <c r="E375" s="14">
        <v>2022</v>
      </c>
      <c r="F375" s="18"/>
      <c r="G375" s="18"/>
      <c r="H375" s="14" t="s">
        <v>2411</v>
      </c>
      <c r="I375" s="14" t="s">
        <v>257</v>
      </c>
      <c r="J375" s="14">
        <v>2022</v>
      </c>
      <c r="K375" s="14">
        <v>9781665417280</v>
      </c>
      <c r="L375" s="18"/>
      <c r="M375" s="18"/>
      <c r="N375" s="17" t="s">
        <v>2412</v>
      </c>
      <c r="O375" s="14" t="s">
        <v>2413</v>
      </c>
      <c r="P375" s="14" t="s">
        <v>2414</v>
      </c>
      <c r="Q375" s="14" t="s">
        <v>289</v>
      </c>
      <c r="R375" s="18"/>
      <c r="S375" s="15"/>
      <c r="T375" s="15"/>
      <c r="U375" s="15"/>
      <c r="V375" s="15"/>
    </row>
    <row r="376" spans="1:22" x14ac:dyDescent="0.25">
      <c r="A376" s="14" t="s">
        <v>141</v>
      </c>
      <c r="B376" s="14" t="s">
        <v>2415</v>
      </c>
      <c r="C376" s="14" t="s">
        <v>2416</v>
      </c>
      <c r="D376" s="18"/>
      <c r="E376" s="14">
        <v>2021</v>
      </c>
      <c r="F376" s="18"/>
      <c r="G376" s="18"/>
      <c r="H376" s="18"/>
      <c r="I376" s="14" t="s">
        <v>145</v>
      </c>
      <c r="J376" s="14">
        <v>2021</v>
      </c>
      <c r="K376" s="14">
        <v>9781450380966</v>
      </c>
      <c r="L376" s="18"/>
      <c r="M376" s="18"/>
      <c r="N376" s="17" t="s">
        <v>2417</v>
      </c>
      <c r="O376" s="14" t="s">
        <v>2418</v>
      </c>
      <c r="P376" s="14" t="s">
        <v>2419</v>
      </c>
      <c r="Q376" s="14" t="s">
        <v>2420</v>
      </c>
      <c r="R376" s="18"/>
      <c r="S376" s="15"/>
      <c r="T376" s="15"/>
      <c r="U376" s="15"/>
      <c r="V376" s="15"/>
    </row>
    <row r="377" spans="1:22" x14ac:dyDescent="0.25">
      <c r="A377" s="14" t="s">
        <v>13</v>
      </c>
      <c r="B377" s="14" t="s">
        <v>2421</v>
      </c>
      <c r="C377" s="14" t="s">
        <v>2422</v>
      </c>
      <c r="D377" s="14" t="s">
        <v>2423</v>
      </c>
      <c r="E377" s="14">
        <v>2021</v>
      </c>
      <c r="F377" s="14">
        <v>13</v>
      </c>
      <c r="G377" s="18"/>
      <c r="H377" s="18"/>
      <c r="I377" s="14" t="s">
        <v>2424</v>
      </c>
      <c r="J377" s="14">
        <v>2021</v>
      </c>
      <c r="K377" s="18"/>
      <c r="L377" s="18"/>
      <c r="M377" s="14" t="s">
        <v>2425</v>
      </c>
      <c r="N377" s="17" t="s">
        <v>2426</v>
      </c>
      <c r="O377" s="14" t="s">
        <v>2427</v>
      </c>
      <c r="P377" s="14" t="s">
        <v>2428</v>
      </c>
      <c r="Q377" s="14" t="s">
        <v>447</v>
      </c>
      <c r="R377" s="18"/>
      <c r="S377" s="15"/>
      <c r="T377" s="15"/>
      <c r="U377" s="15"/>
      <c r="V377" s="15"/>
    </row>
    <row r="378" spans="1:22" x14ac:dyDescent="0.25">
      <c r="A378" s="14" t="s">
        <v>141</v>
      </c>
      <c r="B378" s="14" t="s">
        <v>2429</v>
      </c>
      <c r="C378" s="14" t="s">
        <v>2430</v>
      </c>
      <c r="D378" s="18"/>
      <c r="E378" s="14">
        <v>2022</v>
      </c>
      <c r="F378" s="18"/>
      <c r="G378" s="18"/>
      <c r="H378" s="14" t="s">
        <v>2431</v>
      </c>
      <c r="I378" s="14" t="s">
        <v>257</v>
      </c>
      <c r="J378" s="14">
        <v>2022</v>
      </c>
      <c r="K378" s="14">
        <v>9781450392754</v>
      </c>
      <c r="L378" s="18"/>
      <c r="M378" s="18"/>
      <c r="N378" s="17" t="s">
        <v>2432</v>
      </c>
      <c r="O378" s="14" t="s">
        <v>2433</v>
      </c>
      <c r="P378" s="14" t="s">
        <v>2434</v>
      </c>
      <c r="Q378" s="14" t="s">
        <v>149</v>
      </c>
      <c r="R378" s="18"/>
      <c r="S378" s="15"/>
      <c r="T378" s="15"/>
      <c r="U378" s="15"/>
      <c r="V378" s="15"/>
    </row>
    <row r="379" spans="1:22" x14ac:dyDescent="0.25">
      <c r="A379" s="14" t="s">
        <v>141</v>
      </c>
      <c r="B379" s="14" t="s">
        <v>2435</v>
      </c>
      <c r="C379" s="14" t="s">
        <v>2436</v>
      </c>
      <c r="D379" s="18"/>
      <c r="E379" s="14">
        <v>2021</v>
      </c>
      <c r="F379" s="14">
        <v>1955</v>
      </c>
      <c r="G379" s="18"/>
      <c r="H379" s="18"/>
      <c r="I379" s="14" t="s">
        <v>2437</v>
      </c>
      <c r="J379" s="14">
        <v>2021</v>
      </c>
      <c r="K379" s="18"/>
      <c r="L379" s="18"/>
      <c r="M379" s="14" t="s">
        <v>2438</v>
      </c>
      <c r="N379" s="17" t="s">
        <v>2439</v>
      </c>
      <c r="O379" s="14" t="s">
        <v>2440</v>
      </c>
      <c r="P379" s="14" t="s">
        <v>2441</v>
      </c>
      <c r="Q379" s="14" t="s">
        <v>568</v>
      </c>
      <c r="R379" s="18"/>
      <c r="S379" s="15"/>
      <c r="T379" s="15"/>
      <c r="U379" s="15"/>
      <c r="V379" s="15"/>
    </row>
    <row r="380" spans="1:22" x14ac:dyDescent="0.25">
      <c r="A380" s="14" t="s">
        <v>141</v>
      </c>
      <c r="B380" s="14" t="s">
        <v>2442</v>
      </c>
      <c r="C380" s="14" t="s">
        <v>2443</v>
      </c>
      <c r="D380" s="18"/>
      <c r="E380" s="14">
        <v>2022</v>
      </c>
      <c r="F380" s="18"/>
      <c r="G380" s="18"/>
      <c r="H380" s="14" t="s">
        <v>2444</v>
      </c>
      <c r="I380" s="14" t="s">
        <v>196</v>
      </c>
      <c r="J380" s="14">
        <v>2022</v>
      </c>
      <c r="K380" s="14">
        <v>9781665495967</v>
      </c>
      <c r="L380" s="18"/>
      <c r="M380" s="14" t="s">
        <v>1458</v>
      </c>
      <c r="N380" s="17" t="s">
        <v>2445</v>
      </c>
      <c r="O380" s="14" t="s">
        <v>2446</v>
      </c>
      <c r="P380" s="14" t="s">
        <v>2447</v>
      </c>
      <c r="Q380" s="14" t="s">
        <v>289</v>
      </c>
      <c r="R380" s="18"/>
      <c r="S380" s="15"/>
      <c r="T380" s="15"/>
      <c r="U380" s="15"/>
      <c r="V380" s="15"/>
    </row>
    <row r="381" spans="1:22" x14ac:dyDescent="0.25">
      <c r="A381" s="14" t="s">
        <v>13</v>
      </c>
      <c r="B381" s="14" t="s">
        <v>2448</v>
      </c>
      <c r="C381" s="14" t="s">
        <v>2449</v>
      </c>
      <c r="D381" s="14" t="s">
        <v>2450</v>
      </c>
      <c r="E381" s="14">
        <v>2022</v>
      </c>
      <c r="F381" s="14">
        <v>114</v>
      </c>
      <c r="G381" s="18"/>
      <c r="H381" s="18"/>
      <c r="I381" s="14" t="s">
        <v>1060</v>
      </c>
      <c r="J381" s="14">
        <v>2022</v>
      </c>
      <c r="K381" s="18"/>
      <c r="L381" s="18"/>
      <c r="M381" s="14" t="s">
        <v>2451</v>
      </c>
      <c r="N381" s="17" t="s">
        <v>2452</v>
      </c>
      <c r="O381" s="14" t="s">
        <v>2453</v>
      </c>
      <c r="P381" s="14" t="s">
        <v>2454</v>
      </c>
      <c r="Q381" s="14" t="s">
        <v>318</v>
      </c>
      <c r="R381" s="18"/>
      <c r="S381" s="15"/>
      <c r="T381" s="15"/>
      <c r="U381" s="15"/>
      <c r="V381" s="15"/>
    </row>
    <row r="382" spans="1:22" x14ac:dyDescent="0.25">
      <c r="A382" s="14" t="s">
        <v>13</v>
      </c>
      <c r="B382" s="14" t="s">
        <v>2455</v>
      </c>
      <c r="C382" s="14" t="s">
        <v>2456</v>
      </c>
      <c r="D382" s="14" t="s">
        <v>1161</v>
      </c>
      <c r="E382" s="14">
        <v>2021</v>
      </c>
      <c r="F382" s="14">
        <v>9</v>
      </c>
      <c r="G382" s="14">
        <v>21</v>
      </c>
      <c r="H382" s="18"/>
      <c r="I382" s="14" t="s">
        <v>228</v>
      </c>
      <c r="J382" s="14">
        <v>2021</v>
      </c>
      <c r="K382" s="18"/>
      <c r="L382" s="18"/>
      <c r="M382" s="14" t="s">
        <v>1162</v>
      </c>
      <c r="N382" s="17" t="s">
        <v>2457</v>
      </c>
      <c r="O382" s="14" t="s">
        <v>2458</v>
      </c>
      <c r="P382" s="14" t="s">
        <v>2459</v>
      </c>
      <c r="Q382" s="14" t="s">
        <v>233</v>
      </c>
      <c r="R382" s="18"/>
      <c r="S382" s="15"/>
      <c r="T382" s="15"/>
      <c r="U382" s="15"/>
      <c r="V382" s="15"/>
    </row>
    <row r="383" spans="1:22" x14ac:dyDescent="0.25">
      <c r="A383" s="14" t="s">
        <v>141</v>
      </c>
      <c r="B383" s="14" t="s">
        <v>2460</v>
      </c>
      <c r="C383" s="14" t="s">
        <v>2461</v>
      </c>
      <c r="D383" s="18"/>
      <c r="E383" s="14">
        <v>2021</v>
      </c>
      <c r="F383" s="18"/>
      <c r="G383" s="18"/>
      <c r="H383" s="18"/>
      <c r="I383" s="14" t="s">
        <v>196</v>
      </c>
      <c r="J383" s="14">
        <v>2021</v>
      </c>
      <c r="K383" s="14">
        <v>9781450386654</v>
      </c>
      <c r="L383" s="18"/>
      <c r="M383" s="14" t="s">
        <v>197</v>
      </c>
      <c r="N383" s="17" t="s">
        <v>2462</v>
      </c>
      <c r="O383" s="14" t="s">
        <v>2463</v>
      </c>
      <c r="P383" s="14" t="s">
        <v>2464</v>
      </c>
      <c r="Q383" s="14" t="s">
        <v>318</v>
      </c>
      <c r="R383" s="18"/>
      <c r="S383" s="15"/>
      <c r="T383" s="15"/>
      <c r="U383" s="15"/>
      <c r="V383" s="15"/>
    </row>
    <row r="384" spans="1:22" x14ac:dyDescent="0.25">
      <c r="A384" s="14" t="s">
        <v>13</v>
      </c>
      <c r="B384" s="14" t="s">
        <v>2465</v>
      </c>
      <c r="C384" s="14" t="s">
        <v>2466</v>
      </c>
      <c r="D384" s="14" t="s">
        <v>354</v>
      </c>
      <c r="E384" s="14">
        <v>2021</v>
      </c>
      <c r="F384" s="14">
        <v>176</v>
      </c>
      <c r="G384" s="18"/>
      <c r="H384" s="18"/>
      <c r="I384" s="14" t="s">
        <v>355</v>
      </c>
      <c r="J384" s="14">
        <v>2021</v>
      </c>
      <c r="K384" s="18"/>
      <c r="L384" s="18"/>
      <c r="M384" s="14" t="s">
        <v>65</v>
      </c>
      <c r="N384" s="17" t="s">
        <v>2467</v>
      </c>
      <c r="O384" s="14" t="s">
        <v>2468</v>
      </c>
      <c r="P384" s="14" t="s">
        <v>2469</v>
      </c>
      <c r="Q384" s="14" t="s">
        <v>397</v>
      </c>
      <c r="R384" s="18"/>
      <c r="S384" s="15"/>
      <c r="T384" s="15"/>
      <c r="U384" s="15"/>
      <c r="V384" s="15"/>
    </row>
    <row r="385" spans="1:22" x14ac:dyDescent="0.25">
      <c r="A385" s="14" t="s">
        <v>141</v>
      </c>
      <c r="B385" s="14" t="s">
        <v>2470</v>
      </c>
      <c r="C385" s="14" t="s">
        <v>2471</v>
      </c>
      <c r="D385" s="18"/>
      <c r="E385" s="14">
        <v>2022</v>
      </c>
      <c r="F385" s="21">
        <v>44621</v>
      </c>
      <c r="G385" s="18"/>
      <c r="H385" s="14" t="s">
        <v>2472</v>
      </c>
      <c r="I385" s="14" t="s">
        <v>196</v>
      </c>
      <c r="J385" s="14">
        <v>2022</v>
      </c>
      <c r="K385" s="14">
        <v>9781450392983</v>
      </c>
      <c r="L385" s="18"/>
      <c r="M385" s="18"/>
      <c r="N385" s="17" t="s">
        <v>2473</v>
      </c>
      <c r="O385" s="14" t="s">
        <v>2474</v>
      </c>
      <c r="P385" s="14" t="s">
        <v>2475</v>
      </c>
      <c r="Q385" s="14" t="s">
        <v>387</v>
      </c>
      <c r="R385" s="18"/>
      <c r="S385" s="15"/>
      <c r="T385" s="15"/>
      <c r="U385" s="15"/>
      <c r="V385" s="15"/>
    </row>
    <row r="386" spans="1:22" x14ac:dyDescent="0.25">
      <c r="A386" s="14" t="s">
        <v>13</v>
      </c>
      <c r="B386" s="14" t="s">
        <v>2476</v>
      </c>
      <c r="C386" s="14" t="s">
        <v>2477</v>
      </c>
      <c r="D386" s="14" t="s">
        <v>668</v>
      </c>
      <c r="E386" s="14">
        <v>2022</v>
      </c>
      <c r="F386" s="14">
        <v>10</v>
      </c>
      <c r="G386" s="18"/>
      <c r="H386" s="14" t="s">
        <v>2478</v>
      </c>
      <c r="I386" s="14" t="s">
        <v>257</v>
      </c>
      <c r="J386" s="14">
        <v>2022</v>
      </c>
      <c r="K386" s="18"/>
      <c r="L386" s="18"/>
      <c r="M386" s="14" t="s">
        <v>670</v>
      </c>
      <c r="N386" s="17" t="s">
        <v>2479</v>
      </c>
      <c r="O386" s="14" t="s">
        <v>2480</v>
      </c>
      <c r="P386" s="14" t="s">
        <v>2481</v>
      </c>
      <c r="Q386" s="14" t="s">
        <v>285</v>
      </c>
      <c r="R386" s="18"/>
      <c r="S386" s="15"/>
      <c r="T386" s="15"/>
      <c r="U386" s="15"/>
      <c r="V386" s="15"/>
    </row>
    <row r="387" spans="1:22" x14ac:dyDescent="0.25">
      <c r="A387" s="14" t="s">
        <v>13</v>
      </c>
      <c r="B387" s="14" t="s">
        <v>2482</v>
      </c>
      <c r="C387" s="14" t="s">
        <v>2483</v>
      </c>
      <c r="D387" s="14" t="s">
        <v>2484</v>
      </c>
      <c r="E387" s="14">
        <v>2022</v>
      </c>
      <c r="F387" s="14">
        <v>2022</v>
      </c>
      <c r="G387" s="18"/>
      <c r="H387" s="18"/>
      <c r="I387" s="14" t="s">
        <v>1333</v>
      </c>
      <c r="J387" s="14">
        <v>2022</v>
      </c>
      <c r="K387" s="18"/>
      <c r="L387" s="18"/>
      <c r="M387" s="14" t="s">
        <v>2485</v>
      </c>
      <c r="N387" s="17" t="s">
        <v>2486</v>
      </c>
      <c r="O387" s="14" t="s">
        <v>2487</v>
      </c>
      <c r="P387" s="14" t="s">
        <v>2488</v>
      </c>
      <c r="Q387" s="14" t="s">
        <v>896</v>
      </c>
      <c r="R387" s="18"/>
      <c r="S387" s="15"/>
      <c r="T387" s="15"/>
      <c r="U387" s="15"/>
      <c r="V387" s="15"/>
    </row>
    <row r="388" spans="1:22" x14ac:dyDescent="0.25">
      <c r="A388" s="14" t="s">
        <v>13</v>
      </c>
      <c r="B388" s="14" t="s">
        <v>2489</v>
      </c>
      <c r="C388" s="14" t="s">
        <v>2490</v>
      </c>
      <c r="D388" s="14" t="s">
        <v>354</v>
      </c>
      <c r="E388" s="14">
        <v>2021</v>
      </c>
      <c r="F388" s="14">
        <v>176</v>
      </c>
      <c r="G388" s="18"/>
      <c r="H388" s="18"/>
      <c r="I388" s="14" t="s">
        <v>355</v>
      </c>
      <c r="J388" s="14">
        <v>2021</v>
      </c>
      <c r="K388" s="18"/>
      <c r="L388" s="18"/>
      <c r="M388" s="14" t="s">
        <v>65</v>
      </c>
      <c r="N388" s="17" t="s">
        <v>2491</v>
      </c>
      <c r="O388" s="14" t="s">
        <v>2492</v>
      </c>
      <c r="P388" s="14" t="s">
        <v>2493</v>
      </c>
      <c r="Q388" s="14" t="s">
        <v>1813</v>
      </c>
      <c r="R388" s="18"/>
      <c r="S388" s="15"/>
      <c r="T388" s="15"/>
      <c r="U388" s="15"/>
      <c r="V388" s="15"/>
    </row>
    <row r="389" spans="1:22" x14ac:dyDescent="0.25">
      <c r="A389" s="14" t="s">
        <v>141</v>
      </c>
      <c r="B389" s="14" t="s">
        <v>2494</v>
      </c>
      <c r="C389" s="14" t="s">
        <v>2495</v>
      </c>
      <c r="D389" s="18"/>
      <c r="E389" s="14">
        <v>2022</v>
      </c>
      <c r="F389" s="18"/>
      <c r="G389" s="18"/>
      <c r="H389" s="14" t="s">
        <v>2496</v>
      </c>
      <c r="I389" s="14" t="s">
        <v>257</v>
      </c>
      <c r="J389" s="14">
        <v>2022</v>
      </c>
      <c r="K389" s="14">
        <v>9781450393041</v>
      </c>
      <c r="L389" s="18"/>
      <c r="M389" s="18"/>
      <c r="N389" s="17" t="s">
        <v>2497</v>
      </c>
      <c r="O389" s="14" t="s">
        <v>2498</v>
      </c>
      <c r="P389" s="14" t="s">
        <v>2499</v>
      </c>
      <c r="Q389" s="14" t="s">
        <v>404</v>
      </c>
      <c r="R389" s="18"/>
      <c r="S389" s="15"/>
      <c r="T389" s="15"/>
      <c r="U389" s="15"/>
      <c r="V389" s="15"/>
    </row>
    <row r="390" spans="1:22" x14ac:dyDescent="0.25">
      <c r="A390" s="14" t="s">
        <v>13</v>
      </c>
      <c r="B390" s="14" t="s">
        <v>2500</v>
      </c>
      <c r="C390" s="14" t="s">
        <v>2501</v>
      </c>
      <c r="D390" s="14" t="s">
        <v>2502</v>
      </c>
      <c r="E390" s="14">
        <v>2022</v>
      </c>
      <c r="F390" s="18"/>
      <c r="G390" s="18"/>
      <c r="H390" s="18"/>
      <c r="I390" s="14" t="s">
        <v>137</v>
      </c>
      <c r="J390" s="14">
        <v>2022</v>
      </c>
      <c r="K390" s="18"/>
      <c r="L390" s="18"/>
      <c r="M390" s="14" t="s">
        <v>2503</v>
      </c>
      <c r="N390" s="17" t="s">
        <v>2504</v>
      </c>
      <c r="O390" s="14" t="s">
        <v>2505</v>
      </c>
      <c r="P390" s="14" t="s">
        <v>2506</v>
      </c>
      <c r="Q390" s="14" t="s">
        <v>387</v>
      </c>
      <c r="R390" s="18"/>
      <c r="S390" s="15"/>
      <c r="T390" s="15"/>
      <c r="U390" s="15"/>
      <c r="V390" s="15"/>
    </row>
    <row r="391" spans="1:22" x14ac:dyDescent="0.25">
      <c r="A391" s="14" t="s">
        <v>13</v>
      </c>
      <c r="B391" s="14" t="s">
        <v>2507</v>
      </c>
      <c r="C391" s="14" t="s">
        <v>2508</v>
      </c>
      <c r="D391" s="14" t="s">
        <v>668</v>
      </c>
      <c r="E391" s="14">
        <v>2022</v>
      </c>
      <c r="F391" s="14">
        <v>10</v>
      </c>
      <c r="G391" s="18"/>
      <c r="H391" s="14" t="s">
        <v>2509</v>
      </c>
      <c r="I391" s="14" t="s">
        <v>257</v>
      </c>
      <c r="J391" s="14">
        <v>2022</v>
      </c>
      <c r="K391" s="18"/>
      <c r="L391" s="18"/>
      <c r="M391" s="14" t="s">
        <v>670</v>
      </c>
      <c r="N391" s="17" t="s">
        <v>2510</v>
      </c>
      <c r="O391" s="14" t="s">
        <v>2511</v>
      </c>
      <c r="P391" s="14" t="s">
        <v>2512</v>
      </c>
      <c r="Q391" s="14" t="s">
        <v>233</v>
      </c>
      <c r="R391" s="18"/>
      <c r="S391" s="15"/>
      <c r="T391" s="15"/>
      <c r="U391" s="15"/>
      <c r="V391" s="15"/>
    </row>
    <row r="392" spans="1:22" x14ac:dyDescent="0.25">
      <c r="A392" s="14" t="s">
        <v>13</v>
      </c>
      <c r="B392" s="14" t="s">
        <v>2513</v>
      </c>
      <c r="C392" s="14" t="s">
        <v>2514</v>
      </c>
      <c r="D392" s="14" t="s">
        <v>2515</v>
      </c>
      <c r="E392" s="14">
        <v>2021</v>
      </c>
      <c r="F392" s="14">
        <v>18</v>
      </c>
      <c r="G392" s="14">
        <v>3</v>
      </c>
      <c r="H392" s="14" t="s">
        <v>2516</v>
      </c>
      <c r="I392" s="14" t="s">
        <v>257</v>
      </c>
      <c r="J392" s="14">
        <v>2021</v>
      </c>
      <c r="K392" s="18"/>
      <c r="L392" s="18"/>
      <c r="M392" s="14" t="s">
        <v>2517</v>
      </c>
      <c r="N392" s="17" t="s">
        <v>2518</v>
      </c>
      <c r="O392" s="14" t="s">
        <v>2519</v>
      </c>
      <c r="P392" s="14" t="s">
        <v>2520</v>
      </c>
      <c r="Q392" s="14" t="s">
        <v>404</v>
      </c>
      <c r="R392" s="18"/>
      <c r="S392" s="15"/>
      <c r="T392" s="15"/>
      <c r="U392" s="15"/>
      <c r="V392" s="15"/>
    </row>
    <row r="393" spans="1:22" x14ac:dyDescent="0.25">
      <c r="A393" s="14" t="s">
        <v>141</v>
      </c>
      <c r="B393" s="14" t="s">
        <v>2521</v>
      </c>
      <c r="C393" s="14" t="s">
        <v>2522</v>
      </c>
      <c r="D393" s="18"/>
      <c r="E393" s="14">
        <v>2022</v>
      </c>
      <c r="F393" s="18"/>
      <c r="G393" s="18"/>
      <c r="H393" s="14" t="s">
        <v>2523</v>
      </c>
      <c r="I393" s="14" t="s">
        <v>257</v>
      </c>
      <c r="J393" s="14">
        <v>2022</v>
      </c>
      <c r="K393" s="14">
        <v>9781450392754</v>
      </c>
      <c r="L393" s="18"/>
      <c r="M393" s="18"/>
      <c r="N393" s="17" t="s">
        <v>2524</v>
      </c>
      <c r="O393" s="14" t="s">
        <v>2525</v>
      </c>
      <c r="P393" s="14" t="s">
        <v>2526</v>
      </c>
      <c r="Q393" s="14" t="s">
        <v>999</v>
      </c>
      <c r="R393" s="18"/>
      <c r="S393" s="15"/>
      <c r="T393" s="15"/>
      <c r="U393" s="15"/>
      <c r="V393" s="15"/>
    </row>
    <row r="394" spans="1:22" x14ac:dyDescent="0.25">
      <c r="A394" s="14" t="s">
        <v>13</v>
      </c>
      <c r="B394" s="14" t="s">
        <v>2527</v>
      </c>
      <c r="C394" s="14" t="s">
        <v>2528</v>
      </c>
      <c r="D394" s="14" t="s">
        <v>2529</v>
      </c>
      <c r="E394" s="14">
        <v>2021</v>
      </c>
      <c r="F394" s="14">
        <v>108</v>
      </c>
      <c r="G394" s="18"/>
      <c r="H394" s="18"/>
      <c r="I394" s="14" t="s">
        <v>280</v>
      </c>
      <c r="J394" s="14">
        <v>2021</v>
      </c>
      <c r="K394" s="18"/>
      <c r="L394" s="18"/>
      <c r="M394" s="14" t="s">
        <v>2530</v>
      </c>
      <c r="N394" s="17" t="s">
        <v>2531</v>
      </c>
      <c r="O394" s="14" t="s">
        <v>2532</v>
      </c>
      <c r="P394" s="14" t="s">
        <v>2533</v>
      </c>
      <c r="Q394" s="14" t="s">
        <v>1813</v>
      </c>
      <c r="R394" s="18"/>
      <c r="S394" s="15"/>
      <c r="T394" s="15"/>
      <c r="U394" s="15"/>
      <c r="V394" s="15"/>
    </row>
    <row r="395" spans="1:22" x14ac:dyDescent="0.25">
      <c r="A395" s="14" t="s">
        <v>141</v>
      </c>
      <c r="B395" s="14" t="s">
        <v>2534</v>
      </c>
      <c r="C395" s="14" t="s">
        <v>2535</v>
      </c>
      <c r="D395" s="18"/>
      <c r="E395" s="14">
        <v>2021</v>
      </c>
      <c r="F395" s="18"/>
      <c r="G395" s="18"/>
      <c r="H395" s="14" t="s">
        <v>2536</v>
      </c>
      <c r="I395" s="14" t="s">
        <v>257</v>
      </c>
      <c r="J395" s="14">
        <v>2021</v>
      </c>
      <c r="K395" s="14">
        <v>9781665414050</v>
      </c>
      <c r="L395" s="18"/>
      <c r="M395" s="18"/>
      <c r="N395" s="17" t="s">
        <v>2537</v>
      </c>
      <c r="O395" s="14" t="s">
        <v>2538</v>
      </c>
      <c r="P395" s="14" t="s">
        <v>2539</v>
      </c>
      <c r="Q395" s="14" t="s">
        <v>1404</v>
      </c>
      <c r="R395" s="18"/>
      <c r="S395" s="15"/>
      <c r="T395" s="15"/>
      <c r="U395" s="15"/>
      <c r="V395" s="15"/>
    </row>
    <row r="396" spans="1:22" x14ac:dyDescent="0.25">
      <c r="A396" s="14" t="s">
        <v>13</v>
      </c>
      <c r="B396" s="14" t="s">
        <v>2540</v>
      </c>
      <c r="C396" s="14" t="s">
        <v>2541</v>
      </c>
      <c r="D396" s="14" t="s">
        <v>136</v>
      </c>
      <c r="E396" s="14">
        <v>2021</v>
      </c>
      <c r="F396" s="14">
        <v>26</v>
      </c>
      <c r="G396" s="14">
        <v>6</v>
      </c>
      <c r="H396" s="18"/>
      <c r="I396" s="14" t="s">
        <v>137</v>
      </c>
      <c r="J396" s="14">
        <v>2021</v>
      </c>
      <c r="K396" s="18"/>
      <c r="L396" s="18"/>
      <c r="M396" s="14" t="s">
        <v>33</v>
      </c>
      <c r="N396" s="17" t="s">
        <v>2542</v>
      </c>
      <c r="O396" s="14" t="s">
        <v>2543</v>
      </c>
      <c r="P396" s="14" t="s">
        <v>2544</v>
      </c>
      <c r="Q396" s="14" t="s">
        <v>1404</v>
      </c>
      <c r="R396" s="18"/>
      <c r="S396" s="15"/>
      <c r="T396" s="15"/>
      <c r="U396" s="15"/>
      <c r="V396" s="15"/>
    </row>
    <row r="397" spans="1:22" x14ac:dyDescent="0.25">
      <c r="A397" s="14" t="s">
        <v>141</v>
      </c>
      <c r="B397" s="14" t="s">
        <v>2545</v>
      </c>
      <c r="C397" s="14" t="s">
        <v>2546</v>
      </c>
      <c r="D397" s="18"/>
      <c r="E397" s="14">
        <v>2021</v>
      </c>
      <c r="F397" s="21">
        <v>44378</v>
      </c>
      <c r="G397" s="18"/>
      <c r="H397" s="18"/>
      <c r="I397" s="14" t="s">
        <v>257</v>
      </c>
      <c r="J397" s="14">
        <v>2021</v>
      </c>
      <c r="K397" s="14">
        <v>9780738133669</v>
      </c>
      <c r="L397" s="18"/>
      <c r="M397" s="18"/>
      <c r="N397" s="17" t="s">
        <v>2547</v>
      </c>
      <c r="O397" s="14" t="s">
        <v>2548</v>
      </c>
      <c r="P397" s="14" t="s">
        <v>2549</v>
      </c>
      <c r="Q397" s="14" t="s">
        <v>185</v>
      </c>
      <c r="R397" s="18"/>
      <c r="S397" s="15"/>
      <c r="T397" s="15"/>
      <c r="U397" s="15"/>
      <c r="V397" s="15"/>
    </row>
    <row r="398" spans="1:22" x14ac:dyDescent="0.25">
      <c r="A398" s="14" t="s">
        <v>141</v>
      </c>
      <c r="B398" s="14" t="s">
        <v>2550</v>
      </c>
      <c r="C398" s="14" t="s">
        <v>2551</v>
      </c>
      <c r="D398" s="18"/>
      <c r="E398" s="14">
        <v>2022</v>
      </c>
      <c r="F398" s="18"/>
      <c r="G398" s="18"/>
      <c r="H398" s="14" t="s">
        <v>2552</v>
      </c>
      <c r="I398" s="14" t="s">
        <v>257</v>
      </c>
      <c r="J398" s="14">
        <v>2022</v>
      </c>
      <c r="K398" s="14">
        <v>9781450393034</v>
      </c>
      <c r="L398" s="18"/>
      <c r="M398" s="18"/>
      <c r="N398" s="17" t="s">
        <v>2553</v>
      </c>
      <c r="O398" s="14" t="s">
        <v>2554</v>
      </c>
      <c r="P398" s="14" t="s">
        <v>2555</v>
      </c>
      <c r="Q398" s="14" t="s">
        <v>568</v>
      </c>
      <c r="R398" s="18"/>
      <c r="S398" s="15"/>
      <c r="T398" s="15"/>
      <c r="U398" s="15"/>
      <c r="V398" s="15"/>
    </row>
    <row r="399" spans="1:22" x14ac:dyDescent="0.25">
      <c r="A399" s="14" t="s">
        <v>141</v>
      </c>
      <c r="B399" s="14" t="s">
        <v>2556</v>
      </c>
      <c r="C399" s="14" t="s">
        <v>2557</v>
      </c>
      <c r="D399" s="18"/>
      <c r="E399" s="14">
        <v>2021</v>
      </c>
      <c r="F399" s="18"/>
      <c r="G399" s="18"/>
      <c r="H399" s="14" t="s">
        <v>2558</v>
      </c>
      <c r="I399" s="14" t="s">
        <v>196</v>
      </c>
      <c r="J399" s="14">
        <v>2021</v>
      </c>
      <c r="K399" s="14">
        <v>9780738146690</v>
      </c>
      <c r="L399" s="18"/>
      <c r="M399" s="14" t="s">
        <v>1458</v>
      </c>
      <c r="N399" s="17" t="s">
        <v>2559</v>
      </c>
      <c r="O399" s="14" t="s">
        <v>2560</v>
      </c>
      <c r="P399" s="14" t="s">
        <v>2561</v>
      </c>
      <c r="Q399" s="14" t="s">
        <v>318</v>
      </c>
      <c r="R399" s="18"/>
      <c r="S399" s="15"/>
      <c r="T399" s="15"/>
      <c r="U399" s="15"/>
      <c r="V399" s="15"/>
    </row>
    <row r="400" spans="1:22" x14ac:dyDescent="0.25">
      <c r="A400" s="14" t="s">
        <v>141</v>
      </c>
      <c r="B400" s="14" t="s">
        <v>2562</v>
      </c>
      <c r="C400" s="14" t="s">
        <v>2563</v>
      </c>
      <c r="D400" s="18"/>
      <c r="E400" s="14">
        <v>2022</v>
      </c>
      <c r="F400" s="18"/>
      <c r="G400" s="18"/>
      <c r="H400" s="14" t="s">
        <v>2564</v>
      </c>
      <c r="I400" s="14" t="s">
        <v>2565</v>
      </c>
      <c r="J400" s="14">
        <v>2022</v>
      </c>
      <c r="K400" s="14">
        <v>9781955917766</v>
      </c>
      <c r="L400" s="18"/>
      <c r="M400" s="18"/>
      <c r="N400" s="17" t="s">
        <v>2566</v>
      </c>
      <c r="O400" s="18"/>
      <c r="P400" s="14" t="s">
        <v>2567</v>
      </c>
      <c r="Q400" s="14" t="s">
        <v>318</v>
      </c>
      <c r="R400" s="18"/>
      <c r="S400" s="15"/>
      <c r="T400" s="15"/>
      <c r="U400" s="15"/>
      <c r="V400" s="15"/>
    </row>
    <row r="401" spans="1:22" x14ac:dyDescent="0.25">
      <c r="A401" s="14" t="s">
        <v>13</v>
      </c>
      <c r="B401" s="14" t="s">
        <v>2568</v>
      </c>
      <c r="C401" s="14" t="s">
        <v>2569</v>
      </c>
      <c r="D401" s="14" t="s">
        <v>307</v>
      </c>
      <c r="E401" s="14">
        <v>2021</v>
      </c>
      <c r="F401" s="14">
        <v>139</v>
      </c>
      <c r="G401" s="18"/>
      <c r="H401" s="18"/>
      <c r="I401" s="14" t="s">
        <v>280</v>
      </c>
      <c r="J401" s="14">
        <v>2021</v>
      </c>
      <c r="K401" s="18"/>
      <c r="L401" s="18"/>
      <c r="M401" s="14" t="s">
        <v>308</v>
      </c>
      <c r="N401" s="17" t="s">
        <v>2570</v>
      </c>
      <c r="O401" s="14" t="s">
        <v>2571</v>
      </c>
      <c r="P401" s="14" t="s">
        <v>2572</v>
      </c>
      <c r="Q401" s="14" t="s">
        <v>2333</v>
      </c>
      <c r="R401" s="18"/>
      <c r="S401" s="15"/>
      <c r="T401" s="15"/>
      <c r="U401" s="15"/>
      <c r="V401" s="15"/>
    </row>
    <row r="402" spans="1:22" x14ac:dyDescent="0.25">
      <c r="A402" s="14" t="s">
        <v>13</v>
      </c>
      <c r="B402" s="14" t="s">
        <v>2573</v>
      </c>
      <c r="C402" s="14" t="s">
        <v>2574</v>
      </c>
      <c r="D402" s="14" t="s">
        <v>390</v>
      </c>
      <c r="E402" s="14">
        <v>2021</v>
      </c>
      <c r="F402" s="14">
        <v>54</v>
      </c>
      <c r="G402" s="14">
        <v>5</v>
      </c>
      <c r="H402" s="14" t="s">
        <v>2575</v>
      </c>
      <c r="I402" s="14" t="s">
        <v>392</v>
      </c>
      <c r="J402" s="14">
        <v>2021</v>
      </c>
      <c r="K402" s="18"/>
      <c r="L402" s="18"/>
      <c r="M402" s="14" t="s">
        <v>393</v>
      </c>
      <c r="N402" s="17" t="s">
        <v>2576</v>
      </c>
      <c r="O402" s="14" t="s">
        <v>2577</v>
      </c>
      <c r="P402" s="14" t="s">
        <v>2578</v>
      </c>
      <c r="Q402" s="14" t="s">
        <v>2579</v>
      </c>
      <c r="R402" s="18"/>
      <c r="S402" s="15"/>
      <c r="T402" s="15"/>
      <c r="U402" s="15"/>
      <c r="V402" s="15"/>
    </row>
    <row r="403" spans="1:22" x14ac:dyDescent="0.25">
      <c r="A403" s="14" t="s">
        <v>13</v>
      </c>
      <c r="B403" s="14" t="s">
        <v>2580</v>
      </c>
      <c r="C403" s="14" t="s">
        <v>2581</v>
      </c>
      <c r="D403" s="14" t="s">
        <v>136</v>
      </c>
      <c r="E403" s="14">
        <v>2022</v>
      </c>
      <c r="F403" s="14">
        <v>27</v>
      </c>
      <c r="G403" s="14">
        <v>1</v>
      </c>
      <c r="H403" s="18"/>
      <c r="I403" s="14" t="s">
        <v>137</v>
      </c>
      <c r="J403" s="14">
        <v>2022</v>
      </c>
      <c r="K403" s="18"/>
      <c r="L403" s="18"/>
      <c r="M403" s="14" t="s">
        <v>33</v>
      </c>
      <c r="N403" s="17" t="s">
        <v>2582</v>
      </c>
      <c r="O403" s="14" t="s">
        <v>2583</v>
      </c>
      <c r="P403" s="14" t="s">
        <v>2584</v>
      </c>
      <c r="Q403" s="14" t="s">
        <v>818</v>
      </c>
      <c r="R403" s="18"/>
      <c r="S403" s="15"/>
      <c r="T403" s="15"/>
      <c r="U403" s="15"/>
      <c r="V403" s="15"/>
    </row>
    <row r="404" spans="1:22" x14ac:dyDescent="0.25">
      <c r="A404" s="14" t="s">
        <v>13</v>
      </c>
      <c r="B404" s="14" t="s">
        <v>2585</v>
      </c>
      <c r="C404" s="14" t="s">
        <v>2586</v>
      </c>
      <c r="D404" s="14" t="s">
        <v>307</v>
      </c>
      <c r="E404" s="14">
        <v>2021</v>
      </c>
      <c r="F404" s="14">
        <v>135</v>
      </c>
      <c r="G404" s="18"/>
      <c r="H404" s="18"/>
      <c r="I404" s="14" t="s">
        <v>280</v>
      </c>
      <c r="J404" s="14">
        <v>2021</v>
      </c>
      <c r="K404" s="18"/>
      <c r="L404" s="18"/>
      <c r="M404" s="14" t="s">
        <v>308</v>
      </c>
      <c r="N404" s="17" t="s">
        <v>2587</v>
      </c>
      <c r="O404" s="14" t="s">
        <v>2588</v>
      </c>
      <c r="P404" s="14" t="s">
        <v>2589</v>
      </c>
      <c r="Q404" s="14" t="s">
        <v>1813</v>
      </c>
      <c r="R404" s="18"/>
      <c r="S404" s="15"/>
      <c r="T404" s="15"/>
      <c r="U404" s="15"/>
      <c r="V404" s="15"/>
    </row>
    <row r="405" spans="1:22" x14ac:dyDescent="0.25">
      <c r="A405" s="14" t="s">
        <v>13</v>
      </c>
      <c r="B405" s="14" t="s">
        <v>2590</v>
      </c>
      <c r="C405" s="14" t="s">
        <v>2591</v>
      </c>
      <c r="D405" s="14" t="s">
        <v>2592</v>
      </c>
      <c r="E405" s="14">
        <v>2022</v>
      </c>
      <c r="F405" s="14">
        <v>24</v>
      </c>
      <c r="G405" s="14">
        <v>1</v>
      </c>
      <c r="H405" s="14" t="s">
        <v>2593</v>
      </c>
      <c r="I405" s="14" t="s">
        <v>2267</v>
      </c>
      <c r="J405" s="14">
        <v>2022</v>
      </c>
      <c r="K405" s="18"/>
      <c r="L405" s="18"/>
      <c r="M405" s="14" t="s">
        <v>2594</v>
      </c>
      <c r="N405" s="17" t="s">
        <v>2595</v>
      </c>
      <c r="O405" s="14" t="s">
        <v>2596</v>
      </c>
      <c r="P405" s="14" t="s">
        <v>2597</v>
      </c>
      <c r="Q405" s="14" t="s">
        <v>999</v>
      </c>
      <c r="R405" s="18"/>
      <c r="S405" s="15"/>
      <c r="T405" s="15"/>
      <c r="U405" s="15"/>
      <c r="V405" s="15"/>
    </row>
    <row r="406" spans="1:22" x14ac:dyDescent="0.25">
      <c r="A406" s="14" t="s">
        <v>141</v>
      </c>
      <c r="B406" s="14" t="s">
        <v>2598</v>
      </c>
      <c r="C406" s="14" t="s">
        <v>2599</v>
      </c>
      <c r="D406" s="18"/>
      <c r="E406" s="14">
        <v>2022</v>
      </c>
      <c r="F406" s="18"/>
      <c r="G406" s="18"/>
      <c r="H406" s="14" t="s">
        <v>2600</v>
      </c>
      <c r="I406" s="14" t="s">
        <v>257</v>
      </c>
      <c r="J406" s="14">
        <v>2022</v>
      </c>
      <c r="K406" s="14">
        <v>9781665437011</v>
      </c>
      <c r="L406" s="18"/>
      <c r="M406" s="18"/>
      <c r="N406" s="17" t="s">
        <v>2601</v>
      </c>
      <c r="O406" s="14" t="s">
        <v>2602</v>
      </c>
      <c r="P406" s="14" t="s">
        <v>2603</v>
      </c>
      <c r="Q406" s="14" t="s">
        <v>157</v>
      </c>
      <c r="R406" s="18"/>
      <c r="S406" s="15"/>
      <c r="T406" s="15"/>
      <c r="U406" s="15"/>
      <c r="V406" s="15"/>
    </row>
    <row r="407" spans="1:22" x14ac:dyDescent="0.25">
      <c r="A407" s="14" t="s">
        <v>13</v>
      </c>
      <c r="B407" s="14" t="s">
        <v>2604</v>
      </c>
      <c r="C407" s="14" t="s">
        <v>2605</v>
      </c>
      <c r="D407" s="14" t="s">
        <v>347</v>
      </c>
      <c r="E407" s="14">
        <v>2021</v>
      </c>
      <c r="F407" s="14">
        <v>70</v>
      </c>
      <c r="G407" s="14">
        <v>4</v>
      </c>
      <c r="H407" s="14" t="s">
        <v>2606</v>
      </c>
      <c r="I407" s="14" t="s">
        <v>257</v>
      </c>
      <c r="J407" s="14">
        <v>2021</v>
      </c>
      <c r="K407" s="18"/>
      <c r="L407" s="18"/>
      <c r="M407" s="14" t="s">
        <v>92</v>
      </c>
      <c r="N407" s="17" t="s">
        <v>2607</v>
      </c>
      <c r="O407" s="14" t="s">
        <v>2608</v>
      </c>
      <c r="P407" s="14" t="s">
        <v>2609</v>
      </c>
      <c r="Q407" s="14" t="s">
        <v>2610</v>
      </c>
      <c r="R407" s="18"/>
      <c r="S407" s="15"/>
      <c r="T407" s="15"/>
      <c r="U407" s="15"/>
      <c r="V407" s="15"/>
    </row>
    <row r="408" spans="1:22" x14ac:dyDescent="0.25">
      <c r="A408" s="14" t="s">
        <v>539</v>
      </c>
      <c r="B408" s="14" t="s">
        <v>2611</v>
      </c>
      <c r="C408" s="14" t="s">
        <v>2612</v>
      </c>
      <c r="D408" s="18"/>
      <c r="E408" s="14">
        <v>2021</v>
      </c>
      <c r="F408" s="18"/>
      <c r="G408" s="18"/>
      <c r="H408" s="18"/>
      <c r="I408" s="14" t="s">
        <v>2613</v>
      </c>
      <c r="J408" s="14">
        <v>2021</v>
      </c>
      <c r="K408" s="14">
        <v>9783110703399</v>
      </c>
      <c r="L408" s="14">
        <v>9783110703306</v>
      </c>
      <c r="M408" s="18"/>
      <c r="N408" s="17" t="s">
        <v>2614</v>
      </c>
      <c r="O408" s="14" t="s">
        <v>2615</v>
      </c>
      <c r="P408" s="14" t="s">
        <v>2616</v>
      </c>
      <c r="Q408" s="14" t="s">
        <v>157</v>
      </c>
      <c r="R408" s="14" t="s">
        <v>2617</v>
      </c>
      <c r="S408" s="15"/>
      <c r="T408" s="15"/>
      <c r="U408" s="15"/>
      <c r="V408" s="15"/>
    </row>
    <row r="409" spans="1:22" x14ac:dyDescent="0.25">
      <c r="A409" s="14" t="s">
        <v>13</v>
      </c>
      <c r="B409" s="14" t="s">
        <v>2618</v>
      </c>
      <c r="C409" s="14" t="s">
        <v>2619</v>
      </c>
      <c r="D409" s="14" t="s">
        <v>390</v>
      </c>
      <c r="E409" s="14">
        <v>2021</v>
      </c>
      <c r="F409" s="14">
        <v>54</v>
      </c>
      <c r="G409" s="14">
        <v>7</v>
      </c>
      <c r="H409" s="14" t="s">
        <v>2620</v>
      </c>
      <c r="I409" s="14" t="s">
        <v>392</v>
      </c>
      <c r="J409" s="14">
        <v>2021</v>
      </c>
      <c r="K409" s="18"/>
      <c r="L409" s="18"/>
      <c r="M409" s="14" t="s">
        <v>393</v>
      </c>
      <c r="N409" s="17" t="s">
        <v>2621</v>
      </c>
      <c r="O409" s="14" t="s">
        <v>2622</v>
      </c>
      <c r="P409" s="14" t="s">
        <v>2623</v>
      </c>
      <c r="Q409" s="14" t="s">
        <v>2624</v>
      </c>
      <c r="R409" s="18"/>
      <c r="S409" s="15"/>
      <c r="T409" s="15"/>
      <c r="U409" s="15"/>
      <c r="V409" s="15"/>
    </row>
    <row r="410" spans="1:22" x14ac:dyDescent="0.25">
      <c r="A410" s="14" t="s">
        <v>13</v>
      </c>
      <c r="B410" s="14" t="s">
        <v>2625</v>
      </c>
      <c r="C410" s="14" t="s">
        <v>2626</v>
      </c>
      <c r="D410" s="14" t="s">
        <v>354</v>
      </c>
      <c r="E410" s="14">
        <v>2021</v>
      </c>
      <c r="F410" s="14">
        <v>177</v>
      </c>
      <c r="G410" s="18"/>
      <c r="H410" s="18"/>
      <c r="I410" s="14" t="s">
        <v>355</v>
      </c>
      <c r="J410" s="14">
        <v>2021</v>
      </c>
      <c r="K410" s="18"/>
      <c r="L410" s="18"/>
      <c r="M410" s="14" t="s">
        <v>65</v>
      </c>
      <c r="N410" s="17" t="s">
        <v>2627</v>
      </c>
      <c r="O410" s="14" t="s">
        <v>2628</v>
      </c>
      <c r="P410" s="14" t="s">
        <v>2629</v>
      </c>
      <c r="Q410" s="14" t="s">
        <v>176</v>
      </c>
      <c r="R410" s="18"/>
      <c r="S410" s="15"/>
      <c r="T410" s="15"/>
      <c r="U410" s="15"/>
      <c r="V410" s="15"/>
    </row>
    <row r="411" spans="1:22" x14ac:dyDescent="0.25">
      <c r="A411" s="14" t="s">
        <v>141</v>
      </c>
      <c r="B411" s="14" t="s">
        <v>2630</v>
      </c>
      <c r="C411" s="14" t="s">
        <v>2631</v>
      </c>
      <c r="D411" s="18"/>
      <c r="E411" s="14">
        <v>2022</v>
      </c>
      <c r="F411" s="21">
        <v>44682</v>
      </c>
      <c r="G411" s="18"/>
      <c r="H411" s="14" t="s">
        <v>2632</v>
      </c>
      <c r="I411" s="14" t="s">
        <v>196</v>
      </c>
      <c r="J411" s="14">
        <v>2022</v>
      </c>
      <c r="K411" s="14">
        <v>9781450392211</v>
      </c>
      <c r="L411" s="18"/>
      <c r="M411" s="14" t="s">
        <v>1458</v>
      </c>
      <c r="N411" s="17" t="s">
        <v>2633</v>
      </c>
      <c r="O411" s="14" t="s">
        <v>2634</v>
      </c>
      <c r="P411" s="14" t="s">
        <v>2635</v>
      </c>
      <c r="Q411" s="14" t="s">
        <v>2636</v>
      </c>
      <c r="R411" s="18"/>
      <c r="S411" s="15"/>
      <c r="T411" s="15"/>
      <c r="U411" s="15"/>
      <c r="V411" s="15"/>
    </row>
    <row r="412" spans="1:22" x14ac:dyDescent="0.25">
      <c r="A412" s="14" t="s">
        <v>13</v>
      </c>
      <c r="B412" s="14" t="s">
        <v>2637</v>
      </c>
      <c r="C412" s="14" t="s">
        <v>2638</v>
      </c>
      <c r="D412" s="14" t="s">
        <v>676</v>
      </c>
      <c r="E412" s="14">
        <v>2022</v>
      </c>
      <c r="F412" s="14">
        <v>217</v>
      </c>
      <c r="G412" s="18"/>
      <c r="H412" s="14" t="s">
        <v>2082</v>
      </c>
      <c r="I412" s="14" t="s">
        <v>212</v>
      </c>
      <c r="J412" s="14">
        <v>2022</v>
      </c>
      <c r="K412" s="18"/>
      <c r="L412" s="18"/>
      <c r="M412" s="14" t="s">
        <v>679</v>
      </c>
      <c r="N412" s="17" t="s">
        <v>2639</v>
      </c>
      <c r="O412" s="14" t="s">
        <v>2640</v>
      </c>
      <c r="P412" s="14" t="s">
        <v>2641</v>
      </c>
      <c r="Q412" s="14" t="s">
        <v>157</v>
      </c>
      <c r="R412" s="18"/>
      <c r="S412" s="15"/>
      <c r="T412" s="15"/>
      <c r="U412" s="15"/>
      <c r="V412" s="15"/>
    </row>
    <row r="413" spans="1:22" x14ac:dyDescent="0.25">
      <c r="A413" s="14" t="s">
        <v>141</v>
      </c>
      <c r="B413" s="14" t="s">
        <v>2642</v>
      </c>
      <c r="C413" s="14" t="s">
        <v>2643</v>
      </c>
      <c r="D413" s="18"/>
      <c r="E413" s="14">
        <v>2021</v>
      </c>
      <c r="F413" s="18"/>
      <c r="G413" s="18"/>
      <c r="H413" s="14" t="s">
        <v>2644</v>
      </c>
      <c r="I413" s="14" t="s">
        <v>257</v>
      </c>
      <c r="J413" s="14">
        <v>2021</v>
      </c>
      <c r="K413" s="14">
        <v>9781665441186</v>
      </c>
      <c r="L413" s="18"/>
      <c r="M413" s="18"/>
      <c r="N413" s="17" t="s">
        <v>2645</v>
      </c>
      <c r="O413" s="14" t="s">
        <v>2646</v>
      </c>
      <c r="P413" s="18"/>
      <c r="Q413" s="14" t="s">
        <v>318</v>
      </c>
      <c r="R413" s="18"/>
      <c r="S413" s="15"/>
      <c r="T413" s="15"/>
      <c r="U413" s="15"/>
      <c r="V413" s="15"/>
    </row>
    <row r="414" spans="1:22" x14ac:dyDescent="0.25">
      <c r="A414" s="14" t="s">
        <v>141</v>
      </c>
      <c r="B414" s="14" t="s">
        <v>2647</v>
      </c>
      <c r="C414" s="14" t="s">
        <v>2648</v>
      </c>
      <c r="D414" s="18"/>
      <c r="E414" s="14">
        <v>2021</v>
      </c>
      <c r="F414" s="18"/>
      <c r="G414" s="18"/>
      <c r="H414" s="14" t="s">
        <v>2649</v>
      </c>
      <c r="I414" s="14" t="s">
        <v>257</v>
      </c>
      <c r="J414" s="14">
        <v>2021</v>
      </c>
      <c r="K414" s="14">
        <v>9781665435727</v>
      </c>
      <c r="L414" s="18"/>
      <c r="M414" s="18"/>
      <c r="N414" s="17" t="s">
        <v>2650</v>
      </c>
      <c r="O414" s="14" t="s">
        <v>2651</v>
      </c>
      <c r="P414" s="14" t="s">
        <v>2652</v>
      </c>
      <c r="Q414" s="14" t="s">
        <v>176</v>
      </c>
      <c r="R414" s="18"/>
      <c r="S414" s="15"/>
      <c r="T414" s="15"/>
      <c r="U414" s="15"/>
      <c r="V414" s="15"/>
    </row>
    <row r="415" spans="1:22" x14ac:dyDescent="0.25">
      <c r="A415" s="14" t="s">
        <v>141</v>
      </c>
      <c r="B415" s="14" t="s">
        <v>2653</v>
      </c>
      <c r="C415" s="14" t="s">
        <v>2654</v>
      </c>
      <c r="D415" s="18"/>
      <c r="E415" s="14">
        <v>2022</v>
      </c>
      <c r="F415" s="18"/>
      <c r="G415" s="18"/>
      <c r="H415" s="14" t="s">
        <v>2655</v>
      </c>
      <c r="I415" s="14" t="s">
        <v>257</v>
      </c>
      <c r="J415" s="14">
        <v>2022</v>
      </c>
      <c r="K415" s="14">
        <v>9781450392754</v>
      </c>
      <c r="L415" s="18"/>
      <c r="M415" s="18"/>
      <c r="N415" s="17" t="s">
        <v>2656</v>
      </c>
      <c r="O415" s="14" t="s">
        <v>2657</v>
      </c>
      <c r="P415" s="14" t="s">
        <v>2658</v>
      </c>
      <c r="Q415" s="14" t="s">
        <v>387</v>
      </c>
      <c r="R415" s="18"/>
      <c r="S415" s="15"/>
      <c r="T415" s="15"/>
      <c r="U415" s="15"/>
      <c r="V415" s="15"/>
    </row>
    <row r="416" spans="1:22" x14ac:dyDescent="0.25">
      <c r="A416" s="14" t="s">
        <v>141</v>
      </c>
      <c r="B416" s="14" t="s">
        <v>2659</v>
      </c>
      <c r="C416" s="14" t="s">
        <v>2660</v>
      </c>
      <c r="D416" s="18"/>
      <c r="E416" s="14">
        <v>2021</v>
      </c>
      <c r="F416" s="18"/>
      <c r="G416" s="18"/>
      <c r="H416" s="14" t="s">
        <v>2661</v>
      </c>
      <c r="I416" s="14" t="s">
        <v>257</v>
      </c>
      <c r="J416" s="14">
        <v>2021</v>
      </c>
      <c r="K416" s="14">
        <v>9781665445559</v>
      </c>
      <c r="L416" s="18"/>
      <c r="M416" s="18"/>
      <c r="N416" s="17" t="s">
        <v>2662</v>
      </c>
      <c r="O416" s="14" t="s">
        <v>2663</v>
      </c>
      <c r="P416" s="14" t="s">
        <v>2664</v>
      </c>
      <c r="Q416" s="14" t="s">
        <v>1598</v>
      </c>
      <c r="R416" s="18"/>
      <c r="S416" s="15"/>
      <c r="T416" s="15"/>
      <c r="U416" s="15"/>
      <c r="V416" s="15"/>
    </row>
    <row r="417" spans="1:22" x14ac:dyDescent="0.25">
      <c r="A417" s="14" t="s">
        <v>141</v>
      </c>
      <c r="B417" s="14" t="s">
        <v>2665</v>
      </c>
      <c r="C417" s="14" t="s">
        <v>2666</v>
      </c>
      <c r="D417" s="18"/>
      <c r="E417" s="14">
        <v>2022</v>
      </c>
      <c r="F417" s="18"/>
      <c r="G417" s="18"/>
      <c r="H417" s="14" t="s">
        <v>2667</v>
      </c>
      <c r="I417" s="14" t="s">
        <v>257</v>
      </c>
      <c r="J417" s="14">
        <v>2022</v>
      </c>
      <c r="K417" s="14">
        <v>9781450393034</v>
      </c>
      <c r="L417" s="18"/>
      <c r="M417" s="18"/>
      <c r="N417" s="17" t="s">
        <v>2668</v>
      </c>
      <c r="O417" s="14" t="s">
        <v>2669</v>
      </c>
      <c r="P417" s="14" t="s">
        <v>2670</v>
      </c>
      <c r="Q417" s="14" t="s">
        <v>149</v>
      </c>
      <c r="R417" s="18"/>
      <c r="S417" s="15"/>
      <c r="T417" s="15"/>
      <c r="U417" s="15"/>
      <c r="V417" s="15"/>
    </row>
    <row r="418" spans="1:22" x14ac:dyDescent="0.25">
      <c r="A418" s="14" t="s">
        <v>141</v>
      </c>
      <c r="B418" s="14" t="s">
        <v>2671</v>
      </c>
      <c r="C418" s="14" t="s">
        <v>2672</v>
      </c>
      <c r="D418" s="18"/>
      <c r="E418" s="14">
        <v>2021</v>
      </c>
      <c r="F418" s="14">
        <v>2</v>
      </c>
      <c r="G418" s="18"/>
      <c r="H418" s="14" t="s">
        <v>2673</v>
      </c>
      <c r="I418" s="14" t="s">
        <v>137</v>
      </c>
      <c r="J418" s="14">
        <v>2021</v>
      </c>
      <c r="K418" s="14">
        <v>9781450393195</v>
      </c>
      <c r="L418" s="18"/>
      <c r="M418" s="14" t="s">
        <v>2167</v>
      </c>
      <c r="N418" s="17" t="s">
        <v>2674</v>
      </c>
      <c r="O418" s="14" t="s">
        <v>2675</v>
      </c>
      <c r="P418" s="14" t="s">
        <v>2676</v>
      </c>
      <c r="Q418" s="14" t="s">
        <v>1656</v>
      </c>
      <c r="R418" s="18"/>
      <c r="S418" s="15"/>
      <c r="T418" s="15"/>
      <c r="U418" s="15"/>
      <c r="V418" s="15"/>
    </row>
    <row r="419" spans="1:22" x14ac:dyDescent="0.25">
      <c r="A419" s="14" t="s">
        <v>141</v>
      </c>
      <c r="B419" s="14" t="s">
        <v>2677</v>
      </c>
      <c r="C419" s="14" t="s">
        <v>2678</v>
      </c>
      <c r="D419" s="18"/>
      <c r="E419" s="14">
        <v>2021</v>
      </c>
      <c r="F419" s="21">
        <v>44470</v>
      </c>
      <c r="G419" s="18"/>
      <c r="H419" s="14" t="s">
        <v>2679</v>
      </c>
      <c r="I419" s="14" t="s">
        <v>196</v>
      </c>
      <c r="J419" s="14">
        <v>2021</v>
      </c>
      <c r="K419" s="14">
        <v>9781665425872</v>
      </c>
      <c r="L419" s="18"/>
      <c r="M419" s="14" t="s">
        <v>2680</v>
      </c>
      <c r="N419" s="17" t="s">
        <v>2681</v>
      </c>
      <c r="O419" s="14" t="s">
        <v>2682</v>
      </c>
      <c r="P419" s="14" t="s">
        <v>2683</v>
      </c>
      <c r="Q419" s="14" t="s">
        <v>157</v>
      </c>
      <c r="R419" s="18"/>
      <c r="S419" s="15"/>
      <c r="T419" s="15"/>
      <c r="U419" s="15"/>
      <c r="V419" s="15"/>
    </row>
    <row r="420" spans="1:22" x14ac:dyDescent="0.25">
      <c r="A420" s="14" t="s">
        <v>13</v>
      </c>
      <c r="B420" s="18"/>
      <c r="C420" s="14" t="s">
        <v>2684</v>
      </c>
      <c r="D420" s="14" t="s">
        <v>1870</v>
      </c>
      <c r="E420" s="14">
        <v>2021</v>
      </c>
      <c r="F420" s="14">
        <v>417</v>
      </c>
      <c r="G420" s="18"/>
      <c r="H420" s="18"/>
      <c r="I420" s="14" t="s">
        <v>212</v>
      </c>
      <c r="J420" s="14">
        <v>2021</v>
      </c>
      <c r="K420" s="18"/>
      <c r="L420" s="18"/>
      <c r="M420" s="14" t="s">
        <v>1873</v>
      </c>
      <c r="N420" s="17" t="s">
        <v>2685</v>
      </c>
      <c r="O420" s="18"/>
      <c r="P420" s="14" t="s">
        <v>2686</v>
      </c>
      <c r="Q420" s="14" t="s">
        <v>157</v>
      </c>
      <c r="R420" s="18"/>
      <c r="S420" s="15"/>
      <c r="T420" s="15"/>
      <c r="U420" s="15"/>
      <c r="V420" s="15"/>
    </row>
    <row r="421" spans="1:22" x14ac:dyDescent="0.25">
      <c r="A421" s="14" t="s">
        <v>141</v>
      </c>
      <c r="B421" s="14" t="s">
        <v>2687</v>
      </c>
      <c r="C421" s="14" t="s">
        <v>2688</v>
      </c>
      <c r="D421" s="18"/>
      <c r="E421" s="14">
        <v>2021</v>
      </c>
      <c r="F421" s="18"/>
      <c r="G421" s="18"/>
      <c r="H421" s="14" t="s">
        <v>2689</v>
      </c>
      <c r="I421" s="14" t="s">
        <v>257</v>
      </c>
      <c r="J421" s="14">
        <v>2021</v>
      </c>
      <c r="K421" s="14">
        <v>9781665444705</v>
      </c>
      <c r="L421" s="18"/>
      <c r="M421" s="18"/>
      <c r="N421" s="17" t="s">
        <v>2690</v>
      </c>
      <c r="O421" s="14" t="s">
        <v>2691</v>
      </c>
      <c r="P421" s="14" t="s">
        <v>2692</v>
      </c>
      <c r="Q421" s="14" t="s">
        <v>1404</v>
      </c>
      <c r="R421" s="18"/>
      <c r="S421" s="15"/>
      <c r="T421" s="15"/>
      <c r="U421" s="15"/>
      <c r="V421" s="15"/>
    </row>
    <row r="422" spans="1:22" x14ac:dyDescent="0.25">
      <c r="A422" s="14" t="s">
        <v>13</v>
      </c>
      <c r="B422" s="14" t="s">
        <v>2693</v>
      </c>
      <c r="C422" s="14" t="s">
        <v>2694</v>
      </c>
      <c r="D422" s="14" t="s">
        <v>2695</v>
      </c>
      <c r="E422" s="14">
        <v>2020</v>
      </c>
      <c r="F422" s="14">
        <v>34</v>
      </c>
      <c r="G422" s="14">
        <v>5</v>
      </c>
      <c r="H422" s="14" t="s">
        <v>2696</v>
      </c>
      <c r="I422" s="14" t="s">
        <v>266</v>
      </c>
      <c r="J422" s="14">
        <v>2020</v>
      </c>
      <c r="K422" s="18"/>
      <c r="L422" s="18"/>
      <c r="M422" s="14" t="s">
        <v>2697</v>
      </c>
      <c r="N422" s="17" t="s">
        <v>2698</v>
      </c>
      <c r="O422" s="14" t="s">
        <v>2699</v>
      </c>
      <c r="P422" s="14" t="s">
        <v>2700</v>
      </c>
      <c r="Q422" s="14" t="s">
        <v>2701</v>
      </c>
      <c r="R422" s="18"/>
      <c r="S422" s="15"/>
      <c r="T422" s="15"/>
      <c r="U422" s="15"/>
      <c r="V422" s="15"/>
    </row>
    <row r="423" spans="1:22" x14ac:dyDescent="0.25">
      <c r="A423" s="14" t="s">
        <v>13</v>
      </c>
      <c r="B423" s="14" t="s">
        <v>2702</v>
      </c>
      <c r="C423" s="14" t="s">
        <v>2703</v>
      </c>
      <c r="D423" s="14" t="s">
        <v>2704</v>
      </c>
      <c r="E423" s="14">
        <v>2020</v>
      </c>
      <c r="F423" s="14">
        <v>14</v>
      </c>
      <c r="G423" s="14">
        <v>6</v>
      </c>
      <c r="H423" s="14" t="s">
        <v>2705</v>
      </c>
      <c r="I423" s="14" t="s">
        <v>2706</v>
      </c>
      <c r="J423" s="14">
        <v>2020</v>
      </c>
      <c r="K423" s="18"/>
      <c r="L423" s="18"/>
      <c r="M423" s="14" t="s">
        <v>2707</v>
      </c>
      <c r="N423" s="17" t="s">
        <v>2708</v>
      </c>
      <c r="O423" s="14" t="s">
        <v>2709</v>
      </c>
      <c r="P423" s="14" t="s">
        <v>2710</v>
      </c>
      <c r="Q423" s="14" t="s">
        <v>529</v>
      </c>
      <c r="R423" s="18"/>
      <c r="S423" s="15"/>
      <c r="T423" s="15"/>
      <c r="U423" s="15"/>
      <c r="V423" s="15"/>
    </row>
    <row r="424" spans="1:22" x14ac:dyDescent="0.25">
      <c r="A424" s="14" t="s">
        <v>141</v>
      </c>
      <c r="B424" s="14" t="s">
        <v>2711</v>
      </c>
      <c r="C424" s="14" t="s">
        <v>2712</v>
      </c>
      <c r="D424" s="18"/>
      <c r="E424" s="14">
        <v>2021</v>
      </c>
      <c r="F424" s="18"/>
      <c r="G424" s="18"/>
      <c r="H424" s="14" t="s">
        <v>2713</v>
      </c>
      <c r="I424" s="14" t="s">
        <v>196</v>
      </c>
      <c r="J424" s="14">
        <v>2021</v>
      </c>
      <c r="K424" s="14">
        <v>9781665428569</v>
      </c>
      <c r="L424" s="18"/>
      <c r="M424" s="14" t="s">
        <v>322</v>
      </c>
      <c r="N424" s="17" t="s">
        <v>2714</v>
      </c>
      <c r="O424" s="14" t="s">
        <v>2715</v>
      </c>
      <c r="P424" s="14" t="s">
        <v>2716</v>
      </c>
      <c r="Q424" s="14" t="s">
        <v>2717</v>
      </c>
      <c r="R424" s="18"/>
      <c r="S424" s="15"/>
      <c r="T424" s="15"/>
      <c r="U424" s="15"/>
      <c r="V424" s="15"/>
    </row>
    <row r="425" spans="1:22" x14ac:dyDescent="0.25">
      <c r="A425" s="14" t="s">
        <v>141</v>
      </c>
      <c r="B425" s="14" t="s">
        <v>2718</v>
      </c>
      <c r="C425" s="14" t="s">
        <v>2719</v>
      </c>
      <c r="D425" s="18"/>
      <c r="E425" s="14">
        <v>2020</v>
      </c>
      <c r="F425" s="18"/>
      <c r="G425" s="18"/>
      <c r="H425" s="14" t="s">
        <v>750</v>
      </c>
      <c r="I425" s="14" t="s">
        <v>153</v>
      </c>
      <c r="J425" s="14">
        <v>2020</v>
      </c>
      <c r="K425" s="14">
        <v>9781450381246</v>
      </c>
      <c r="L425" s="18"/>
      <c r="M425" s="18"/>
      <c r="N425" s="17" t="s">
        <v>2720</v>
      </c>
      <c r="O425" s="14" t="s">
        <v>2721</v>
      </c>
      <c r="P425" s="14" t="s">
        <v>2722</v>
      </c>
      <c r="Q425" s="14" t="s">
        <v>2723</v>
      </c>
      <c r="R425" s="18"/>
      <c r="S425" s="15"/>
      <c r="T425" s="15"/>
      <c r="U425" s="15"/>
      <c r="V425" s="15"/>
    </row>
    <row r="426" spans="1:22" x14ac:dyDescent="0.25">
      <c r="A426" s="14" t="s">
        <v>13</v>
      </c>
      <c r="B426" s="14" t="s">
        <v>2724</v>
      </c>
      <c r="C426" s="14" t="s">
        <v>2725</v>
      </c>
      <c r="D426" s="14" t="s">
        <v>354</v>
      </c>
      <c r="E426" s="14">
        <v>2020</v>
      </c>
      <c r="F426" s="14">
        <v>169</v>
      </c>
      <c r="G426" s="18"/>
      <c r="H426" s="18"/>
      <c r="I426" s="14" t="s">
        <v>355</v>
      </c>
      <c r="J426" s="14">
        <v>2020</v>
      </c>
      <c r="K426" s="18"/>
      <c r="L426" s="18"/>
      <c r="M426" s="14" t="s">
        <v>65</v>
      </c>
      <c r="N426" s="17" t="s">
        <v>2726</v>
      </c>
      <c r="O426" s="14" t="s">
        <v>2727</v>
      </c>
      <c r="P426" s="14" t="s">
        <v>2728</v>
      </c>
      <c r="Q426" s="14" t="s">
        <v>1573</v>
      </c>
      <c r="R426" s="18"/>
      <c r="S426" s="15"/>
      <c r="T426" s="15"/>
      <c r="U426" s="15"/>
      <c r="V426" s="15"/>
    </row>
    <row r="427" spans="1:22" x14ac:dyDescent="0.25">
      <c r="A427" s="14" t="s">
        <v>141</v>
      </c>
      <c r="B427" s="14" t="s">
        <v>2729</v>
      </c>
      <c r="C427" s="14" t="s">
        <v>2730</v>
      </c>
      <c r="D427" s="18"/>
      <c r="E427" s="14">
        <v>2021</v>
      </c>
      <c r="F427" s="21">
        <v>44317</v>
      </c>
      <c r="G427" s="18"/>
      <c r="H427" s="14" t="s">
        <v>2731</v>
      </c>
      <c r="I427" s="14" t="s">
        <v>196</v>
      </c>
      <c r="J427" s="14">
        <v>2021</v>
      </c>
      <c r="K427" s="14">
        <v>9781665414036</v>
      </c>
      <c r="L427" s="18"/>
      <c r="M427" s="18"/>
      <c r="N427" s="17" t="s">
        <v>2732</v>
      </c>
      <c r="O427" s="14" t="s">
        <v>2733</v>
      </c>
      <c r="P427" s="14" t="s">
        <v>2734</v>
      </c>
      <c r="Q427" s="14" t="s">
        <v>818</v>
      </c>
      <c r="R427" s="18"/>
      <c r="S427" s="15"/>
      <c r="T427" s="15"/>
      <c r="U427" s="15"/>
      <c r="V427" s="15"/>
    </row>
    <row r="428" spans="1:22" x14ac:dyDescent="0.25">
      <c r="A428" s="14" t="s">
        <v>141</v>
      </c>
      <c r="B428" s="14" t="s">
        <v>2735</v>
      </c>
      <c r="C428" s="14" t="s">
        <v>2736</v>
      </c>
      <c r="D428" s="18"/>
      <c r="E428" s="14">
        <v>2020</v>
      </c>
      <c r="F428" s="18"/>
      <c r="G428" s="18"/>
      <c r="H428" s="18"/>
      <c r="I428" s="14" t="s">
        <v>257</v>
      </c>
      <c r="J428" s="14">
        <v>2020</v>
      </c>
      <c r="K428" s="14">
        <v>9781728191058</v>
      </c>
      <c r="L428" s="18"/>
      <c r="M428" s="18"/>
      <c r="N428" s="17" t="s">
        <v>2737</v>
      </c>
      <c r="O428" s="14" t="s">
        <v>2738</v>
      </c>
      <c r="P428" s="14" t="s">
        <v>2739</v>
      </c>
      <c r="Q428" s="14" t="s">
        <v>318</v>
      </c>
      <c r="R428" s="18"/>
      <c r="S428" s="15"/>
      <c r="T428" s="15"/>
      <c r="U428" s="15"/>
      <c r="V428" s="15"/>
    </row>
    <row r="429" spans="1:22" x14ac:dyDescent="0.25">
      <c r="A429" s="14" t="s">
        <v>13</v>
      </c>
      <c r="B429" s="14" t="s">
        <v>2740</v>
      </c>
      <c r="C429" s="14" t="s">
        <v>2741</v>
      </c>
      <c r="D429" s="14" t="s">
        <v>264</v>
      </c>
      <c r="E429" s="14">
        <v>2021</v>
      </c>
      <c r="F429" s="14">
        <v>51</v>
      </c>
      <c r="G429" s="14">
        <v>1</v>
      </c>
      <c r="H429" s="14" t="s">
        <v>2742</v>
      </c>
      <c r="I429" s="14" t="s">
        <v>266</v>
      </c>
      <c r="J429" s="14">
        <v>2021</v>
      </c>
      <c r="K429" s="18"/>
      <c r="L429" s="18"/>
      <c r="M429" s="14" t="s">
        <v>267</v>
      </c>
      <c r="N429" s="17" t="s">
        <v>2743</v>
      </c>
      <c r="O429" s="14" t="s">
        <v>2744</v>
      </c>
      <c r="P429" s="14" t="s">
        <v>2745</v>
      </c>
      <c r="Q429" s="14" t="s">
        <v>1656</v>
      </c>
      <c r="R429" s="18"/>
      <c r="S429" s="15"/>
      <c r="T429" s="15"/>
      <c r="U429" s="15"/>
      <c r="V429" s="15"/>
    </row>
    <row r="430" spans="1:22" x14ac:dyDescent="0.25">
      <c r="A430" s="14" t="s">
        <v>13</v>
      </c>
      <c r="B430" s="14" t="s">
        <v>217</v>
      </c>
      <c r="C430" s="14" t="s">
        <v>2746</v>
      </c>
      <c r="D430" s="14" t="s">
        <v>878</v>
      </c>
      <c r="E430" s="14">
        <v>2021</v>
      </c>
      <c r="F430" s="14">
        <v>33</v>
      </c>
      <c r="G430" s="14">
        <v>3</v>
      </c>
      <c r="H430" s="18"/>
      <c r="I430" s="14" t="s">
        <v>266</v>
      </c>
      <c r="J430" s="14">
        <v>2021</v>
      </c>
      <c r="K430" s="18"/>
      <c r="L430" s="18"/>
      <c r="M430" s="14" t="s">
        <v>879</v>
      </c>
      <c r="N430" s="17" t="s">
        <v>2747</v>
      </c>
      <c r="O430" s="14" t="s">
        <v>2748</v>
      </c>
      <c r="P430" s="14" t="s">
        <v>2749</v>
      </c>
      <c r="Q430" s="14" t="s">
        <v>2286</v>
      </c>
      <c r="R430" s="18"/>
      <c r="S430" s="15"/>
      <c r="T430" s="15"/>
      <c r="U430" s="15"/>
      <c r="V430" s="15"/>
    </row>
    <row r="431" spans="1:22" x14ac:dyDescent="0.25">
      <c r="A431" s="14" t="s">
        <v>13</v>
      </c>
      <c r="B431" s="14" t="s">
        <v>2750</v>
      </c>
      <c r="C431" s="14" t="s">
        <v>2751</v>
      </c>
      <c r="D431" s="14" t="s">
        <v>136</v>
      </c>
      <c r="E431" s="14">
        <v>2020</v>
      </c>
      <c r="F431" s="14">
        <v>25</v>
      </c>
      <c r="G431" s="14">
        <v>5</v>
      </c>
      <c r="H431" s="14" t="s">
        <v>2752</v>
      </c>
      <c r="I431" s="14" t="s">
        <v>137</v>
      </c>
      <c r="J431" s="14">
        <v>2020</v>
      </c>
      <c r="K431" s="18"/>
      <c r="L431" s="18"/>
      <c r="M431" s="14" t="s">
        <v>33</v>
      </c>
      <c r="N431" s="17" t="s">
        <v>2753</v>
      </c>
      <c r="O431" s="14" t="s">
        <v>2754</v>
      </c>
      <c r="P431" s="14" t="s">
        <v>2755</v>
      </c>
      <c r="Q431" s="14" t="s">
        <v>2756</v>
      </c>
      <c r="R431" s="18"/>
      <c r="S431" s="15"/>
      <c r="T431" s="15"/>
      <c r="U431" s="15"/>
      <c r="V431" s="15"/>
    </row>
    <row r="432" spans="1:22" x14ac:dyDescent="0.25">
      <c r="A432" s="14" t="s">
        <v>13</v>
      </c>
      <c r="B432" s="14" t="s">
        <v>2757</v>
      </c>
      <c r="C432" s="14" t="s">
        <v>2758</v>
      </c>
      <c r="D432" s="14" t="s">
        <v>668</v>
      </c>
      <c r="E432" s="14">
        <v>2021</v>
      </c>
      <c r="F432" s="14">
        <v>9</v>
      </c>
      <c r="G432" s="18"/>
      <c r="H432" s="14" t="s">
        <v>2759</v>
      </c>
      <c r="I432" s="14" t="s">
        <v>257</v>
      </c>
      <c r="J432" s="14">
        <v>2021</v>
      </c>
      <c r="K432" s="18"/>
      <c r="L432" s="18"/>
      <c r="M432" s="14" t="s">
        <v>670</v>
      </c>
      <c r="N432" s="17" t="s">
        <v>2760</v>
      </c>
      <c r="O432" s="14" t="s">
        <v>2761</v>
      </c>
      <c r="P432" s="14" t="s">
        <v>2762</v>
      </c>
      <c r="Q432" s="14" t="s">
        <v>2763</v>
      </c>
      <c r="R432" s="18"/>
      <c r="S432" s="15"/>
      <c r="T432" s="15"/>
      <c r="U432" s="15"/>
      <c r="V432" s="15"/>
    </row>
    <row r="433" spans="1:22" x14ac:dyDescent="0.25">
      <c r="A433" s="14" t="s">
        <v>13</v>
      </c>
      <c r="B433" s="14" t="s">
        <v>2764</v>
      </c>
      <c r="C433" s="14" t="s">
        <v>2765</v>
      </c>
      <c r="D433" s="14" t="s">
        <v>523</v>
      </c>
      <c r="E433" s="14">
        <v>2020</v>
      </c>
      <c r="F433" s="14">
        <v>28</v>
      </c>
      <c r="G433" s="14">
        <v>4</v>
      </c>
      <c r="H433" s="14" t="s">
        <v>2766</v>
      </c>
      <c r="I433" s="14" t="s">
        <v>137</v>
      </c>
      <c r="J433" s="14">
        <v>2020</v>
      </c>
      <c r="K433" s="18"/>
      <c r="L433" s="18"/>
      <c r="M433" s="14" t="s">
        <v>525</v>
      </c>
      <c r="N433" s="17" t="s">
        <v>2767</v>
      </c>
      <c r="O433" s="14" t="s">
        <v>2768</v>
      </c>
      <c r="P433" s="14" t="s">
        <v>2769</v>
      </c>
      <c r="Q433" s="14" t="s">
        <v>2770</v>
      </c>
      <c r="R433" s="18"/>
      <c r="S433" s="15"/>
      <c r="T433" s="15"/>
      <c r="U433" s="15"/>
      <c r="V433" s="15"/>
    </row>
    <row r="434" spans="1:22" x14ac:dyDescent="0.25">
      <c r="A434" s="14" t="s">
        <v>13</v>
      </c>
      <c r="B434" s="14" t="s">
        <v>2771</v>
      </c>
      <c r="C434" s="14" t="s">
        <v>2772</v>
      </c>
      <c r="D434" s="14" t="s">
        <v>307</v>
      </c>
      <c r="E434" s="14">
        <v>2020</v>
      </c>
      <c r="F434" s="14">
        <v>127</v>
      </c>
      <c r="G434" s="18"/>
      <c r="H434" s="18"/>
      <c r="I434" s="14" t="s">
        <v>280</v>
      </c>
      <c r="J434" s="14">
        <v>2020</v>
      </c>
      <c r="K434" s="18"/>
      <c r="L434" s="18"/>
      <c r="M434" s="14" t="s">
        <v>308</v>
      </c>
      <c r="N434" s="17" t="s">
        <v>2773</v>
      </c>
      <c r="O434" s="14" t="s">
        <v>2774</v>
      </c>
      <c r="P434" s="14" t="s">
        <v>2775</v>
      </c>
      <c r="Q434" s="14" t="s">
        <v>2776</v>
      </c>
      <c r="R434" s="18"/>
      <c r="S434" s="15"/>
      <c r="T434" s="15"/>
      <c r="U434" s="15"/>
      <c r="V434" s="15"/>
    </row>
    <row r="435" spans="1:22" x14ac:dyDescent="0.25">
      <c r="A435" s="14" t="s">
        <v>13</v>
      </c>
      <c r="B435" s="14" t="s">
        <v>2777</v>
      </c>
      <c r="C435" s="14" t="s">
        <v>2778</v>
      </c>
      <c r="D435" s="14" t="s">
        <v>209</v>
      </c>
      <c r="E435" s="14">
        <v>2021</v>
      </c>
      <c r="F435" s="14" t="s">
        <v>2779</v>
      </c>
      <c r="G435" s="18"/>
      <c r="H435" s="14" t="s">
        <v>2780</v>
      </c>
      <c r="I435" s="14" t="s">
        <v>212</v>
      </c>
      <c r="J435" s="14">
        <v>2021</v>
      </c>
      <c r="K435" s="18"/>
      <c r="L435" s="18"/>
      <c r="M435" s="14" t="s">
        <v>213</v>
      </c>
      <c r="N435" s="17" t="s">
        <v>2781</v>
      </c>
      <c r="O435" s="14" t="s">
        <v>2782</v>
      </c>
      <c r="P435" s="14" t="s">
        <v>2783</v>
      </c>
      <c r="Q435" s="14" t="s">
        <v>404</v>
      </c>
      <c r="R435" s="18"/>
      <c r="S435" s="15"/>
      <c r="T435" s="15"/>
      <c r="U435" s="15"/>
      <c r="V435" s="15"/>
    </row>
    <row r="436" spans="1:22" x14ac:dyDescent="0.25">
      <c r="A436" s="14" t="s">
        <v>13</v>
      </c>
      <c r="B436" s="14" t="s">
        <v>2784</v>
      </c>
      <c r="C436" s="14" t="s">
        <v>2785</v>
      </c>
      <c r="D436" s="14" t="s">
        <v>2786</v>
      </c>
      <c r="E436" s="14">
        <v>2020</v>
      </c>
      <c r="F436" s="14">
        <v>7</v>
      </c>
      <c r="G436" s="14">
        <v>1</v>
      </c>
      <c r="H436" s="18"/>
      <c r="I436" s="14" t="s">
        <v>137</v>
      </c>
      <c r="J436" s="14">
        <v>2020</v>
      </c>
      <c r="K436" s="18"/>
      <c r="L436" s="18"/>
      <c r="M436" s="14" t="s">
        <v>2787</v>
      </c>
      <c r="N436" s="17" t="s">
        <v>2788</v>
      </c>
      <c r="O436" s="14" t="s">
        <v>2789</v>
      </c>
      <c r="P436" s="14" t="s">
        <v>2790</v>
      </c>
      <c r="Q436" s="14" t="s">
        <v>2791</v>
      </c>
      <c r="R436" s="18"/>
      <c r="S436" s="15"/>
      <c r="T436" s="15"/>
      <c r="U436" s="15"/>
      <c r="V436" s="15"/>
    </row>
    <row r="437" spans="1:22" x14ac:dyDescent="0.25">
      <c r="A437" s="14" t="s">
        <v>13</v>
      </c>
      <c r="B437" s="14" t="s">
        <v>2792</v>
      </c>
      <c r="C437" s="14" t="s">
        <v>2793</v>
      </c>
      <c r="D437" s="14" t="s">
        <v>255</v>
      </c>
      <c r="E437" s="14">
        <v>2021</v>
      </c>
      <c r="F437" s="14">
        <v>47</v>
      </c>
      <c r="G437" s="14">
        <v>4</v>
      </c>
      <c r="H437" s="14" t="s">
        <v>2794</v>
      </c>
      <c r="I437" s="14" t="s">
        <v>257</v>
      </c>
      <c r="J437" s="14">
        <v>2021</v>
      </c>
      <c r="K437" s="18"/>
      <c r="L437" s="18"/>
      <c r="M437" s="14" t="s">
        <v>18</v>
      </c>
      <c r="N437" s="17" t="s">
        <v>2795</v>
      </c>
      <c r="O437" s="14" t="s">
        <v>2796</v>
      </c>
      <c r="P437" s="14" t="s">
        <v>2797</v>
      </c>
      <c r="Q437" s="14" t="s">
        <v>1733</v>
      </c>
      <c r="R437" s="18"/>
      <c r="S437" s="15"/>
      <c r="T437" s="15"/>
      <c r="U437" s="15"/>
      <c r="V437" s="15"/>
    </row>
    <row r="438" spans="1:22" x14ac:dyDescent="0.25">
      <c r="A438" s="14" t="s">
        <v>141</v>
      </c>
      <c r="B438" s="14" t="s">
        <v>2798</v>
      </c>
      <c r="C438" s="14" t="s">
        <v>2799</v>
      </c>
      <c r="D438" s="18"/>
      <c r="E438" s="14">
        <v>2020</v>
      </c>
      <c r="F438" s="21">
        <v>44044</v>
      </c>
      <c r="G438" s="18"/>
      <c r="H438" s="14" t="s">
        <v>2800</v>
      </c>
      <c r="I438" s="14" t="s">
        <v>196</v>
      </c>
      <c r="J438" s="14">
        <v>2020</v>
      </c>
      <c r="K438" s="14">
        <v>9781728174389</v>
      </c>
      <c r="L438" s="18"/>
      <c r="M438" s="14" t="s">
        <v>322</v>
      </c>
      <c r="N438" s="17" t="s">
        <v>2801</v>
      </c>
      <c r="O438" s="14" t="s">
        <v>2802</v>
      </c>
      <c r="P438" s="14" t="s">
        <v>2803</v>
      </c>
      <c r="Q438" s="14" t="s">
        <v>2804</v>
      </c>
      <c r="R438" s="18"/>
      <c r="S438" s="15"/>
      <c r="T438" s="15"/>
      <c r="U438" s="15"/>
      <c r="V438" s="15"/>
    </row>
    <row r="439" spans="1:22" x14ac:dyDescent="0.25">
      <c r="A439" s="14" t="s">
        <v>141</v>
      </c>
      <c r="B439" s="14" t="s">
        <v>2805</v>
      </c>
      <c r="C439" s="14" t="s">
        <v>2806</v>
      </c>
      <c r="D439" s="18"/>
      <c r="E439" s="14">
        <v>2021</v>
      </c>
      <c r="F439" s="18"/>
      <c r="G439" s="18"/>
      <c r="H439" s="14" t="s">
        <v>2807</v>
      </c>
      <c r="I439" s="14" t="s">
        <v>257</v>
      </c>
      <c r="J439" s="14">
        <v>2021</v>
      </c>
      <c r="K439" s="14">
        <v>9781728196305</v>
      </c>
      <c r="L439" s="18"/>
      <c r="M439" s="18"/>
      <c r="N439" s="17" t="s">
        <v>2808</v>
      </c>
      <c r="O439" s="14" t="s">
        <v>2809</v>
      </c>
      <c r="P439" s="14" t="s">
        <v>2810</v>
      </c>
      <c r="Q439" s="14" t="s">
        <v>2811</v>
      </c>
      <c r="R439" s="18"/>
      <c r="S439" s="15"/>
      <c r="T439" s="15"/>
      <c r="U439" s="15"/>
      <c r="V439" s="15"/>
    </row>
    <row r="440" spans="1:22" x14ac:dyDescent="0.25">
      <c r="A440" s="14" t="s">
        <v>13</v>
      </c>
      <c r="B440" s="14" t="s">
        <v>2812</v>
      </c>
      <c r="C440" s="14" t="s">
        <v>2813</v>
      </c>
      <c r="D440" s="14" t="s">
        <v>462</v>
      </c>
      <c r="E440" s="14">
        <v>2021</v>
      </c>
      <c r="F440" s="14">
        <v>1375</v>
      </c>
      <c r="G440" s="18"/>
      <c r="H440" s="14" t="s">
        <v>2814</v>
      </c>
      <c r="I440" s="14" t="s">
        <v>212</v>
      </c>
      <c r="J440" s="14">
        <v>2021</v>
      </c>
      <c r="K440" s="18"/>
      <c r="L440" s="18"/>
      <c r="M440" s="14" t="s">
        <v>465</v>
      </c>
      <c r="N440" s="17" t="s">
        <v>2815</v>
      </c>
      <c r="O440" s="14" t="s">
        <v>2816</v>
      </c>
      <c r="P440" s="14" t="s">
        <v>2817</v>
      </c>
      <c r="Q440" s="14" t="s">
        <v>157</v>
      </c>
      <c r="R440" s="18"/>
      <c r="S440" s="15"/>
      <c r="T440" s="15"/>
      <c r="U440" s="15"/>
      <c r="V440" s="15"/>
    </row>
    <row r="441" spans="1:22" x14ac:dyDescent="0.25">
      <c r="A441" s="14" t="s">
        <v>13</v>
      </c>
      <c r="B441" s="14" t="s">
        <v>2818</v>
      </c>
      <c r="C441" s="14" t="s">
        <v>2819</v>
      </c>
      <c r="D441" s="14" t="s">
        <v>1355</v>
      </c>
      <c r="E441" s="14">
        <v>2021</v>
      </c>
      <c r="F441" s="14">
        <v>167</v>
      </c>
      <c r="G441" s="18"/>
      <c r="H441" s="18"/>
      <c r="I441" s="14" t="s">
        <v>1060</v>
      </c>
      <c r="J441" s="14">
        <v>2021</v>
      </c>
      <c r="K441" s="18"/>
      <c r="L441" s="18"/>
      <c r="M441" s="14" t="s">
        <v>1356</v>
      </c>
      <c r="N441" s="17" t="s">
        <v>2820</v>
      </c>
      <c r="O441" s="14" t="s">
        <v>2821</v>
      </c>
      <c r="P441" s="14" t="s">
        <v>2822</v>
      </c>
      <c r="Q441" s="14" t="s">
        <v>2823</v>
      </c>
      <c r="R441" s="18"/>
      <c r="S441" s="15"/>
      <c r="T441" s="15"/>
      <c r="U441" s="15"/>
      <c r="V441" s="15"/>
    </row>
    <row r="442" spans="1:22" x14ac:dyDescent="0.25">
      <c r="A442" s="14" t="s">
        <v>141</v>
      </c>
      <c r="B442" s="14" t="s">
        <v>2824</v>
      </c>
      <c r="C442" s="14" t="s">
        <v>2825</v>
      </c>
      <c r="D442" s="18"/>
      <c r="E442" s="14">
        <v>2020</v>
      </c>
      <c r="F442" s="18"/>
      <c r="G442" s="18"/>
      <c r="H442" s="14" t="s">
        <v>2826</v>
      </c>
      <c r="I442" s="14" t="s">
        <v>153</v>
      </c>
      <c r="J442" s="14">
        <v>2020</v>
      </c>
      <c r="K442" s="14">
        <v>9781450370431</v>
      </c>
      <c r="L442" s="18"/>
      <c r="M442" s="18"/>
      <c r="N442" s="17" t="s">
        <v>2827</v>
      </c>
      <c r="O442" s="14" t="s">
        <v>2828</v>
      </c>
      <c r="P442" s="14" t="s">
        <v>2829</v>
      </c>
      <c r="Q442" s="14" t="s">
        <v>2830</v>
      </c>
      <c r="R442" s="18"/>
      <c r="S442" s="15"/>
      <c r="T442" s="15"/>
      <c r="U442" s="15"/>
      <c r="V442" s="15"/>
    </row>
    <row r="443" spans="1:22" x14ac:dyDescent="0.25">
      <c r="A443" s="14" t="s">
        <v>141</v>
      </c>
      <c r="B443" s="14" t="s">
        <v>2831</v>
      </c>
      <c r="C443" s="14" t="s">
        <v>2832</v>
      </c>
      <c r="D443" s="18"/>
      <c r="E443" s="14">
        <v>2021</v>
      </c>
      <c r="F443" s="21">
        <v>44378</v>
      </c>
      <c r="G443" s="18"/>
      <c r="H443" s="14" t="s">
        <v>2833</v>
      </c>
      <c r="I443" s="14" t="s">
        <v>933</v>
      </c>
      <c r="J443" s="14">
        <v>2021</v>
      </c>
      <c r="K443" s="14">
        <v>9781891706523</v>
      </c>
      <c r="L443" s="18"/>
      <c r="M443" s="14" t="s">
        <v>934</v>
      </c>
      <c r="N443" s="17" t="s">
        <v>2834</v>
      </c>
      <c r="O443" s="14" t="s">
        <v>2835</v>
      </c>
      <c r="P443" s="14" t="s">
        <v>2836</v>
      </c>
      <c r="Q443" s="14" t="s">
        <v>1591</v>
      </c>
      <c r="R443" s="18"/>
      <c r="S443" s="15"/>
      <c r="T443" s="15"/>
      <c r="U443" s="15"/>
      <c r="V443" s="15"/>
    </row>
    <row r="444" spans="1:22" x14ac:dyDescent="0.25">
      <c r="A444" s="14" t="s">
        <v>141</v>
      </c>
      <c r="B444" s="14" t="s">
        <v>2837</v>
      </c>
      <c r="C444" s="14" t="s">
        <v>2838</v>
      </c>
      <c r="D444" s="18"/>
      <c r="E444" s="14">
        <v>2020</v>
      </c>
      <c r="F444" s="18"/>
      <c r="G444" s="18"/>
      <c r="H444" s="18"/>
      <c r="I444" s="14" t="s">
        <v>196</v>
      </c>
      <c r="J444" s="14">
        <v>2020</v>
      </c>
      <c r="K444" s="14">
        <v>9781450375801</v>
      </c>
      <c r="L444" s="18"/>
      <c r="M444" s="14" t="s">
        <v>197</v>
      </c>
      <c r="N444" s="17" t="s">
        <v>2839</v>
      </c>
      <c r="O444" s="14" t="s">
        <v>2840</v>
      </c>
      <c r="P444" s="14" t="s">
        <v>2841</v>
      </c>
      <c r="Q444" s="14" t="s">
        <v>1094</v>
      </c>
      <c r="R444" s="18"/>
      <c r="S444" s="15"/>
      <c r="T444" s="15"/>
      <c r="U444" s="15"/>
      <c r="V444" s="15"/>
    </row>
    <row r="445" spans="1:22" x14ac:dyDescent="0.25">
      <c r="A445" s="14" t="s">
        <v>141</v>
      </c>
      <c r="B445" s="14" t="s">
        <v>2842</v>
      </c>
      <c r="C445" s="14" t="s">
        <v>2843</v>
      </c>
      <c r="D445" s="18"/>
      <c r="E445" s="14">
        <v>2021</v>
      </c>
      <c r="F445" s="18"/>
      <c r="G445" s="18"/>
      <c r="H445" s="14" t="s">
        <v>1917</v>
      </c>
      <c r="I445" s="14" t="s">
        <v>257</v>
      </c>
      <c r="J445" s="14">
        <v>2021</v>
      </c>
      <c r="K445" s="14">
        <v>9781728184760</v>
      </c>
      <c r="L445" s="18"/>
      <c r="M445" s="18"/>
      <c r="N445" s="17" t="s">
        <v>2844</v>
      </c>
      <c r="O445" s="14" t="s">
        <v>2845</v>
      </c>
      <c r="P445" s="14" t="s">
        <v>2846</v>
      </c>
      <c r="Q445" s="14" t="s">
        <v>157</v>
      </c>
      <c r="R445" s="18"/>
      <c r="S445" s="15"/>
      <c r="T445" s="15"/>
      <c r="U445" s="15"/>
      <c r="V445" s="15"/>
    </row>
    <row r="446" spans="1:22" x14ac:dyDescent="0.25">
      <c r="A446" s="14" t="s">
        <v>141</v>
      </c>
      <c r="B446" s="14" t="s">
        <v>2847</v>
      </c>
      <c r="C446" s="14" t="s">
        <v>2848</v>
      </c>
      <c r="D446" s="18"/>
      <c r="E446" s="14">
        <v>2021</v>
      </c>
      <c r="F446" s="14">
        <v>2978</v>
      </c>
      <c r="G446" s="18"/>
      <c r="H446" s="18"/>
      <c r="I446" s="14" t="s">
        <v>613</v>
      </c>
      <c r="J446" s="14">
        <v>2021</v>
      </c>
      <c r="K446" s="18"/>
      <c r="L446" s="18"/>
      <c r="M446" s="14" t="s">
        <v>614</v>
      </c>
      <c r="N446" s="17" t="s">
        <v>2849</v>
      </c>
      <c r="O446" s="18"/>
      <c r="P446" s="14" t="s">
        <v>2850</v>
      </c>
      <c r="Q446" s="14" t="s">
        <v>157</v>
      </c>
      <c r="R446" s="18"/>
      <c r="S446" s="15"/>
      <c r="T446" s="15"/>
      <c r="U446" s="15"/>
      <c r="V446" s="15"/>
    </row>
    <row r="447" spans="1:22" x14ac:dyDescent="0.25">
      <c r="A447" s="14" t="s">
        <v>141</v>
      </c>
      <c r="B447" s="14" t="s">
        <v>1522</v>
      </c>
      <c r="C447" s="14" t="s">
        <v>2851</v>
      </c>
      <c r="D447" s="18"/>
      <c r="E447" s="14">
        <v>2020</v>
      </c>
      <c r="F447" s="18"/>
      <c r="G447" s="18"/>
      <c r="H447" s="14" t="s">
        <v>2852</v>
      </c>
      <c r="I447" s="14" t="s">
        <v>196</v>
      </c>
      <c r="J447" s="14">
        <v>2020</v>
      </c>
      <c r="K447" s="14">
        <v>9781450379588</v>
      </c>
      <c r="L447" s="18"/>
      <c r="M447" s="18"/>
      <c r="N447" s="17" t="s">
        <v>2853</v>
      </c>
      <c r="O447" s="14" t="s">
        <v>2854</v>
      </c>
      <c r="P447" s="14" t="s">
        <v>2855</v>
      </c>
      <c r="Q447" s="14" t="s">
        <v>2811</v>
      </c>
      <c r="R447" s="18"/>
      <c r="S447" s="15"/>
      <c r="T447" s="15"/>
      <c r="U447" s="15"/>
      <c r="V447" s="15"/>
    </row>
    <row r="448" spans="1:22" x14ac:dyDescent="0.25">
      <c r="A448" s="14" t="s">
        <v>13</v>
      </c>
      <c r="B448" s="14" t="s">
        <v>2856</v>
      </c>
      <c r="C448" s="14" t="s">
        <v>2857</v>
      </c>
      <c r="D448" s="14" t="s">
        <v>1870</v>
      </c>
      <c r="E448" s="14">
        <v>2021</v>
      </c>
      <c r="F448" s="14">
        <v>417</v>
      </c>
      <c r="G448" s="18"/>
      <c r="H448" s="14" t="s">
        <v>2858</v>
      </c>
      <c r="I448" s="14" t="s">
        <v>212</v>
      </c>
      <c r="J448" s="14">
        <v>2021</v>
      </c>
      <c r="K448" s="18"/>
      <c r="L448" s="18"/>
      <c r="M448" s="14" t="s">
        <v>1873</v>
      </c>
      <c r="N448" s="17" t="s">
        <v>2859</v>
      </c>
      <c r="O448" s="14" t="s">
        <v>2860</v>
      </c>
      <c r="P448" s="14" t="s">
        <v>2861</v>
      </c>
      <c r="Q448" s="14" t="s">
        <v>157</v>
      </c>
      <c r="R448" s="18"/>
      <c r="S448" s="15"/>
      <c r="T448" s="15"/>
      <c r="U448" s="15"/>
      <c r="V448" s="15"/>
    </row>
    <row r="449" spans="1:22" x14ac:dyDescent="0.25">
      <c r="A449" s="14" t="s">
        <v>141</v>
      </c>
      <c r="B449" s="14" t="s">
        <v>2862</v>
      </c>
      <c r="C449" s="14" t="s">
        <v>2863</v>
      </c>
      <c r="D449" s="18"/>
      <c r="E449" s="14">
        <v>2020</v>
      </c>
      <c r="F449" s="18"/>
      <c r="G449" s="18"/>
      <c r="H449" s="14" t="s">
        <v>2864</v>
      </c>
      <c r="I449" s="14" t="s">
        <v>257</v>
      </c>
      <c r="J449" s="14">
        <v>2020</v>
      </c>
      <c r="K449" s="14">
        <v>9781728192482</v>
      </c>
      <c r="L449" s="18"/>
      <c r="M449" s="18"/>
      <c r="N449" s="17" t="s">
        <v>2865</v>
      </c>
      <c r="O449" s="14" t="s">
        <v>2866</v>
      </c>
      <c r="P449" s="14" t="s">
        <v>2867</v>
      </c>
      <c r="Q449" s="14" t="s">
        <v>2830</v>
      </c>
      <c r="R449" s="18"/>
      <c r="S449" s="15"/>
      <c r="T449" s="15"/>
      <c r="U449" s="15"/>
      <c r="V449" s="15"/>
    </row>
    <row r="450" spans="1:22" x14ac:dyDescent="0.25">
      <c r="A450" s="14" t="s">
        <v>141</v>
      </c>
      <c r="B450" s="14" t="s">
        <v>2868</v>
      </c>
      <c r="C450" s="14" t="s">
        <v>2869</v>
      </c>
      <c r="D450" s="18"/>
      <c r="E450" s="14">
        <v>2021</v>
      </c>
      <c r="F450" s="18"/>
      <c r="G450" s="18"/>
      <c r="H450" s="14" t="s">
        <v>2870</v>
      </c>
      <c r="I450" s="14" t="s">
        <v>2565</v>
      </c>
      <c r="J450" s="14">
        <v>2021</v>
      </c>
      <c r="K450" s="14">
        <v>9781950737109</v>
      </c>
      <c r="L450" s="18"/>
      <c r="M450" s="18"/>
      <c r="N450" s="17" t="s">
        <v>2871</v>
      </c>
      <c r="O450" s="18"/>
      <c r="P450" s="14" t="s">
        <v>2872</v>
      </c>
      <c r="Q450" s="14" t="s">
        <v>1813</v>
      </c>
      <c r="R450" s="18"/>
      <c r="S450" s="15"/>
      <c r="T450" s="15"/>
      <c r="U450" s="15"/>
      <c r="V450" s="15"/>
    </row>
    <row r="451" spans="1:22" x14ac:dyDescent="0.25">
      <c r="A451" s="14" t="s">
        <v>13</v>
      </c>
      <c r="B451" s="14" t="s">
        <v>2873</v>
      </c>
      <c r="C451" s="14" t="s">
        <v>70</v>
      </c>
      <c r="D451" s="14" t="s">
        <v>188</v>
      </c>
      <c r="E451" s="14">
        <v>2021</v>
      </c>
      <c r="F451" s="14">
        <v>31</v>
      </c>
      <c r="G451" s="14">
        <v>2</v>
      </c>
      <c r="H451" s="14" t="s">
        <v>2874</v>
      </c>
      <c r="I451" s="14" t="s">
        <v>189</v>
      </c>
      <c r="J451" s="14">
        <v>2021</v>
      </c>
      <c r="K451" s="18"/>
      <c r="L451" s="18"/>
      <c r="M451" s="14" t="s">
        <v>73</v>
      </c>
      <c r="N451" s="17" t="s">
        <v>2875</v>
      </c>
      <c r="O451" s="14" t="s">
        <v>75</v>
      </c>
      <c r="P451" s="14" t="s">
        <v>2876</v>
      </c>
      <c r="Q451" s="14" t="s">
        <v>318</v>
      </c>
      <c r="R451" s="18"/>
      <c r="S451" s="15"/>
      <c r="T451" s="15"/>
      <c r="U451" s="15"/>
      <c r="V451" s="15"/>
    </row>
    <row r="452" spans="1:22" x14ac:dyDescent="0.25">
      <c r="A452" s="14" t="s">
        <v>141</v>
      </c>
      <c r="B452" s="14" t="s">
        <v>2877</v>
      </c>
      <c r="C452" s="14" t="s">
        <v>2878</v>
      </c>
      <c r="D452" s="18"/>
      <c r="E452" s="14">
        <v>2020</v>
      </c>
      <c r="F452" s="18"/>
      <c r="G452" s="18"/>
      <c r="H452" s="18"/>
      <c r="I452" s="14" t="s">
        <v>145</v>
      </c>
      <c r="J452" s="14">
        <v>2020</v>
      </c>
      <c r="K452" s="14">
        <v>9781450389235</v>
      </c>
      <c r="L452" s="18"/>
      <c r="M452" s="18"/>
      <c r="N452" s="17" t="s">
        <v>2879</v>
      </c>
      <c r="O452" s="14" t="s">
        <v>2880</v>
      </c>
      <c r="P452" s="14" t="s">
        <v>2881</v>
      </c>
      <c r="Q452" s="14" t="s">
        <v>157</v>
      </c>
      <c r="R452" s="18"/>
      <c r="S452" s="15"/>
      <c r="T452" s="15"/>
      <c r="U452" s="15"/>
      <c r="V452" s="15"/>
    </row>
    <row r="453" spans="1:22" x14ac:dyDescent="0.25">
      <c r="A453" s="14" t="s">
        <v>141</v>
      </c>
      <c r="B453" s="14" t="s">
        <v>2882</v>
      </c>
      <c r="C453" s="14" t="s">
        <v>2883</v>
      </c>
      <c r="D453" s="18"/>
      <c r="E453" s="14">
        <v>2020</v>
      </c>
      <c r="F453" s="14">
        <v>1587</v>
      </c>
      <c r="G453" s="18"/>
      <c r="H453" s="18"/>
      <c r="I453" s="14" t="s">
        <v>2884</v>
      </c>
      <c r="J453" s="14">
        <v>2020</v>
      </c>
      <c r="K453" s="18"/>
      <c r="L453" s="18"/>
      <c r="M453" s="14" t="s">
        <v>2438</v>
      </c>
      <c r="N453" s="17" t="s">
        <v>2885</v>
      </c>
      <c r="O453" s="14" t="s">
        <v>2886</v>
      </c>
      <c r="P453" s="14" t="s">
        <v>2887</v>
      </c>
      <c r="Q453" s="14" t="s">
        <v>568</v>
      </c>
      <c r="R453" s="18"/>
      <c r="S453" s="15"/>
      <c r="T453" s="15"/>
      <c r="U453" s="15"/>
      <c r="V453" s="15"/>
    </row>
    <row r="454" spans="1:22" x14ac:dyDescent="0.25">
      <c r="A454" s="14" t="s">
        <v>141</v>
      </c>
      <c r="B454" s="14" t="s">
        <v>2888</v>
      </c>
      <c r="C454" s="14" t="s">
        <v>2889</v>
      </c>
      <c r="D454" s="18"/>
      <c r="E454" s="14">
        <v>2021</v>
      </c>
      <c r="F454" s="18"/>
      <c r="G454" s="18"/>
      <c r="H454" s="14" t="s">
        <v>2890</v>
      </c>
      <c r="I454" s="14" t="s">
        <v>257</v>
      </c>
      <c r="J454" s="14">
        <v>2021</v>
      </c>
      <c r="K454" s="14">
        <v>9781728162607</v>
      </c>
      <c r="L454" s="18"/>
      <c r="M454" s="18"/>
      <c r="N454" s="17" t="s">
        <v>2891</v>
      </c>
      <c r="O454" s="14" t="s">
        <v>2892</v>
      </c>
      <c r="P454" s="14" t="s">
        <v>2893</v>
      </c>
      <c r="Q454" s="14" t="s">
        <v>404</v>
      </c>
      <c r="R454" s="18"/>
      <c r="S454" s="15"/>
      <c r="T454" s="15"/>
      <c r="U454" s="15"/>
      <c r="V454" s="15"/>
    </row>
    <row r="455" spans="1:22" x14ac:dyDescent="0.25">
      <c r="A455" s="14" t="s">
        <v>141</v>
      </c>
      <c r="B455" s="14" t="s">
        <v>2894</v>
      </c>
      <c r="C455" s="14" t="s">
        <v>2895</v>
      </c>
      <c r="D455" s="18"/>
      <c r="E455" s="14">
        <v>2020</v>
      </c>
      <c r="F455" s="18"/>
      <c r="G455" s="18"/>
      <c r="H455" s="14" t="s">
        <v>2896</v>
      </c>
      <c r="I455" s="14" t="s">
        <v>257</v>
      </c>
      <c r="J455" s="14">
        <v>2020</v>
      </c>
      <c r="K455" s="14">
        <v>9781728140865</v>
      </c>
      <c r="L455" s="18"/>
      <c r="M455" s="18"/>
      <c r="N455" s="17" t="s">
        <v>2897</v>
      </c>
      <c r="O455" s="14" t="s">
        <v>2898</v>
      </c>
      <c r="P455" s="14" t="s">
        <v>2899</v>
      </c>
      <c r="Q455" s="14" t="s">
        <v>157</v>
      </c>
      <c r="R455" s="18"/>
      <c r="S455" s="15"/>
      <c r="T455" s="15"/>
      <c r="U455" s="15"/>
      <c r="V455" s="15"/>
    </row>
    <row r="456" spans="1:22" x14ac:dyDescent="0.25">
      <c r="A456" s="14" t="s">
        <v>141</v>
      </c>
      <c r="B456" s="14" t="s">
        <v>2900</v>
      </c>
      <c r="C456" s="14" t="s">
        <v>2901</v>
      </c>
      <c r="D456" s="18"/>
      <c r="E456" s="14">
        <v>2021</v>
      </c>
      <c r="F456" s="21">
        <v>44256</v>
      </c>
      <c r="G456" s="18"/>
      <c r="H456" s="18"/>
      <c r="I456" s="14" t="s">
        <v>196</v>
      </c>
      <c r="J456" s="14">
        <v>2021</v>
      </c>
      <c r="K456" s="14">
        <v>9781728174365</v>
      </c>
      <c r="L456" s="18"/>
      <c r="M456" s="14" t="s">
        <v>2902</v>
      </c>
      <c r="N456" s="17" t="s">
        <v>2903</v>
      </c>
      <c r="O456" s="14" t="s">
        <v>2904</v>
      </c>
      <c r="P456" s="14" t="s">
        <v>2905</v>
      </c>
      <c r="Q456" s="14" t="s">
        <v>157</v>
      </c>
      <c r="R456" s="18"/>
      <c r="S456" s="15"/>
      <c r="T456" s="15"/>
      <c r="U456" s="15"/>
      <c r="V456" s="15"/>
    </row>
    <row r="457" spans="1:22" x14ac:dyDescent="0.25">
      <c r="A457" s="14" t="s">
        <v>13</v>
      </c>
      <c r="B457" s="14" t="s">
        <v>2906</v>
      </c>
      <c r="C457" s="14" t="s">
        <v>2907</v>
      </c>
      <c r="D457" s="14" t="s">
        <v>354</v>
      </c>
      <c r="E457" s="14">
        <v>2021</v>
      </c>
      <c r="F457" s="14">
        <v>171</v>
      </c>
      <c r="G457" s="18"/>
      <c r="H457" s="18"/>
      <c r="I457" s="14" t="s">
        <v>355</v>
      </c>
      <c r="J457" s="14">
        <v>2021</v>
      </c>
      <c r="K457" s="18"/>
      <c r="L457" s="18"/>
      <c r="M457" s="14" t="s">
        <v>65</v>
      </c>
      <c r="N457" s="17" t="s">
        <v>2908</v>
      </c>
      <c r="O457" s="14" t="s">
        <v>2909</v>
      </c>
      <c r="P457" s="14" t="s">
        <v>2910</v>
      </c>
      <c r="Q457" s="14" t="s">
        <v>2911</v>
      </c>
      <c r="R457" s="18"/>
      <c r="S457" s="15"/>
      <c r="T457" s="15"/>
      <c r="U457" s="15"/>
      <c r="V457" s="15"/>
    </row>
    <row r="458" spans="1:22" x14ac:dyDescent="0.25">
      <c r="A458" s="14" t="s">
        <v>141</v>
      </c>
      <c r="B458" s="14" t="s">
        <v>1628</v>
      </c>
      <c r="C458" s="14" t="s">
        <v>2912</v>
      </c>
      <c r="D458" s="18"/>
      <c r="E458" s="14">
        <v>2021</v>
      </c>
      <c r="F458" s="14">
        <v>3102</v>
      </c>
      <c r="G458" s="18"/>
      <c r="H458" s="18"/>
      <c r="I458" s="14" t="s">
        <v>613</v>
      </c>
      <c r="J458" s="14">
        <v>2021</v>
      </c>
      <c r="K458" s="18"/>
      <c r="L458" s="18"/>
      <c r="M458" s="14" t="s">
        <v>614</v>
      </c>
      <c r="N458" s="17" t="s">
        <v>2913</v>
      </c>
      <c r="O458" s="18"/>
      <c r="P458" s="14" t="s">
        <v>2914</v>
      </c>
      <c r="Q458" s="14" t="s">
        <v>157</v>
      </c>
      <c r="R458" s="18"/>
      <c r="S458" s="15"/>
      <c r="T458" s="15"/>
      <c r="U458" s="15"/>
      <c r="V458" s="15"/>
    </row>
    <row r="459" spans="1:22" x14ac:dyDescent="0.25">
      <c r="A459" s="14" t="s">
        <v>13</v>
      </c>
      <c r="B459" s="14" t="s">
        <v>2915</v>
      </c>
      <c r="C459" s="14" t="s">
        <v>2916</v>
      </c>
      <c r="D459" s="14" t="s">
        <v>2917</v>
      </c>
      <c r="E459" s="14">
        <v>2020</v>
      </c>
      <c r="F459" s="14">
        <v>41</v>
      </c>
      <c r="G459" s="14">
        <v>4</v>
      </c>
      <c r="H459" s="14" t="s">
        <v>2918</v>
      </c>
      <c r="I459" s="14" t="s">
        <v>2919</v>
      </c>
      <c r="J459" s="14">
        <v>2020</v>
      </c>
      <c r="K459" s="18"/>
      <c r="L459" s="18"/>
      <c r="M459" s="14" t="s">
        <v>2920</v>
      </c>
      <c r="N459" s="17" t="s">
        <v>2921</v>
      </c>
      <c r="O459" s="14" t="s">
        <v>2922</v>
      </c>
      <c r="P459" s="14" t="s">
        <v>2923</v>
      </c>
      <c r="Q459" s="14" t="s">
        <v>404</v>
      </c>
      <c r="R459" s="18"/>
      <c r="S459" s="15"/>
      <c r="T459" s="15"/>
      <c r="U459" s="15"/>
      <c r="V459" s="15"/>
    </row>
    <row r="460" spans="1:22" x14ac:dyDescent="0.25">
      <c r="A460" s="14" t="s">
        <v>141</v>
      </c>
      <c r="B460" s="14" t="s">
        <v>2924</v>
      </c>
      <c r="C460" s="14" t="s">
        <v>2925</v>
      </c>
      <c r="D460" s="18"/>
      <c r="E460" s="14">
        <v>2021</v>
      </c>
      <c r="F460" s="18"/>
      <c r="G460" s="18"/>
      <c r="H460" s="14" t="s">
        <v>2926</v>
      </c>
      <c r="I460" s="14" t="s">
        <v>257</v>
      </c>
      <c r="J460" s="14">
        <v>2021</v>
      </c>
      <c r="K460" s="14">
        <v>9781728187105</v>
      </c>
      <c r="L460" s="18"/>
      <c r="M460" s="18"/>
      <c r="N460" s="17" t="s">
        <v>2927</v>
      </c>
      <c r="O460" s="14" t="s">
        <v>2928</v>
      </c>
      <c r="P460" s="14" t="s">
        <v>2929</v>
      </c>
      <c r="Q460" s="14" t="s">
        <v>1404</v>
      </c>
      <c r="R460" s="18"/>
      <c r="S460" s="15"/>
      <c r="T460" s="15"/>
      <c r="U460" s="15"/>
      <c r="V460" s="15"/>
    </row>
    <row r="461" spans="1:22" x14ac:dyDescent="0.25">
      <c r="A461" s="14" t="s">
        <v>141</v>
      </c>
      <c r="B461" s="14" t="s">
        <v>2930</v>
      </c>
      <c r="C461" s="14" t="s">
        <v>2931</v>
      </c>
      <c r="D461" s="18"/>
      <c r="E461" s="14">
        <v>2021</v>
      </c>
      <c r="F461" s="14">
        <v>47</v>
      </c>
      <c r="G461" s="18"/>
      <c r="H461" s="14" t="s">
        <v>2932</v>
      </c>
      <c r="I461" s="14" t="s">
        <v>212</v>
      </c>
      <c r="J461" s="14">
        <v>2021</v>
      </c>
      <c r="K461" s="14">
        <v>9783030867966</v>
      </c>
      <c r="L461" s="18"/>
      <c r="M461" s="14" t="s">
        <v>2933</v>
      </c>
      <c r="N461" s="17" t="s">
        <v>2934</v>
      </c>
      <c r="O461" s="14" t="s">
        <v>2935</v>
      </c>
      <c r="P461" s="14" t="s">
        <v>2936</v>
      </c>
      <c r="Q461" s="14" t="s">
        <v>404</v>
      </c>
      <c r="R461" s="18"/>
      <c r="S461" s="15"/>
      <c r="T461" s="15"/>
      <c r="U461" s="15"/>
      <c r="V461" s="15"/>
    </row>
    <row r="462" spans="1:22" x14ac:dyDescent="0.25">
      <c r="A462" s="14" t="s">
        <v>13</v>
      </c>
      <c r="B462" s="14" t="s">
        <v>2937</v>
      </c>
      <c r="C462" s="14" t="s">
        <v>2938</v>
      </c>
      <c r="D462" s="14" t="s">
        <v>354</v>
      </c>
      <c r="E462" s="14">
        <v>2020</v>
      </c>
      <c r="F462" s="14">
        <v>169</v>
      </c>
      <c r="G462" s="18"/>
      <c r="H462" s="18"/>
      <c r="I462" s="14" t="s">
        <v>355</v>
      </c>
      <c r="J462" s="14">
        <v>2020</v>
      </c>
      <c r="K462" s="18"/>
      <c r="L462" s="18"/>
      <c r="M462" s="14" t="s">
        <v>65</v>
      </c>
      <c r="N462" s="17" t="s">
        <v>2939</v>
      </c>
      <c r="O462" s="14" t="s">
        <v>2940</v>
      </c>
      <c r="P462" s="14" t="s">
        <v>2941</v>
      </c>
      <c r="Q462" s="14" t="s">
        <v>2942</v>
      </c>
      <c r="R462" s="18"/>
      <c r="S462" s="15"/>
      <c r="T462" s="15"/>
      <c r="U462" s="15"/>
      <c r="V462" s="15"/>
    </row>
    <row r="463" spans="1:22" x14ac:dyDescent="0.25">
      <c r="A463" s="14" t="s">
        <v>13</v>
      </c>
      <c r="B463" s="14" t="s">
        <v>2943</v>
      </c>
      <c r="C463" s="14" t="s">
        <v>2944</v>
      </c>
      <c r="D463" s="14" t="s">
        <v>878</v>
      </c>
      <c r="E463" s="14">
        <v>2021</v>
      </c>
      <c r="F463" s="18"/>
      <c r="G463" s="18"/>
      <c r="H463" s="18"/>
      <c r="I463" s="14" t="s">
        <v>266</v>
      </c>
      <c r="J463" s="14">
        <v>2021</v>
      </c>
      <c r="K463" s="18"/>
      <c r="L463" s="18"/>
      <c r="M463" s="14" t="s">
        <v>879</v>
      </c>
      <c r="N463" s="17" t="s">
        <v>2945</v>
      </c>
      <c r="O463" s="14" t="s">
        <v>2946</v>
      </c>
      <c r="P463" s="14" t="s">
        <v>2947</v>
      </c>
      <c r="Q463" s="14" t="s">
        <v>1656</v>
      </c>
      <c r="R463" s="18"/>
      <c r="S463" s="15"/>
      <c r="T463" s="15"/>
      <c r="U463" s="15"/>
      <c r="V463" s="15"/>
    </row>
    <row r="464" spans="1:22" x14ac:dyDescent="0.25">
      <c r="A464" s="14" t="s">
        <v>141</v>
      </c>
      <c r="B464" s="14" t="s">
        <v>2948</v>
      </c>
      <c r="C464" s="14" t="s">
        <v>2949</v>
      </c>
      <c r="D464" s="18"/>
      <c r="E464" s="14">
        <v>2021</v>
      </c>
      <c r="F464" s="18"/>
      <c r="G464" s="18"/>
      <c r="H464" s="14" t="s">
        <v>2950</v>
      </c>
      <c r="I464" s="14" t="s">
        <v>257</v>
      </c>
      <c r="J464" s="14">
        <v>2021</v>
      </c>
      <c r="K464" s="14">
        <v>9781665443913</v>
      </c>
      <c r="L464" s="18"/>
      <c r="M464" s="18"/>
      <c r="N464" s="17" t="s">
        <v>2951</v>
      </c>
      <c r="O464" s="14" t="s">
        <v>2952</v>
      </c>
      <c r="P464" s="14" t="s">
        <v>2953</v>
      </c>
      <c r="Q464" s="14" t="s">
        <v>157</v>
      </c>
      <c r="R464" s="18"/>
      <c r="S464" s="15"/>
      <c r="T464" s="15"/>
      <c r="U464" s="15"/>
      <c r="V464" s="15"/>
    </row>
    <row r="465" spans="1:22" x14ac:dyDescent="0.25">
      <c r="A465" s="14" t="s">
        <v>141</v>
      </c>
      <c r="B465" s="14" t="s">
        <v>2954</v>
      </c>
      <c r="C465" s="14" t="s">
        <v>2955</v>
      </c>
      <c r="D465" s="18"/>
      <c r="E465" s="14">
        <v>2021</v>
      </c>
      <c r="F465" s="18"/>
      <c r="G465" s="18"/>
      <c r="H465" s="14" t="s">
        <v>2956</v>
      </c>
      <c r="I465" s="14" t="s">
        <v>257</v>
      </c>
      <c r="J465" s="14">
        <v>2021</v>
      </c>
      <c r="K465" s="14">
        <v>9781665443616</v>
      </c>
      <c r="L465" s="18"/>
      <c r="M465" s="18"/>
      <c r="N465" s="17" t="s">
        <v>2957</v>
      </c>
      <c r="O465" s="14" t="s">
        <v>2958</v>
      </c>
      <c r="P465" s="14" t="s">
        <v>2959</v>
      </c>
      <c r="Q465" s="14" t="s">
        <v>157</v>
      </c>
      <c r="R465" s="18"/>
      <c r="S465" s="15"/>
      <c r="T465" s="15"/>
      <c r="U465" s="15"/>
      <c r="V465" s="15"/>
    </row>
    <row r="466" spans="1:22" x14ac:dyDescent="0.25">
      <c r="A466" s="14" t="s">
        <v>141</v>
      </c>
      <c r="B466" s="14" t="s">
        <v>2960</v>
      </c>
      <c r="C466" s="14" t="s">
        <v>2961</v>
      </c>
      <c r="D466" s="18"/>
      <c r="E466" s="14">
        <v>2021</v>
      </c>
      <c r="F466" s="18"/>
      <c r="G466" s="18"/>
      <c r="H466" s="14" t="s">
        <v>2962</v>
      </c>
      <c r="I466" s="14" t="s">
        <v>257</v>
      </c>
      <c r="J466" s="14">
        <v>2021</v>
      </c>
      <c r="K466" s="14">
        <v>9781665403375</v>
      </c>
      <c r="L466" s="18"/>
      <c r="M466" s="18"/>
      <c r="N466" s="17" t="s">
        <v>2963</v>
      </c>
      <c r="O466" s="14" t="s">
        <v>2964</v>
      </c>
      <c r="P466" s="14" t="s">
        <v>2965</v>
      </c>
      <c r="Q466" s="14" t="s">
        <v>157</v>
      </c>
      <c r="R466" s="18"/>
      <c r="S466" s="15"/>
      <c r="T466" s="15"/>
      <c r="U466" s="15"/>
      <c r="V466" s="15"/>
    </row>
    <row r="467" spans="1:22" x14ac:dyDescent="0.25">
      <c r="A467" s="14" t="s">
        <v>141</v>
      </c>
      <c r="B467" s="14" t="s">
        <v>2966</v>
      </c>
      <c r="C467" s="14" t="s">
        <v>2967</v>
      </c>
      <c r="D467" s="18"/>
      <c r="E467" s="14">
        <v>2020</v>
      </c>
      <c r="F467" s="18"/>
      <c r="G467" s="18"/>
      <c r="H467" s="14" t="s">
        <v>2968</v>
      </c>
      <c r="I467" s="14" t="s">
        <v>257</v>
      </c>
      <c r="J467" s="14">
        <v>2020</v>
      </c>
      <c r="K467" s="14">
        <v>9781728184142</v>
      </c>
      <c r="L467" s="18"/>
      <c r="M467" s="18"/>
      <c r="N467" s="17" t="s">
        <v>2969</v>
      </c>
      <c r="O467" s="14" t="s">
        <v>2970</v>
      </c>
      <c r="P467" s="14" t="s">
        <v>2971</v>
      </c>
      <c r="Q467" s="14" t="s">
        <v>2723</v>
      </c>
      <c r="R467" s="18"/>
      <c r="S467" s="15"/>
      <c r="T467" s="15"/>
      <c r="U467" s="15"/>
      <c r="V467" s="15"/>
    </row>
    <row r="468" spans="1:22" x14ac:dyDescent="0.25">
      <c r="A468" s="14" t="s">
        <v>13</v>
      </c>
      <c r="B468" s="14" t="s">
        <v>2972</v>
      </c>
      <c r="C468" s="14" t="s">
        <v>2973</v>
      </c>
      <c r="D468" s="14" t="s">
        <v>2974</v>
      </c>
      <c r="E468" s="14">
        <v>2021</v>
      </c>
      <c r="F468" s="14">
        <v>624</v>
      </c>
      <c r="G468" s="18"/>
      <c r="H468" s="14" t="s">
        <v>2975</v>
      </c>
      <c r="I468" s="14" t="s">
        <v>212</v>
      </c>
      <c r="J468" s="14">
        <v>2021</v>
      </c>
      <c r="K468" s="18"/>
      <c r="L468" s="18"/>
      <c r="M468" s="14" t="s">
        <v>2976</v>
      </c>
      <c r="N468" s="17" t="s">
        <v>2977</v>
      </c>
      <c r="O468" s="14" t="s">
        <v>2978</v>
      </c>
      <c r="P468" s="14" t="s">
        <v>2979</v>
      </c>
      <c r="Q468" s="14" t="s">
        <v>289</v>
      </c>
      <c r="R468" s="18"/>
      <c r="S468" s="15"/>
      <c r="T468" s="15"/>
      <c r="U468" s="15"/>
      <c r="V468" s="15"/>
    </row>
    <row r="469" spans="1:22" x14ac:dyDescent="0.25">
      <c r="A469" s="14" t="s">
        <v>141</v>
      </c>
      <c r="B469" s="14" t="s">
        <v>2980</v>
      </c>
      <c r="C469" s="14" t="s">
        <v>2981</v>
      </c>
      <c r="D469" s="18"/>
      <c r="E469" s="14">
        <v>2020</v>
      </c>
      <c r="F469" s="18"/>
      <c r="G469" s="18"/>
      <c r="H469" s="18"/>
      <c r="I469" s="14" t="s">
        <v>257</v>
      </c>
      <c r="J469" s="14">
        <v>2020</v>
      </c>
      <c r="K469" s="14">
        <v>9781728120355</v>
      </c>
      <c r="L469" s="18"/>
      <c r="M469" s="18"/>
      <c r="N469" s="17" t="s">
        <v>2982</v>
      </c>
      <c r="O469" s="14" t="s">
        <v>2983</v>
      </c>
      <c r="P469" s="14" t="s">
        <v>2984</v>
      </c>
      <c r="Q469" s="14" t="s">
        <v>176</v>
      </c>
      <c r="R469" s="18"/>
      <c r="S469" s="15"/>
      <c r="T469" s="15"/>
      <c r="U469" s="15"/>
      <c r="V469" s="15"/>
    </row>
    <row r="470" spans="1:22" x14ac:dyDescent="0.25">
      <c r="A470" s="14" t="s">
        <v>141</v>
      </c>
      <c r="B470" s="14" t="s">
        <v>2985</v>
      </c>
      <c r="C470" s="14" t="s">
        <v>2986</v>
      </c>
      <c r="D470" s="18"/>
      <c r="E470" s="14">
        <v>2021</v>
      </c>
      <c r="F470" s="18"/>
      <c r="G470" s="18"/>
      <c r="H470" s="14" t="s">
        <v>2370</v>
      </c>
      <c r="I470" s="14" t="s">
        <v>257</v>
      </c>
      <c r="J470" s="14">
        <v>2021</v>
      </c>
      <c r="K470" s="14">
        <v>9781665444705</v>
      </c>
      <c r="L470" s="18"/>
      <c r="M470" s="18"/>
      <c r="N470" s="17" t="s">
        <v>2987</v>
      </c>
      <c r="O470" s="14" t="s">
        <v>2988</v>
      </c>
      <c r="P470" s="14" t="s">
        <v>2989</v>
      </c>
      <c r="Q470" s="14" t="s">
        <v>2990</v>
      </c>
      <c r="R470" s="18"/>
      <c r="S470" s="15"/>
      <c r="T470" s="15"/>
      <c r="U470" s="15"/>
      <c r="V470" s="15"/>
    </row>
    <row r="471" spans="1:22" x14ac:dyDescent="0.25">
      <c r="A471" s="14" t="s">
        <v>13</v>
      </c>
      <c r="B471" s="14" t="s">
        <v>2991</v>
      </c>
      <c r="C471" s="14" t="s">
        <v>2992</v>
      </c>
      <c r="D471" s="14" t="s">
        <v>255</v>
      </c>
      <c r="E471" s="14">
        <v>2021</v>
      </c>
      <c r="F471" s="14">
        <v>47</v>
      </c>
      <c r="G471" s="14">
        <v>1</v>
      </c>
      <c r="H471" s="14" t="s">
        <v>2993</v>
      </c>
      <c r="I471" s="14" t="s">
        <v>257</v>
      </c>
      <c r="J471" s="14">
        <v>2021</v>
      </c>
      <c r="K471" s="18"/>
      <c r="L471" s="18"/>
      <c r="M471" s="14" t="s">
        <v>18</v>
      </c>
      <c r="N471" s="17" t="s">
        <v>2994</v>
      </c>
      <c r="O471" s="14" t="s">
        <v>2995</v>
      </c>
      <c r="P471" s="14" t="s">
        <v>2996</v>
      </c>
      <c r="Q471" s="14" t="s">
        <v>2997</v>
      </c>
      <c r="R471" s="18"/>
      <c r="S471" s="15"/>
      <c r="T471" s="15"/>
      <c r="U471" s="15"/>
      <c r="V471" s="15"/>
    </row>
    <row r="472" spans="1:22" x14ac:dyDescent="0.25">
      <c r="A472" s="14" t="s">
        <v>13</v>
      </c>
      <c r="B472" s="14" t="s">
        <v>2998</v>
      </c>
      <c r="C472" s="14" t="s">
        <v>2999</v>
      </c>
      <c r="D472" s="14" t="s">
        <v>307</v>
      </c>
      <c r="E472" s="14">
        <v>2021</v>
      </c>
      <c r="F472" s="14">
        <v>129</v>
      </c>
      <c r="G472" s="18"/>
      <c r="H472" s="18"/>
      <c r="I472" s="14" t="s">
        <v>280</v>
      </c>
      <c r="J472" s="14">
        <v>2021</v>
      </c>
      <c r="K472" s="18"/>
      <c r="L472" s="18"/>
      <c r="M472" s="14" t="s">
        <v>308</v>
      </c>
      <c r="N472" s="17" t="s">
        <v>3000</v>
      </c>
      <c r="O472" s="14" t="s">
        <v>3001</v>
      </c>
      <c r="P472" s="14" t="s">
        <v>3002</v>
      </c>
      <c r="Q472" s="14" t="s">
        <v>3003</v>
      </c>
      <c r="R472" s="18"/>
      <c r="S472" s="15"/>
      <c r="T472" s="15"/>
      <c r="U472" s="15"/>
      <c r="V472" s="15"/>
    </row>
    <row r="473" spans="1:22" x14ac:dyDescent="0.25">
      <c r="A473" s="14" t="s">
        <v>141</v>
      </c>
      <c r="B473" s="14" t="s">
        <v>3004</v>
      </c>
      <c r="C473" s="14" t="s">
        <v>3005</v>
      </c>
      <c r="D473" s="18"/>
      <c r="E473" s="14">
        <v>2020</v>
      </c>
      <c r="F473" s="18"/>
      <c r="G473" s="18"/>
      <c r="H473" s="14" t="s">
        <v>3006</v>
      </c>
      <c r="I473" s="14" t="s">
        <v>196</v>
      </c>
      <c r="J473" s="14">
        <v>2020</v>
      </c>
      <c r="K473" s="14">
        <v>9781450379588</v>
      </c>
      <c r="L473" s="18"/>
      <c r="M473" s="18"/>
      <c r="N473" s="17" t="s">
        <v>3007</v>
      </c>
      <c r="O473" s="14" t="s">
        <v>3008</v>
      </c>
      <c r="P473" s="14" t="s">
        <v>3009</v>
      </c>
      <c r="Q473" s="14" t="s">
        <v>2811</v>
      </c>
      <c r="R473" s="18"/>
      <c r="S473" s="15"/>
      <c r="T473" s="15"/>
      <c r="U473" s="15"/>
      <c r="V473" s="15"/>
    </row>
    <row r="474" spans="1:22" x14ac:dyDescent="0.25">
      <c r="A474" s="14" t="s">
        <v>141</v>
      </c>
      <c r="B474" s="14" t="s">
        <v>3010</v>
      </c>
      <c r="C474" s="14" t="s">
        <v>3011</v>
      </c>
      <c r="D474" s="18"/>
      <c r="E474" s="14">
        <v>2021</v>
      </c>
      <c r="F474" s="14">
        <v>2963</v>
      </c>
      <c r="G474" s="18"/>
      <c r="H474" s="14" t="s">
        <v>3012</v>
      </c>
      <c r="I474" s="14" t="s">
        <v>613</v>
      </c>
      <c r="J474" s="14">
        <v>2021</v>
      </c>
      <c r="K474" s="18"/>
      <c r="L474" s="18"/>
      <c r="M474" s="14" t="s">
        <v>614</v>
      </c>
      <c r="N474" s="17" t="s">
        <v>3013</v>
      </c>
      <c r="O474" s="18"/>
      <c r="P474" s="14" t="s">
        <v>3014</v>
      </c>
      <c r="Q474" s="14" t="s">
        <v>157</v>
      </c>
      <c r="R474" s="18"/>
      <c r="S474" s="15"/>
      <c r="T474" s="15"/>
      <c r="U474" s="15"/>
      <c r="V474" s="15"/>
    </row>
    <row r="475" spans="1:22" x14ac:dyDescent="0.25">
      <c r="A475" s="14" t="s">
        <v>13</v>
      </c>
      <c r="B475" s="14" t="s">
        <v>3015</v>
      </c>
      <c r="C475" s="14" t="s">
        <v>3016</v>
      </c>
      <c r="D475" s="14" t="s">
        <v>3017</v>
      </c>
      <c r="E475" s="14">
        <v>2020</v>
      </c>
      <c r="F475" s="14">
        <v>15</v>
      </c>
      <c r="G475" s="14">
        <v>3</v>
      </c>
      <c r="H475" s="14" t="s">
        <v>2196</v>
      </c>
      <c r="I475" s="14" t="s">
        <v>757</v>
      </c>
      <c r="J475" s="14">
        <v>2020</v>
      </c>
      <c r="K475" s="18"/>
      <c r="L475" s="18"/>
      <c r="M475" s="14" t="s">
        <v>3018</v>
      </c>
      <c r="N475" s="17" t="s">
        <v>3019</v>
      </c>
      <c r="O475" s="14" t="s">
        <v>3020</v>
      </c>
      <c r="P475" s="14" t="s">
        <v>3021</v>
      </c>
      <c r="Q475" s="14" t="s">
        <v>176</v>
      </c>
      <c r="R475" s="18"/>
      <c r="S475" s="15"/>
      <c r="T475" s="15"/>
      <c r="U475" s="15"/>
      <c r="V475" s="15"/>
    </row>
    <row r="476" spans="1:22" x14ac:dyDescent="0.25">
      <c r="A476" s="14" t="s">
        <v>141</v>
      </c>
      <c r="B476" s="14" t="s">
        <v>3022</v>
      </c>
      <c r="C476" s="14" t="s">
        <v>3023</v>
      </c>
      <c r="D476" s="18"/>
      <c r="E476" s="14">
        <v>2021</v>
      </c>
      <c r="F476" s="18"/>
      <c r="G476" s="18"/>
      <c r="H476" s="14" t="s">
        <v>3024</v>
      </c>
      <c r="I476" s="14" t="s">
        <v>196</v>
      </c>
      <c r="J476" s="14">
        <v>2021</v>
      </c>
      <c r="K476" s="14">
        <v>9781665428569</v>
      </c>
      <c r="L476" s="18"/>
      <c r="M476" s="14" t="s">
        <v>322</v>
      </c>
      <c r="N476" s="17" t="s">
        <v>3025</v>
      </c>
      <c r="O476" s="14" t="s">
        <v>3026</v>
      </c>
      <c r="P476" s="14" t="s">
        <v>3027</v>
      </c>
      <c r="Q476" s="14" t="s">
        <v>1573</v>
      </c>
      <c r="R476" s="18"/>
      <c r="S476" s="15"/>
      <c r="T476" s="15"/>
      <c r="U476" s="15"/>
      <c r="V476" s="15"/>
    </row>
    <row r="477" spans="1:22" x14ac:dyDescent="0.25">
      <c r="A477" s="14" t="s">
        <v>141</v>
      </c>
      <c r="B477" s="14" t="s">
        <v>3028</v>
      </c>
      <c r="C477" s="14" t="s">
        <v>3029</v>
      </c>
      <c r="D477" s="18"/>
      <c r="E477" s="14">
        <v>2020</v>
      </c>
      <c r="F477" s="18"/>
      <c r="G477" s="18"/>
      <c r="H477" s="14" t="s">
        <v>3030</v>
      </c>
      <c r="I477" s="14" t="s">
        <v>153</v>
      </c>
      <c r="J477" s="14">
        <v>2020</v>
      </c>
      <c r="K477" s="14">
        <v>9781450370431</v>
      </c>
      <c r="L477" s="18"/>
      <c r="M477" s="18"/>
      <c r="N477" s="17" t="s">
        <v>3031</v>
      </c>
      <c r="O477" s="14" t="s">
        <v>3032</v>
      </c>
      <c r="P477" s="14" t="s">
        <v>3033</v>
      </c>
      <c r="Q477" s="14" t="s">
        <v>520</v>
      </c>
      <c r="R477" s="18"/>
      <c r="S477" s="15"/>
      <c r="T477" s="15"/>
      <c r="U477" s="15"/>
      <c r="V477" s="15"/>
    </row>
    <row r="478" spans="1:22" x14ac:dyDescent="0.25">
      <c r="A478" s="14" t="s">
        <v>141</v>
      </c>
      <c r="B478" s="14" t="s">
        <v>3034</v>
      </c>
      <c r="C478" s="14" t="s">
        <v>3035</v>
      </c>
      <c r="D478" s="18"/>
      <c r="E478" s="14">
        <v>2020</v>
      </c>
      <c r="F478" s="18"/>
      <c r="G478" s="18"/>
      <c r="H478" s="14" t="s">
        <v>2496</v>
      </c>
      <c r="I478" s="14" t="s">
        <v>145</v>
      </c>
      <c r="J478" s="14">
        <v>2020</v>
      </c>
      <c r="K478" s="14">
        <v>9781450387545</v>
      </c>
      <c r="L478" s="18"/>
      <c r="M478" s="18"/>
      <c r="N478" s="17" t="s">
        <v>3036</v>
      </c>
      <c r="O478" s="14" t="s">
        <v>3037</v>
      </c>
      <c r="P478" s="14" t="s">
        <v>3038</v>
      </c>
      <c r="Q478" s="14" t="s">
        <v>318</v>
      </c>
      <c r="R478" s="18"/>
      <c r="S478" s="15"/>
      <c r="T478" s="15"/>
      <c r="U478" s="15"/>
      <c r="V478" s="15"/>
    </row>
    <row r="479" spans="1:22" x14ac:dyDescent="0.25">
      <c r="A479" s="14" t="s">
        <v>13</v>
      </c>
      <c r="B479" s="14" t="s">
        <v>3039</v>
      </c>
      <c r="C479" s="14" t="s">
        <v>3040</v>
      </c>
      <c r="D479" s="14" t="s">
        <v>354</v>
      </c>
      <c r="E479" s="14">
        <v>2020</v>
      </c>
      <c r="F479" s="14">
        <v>170</v>
      </c>
      <c r="G479" s="18"/>
      <c r="H479" s="18"/>
      <c r="I479" s="14" t="s">
        <v>355</v>
      </c>
      <c r="J479" s="14">
        <v>2020</v>
      </c>
      <c r="K479" s="18"/>
      <c r="L479" s="18"/>
      <c r="M479" s="14" t="s">
        <v>65</v>
      </c>
      <c r="N479" s="17" t="s">
        <v>3041</v>
      </c>
      <c r="O479" s="14" t="s">
        <v>3042</v>
      </c>
      <c r="P479" s="14" t="s">
        <v>3043</v>
      </c>
      <c r="Q479" s="14" t="s">
        <v>185</v>
      </c>
      <c r="R479" s="18"/>
      <c r="S479" s="15"/>
      <c r="T479" s="15"/>
      <c r="U479" s="15"/>
      <c r="V479" s="15"/>
    </row>
    <row r="480" spans="1:22" x14ac:dyDescent="0.25">
      <c r="A480" s="14" t="s">
        <v>13</v>
      </c>
      <c r="B480" s="14" t="s">
        <v>3044</v>
      </c>
      <c r="C480" s="14" t="s">
        <v>3045</v>
      </c>
      <c r="D480" s="14" t="s">
        <v>136</v>
      </c>
      <c r="E480" s="14">
        <v>2021</v>
      </c>
      <c r="F480" s="14">
        <v>26</v>
      </c>
      <c r="G480" s="14">
        <v>2</v>
      </c>
      <c r="H480" s="18"/>
      <c r="I480" s="14" t="s">
        <v>137</v>
      </c>
      <c r="J480" s="14">
        <v>2021</v>
      </c>
      <c r="K480" s="18"/>
      <c r="L480" s="18"/>
      <c r="M480" s="14" t="s">
        <v>33</v>
      </c>
      <c r="N480" s="17" t="s">
        <v>3046</v>
      </c>
      <c r="O480" s="14" t="s">
        <v>3047</v>
      </c>
      <c r="P480" s="14" t="s">
        <v>3048</v>
      </c>
      <c r="Q480" s="14" t="s">
        <v>1813</v>
      </c>
      <c r="R480" s="18"/>
      <c r="S480" s="15"/>
      <c r="T480" s="15"/>
      <c r="U480" s="15"/>
      <c r="V480" s="15"/>
    </row>
    <row r="481" spans="1:22" x14ac:dyDescent="0.25">
      <c r="A481" s="14" t="s">
        <v>141</v>
      </c>
      <c r="B481" s="14" t="s">
        <v>3049</v>
      </c>
      <c r="C481" s="14" t="s">
        <v>3050</v>
      </c>
      <c r="D481" s="18"/>
      <c r="E481" s="14">
        <v>2021</v>
      </c>
      <c r="F481" s="18"/>
      <c r="G481" s="18"/>
      <c r="H481" s="14" t="s">
        <v>3051</v>
      </c>
      <c r="I481" s="14" t="s">
        <v>257</v>
      </c>
      <c r="J481" s="14">
        <v>2021</v>
      </c>
      <c r="K481" s="14">
        <v>9781665404037</v>
      </c>
      <c r="L481" s="18"/>
      <c r="M481" s="18"/>
      <c r="N481" s="17" t="s">
        <v>3052</v>
      </c>
      <c r="O481" s="14" t="s">
        <v>3053</v>
      </c>
      <c r="P481" s="14" t="s">
        <v>3054</v>
      </c>
      <c r="Q481" s="14" t="s">
        <v>157</v>
      </c>
      <c r="R481" s="18"/>
      <c r="S481" s="15"/>
      <c r="T481" s="15"/>
      <c r="U481" s="15"/>
      <c r="V481" s="15"/>
    </row>
    <row r="482" spans="1:22" x14ac:dyDescent="0.25">
      <c r="A482" s="14" t="s">
        <v>141</v>
      </c>
      <c r="B482" s="14" t="s">
        <v>3055</v>
      </c>
      <c r="C482" s="14" t="s">
        <v>3056</v>
      </c>
      <c r="D482" s="18"/>
      <c r="E482" s="14">
        <v>2021</v>
      </c>
      <c r="F482" s="14">
        <v>192</v>
      </c>
      <c r="G482" s="18"/>
      <c r="H482" s="14" t="s">
        <v>3057</v>
      </c>
      <c r="I482" s="14" t="s">
        <v>280</v>
      </c>
      <c r="J482" s="14">
        <v>2021</v>
      </c>
      <c r="K482" s="18"/>
      <c r="L482" s="18"/>
      <c r="M482" s="14" t="s">
        <v>3058</v>
      </c>
      <c r="N482" s="17" t="s">
        <v>3059</v>
      </c>
      <c r="O482" s="14" t="s">
        <v>3060</v>
      </c>
      <c r="P482" s="14" t="s">
        <v>3061</v>
      </c>
      <c r="Q482" s="14" t="s">
        <v>447</v>
      </c>
      <c r="R482" s="18"/>
      <c r="S482" s="15"/>
      <c r="T482" s="15"/>
      <c r="U482" s="15"/>
      <c r="V482" s="15"/>
    </row>
    <row r="483" spans="1:22" x14ac:dyDescent="0.25">
      <c r="A483" s="14" t="s">
        <v>13</v>
      </c>
      <c r="B483" s="14" t="s">
        <v>3062</v>
      </c>
      <c r="C483" s="14" t="s">
        <v>3063</v>
      </c>
      <c r="D483" s="14" t="s">
        <v>354</v>
      </c>
      <c r="E483" s="14">
        <v>2021</v>
      </c>
      <c r="F483" s="14">
        <v>171</v>
      </c>
      <c r="G483" s="18"/>
      <c r="H483" s="18"/>
      <c r="I483" s="14" t="s">
        <v>355</v>
      </c>
      <c r="J483" s="14">
        <v>2021</v>
      </c>
      <c r="K483" s="18"/>
      <c r="L483" s="18"/>
      <c r="M483" s="14" t="s">
        <v>65</v>
      </c>
      <c r="N483" s="17" t="s">
        <v>3064</v>
      </c>
      <c r="O483" s="14" t="s">
        <v>3065</v>
      </c>
      <c r="P483" s="14" t="s">
        <v>3066</v>
      </c>
      <c r="Q483" s="14" t="s">
        <v>3067</v>
      </c>
      <c r="R483" s="18"/>
      <c r="S483" s="15"/>
      <c r="T483" s="15"/>
      <c r="U483" s="15"/>
      <c r="V483" s="15"/>
    </row>
    <row r="484" spans="1:22" x14ac:dyDescent="0.25">
      <c r="A484" s="14" t="s">
        <v>13</v>
      </c>
      <c r="B484" s="14" t="s">
        <v>3068</v>
      </c>
      <c r="C484" s="14" t="s">
        <v>3069</v>
      </c>
      <c r="D484" s="14" t="s">
        <v>3070</v>
      </c>
      <c r="E484" s="14">
        <v>2021</v>
      </c>
      <c r="F484" s="14">
        <v>2</v>
      </c>
      <c r="G484" s="14">
        <v>1</v>
      </c>
      <c r="H484" s="18"/>
      <c r="I484" s="14" t="s">
        <v>2437</v>
      </c>
      <c r="J484" s="14">
        <v>2021</v>
      </c>
      <c r="K484" s="18"/>
      <c r="L484" s="18"/>
      <c r="M484" s="14" t="s">
        <v>3071</v>
      </c>
      <c r="N484" s="17" t="s">
        <v>3072</v>
      </c>
      <c r="O484" s="14" t="s">
        <v>3073</v>
      </c>
      <c r="P484" s="14" t="s">
        <v>3074</v>
      </c>
      <c r="Q484" s="14" t="s">
        <v>3075</v>
      </c>
      <c r="R484" s="18"/>
      <c r="S484" s="15"/>
      <c r="T484" s="15"/>
      <c r="U484" s="15"/>
      <c r="V484" s="15"/>
    </row>
    <row r="485" spans="1:22" x14ac:dyDescent="0.25">
      <c r="A485" s="14" t="s">
        <v>13</v>
      </c>
      <c r="B485" s="14" t="s">
        <v>3076</v>
      </c>
      <c r="C485" s="14" t="s">
        <v>3077</v>
      </c>
      <c r="D485" s="14" t="s">
        <v>307</v>
      </c>
      <c r="E485" s="14">
        <v>2020</v>
      </c>
      <c r="F485" s="14">
        <v>126</v>
      </c>
      <c r="G485" s="18"/>
      <c r="H485" s="18"/>
      <c r="I485" s="14" t="s">
        <v>280</v>
      </c>
      <c r="J485" s="14">
        <v>2020</v>
      </c>
      <c r="K485" s="18"/>
      <c r="L485" s="18"/>
      <c r="M485" s="14" t="s">
        <v>308</v>
      </c>
      <c r="N485" s="17" t="s">
        <v>3078</v>
      </c>
      <c r="O485" s="14" t="s">
        <v>3079</v>
      </c>
      <c r="P485" s="14" t="s">
        <v>3080</v>
      </c>
      <c r="Q485" s="14" t="s">
        <v>1573</v>
      </c>
      <c r="R485" s="18"/>
      <c r="S485" s="15"/>
      <c r="T485" s="15"/>
      <c r="U485" s="15"/>
      <c r="V485" s="15"/>
    </row>
    <row r="486" spans="1:22" x14ac:dyDescent="0.25">
      <c r="A486" s="14" t="s">
        <v>13</v>
      </c>
      <c r="B486" s="14" t="s">
        <v>3081</v>
      </c>
      <c r="C486" s="14" t="s">
        <v>3082</v>
      </c>
      <c r="D486" s="14" t="s">
        <v>255</v>
      </c>
      <c r="E486" s="14">
        <v>2021</v>
      </c>
      <c r="F486" s="14">
        <v>47</v>
      </c>
      <c r="G486" s="14">
        <v>1</v>
      </c>
      <c r="H486" s="14" t="s">
        <v>3083</v>
      </c>
      <c r="I486" s="14" t="s">
        <v>257</v>
      </c>
      <c r="J486" s="14">
        <v>2021</v>
      </c>
      <c r="K486" s="18"/>
      <c r="L486" s="18"/>
      <c r="M486" s="14" t="s">
        <v>18</v>
      </c>
      <c r="N486" s="17" t="s">
        <v>3084</v>
      </c>
      <c r="O486" s="14" t="s">
        <v>3085</v>
      </c>
      <c r="P486" s="14" t="s">
        <v>3086</v>
      </c>
      <c r="Q486" s="14" t="s">
        <v>2823</v>
      </c>
      <c r="R486" s="18"/>
      <c r="S486" s="15"/>
      <c r="T486" s="15"/>
      <c r="U486" s="15"/>
      <c r="V486" s="15"/>
    </row>
    <row r="487" spans="1:22" x14ac:dyDescent="0.25">
      <c r="A487" s="14" t="s">
        <v>13</v>
      </c>
      <c r="B487" s="14" t="s">
        <v>3087</v>
      </c>
      <c r="C487" s="14" t="s">
        <v>3088</v>
      </c>
      <c r="D487" s="14" t="s">
        <v>3089</v>
      </c>
      <c r="E487" s="14">
        <v>2020</v>
      </c>
      <c r="F487" s="14">
        <v>45</v>
      </c>
      <c r="G487" s="14">
        <v>4</v>
      </c>
      <c r="H487" s="14" t="s">
        <v>3090</v>
      </c>
      <c r="I487" s="14" t="s">
        <v>3091</v>
      </c>
      <c r="J487" s="14">
        <v>2020</v>
      </c>
      <c r="K487" s="18"/>
      <c r="L487" s="18"/>
      <c r="M487" s="14" t="s">
        <v>3092</v>
      </c>
      <c r="N487" s="17" t="s">
        <v>3093</v>
      </c>
      <c r="O487" s="14" t="s">
        <v>3094</v>
      </c>
      <c r="P487" s="14" t="s">
        <v>3095</v>
      </c>
      <c r="Q487" s="14" t="s">
        <v>1676</v>
      </c>
      <c r="R487" s="18"/>
      <c r="S487" s="15"/>
      <c r="T487" s="15"/>
      <c r="U487" s="15"/>
      <c r="V487" s="15"/>
    </row>
    <row r="488" spans="1:22" x14ac:dyDescent="0.25">
      <c r="A488" s="14" t="s">
        <v>141</v>
      </c>
      <c r="B488" s="14" t="s">
        <v>3096</v>
      </c>
      <c r="C488" s="14" t="s">
        <v>3097</v>
      </c>
      <c r="D488" s="18"/>
      <c r="E488" s="14">
        <v>2020</v>
      </c>
      <c r="F488" s="18"/>
      <c r="G488" s="18"/>
      <c r="H488" s="18"/>
      <c r="I488" s="14" t="s">
        <v>257</v>
      </c>
      <c r="J488" s="14">
        <v>2020</v>
      </c>
      <c r="K488" s="14">
        <v>9781728196732</v>
      </c>
      <c r="L488" s="18"/>
      <c r="M488" s="18"/>
      <c r="N488" s="17" t="s">
        <v>3098</v>
      </c>
      <c r="O488" s="14" t="s">
        <v>3099</v>
      </c>
      <c r="P488" s="14" t="s">
        <v>3100</v>
      </c>
      <c r="Q488" s="14" t="s">
        <v>2723</v>
      </c>
      <c r="R488" s="18"/>
      <c r="S488" s="15"/>
      <c r="T488" s="15"/>
      <c r="U488" s="15"/>
      <c r="V488" s="15"/>
    </row>
    <row r="489" spans="1:22" x14ac:dyDescent="0.25">
      <c r="A489" s="14" t="s">
        <v>141</v>
      </c>
      <c r="B489" s="14" t="s">
        <v>3101</v>
      </c>
      <c r="C489" s="14" t="s">
        <v>3102</v>
      </c>
      <c r="D489" s="18"/>
      <c r="E489" s="14">
        <v>2020</v>
      </c>
      <c r="F489" s="18"/>
      <c r="G489" s="18"/>
      <c r="H489" s="14" t="s">
        <v>3103</v>
      </c>
      <c r="I489" s="14" t="s">
        <v>257</v>
      </c>
      <c r="J489" s="14">
        <v>2020</v>
      </c>
      <c r="K489" s="14">
        <v>9781450371223</v>
      </c>
      <c r="L489" s="18"/>
      <c r="M489" s="18"/>
      <c r="N489" s="17" t="s">
        <v>3104</v>
      </c>
      <c r="O489" s="14" t="s">
        <v>3105</v>
      </c>
      <c r="P489" s="14" t="s">
        <v>3106</v>
      </c>
      <c r="Q489" s="14" t="s">
        <v>289</v>
      </c>
      <c r="R489" s="18"/>
      <c r="S489" s="15"/>
      <c r="T489" s="15"/>
      <c r="U489" s="15"/>
      <c r="V489" s="15"/>
    </row>
    <row r="490" spans="1:22" x14ac:dyDescent="0.25">
      <c r="A490" s="14" t="s">
        <v>141</v>
      </c>
      <c r="B490" s="14" t="s">
        <v>352</v>
      </c>
      <c r="C490" s="14" t="s">
        <v>3107</v>
      </c>
      <c r="D490" s="18"/>
      <c r="E490" s="14">
        <v>2021</v>
      </c>
      <c r="F490" s="18"/>
      <c r="G490" s="18"/>
      <c r="H490" s="14" t="s">
        <v>3108</v>
      </c>
      <c r="I490" s="14" t="s">
        <v>3109</v>
      </c>
      <c r="J490" s="14">
        <v>2021</v>
      </c>
      <c r="K490" s="14">
        <v>9789897585234</v>
      </c>
      <c r="L490" s="18"/>
      <c r="M490" s="18"/>
      <c r="N490" s="17" t="s">
        <v>3110</v>
      </c>
      <c r="O490" s="14" t="s">
        <v>3111</v>
      </c>
      <c r="P490" s="14" t="s">
        <v>3112</v>
      </c>
      <c r="Q490" s="14" t="s">
        <v>595</v>
      </c>
      <c r="R490" s="18"/>
      <c r="S490" s="15"/>
      <c r="T490" s="15"/>
      <c r="U490" s="15"/>
      <c r="V490" s="15"/>
    </row>
    <row r="491" spans="1:22" x14ac:dyDescent="0.25">
      <c r="A491" s="14" t="s">
        <v>13</v>
      </c>
      <c r="B491" s="14" t="s">
        <v>3113</v>
      </c>
      <c r="C491" s="14" t="s">
        <v>3114</v>
      </c>
      <c r="D491" s="14" t="s">
        <v>307</v>
      </c>
      <c r="E491" s="14">
        <v>2020</v>
      </c>
      <c r="F491" s="14">
        <v>128</v>
      </c>
      <c r="G491" s="18"/>
      <c r="H491" s="18"/>
      <c r="I491" s="14" t="s">
        <v>280</v>
      </c>
      <c r="J491" s="14">
        <v>2020</v>
      </c>
      <c r="K491" s="18"/>
      <c r="L491" s="18"/>
      <c r="M491" s="14" t="s">
        <v>308</v>
      </c>
      <c r="N491" s="17" t="s">
        <v>3115</v>
      </c>
      <c r="O491" s="14" t="s">
        <v>3116</v>
      </c>
      <c r="P491" s="14" t="s">
        <v>3117</v>
      </c>
      <c r="Q491" s="14" t="s">
        <v>3118</v>
      </c>
      <c r="R491" s="18"/>
      <c r="S491" s="15"/>
      <c r="T491" s="15"/>
      <c r="U491" s="15"/>
      <c r="V491" s="15"/>
    </row>
    <row r="492" spans="1:22" x14ac:dyDescent="0.25">
      <c r="A492" s="14" t="s">
        <v>13</v>
      </c>
      <c r="B492" s="14" t="s">
        <v>3119</v>
      </c>
      <c r="C492" s="14" t="s">
        <v>3120</v>
      </c>
      <c r="D492" s="14" t="s">
        <v>3121</v>
      </c>
      <c r="E492" s="14">
        <v>2021</v>
      </c>
      <c r="F492" s="14">
        <v>548</v>
      </c>
      <c r="G492" s="18"/>
      <c r="H492" s="14" t="s">
        <v>3122</v>
      </c>
      <c r="I492" s="14" t="s">
        <v>355</v>
      </c>
      <c r="J492" s="14">
        <v>2021</v>
      </c>
      <c r="K492" s="18"/>
      <c r="L492" s="18"/>
      <c r="M492" s="14" t="s">
        <v>3123</v>
      </c>
      <c r="N492" s="17" t="s">
        <v>3124</v>
      </c>
      <c r="O492" s="14" t="s">
        <v>3125</v>
      </c>
      <c r="P492" s="14" t="s">
        <v>3126</v>
      </c>
      <c r="Q492" s="14" t="s">
        <v>3127</v>
      </c>
      <c r="R492" s="18"/>
      <c r="S492" s="15"/>
      <c r="T492" s="15"/>
      <c r="U492" s="15"/>
      <c r="V492" s="15"/>
    </row>
    <row r="493" spans="1:22" x14ac:dyDescent="0.25">
      <c r="A493" s="14" t="s">
        <v>13</v>
      </c>
      <c r="B493" s="14" t="s">
        <v>3128</v>
      </c>
      <c r="C493" s="14" t="s">
        <v>3129</v>
      </c>
      <c r="D493" s="14" t="s">
        <v>3130</v>
      </c>
      <c r="E493" s="14">
        <v>2021</v>
      </c>
      <c r="F493" s="14">
        <v>2021</v>
      </c>
      <c r="G493" s="18"/>
      <c r="H493" s="18"/>
      <c r="I493" s="14" t="s">
        <v>1333</v>
      </c>
      <c r="J493" s="14">
        <v>2021</v>
      </c>
      <c r="K493" s="18"/>
      <c r="L493" s="18"/>
      <c r="M493" s="14" t="s">
        <v>3131</v>
      </c>
      <c r="N493" s="17" t="s">
        <v>3132</v>
      </c>
      <c r="O493" s="14" t="s">
        <v>3133</v>
      </c>
      <c r="P493" s="14" t="s">
        <v>3134</v>
      </c>
      <c r="Q493" s="14" t="s">
        <v>3135</v>
      </c>
      <c r="R493" s="18"/>
      <c r="S493" s="15"/>
      <c r="T493" s="15"/>
      <c r="U493" s="15"/>
      <c r="V493" s="15"/>
    </row>
    <row r="494" spans="1:22" x14ac:dyDescent="0.25">
      <c r="A494" s="14" t="s">
        <v>141</v>
      </c>
      <c r="B494" s="14" t="s">
        <v>3136</v>
      </c>
      <c r="C494" s="14" t="s">
        <v>3137</v>
      </c>
      <c r="D494" s="18"/>
      <c r="E494" s="14">
        <v>2021</v>
      </c>
      <c r="F494" s="18"/>
      <c r="G494" s="18"/>
      <c r="H494" s="18"/>
      <c r="I494" s="14" t="s">
        <v>145</v>
      </c>
      <c r="J494" s="14">
        <v>2021</v>
      </c>
      <c r="K494" s="14">
        <v>9781450390460</v>
      </c>
      <c r="L494" s="18"/>
      <c r="M494" s="18"/>
      <c r="N494" s="17" t="s">
        <v>3138</v>
      </c>
      <c r="O494" s="14" t="s">
        <v>3139</v>
      </c>
      <c r="P494" s="14" t="s">
        <v>3140</v>
      </c>
      <c r="Q494" s="14" t="s">
        <v>176</v>
      </c>
      <c r="R494" s="18"/>
      <c r="S494" s="15"/>
      <c r="T494" s="15"/>
      <c r="U494" s="15"/>
      <c r="V494" s="15"/>
    </row>
    <row r="495" spans="1:22" x14ac:dyDescent="0.25">
      <c r="A495" s="14" t="s">
        <v>141</v>
      </c>
      <c r="B495" s="14" t="s">
        <v>3141</v>
      </c>
      <c r="C495" s="14" t="s">
        <v>3142</v>
      </c>
      <c r="D495" s="18"/>
      <c r="E495" s="14">
        <v>2021</v>
      </c>
      <c r="F495" s="18"/>
      <c r="G495" s="18"/>
      <c r="H495" s="14" t="s">
        <v>3143</v>
      </c>
      <c r="I495" s="14" t="s">
        <v>257</v>
      </c>
      <c r="J495" s="14">
        <v>2021</v>
      </c>
      <c r="K495" s="14">
        <v>9781665420853</v>
      </c>
      <c r="L495" s="18"/>
      <c r="M495" s="18"/>
      <c r="N495" s="17" t="s">
        <v>3144</v>
      </c>
      <c r="O495" s="14" t="s">
        <v>3145</v>
      </c>
      <c r="P495" s="14" t="s">
        <v>3146</v>
      </c>
      <c r="Q495" s="14" t="s">
        <v>289</v>
      </c>
      <c r="R495" s="18"/>
      <c r="S495" s="15"/>
      <c r="T495" s="15"/>
      <c r="U495" s="15"/>
      <c r="V495" s="15"/>
    </row>
    <row r="496" spans="1:22" x14ac:dyDescent="0.25">
      <c r="A496" s="14" t="s">
        <v>141</v>
      </c>
      <c r="B496" s="14" t="s">
        <v>3147</v>
      </c>
      <c r="C496" s="14" t="s">
        <v>3148</v>
      </c>
      <c r="D496" s="18"/>
      <c r="E496" s="14">
        <v>2021</v>
      </c>
      <c r="F496" s="21">
        <v>44256</v>
      </c>
      <c r="G496" s="18"/>
      <c r="H496" s="18"/>
      <c r="I496" s="14" t="s">
        <v>196</v>
      </c>
      <c r="J496" s="14">
        <v>2021</v>
      </c>
      <c r="K496" s="14">
        <v>9781728174365</v>
      </c>
      <c r="L496" s="18"/>
      <c r="M496" s="14" t="s">
        <v>2902</v>
      </c>
      <c r="N496" s="17" t="s">
        <v>3149</v>
      </c>
      <c r="O496" s="14" t="s">
        <v>3150</v>
      </c>
      <c r="P496" s="14" t="s">
        <v>3151</v>
      </c>
      <c r="Q496" s="14" t="s">
        <v>318</v>
      </c>
      <c r="R496" s="18"/>
      <c r="S496" s="15"/>
      <c r="T496" s="15"/>
      <c r="U496" s="15"/>
      <c r="V496" s="15"/>
    </row>
    <row r="497" spans="1:22" x14ac:dyDescent="0.25">
      <c r="A497" s="14" t="s">
        <v>13</v>
      </c>
      <c r="B497" s="14" t="s">
        <v>3152</v>
      </c>
      <c r="C497" s="14" t="s">
        <v>3153</v>
      </c>
      <c r="D497" s="14" t="s">
        <v>3154</v>
      </c>
      <c r="E497" s="14">
        <v>2020</v>
      </c>
      <c r="F497" s="14">
        <v>93</v>
      </c>
      <c r="G497" s="14">
        <v>4</v>
      </c>
      <c r="H497" s="14" t="s">
        <v>3155</v>
      </c>
      <c r="I497" s="14" t="s">
        <v>3156</v>
      </c>
      <c r="J497" s="14">
        <v>2020</v>
      </c>
      <c r="K497" s="18"/>
      <c r="L497" s="18"/>
      <c r="M497" s="14" t="s">
        <v>3157</v>
      </c>
      <c r="N497" s="17" t="s">
        <v>3158</v>
      </c>
      <c r="O497" s="18"/>
      <c r="P497" s="14" t="s">
        <v>3159</v>
      </c>
      <c r="Q497" s="14" t="s">
        <v>2723</v>
      </c>
      <c r="R497" s="18"/>
      <c r="S497" s="15"/>
      <c r="T497" s="15"/>
      <c r="U497" s="15"/>
      <c r="V497" s="15"/>
    </row>
    <row r="498" spans="1:22" x14ac:dyDescent="0.25">
      <c r="A498" s="14" t="s">
        <v>141</v>
      </c>
      <c r="B498" s="14" t="s">
        <v>3160</v>
      </c>
      <c r="C498" s="14" t="s">
        <v>3161</v>
      </c>
      <c r="D498" s="18"/>
      <c r="E498" s="14">
        <v>2021</v>
      </c>
      <c r="F498" s="18"/>
      <c r="G498" s="18"/>
      <c r="H498" s="14" t="s">
        <v>3162</v>
      </c>
      <c r="I498" s="14" t="s">
        <v>257</v>
      </c>
      <c r="J498" s="14">
        <v>2021</v>
      </c>
      <c r="K498" s="14">
        <v>9781728162607</v>
      </c>
      <c r="L498" s="18"/>
      <c r="M498" s="18"/>
      <c r="N498" s="17" t="s">
        <v>3163</v>
      </c>
      <c r="O498" s="14" t="s">
        <v>3164</v>
      </c>
      <c r="P498" s="14" t="s">
        <v>3165</v>
      </c>
      <c r="Q498" s="14" t="s">
        <v>185</v>
      </c>
      <c r="R498" s="18"/>
      <c r="S498" s="15"/>
      <c r="T498" s="15"/>
      <c r="U498" s="15"/>
      <c r="V498" s="15"/>
    </row>
    <row r="499" spans="1:22" x14ac:dyDescent="0.25">
      <c r="A499" s="14" t="s">
        <v>141</v>
      </c>
      <c r="B499" s="14" t="s">
        <v>3166</v>
      </c>
      <c r="C499" s="14" t="s">
        <v>3167</v>
      </c>
      <c r="D499" s="18"/>
      <c r="E499" s="14">
        <v>2021</v>
      </c>
      <c r="F499" s="18"/>
      <c r="G499" s="18"/>
      <c r="H499" s="14" t="s">
        <v>3168</v>
      </c>
      <c r="I499" s="14" t="s">
        <v>196</v>
      </c>
      <c r="J499" s="14">
        <v>2021</v>
      </c>
      <c r="K499" s="14">
        <v>9780738113197</v>
      </c>
      <c r="L499" s="18"/>
      <c r="M499" s="14" t="s">
        <v>1458</v>
      </c>
      <c r="N499" s="17" t="s">
        <v>3169</v>
      </c>
      <c r="O499" s="14" t="s">
        <v>3170</v>
      </c>
      <c r="P499" s="14" t="s">
        <v>3171</v>
      </c>
      <c r="Q499" s="14" t="s">
        <v>2717</v>
      </c>
      <c r="R499" s="18"/>
      <c r="S499" s="15"/>
      <c r="T499" s="15"/>
      <c r="U499" s="15"/>
      <c r="V499" s="15"/>
    </row>
    <row r="500" spans="1:22" x14ac:dyDescent="0.25">
      <c r="A500" s="14" t="s">
        <v>13</v>
      </c>
      <c r="B500" s="14" t="s">
        <v>3172</v>
      </c>
      <c r="C500" s="14" t="s">
        <v>3173</v>
      </c>
      <c r="D500" s="14" t="s">
        <v>2166</v>
      </c>
      <c r="E500" s="14">
        <v>2021</v>
      </c>
      <c r="F500" s="14">
        <v>2</v>
      </c>
      <c r="G500" s="14">
        <v>1</v>
      </c>
      <c r="H500" s="18"/>
      <c r="I500" s="14" t="s">
        <v>137</v>
      </c>
      <c r="J500" s="14">
        <v>2021</v>
      </c>
      <c r="K500" s="18"/>
      <c r="L500" s="18"/>
      <c r="M500" s="14" t="s">
        <v>2167</v>
      </c>
      <c r="N500" s="17" t="s">
        <v>3174</v>
      </c>
      <c r="O500" s="14" t="s">
        <v>3175</v>
      </c>
      <c r="P500" s="14" t="s">
        <v>3176</v>
      </c>
      <c r="Q500" s="14" t="s">
        <v>1573</v>
      </c>
      <c r="R500" s="18"/>
      <c r="S500" s="15"/>
      <c r="T500" s="15"/>
      <c r="U500" s="15"/>
      <c r="V500" s="15"/>
    </row>
    <row r="501" spans="1:22" x14ac:dyDescent="0.25">
      <c r="A501" s="14" t="s">
        <v>141</v>
      </c>
      <c r="B501" s="14" t="s">
        <v>3177</v>
      </c>
      <c r="C501" s="14" t="s">
        <v>3178</v>
      </c>
      <c r="D501" s="18"/>
      <c r="E501" s="14">
        <v>2020</v>
      </c>
      <c r="F501" s="18"/>
      <c r="G501" s="18"/>
      <c r="H501" s="14" t="s">
        <v>3179</v>
      </c>
      <c r="I501" s="14" t="s">
        <v>257</v>
      </c>
      <c r="J501" s="14">
        <v>2020</v>
      </c>
      <c r="K501" s="14">
        <v>9781450371223</v>
      </c>
      <c r="L501" s="18"/>
      <c r="M501" s="18"/>
      <c r="N501" s="17" t="s">
        <v>3180</v>
      </c>
      <c r="O501" s="14" t="s">
        <v>3181</v>
      </c>
      <c r="P501" s="14" t="s">
        <v>3182</v>
      </c>
      <c r="Q501" s="14" t="s">
        <v>157</v>
      </c>
      <c r="R501" s="18"/>
      <c r="S501" s="15"/>
      <c r="T501" s="15"/>
      <c r="U501" s="15"/>
      <c r="V501" s="15"/>
    </row>
    <row r="502" spans="1:22" x14ac:dyDescent="0.25">
      <c r="A502" s="14" t="s">
        <v>141</v>
      </c>
      <c r="B502" s="14" t="s">
        <v>3183</v>
      </c>
      <c r="C502" s="14" t="s">
        <v>3184</v>
      </c>
      <c r="D502" s="18"/>
      <c r="E502" s="14">
        <v>2020</v>
      </c>
      <c r="F502" s="18"/>
      <c r="G502" s="18"/>
      <c r="H502" s="14" t="s">
        <v>3185</v>
      </c>
      <c r="I502" s="14" t="s">
        <v>257</v>
      </c>
      <c r="J502" s="14">
        <v>2020</v>
      </c>
      <c r="K502" s="14">
        <v>9781450367684</v>
      </c>
      <c r="L502" s="18"/>
      <c r="M502" s="18"/>
      <c r="N502" s="17" t="s">
        <v>3186</v>
      </c>
      <c r="O502" s="14" t="s">
        <v>3187</v>
      </c>
      <c r="P502" s="14" t="s">
        <v>3188</v>
      </c>
      <c r="Q502" s="14" t="s">
        <v>1740</v>
      </c>
      <c r="R502" s="18"/>
      <c r="S502" s="15"/>
      <c r="T502" s="15"/>
      <c r="U502" s="15"/>
      <c r="V502" s="15"/>
    </row>
    <row r="503" spans="1:22" x14ac:dyDescent="0.25">
      <c r="A503" s="14" t="s">
        <v>13</v>
      </c>
      <c r="B503" s="14" t="s">
        <v>3189</v>
      </c>
      <c r="C503" s="14" t="s">
        <v>3190</v>
      </c>
      <c r="D503" s="14" t="s">
        <v>354</v>
      </c>
      <c r="E503" s="14">
        <v>2020</v>
      </c>
      <c r="F503" s="14">
        <v>170</v>
      </c>
      <c r="G503" s="18"/>
      <c r="H503" s="18"/>
      <c r="I503" s="14" t="s">
        <v>355</v>
      </c>
      <c r="J503" s="14">
        <v>2020</v>
      </c>
      <c r="K503" s="18"/>
      <c r="L503" s="18"/>
      <c r="M503" s="14" t="s">
        <v>65</v>
      </c>
      <c r="N503" s="17" t="s">
        <v>3191</v>
      </c>
      <c r="O503" s="14" t="s">
        <v>3192</v>
      </c>
      <c r="P503" s="14" t="s">
        <v>3193</v>
      </c>
      <c r="Q503" s="14" t="s">
        <v>1249</v>
      </c>
      <c r="R503" s="18"/>
      <c r="S503" s="15"/>
      <c r="T503" s="15"/>
      <c r="U503" s="15"/>
      <c r="V503" s="15"/>
    </row>
    <row r="504" spans="1:22" x14ac:dyDescent="0.25">
      <c r="A504" s="14" t="s">
        <v>141</v>
      </c>
      <c r="B504" s="14" t="s">
        <v>3194</v>
      </c>
      <c r="C504" s="14" t="s">
        <v>3195</v>
      </c>
      <c r="D504" s="18"/>
      <c r="E504" s="14">
        <v>2020</v>
      </c>
      <c r="F504" s="18"/>
      <c r="G504" s="18"/>
      <c r="H504" s="18"/>
      <c r="I504" s="14" t="s">
        <v>145</v>
      </c>
      <c r="J504" s="14">
        <v>2020</v>
      </c>
      <c r="K504" s="14">
        <v>9781450377362</v>
      </c>
      <c r="L504" s="18"/>
      <c r="M504" s="18"/>
      <c r="N504" s="17" t="s">
        <v>3196</v>
      </c>
      <c r="O504" s="14" t="s">
        <v>3197</v>
      </c>
      <c r="P504" s="14" t="s">
        <v>3198</v>
      </c>
      <c r="Q504" s="14" t="s">
        <v>176</v>
      </c>
      <c r="R504" s="18"/>
      <c r="S504" s="15"/>
      <c r="T504" s="15"/>
      <c r="U504" s="15"/>
      <c r="V504" s="15"/>
    </row>
    <row r="505" spans="1:22" x14ac:dyDescent="0.25">
      <c r="A505" s="14" t="s">
        <v>141</v>
      </c>
      <c r="B505" s="14" t="s">
        <v>3034</v>
      </c>
      <c r="C505" s="14" t="s">
        <v>3199</v>
      </c>
      <c r="D505" s="18"/>
      <c r="E505" s="14">
        <v>2020</v>
      </c>
      <c r="F505" s="18"/>
      <c r="G505" s="18"/>
      <c r="H505" s="14" t="s">
        <v>3200</v>
      </c>
      <c r="I505" s="14" t="s">
        <v>145</v>
      </c>
      <c r="J505" s="14">
        <v>2020</v>
      </c>
      <c r="K505" s="14">
        <v>9781450387538</v>
      </c>
      <c r="L505" s="18"/>
      <c r="M505" s="18"/>
      <c r="N505" s="17" t="s">
        <v>3201</v>
      </c>
      <c r="O505" s="14" t="s">
        <v>3202</v>
      </c>
      <c r="P505" s="14" t="s">
        <v>3203</v>
      </c>
      <c r="Q505" s="14" t="s">
        <v>185</v>
      </c>
      <c r="R505" s="18"/>
      <c r="S505" s="15"/>
      <c r="T505" s="15"/>
      <c r="U505" s="15"/>
      <c r="V505" s="15"/>
    </row>
    <row r="506" spans="1:22" x14ac:dyDescent="0.25">
      <c r="A506" s="14" t="s">
        <v>141</v>
      </c>
      <c r="B506" s="14" t="s">
        <v>3204</v>
      </c>
      <c r="C506" s="14" t="s">
        <v>3205</v>
      </c>
      <c r="D506" s="18"/>
      <c r="E506" s="14">
        <v>2020</v>
      </c>
      <c r="F506" s="18"/>
      <c r="G506" s="18"/>
      <c r="H506" s="14" t="s">
        <v>3206</v>
      </c>
      <c r="I506" s="14" t="s">
        <v>196</v>
      </c>
      <c r="J506" s="14">
        <v>2020</v>
      </c>
      <c r="K506" s="14">
        <v>9781450379588</v>
      </c>
      <c r="L506" s="18"/>
      <c r="M506" s="18"/>
      <c r="N506" s="17" t="s">
        <v>3207</v>
      </c>
      <c r="O506" s="14" t="s">
        <v>3208</v>
      </c>
      <c r="P506" s="14" t="s">
        <v>3209</v>
      </c>
      <c r="Q506" s="14" t="s">
        <v>176</v>
      </c>
      <c r="R506" s="18"/>
      <c r="S506" s="15"/>
      <c r="T506" s="15"/>
      <c r="U506" s="15"/>
      <c r="V506" s="15"/>
    </row>
    <row r="507" spans="1:22" x14ac:dyDescent="0.25">
      <c r="A507" s="14" t="s">
        <v>13</v>
      </c>
      <c r="B507" s="14" t="s">
        <v>3210</v>
      </c>
      <c r="C507" s="14" t="s">
        <v>3211</v>
      </c>
      <c r="D507" s="14" t="s">
        <v>307</v>
      </c>
      <c r="E507" s="14">
        <v>2020</v>
      </c>
      <c r="F507" s="14">
        <v>127</v>
      </c>
      <c r="G507" s="18"/>
      <c r="H507" s="18"/>
      <c r="I507" s="14" t="s">
        <v>280</v>
      </c>
      <c r="J507" s="14">
        <v>2020</v>
      </c>
      <c r="K507" s="18"/>
      <c r="L507" s="18"/>
      <c r="M507" s="14" t="s">
        <v>308</v>
      </c>
      <c r="N507" s="17" t="s">
        <v>3212</v>
      </c>
      <c r="O507" s="14" t="s">
        <v>3213</v>
      </c>
      <c r="P507" s="14" t="s">
        <v>3214</v>
      </c>
      <c r="Q507" s="14" t="s">
        <v>2110</v>
      </c>
      <c r="R507" s="18"/>
      <c r="S507" s="15"/>
      <c r="T507" s="15"/>
      <c r="U507" s="15"/>
      <c r="V507" s="15"/>
    </row>
    <row r="508" spans="1:22" x14ac:dyDescent="0.25">
      <c r="A508" s="14" t="s">
        <v>141</v>
      </c>
      <c r="B508" s="14" t="s">
        <v>3215</v>
      </c>
      <c r="C508" s="14" t="s">
        <v>3216</v>
      </c>
      <c r="D508" s="18"/>
      <c r="E508" s="14">
        <v>2020</v>
      </c>
      <c r="F508" s="18"/>
      <c r="G508" s="18"/>
      <c r="H508" s="18"/>
      <c r="I508" s="14" t="s">
        <v>257</v>
      </c>
      <c r="J508" s="14">
        <v>2020</v>
      </c>
      <c r="K508" s="14">
        <v>9789532900996</v>
      </c>
      <c r="L508" s="18"/>
      <c r="M508" s="18"/>
      <c r="N508" s="17" t="s">
        <v>3217</v>
      </c>
      <c r="O508" s="14" t="s">
        <v>3218</v>
      </c>
      <c r="P508" s="14" t="s">
        <v>3219</v>
      </c>
      <c r="Q508" s="14" t="s">
        <v>3003</v>
      </c>
      <c r="R508" s="18"/>
      <c r="S508" s="15"/>
      <c r="T508" s="15"/>
      <c r="U508" s="15"/>
      <c r="V508" s="15"/>
    </row>
    <row r="509" spans="1:22" x14ac:dyDescent="0.25">
      <c r="A509" s="14" t="s">
        <v>13</v>
      </c>
      <c r="B509" s="14" t="s">
        <v>3220</v>
      </c>
      <c r="C509" s="14" t="s">
        <v>3221</v>
      </c>
      <c r="D509" s="14" t="s">
        <v>354</v>
      </c>
      <c r="E509" s="14">
        <v>2021</v>
      </c>
      <c r="F509" s="14">
        <v>171</v>
      </c>
      <c r="G509" s="18"/>
      <c r="H509" s="18"/>
      <c r="I509" s="14" t="s">
        <v>355</v>
      </c>
      <c r="J509" s="14">
        <v>2021</v>
      </c>
      <c r="K509" s="18"/>
      <c r="L509" s="18"/>
      <c r="M509" s="14" t="s">
        <v>65</v>
      </c>
      <c r="N509" s="17" t="s">
        <v>3222</v>
      </c>
      <c r="O509" s="14" t="s">
        <v>3223</v>
      </c>
      <c r="P509" s="14" t="s">
        <v>3224</v>
      </c>
      <c r="Q509" s="14" t="s">
        <v>3225</v>
      </c>
      <c r="R509" s="18"/>
      <c r="S509" s="15"/>
      <c r="T509" s="15"/>
      <c r="U509" s="15"/>
      <c r="V509" s="15"/>
    </row>
    <row r="510" spans="1:22" x14ac:dyDescent="0.25">
      <c r="A510" s="14" t="s">
        <v>141</v>
      </c>
      <c r="B510" s="14" t="s">
        <v>3226</v>
      </c>
      <c r="C510" s="14" t="s">
        <v>3227</v>
      </c>
      <c r="D510" s="18"/>
      <c r="E510" s="14">
        <v>2021</v>
      </c>
      <c r="F510" s="18"/>
      <c r="G510" s="18"/>
      <c r="H510" s="14" t="s">
        <v>3228</v>
      </c>
      <c r="I510" s="14" t="s">
        <v>257</v>
      </c>
      <c r="J510" s="14">
        <v>2021</v>
      </c>
      <c r="K510" s="14">
        <v>9781728187105</v>
      </c>
      <c r="L510" s="18"/>
      <c r="M510" s="18"/>
      <c r="N510" s="17" t="s">
        <v>3229</v>
      </c>
      <c r="O510" s="14" t="s">
        <v>3230</v>
      </c>
      <c r="P510" s="14" t="s">
        <v>3231</v>
      </c>
      <c r="Q510" s="14" t="s">
        <v>185</v>
      </c>
      <c r="R510" s="18"/>
      <c r="S510" s="15"/>
      <c r="T510" s="15"/>
      <c r="U510" s="15"/>
      <c r="V510" s="15"/>
    </row>
    <row r="511" spans="1:22" x14ac:dyDescent="0.25">
      <c r="A511" s="14" t="s">
        <v>141</v>
      </c>
      <c r="B511" s="14" t="s">
        <v>865</v>
      </c>
      <c r="C511" s="14" t="s">
        <v>3232</v>
      </c>
      <c r="D511" s="18"/>
      <c r="E511" s="14">
        <v>2020</v>
      </c>
      <c r="F511" s="18"/>
      <c r="G511" s="18"/>
      <c r="H511" s="14" t="s">
        <v>2661</v>
      </c>
      <c r="I511" s="14" t="s">
        <v>257</v>
      </c>
      <c r="J511" s="14">
        <v>2020</v>
      </c>
      <c r="K511" s="14">
        <v>9781728195322</v>
      </c>
      <c r="L511" s="18"/>
      <c r="M511" s="18"/>
      <c r="N511" s="17" t="s">
        <v>3233</v>
      </c>
      <c r="O511" s="14" t="s">
        <v>3234</v>
      </c>
      <c r="P511" s="14" t="s">
        <v>3235</v>
      </c>
      <c r="Q511" s="14" t="s">
        <v>1813</v>
      </c>
      <c r="R511" s="18"/>
      <c r="S511" s="15"/>
      <c r="T511" s="15"/>
      <c r="U511" s="15"/>
      <c r="V511" s="15"/>
    </row>
    <row r="512" spans="1:22" x14ac:dyDescent="0.25">
      <c r="A512" s="14" t="s">
        <v>13</v>
      </c>
      <c r="B512" s="14" t="s">
        <v>3236</v>
      </c>
      <c r="C512" s="14" t="s">
        <v>3237</v>
      </c>
      <c r="D512" s="14" t="s">
        <v>3238</v>
      </c>
      <c r="E512" s="14">
        <v>2021</v>
      </c>
      <c r="F512" s="14" t="s">
        <v>3239</v>
      </c>
      <c r="G512" s="14">
        <v>10</v>
      </c>
      <c r="H512" s="14" t="s">
        <v>3240</v>
      </c>
      <c r="I512" s="14" t="s">
        <v>3241</v>
      </c>
      <c r="J512" s="14">
        <v>2021</v>
      </c>
      <c r="K512" s="18"/>
      <c r="L512" s="18"/>
      <c r="M512" s="14" t="s">
        <v>3242</v>
      </c>
      <c r="N512" s="17" t="s">
        <v>3243</v>
      </c>
      <c r="O512" s="14" t="s">
        <v>3244</v>
      </c>
      <c r="P512" s="14" t="s">
        <v>3245</v>
      </c>
      <c r="Q512" s="14" t="s">
        <v>568</v>
      </c>
      <c r="R512" s="18"/>
      <c r="S512" s="15"/>
      <c r="T512" s="15"/>
      <c r="U512" s="15"/>
      <c r="V512" s="15"/>
    </row>
    <row r="513" spans="1:22" x14ac:dyDescent="0.25">
      <c r="A513" s="14" t="s">
        <v>141</v>
      </c>
      <c r="B513" s="14" t="s">
        <v>3246</v>
      </c>
      <c r="C513" s="14" t="s">
        <v>3247</v>
      </c>
      <c r="D513" s="18"/>
      <c r="E513" s="14">
        <v>2021</v>
      </c>
      <c r="F513" s="14">
        <v>1</v>
      </c>
      <c r="G513" s="18"/>
      <c r="H513" s="14" t="s">
        <v>3248</v>
      </c>
      <c r="I513" s="14" t="s">
        <v>3249</v>
      </c>
      <c r="J513" s="14">
        <v>2021</v>
      </c>
      <c r="K513" s="14">
        <v>9781713835974</v>
      </c>
      <c r="L513" s="18"/>
      <c r="M513" s="18"/>
      <c r="N513" s="17" t="s">
        <v>3250</v>
      </c>
      <c r="O513" s="18"/>
      <c r="P513" s="14" t="s">
        <v>3251</v>
      </c>
      <c r="Q513" s="14" t="s">
        <v>185</v>
      </c>
      <c r="R513" s="18"/>
      <c r="S513" s="15"/>
      <c r="T513" s="15"/>
      <c r="U513" s="15"/>
      <c r="V513" s="15"/>
    </row>
    <row r="514" spans="1:22" x14ac:dyDescent="0.25">
      <c r="A514" s="14" t="s">
        <v>141</v>
      </c>
      <c r="B514" s="14" t="s">
        <v>3252</v>
      </c>
      <c r="C514" s="14" t="s">
        <v>3253</v>
      </c>
      <c r="D514" s="18"/>
      <c r="E514" s="14">
        <v>2020</v>
      </c>
      <c r="F514" s="18"/>
      <c r="G514" s="18"/>
      <c r="H514" s="14" t="s">
        <v>3254</v>
      </c>
      <c r="I514" s="14" t="s">
        <v>153</v>
      </c>
      <c r="J514" s="14">
        <v>2020</v>
      </c>
      <c r="K514" s="14">
        <v>9781450370431</v>
      </c>
      <c r="L514" s="18"/>
      <c r="M514" s="18"/>
      <c r="N514" s="17" t="s">
        <v>3255</v>
      </c>
      <c r="O514" s="14" t="s">
        <v>3256</v>
      </c>
      <c r="P514" s="14" t="s">
        <v>3257</v>
      </c>
      <c r="Q514" s="14" t="s">
        <v>2804</v>
      </c>
      <c r="R514" s="18"/>
      <c r="S514" s="15"/>
      <c r="T514" s="15"/>
      <c r="U514" s="15"/>
      <c r="V514" s="15"/>
    </row>
    <row r="515" spans="1:22" x14ac:dyDescent="0.25">
      <c r="A515" s="14" t="s">
        <v>13</v>
      </c>
      <c r="B515" s="14" t="s">
        <v>3258</v>
      </c>
      <c r="C515" s="14" t="s">
        <v>3259</v>
      </c>
      <c r="D515" s="14" t="s">
        <v>3260</v>
      </c>
      <c r="E515" s="14">
        <v>2020</v>
      </c>
      <c r="F515" s="14">
        <v>63</v>
      </c>
      <c r="G515" s="14">
        <v>6</v>
      </c>
      <c r="H515" s="14" t="s">
        <v>3261</v>
      </c>
      <c r="I515" s="14" t="s">
        <v>1060</v>
      </c>
      <c r="J515" s="14">
        <v>2020</v>
      </c>
      <c r="K515" s="18"/>
      <c r="L515" s="18"/>
      <c r="M515" s="14" t="s">
        <v>3262</v>
      </c>
      <c r="N515" s="17" t="s">
        <v>3263</v>
      </c>
      <c r="O515" s="14" t="s">
        <v>3264</v>
      </c>
      <c r="P515" s="14" t="s">
        <v>3265</v>
      </c>
      <c r="Q515" s="14" t="s">
        <v>3266</v>
      </c>
      <c r="R515" s="18"/>
      <c r="S515" s="15"/>
      <c r="T515" s="15"/>
      <c r="U515" s="15"/>
      <c r="V515" s="15"/>
    </row>
    <row r="516" spans="1:22" x14ac:dyDescent="0.25">
      <c r="A516" s="14" t="s">
        <v>141</v>
      </c>
      <c r="B516" s="14" t="s">
        <v>3267</v>
      </c>
      <c r="C516" s="14" t="s">
        <v>3268</v>
      </c>
      <c r="D516" s="18"/>
      <c r="E516" s="14">
        <v>2021</v>
      </c>
      <c r="F516" s="18"/>
      <c r="G516" s="18"/>
      <c r="H516" s="14" t="s">
        <v>3269</v>
      </c>
      <c r="I516" s="14" t="s">
        <v>257</v>
      </c>
      <c r="J516" s="14">
        <v>2021</v>
      </c>
      <c r="K516" s="14">
        <v>9781665409506</v>
      </c>
      <c r="L516" s="18"/>
      <c r="M516" s="18"/>
      <c r="N516" s="17" t="s">
        <v>3270</v>
      </c>
      <c r="O516" s="14" t="s">
        <v>3271</v>
      </c>
      <c r="P516" s="14" t="s">
        <v>3272</v>
      </c>
      <c r="Q516" s="14" t="s">
        <v>157</v>
      </c>
      <c r="R516" s="18"/>
      <c r="S516" s="15"/>
      <c r="T516" s="15"/>
      <c r="U516" s="15"/>
      <c r="V516" s="15"/>
    </row>
    <row r="517" spans="1:22" x14ac:dyDescent="0.25">
      <c r="A517" s="14" t="s">
        <v>141</v>
      </c>
      <c r="B517" s="14" t="s">
        <v>3273</v>
      </c>
      <c r="C517" s="14" t="s">
        <v>3274</v>
      </c>
      <c r="D517" s="18"/>
      <c r="E517" s="14">
        <v>2021</v>
      </c>
      <c r="F517" s="18"/>
      <c r="G517" s="18"/>
      <c r="H517" s="14" t="s">
        <v>3275</v>
      </c>
      <c r="I517" s="14" t="s">
        <v>257</v>
      </c>
      <c r="J517" s="14">
        <v>2021</v>
      </c>
      <c r="K517" s="14">
        <v>9781665449700</v>
      </c>
      <c r="L517" s="18"/>
      <c r="M517" s="18"/>
      <c r="N517" s="17" t="s">
        <v>3276</v>
      </c>
      <c r="O517" s="14" t="s">
        <v>3277</v>
      </c>
      <c r="P517" s="14" t="s">
        <v>3278</v>
      </c>
      <c r="Q517" s="14" t="s">
        <v>2243</v>
      </c>
      <c r="R517" s="18"/>
      <c r="S517" s="15"/>
      <c r="T517" s="15"/>
      <c r="U517" s="15"/>
      <c r="V517" s="15"/>
    </row>
    <row r="518" spans="1:22" x14ac:dyDescent="0.25">
      <c r="A518" s="14" t="s">
        <v>141</v>
      </c>
      <c r="B518" s="14" t="s">
        <v>3279</v>
      </c>
      <c r="C518" s="14" t="s">
        <v>3280</v>
      </c>
      <c r="D518" s="18"/>
      <c r="E518" s="14">
        <v>2021</v>
      </c>
      <c r="F518" s="18"/>
      <c r="G518" s="18"/>
      <c r="H518" s="14" t="s">
        <v>3281</v>
      </c>
      <c r="I518" s="14" t="s">
        <v>257</v>
      </c>
      <c r="J518" s="14">
        <v>2021</v>
      </c>
      <c r="K518" s="14">
        <v>9781665403375</v>
      </c>
      <c r="L518" s="18"/>
      <c r="M518" s="18"/>
      <c r="N518" s="17" t="s">
        <v>3282</v>
      </c>
      <c r="O518" s="14" t="s">
        <v>3283</v>
      </c>
      <c r="P518" s="14" t="s">
        <v>3284</v>
      </c>
      <c r="Q518" s="14" t="s">
        <v>157</v>
      </c>
      <c r="R518" s="18"/>
      <c r="S518" s="15"/>
      <c r="T518" s="15"/>
      <c r="U518" s="15"/>
      <c r="V518" s="15"/>
    </row>
    <row r="519" spans="1:22" x14ac:dyDescent="0.25">
      <c r="A519" s="14" t="s">
        <v>141</v>
      </c>
      <c r="B519" s="14" t="s">
        <v>3285</v>
      </c>
      <c r="C519" s="14" t="s">
        <v>3286</v>
      </c>
      <c r="D519" s="18"/>
      <c r="E519" s="14">
        <v>2020</v>
      </c>
      <c r="F519" s="18"/>
      <c r="G519" s="18"/>
      <c r="H519" s="14" t="s">
        <v>3287</v>
      </c>
      <c r="I519" s="14" t="s">
        <v>145</v>
      </c>
      <c r="J519" s="14">
        <v>2020</v>
      </c>
      <c r="K519" s="14">
        <v>9781450379984</v>
      </c>
      <c r="L519" s="18"/>
      <c r="M519" s="18"/>
      <c r="N519" s="17" t="s">
        <v>3288</v>
      </c>
      <c r="O519" s="14" t="s">
        <v>3289</v>
      </c>
      <c r="P519" s="14" t="s">
        <v>3290</v>
      </c>
      <c r="Q519" s="14" t="s">
        <v>2717</v>
      </c>
      <c r="R519" s="18"/>
      <c r="S519" s="15"/>
      <c r="T519" s="15"/>
      <c r="U519" s="15"/>
      <c r="V519" s="15"/>
    </row>
    <row r="520" spans="1:22" x14ac:dyDescent="0.25">
      <c r="A520" s="14" t="s">
        <v>13</v>
      </c>
      <c r="B520" s="14" t="s">
        <v>3291</v>
      </c>
      <c r="C520" s="14" t="s">
        <v>3292</v>
      </c>
      <c r="D520" s="14" t="s">
        <v>3293</v>
      </c>
      <c r="E520" s="14">
        <v>2021</v>
      </c>
      <c r="F520" s="14">
        <v>70</v>
      </c>
      <c r="G520" s="18"/>
      <c r="H520" s="18"/>
      <c r="I520" s="14" t="s">
        <v>257</v>
      </c>
      <c r="J520" s="14">
        <v>2021</v>
      </c>
      <c r="K520" s="18"/>
      <c r="L520" s="18"/>
      <c r="M520" s="14" t="s">
        <v>3294</v>
      </c>
      <c r="N520" s="17" t="s">
        <v>3295</v>
      </c>
      <c r="O520" s="14" t="s">
        <v>3296</v>
      </c>
      <c r="P520" s="14" t="s">
        <v>3297</v>
      </c>
      <c r="Q520" s="14" t="s">
        <v>2579</v>
      </c>
      <c r="R520" s="18"/>
      <c r="S520" s="15"/>
      <c r="T520" s="15"/>
      <c r="U520" s="15"/>
      <c r="V520" s="15"/>
    </row>
    <row r="521" spans="1:22" x14ac:dyDescent="0.25">
      <c r="A521" s="14" t="s">
        <v>141</v>
      </c>
      <c r="B521" s="14" t="s">
        <v>3298</v>
      </c>
      <c r="C521" s="14" t="s">
        <v>3299</v>
      </c>
      <c r="D521" s="18"/>
      <c r="E521" s="14">
        <v>2021</v>
      </c>
      <c r="F521" s="14">
        <v>14</v>
      </c>
      <c r="G521" s="18"/>
      <c r="H521" s="14" t="s">
        <v>3300</v>
      </c>
      <c r="I521" s="14" t="s">
        <v>3301</v>
      </c>
      <c r="J521" s="14">
        <v>2021</v>
      </c>
      <c r="K521" s="14">
        <v>9781713845393</v>
      </c>
      <c r="L521" s="18"/>
      <c r="M521" s="14" t="s">
        <v>3302</v>
      </c>
      <c r="N521" s="17" t="s">
        <v>3303</v>
      </c>
      <c r="O521" s="18"/>
      <c r="P521" s="14" t="s">
        <v>3304</v>
      </c>
      <c r="Q521" s="14" t="s">
        <v>157</v>
      </c>
      <c r="R521" s="18"/>
      <c r="S521" s="15"/>
      <c r="T521" s="15"/>
      <c r="U521" s="15"/>
      <c r="V521" s="15"/>
    </row>
    <row r="522" spans="1:22" x14ac:dyDescent="0.25">
      <c r="A522" s="14" t="s">
        <v>141</v>
      </c>
      <c r="B522" s="14" t="s">
        <v>3305</v>
      </c>
      <c r="C522" s="14" t="s">
        <v>3306</v>
      </c>
      <c r="D522" s="18"/>
      <c r="E522" s="14">
        <v>2021</v>
      </c>
      <c r="F522" s="18"/>
      <c r="G522" s="18"/>
      <c r="H522" s="14" t="s">
        <v>3307</v>
      </c>
      <c r="I522" s="14" t="s">
        <v>145</v>
      </c>
      <c r="J522" s="14">
        <v>2021</v>
      </c>
      <c r="K522" s="18"/>
      <c r="L522" s="18"/>
      <c r="M522" s="14" t="s">
        <v>3308</v>
      </c>
      <c r="N522" s="17" t="s">
        <v>3309</v>
      </c>
      <c r="O522" s="14" t="s">
        <v>3310</v>
      </c>
      <c r="P522" s="14" t="s">
        <v>3311</v>
      </c>
      <c r="Q522" s="14" t="s">
        <v>3312</v>
      </c>
      <c r="R522" s="18"/>
      <c r="S522" s="15"/>
      <c r="T522" s="15"/>
      <c r="U522" s="15"/>
      <c r="V522" s="15"/>
    </row>
    <row r="523" spans="1:22" x14ac:dyDescent="0.25">
      <c r="A523" s="14" t="s">
        <v>13</v>
      </c>
      <c r="B523" s="14" t="s">
        <v>3313</v>
      </c>
      <c r="C523" s="14" t="s">
        <v>3314</v>
      </c>
      <c r="D523" s="14" t="s">
        <v>668</v>
      </c>
      <c r="E523" s="14">
        <v>2021</v>
      </c>
      <c r="F523" s="14">
        <v>9</v>
      </c>
      <c r="G523" s="18"/>
      <c r="H523" s="14" t="s">
        <v>3315</v>
      </c>
      <c r="I523" s="14" t="s">
        <v>257</v>
      </c>
      <c r="J523" s="14">
        <v>2021</v>
      </c>
      <c r="K523" s="18"/>
      <c r="L523" s="18"/>
      <c r="M523" s="14" t="s">
        <v>670</v>
      </c>
      <c r="N523" s="17" t="s">
        <v>3316</v>
      </c>
      <c r="O523" s="14" t="s">
        <v>3317</v>
      </c>
      <c r="P523" s="14" t="s">
        <v>3318</v>
      </c>
      <c r="Q523" s="14" t="s">
        <v>1844</v>
      </c>
      <c r="R523" s="18"/>
      <c r="S523" s="15"/>
      <c r="T523" s="15"/>
      <c r="U523" s="15"/>
      <c r="V523" s="15"/>
    </row>
    <row r="524" spans="1:22" x14ac:dyDescent="0.25">
      <c r="A524" s="14" t="s">
        <v>141</v>
      </c>
      <c r="B524" s="14" t="s">
        <v>2687</v>
      </c>
      <c r="C524" s="14" t="s">
        <v>3319</v>
      </c>
      <c r="D524" s="18"/>
      <c r="E524" s="14">
        <v>2020</v>
      </c>
      <c r="F524" s="18"/>
      <c r="G524" s="18"/>
      <c r="H524" s="18"/>
      <c r="I524" s="14" t="s">
        <v>196</v>
      </c>
      <c r="J524" s="14">
        <v>2020</v>
      </c>
      <c r="K524" s="14">
        <v>9781450375801</v>
      </c>
      <c r="L524" s="18"/>
      <c r="M524" s="14" t="s">
        <v>197</v>
      </c>
      <c r="N524" s="17" t="s">
        <v>3320</v>
      </c>
      <c r="O524" s="14" t="s">
        <v>3321</v>
      </c>
      <c r="P524" s="14" t="s">
        <v>3322</v>
      </c>
      <c r="Q524" s="14" t="s">
        <v>3323</v>
      </c>
      <c r="R524" s="18"/>
      <c r="S524" s="15"/>
      <c r="T524" s="15"/>
      <c r="U524" s="15"/>
      <c r="V524" s="15"/>
    </row>
    <row r="525" spans="1:22" x14ac:dyDescent="0.25">
      <c r="A525" s="14" t="s">
        <v>13</v>
      </c>
      <c r="B525" s="14" t="s">
        <v>3324</v>
      </c>
      <c r="C525" s="14" t="s">
        <v>3325</v>
      </c>
      <c r="D525" s="14" t="s">
        <v>3326</v>
      </c>
      <c r="E525" s="14">
        <v>2021</v>
      </c>
      <c r="F525" s="14">
        <v>13</v>
      </c>
      <c r="G525" s="14">
        <v>1</v>
      </c>
      <c r="H525" s="14" t="s">
        <v>3327</v>
      </c>
      <c r="I525" s="14" t="s">
        <v>3328</v>
      </c>
      <c r="J525" s="14">
        <v>2021</v>
      </c>
      <c r="K525" s="18"/>
      <c r="L525" s="18"/>
      <c r="M525" s="14" t="s">
        <v>3329</v>
      </c>
      <c r="N525" s="17" t="s">
        <v>3330</v>
      </c>
      <c r="O525" s="14" t="s">
        <v>3331</v>
      </c>
      <c r="P525" s="14" t="s">
        <v>3332</v>
      </c>
      <c r="Q525" s="14" t="s">
        <v>157</v>
      </c>
      <c r="R525" s="18"/>
      <c r="S525" s="15"/>
      <c r="T525" s="15"/>
      <c r="U525" s="15"/>
      <c r="V525" s="15"/>
    </row>
    <row r="526" spans="1:22" x14ac:dyDescent="0.25">
      <c r="A526" s="14" t="s">
        <v>141</v>
      </c>
      <c r="B526" s="14" t="s">
        <v>3333</v>
      </c>
      <c r="C526" s="14" t="s">
        <v>3334</v>
      </c>
      <c r="D526" s="18"/>
      <c r="E526" s="14">
        <v>2021</v>
      </c>
      <c r="F526" s="14">
        <v>2867</v>
      </c>
      <c r="G526" s="18"/>
      <c r="H526" s="14" t="s">
        <v>3335</v>
      </c>
      <c r="I526" s="14" t="s">
        <v>613</v>
      </c>
      <c r="J526" s="14">
        <v>2021</v>
      </c>
      <c r="K526" s="18"/>
      <c r="L526" s="18"/>
      <c r="M526" s="14" t="s">
        <v>614</v>
      </c>
      <c r="N526" s="17" t="s">
        <v>3336</v>
      </c>
      <c r="O526" s="18"/>
      <c r="P526" s="14" t="s">
        <v>3337</v>
      </c>
      <c r="Q526" s="14" t="s">
        <v>318</v>
      </c>
      <c r="R526" s="18"/>
      <c r="S526" s="15"/>
      <c r="T526" s="15"/>
      <c r="U526" s="15"/>
      <c r="V526" s="15"/>
    </row>
    <row r="527" spans="1:22" x14ac:dyDescent="0.25">
      <c r="A527" s="14" t="s">
        <v>141</v>
      </c>
      <c r="B527" s="14" t="s">
        <v>3338</v>
      </c>
      <c r="C527" s="14" t="s">
        <v>3339</v>
      </c>
      <c r="D527" s="18"/>
      <c r="E527" s="14">
        <v>2020</v>
      </c>
      <c r="F527" s="18"/>
      <c r="G527" s="18"/>
      <c r="H527" s="14" t="s">
        <v>3340</v>
      </c>
      <c r="I527" s="14" t="s">
        <v>153</v>
      </c>
      <c r="J527" s="14">
        <v>2020</v>
      </c>
      <c r="K527" s="14">
        <v>9781450370431</v>
      </c>
      <c r="L527" s="18"/>
      <c r="M527" s="18"/>
      <c r="N527" s="17" t="s">
        <v>3341</v>
      </c>
      <c r="O527" s="14" t="s">
        <v>3342</v>
      </c>
      <c r="P527" s="14" t="s">
        <v>3343</v>
      </c>
      <c r="Q527" s="14" t="s">
        <v>176</v>
      </c>
      <c r="R527" s="18"/>
      <c r="S527" s="15"/>
      <c r="T527" s="15"/>
      <c r="U527" s="15"/>
      <c r="V527" s="15"/>
    </row>
    <row r="528" spans="1:22" x14ac:dyDescent="0.25">
      <c r="A528" s="14" t="s">
        <v>13</v>
      </c>
      <c r="B528" s="14" t="s">
        <v>3344</v>
      </c>
      <c r="C528" s="14" t="s">
        <v>3345</v>
      </c>
      <c r="D528" s="14" t="s">
        <v>136</v>
      </c>
      <c r="E528" s="14">
        <v>2021</v>
      </c>
      <c r="F528" s="14">
        <v>26</v>
      </c>
      <c r="G528" s="14">
        <v>2</v>
      </c>
      <c r="H528" s="18"/>
      <c r="I528" s="14" t="s">
        <v>137</v>
      </c>
      <c r="J528" s="14">
        <v>2021</v>
      </c>
      <c r="K528" s="18"/>
      <c r="L528" s="18"/>
      <c r="M528" s="14" t="s">
        <v>33</v>
      </c>
      <c r="N528" s="17" t="s">
        <v>3346</v>
      </c>
      <c r="O528" s="14" t="s">
        <v>3347</v>
      </c>
      <c r="P528" s="14" t="s">
        <v>3348</v>
      </c>
      <c r="Q528" s="14" t="s">
        <v>1598</v>
      </c>
      <c r="R528" s="18"/>
      <c r="S528" s="15"/>
      <c r="T528" s="15"/>
      <c r="U528" s="15"/>
      <c r="V528" s="15"/>
    </row>
    <row r="529" spans="1:22" x14ac:dyDescent="0.25">
      <c r="A529" s="14" t="s">
        <v>13</v>
      </c>
      <c r="B529" s="14" t="s">
        <v>3349</v>
      </c>
      <c r="C529" s="14" t="s">
        <v>3350</v>
      </c>
      <c r="D529" s="14" t="s">
        <v>3351</v>
      </c>
      <c r="E529" s="14">
        <v>2020</v>
      </c>
      <c r="F529" s="14">
        <v>98</v>
      </c>
      <c r="G529" s="14">
        <v>14</v>
      </c>
      <c r="H529" s="14" t="s">
        <v>3352</v>
      </c>
      <c r="I529" s="14" t="s">
        <v>3353</v>
      </c>
      <c r="J529" s="14">
        <v>2020</v>
      </c>
      <c r="K529" s="18"/>
      <c r="L529" s="18"/>
      <c r="M529" s="14" t="s">
        <v>3354</v>
      </c>
      <c r="N529" s="17" t="s">
        <v>3355</v>
      </c>
      <c r="O529" s="18"/>
      <c r="P529" s="14" t="s">
        <v>3356</v>
      </c>
      <c r="Q529" s="14" t="s">
        <v>176</v>
      </c>
      <c r="R529" s="18"/>
      <c r="S529" s="15"/>
      <c r="T529" s="15"/>
      <c r="U529" s="15"/>
      <c r="V529" s="15"/>
    </row>
    <row r="530" spans="1:22" x14ac:dyDescent="0.25">
      <c r="A530" s="14" t="s">
        <v>141</v>
      </c>
      <c r="B530" s="14" t="s">
        <v>3357</v>
      </c>
      <c r="C530" s="14" t="s">
        <v>3358</v>
      </c>
      <c r="D530" s="18"/>
      <c r="E530" s="14">
        <v>2021</v>
      </c>
      <c r="F530" s="18"/>
      <c r="G530" s="18"/>
      <c r="H530" s="14" t="s">
        <v>3359</v>
      </c>
      <c r="I530" s="14" t="s">
        <v>257</v>
      </c>
      <c r="J530" s="14">
        <v>2021</v>
      </c>
      <c r="K530" s="14">
        <v>9781665403375</v>
      </c>
      <c r="L530" s="18"/>
      <c r="M530" s="18"/>
      <c r="N530" s="17" t="s">
        <v>3360</v>
      </c>
      <c r="O530" s="14" t="s">
        <v>3361</v>
      </c>
      <c r="P530" s="14" t="s">
        <v>3362</v>
      </c>
      <c r="Q530" s="14" t="s">
        <v>157</v>
      </c>
      <c r="R530" s="18"/>
      <c r="S530" s="15"/>
      <c r="T530" s="15"/>
      <c r="U530" s="15"/>
      <c r="V530" s="15"/>
    </row>
    <row r="531" spans="1:22" x14ac:dyDescent="0.25">
      <c r="A531" s="14" t="s">
        <v>141</v>
      </c>
      <c r="B531" s="14" t="s">
        <v>96</v>
      </c>
      <c r="C531" s="14" t="s">
        <v>3363</v>
      </c>
      <c r="D531" s="18"/>
      <c r="E531" s="14">
        <v>2021</v>
      </c>
      <c r="F531" s="18"/>
      <c r="G531" s="18"/>
      <c r="H531" s="14" t="s">
        <v>3364</v>
      </c>
      <c r="I531" s="14" t="s">
        <v>257</v>
      </c>
      <c r="J531" s="14">
        <v>2021</v>
      </c>
      <c r="K531" s="14">
        <v>9781665403375</v>
      </c>
      <c r="L531" s="18"/>
      <c r="M531" s="18"/>
      <c r="N531" s="17" t="s">
        <v>3365</v>
      </c>
      <c r="O531" s="14" t="s">
        <v>3366</v>
      </c>
      <c r="P531" s="14" t="s">
        <v>3367</v>
      </c>
      <c r="Q531" s="14" t="s">
        <v>157</v>
      </c>
      <c r="R531" s="18"/>
      <c r="S531" s="15"/>
      <c r="T531" s="15"/>
      <c r="U531" s="15"/>
      <c r="V531" s="15"/>
    </row>
    <row r="532" spans="1:22" x14ac:dyDescent="0.25">
      <c r="A532" s="14" t="s">
        <v>141</v>
      </c>
      <c r="B532" s="14" t="s">
        <v>3368</v>
      </c>
      <c r="C532" s="14" t="s">
        <v>3369</v>
      </c>
      <c r="D532" s="18"/>
      <c r="E532" s="14">
        <v>2021</v>
      </c>
      <c r="F532" s="18"/>
      <c r="G532" s="18"/>
      <c r="H532" s="14" t="s">
        <v>3370</v>
      </c>
      <c r="I532" s="14" t="s">
        <v>257</v>
      </c>
      <c r="J532" s="14">
        <v>2021</v>
      </c>
      <c r="K532" s="14">
        <v>9781665443937</v>
      </c>
      <c r="L532" s="18"/>
      <c r="M532" s="18"/>
      <c r="N532" s="17" t="s">
        <v>3371</v>
      </c>
      <c r="O532" s="14" t="s">
        <v>3372</v>
      </c>
      <c r="P532" s="14" t="s">
        <v>3373</v>
      </c>
      <c r="Q532" s="14" t="s">
        <v>176</v>
      </c>
      <c r="R532" s="18"/>
      <c r="S532" s="15"/>
      <c r="T532" s="15"/>
      <c r="U532" s="15"/>
      <c r="V532" s="15"/>
    </row>
    <row r="533" spans="1:22" x14ac:dyDescent="0.25">
      <c r="A533" s="14" t="s">
        <v>141</v>
      </c>
      <c r="B533" s="14" t="s">
        <v>3374</v>
      </c>
      <c r="C533" s="14" t="s">
        <v>3375</v>
      </c>
      <c r="D533" s="18"/>
      <c r="E533" s="14">
        <v>2020</v>
      </c>
      <c r="F533" s="18"/>
      <c r="G533" s="18"/>
      <c r="H533" s="14" t="s">
        <v>3376</v>
      </c>
      <c r="I533" s="14" t="s">
        <v>153</v>
      </c>
      <c r="J533" s="14">
        <v>2020</v>
      </c>
      <c r="K533" s="14">
        <v>9781450381352</v>
      </c>
      <c r="L533" s="18"/>
      <c r="M533" s="18"/>
      <c r="N533" s="17" t="s">
        <v>3377</v>
      </c>
      <c r="O533" s="14" t="s">
        <v>3378</v>
      </c>
      <c r="P533" s="14" t="s">
        <v>3379</v>
      </c>
      <c r="Q533" s="14" t="s">
        <v>818</v>
      </c>
      <c r="R533" s="18"/>
      <c r="S533" s="15"/>
      <c r="T533" s="15"/>
      <c r="U533" s="15"/>
      <c r="V533" s="15"/>
    </row>
    <row r="534" spans="1:22" x14ac:dyDescent="0.25">
      <c r="A534" s="14" t="s">
        <v>141</v>
      </c>
      <c r="B534" s="14" t="s">
        <v>3380</v>
      </c>
      <c r="C534" s="14" t="s">
        <v>3381</v>
      </c>
      <c r="D534" s="18"/>
      <c r="E534" s="14">
        <v>2020</v>
      </c>
      <c r="F534" s="18"/>
      <c r="G534" s="18"/>
      <c r="H534" s="14" t="s">
        <v>3382</v>
      </c>
      <c r="I534" s="14" t="s">
        <v>257</v>
      </c>
      <c r="J534" s="14">
        <v>2020</v>
      </c>
      <c r="K534" s="14">
        <v>9781728195322</v>
      </c>
      <c r="L534" s="18"/>
      <c r="M534" s="18"/>
      <c r="N534" s="17" t="s">
        <v>3383</v>
      </c>
      <c r="O534" s="14" t="s">
        <v>3384</v>
      </c>
      <c r="P534" s="14" t="s">
        <v>3385</v>
      </c>
      <c r="Q534" s="14" t="s">
        <v>1598</v>
      </c>
      <c r="R534" s="18"/>
      <c r="S534" s="15"/>
      <c r="T534" s="15"/>
      <c r="U534" s="15"/>
      <c r="V534" s="15"/>
    </row>
    <row r="535" spans="1:22" x14ac:dyDescent="0.25">
      <c r="A535" s="14" t="s">
        <v>141</v>
      </c>
      <c r="B535" s="14" t="s">
        <v>3386</v>
      </c>
      <c r="C535" s="14" t="s">
        <v>3387</v>
      </c>
      <c r="D535" s="18"/>
      <c r="E535" s="14">
        <v>2020</v>
      </c>
      <c r="F535" s="18"/>
      <c r="G535" s="18"/>
      <c r="H535" s="14" t="s">
        <v>3388</v>
      </c>
      <c r="I535" s="14" t="s">
        <v>153</v>
      </c>
      <c r="J535" s="14">
        <v>2020</v>
      </c>
      <c r="K535" s="14">
        <v>9781450381789</v>
      </c>
      <c r="L535" s="18"/>
      <c r="M535" s="18"/>
      <c r="N535" s="17" t="s">
        <v>3389</v>
      </c>
      <c r="O535" s="14" t="s">
        <v>3390</v>
      </c>
      <c r="P535" s="14" t="s">
        <v>3391</v>
      </c>
      <c r="Q535" s="14" t="s">
        <v>318</v>
      </c>
      <c r="R535" s="18"/>
      <c r="S535" s="15"/>
      <c r="T535" s="15"/>
      <c r="U535" s="15"/>
      <c r="V535" s="15"/>
    </row>
    <row r="536" spans="1:22" x14ac:dyDescent="0.25">
      <c r="A536" s="14" t="s">
        <v>13</v>
      </c>
      <c r="B536" s="14" t="s">
        <v>3392</v>
      </c>
      <c r="C536" s="14" t="s">
        <v>3393</v>
      </c>
      <c r="D536" s="14" t="s">
        <v>3394</v>
      </c>
      <c r="E536" s="14">
        <v>2020</v>
      </c>
      <c r="F536" s="14">
        <v>18</v>
      </c>
      <c r="G536" s="14">
        <v>6</v>
      </c>
      <c r="H536" s="14" t="s">
        <v>3395</v>
      </c>
      <c r="I536" s="14" t="s">
        <v>3396</v>
      </c>
      <c r="J536" s="14">
        <v>2020</v>
      </c>
      <c r="K536" s="18"/>
      <c r="L536" s="18"/>
      <c r="M536" s="14" t="s">
        <v>3397</v>
      </c>
      <c r="N536" s="17" t="s">
        <v>3398</v>
      </c>
      <c r="O536" s="14" t="s">
        <v>3399</v>
      </c>
      <c r="P536" s="14" t="s">
        <v>3400</v>
      </c>
      <c r="Q536" s="14" t="s">
        <v>3401</v>
      </c>
      <c r="R536" s="18"/>
      <c r="S536" s="15"/>
      <c r="T536" s="15"/>
      <c r="U536" s="15"/>
      <c r="V536" s="15"/>
    </row>
    <row r="537" spans="1:22" x14ac:dyDescent="0.25">
      <c r="A537" s="14" t="s">
        <v>539</v>
      </c>
      <c r="B537" s="14" t="s">
        <v>3402</v>
      </c>
      <c r="C537" s="14" t="s">
        <v>3403</v>
      </c>
      <c r="D537" s="18"/>
      <c r="E537" s="14">
        <v>2020</v>
      </c>
      <c r="F537" s="18"/>
      <c r="G537" s="18"/>
      <c r="H537" s="18"/>
      <c r="I537" s="14" t="s">
        <v>1465</v>
      </c>
      <c r="J537" s="14">
        <v>2020</v>
      </c>
      <c r="K537" s="14">
        <v>9781799851028</v>
      </c>
      <c r="L537" s="14">
        <v>9781799851011</v>
      </c>
      <c r="M537" s="18"/>
      <c r="N537" s="17" t="s">
        <v>3404</v>
      </c>
      <c r="O537" s="14" t="s">
        <v>3405</v>
      </c>
      <c r="P537" s="14" t="s">
        <v>3406</v>
      </c>
      <c r="Q537" s="14" t="s">
        <v>3407</v>
      </c>
      <c r="R537" s="14" t="s">
        <v>3408</v>
      </c>
      <c r="S537" s="15"/>
      <c r="T537" s="15"/>
      <c r="U537" s="15"/>
      <c r="V537" s="15"/>
    </row>
    <row r="538" spans="1:22" x14ac:dyDescent="0.25">
      <c r="A538" s="14" t="s">
        <v>141</v>
      </c>
      <c r="B538" s="14" t="s">
        <v>3409</v>
      </c>
      <c r="C538" s="14" t="s">
        <v>3410</v>
      </c>
      <c r="D538" s="18"/>
      <c r="E538" s="14">
        <v>2021</v>
      </c>
      <c r="F538" s="21">
        <v>44317</v>
      </c>
      <c r="G538" s="18"/>
      <c r="H538" s="14" t="s">
        <v>3411</v>
      </c>
      <c r="I538" s="14" t="s">
        <v>196</v>
      </c>
      <c r="J538" s="14">
        <v>2021</v>
      </c>
      <c r="K538" s="14">
        <v>9781665414036</v>
      </c>
      <c r="L538" s="18"/>
      <c r="M538" s="18"/>
      <c r="N538" s="17" t="s">
        <v>3412</v>
      </c>
      <c r="O538" s="14" t="s">
        <v>3413</v>
      </c>
      <c r="P538" s="14" t="s">
        <v>3414</v>
      </c>
      <c r="Q538" s="14" t="s">
        <v>1813</v>
      </c>
      <c r="R538" s="18"/>
      <c r="S538" s="15"/>
      <c r="T538" s="15"/>
      <c r="U538" s="15"/>
      <c r="V538" s="15"/>
    </row>
    <row r="539" spans="1:22" x14ac:dyDescent="0.25">
      <c r="A539" s="14" t="s">
        <v>141</v>
      </c>
      <c r="B539" s="14" t="s">
        <v>3415</v>
      </c>
      <c r="C539" s="14" t="s">
        <v>3416</v>
      </c>
      <c r="D539" s="18"/>
      <c r="E539" s="14">
        <v>2020</v>
      </c>
      <c r="F539" s="18"/>
      <c r="G539" s="18"/>
      <c r="H539" s="14" t="s">
        <v>3417</v>
      </c>
      <c r="I539" s="14" t="s">
        <v>145</v>
      </c>
      <c r="J539" s="14">
        <v>2020</v>
      </c>
      <c r="K539" s="14">
        <v>9781450387538</v>
      </c>
      <c r="L539" s="18"/>
      <c r="M539" s="18"/>
      <c r="N539" s="17" t="s">
        <v>3418</v>
      </c>
      <c r="O539" s="14" t="s">
        <v>3419</v>
      </c>
      <c r="P539" s="14" t="s">
        <v>3420</v>
      </c>
      <c r="Q539" s="14" t="s">
        <v>318</v>
      </c>
      <c r="R539" s="18"/>
      <c r="S539" s="15"/>
      <c r="T539" s="15"/>
      <c r="U539" s="15"/>
      <c r="V539" s="15"/>
    </row>
    <row r="540" spans="1:22" x14ac:dyDescent="0.25">
      <c r="A540" s="14" t="s">
        <v>141</v>
      </c>
      <c r="B540" s="14" t="s">
        <v>3421</v>
      </c>
      <c r="C540" s="14" t="s">
        <v>3422</v>
      </c>
      <c r="D540" s="18"/>
      <c r="E540" s="14">
        <v>2021</v>
      </c>
      <c r="F540" s="18"/>
      <c r="G540" s="18"/>
      <c r="H540" s="14" t="s">
        <v>3423</v>
      </c>
      <c r="I540" s="14" t="s">
        <v>257</v>
      </c>
      <c r="J540" s="14">
        <v>2021</v>
      </c>
      <c r="K540" s="14">
        <v>9781665444705</v>
      </c>
      <c r="L540" s="18"/>
      <c r="M540" s="18"/>
      <c r="N540" s="17" t="s">
        <v>3424</v>
      </c>
      <c r="O540" s="14" t="s">
        <v>3425</v>
      </c>
      <c r="P540" s="14" t="s">
        <v>3426</v>
      </c>
      <c r="Q540" s="14" t="s">
        <v>404</v>
      </c>
      <c r="R540" s="18"/>
      <c r="S540" s="15"/>
      <c r="T540" s="15"/>
      <c r="U540" s="15"/>
      <c r="V540" s="15"/>
    </row>
    <row r="541" spans="1:22" x14ac:dyDescent="0.25">
      <c r="A541" s="14" t="s">
        <v>13</v>
      </c>
      <c r="B541" s="14" t="s">
        <v>3427</v>
      </c>
      <c r="C541" s="14" t="s">
        <v>3428</v>
      </c>
      <c r="D541" s="14" t="s">
        <v>3429</v>
      </c>
      <c r="E541" s="14">
        <v>2021</v>
      </c>
      <c r="F541" s="14">
        <v>21</v>
      </c>
      <c r="G541" s="14">
        <v>4</v>
      </c>
      <c r="H541" s="14" t="s">
        <v>3430</v>
      </c>
      <c r="I541" s="14" t="s">
        <v>3431</v>
      </c>
      <c r="J541" s="14">
        <v>2021</v>
      </c>
      <c r="K541" s="18"/>
      <c r="L541" s="18"/>
      <c r="M541" s="14" t="s">
        <v>956</v>
      </c>
      <c r="N541" s="17" t="s">
        <v>3432</v>
      </c>
      <c r="O541" s="14" t="s">
        <v>3433</v>
      </c>
      <c r="P541" s="14" t="s">
        <v>3434</v>
      </c>
      <c r="Q541" s="14" t="s">
        <v>3435</v>
      </c>
      <c r="R541" s="18"/>
      <c r="S541" s="15"/>
      <c r="T541" s="15"/>
      <c r="U541" s="15"/>
      <c r="V541" s="15"/>
    </row>
    <row r="542" spans="1:22" x14ac:dyDescent="0.25">
      <c r="A542" s="14" t="s">
        <v>13</v>
      </c>
      <c r="B542" s="14" t="s">
        <v>3436</v>
      </c>
      <c r="C542" s="14" t="s">
        <v>3437</v>
      </c>
      <c r="D542" s="14" t="s">
        <v>3438</v>
      </c>
      <c r="E542" s="14">
        <v>2020</v>
      </c>
      <c r="F542" s="14">
        <v>22</v>
      </c>
      <c r="G542" s="14">
        <v>10</v>
      </c>
      <c r="H542" s="14" t="s">
        <v>3439</v>
      </c>
      <c r="I542" s="14" t="s">
        <v>3431</v>
      </c>
      <c r="J542" s="14">
        <v>2020</v>
      </c>
      <c r="K542" s="18"/>
      <c r="L542" s="18"/>
      <c r="M542" s="14" t="s">
        <v>3440</v>
      </c>
      <c r="N542" s="17" t="s">
        <v>3441</v>
      </c>
      <c r="O542" s="14" t="s">
        <v>3442</v>
      </c>
      <c r="P542" s="14" t="s">
        <v>3443</v>
      </c>
      <c r="Q542" s="14" t="s">
        <v>960</v>
      </c>
      <c r="R542" s="18"/>
      <c r="S542" s="15"/>
      <c r="T542" s="15"/>
      <c r="U542" s="15"/>
      <c r="V542" s="15"/>
    </row>
    <row r="543" spans="1:22" x14ac:dyDescent="0.25">
      <c r="A543" s="14" t="s">
        <v>13</v>
      </c>
      <c r="B543" s="14" t="s">
        <v>3436</v>
      </c>
      <c r="C543" s="14" t="s">
        <v>3444</v>
      </c>
      <c r="D543" s="14" t="s">
        <v>3445</v>
      </c>
      <c r="E543" s="14">
        <v>2020</v>
      </c>
      <c r="F543" s="14">
        <v>15</v>
      </c>
      <c r="G543" s="14" t="s">
        <v>3446</v>
      </c>
      <c r="H543" s="18"/>
      <c r="I543" s="14" t="s">
        <v>3447</v>
      </c>
      <c r="J543" s="14">
        <v>2020</v>
      </c>
      <c r="K543" s="18"/>
      <c r="L543" s="18"/>
      <c r="M543" s="14" t="s">
        <v>3448</v>
      </c>
      <c r="N543" s="17" t="s">
        <v>3449</v>
      </c>
      <c r="O543" s="14" t="s">
        <v>3450</v>
      </c>
      <c r="P543" s="14" t="s">
        <v>3451</v>
      </c>
      <c r="Q543" s="14" t="s">
        <v>3452</v>
      </c>
      <c r="R543" s="18"/>
      <c r="S543" s="15"/>
      <c r="T543" s="15"/>
      <c r="U543" s="15"/>
      <c r="V543" s="15"/>
    </row>
    <row r="544" spans="1:22" x14ac:dyDescent="0.25">
      <c r="A544" s="14" t="s">
        <v>13</v>
      </c>
      <c r="B544" s="14" t="s">
        <v>3453</v>
      </c>
      <c r="C544" s="14" t="s">
        <v>3454</v>
      </c>
      <c r="D544" s="14" t="s">
        <v>3455</v>
      </c>
      <c r="E544" s="14">
        <v>2021</v>
      </c>
      <c r="F544" s="18"/>
      <c r="G544" s="18"/>
      <c r="H544" s="14" t="s">
        <v>3456</v>
      </c>
      <c r="I544" s="14" t="s">
        <v>212</v>
      </c>
      <c r="J544" s="14">
        <v>2021</v>
      </c>
      <c r="K544" s="18"/>
      <c r="L544" s="18"/>
      <c r="M544" s="14" t="s">
        <v>3457</v>
      </c>
      <c r="N544" s="17" t="s">
        <v>3458</v>
      </c>
      <c r="O544" s="14" t="s">
        <v>3459</v>
      </c>
      <c r="P544" s="14" t="s">
        <v>3460</v>
      </c>
      <c r="Q544" s="14" t="s">
        <v>157</v>
      </c>
      <c r="R544" s="18"/>
      <c r="S544" s="15"/>
      <c r="T544" s="15"/>
      <c r="U544" s="15"/>
      <c r="V544" s="15"/>
    </row>
    <row r="545" spans="1:22" x14ac:dyDescent="0.25">
      <c r="A545" s="14" t="s">
        <v>141</v>
      </c>
      <c r="B545" s="14" t="s">
        <v>3461</v>
      </c>
      <c r="C545" s="14" t="s">
        <v>3462</v>
      </c>
      <c r="D545" s="18"/>
      <c r="E545" s="14">
        <v>2020</v>
      </c>
      <c r="F545" s="18"/>
      <c r="G545" s="18"/>
      <c r="H545" s="14" t="s">
        <v>3463</v>
      </c>
      <c r="I545" s="14" t="s">
        <v>257</v>
      </c>
      <c r="J545" s="14">
        <v>2020</v>
      </c>
      <c r="K545" s="14">
        <v>9781728141442</v>
      </c>
      <c r="L545" s="18"/>
      <c r="M545" s="18"/>
      <c r="N545" s="17" t="s">
        <v>3464</v>
      </c>
      <c r="O545" s="14" t="s">
        <v>3465</v>
      </c>
      <c r="P545" s="14" t="s">
        <v>3466</v>
      </c>
      <c r="Q545" s="14" t="s">
        <v>1094</v>
      </c>
      <c r="R545" s="18"/>
      <c r="S545" s="15"/>
      <c r="T545" s="15"/>
      <c r="U545" s="15"/>
      <c r="V545" s="15"/>
    </row>
    <row r="546" spans="1:22" x14ac:dyDescent="0.25">
      <c r="A546" s="14" t="s">
        <v>141</v>
      </c>
      <c r="B546" s="14" t="s">
        <v>3467</v>
      </c>
      <c r="C546" s="14" t="s">
        <v>3468</v>
      </c>
      <c r="D546" s="18"/>
      <c r="E546" s="14">
        <v>2020</v>
      </c>
      <c r="F546" s="18"/>
      <c r="G546" s="18"/>
      <c r="H546" s="14" t="s">
        <v>3469</v>
      </c>
      <c r="I546" s="14" t="s">
        <v>153</v>
      </c>
      <c r="J546" s="14">
        <v>2020</v>
      </c>
      <c r="K546" s="14">
        <v>9781450370431</v>
      </c>
      <c r="L546" s="18"/>
      <c r="M546" s="18"/>
      <c r="N546" s="17" t="s">
        <v>3470</v>
      </c>
      <c r="O546" s="14" t="s">
        <v>3471</v>
      </c>
      <c r="P546" s="14" t="s">
        <v>3472</v>
      </c>
      <c r="Q546" s="14" t="s">
        <v>1656</v>
      </c>
      <c r="R546" s="18"/>
      <c r="S546" s="15"/>
      <c r="T546" s="15"/>
      <c r="U546" s="15"/>
      <c r="V546" s="15"/>
    </row>
    <row r="547" spans="1:22" x14ac:dyDescent="0.25">
      <c r="A547" s="14" t="s">
        <v>13</v>
      </c>
      <c r="B547" s="14" t="s">
        <v>3473</v>
      </c>
      <c r="C547" s="14" t="s">
        <v>3474</v>
      </c>
      <c r="D547" s="14" t="s">
        <v>3475</v>
      </c>
      <c r="E547" s="14">
        <v>2021</v>
      </c>
      <c r="F547" s="14" t="s">
        <v>3476</v>
      </c>
      <c r="G547" s="18"/>
      <c r="H547" s="14" t="s">
        <v>3477</v>
      </c>
      <c r="I547" s="14" t="s">
        <v>212</v>
      </c>
      <c r="J547" s="14">
        <v>2021</v>
      </c>
      <c r="K547" s="18"/>
      <c r="L547" s="18"/>
      <c r="M547" s="14" t="s">
        <v>3478</v>
      </c>
      <c r="N547" s="17" t="s">
        <v>3479</v>
      </c>
      <c r="O547" s="14" t="s">
        <v>3480</v>
      </c>
      <c r="P547" s="14" t="s">
        <v>3481</v>
      </c>
      <c r="Q547" s="14" t="s">
        <v>318</v>
      </c>
      <c r="R547" s="18"/>
      <c r="S547" s="15"/>
      <c r="T547" s="15"/>
      <c r="U547" s="15"/>
      <c r="V547" s="15"/>
    </row>
    <row r="548" spans="1:22" x14ac:dyDescent="0.25">
      <c r="A548" s="14" t="s">
        <v>141</v>
      </c>
      <c r="B548" s="14" t="s">
        <v>1130</v>
      </c>
      <c r="C548" s="14" t="s">
        <v>3482</v>
      </c>
      <c r="D548" s="18"/>
      <c r="E548" s="14">
        <v>2021</v>
      </c>
      <c r="F548" s="21">
        <v>44317</v>
      </c>
      <c r="G548" s="18"/>
      <c r="H548" s="14" t="s">
        <v>3483</v>
      </c>
      <c r="I548" s="14" t="s">
        <v>196</v>
      </c>
      <c r="J548" s="14">
        <v>2021</v>
      </c>
      <c r="K548" s="14">
        <v>9781665414036</v>
      </c>
      <c r="L548" s="18"/>
      <c r="M548" s="18"/>
      <c r="N548" s="17" t="s">
        <v>3484</v>
      </c>
      <c r="O548" s="14" t="s">
        <v>3485</v>
      </c>
      <c r="P548" s="14" t="s">
        <v>3486</v>
      </c>
      <c r="Q548" s="14" t="s">
        <v>1598</v>
      </c>
      <c r="R548" s="18"/>
      <c r="S548" s="15"/>
      <c r="T548" s="15"/>
      <c r="U548" s="15"/>
      <c r="V548" s="15"/>
    </row>
    <row r="549" spans="1:22" x14ac:dyDescent="0.25">
      <c r="A549" s="14" t="s">
        <v>141</v>
      </c>
      <c r="B549" s="14" t="s">
        <v>3487</v>
      </c>
      <c r="C549" s="14" t="s">
        <v>3488</v>
      </c>
      <c r="D549" s="18"/>
      <c r="E549" s="14">
        <v>2020</v>
      </c>
      <c r="F549" s="18"/>
      <c r="G549" s="18"/>
      <c r="H549" s="14" t="s">
        <v>3489</v>
      </c>
      <c r="I549" s="14" t="s">
        <v>257</v>
      </c>
      <c r="J549" s="14">
        <v>2020</v>
      </c>
      <c r="K549" s="14">
        <v>9781728192796</v>
      </c>
      <c r="L549" s="18"/>
      <c r="M549" s="18"/>
      <c r="N549" s="17" t="s">
        <v>3490</v>
      </c>
      <c r="O549" s="14" t="s">
        <v>3491</v>
      </c>
      <c r="P549" s="14" t="s">
        <v>3492</v>
      </c>
      <c r="Q549" s="14" t="s">
        <v>318</v>
      </c>
      <c r="R549" s="18"/>
      <c r="S549" s="15"/>
      <c r="T549" s="15"/>
      <c r="U549" s="15"/>
      <c r="V549" s="15"/>
    </row>
    <row r="550" spans="1:22" x14ac:dyDescent="0.25">
      <c r="A550" s="14" t="s">
        <v>13</v>
      </c>
      <c r="B550" s="14" t="s">
        <v>3493</v>
      </c>
      <c r="C550" s="14" t="s">
        <v>3494</v>
      </c>
      <c r="D550" s="14" t="s">
        <v>668</v>
      </c>
      <c r="E550" s="14">
        <v>2021</v>
      </c>
      <c r="F550" s="14">
        <v>9</v>
      </c>
      <c r="G550" s="18"/>
      <c r="H550" s="14" t="s">
        <v>3495</v>
      </c>
      <c r="I550" s="14" t="s">
        <v>257</v>
      </c>
      <c r="J550" s="14">
        <v>2021</v>
      </c>
      <c r="K550" s="18"/>
      <c r="L550" s="18"/>
      <c r="M550" s="14" t="s">
        <v>670</v>
      </c>
      <c r="N550" s="17" t="s">
        <v>3496</v>
      </c>
      <c r="O550" s="14" t="s">
        <v>3497</v>
      </c>
      <c r="P550" s="14" t="s">
        <v>3498</v>
      </c>
      <c r="Q550" s="14" t="s">
        <v>3499</v>
      </c>
      <c r="R550" s="18"/>
      <c r="S550" s="15"/>
      <c r="T550" s="15"/>
      <c r="U550" s="15"/>
      <c r="V550" s="15"/>
    </row>
    <row r="551" spans="1:22" x14ac:dyDescent="0.25">
      <c r="A551" s="14" t="s">
        <v>141</v>
      </c>
      <c r="B551" s="14" t="s">
        <v>3500</v>
      </c>
      <c r="C551" s="14" t="s">
        <v>3501</v>
      </c>
      <c r="D551" s="18"/>
      <c r="E551" s="14">
        <v>2020</v>
      </c>
      <c r="F551" s="21">
        <v>44105</v>
      </c>
      <c r="G551" s="18"/>
      <c r="H551" s="14" t="s">
        <v>3024</v>
      </c>
      <c r="I551" s="14" t="s">
        <v>196</v>
      </c>
      <c r="J551" s="14">
        <v>2020</v>
      </c>
      <c r="K551" s="14">
        <v>9781728198705</v>
      </c>
      <c r="L551" s="18"/>
      <c r="M551" s="14" t="s">
        <v>2680</v>
      </c>
      <c r="N551" s="17" t="s">
        <v>3502</v>
      </c>
      <c r="O551" s="14" t="s">
        <v>3503</v>
      </c>
      <c r="P551" s="14" t="s">
        <v>3504</v>
      </c>
      <c r="Q551" s="14" t="s">
        <v>2811</v>
      </c>
      <c r="R551" s="18"/>
      <c r="S551" s="15"/>
      <c r="T551" s="15"/>
      <c r="U551" s="15"/>
      <c r="V551" s="15"/>
    </row>
    <row r="552" spans="1:22" x14ac:dyDescent="0.25">
      <c r="A552" s="14" t="s">
        <v>141</v>
      </c>
      <c r="B552" s="14" t="s">
        <v>3505</v>
      </c>
      <c r="C552" s="14" t="s">
        <v>3506</v>
      </c>
      <c r="D552" s="18"/>
      <c r="E552" s="14">
        <v>2021</v>
      </c>
      <c r="F552" s="18"/>
      <c r="G552" s="18"/>
      <c r="H552" s="14" t="s">
        <v>3507</v>
      </c>
      <c r="I552" s="14" t="s">
        <v>145</v>
      </c>
      <c r="J552" s="14">
        <v>2021</v>
      </c>
      <c r="K552" s="14">
        <v>9781450381048</v>
      </c>
      <c r="L552" s="18"/>
      <c r="M552" s="18"/>
      <c r="N552" s="17" t="s">
        <v>3508</v>
      </c>
      <c r="O552" s="14" t="s">
        <v>3509</v>
      </c>
      <c r="P552" s="14" t="s">
        <v>3510</v>
      </c>
      <c r="Q552" s="14" t="s">
        <v>318</v>
      </c>
      <c r="R552" s="18"/>
      <c r="S552" s="15"/>
      <c r="T552" s="15"/>
      <c r="U552" s="15"/>
      <c r="V552" s="15"/>
    </row>
    <row r="553" spans="1:22" x14ac:dyDescent="0.25">
      <c r="A553" s="14" t="s">
        <v>13</v>
      </c>
      <c r="B553" s="14" t="s">
        <v>3511</v>
      </c>
      <c r="C553" s="14" t="s">
        <v>3512</v>
      </c>
      <c r="D553" s="14" t="s">
        <v>1870</v>
      </c>
      <c r="E553" s="14">
        <v>2021</v>
      </c>
      <c r="F553" s="14" t="s">
        <v>3513</v>
      </c>
      <c r="G553" s="18"/>
      <c r="H553" s="14" t="s">
        <v>3514</v>
      </c>
      <c r="I553" s="14" t="s">
        <v>212</v>
      </c>
      <c r="J553" s="14">
        <v>2021</v>
      </c>
      <c r="K553" s="18"/>
      <c r="L553" s="18"/>
      <c r="M553" s="14" t="s">
        <v>1873</v>
      </c>
      <c r="N553" s="17" t="s">
        <v>3515</v>
      </c>
      <c r="O553" s="14" t="s">
        <v>3516</v>
      </c>
      <c r="P553" s="14" t="s">
        <v>3517</v>
      </c>
      <c r="Q553" s="14" t="s">
        <v>1656</v>
      </c>
      <c r="R553" s="18"/>
      <c r="S553" s="15"/>
      <c r="T553" s="15"/>
      <c r="U553" s="15"/>
      <c r="V553" s="15"/>
    </row>
    <row r="554" spans="1:22" x14ac:dyDescent="0.25">
      <c r="A554" s="14" t="s">
        <v>141</v>
      </c>
      <c r="B554" s="14" t="s">
        <v>3518</v>
      </c>
      <c r="C554" s="14" t="s">
        <v>3519</v>
      </c>
      <c r="D554" s="18"/>
      <c r="E554" s="14">
        <v>2021</v>
      </c>
      <c r="F554" s="21">
        <v>44531</v>
      </c>
      <c r="G554" s="18"/>
      <c r="H554" s="14" t="s">
        <v>3520</v>
      </c>
      <c r="I554" s="14" t="s">
        <v>196</v>
      </c>
      <c r="J554" s="14">
        <v>2021</v>
      </c>
      <c r="K554" s="14">
        <v>9781665437844</v>
      </c>
      <c r="L554" s="18"/>
      <c r="M554" s="14" t="s">
        <v>3521</v>
      </c>
      <c r="N554" s="17" t="s">
        <v>3522</v>
      </c>
      <c r="O554" s="14" t="s">
        <v>3523</v>
      </c>
      <c r="P554" s="14" t="s">
        <v>3524</v>
      </c>
      <c r="Q554" s="14" t="s">
        <v>157</v>
      </c>
      <c r="R554" s="18"/>
      <c r="S554" s="15"/>
      <c r="T554" s="15"/>
      <c r="U554" s="15"/>
      <c r="V554" s="15"/>
    </row>
    <row r="555" spans="1:22" x14ac:dyDescent="0.25">
      <c r="A555" s="14" t="s">
        <v>141</v>
      </c>
      <c r="B555" s="14" t="s">
        <v>3525</v>
      </c>
      <c r="C555" s="14" t="s">
        <v>3526</v>
      </c>
      <c r="D555" s="18"/>
      <c r="E555" s="14">
        <v>2021</v>
      </c>
      <c r="F555" s="18"/>
      <c r="G555" s="18"/>
      <c r="H555" s="14" t="s">
        <v>3527</v>
      </c>
      <c r="I555" s="14" t="s">
        <v>257</v>
      </c>
      <c r="J555" s="14">
        <v>2021</v>
      </c>
      <c r="K555" s="14">
        <v>9781728195155</v>
      </c>
      <c r="L555" s="18"/>
      <c r="M555" s="18"/>
      <c r="N555" s="17" t="s">
        <v>3528</v>
      </c>
      <c r="O555" s="14" t="s">
        <v>3529</v>
      </c>
      <c r="P555" s="14" t="s">
        <v>3530</v>
      </c>
      <c r="Q555" s="14" t="s">
        <v>157</v>
      </c>
      <c r="R555" s="18"/>
      <c r="S555" s="15"/>
      <c r="T555" s="15"/>
      <c r="U555" s="15"/>
      <c r="V555" s="15"/>
    </row>
    <row r="556" spans="1:22" x14ac:dyDescent="0.25">
      <c r="A556" s="14" t="s">
        <v>141</v>
      </c>
      <c r="B556" s="14" t="s">
        <v>3531</v>
      </c>
      <c r="C556" s="14" t="s">
        <v>3532</v>
      </c>
      <c r="D556" s="18"/>
      <c r="E556" s="14">
        <v>2021</v>
      </c>
      <c r="F556" s="18"/>
      <c r="G556" s="18"/>
      <c r="H556" s="14" t="s">
        <v>3533</v>
      </c>
      <c r="I556" s="14" t="s">
        <v>257</v>
      </c>
      <c r="J556" s="14">
        <v>2021</v>
      </c>
      <c r="K556" s="14">
        <v>9781665448970</v>
      </c>
      <c r="L556" s="18"/>
      <c r="M556" s="18"/>
      <c r="N556" s="17" t="s">
        <v>3534</v>
      </c>
      <c r="O556" s="14" t="s">
        <v>3535</v>
      </c>
      <c r="P556" s="14" t="s">
        <v>3536</v>
      </c>
      <c r="Q556" s="14" t="s">
        <v>157</v>
      </c>
      <c r="R556" s="18"/>
      <c r="S556" s="15"/>
      <c r="T556" s="15"/>
      <c r="U556" s="15"/>
      <c r="V556" s="15"/>
    </row>
    <row r="557" spans="1:22" x14ac:dyDescent="0.25">
      <c r="A557" s="14" t="s">
        <v>141</v>
      </c>
      <c r="B557" s="14" t="s">
        <v>3537</v>
      </c>
      <c r="C557" s="14" t="s">
        <v>3538</v>
      </c>
      <c r="D557" s="18"/>
      <c r="E557" s="14">
        <v>2020</v>
      </c>
      <c r="F557" s="18"/>
      <c r="G557" s="18"/>
      <c r="H557" s="14" t="s">
        <v>3539</v>
      </c>
      <c r="I557" s="14" t="s">
        <v>257</v>
      </c>
      <c r="J557" s="14">
        <v>2020</v>
      </c>
      <c r="K557" s="14">
        <v>9781665414852</v>
      </c>
      <c r="L557" s="18"/>
      <c r="M557" s="18"/>
      <c r="N557" s="17" t="s">
        <v>3540</v>
      </c>
      <c r="O557" s="14" t="s">
        <v>3541</v>
      </c>
      <c r="P557" s="14" t="s">
        <v>3542</v>
      </c>
      <c r="Q557" s="14" t="s">
        <v>176</v>
      </c>
      <c r="R557" s="18"/>
      <c r="S557" s="15"/>
      <c r="T557" s="15"/>
      <c r="U557" s="15"/>
      <c r="V557" s="15"/>
    </row>
    <row r="558" spans="1:22" x14ac:dyDescent="0.25">
      <c r="A558" s="14" t="s">
        <v>13</v>
      </c>
      <c r="B558" s="14" t="s">
        <v>3543</v>
      </c>
      <c r="C558" s="14" t="s">
        <v>3544</v>
      </c>
      <c r="D558" s="14" t="s">
        <v>523</v>
      </c>
      <c r="E558" s="14">
        <v>2021</v>
      </c>
      <c r="F558" s="14">
        <v>29</v>
      </c>
      <c r="G558" s="14">
        <v>1</v>
      </c>
      <c r="H558" s="14" t="s">
        <v>3545</v>
      </c>
      <c r="I558" s="14" t="s">
        <v>137</v>
      </c>
      <c r="J558" s="14">
        <v>2021</v>
      </c>
      <c r="K558" s="18"/>
      <c r="L558" s="18"/>
      <c r="M558" s="14" t="s">
        <v>525</v>
      </c>
      <c r="N558" s="17" t="s">
        <v>3546</v>
      </c>
      <c r="O558" s="14" t="s">
        <v>3547</v>
      </c>
      <c r="P558" s="14" t="s">
        <v>3548</v>
      </c>
      <c r="Q558" s="14" t="s">
        <v>2723</v>
      </c>
      <c r="R558" s="18"/>
      <c r="S558" s="15"/>
      <c r="T558" s="15"/>
      <c r="U558" s="15"/>
      <c r="V558" s="15"/>
    </row>
    <row r="559" spans="1:22" x14ac:dyDescent="0.25">
      <c r="A559" s="14" t="s">
        <v>141</v>
      </c>
      <c r="B559" s="14" t="s">
        <v>3549</v>
      </c>
      <c r="C559" s="14" t="s">
        <v>3550</v>
      </c>
      <c r="D559" s="18"/>
      <c r="E559" s="14">
        <v>2021</v>
      </c>
      <c r="F559" s="21">
        <v>43831</v>
      </c>
      <c r="G559" s="18"/>
      <c r="H559" s="14" t="s">
        <v>3551</v>
      </c>
      <c r="I559" s="14" t="s">
        <v>196</v>
      </c>
      <c r="J559" s="14">
        <v>2021</v>
      </c>
      <c r="K559" s="14">
        <v>9780998133140</v>
      </c>
      <c r="L559" s="18"/>
      <c r="M559" s="14" t="s">
        <v>3552</v>
      </c>
      <c r="N559" s="17" t="s">
        <v>3553</v>
      </c>
      <c r="O559" s="18"/>
      <c r="P559" s="14" t="s">
        <v>3554</v>
      </c>
      <c r="Q559" s="14" t="s">
        <v>157</v>
      </c>
      <c r="R559" s="18"/>
      <c r="S559" s="15"/>
      <c r="T559" s="15"/>
      <c r="U559" s="15"/>
      <c r="V559" s="15"/>
    </row>
    <row r="560" spans="1:22" x14ac:dyDescent="0.25">
      <c r="A560" s="14" t="s">
        <v>13</v>
      </c>
      <c r="B560" s="14" t="s">
        <v>3555</v>
      </c>
      <c r="C560" s="14" t="s">
        <v>3556</v>
      </c>
      <c r="D560" s="14" t="s">
        <v>255</v>
      </c>
      <c r="E560" s="14">
        <v>2021</v>
      </c>
      <c r="F560" s="14">
        <v>47</v>
      </c>
      <c r="G560" s="14">
        <v>3</v>
      </c>
      <c r="H560" s="14" t="s">
        <v>3557</v>
      </c>
      <c r="I560" s="14" t="s">
        <v>257</v>
      </c>
      <c r="J560" s="14">
        <v>2021</v>
      </c>
      <c r="K560" s="18"/>
      <c r="L560" s="18"/>
      <c r="M560" s="14" t="s">
        <v>18</v>
      </c>
      <c r="N560" s="17" t="s">
        <v>3558</v>
      </c>
      <c r="O560" s="14" t="s">
        <v>3559</v>
      </c>
      <c r="P560" s="14" t="s">
        <v>3560</v>
      </c>
      <c r="Q560" s="14" t="s">
        <v>3003</v>
      </c>
      <c r="R560" s="18"/>
      <c r="S560" s="15"/>
      <c r="T560" s="15"/>
      <c r="U560" s="15"/>
      <c r="V560" s="15"/>
    </row>
    <row r="561" spans="1:22" x14ac:dyDescent="0.25">
      <c r="A561" s="14" t="s">
        <v>141</v>
      </c>
      <c r="B561" s="14" t="s">
        <v>3561</v>
      </c>
      <c r="C561" s="14" t="s">
        <v>3562</v>
      </c>
      <c r="D561" s="18"/>
      <c r="E561" s="14">
        <v>2021</v>
      </c>
      <c r="F561" s="18"/>
      <c r="G561" s="18"/>
      <c r="H561" s="14" t="s">
        <v>3563</v>
      </c>
      <c r="I561" s="14" t="s">
        <v>257</v>
      </c>
      <c r="J561" s="14">
        <v>2021</v>
      </c>
      <c r="K561" s="14">
        <v>9781665428828</v>
      </c>
      <c r="L561" s="18"/>
      <c r="M561" s="18"/>
      <c r="N561" s="17" t="s">
        <v>3564</v>
      </c>
      <c r="O561" s="14" t="s">
        <v>3565</v>
      </c>
      <c r="P561" s="14" t="s">
        <v>3566</v>
      </c>
      <c r="Q561" s="14" t="s">
        <v>520</v>
      </c>
      <c r="R561" s="18"/>
      <c r="S561" s="15"/>
      <c r="T561" s="15"/>
      <c r="U561" s="15"/>
      <c r="V561" s="15"/>
    </row>
    <row r="562" spans="1:22" x14ac:dyDescent="0.25">
      <c r="A562" s="14" t="s">
        <v>13</v>
      </c>
      <c r="B562" s="14" t="s">
        <v>3567</v>
      </c>
      <c r="C562" s="14" t="s">
        <v>3568</v>
      </c>
      <c r="D562" s="14" t="s">
        <v>136</v>
      </c>
      <c r="E562" s="14">
        <v>2021</v>
      </c>
      <c r="F562" s="14">
        <v>26</v>
      </c>
      <c r="G562" s="14">
        <v>1</v>
      </c>
      <c r="H562" s="18"/>
      <c r="I562" s="14" t="s">
        <v>137</v>
      </c>
      <c r="J562" s="14">
        <v>2021</v>
      </c>
      <c r="K562" s="18"/>
      <c r="L562" s="18"/>
      <c r="M562" s="14" t="s">
        <v>33</v>
      </c>
      <c r="N562" s="17" t="s">
        <v>3569</v>
      </c>
      <c r="O562" s="14" t="s">
        <v>3570</v>
      </c>
      <c r="P562" s="14" t="s">
        <v>3571</v>
      </c>
      <c r="Q562" s="14" t="s">
        <v>289</v>
      </c>
      <c r="R562" s="18"/>
      <c r="S562" s="15"/>
      <c r="T562" s="15"/>
      <c r="U562" s="15"/>
      <c r="V562" s="15"/>
    </row>
    <row r="563" spans="1:22" x14ac:dyDescent="0.25">
      <c r="A563" s="14" t="s">
        <v>13</v>
      </c>
      <c r="B563" s="14" t="s">
        <v>3572</v>
      </c>
      <c r="C563" s="14" t="s">
        <v>3573</v>
      </c>
      <c r="D563" s="14" t="s">
        <v>3574</v>
      </c>
      <c r="E563" s="14">
        <v>2021</v>
      </c>
      <c r="F563" s="14">
        <v>47</v>
      </c>
      <c r="G563" s="14">
        <v>5</v>
      </c>
      <c r="H563" s="14" t="s">
        <v>3575</v>
      </c>
      <c r="I563" s="14" t="s">
        <v>3576</v>
      </c>
      <c r="J563" s="14">
        <v>2021</v>
      </c>
      <c r="K563" s="18"/>
      <c r="L563" s="18"/>
      <c r="M563" s="14" t="s">
        <v>3577</v>
      </c>
      <c r="N563" s="17" t="s">
        <v>3578</v>
      </c>
      <c r="O563" s="14" t="s">
        <v>3579</v>
      </c>
      <c r="P563" s="14" t="s">
        <v>3580</v>
      </c>
      <c r="Q563" s="14" t="s">
        <v>3581</v>
      </c>
      <c r="R563" s="18"/>
      <c r="S563" s="15"/>
      <c r="T563" s="15"/>
      <c r="U563" s="15"/>
      <c r="V563" s="15"/>
    </row>
    <row r="564" spans="1:22" x14ac:dyDescent="0.25">
      <c r="A564" s="14" t="s">
        <v>13</v>
      </c>
      <c r="B564" s="14" t="s">
        <v>3582</v>
      </c>
      <c r="C564" s="14" t="s">
        <v>3583</v>
      </c>
      <c r="D564" s="14" t="s">
        <v>3584</v>
      </c>
      <c r="E564" s="14">
        <v>2021</v>
      </c>
      <c r="F564" s="14">
        <v>198</v>
      </c>
      <c r="G564" s="18"/>
      <c r="H564" s="18"/>
      <c r="I564" s="14" t="s">
        <v>3585</v>
      </c>
      <c r="J564" s="14">
        <v>2021</v>
      </c>
      <c r="K564" s="18"/>
      <c r="L564" s="18"/>
      <c r="M564" s="14" t="s">
        <v>3586</v>
      </c>
      <c r="N564" s="17" t="s">
        <v>3587</v>
      </c>
      <c r="O564" s="14" t="s">
        <v>3588</v>
      </c>
      <c r="P564" s="14" t="s">
        <v>3589</v>
      </c>
      <c r="Q564" s="14" t="s">
        <v>1740</v>
      </c>
      <c r="R564" s="18"/>
      <c r="S564" s="15"/>
      <c r="T564" s="15"/>
      <c r="U564" s="15"/>
      <c r="V564" s="15"/>
    </row>
    <row r="565" spans="1:22" x14ac:dyDescent="0.25">
      <c r="A565" s="14" t="s">
        <v>141</v>
      </c>
      <c r="B565" s="14" t="s">
        <v>3590</v>
      </c>
      <c r="C565" s="14" t="s">
        <v>3591</v>
      </c>
      <c r="D565" s="18"/>
      <c r="E565" s="14">
        <v>2021</v>
      </c>
      <c r="F565" s="18"/>
      <c r="G565" s="18"/>
      <c r="H565" s="14" t="s">
        <v>3592</v>
      </c>
      <c r="I565" s="14" t="s">
        <v>257</v>
      </c>
      <c r="J565" s="14">
        <v>2021</v>
      </c>
      <c r="K565" s="14">
        <v>9781665403375</v>
      </c>
      <c r="L565" s="18"/>
      <c r="M565" s="18"/>
      <c r="N565" s="17" t="s">
        <v>3593</v>
      </c>
      <c r="O565" s="14" t="s">
        <v>3594</v>
      </c>
      <c r="P565" s="14" t="s">
        <v>3595</v>
      </c>
      <c r="Q565" s="14" t="s">
        <v>404</v>
      </c>
      <c r="R565" s="18"/>
      <c r="S565" s="15"/>
      <c r="T565" s="15"/>
      <c r="U565" s="15"/>
      <c r="V565" s="15"/>
    </row>
    <row r="566" spans="1:22" x14ac:dyDescent="0.25">
      <c r="A566" s="14" t="s">
        <v>141</v>
      </c>
      <c r="B566" s="14" t="s">
        <v>3596</v>
      </c>
      <c r="C566" s="14" t="s">
        <v>3597</v>
      </c>
      <c r="D566" s="18"/>
      <c r="E566" s="14">
        <v>2021</v>
      </c>
      <c r="F566" s="18"/>
      <c r="G566" s="18"/>
      <c r="H566" s="14" t="s">
        <v>3598</v>
      </c>
      <c r="I566" s="14" t="s">
        <v>153</v>
      </c>
      <c r="J566" s="14">
        <v>2021</v>
      </c>
      <c r="K566" s="14">
        <v>9781450383097</v>
      </c>
      <c r="L566" s="18"/>
      <c r="M566" s="18"/>
      <c r="N566" s="17" t="s">
        <v>3599</v>
      </c>
      <c r="O566" s="14" t="s">
        <v>3600</v>
      </c>
      <c r="P566" s="14" t="s">
        <v>3601</v>
      </c>
      <c r="Q566" s="14" t="s">
        <v>3602</v>
      </c>
      <c r="R566" s="18"/>
      <c r="S566" s="15"/>
      <c r="T566" s="15"/>
      <c r="U566" s="15"/>
      <c r="V566" s="15"/>
    </row>
    <row r="567" spans="1:22" x14ac:dyDescent="0.25">
      <c r="A567" s="14" t="s">
        <v>141</v>
      </c>
      <c r="B567" s="14" t="s">
        <v>3603</v>
      </c>
      <c r="C567" s="14" t="s">
        <v>3604</v>
      </c>
      <c r="D567" s="18"/>
      <c r="E567" s="14">
        <v>2020</v>
      </c>
      <c r="F567" s="18"/>
      <c r="G567" s="18"/>
      <c r="H567" s="14" t="s">
        <v>3605</v>
      </c>
      <c r="I567" s="14" t="s">
        <v>257</v>
      </c>
      <c r="J567" s="14">
        <v>2020</v>
      </c>
      <c r="K567" s="14">
        <v>9781665438629</v>
      </c>
      <c r="L567" s="18"/>
      <c r="M567" s="18"/>
      <c r="N567" s="17" t="s">
        <v>3606</v>
      </c>
      <c r="O567" s="14" t="s">
        <v>3607</v>
      </c>
      <c r="P567" s="14" t="s">
        <v>3608</v>
      </c>
      <c r="Q567" s="14" t="s">
        <v>157</v>
      </c>
      <c r="R567" s="18"/>
      <c r="S567" s="15"/>
      <c r="T567" s="15"/>
      <c r="U567" s="15"/>
      <c r="V567" s="15"/>
    </row>
    <row r="568" spans="1:22" x14ac:dyDescent="0.25">
      <c r="A568" s="14" t="s">
        <v>141</v>
      </c>
      <c r="B568" s="14" t="s">
        <v>3609</v>
      </c>
      <c r="C568" s="14" t="s">
        <v>3610</v>
      </c>
      <c r="D568" s="18"/>
      <c r="E568" s="14">
        <v>2020</v>
      </c>
      <c r="F568" s="18"/>
      <c r="G568" s="18"/>
      <c r="H568" s="14" t="s">
        <v>3611</v>
      </c>
      <c r="I568" s="14" t="s">
        <v>145</v>
      </c>
      <c r="J568" s="14">
        <v>2020</v>
      </c>
      <c r="K568" s="14">
        <v>9781450387538</v>
      </c>
      <c r="L568" s="18"/>
      <c r="M568" s="18"/>
      <c r="N568" s="17" t="s">
        <v>3612</v>
      </c>
      <c r="O568" s="14" t="s">
        <v>3613</v>
      </c>
      <c r="P568" s="14" t="s">
        <v>3614</v>
      </c>
      <c r="Q568" s="14" t="s">
        <v>185</v>
      </c>
      <c r="R568" s="18"/>
      <c r="S568" s="15"/>
      <c r="T568" s="15"/>
      <c r="U568" s="15"/>
      <c r="V568" s="15"/>
    </row>
    <row r="569" spans="1:22" x14ac:dyDescent="0.25">
      <c r="A569" s="14" t="s">
        <v>13</v>
      </c>
      <c r="B569" s="14" t="s">
        <v>3615</v>
      </c>
      <c r="C569" s="14" t="s">
        <v>3616</v>
      </c>
      <c r="D569" s="14" t="s">
        <v>136</v>
      </c>
      <c r="E569" s="14">
        <v>2020</v>
      </c>
      <c r="F569" s="14">
        <v>25</v>
      </c>
      <c r="G569" s="14">
        <v>5</v>
      </c>
      <c r="H569" s="14" t="s">
        <v>3617</v>
      </c>
      <c r="I569" s="14" t="s">
        <v>137</v>
      </c>
      <c r="J569" s="14">
        <v>2020</v>
      </c>
      <c r="K569" s="18"/>
      <c r="L569" s="18"/>
      <c r="M569" s="14" t="s">
        <v>33</v>
      </c>
      <c r="N569" s="17" t="s">
        <v>3618</v>
      </c>
      <c r="O569" s="14" t="s">
        <v>3619</v>
      </c>
      <c r="P569" s="14" t="s">
        <v>3620</v>
      </c>
      <c r="Q569" s="14" t="s">
        <v>413</v>
      </c>
      <c r="R569" s="18"/>
      <c r="S569" s="15"/>
      <c r="T569" s="15"/>
      <c r="U569" s="15"/>
      <c r="V569" s="15"/>
    </row>
    <row r="570" spans="1:22" x14ac:dyDescent="0.25">
      <c r="A570" s="14" t="s">
        <v>141</v>
      </c>
      <c r="B570" s="14" t="s">
        <v>3621</v>
      </c>
      <c r="C570" s="14" t="s">
        <v>3622</v>
      </c>
      <c r="D570" s="18"/>
      <c r="E570" s="14">
        <v>2020</v>
      </c>
      <c r="F570" s="18"/>
      <c r="G570" s="18"/>
      <c r="H570" s="14" t="s">
        <v>3623</v>
      </c>
      <c r="I570" s="14" t="s">
        <v>257</v>
      </c>
      <c r="J570" s="14">
        <v>2020</v>
      </c>
      <c r="K570" s="14">
        <v>9781728156194</v>
      </c>
      <c r="L570" s="18"/>
      <c r="M570" s="18"/>
      <c r="N570" s="17" t="s">
        <v>3624</v>
      </c>
      <c r="O570" s="14" t="s">
        <v>3625</v>
      </c>
      <c r="P570" s="14" t="s">
        <v>3626</v>
      </c>
      <c r="Q570" s="14" t="s">
        <v>2723</v>
      </c>
      <c r="R570" s="18"/>
      <c r="S570" s="15"/>
      <c r="T570" s="15"/>
      <c r="U570" s="15"/>
      <c r="V570" s="15"/>
    </row>
    <row r="571" spans="1:22" x14ac:dyDescent="0.25">
      <c r="A571" s="14" t="s">
        <v>13</v>
      </c>
      <c r="B571" s="14" t="s">
        <v>3627</v>
      </c>
      <c r="C571" s="14" t="s">
        <v>3628</v>
      </c>
      <c r="D571" s="14" t="s">
        <v>3629</v>
      </c>
      <c r="E571" s="14">
        <v>2020</v>
      </c>
      <c r="F571" s="14">
        <v>95</v>
      </c>
      <c r="G571" s="18"/>
      <c r="H571" s="18"/>
      <c r="I571" s="14" t="s">
        <v>1060</v>
      </c>
      <c r="J571" s="14">
        <v>2020</v>
      </c>
      <c r="K571" s="18"/>
      <c r="L571" s="18"/>
      <c r="M571" s="14" t="s">
        <v>2451</v>
      </c>
      <c r="N571" s="17" t="s">
        <v>3630</v>
      </c>
      <c r="O571" s="14" t="s">
        <v>3631</v>
      </c>
      <c r="P571" s="14" t="s">
        <v>3632</v>
      </c>
      <c r="Q571" s="14" t="s">
        <v>3633</v>
      </c>
      <c r="R571" s="18"/>
      <c r="S571" s="15"/>
      <c r="T571" s="15"/>
      <c r="U571" s="15"/>
      <c r="V571" s="15"/>
    </row>
    <row r="572" spans="1:22" x14ac:dyDescent="0.25">
      <c r="A572" s="14" t="s">
        <v>13</v>
      </c>
      <c r="B572" s="14" t="s">
        <v>3634</v>
      </c>
      <c r="C572" s="14" t="s">
        <v>3635</v>
      </c>
      <c r="D572" s="14" t="s">
        <v>354</v>
      </c>
      <c r="E572" s="14">
        <v>2020</v>
      </c>
      <c r="F572" s="14">
        <v>169</v>
      </c>
      <c r="G572" s="18"/>
      <c r="H572" s="18"/>
      <c r="I572" s="14" t="s">
        <v>355</v>
      </c>
      <c r="J572" s="14">
        <v>2020</v>
      </c>
      <c r="K572" s="18"/>
      <c r="L572" s="18"/>
      <c r="M572" s="14" t="s">
        <v>65</v>
      </c>
      <c r="N572" s="17" t="s">
        <v>3636</v>
      </c>
      <c r="O572" s="14" t="s">
        <v>3637</v>
      </c>
      <c r="P572" s="14" t="s">
        <v>3638</v>
      </c>
      <c r="Q572" s="14" t="s">
        <v>1656</v>
      </c>
      <c r="R572" s="18"/>
      <c r="S572" s="15"/>
      <c r="T572" s="15"/>
      <c r="U572" s="15"/>
      <c r="V572" s="15"/>
    </row>
    <row r="573" spans="1:22" x14ac:dyDescent="0.25">
      <c r="A573" s="14" t="s">
        <v>13</v>
      </c>
      <c r="B573" s="14" t="s">
        <v>3639</v>
      </c>
      <c r="C573" s="14" t="s">
        <v>3640</v>
      </c>
      <c r="D573" s="14" t="s">
        <v>188</v>
      </c>
      <c r="E573" s="14">
        <v>2021</v>
      </c>
      <c r="F573" s="14">
        <v>31</v>
      </c>
      <c r="G573" s="14">
        <v>1</v>
      </c>
      <c r="H573" s="14" t="s">
        <v>3641</v>
      </c>
      <c r="I573" s="14" t="s">
        <v>189</v>
      </c>
      <c r="J573" s="14">
        <v>2021</v>
      </c>
      <c r="K573" s="18"/>
      <c r="L573" s="18"/>
      <c r="M573" s="14" t="s">
        <v>73</v>
      </c>
      <c r="N573" s="17" t="s">
        <v>3642</v>
      </c>
      <c r="O573" s="14" t="s">
        <v>3643</v>
      </c>
      <c r="P573" s="14" t="s">
        <v>3644</v>
      </c>
      <c r="Q573" s="14" t="s">
        <v>318</v>
      </c>
      <c r="R573" s="18"/>
      <c r="S573" s="15"/>
      <c r="T573" s="15"/>
      <c r="U573" s="15"/>
      <c r="V573" s="15"/>
    </row>
    <row r="574" spans="1:22" x14ac:dyDescent="0.25">
      <c r="A574" s="14" t="s">
        <v>141</v>
      </c>
      <c r="B574" s="14" t="s">
        <v>3645</v>
      </c>
      <c r="C574" s="14" t="s">
        <v>3646</v>
      </c>
      <c r="D574" s="18"/>
      <c r="E574" s="14">
        <v>2020</v>
      </c>
      <c r="F574" s="18"/>
      <c r="G574" s="18"/>
      <c r="H574" s="18"/>
      <c r="I574" s="14" t="s">
        <v>145</v>
      </c>
      <c r="J574" s="14">
        <v>2020</v>
      </c>
      <c r="K574" s="14">
        <v>9781450389235</v>
      </c>
      <c r="L574" s="18"/>
      <c r="M574" s="18"/>
      <c r="N574" s="17" t="s">
        <v>3647</v>
      </c>
      <c r="O574" s="14" t="s">
        <v>3648</v>
      </c>
      <c r="P574" s="14" t="s">
        <v>3649</v>
      </c>
      <c r="Q574" s="14" t="s">
        <v>176</v>
      </c>
      <c r="R574" s="18"/>
      <c r="S574" s="15"/>
      <c r="T574" s="15"/>
      <c r="U574" s="15"/>
      <c r="V574" s="15"/>
    </row>
    <row r="575" spans="1:22" x14ac:dyDescent="0.25">
      <c r="A575" s="14" t="s">
        <v>13</v>
      </c>
      <c r="B575" s="14" t="s">
        <v>3650</v>
      </c>
      <c r="C575" s="14" t="s">
        <v>3651</v>
      </c>
      <c r="D575" s="14" t="s">
        <v>179</v>
      </c>
      <c r="E575" s="14">
        <v>2020</v>
      </c>
      <c r="F575" s="14">
        <v>35</v>
      </c>
      <c r="G575" s="14">
        <v>6</v>
      </c>
      <c r="H575" s="14" t="s">
        <v>3652</v>
      </c>
      <c r="I575" s="14" t="s">
        <v>137</v>
      </c>
      <c r="J575" s="14">
        <v>2020</v>
      </c>
      <c r="K575" s="18"/>
      <c r="L575" s="18"/>
      <c r="M575" s="14" t="s">
        <v>181</v>
      </c>
      <c r="N575" s="17" t="s">
        <v>3653</v>
      </c>
      <c r="O575" s="14" t="s">
        <v>3654</v>
      </c>
      <c r="P575" s="14" t="s">
        <v>3655</v>
      </c>
      <c r="Q575" s="14" t="s">
        <v>397</v>
      </c>
      <c r="R575" s="18"/>
      <c r="S575" s="15"/>
      <c r="T575" s="15"/>
      <c r="U575" s="15"/>
      <c r="V575" s="15"/>
    </row>
    <row r="576" spans="1:22" x14ac:dyDescent="0.25">
      <c r="A576" s="14" t="s">
        <v>141</v>
      </c>
      <c r="B576" s="14" t="s">
        <v>3656</v>
      </c>
      <c r="C576" s="14" t="s">
        <v>3657</v>
      </c>
      <c r="D576" s="18"/>
      <c r="E576" s="14">
        <v>2021</v>
      </c>
      <c r="F576" s="18"/>
      <c r="G576" s="18"/>
      <c r="H576" s="14" t="s">
        <v>3658</v>
      </c>
      <c r="I576" s="14" t="s">
        <v>257</v>
      </c>
      <c r="J576" s="14">
        <v>2021</v>
      </c>
      <c r="K576" s="14">
        <v>9781665428828</v>
      </c>
      <c r="L576" s="18"/>
      <c r="M576" s="18"/>
      <c r="N576" s="17" t="s">
        <v>3659</v>
      </c>
      <c r="O576" s="14" t="s">
        <v>3660</v>
      </c>
      <c r="P576" s="14" t="s">
        <v>3661</v>
      </c>
      <c r="Q576" s="14" t="s">
        <v>2723</v>
      </c>
      <c r="R576" s="18"/>
      <c r="S576" s="15"/>
      <c r="T576" s="15"/>
      <c r="U576" s="15"/>
      <c r="V576" s="15"/>
    </row>
    <row r="577" spans="1:22" x14ac:dyDescent="0.25">
      <c r="A577" s="14" t="s">
        <v>141</v>
      </c>
      <c r="B577" s="14" t="s">
        <v>3662</v>
      </c>
      <c r="C577" s="14" t="s">
        <v>3663</v>
      </c>
      <c r="D577" s="18"/>
      <c r="E577" s="14">
        <v>2021</v>
      </c>
      <c r="F577" s="21">
        <v>44440</v>
      </c>
      <c r="G577" s="18"/>
      <c r="H577" s="18"/>
      <c r="I577" s="14" t="s">
        <v>257</v>
      </c>
      <c r="J577" s="14">
        <v>2021</v>
      </c>
      <c r="K577" s="14">
        <v>9781728129891</v>
      </c>
      <c r="L577" s="18"/>
      <c r="M577" s="14" t="s">
        <v>3664</v>
      </c>
      <c r="N577" s="17" t="s">
        <v>3665</v>
      </c>
      <c r="O577" s="14" t="s">
        <v>3666</v>
      </c>
      <c r="P577" s="14" t="s">
        <v>3667</v>
      </c>
      <c r="Q577" s="14" t="s">
        <v>185</v>
      </c>
      <c r="R577" s="18"/>
      <c r="S577" s="15"/>
      <c r="T577" s="15"/>
      <c r="U577" s="15"/>
      <c r="V577" s="15"/>
    </row>
    <row r="578" spans="1:22" x14ac:dyDescent="0.25">
      <c r="A578" s="14" t="s">
        <v>13</v>
      </c>
      <c r="B578" s="14" t="s">
        <v>3668</v>
      </c>
      <c r="C578" s="14" t="s">
        <v>3669</v>
      </c>
      <c r="D578" s="14" t="s">
        <v>2179</v>
      </c>
      <c r="E578" s="14">
        <v>2021</v>
      </c>
      <c r="F578" s="14">
        <v>7</v>
      </c>
      <c r="G578" s="18"/>
      <c r="H578" s="14" t="s">
        <v>3670</v>
      </c>
      <c r="I578" s="14" t="s">
        <v>2180</v>
      </c>
      <c r="J578" s="14">
        <v>2021</v>
      </c>
      <c r="K578" s="18"/>
      <c r="L578" s="18"/>
      <c r="M578" s="14" t="s">
        <v>2181</v>
      </c>
      <c r="N578" s="17" t="s">
        <v>3671</v>
      </c>
      <c r="O578" s="14" t="s">
        <v>3672</v>
      </c>
      <c r="P578" s="14" t="s">
        <v>3673</v>
      </c>
      <c r="Q578" s="14" t="s">
        <v>233</v>
      </c>
      <c r="R578" s="18"/>
      <c r="S578" s="15"/>
      <c r="T578" s="15"/>
      <c r="U578" s="15"/>
      <c r="V578" s="15"/>
    </row>
    <row r="579" spans="1:22" x14ac:dyDescent="0.25">
      <c r="A579" s="14" t="s">
        <v>13</v>
      </c>
      <c r="B579" s="14" t="s">
        <v>3674</v>
      </c>
      <c r="C579" s="14" t="s">
        <v>3675</v>
      </c>
      <c r="D579" s="14" t="s">
        <v>136</v>
      </c>
      <c r="E579" s="14">
        <v>2020</v>
      </c>
      <c r="F579" s="14">
        <v>25</v>
      </c>
      <c r="G579" s="14">
        <v>6</v>
      </c>
      <c r="H579" s="14" t="s">
        <v>3676</v>
      </c>
      <c r="I579" s="14" t="s">
        <v>137</v>
      </c>
      <c r="J579" s="14">
        <v>2020</v>
      </c>
      <c r="K579" s="18"/>
      <c r="L579" s="18"/>
      <c r="M579" s="14" t="s">
        <v>33</v>
      </c>
      <c r="N579" s="17" t="s">
        <v>3677</v>
      </c>
      <c r="O579" s="14" t="s">
        <v>3678</v>
      </c>
      <c r="P579" s="14" t="s">
        <v>3679</v>
      </c>
      <c r="Q579" s="14" t="s">
        <v>3680</v>
      </c>
      <c r="R579" s="18"/>
      <c r="S579" s="15"/>
      <c r="T579" s="15"/>
      <c r="U579" s="15"/>
      <c r="V579" s="15"/>
    </row>
    <row r="580" spans="1:22" x14ac:dyDescent="0.25">
      <c r="A580" s="14" t="s">
        <v>141</v>
      </c>
      <c r="B580" s="14" t="s">
        <v>3681</v>
      </c>
      <c r="C580" s="14" t="s">
        <v>3682</v>
      </c>
      <c r="D580" s="18"/>
      <c r="E580" s="14">
        <v>2021</v>
      </c>
      <c r="F580" s="18"/>
      <c r="G580" s="18"/>
      <c r="H580" s="18"/>
      <c r="I580" s="14" t="s">
        <v>3683</v>
      </c>
      <c r="J580" s="14">
        <v>2021</v>
      </c>
      <c r="K580" s="14">
        <v>9781733632584</v>
      </c>
      <c r="L580" s="18"/>
      <c r="M580" s="18"/>
      <c r="N580" s="17" t="s">
        <v>3684</v>
      </c>
      <c r="O580" s="18"/>
      <c r="P580" s="14" t="s">
        <v>3685</v>
      </c>
      <c r="Q580" s="14" t="s">
        <v>157</v>
      </c>
      <c r="R580" s="18"/>
      <c r="S580" s="15"/>
      <c r="T580" s="15"/>
      <c r="U580" s="15"/>
      <c r="V580" s="15"/>
    </row>
    <row r="581" spans="1:22" x14ac:dyDescent="0.25">
      <c r="A581" s="14" t="s">
        <v>13</v>
      </c>
      <c r="B581" s="14" t="s">
        <v>3686</v>
      </c>
      <c r="C581" s="14" t="s">
        <v>3687</v>
      </c>
      <c r="D581" s="14" t="s">
        <v>136</v>
      </c>
      <c r="E581" s="14">
        <v>2020</v>
      </c>
      <c r="F581" s="14">
        <v>25</v>
      </c>
      <c r="G581" s="14">
        <v>5</v>
      </c>
      <c r="H581" s="14" t="s">
        <v>3688</v>
      </c>
      <c r="I581" s="14" t="s">
        <v>137</v>
      </c>
      <c r="J581" s="14">
        <v>2020</v>
      </c>
      <c r="K581" s="18"/>
      <c r="L581" s="18"/>
      <c r="M581" s="14" t="s">
        <v>33</v>
      </c>
      <c r="N581" s="17" t="s">
        <v>3689</v>
      </c>
      <c r="O581" s="14" t="s">
        <v>3690</v>
      </c>
      <c r="P581" s="14" t="s">
        <v>3691</v>
      </c>
      <c r="Q581" s="14" t="s">
        <v>2997</v>
      </c>
      <c r="R581" s="18"/>
      <c r="S581" s="15"/>
      <c r="T581" s="15"/>
      <c r="U581" s="15"/>
      <c r="V581" s="15"/>
    </row>
    <row r="582" spans="1:22" x14ac:dyDescent="0.25">
      <c r="A582" s="14" t="s">
        <v>13</v>
      </c>
      <c r="B582" s="14" t="s">
        <v>3692</v>
      </c>
      <c r="C582" s="14" t="s">
        <v>3693</v>
      </c>
      <c r="D582" s="14" t="s">
        <v>1870</v>
      </c>
      <c r="E582" s="14">
        <v>2021</v>
      </c>
      <c r="F582" s="14">
        <v>404</v>
      </c>
      <c r="G582" s="18"/>
      <c r="H582" s="14" t="s">
        <v>3694</v>
      </c>
      <c r="I582" s="14" t="s">
        <v>212</v>
      </c>
      <c r="J582" s="14">
        <v>2021</v>
      </c>
      <c r="K582" s="18"/>
      <c r="L582" s="18"/>
      <c r="M582" s="14" t="s">
        <v>1873</v>
      </c>
      <c r="N582" s="17" t="s">
        <v>3695</v>
      </c>
      <c r="O582" s="14" t="s">
        <v>3696</v>
      </c>
      <c r="P582" s="14" t="s">
        <v>3697</v>
      </c>
      <c r="Q582" s="14" t="s">
        <v>1598</v>
      </c>
      <c r="R582" s="18"/>
      <c r="S582" s="15"/>
      <c r="T582" s="15"/>
      <c r="U582" s="15"/>
      <c r="V582" s="15"/>
    </row>
    <row r="583" spans="1:22" x14ac:dyDescent="0.25">
      <c r="A583" s="14" t="s">
        <v>141</v>
      </c>
      <c r="B583" s="14" t="s">
        <v>3344</v>
      </c>
      <c r="C583" s="14" t="s">
        <v>3698</v>
      </c>
      <c r="D583" s="18"/>
      <c r="E583" s="14">
        <v>2020</v>
      </c>
      <c r="F583" s="18"/>
      <c r="G583" s="18"/>
      <c r="H583" s="14" t="s">
        <v>3699</v>
      </c>
      <c r="I583" s="14" t="s">
        <v>257</v>
      </c>
      <c r="J583" s="14">
        <v>2020</v>
      </c>
      <c r="K583" s="14">
        <v>9781450371254</v>
      </c>
      <c r="L583" s="18"/>
      <c r="M583" s="18"/>
      <c r="N583" s="17" t="s">
        <v>3700</v>
      </c>
      <c r="O583" s="18"/>
      <c r="P583" s="14" t="s">
        <v>3701</v>
      </c>
      <c r="Q583" s="14" t="s">
        <v>2110</v>
      </c>
      <c r="R583" s="18"/>
      <c r="S583" s="15"/>
      <c r="T583" s="15"/>
      <c r="U583" s="15"/>
      <c r="V583" s="15"/>
    </row>
    <row r="584" spans="1:22" x14ac:dyDescent="0.25">
      <c r="A584" s="14" t="s">
        <v>141</v>
      </c>
      <c r="B584" s="14" t="s">
        <v>3702</v>
      </c>
      <c r="C584" s="14" t="s">
        <v>3703</v>
      </c>
      <c r="D584" s="18"/>
      <c r="E584" s="14">
        <v>2021</v>
      </c>
      <c r="F584" s="18"/>
      <c r="G584" s="18"/>
      <c r="H584" s="14" t="s">
        <v>3704</v>
      </c>
      <c r="I584" s="14" t="s">
        <v>257</v>
      </c>
      <c r="J584" s="14">
        <v>2021</v>
      </c>
      <c r="K584" s="14">
        <v>9781665437363</v>
      </c>
      <c r="L584" s="18"/>
      <c r="M584" s="18"/>
      <c r="N584" s="17" t="s">
        <v>3705</v>
      </c>
      <c r="O584" s="14" t="s">
        <v>3706</v>
      </c>
      <c r="P584" s="14" t="s">
        <v>3707</v>
      </c>
      <c r="Q584" s="14" t="s">
        <v>520</v>
      </c>
      <c r="R584" s="18"/>
      <c r="S584" s="15"/>
      <c r="T584" s="15"/>
      <c r="U584" s="15"/>
      <c r="V584" s="15"/>
    </row>
    <row r="585" spans="1:22" x14ac:dyDescent="0.25">
      <c r="A585" s="14" t="s">
        <v>13</v>
      </c>
      <c r="B585" s="14" t="s">
        <v>3708</v>
      </c>
      <c r="C585" s="14" t="s">
        <v>3709</v>
      </c>
      <c r="D585" s="14" t="s">
        <v>1870</v>
      </c>
      <c r="E585" s="14">
        <v>2021</v>
      </c>
      <c r="F585" s="14">
        <v>404</v>
      </c>
      <c r="G585" s="18"/>
      <c r="H585" s="14" t="s">
        <v>3710</v>
      </c>
      <c r="I585" s="14" t="s">
        <v>212</v>
      </c>
      <c r="J585" s="14">
        <v>2021</v>
      </c>
      <c r="K585" s="18"/>
      <c r="L585" s="18"/>
      <c r="M585" s="14" t="s">
        <v>1873</v>
      </c>
      <c r="N585" s="17" t="s">
        <v>3711</v>
      </c>
      <c r="O585" s="14" t="s">
        <v>3712</v>
      </c>
      <c r="P585" s="14" t="s">
        <v>3713</v>
      </c>
      <c r="Q585" s="14" t="s">
        <v>2811</v>
      </c>
      <c r="R585" s="18"/>
      <c r="S585" s="15"/>
      <c r="T585" s="15"/>
      <c r="U585" s="15"/>
      <c r="V585" s="15"/>
    </row>
    <row r="586" spans="1:22" x14ac:dyDescent="0.25">
      <c r="A586" s="14" t="s">
        <v>13</v>
      </c>
      <c r="B586" s="14" t="s">
        <v>3714</v>
      </c>
      <c r="C586" s="14" t="s">
        <v>3715</v>
      </c>
      <c r="D586" s="14" t="s">
        <v>354</v>
      </c>
      <c r="E586" s="14">
        <v>2021</v>
      </c>
      <c r="F586" s="14">
        <v>174</v>
      </c>
      <c r="G586" s="18"/>
      <c r="H586" s="18"/>
      <c r="I586" s="14" t="s">
        <v>355</v>
      </c>
      <c r="J586" s="14">
        <v>2021</v>
      </c>
      <c r="K586" s="18"/>
      <c r="L586" s="18"/>
      <c r="M586" s="14" t="s">
        <v>65</v>
      </c>
      <c r="N586" s="17" t="s">
        <v>3716</v>
      </c>
      <c r="O586" s="14" t="s">
        <v>3717</v>
      </c>
      <c r="P586" s="14" t="s">
        <v>3718</v>
      </c>
      <c r="Q586" s="14" t="s">
        <v>2811</v>
      </c>
      <c r="R586" s="18"/>
      <c r="S586" s="15"/>
      <c r="T586" s="15"/>
      <c r="U586" s="15"/>
      <c r="V586" s="15"/>
    </row>
    <row r="587" spans="1:22" x14ac:dyDescent="0.25">
      <c r="A587" s="14" t="s">
        <v>141</v>
      </c>
      <c r="B587" s="14" t="s">
        <v>3719</v>
      </c>
      <c r="C587" s="14" t="s">
        <v>3720</v>
      </c>
      <c r="D587" s="18"/>
      <c r="E587" s="14">
        <v>2020</v>
      </c>
      <c r="F587" s="18"/>
      <c r="G587" s="18"/>
      <c r="H587" s="14" t="s">
        <v>2210</v>
      </c>
      <c r="I587" s="14" t="s">
        <v>257</v>
      </c>
      <c r="J587" s="14">
        <v>2020</v>
      </c>
      <c r="K587" s="14">
        <v>9780738124223</v>
      </c>
      <c r="L587" s="18"/>
      <c r="M587" s="18"/>
      <c r="N587" s="17" t="s">
        <v>3721</v>
      </c>
      <c r="O587" s="14" t="s">
        <v>3722</v>
      </c>
      <c r="P587" s="14" t="s">
        <v>3723</v>
      </c>
      <c r="Q587" s="14" t="s">
        <v>176</v>
      </c>
      <c r="R587" s="18"/>
      <c r="S587" s="15"/>
      <c r="T587" s="15"/>
      <c r="U587" s="15"/>
      <c r="V587" s="15"/>
    </row>
    <row r="588" spans="1:22" x14ac:dyDescent="0.25">
      <c r="A588" s="14" t="s">
        <v>141</v>
      </c>
      <c r="B588" s="14" t="s">
        <v>3724</v>
      </c>
      <c r="C588" s="14" t="s">
        <v>3725</v>
      </c>
      <c r="D588" s="18"/>
      <c r="E588" s="14">
        <v>2021</v>
      </c>
      <c r="F588" s="18"/>
      <c r="G588" s="18"/>
      <c r="H588" s="14" t="s">
        <v>3726</v>
      </c>
      <c r="I588" s="14" t="s">
        <v>257</v>
      </c>
      <c r="J588" s="14">
        <v>2021</v>
      </c>
      <c r="K588" s="14">
        <v>9781665403375</v>
      </c>
      <c r="L588" s="18"/>
      <c r="M588" s="18"/>
      <c r="N588" s="17" t="s">
        <v>3727</v>
      </c>
      <c r="O588" s="14" t="s">
        <v>3728</v>
      </c>
      <c r="P588" s="14" t="s">
        <v>3729</v>
      </c>
      <c r="Q588" s="14" t="s">
        <v>1656</v>
      </c>
      <c r="R588" s="18"/>
      <c r="S588" s="15"/>
      <c r="T588" s="15"/>
      <c r="U588" s="15"/>
      <c r="V588" s="15"/>
    </row>
    <row r="589" spans="1:22" x14ac:dyDescent="0.25">
      <c r="A589" s="14" t="s">
        <v>141</v>
      </c>
      <c r="B589" s="14" t="s">
        <v>3730</v>
      </c>
      <c r="C589" s="14" t="s">
        <v>3731</v>
      </c>
      <c r="D589" s="18"/>
      <c r="E589" s="14">
        <v>2021</v>
      </c>
      <c r="F589" s="21">
        <v>44531</v>
      </c>
      <c r="G589" s="18"/>
      <c r="H589" s="14" t="s">
        <v>3732</v>
      </c>
      <c r="I589" s="14" t="s">
        <v>3733</v>
      </c>
      <c r="J589" s="14">
        <v>2021</v>
      </c>
      <c r="K589" s="14">
        <v>9781665458139</v>
      </c>
      <c r="L589" s="18"/>
      <c r="M589" s="14" t="s">
        <v>3734</v>
      </c>
      <c r="N589" s="17" t="s">
        <v>3735</v>
      </c>
      <c r="O589" s="14" t="s">
        <v>3736</v>
      </c>
      <c r="P589" s="14" t="s">
        <v>3737</v>
      </c>
      <c r="Q589" s="14" t="s">
        <v>289</v>
      </c>
      <c r="R589" s="18"/>
      <c r="S589" s="15"/>
      <c r="T589" s="15"/>
      <c r="U589" s="15"/>
      <c r="V589" s="15"/>
    </row>
    <row r="590" spans="1:22" x14ac:dyDescent="0.25">
      <c r="A590" s="14" t="s">
        <v>13</v>
      </c>
      <c r="B590" s="14" t="s">
        <v>3738</v>
      </c>
      <c r="C590" s="14" t="s">
        <v>3739</v>
      </c>
      <c r="D590" s="14" t="s">
        <v>1870</v>
      </c>
      <c r="E590" s="14">
        <v>2021</v>
      </c>
      <c r="F590" s="14">
        <v>407</v>
      </c>
      <c r="G590" s="18"/>
      <c r="H590" s="14" t="s">
        <v>3740</v>
      </c>
      <c r="I590" s="14" t="s">
        <v>212</v>
      </c>
      <c r="J590" s="14">
        <v>2021</v>
      </c>
      <c r="K590" s="18"/>
      <c r="L590" s="18"/>
      <c r="M590" s="14" t="s">
        <v>1873</v>
      </c>
      <c r="N590" s="17" t="s">
        <v>3741</v>
      </c>
      <c r="O590" s="14" t="s">
        <v>3742</v>
      </c>
      <c r="P590" s="14" t="s">
        <v>3743</v>
      </c>
      <c r="Q590" s="14" t="s">
        <v>185</v>
      </c>
      <c r="R590" s="18"/>
      <c r="S590" s="15"/>
      <c r="T590" s="15"/>
      <c r="U590" s="15"/>
      <c r="V590" s="15"/>
    </row>
    <row r="591" spans="1:22" x14ac:dyDescent="0.25">
      <c r="A591" s="14" t="s">
        <v>13</v>
      </c>
      <c r="B591" s="14" t="s">
        <v>3744</v>
      </c>
      <c r="C591" s="14" t="s">
        <v>3745</v>
      </c>
      <c r="D591" s="14" t="s">
        <v>307</v>
      </c>
      <c r="E591" s="14">
        <v>2021</v>
      </c>
      <c r="F591" s="14">
        <v>133</v>
      </c>
      <c r="G591" s="18"/>
      <c r="H591" s="18"/>
      <c r="I591" s="14" t="s">
        <v>280</v>
      </c>
      <c r="J591" s="14">
        <v>2021</v>
      </c>
      <c r="K591" s="18"/>
      <c r="L591" s="18"/>
      <c r="M591" s="14" t="s">
        <v>308</v>
      </c>
      <c r="N591" s="17" t="s">
        <v>3746</v>
      </c>
      <c r="O591" s="14" t="s">
        <v>3747</v>
      </c>
      <c r="P591" s="14" t="s">
        <v>3748</v>
      </c>
      <c r="Q591" s="14" t="s">
        <v>3749</v>
      </c>
      <c r="R591" s="18"/>
      <c r="S591" s="15"/>
      <c r="T591" s="15"/>
      <c r="U591" s="15"/>
      <c r="V591" s="15"/>
    </row>
    <row r="592" spans="1:22" x14ac:dyDescent="0.25">
      <c r="A592" s="14" t="s">
        <v>13</v>
      </c>
      <c r="B592" s="14" t="s">
        <v>3750</v>
      </c>
      <c r="C592" s="14" t="s">
        <v>3751</v>
      </c>
      <c r="D592" s="14" t="s">
        <v>3752</v>
      </c>
      <c r="E592" s="14">
        <v>2021</v>
      </c>
      <c r="F592" s="14">
        <v>46</v>
      </c>
      <c r="G592" s="14">
        <v>1</v>
      </c>
      <c r="H592" s="14" t="s">
        <v>3753</v>
      </c>
      <c r="I592" s="14" t="s">
        <v>3754</v>
      </c>
      <c r="J592" s="14">
        <v>2021</v>
      </c>
      <c r="K592" s="18"/>
      <c r="L592" s="18"/>
      <c r="M592" s="14" t="s">
        <v>3755</v>
      </c>
      <c r="N592" s="17" t="s">
        <v>3756</v>
      </c>
      <c r="O592" s="14" t="s">
        <v>3757</v>
      </c>
      <c r="P592" s="14" t="s">
        <v>3758</v>
      </c>
      <c r="Q592" s="14" t="s">
        <v>568</v>
      </c>
      <c r="R592" s="18"/>
      <c r="S592" s="15"/>
      <c r="T592" s="15"/>
      <c r="U592" s="15"/>
      <c r="V592" s="15"/>
    </row>
    <row r="593" spans="1:22" x14ac:dyDescent="0.25">
      <c r="A593" s="14" t="s">
        <v>13</v>
      </c>
      <c r="B593" s="14" t="s">
        <v>3759</v>
      </c>
      <c r="C593" s="14" t="s">
        <v>3760</v>
      </c>
      <c r="D593" s="14" t="s">
        <v>1637</v>
      </c>
      <c r="E593" s="14">
        <v>2021</v>
      </c>
      <c r="F593" s="14">
        <v>3</v>
      </c>
      <c r="G593" s="14">
        <v>1</v>
      </c>
      <c r="H593" s="14" t="s">
        <v>3761</v>
      </c>
      <c r="I593" s="14" t="s">
        <v>228</v>
      </c>
      <c r="J593" s="14">
        <v>2021</v>
      </c>
      <c r="K593" s="18"/>
      <c r="L593" s="18"/>
      <c r="M593" s="14" t="s">
        <v>1639</v>
      </c>
      <c r="N593" s="17" t="s">
        <v>3762</v>
      </c>
      <c r="O593" s="14" t="s">
        <v>3763</v>
      </c>
      <c r="P593" s="14" t="s">
        <v>3764</v>
      </c>
      <c r="Q593" s="14" t="s">
        <v>1948</v>
      </c>
      <c r="R593" s="18"/>
      <c r="S593" s="15"/>
      <c r="T593" s="15"/>
      <c r="U593" s="15"/>
      <c r="V593" s="15"/>
    </row>
    <row r="594" spans="1:22" x14ac:dyDescent="0.25">
      <c r="A594" s="14" t="s">
        <v>13</v>
      </c>
      <c r="B594" s="14" t="s">
        <v>3765</v>
      </c>
      <c r="C594" s="14" t="s">
        <v>3766</v>
      </c>
      <c r="D594" s="14" t="s">
        <v>3767</v>
      </c>
      <c r="E594" s="14">
        <v>2020</v>
      </c>
      <c r="F594" s="14">
        <v>13</v>
      </c>
      <c r="G594" s="14">
        <v>7</v>
      </c>
      <c r="H594" s="18"/>
      <c r="I594" s="14" t="s">
        <v>228</v>
      </c>
      <c r="J594" s="14">
        <v>2020</v>
      </c>
      <c r="K594" s="18"/>
      <c r="L594" s="18"/>
      <c r="M594" s="14" t="s">
        <v>3768</v>
      </c>
      <c r="N594" s="17" t="s">
        <v>3769</v>
      </c>
      <c r="O594" s="14" t="s">
        <v>3770</v>
      </c>
      <c r="P594" s="14" t="s">
        <v>3771</v>
      </c>
      <c r="Q594" s="14" t="s">
        <v>3772</v>
      </c>
      <c r="R594" s="18"/>
      <c r="S594" s="15"/>
      <c r="T594" s="15"/>
      <c r="U594" s="15"/>
      <c r="V594" s="15"/>
    </row>
    <row r="595" spans="1:22" x14ac:dyDescent="0.25">
      <c r="A595" s="14" t="s">
        <v>141</v>
      </c>
      <c r="B595" s="14" t="s">
        <v>1784</v>
      </c>
      <c r="C595" s="14" t="s">
        <v>3773</v>
      </c>
      <c r="D595" s="18"/>
      <c r="E595" s="14">
        <v>2020</v>
      </c>
      <c r="F595" s="21">
        <v>44166</v>
      </c>
      <c r="G595" s="18"/>
      <c r="H595" s="14" t="s">
        <v>3774</v>
      </c>
      <c r="I595" s="14" t="s">
        <v>196</v>
      </c>
      <c r="J595" s="14">
        <v>2020</v>
      </c>
      <c r="K595" s="14">
        <v>9781728195537</v>
      </c>
      <c r="L595" s="18"/>
      <c r="M595" s="14" t="s">
        <v>3521</v>
      </c>
      <c r="N595" s="17" t="s">
        <v>3775</v>
      </c>
      <c r="O595" s="14" t="s">
        <v>3776</v>
      </c>
      <c r="P595" s="14" t="s">
        <v>3777</v>
      </c>
      <c r="Q595" s="14" t="s">
        <v>318</v>
      </c>
      <c r="R595" s="18"/>
      <c r="S595" s="15"/>
      <c r="T595" s="15"/>
      <c r="U595" s="15"/>
      <c r="V595" s="15"/>
    </row>
    <row r="596" spans="1:22" x14ac:dyDescent="0.25">
      <c r="A596" s="14" t="s">
        <v>13</v>
      </c>
      <c r="B596" s="14" t="s">
        <v>62</v>
      </c>
      <c r="C596" s="14" t="s">
        <v>63</v>
      </c>
      <c r="D596" s="14" t="s">
        <v>354</v>
      </c>
      <c r="E596" s="14">
        <v>2020</v>
      </c>
      <c r="F596" s="14">
        <v>170</v>
      </c>
      <c r="G596" s="18"/>
      <c r="H596" s="18"/>
      <c r="I596" s="14" t="s">
        <v>355</v>
      </c>
      <c r="J596" s="14">
        <v>2020</v>
      </c>
      <c r="K596" s="18"/>
      <c r="L596" s="18"/>
      <c r="M596" s="14" t="s">
        <v>65</v>
      </c>
      <c r="N596" s="17" t="s">
        <v>3778</v>
      </c>
      <c r="O596" s="14" t="s">
        <v>67</v>
      </c>
      <c r="P596" s="14" t="s">
        <v>3779</v>
      </c>
      <c r="Q596" s="14" t="s">
        <v>2997</v>
      </c>
      <c r="R596" s="18"/>
      <c r="S596" s="15"/>
      <c r="T596" s="15"/>
      <c r="U596" s="15"/>
      <c r="V596" s="15"/>
    </row>
    <row r="597" spans="1:22" x14ac:dyDescent="0.25">
      <c r="A597" s="14" t="s">
        <v>141</v>
      </c>
      <c r="B597" s="14" t="s">
        <v>3780</v>
      </c>
      <c r="C597" s="14" t="s">
        <v>3781</v>
      </c>
      <c r="D597" s="18"/>
      <c r="E597" s="14">
        <v>2021</v>
      </c>
      <c r="F597" s="21">
        <v>44317</v>
      </c>
      <c r="G597" s="18"/>
      <c r="H597" s="14" t="s">
        <v>3782</v>
      </c>
      <c r="I597" s="14" t="s">
        <v>196</v>
      </c>
      <c r="J597" s="14">
        <v>2021</v>
      </c>
      <c r="K597" s="14">
        <v>9780738133225</v>
      </c>
      <c r="L597" s="18"/>
      <c r="M597" s="14" t="s">
        <v>1458</v>
      </c>
      <c r="N597" s="17" t="s">
        <v>3783</v>
      </c>
      <c r="O597" s="14" t="s">
        <v>3784</v>
      </c>
      <c r="P597" s="14" t="s">
        <v>3785</v>
      </c>
      <c r="Q597" s="14" t="s">
        <v>2243</v>
      </c>
      <c r="R597" s="18"/>
      <c r="S597" s="15"/>
      <c r="T597" s="15"/>
      <c r="U597" s="15"/>
      <c r="V597" s="15"/>
    </row>
    <row r="598" spans="1:22" x14ac:dyDescent="0.25">
      <c r="A598" s="14" t="s">
        <v>13</v>
      </c>
      <c r="B598" s="18"/>
      <c r="C598" s="14" t="s">
        <v>3786</v>
      </c>
      <c r="D598" s="14" t="s">
        <v>209</v>
      </c>
      <c r="E598" s="14">
        <v>2021</v>
      </c>
      <c r="F598" s="14" t="s">
        <v>3787</v>
      </c>
      <c r="G598" s="18"/>
      <c r="H598" s="18"/>
      <c r="I598" s="14" t="s">
        <v>212</v>
      </c>
      <c r="J598" s="14">
        <v>2021</v>
      </c>
      <c r="K598" s="18"/>
      <c r="L598" s="18"/>
      <c r="M598" s="14" t="s">
        <v>213</v>
      </c>
      <c r="N598" s="17" t="s">
        <v>3788</v>
      </c>
      <c r="O598" s="18"/>
      <c r="P598" s="14" t="s">
        <v>3789</v>
      </c>
      <c r="Q598" s="14" t="s">
        <v>157</v>
      </c>
      <c r="R598" s="18"/>
      <c r="S598" s="15"/>
      <c r="T598" s="15"/>
      <c r="U598" s="15"/>
      <c r="V598" s="15"/>
    </row>
    <row r="599" spans="1:22" x14ac:dyDescent="0.25">
      <c r="A599" s="14" t="s">
        <v>141</v>
      </c>
      <c r="B599" s="14" t="s">
        <v>3790</v>
      </c>
      <c r="C599" s="14" t="s">
        <v>3791</v>
      </c>
      <c r="D599" s="18"/>
      <c r="E599" s="14">
        <v>2020</v>
      </c>
      <c r="F599" s="18"/>
      <c r="G599" s="18"/>
      <c r="H599" s="14" t="s">
        <v>3792</v>
      </c>
      <c r="I599" s="14" t="s">
        <v>196</v>
      </c>
      <c r="J599" s="14">
        <v>2020</v>
      </c>
      <c r="K599" s="14">
        <v>9781450379588</v>
      </c>
      <c r="L599" s="18"/>
      <c r="M599" s="18"/>
      <c r="N599" s="17" t="s">
        <v>3793</v>
      </c>
      <c r="O599" s="14" t="s">
        <v>3794</v>
      </c>
      <c r="P599" s="14" t="s">
        <v>3795</v>
      </c>
      <c r="Q599" s="14" t="s">
        <v>2243</v>
      </c>
      <c r="R599" s="18"/>
      <c r="S599" s="15"/>
      <c r="T599" s="15"/>
      <c r="U599" s="15"/>
      <c r="V599" s="15"/>
    </row>
    <row r="600" spans="1:22" x14ac:dyDescent="0.25">
      <c r="A600" s="14" t="s">
        <v>141</v>
      </c>
      <c r="B600" s="14" t="s">
        <v>3796</v>
      </c>
      <c r="C600" s="14" t="s">
        <v>3797</v>
      </c>
      <c r="D600" s="18"/>
      <c r="E600" s="14">
        <v>2021</v>
      </c>
      <c r="F600" s="14">
        <v>2978</v>
      </c>
      <c r="G600" s="18"/>
      <c r="H600" s="18"/>
      <c r="I600" s="14" t="s">
        <v>613</v>
      </c>
      <c r="J600" s="14">
        <v>2021</v>
      </c>
      <c r="K600" s="18"/>
      <c r="L600" s="18"/>
      <c r="M600" s="14" t="s">
        <v>614</v>
      </c>
      <c r="N600" s="17" t="s">
        <v>3798</v>
      </c>
      <c r="O600" s="18"/>
      <c r="P600" s="14" t="s">
        <v>3799</v>
      </c>
      <c r="Q600" s="14" t="s">
        <v>157</v>
      </c>
      <c r="R600" s="18"/>
      <c r="S600" s="15"/>
      <c r="T600" s="15"/>
      <c r="U600" s="15"/>
      <c r="V600" s="15"/>
    </row>
    <row r="601" spans="1:22" x14ac:dyDescent="0.25">
      <c r="A601" s="14" t="s">
        <v>13</v>
      </c>
      <c r="B601" s="14" t="s">
        <v>1692</v>
      </c>
      <c r="C601" s="14" t="s">
        <v>3800</v>
      </c>
      <c r="D601" s="14" t="s">
        <v>209</v>
      </c>
      <c r="E601" s="14">
        <v>2021</v>
      </c>
      <c r="F601" s="14" t="s">
        <v>3801</v>
      </c>
      <c r="G601" s="18"/>
      <c r="H601" s="14" t="s">
        <v>3802</v>
      </c>
      <c r="I601" s="14" t="s">
        <v>212</v>
      </c>
      <c r="J601" s="14">
        <v>2021</v>
      </c>
      <c r="K601" s="18"/>
      <c r="L601" s="18"/>
      <c r="M601" s="14" t="s">
        <v>213</v>
      </c>
      <c r="N601" s="17" t="s">
        <v>3803</v>
      </c>
      <c r="O601" s="14" t="s">
        <v>3804</v>
      </c>
      <c r="P601" s="14" t="s">
        <v>3805</v>
      </c>
      <c r="Q601" s="14" t="s">
        <v>176</v>
      </c>
      <c r="R601" s="18"/>
      <c r="S601" s="15"/>
      <c r="T601" s="15"/>
      <c r="U601" s="15"/>
      <c r="V601" s="15"/>
    </row>
    <row r="602" spans="1:22" x14ac:dyDescent="0.25">
      <c r="A602" s="14" t="s">
        <v>141</v>
      </c>
      <c r="B602" s="14" t="s">
        <v>3806</v>
      </c>
      <c r="C602" s="14" t="s">
        <v>3807</v>
      </c>
      <c r="D602" s="18"/>
      <c r="E602" s="14">
        <v>2021</v>
      </c>
      <c r="F602" s="18"/>
      <c r="G602" s="18"/>
      <c r="H602" s="14" t="s">
        <v>3808</v>
      </c>
      <c r="I602" s="14" t="s">
        <v>257</v>
      </c>
      <c r="J602" s="14">
        <v>2021</v>
      </c>
      <c r="K602" s="14">
        <v>9781665444705</v>
      </c>
      <c r="L602" s="18"/>
      <c r="M602" s="18"/>
      <c r="N602" s="17" t="s">
        <v>3809</v>
      </c>
      <c r="O602" s="14" t="s">
        <v>3810</v>
      </c>
      <c r="P602" s="14" t="s">
        <v>3811</v>
      </c>
      <c r="Q602" s="14" t="s">
        <v>1656</v>
      </c>
      <c r="R602" s="18"/>
      <c r="S602" s="15"/>
      <c r="T602" s="15"/>
      <c r="U602" s="15"/>
      <c r="V602" s="15"/>
    </row>
    <row r="603" spans="1:22" x14ac:dyDescent="0.25">
      <c r="A603" s="14" t="s">
        <v>141</v>
      </c>
      <c r="B603" s="14" t="s">
        <v>3812</v>
      </c>
      <c r="C603" s="14" t="s">
        <v>3813</v>
      </c>
      <c r="D603" s="18"/>
      <c r="E603" s="14">
        <v>2021</v>
      </c>
      <c r="F603" s="18"/>
      <c r="G603" s="18"/>
      <c r="H603" s="14" t="s">
        <v>3814</v>
      </c>
      <c r="I603" s="14" t="s">
        <v>257</v>
      </c>
      <c r="J603" s="14">
        <v>2021</v>
      </c>
      <c r="K603" s="14">
        <v>9781665443616</v>
      </c>
      <c r="L603" s="18"/>
      <c r="M603" s="18"/>
      <c r="N603" s="17" t="s">
        <v>3815</v>
      </c>
      <c r="O603" s="14" t="s">
        <v>3816</v>
      </c>
      <c r="P603" s="14" t="s">
        <v>3817</v>
      </c>
      <c r="Q603" s="14" t="s">
        <v>157</v>
      </c>
      <c r="R603" s="18"/>
      <c r="S603" s="15"/>
      <c r="T603" s="15"/>
      <c r="U603" s="15"/>
      <c r="V603" s="15"/>
    </row>
    <row r="604" spans="1:22" x14ac:dyDescent="0.25">
      <c r="A604" s="14" t="s">
        <v>141</v>
      </c>
      <c r="B604" s="14" t="s">
        <v>3818</v>
      </c>
      <c r="C604" s="14" t="s">
        <v>3819</v>
      </c>
      <c r="D604" s="18"/>
      <c r="E604" s="14">
        <v>2020</v>
      </c>
      <c r="F604" s="18"/>
      <c r="G604" s="18"/>
      <c r="H604" s="18"/>
      <c r="I604" s="14" t="s">
        <v>196</v>
      </c>
      <c r="J604" s="14">
        <v>2020</v>
      </c>
      <c r="K604" s="14">
        <v>9781450375801</v>
      </c>
      <c r="L604" s="18"/>
      <c r="M604" s="14" t="s">
        <v>197</v>
      </c>
      <c r="N604" s="17" t="s">
        <v>3820</v>
      </c>
      <c r="O604" s="14" t="s">
        <v>3821</v>
      </c>
      <c r="P604" s="14" t="s">
        <v>3822</v>
      </c>
      <c r="Q604" s="14" t="s">
        <v>2723</v>
      </c>
      <c r="R604" s="18"/>
      <c r="S604" s="15"/>
      <c r="T604" s="15"/>
      <c r="U604" s="15"/>
      <c r="V604" s="15"/>
    </row>
    <row r="605" spans="1:22" x14ac:dyDescent="0.25">
      <c r="A605" s="14" t="s">
        <v>13</v>
      </c>
      <c r="B605" s="14" t="s">
        <v>649</v>
      </c>
      <c r="C605" s="14" t="s">
        <v>3823</v>
      </c>
      <c r="D605" s="14" t="s">
        <v>354</v>
      </c>
      <c r="E605" s="14">
        <v>2021</v>
      </c>
      <c r="F605" s="14">
        <v>173</v>
      </c>
      <c r="G605" s="18"/>
      <c r="H605" s="18"/>
      <c r="I605" s="14" t="s">
        <v>355</v>
      </c>
      <c r="J605" s="14">
        <v>2021</v>
      </c>
      <c r="K605" s="18"/>
      <c r="L605" s="18"/>
      <c r="M605" s="14" t="s">
        <v>65</v>
      </c>
      <c r="N605" s="17" t="s">
        <v>3824</v>
      </c>
      <c r="O605" s="14" t="s">
        <v>3825</v>
      </c>
      <c r="P605" s="14" t="s">
        <v>3826</v>
      </c>
      <c r="Q605" s="14" t="s">
        <v>1740</v>
      </c>
      <c r="R605" s="18"/>
      <c r="S605" s="15"/>
      <c r="T605" s="15"/>
      <c r="U605" s="15"/>
      <c r="V605" s="15"/>
    </row>
    <row r="606" spans="1:22" x14ac:dyDescent="0.25">
      <c r="A606" s="14" t="s">
        <v>141</v>
      </c>
      <c r="B606" s="14" t="s">
        <v>3827</v>
      </c>
      <c r="C606" s="14" t="s">
        <v>3828</v>
      </c>
      <c r="D606" s="18"/>
      <c r="E606" s="14">
        <v>2020</v>
      </c>
      <c r="F606" s="18"/>
      <c r="G606" s="18"/>
      <c r="H606" s="18"/>
      <c r="I606" s="14" t="s">
        <v>257</v>
      </c>
      <c r="J606" s="14">
        <v>2020</v>
      </c>
      <c r="K606" s="14">
        <v>9781728169163</v>
      </c>
      <c r="L606" s="18"/>
      <c r="M606" s="18"/>
      <c r="N606" s="17" t="s">
        <v>3829</v>
      </c>
      <c r="O606" s="14" t="s">
        <v>3830</v>
      </c>
      <c r="P606" s="14" t="s">
        <v>3831</v>
      </c>
      <c r="Q606" s="14" t="s">
        <v>157</v>
      </c>
      <c r="R606" s="18"/>
      <c r="S606" s="15"/>
      <c r="T606" s="15"/>
      <c r="U606" s="15"/>
      <c r="V606" s="15"/>
    </row>
    <row r="607" spans="1:22" x14ac:dyDescent="0.25">
      <c r="A607" s="14" t="s">
        <v>13</v>
      </c>
      <c r="B607" s="14" t="s">
        <v>3832</v>
      </c>
      <c r="C607" s="14" t="s">
        <v>3833</v>
      </c>
      <c r="D607" s="14" t="s">
        <v>3834</v>
      </c>
      <c r="E607" s="14">
        <v>2021</v>
      </c>
      <c r="F607" s="14">
        <v>32</v>
      </c>
      <c r="G607" s="14">
        <v>3</v>
      </c>
      <c r="H607" s="14" t="s">
        <v>3835</v>
      </c>
      <c r="I607" s="14" t="s">
        <v>2267</v>
      </c>
      <c r="J607" s="14">
        <v>2021</v>
      </c>
      <c r="K607" s="18"/>
      <c r="L607" s="18"/>
      <c r="M607" s="14" t="s">
        <v>3836</v>
      </c>
      <c r="N607" s="17" t="s">
        <v>3837</v>
      </c>
      <c r="O607" s="14" t="s">
        <v>3838</v>
      </c>
      <c r="P607" s="14" t="s">
        <v>3839</v>
      </c>
      <c r="Q607" s="14" t="s">
        <v>413</v>
      </c>
      <c r="R607" s="18"/>
      <c r="S607" s="15"/>
      <c r="T607" s="15"/>
      <c r="U607" s="15"/>
      <c r="V607" s="15"/>
    </row>
    <row r="608" spans="1:22" x14ac:dyDescent="0.25">
      <c r="A608" s="14" t="s">
        <v>141</v>
      </c>
      <c r="B608" s="14" t="s">
        <v>3840</v>
      </c>
      <c r="C608" s="14" t="s">
        <v>3841</v>
      </c>
      <c r="D608" s="18"/>
      <c r="E608" s="14">
        <v>2021</v>
      </c>
      <c r="F608" s="14">
        <v>2978</v>
      </c>
      <c r="G608" s="18"/>
      <c r="H608" s="18"/>
      <c r="I608" s="14" t="s">
        <v>613</v>
      </c>
      <c r="J608" s="14">
        <v>2021</v>
      </c>
      <c r="K608" s="18"/>
      <c r="L608" s="18"/>
      <c r="M608" s="14" t="s">
        <v>614</v>
      </c>
      <c r="N608" s="17" t="s">
        <v>3842</v>
      </c>
      <c r="O608" s="18"/>
      <c r="P608" s="14" t="s">
        <v>3843</v>
      </c>
      <c r="Q608" s="14" t="s">
        <v>157</v>
      </c>
      <c r="R608" s="18"/>
      <c r="S608" s="15"/>
      <c r="T608" s="15"/>
      <c r="U608" s="15"/>
      <c r="V608" s="15"/>
    </row>
    <row r="609" spans="1:22" x14ac:dyDescent="0.25">
      <c r="A609" s="14" t="s">
        <v>141</v>
      </c>
      <c r="B609" s="14" t="s">
        <v>3844</v>
      </c>
      <c r="C609" s="14" t="s">
        <v>3845</v>
      </c>
      <c r="D609" s="18"/>
      <c r="E609" s="14">
        <v>2021</v>
      </c>
      <c r="F609" s="18"/>
      <c r="G609" s="18"/>
      <c r="H609" s="14" t="s">
        <v>3846</v>
      </c>
      <c r="I609" s="14" t="s">
        <v>257</v>
      </c>
      <c r="J609" s="14">
        <v>2021</v>
      </c>
      <c r="K609" s="14">
        <v>9781665445597</v>
      </c>
      <c r="L609" s="18"/>
      <c r="M609" s="18"/>
      <c r="N609" s="17" t="s">
        <v>3847</v>
      </c>
      <c r="O609" s="14" t="s">
        <v>3848</v>
      </c>
      <c r="P609" s="14" t="s">
        <v>3849</v>
      </c>
      <c r="Q609" s="14" t="s">
        <v>157</v>
      </c>
      <c r="R609" s="18"/>
      <c r="S609" s="15"/>
      <c r="T609" s="15"/>
      <c r="U609" s="15"/>
      <c r="V609" s="15"/>
    </row>
    <row r="610" spans="1:22" x14ac:dyDescent="0.25">
      <c r="A610" s="14" t="s">
        <v>13</v>
      </c>
      <c r="B610" s="14" t="s">
        <v>3850</v>
      </c>
      <c r="C610" s="14" t="s">
        <v>3851</v>
      </c>
      <c r="D610" s="14" t="s">
        <v>3852</v>
      </c>
      <c r="E610" s="14">
        <v>2021</v>
      </c>
      <c r="F610" s="14">
        <v>181</v>
      </c>
      <c r="G610" s="18"/>
      <c r="H610" s="18"/>
      <c r="I610" s="14" t="s">
        <v>280</v>
      </c>
      <c r="J610" s="14">
        <v>2021</v>
      </c>
      <c r="K610" s="18"/>
      <c r="L610" s="18"/>
      <c r="M610" s="14" t="s">
        <v>3853</v>
      </c>
      <c r="N610" s="17" t="s">
        <v>3854</v>
      </c>
      <c r="O610" s="14" t="s">
        <v>3855</v>
      </c>
      <c r="P610" s="14" t="s">
        <v>3856</v>
      </c>
      <c r="Q610" s="14" t="s">
        <v>397</v>
      </c>
      <c r="R610" s="18"/>
      <c r="S610" s="15"/>
      <c r="T610" s="15"/>
      <c r="U610" s="15"/>
      <c r="V610" s="15"/>
    </row>
    <row r="611" spans="1:22" x14ac:dyDescent="0.25">
      <c r="A611" s="14" t="s">
        <v>141</v>
      </c>
      <c r="B611" s="14" t="s">
        <v>3857</v>
      </c>
      <c r="C611" s="14" t="s">
        <v>3858</v>
      </c>
      <c r="D611" s="18"/>
      <c r="E611" s="14">
        <v>2021</v>
      </c>
      <c r="F611" s="18"/>
      <c r="G611" s="18"/>
      <c r="H611" s="14" t="s">
        <v>3859</v>
      </c>
      <c r="I611" s="14" t="s">
        <v>257</v>
      </c>
      <c r="J611" s="14">
        <v>2021</v>
      </c>
      <c r="K611" s="14">
        <v>9781728187105</v>
      </c>
      <c r="L611" s="18"/>
      <c r="M611" s="18"/>
      <c r="N611" s="17" t="s">
        <v>3860</v>
      </c>
      <c r="O611" s="14" t="s">
        <v>3861</v>
      </c>
      <c r="P611" s="14" t="s">
        <v>3862</v>
      </c>
      <c r="Q611" s="14" t="s">
        <v>176</v>
      </c>
      <c r="R611" s="18"/>
      <c r="S611" s="15"/>
      <c r="T611" s="15"/>
      <c r="U611" s="15"/>
      <c r="V611" s="15"/>
    </row>
    <row r="612" spans="1:22" x14ac:dyDescent="0.25">
      <c r="A612" s="14" t="s">
        <v>13</v>
      </c>
      <c r="B612" s="14" t="s">
        <v>3863</v>
      </c>
      <c r="C612" s="14" t="s">
        <v>3864</v>
      </c>
      <c r="D612" s="14" t="s">
        <v>3475</v>
      </c>
      <c r="E612" s="14">
        <v>2021</v>
      </c>
      <c r="F612" s="14" t="s">
        <v>3865</v>
      </c>
      <c r="G612" s="18"/>
      <c r="H612" s="14" t="s">
        <v>3866</v>
      </c>
      <c r="I612" s="14" t="s">
        <v>212</v>
      </c>
      <c r="J612" s="14">
        <v>2021</v>
      </c>
      <c r="K612" s="18"/>
      <c r="L612" s="18"/>
      <c r="M612" s="14" t="s">
        <v>3478</v>
      </c>
      <c r="N612" s="17" t="s">
        <v>3867</v>
      </c>
      <c r="O612" s="14" t="s">
        <v>3868</v>
      </c>
      <c r="P612" s="14" t="s">
        <v>3869</v>
      </c>
      <c r="Q612" s="14" t="s">
        <v>157</v>
      </c>
      <c r="R612" s="18"/>
      <c r="S612" s="15"/>
      <c r="T612" s="15"/>
      <c r="U612" s="15"/>
      <c r="V612" s="15"/>
    </row>
    <row r="613" spans="1:22" x14ac:dyDescent="0.25">
      <c r="A613" s="14" t="s">
        <v>13</v>
      </c>
      <c r="B613" s="14" t="s">
        <v>3870</v>
      </c>
      <c r="C613" s="14" t="s">
        <v>3871</v>
      </c>
      <c r="D613" s="14" t="s">
        <v>3872</v>
      </c>
      <c r="E613" s="14">
        <v>2020</v>
      </c>
      <c r="F613" s="14">
        <v>2</v>
      </c>
      <c r="G613" s="18"/>
      <c r="H613" s="18"/>
      <c r="I613" s="14" t="s">
        <v>891</v>
      </c>
      <c r="J613" s="14">
        <v>2020</v>
      </c>
      <c r="K613" s="18"/>
      <c r="L613" s="18"/>
      <c r="M613" s="14" t="s">
        <v>3873</v>
      </c>
      <c r="N613" s="17" t="s">
        <v>3874</v>
      </c>
      <c r="O613" s="14" t="s">
        <v>3875</v>
      </c>
      <c r="P613" s="14" t="s">
        <v>3876</v>
      </c>
      <c r="Q613" s="14" t="s">
        <v>1844</v>
      </c>
      <c r="R613" s="18"/>
      <c r="S613" s="15"/>
      <c r="T613" s="15"/>
      <c r="U613" s="15"/>
      <c r="V613" s="15"/>
    </row>
    <row r="614" spans="1:22" x14ac:dyDescent="0.25">
      <c r="A614" s="14" t="s">
        <v>13</v>
      </c>
      <c r="B614" s="14" t="s">
        <v>3877</v>
      </c>
      <c r="C614" s="14" t="s">
        <v>3878</v>
      </c>
      <c r="D614" s="14" t="s">
        <v>188</v>
      </c>
      <c r="E614" s="14">
        <v>2020</v>
      </c>
      <c r="F614" s="14">
        <v>30</v>
      </c>
      <c r="G614" s="23">
        <v>45242</v>
      </c>
      <c r="H614" s="14" t="s">
        <v>3879</v>
      </c>
      <c r="I614" s="14" t="s">
        <v>189</v>
      </c>
      <c r="J614" s="14">
        <v>2020</v>
      </c>
      <c r="K614" s="18"/>
      <c r="L614" s="18"/>
      <c r="M614" s="14" t="s">
        <v>73</v>
      </c>
      <c r="N614" s="17" t="s">
        <v>3880</v>
      </c>
      <c r="O614" s="14" t="s">
        <v>3881</v>
      </c>
      <c r="P614" s="14" t="s">
        <v>3882</v>
      </c>
      <c r="Q614" s="14" t="s">
        <v>529</v>
      </c>
      <c r="R614" s="18"/>
      <c r="S614" s="15"/>
      <c r="T614" s="15"/>
      <c r="U614" s="15"/>
      <c r="V614" s="15"/>
    </row>
    <row r="615" spans="1:22" x14ac:dyDescent="0.25">
      <c r="A615" s="14" t="s">
        <v>141</v>
      </c>
      <c r="B615" s="14" t="s">
        <v>3883</v>
      </c>
      <c r="C615" s="14" t="s">
        <v>3884</v>
      </c>
      <c r="D615" s="18"/>
      <c r="E615" s="14">
        <v>2021</v>
      </c>
      <c r="F615" s="18"/>
      <c r="G615" s="18"/>
      <c r="H615" s="18"/>
      <c r="I615" s="14" t="s">
        <v>257</v>
      </c>
      <c r="J615" s="14">
        <v>2021</v>
      </c>
      <c r="K615" s="14">
        <v>9781665498326</v>
      </c>
      <c r="L615" s="18"/>
      <c r="M615" s="18"/>
      <c r="N615" s="17" t="s">
        <v>3885</v>
      </c>
      <c r="O615" s="14" t="s">
        <v>3886</v>
      </c>
      <c r="P615" s="14" t="s">
        <v>3887</v>
      </c>
      <c r="Q615" s="14" t="s">
        <v>157</v>
      </c>
      <c r="R615" s="18"/>
      <c r="S615" s="15"/>
      <c r="T615" s="15"/>
      <c r="U615" s="15"/>
      <c r="V615" s="15"/>
    </row>
    <row r="616" spans="1:22" x14ac:dyDescent="0.25">
      <c r="A616" s="14" t="s">
        <v>13</v>
      </c>
      <c r="B616" s="14" t="s">
        <v>3888</v>
      </c>
      <c r="C616" s="14" t="s">
        <v>3889</v>
      </c>
      <c r="D616" s="14" t="s">
        <v>1540</v>
      </c>
      <c r="E616" s="14">
        <v>2021</v>
      </c>
      <c r="F616" s="14">
        <v>12</v>
      </c>
      <c r="G616" s="14">
        <v>2</v>
      </c>
      <c r="H616" s="14" t="s">
        <v>3890</v>
      </c>
      <c r="I616" s="14" t="s">
        <v>1465</v>
      </c>
      <c r="J616" s="14">
        <v>2021</v>
      </c>
      <c r="K616" s="18"/>
      <c r="L616" s="18"/>
      <c r="M616" s="14" t="s">
        <v>1541</v>
      </c>
      <c r="N616" s="17" t="s">
        <v>3891</v>
      </c>
      <c r="O616" s="14" t="s">
        <v>3892</v>
      </c>
      <c r="P616" s="14" t="s">
        <v>3893</v>
      </c>
      <c r="Q616" s="14" t="s">
        <v>157</v>
      </c>
      <c r="R616" s="18"/>
      <c r="S616" s="15"/>
      <c r="T616" s="15"/>
      <c r="U616" s="15"/>
      <c r="V616" s="15"/>
    </row>
    <row r="617" spans="1:22" x14ac:dyDescent="0.25">
      <c r="A617" s="14" t="s">
        <v>13</v>
      </c>
      <c r="B617" s="14" t="s">
        <v>3894</v>
      </c>
      <c r="C617" s="14" t="s">
        <v>3895</v>
      </c>
      <c r="D617" s="14" t="s">
        <v>209</v>
      </c>
      <c r="E617" s="14">
        <v>2020</v>
      </c>
      <c r="F617" s="14" t="s">
        <v>3896</v>
      </c>
      <c r="G617" s="14">
        <v>1</v>
      </c>
      <c r="H617" s="14" t="s">
        <v>3897</v>
      </c>
      <c r="I617" s="14" t="s">
        <v>212</v>
      </c>
      <c r="J617" s="14">
        <v>2020</v>
      </c>
      <c r="K617" s="18"/>
      <c r="L617" s="18"/>
      <c r="M617" s="14" t="s">
        <v>213</v>
      </c>
      <c r="N617" s="17" t="s">
        <v>3898</v>
      </c>
      <c r="O617" s="14" t="s">
        <v>3899</v>
      </c>
      <c r="P617" s="14" t="s">
        <v>3900</v>
      </c>
      <c r="Q617" s="14" t="s">
        <v>1598</v>
      </c>
      <c r="R617" s="18"/>
      <c r="S617" s="15"/>
      <c r="T617" s="15"/>
      <c r="U617" s="15"/>
      <c r="V617" s="15"/>
    </row>
    <row r="618" spans="1:22" x14ac:dyDescent="0.25">
      <c r="A618" s="14" t="s">
        <v>13</v>
      </c>
      <c r="B618" s="14" t="s">
        <v>3901</v>
      </c>
      <c r="C618" s="14" t="s">
        <v>3902</v>
      </c>
      <c r="D618" s="14" t="s">
        <v>255</v>
      </c>
      <c r="E618" s="14">
        <v>2019</v>
      </c>
      <c r="F618" s="14">
        <v>45</v>
      </c>
      <c r="G618" s="14">
        <v>12</v>
      </c>
      <c r="H618" s="14" t="s">
        <v>3903</v>
      </c>
      <c r="I618" s="14" t="s">
        <v>257</v>
      </c>
      <c r="J618" s="14">
        <v>2019</v>
      </c>
      <c r="K618" s="18"/>
      <c r="L618" s="18"/>
      <c r="M618" s="14" t="s">
        <v>18</v>
      </c>
      <c r="N618" s="17" t="s">
        <v>3904</v>
      </c>
      <c r="O618" s="14" t="s">
        <v>3905</v>
      </c>
      <c r="P618" s="14" t="s">
        <v>3906</v>
      </c>
      <c r="Q618" s="14" t="s">
        <v>3907</v>
      </c>
      <c r="R618" s="18"/>
      <c r="S618" s="15"/>
      <c r="T618" s="15"/>
      <c r="U618" s="15"/>
      <c r="V618" s="15"/>
    </row>
    <row r="619" spans="1:22" x14ac:dyDescent="0.25">
      <c r="A619" s="14" t="s">
        <v>141</v>
      </c>
      <c r="B619" s="14" t="s">
        <v>3908</v>
      </c>
      <c r="C619" s="14" t="s">
        <v>3909</v>
      </c>
      <c r="D619" s="18"/>
      <c r="E619" s="14">
        <v>2020</v>
      </c>
      <c r="F619" s="18"/>
      <c r="G619" s="18"/>
      <c r="H619" s="14" t="s">
        <v>3910</v>
      </c>
      <c r="I619" s="14" t="s">
        <v>153</v>
      </c>
      <c r="J619" s="14">
        <v>2020</v>
      </c>
      <c r="K619" s="14">
        <v>9781450379571</v>
      </c>
      <c r="L619" s="18"/>
      <c r="M619" s="18"/>
      <c r="N619" s="17" t="s">
        <v>3911</v>
      </c>
      <c r="O619" s="14" t="s">
        <v>3912</v>
      </c>
      <c r="P619" s="14" t="s">
        <v>3913</v>
      </c>
      <c r="Q619" s="14" t="s">
        <v>2811</v>
      </c>
      <c r="R619" s="18"/>
      <c r="S619" s="15"/>
      <c r="T619" s="15"/>
      <c r="U619" s="15"/>
      <c r="V619" s="15"/>
    </row>
    <row r="620" spans="1:22" x14ac:dyDescent="0.25">
      <c r="A620" s="14" t="s">
        <v>13</v>
      </c>
      <c r="B620" s="14" t="s">
        <v>3914</v>
      </c>
      <c r="C620" s="14" t="s">
        <v>3915</v>
      </c>
      <c r="D620" s="14" t="s">
        <v>3916</v>
      </c>
      <c r="E620" s="14">
        <v>2020</v>
      </c>
      <c r="F620" s="14">
        <v>40</v>
      </c>
      <c r="G620" s="18"/>
      <c r="H620" s="14" t="s">
        <v>3917</v>
      </c>
      <c r="I620" s="14" t="s">
        <v>212</v>
      </c>
      <c r="J620" s="14">
        <v>2020</v>
      </c>
      <c r="K620" s="18"/>
      <c r="L620" s="18"/>
      <c r="M620" s="14" t="s">
        <v>3918</v>
      </c>
      <c r="N620" s="17" t="s">
        <v>3919</v>
      </c>
      <c r="O620" s="14" t="s">
        <v>3920</v>
      </c>
      <c r="P620" s="14" t="s">
        <v>3921</v>
      </c>
      <c r="Q620" s="14" t="s">
        <v>2243</v>
      </c>
      <c r="R620" s="18"/>
      <c r="S620" s="15"/>
      <c r="T620" s="15"/>
      <c r="U620" s="15"/>
      <c r="V620" s="15"/>
    </row>
    <row r="621" spans="1:22" x14ac:dyDescent="0.25">
      <c r="A621" s="14" t="s">
        <v>141</v>
      </c>
      <c r="B621" s="14" t="s">
        <v>3922</v>
      </c>
      <c r="C621" s="14" t="s">
        <v>3923</v>
      </c>
      <c r="D621" s="18"/>
      <c r="E621" s="14">
        <v>2019</v>
      </c>
      <c r="F621" s="18"/>
      <c r="G621" s="18"/>
      <c r="H621" s="14" t="s">
        <v>3924</v>
      </c>
      <c r="I621" s="14" t="s">
        <v>257</v>
      </c>
      <c r="J621" s="14">
        <v>2019</v>
      </c>
      <c r="K621" s="14">
        <v>9781728105918</v>
      </c>
      <c r="L621" s="18"/>
      <c r="M621" s="18"/>
      <c r="N621" s="17" t="s">
        <v>3925</v>
      </c>
      <c r="O621" s="14" t="s">
        <v>3926</v>
      </c>
      <c r="P621" s="14" t="s">
        <v>3927</v>
      </c>
      <c r="Q621" s="14" t="s">
        <v>2286</v>
      </c>
      <c r="R621" s="18"/>
      <c r="S621" s="15"/>
      <c r="T621" s="15"/>
      <c r="U621" s="15"/>
      <c r="V621" s="15"/>
    </row>
    <row r="622" spans="1:22" x14ac:dyDescent="0.25">
      <c r="A622" s="14" t="s">
        <v>141</v>
      </c>
      <c r="B622" s="14" t="s">
        <v>3928</v>
      </c>
      <c r="C622" s="14" t="s">
        <v>3929</v>
      </c>
      <c r="D622" s="18"/>
      <c r="E622" s="14">
        <v>2020</v>
      </c>
      <c r="F622" s="18"/>
      <c r="G622" s="18"/>
      <c r="H622" s="18"/>
      <c r="I622" s="14" t="s">
        <v>257</v>
      </c>
      <c r="J622" s="14">
        <v>2020</v>
      </c>
      <c r="K622" s="14">
        <v>9781728114200</v>
      </c>
      <c r="L622" s="18"/>
      <c r="M622" s="18"/>
      <c r="N622" s="17" t="s">
        <v>3930</v>
      </c>
      <c r="O622" s="14" t="s">
        <v>3931</v>
      </c>
      <c r="P622" s="14" t="s">
        <v>3932</v>
      </c>
      <c r="Q622" s="14" t="s">
        <v>157</v>
      </c>
      <c r="R622" s="18"/>
      <c r="S622" s="15"/>
      <c r="T622" s="15"/>
      <c r="U622" s="15"/>
      <c r="V622" s="15"/>
    </row>
    <row r="623" spans="1:22" x14ac:dyDescent="0.25">
      <c r="A623" s="14" t="s">
        <v>13</v>
      </c>
      <c r="B623" s="14" t="s">
        <v>3933</v>
      </c>
      <c r="C623" s="14" t="s">
        <v>3934</v>
      </c>
      <c r="D623" s="14" t="s">
        <v>255</v>
      </c>
      <c r="E623" s="14">
        <v>2020</v>
      </c>
      <c r="F623" s="14">
        <v>46</v>
      </c>
      <c r="G623" s="14">
        <v>4</v>
      </c>
      <c r="H623" s="14" t="s">
        <v>3935</v>
      </c>
      <c r="I623" s="14" t="s">
        <v>257</v>
      </c>
      <c r="J623" s="14">
        <v>2020</v>
      </c>
      <c r="K623" s="18"/>
      <c r="L623" s="18"/>
      <c r="M623" s="14" t="s">
        <v>18</v>
      </c>
      <c r="N623" s="17" t="s">
        <v>3936</v>
      </c>
      <c r="O623" s="14" t="s">
        <v>3937</v>
      </c>
      <c r="P623" s="14" t="s">
        <v>3938</v>
      </c>
      <c r="Q623" s="14" t="s">
        <v>1656</v>
      </c>
      <c r="R623" s="18"/>
      <c r="S623" s="15"/>
      <c r="T623" s="15"/>
      <c r="U623" s="15"/>
      <c r="V623" s="15"/>
    </row>
    <row r="624" spans="1:22" x14ac:dyDescent="0.25">
      <c r="A624" s="14" t="s">
        <v>141</v>
      </c>
      <c r="B624" s="14" t="s">
        <v>3939</v>
      </c>
      <c r="C624" s="14" t="s">
        <v>3940</v>
      </c>
      <c r="D624" s="18"/>
      <c r="E624" s="14">
        <v>2019</v>
      </c>
      <c r="F624" s="18"/>
      <c r="G624" s="18"/>
      <c r="H624" s="14" t="s">
        <v>3941</v>
      </c>
      <c r="I624" s="14" t="s">
        <v>257</v>
      </c>
      <c r="J624" s="14">
        <v>2019</v>
      </c>
      <c r="K624" s="14">
        <v>9781728151656</v>
      </c>
      <c r="L624" s="18"/>
      <c r="M624" s="18"/>
      <c r="N624" s="17" t="s">
        <v>3942</v>
      </c>
      <c r="O624" s="14" t="s">
        <v>3943</v>
      </c>
      <c r="P624" s="14" t="s">
        <v>3944</v>
      </c>
      <c r="Q624" s="14" t="s">
        <v>176</v>
      </c>
      <c r="R624" s="18"/>
      <c r="S624" s="15"/>
      <c r="T624" s="15"/>
      <c r="U624" s="15"/>
      <c r="V624" s="15"/>
    </row>
    <row r="625" spans="1:22" x14ac:dyDescent="0.25">
      <c r="A625" s="14" t="s">
        <v>141</v>
      </c>
      <c r="B625" s="14" t="s">
        <v>3945</v>
      </c>
      <c r="C625" s="14" t="s">
        <v>3946</v>
      </c>
      <c r="D625" s="18"/>
      <c r="E625" s="14">
        <v>2020</v>
      </c>
      <c r="F625" s="18"/>
      <c r="G625" s="18"/>
      <c r="H625" s="14" t="s">
        <v>3947</v>
      </c>
      <c r="I625" s="14" t="s">
        <v>257</v>
      </c>
      <c r="J625" s="14">
        <v>2020</v>
      </c>
      <c r="K625" s="14">
        <v>9781728151434</v>
      </c>
      <c r="L625" s="18"/>
      <c r="M625" s="18"/>
      <c r="N625" s="17" t="s">
        <v>3948</v>
      </c>
      <c r="O625" s="14" t="s">
        <v>3949</v>
      </c>
      <c r="P625" s="14" t="s">
        <v>3950</v>
      </c>
      <c r="Q625" s="14" t="s">
        <v>520</v>
      </c>
      <c r="R625" s="18"/>
      <c r="S625" s="15"/>
      <c r="T625" s="15"/>
      <c r="U625" s="15"/>
      <c r="V625" s="15"/>
    </row>
    <row r="626" spans="1:22" x14ac:dyDescent="0.25">
      <c r="A626" s="14" t="s">
        <v>141</v>
      </c>
      <c r="B626" s="14" t="s">
        <v>3951</v>
      </c>
      <c r="C626" s="14" t="s">
        <v>3952</v>
      </c>
      <c r="D626" s="18"/>
      <c r="E626" s="14">
        <v>2020</v>
      </c>
      <c r="F626" s="14">
        <v>2826</v>
      </c>
      <c r="G626" s="18"/>
      <c r="H626" s="14" t="s">
        <v>3953</v>
      </c>
      <c r="I626" s="14" t="s">
        <v>613</v>
      </c>
      <c r="J626" s="14">
        <v>2020</v>
      </c>
      <c r="K626" s="18"/>
      <c r="L626" s="18"/>
      <c r="M626" s="14" t="s">
        <v>614</v>
      </c>
      <c r="N626" s="17" t="s">
        <v>3954</v>
      </c>
      <c r="O626" s="18"/>
      <c r="P626" s="14" t="s">
        <v>3955</v>
      </c>
      <c r="Q626" s="14" t="s">
        <v>318</v>
      </c>
      <c r="R626" s="18"/>
      <c r="S626" s="15"/>
      <c r="T626" s="15"/>
      <c r="U626" s="15"/>
      <c r="V626" s="15"/>
    </row>
    <row r="627" spans="1:22" x14ac:dyDescent="0.25">
      <c r="A627" s="14" t="s">
        <v>141</v>
      </c>
      <c r="B627" s="14" t="s">
        <v>1371</v>
      </c>
      <c r="C627" s="14" t="s">
        <v>3956</v>
      </c>
      <c r="D627" s="18"/>
      <c r="E627" s="14">
        <v>2019</v>
      </c>
      <c r="F627" s="18"/>
      <c r="G627" s="18"/>
      <c r="H627" s="14" t="s">
        <v>3957</v>
      </c>
      <c r="I627" s="14" t="s">
        <v>257</v>
      </c>
      <c r="J627" s="14">
        <v>2019</v>
      </c>
      <c r="K627" s="14">
        <v>9781728127729</v>
      </c>
      <c r="L627" s="18"/>
      <c r="M627" s="18"/>
      <c r="N627" s="17" t="s">
        <v>3958</v>
      </c>
      <c r="O627" s="14" t="s">
        <v>3959</v>
      </c>
      <c r="P627" s="14" t="s">
        <v>3960</v>
      </c>
      <c r="Q627" s="14" t="s">
        <v>397</v>
      </c>
      <c r="R627" s="18"/>
      <c r="S627" s="15"/>
      <c r="T627" s="15"/>
      <c r="U627" s="15"/>
      <c r="V627" s="15"/>
    </row>
    <row r="628" spans="1:22" x14ac:dyDescent="0.25">
      <c r="A628" s="14" t="s">
        <v>141</v>
      </c>
      <c r="B628" s="14" t="s">
        <v>2208</v>
      </c>
      <c r="C628" s="14" t="s">
        <v>3961</v>
      </c>
      <c r="D628" s="18"/>
      <c r="E628" s="14">
        <v>2019</v>
      </c>
      <c r="F628" s="21">
        <v>43586</v>
      </c>
      <c r="G628" s="18"/>
      <c r="H628" s="14" t="s">
        <v>3962</v>
      </c>
      <c r="I628" s="14" t="s">
        <v>196</v>
      </c>
      <c r="J628" s="14">
        <v>2019</v>
      </c>
      <c r="K628" s="14">
        <v>9781728133683</v>
      </c>
      <c r="L628" s="18"/>
      <c r="M628" s="14" t="s">
        <v>3963</v>
      </c>
      <c r="N628" s="17" t="s">
        <v>3964</v>
      </c>
      <c r="O628" s="14" t="s">
        <v>3965</v>
      </c>
      <c r="P628" s="14" t="s">
        <v>3966</v>
      </c>
      <c r="Q628" s="14" t="s">
        <v>2420</v>
      </c>
      <c r="R628" s="18"/>
      <c r="S628" s="15"/>
      <c r="T628" s="15"/>
      <c r="U628" s="15"/>
      <c r="V628" s="15"/>
    </row>
    <row r="629" spans="1:22" x14ac:dyDescent="0.25">
      <c r="A629" s="14" t="s">
        <v>141</v>
      </c>
      <c r="B629" s="14" t="s">
        <v>3101</v>
      </c>
      <c r="C629" s="14" t="s">
        <v>3967</v>
      </c>
      <c r="D629" s="18"/>
      <c r="E629" s="14">
        <v>2020</v>
      </c>
      <c r="F629" s="18"/>
      <c r="G629" s="18"/>
      <c r="H629" s="14" t="s">
        <v>3103</v>
      </c>
      <c r="I629" s="14" t="s">
        <v>196</v>
      </c>
      <c r="J629" s="14">
        <v>2020</v>
      </c>
      <c r="K629" s="14">
        <v>9781450371223</v>
      </c>
      <c r="L629" s="18"/>
      <c r="M629" s="14" t="s">
        <v>1458</v>
      </c>
      <c r="N629" s="17" t="s">
        <v>3968</v>
      </c>
      <c r="O629" s="14" t="s">
        <v>3105</v>
      </c>
      <c r="P629" s="14" t="s">
        <v>3969</v>
      </c>
      <c r="Q629" s="14" t="s">
        <v>289</v>
      </c>
      <c r="R629" s="18"/>
      <c r="S629" s="15"/>
      <c r="T629" s="15"/>
      <c r="U629" s="15"/>
      <c r="V629" s="15"/>
    </row>
    <row r="630" spans="1:22" x14ac:dyDescent="0.25">
      <c r="A630" s="14" t="s">
        <v>13</v>
      </c>
      <c r="B630" s="14" t="s">
        <v>3970</v>
      </c>
      <c r="C630" s="14" t="s">
        <v>3971</v>
      </c>
      <c r="D630" s="14" t="s">
        <v>3972</v>
      </c>
      <c r="E630" s="14">
        <v>2020</v>
      </c>
      <c r="F630" s="14">
        <v>30</v>
      </c>
      <c r="G630" s="14">
        <v>1</v>
      </c>
      <c r="H630" s="14" t="s">
        <v>3973</v>
      </c>
      <c r="I630" s="14" t="s">
        <v>137</v>
      </c>
      <c r="J630" s="14">
        <v>2020</v>
      </c>
      <c r="K630" s="18"/>
      <c r="L630" s="18"/>
      <c r="M630" s="14" t="s">
        <v>3974</v>
      </c>
      <c r="N630" s="17" t="s">
        <v>3975</v>
      </c>
      <c r="O630" s="14" t="s">
        <v>3976</v>
      </c>
      <c r="P630" s="14" t="s">
        <v>3977</v>
      </c>
      <c r="Q630" s="14" t="s">
        <v>1573</v>
      </c>
      <c r="R630" s="18"/>
      <c r="S630" s="15"/>
      <c r="T630" s="15"/>
      <c r="U630" s="15"/>
      <c r="V630" s="15"/>
    </row>
    <row r="631" spans="1:22" x14ac:dyDescent="0.25">
      <c r="A631" s="14" t="s">
        <v>13</v>
      </c>
      <c r="B631" s="14" t="s">
        <v>3978</v>
      </c>
      <c r="C631" s="14" t="s">
        <v>3979</v>
      </c>
      <c r="D631" s="14" t="s">
        <v>136</v>
      </c>
      <c r="E631" s="14">
        <v>2020</v>
      </c>
      <c r="F631" s="14">
        <v>25</v>
      </c>
      <c r="G631" s="14">
        <v>1</v>
      </c>
      <c r="H631" s="14" t="s">
        <v>3980</v>
      </c>
      <c r="I631" s="14" t="s">
        <v>137</v>
      </c>
      <c r="J631" s="14">
        <v>2020</v>
      </c>
      <c r="K631" s="18"/>
      <c r="L631" s="18"/>
      <c r="M631" s="14" t="s">
        <v>33</v>
      </c>
      <c r="N631" s="17" t="s">
        <v>3981</v>
      </c>
      <c r="O631" s="14" t="s">
        <v>3982</v>
      </c>
      <c r="P631" s="14" t="s">
        <v>3983</v>
      </c>
      <c r="Q631" s="14" t="s">
        <v>3067</v>
      </c>
      <c r="R631" s="18"/>
      <c r="S631" s="15"/>
      <c r="T631" s="15"/>
      <c r="U631" s="15"/>
      <c r="V631" s="15"/>
    </row>
    <row r="632" spans="1:22" x14ac:dyDescent="0.25">
      <c r="A632" s="14" t="s">
        <v>141</v>
      </c>
      <c r="B632" s="14" t="s">
        <v>3984</v>
      </c>
      <c r="C632" s="14" t="s">
        <v>3985</v>
      </c>
      <c r="D632" s="18"/>
      <c r="E632" s="14">
        <v>2020</v>
      </c>
      <c r="F632" s="18"/>
      <c r="G632" s="18"/>
      <c r="H632" s="14" t="s">
        <v>3986</v>
      </c>
      <c r="I632" s="14" t="s">
        <v>153</v>
      </c>
      <c r="J632" s="14">
        <v>2020</v>
      </c>
      <c r="K632" s="14">
        <v>9781450379601</v>
      </c>
      <c r="L632" s="18"/>
      <c r="M632" s="18"/>
      <c r="N632" s="17" t="s">
        <v>3987</v>
      </c>
      <c r="O632" s="14" t="s">
        <v>3988</v>
      </c>
      <c r="P632" s="14" t="s">
        <v>3989</v>
      </c>
      <c r="Q632" s="14" t="s">
        <v>1573</v>
      </c>
      <c r="R632" s="18"/>
      <c r="S632" s="15"/>
      <c r="T632" s="15"/>
      <c r="U632" s="15"/>
      <c r="V632" s="15"/>
    </row>
    <row r="633" spans="1:22" x14ac:dyDescent="0.25">
      <c r="A633" s="14" t="s">
        <v>13</v>
      </c>
      <c r="B633" s="14" t="s">
        <v>3368</v>
      </c>
      <c r="C633" s="14" t="s">
        <v>3990</v>
      </c>
      <c r="D633" s="14" t="s">
        <v>925</v>
      </c>
      <c r="E633" s="14">
        <v>2020</v>
      </c>
      <c r="F633" s="14">
        <v>9</v>
      </c>
      <c r="G633" s="14">
        <v>1</v>
      </c>
      <c r="H633" s="18"/>
      <c r="I633" s="14" t="s">
        <v>3431</v>
      </c>
      <c r="J633" s="14">
        <v>2020</v>
      </c>
      <c r="K633" s="18"/>
      <c r="L633" s="18"/>
      <c r="M633" s="14" t="s">
        <v>926</v>
      </c>
      <c r="N633" s="17" t="s">
        <v>3991</v>
      </c>
      <c r="O633" s="14" t="s">
        <v>3992</v>
      </c>
      <c r="P633" s="14" t="s">
        <v>3993</v>
      </c>
      <c r="Q633" s="14" t="s">
        <v>3994</v>
      </c>
      <c r="R633" s="18"/>
      <c r="S633" s="15"/>
      <c r="T633" s="15"/>
      <c r="U633" s="15"/>
      <c r="V633" s="15"/>
    </row>
    <row r="634" spans="1:22" x14ac:dyDescent="0.25">
      <c r="A634" s="14" t="s">
        <v>13</v>
      </c>
      <c r="B634" s="14" t="s">
        <v>3995</v>
      </c>
      <c r="C634" s="14" t="s">
        <v>3996</v>
      </c>
      <c r="D634" s="14" t="s">
        <v>136</v>
      </c>
      <c r="E634" s="14">
        <v>2019</v>
      </c>
      <c r="F634" s="14">
        <v>24</v>
      </c>
      <c r="G634" s="14">
        <v>4</v>
      </c>
      <c r="H634" s="14" t="s">
        <v>3997</v>
      </c>
      <c r="I634" s="14" t="s">
        <v>3998</v>
      </c>
      <c r="J634" s="14">
        <v>2019</v>
      </c>
      <c r="K634" s="18"/>
      <c r="L634" s="18"/>
      <c r="M634" s="14" t="s">
        <v>33</v>
      </c>
      <c r="N634" s="17" t="s">
        <v>3999</v>
      </c>
      <c r="O634" s="14" t="s">
        <v>4000</v>
      </c>
      <c r="P634" s="14" t="s">
        <v>4001</v>
      </c>
      <c r="Q634" s="14" t="s">
        <v>4002</v>
      </c>
      <c r="R634" s="18"/>
      <c r="S634" s="15"/>
      <c r="T634" s="15"/>
      <c r="U634" s="15"/>
      <c r="V634" s="15"/>
    </row>
    <row r="635" spans="1:22" x14ac:dyDescent="0.25">
      <c r="A635" s="14" t="s">
        <v>13</v>
      </c>
      <c r="B635" s="14" t="s">
        <v>4003</v>
      </c>
      <c r="C635" s="14" t="s">
        <v>4004</v>
      </c>
      <c r="D635" s="14" t="s">
        <v>354</v>
      </c>
      <c r="E635" s="14">
        <v>2019</v>
      </c>
      <c r="F635" s="14">
        <v>152</v>
      </c>
      <c r="G635" s="18"/>
      <c r="H635" s="14" t="s">
        <v>4005</v>
      </c>
      <c r="I635" s="14" t="s">
        <v>355</v>
      </c>
      <c r="J635" s="14">
        <v>2019</v>
      </c>
      <c r="K635" s="18"/>
      <c r="L635" s="18"/>
      <c r="M635" s="14" t="s">
        <v>65</v>
      </c>
      <c r="N635" s="17" t="s">
        <v>4006</v>
      </c>
      <c r="O635" s="14" t="s">
        <v>4007</v>
      </c>
      <c r="P635" s="14" t="s">
        <v>4008</v>
      </c>
      <c r="Q635" s="14" t="s">
        <v>4009</v>
      </c>
      <c r="R635" s="18"/>
      <c r="S635" s="15"/>
      <c r="T635" s="15"/>
      <c r="U635" s="15"/>
      <c r="V635" s="15"/>
    </row>
    <row r="636" spans="1:22" x14ac:dyDescent="0.25">
      <c r="A636" s="14" t="s">
        <v>13</v>
      </c>
      <c r="B636" s="14" t="s">
        <v>4010</v>
      </c>
      <c r="C636" s="14" t="s">
        <v>4011</v>
      </c>
      <c r="D636" s="14" t="s">
        <v>354</v>
      </c>
      <c r="E636" s="14">
        <v>2019</v>
      </c>
      <c r="F636" s="14">
        <v>154</v>
      </c>
      <c r="G636" s="18"/>
      <c r="H636" s="14" t="s">
        <v>4012</v>
      </c>
      <c r="I636" s="14" t="s">
        <v>355</v>
      </c>
      <c r="J636" s="14">
        <v>2019</v>
      </c>
      <c r="K636" s="18"/>
      <c r="L636" s="18"/>
      <c r="M636" s="14" t="s">
        <v>65</v>
      </c>
      <c r="N636" s="17" t="s">
        <v>4013</v>
      </c>
      <c r="O636" s="14" t="s">
        <v>4014</v>
      </c>
      <c r="P636" s="14" t="s">
        <v>4015</v>
      </c>
      <c r="Q636" s="14" t="s">
        <v>4016</v>
      </c>
      <c r="R636" s="18"/>
      <c r="S636" s="15"/>
      <c r="T636" s="15"/>
      <c r="U636" s="15"/>
      <c r="V636" s="15"/>
    </row>
    <row r="637" spans="1:22" x14ac:dyDescent="0.25">
      <c r="A637" s="14" t="s">
        <v>13</v>
      </c>
      <c r="B637" s="14" t="s">
        <v>4017</v>
      </c>
      <c r="C637" s="14" t="s">
        <v>4018</v>
      </c>
      <c r="D637" s="14" t="s">
        <v>4019</v>
      </c>
      <c r="E637" s="14">
        <v>2019</v>
      </c>
      <c r="F637" s="14">
        <v>13</v>
      </c>
      <c r="G637" s="14">
        <v>1</v>
      </c>
      <c r="H637" s="14" t="s">
        <v>4020</v>
      </c>
      <c r="I637" s="14" t="s">
        <v>4021</v>
      </c>
      <c r="J637" s="14">
        <v>2019</v>
      </c>
      <c r="K637" s="18"/>
      <c r="L637" s="18"/>
      <c r="M637" s="14" t="s">
        <v>4022</v>
      </c>
      <c r="N637" s="17" t="s">
        <v>4023</v>
      </c>
      <c r="O637" s="14" t="s">
        <v>4024</v>
      </c>
      <c r="P637" s="14" t="s">
        <v>4025</v>
      </c>
      <c r="Q637" s="14" t="s">
        <v>2243</v>
      </c>
      <c r="R637" s="18"/>
      <c r="S637" s="15"/>
      <c r="T637" s="15"/>
      <c r="U637" s="15"/>
      <c r="V637" s="15"/>
    </row>
    <row r="638" spans="1:22" x14ac:dyDescent="0.25">
      <c r="A638" s="14" t="s">
        <v>13</v>
      </c>
      <c r="B638" s="14" t="s">
        <v>4026</v>
      </c>
      <c r="C638" s="14" t="s">
        <v>4027</v>
      </c>
      <c r="D638" s="14" t="s">
        <v>307</v>
      </c>
      <c r="E638" s="14">
        <v>2019</v>
      </c>
      <c r="F638" s="14">
        <v>113</v>
      </c>
      <c r="G638" s="18"/>
      <c r="H638" s="14" t="s">
        <v>4028</v>
      </c>
      <c r="I638" s="14" t="s">
        <v>280</v>
      </c>
      <c r="J638" s="14">
        <v>2019</v>
      </c>
      <c r="K638" s="18"/>
      <c r="L638" s="18"/>
      <c r="M638" s="14" t="s">
        <v>308</v>
      </c>
      <c r="N638" s="17" t="s">
        <v>4029</v>
      </c>
      <c r="O638" s="14" t="s">
        <v>4030</v>
      </c>
      <c r="P638" s="14" t="s">
        <v>4031</v>
      </c>
      <c r="Q638" s="14" t="s">
        <v>2723</v>
      </c>
      <c r="R638" s="18"/>
      <c r="S638" s="15"/>
      <c r="T638" s="15"/>
      <c r="U638" s="15"/>
      <c r="V638" s="15"/>
    </row>
    <row r="639" spans="1:22" x14ac:dyDescent="0.25">
      <c r="A639" s="14" t="s">
        <v>13</v>
      </c>
      <c r="B639" s="14" t="s">
        <v>4032</v>
      </c>
      <c r="C639" s="14" t="s">
        <v>4033</v>
      </c>
      <c r="D639" s="14" t="s">
        <v>307</v>
      </c>
      <c r="E639" s="14">
        <v>2019</v>
      </c>
      <c r="F639" s="14">
        <v>112</v>
      </c>
      <c r="G639" s="18"/>
      <c r="H639" s="14" t="s">
        <v>4034</v>
      </c>
      <c r="I639" s="14" t="s">
        <v>280</v>
      </c>
      <c r="J639" s="14">
        <v>2019</v>
      </c>
      <c r="K639" s="18"/>
      <c r="L639" s="18"/>
      <c r="M639" s="14" t="s">
        <v>308</v>
      </c>
      <c r="N639" s="17" t="s">
        <v>4035</v>
      </c>
      <c r="O639" s="14" t="s">
        <v>4036</v>
      </c>
      <c r="P639" s="14" t="s">
        <v>4037</v>
      </c>
      <c r="Q639" s="14" t="s">
        <v>2830</v>
      </c>
      <c r="R639" s="18"/>
      <c r="S639" s="15"/>
      <c r="T639" s="15"/>
      <c r="U639" s="15"/>
      <c r="V639" s="15"/>
    </row>
    <row r="640" spans="1:22" x14ac:dyDescent="0.25">
      <c r="A640" s="14" t="s">
        <v>141</v>
      </c>
      <c r="B640" s="14" t="s">
        <v>3236</v>
      </c>
      <c r="C640" s="14" t="s">
        <v>4038</v>
      </c>
      <c r="D640" s="18"/>
      <c r="E640" s="14">
        <v>2019</v>
      </c>
      <c r="F640" s="18"/>
      <c r="G640" s="18"/>
      <c r="H640" s="14" t="s">
        <v>4039</v>
      </c>
      <c r="I640" s="14" t="s">
        <v>257</v>
      </c>
      <c r="J640" s="14">
        <v>2019</v>
      </c>
      <c r="K640" s="14">
        <v>9781728122700</v>
      </c>
      <c r="L640" s="18"/>
      <c r="M640" s="18"/>
      <c r="N640" s="17" t="s">
        <v>4040</v>
      </c>
      <c r="O640" s="14" t="s">
        <v>4041</v>
      </c>
      <c r="P640" s="14" t="s">
        <v>4042</v>
      </c>
      <c r="Q640" s="14" t="s">
        <v>2723</v>
      </c>
      <c r="R640" s="18"/>
      <c r="S640" s="15"/>
      <c r="T640" s="15"/>
      <c r="U640" s="15"/>
      <c r="V640" s="15"/>
    </row>
    <row r="641" spans="1:22" x14ac:dyDescent="0.25">
      <c r="A641" s="14" t="s">
        <v>13</v>
      </c>
      <c r="B641" s="14" t="s">
        <v>2500</v>
      </c>
      <c r="C641" s="14" t="s">
        <v>4043</v>
      </c>
      <c r="D641" s="14" t="s">
        <v>2974</v>
      </c>
      <c r="E641" s="14">
        <v>2020</v>
      </c>
      <c r="F641" s="14">
        <v>617</v>
      </c>
      <c r="G641" s="18"/>
      <c r="H641" s="14" t="s">
        <v>4044</v>
      </c>
      <c r="I641" s="14" t="s">
        <v>212</v>
      </c>
      <c r="J641" s="14">
        <v>2020</v>
      </c>
      <c r="K641" s="18"/>
      <c r="L641" s="18"/>
      <c r="M641" s="14" t="s">
        <v>2976</v>
      </c>
      <c r="N641" s="17" t="s">
        <v>4045</v>
      </c>
      <c r="O641" s="14" t="s">
        <v>4046</v>
      </c>
      <c r="P641" s="14" t="s">
        <v>4047</v>
      </c>
      <c r="Q641" s="14" t="s">
        <v>157</v>
      </c>
      <c r="R641" s="18"/>
      <c r="S641" s="15"/>
      <c r="T641" s="15"/>
      <c r="U641" s="15"/>
      <c r="V641" s="15"/>
    </row>
    <row r="642" spans="1:22" x14ac:dyDescent="0.25">
      <c r="A642" s="14" t="s">
        <v>141</v>
      </c>
      <c r="B642" s="14" t="s">
        <v>4048</v>
      </c>
      <c r="C642" s="14" t="s">
        <v>4049</v>
      </c>
      <c r="D642" s="18"/>
      <c r="E642" s="14">
        <v>2019</v>
      </c>
      <c r="F642" s="14">
        <v>32</v>
      </c>
      <c r="G642" s="18"/>
      <c r="H642" s="18"/>
      <c r="I642" s="14" t="s">
        <v>3301</v>
      </c>
      <c r="J642" s="14">
        <v>2019</v>
      </c>
      <c r="K642" s="18"/>
      <c r="L642" s="18"/>
      <c r="M642" s="14" t="s">
        <v>3302</v>
      </c>
      <c r="N642" s="17" t="s">
        <v>4050</v>
      </c>
      <c r="O642" s="18"/>
      <c r="P642" s="14" t="s">
        <v>4051</v>
      </c>
      <c r="Q642" s="14" t="s">
        <v>4052</v>
      </c>
      <c r="R642" s="18"/>
      <c r="S642" s="15"/>
      <c r="T642" s="15"/>
      <c r="U642" s="15"/>
      <c r="V642" s="15"/>
    </row>
    <row r="643" spans="1:22" x14ac:dyDescent="0.25">
      <c r="A643" s="14" t="s">
        <v>13</v>
      </c>
      <c r="B643" s="14" t="s">
        <v>4053</v>
      </c>
      <c r="C643" s="14" t="s">
        <v>4054</v>
      </c>
      <c r="D643" s="14" t="s">
        <v>4055</v>
      </c>
      <c r="E643" s="14">
        <v>2020</v>
      </c>
      <c r="F643" s="14">
        <v>2020</v>
      </c>
      <c r="G643" s="18"/>
      <c r="H643" s="18"/>
      <c r="I643" s="14" t="s">
        <v>1333</v>
      </c>
      <c r="J643" s="14">
        <v>2020</v>
      </c>
      <c r="K643" s="18"/>
      <c r="L643" s="18"/>
      <c r="M643" s="14" t="s">
        <v>4056</v>
      </c>
      <c r="N643" s="17" t="s">
        <v>4057</v>
      </c>
      <c r="O643" s="14" t="s">
        <v>4058</v>
      </c>
      <c r="P643" s="14" t="s">
        <v>4059</v>
      </c>
      <c r="Q643" s="14" t="s">
        <v>4060</v>
      </c>
      <c r="R643" s="18"/>
      <c r="S643" s="15"/>
      <c r="T643" s="15"/>
      <c r="U643" s="15"/>
      <c r="V643" s="15"/>
    </row>
    <row r="644" spans="1:22" x14ac:dyDescent="0.25">
      <c r="A644" s="14" t="s">
        <v>13</v>
      </c>
      <c r="B644" s="14" t="s">
        <v>4061</v>
      </c>
      <c r="C644" s="14" t="s">
        <v>4062</v>
      </c>
      <c r="D644" s="14" t="s">
        <v>4063</v>
      </c>
      <c r="E644" s="14">
        <v>2020</v>
      </c>
      <c r="F644" s="14">
        <v>14</v>
      </c>
      <c r="G644" s="14">
        <v>5</v>
      </c>
      <c r="H644" s="14" t="s">
        <v>3376</v>
      </c>
      <c r="I644" s="14" t="s">
        <v>4064</v>
      </c>
      <c r="J644" s="14">
        <v>2020</v>
      </c>
      <c r="K644" s="18"/>
      <c r="L644" s="18"/>
      <c r="M644" s="14" t="s">
        <v>4065</v>
      </c>
      <c r="N644" s="17" t="s">
        <v>4066</v>
      </c>
      <c r="O644" s="14" t="s">
        <v>4067</v>
      </c>
      <c r="P644" s="14" t="s">
        <v>4068</v>
      </c>
      <c r="Q644" s="14" t="s">
        <v>318</v>
      </c>
      <c r="R644" s="18"/>
      <c r="S644" s="15"/>
      <c r="T644" s="15"/>
      <c r="U644" s="15"/>
      <c r="V644" s="15"/>
    </row>
    <row r="645" spans="1:22" x14ac:dyDescent="0.25">
      <c r="A645" s="14" t="s">
        <v>141</v>
      </c>
      <c r="B645" s="14" t="s">
        <v>4069</v>
      </c>
      <c r="C645" s="14" t="s">
        <v>4070</v>
      </c>
      <c r="D645" s="18"/>
      <c r="E645" s="14">
        <v>2019</v>
      </c>
      <c r="F645" s="18"/>
      <c r="G645" s="18"/>
      <c r="H645" s="14" t="s">
        <v>4071</v>
      </c>
      <c r="I645" s="14" t="s">
        <v>257</v>
      </c>
      <c r="J645" s="14">
        <v>2019</v>
      </c>
      <c r="K645" s="14">
        <v>9789532330984</v>
      </c>
      <c r="L645" s="18"/>
      <c r="M645" s="18"/>
      <c r="N645" s="17" t="s">
        <v>4072</v>
      </c>
      <c r="O645" s="14" t="s">
        <v>4073</v>
      </c>
      <c r="P645" s="14" t="s">
        <v>4074</v>
      </c>
      <c r="Q645" s="14" t="s">
        <v>176</v>
      </c>
      <c r="R645" s="18"/>
      <c r="S645" s="15"/>
      <c r="T645" s="15"/>
      <c r="U645" s="15"/>
      <c r="V645" s="15"/>
    </row>
    <row r="646" spans="1:22" x14ac:dyDescent="0.25">
      <c r="A646" s="14" t="s">
        <v>13</v>
      </c>
      <c r="B646" s="14" t="s">
        <v>4075</v>
      </c>
      <c r="C646" s="14" t="s">
        <v>4076</v>
      </c>
      <c r="D646" s="14" t="s">
        <v>227</v>
      </c>
      <c r="E646" s="14">
        <v>2020</v>
      </c>
      <c r="F646" s="14">
        <v>10</v>
      </c>
      <c r="G646" s="14">
        <v>13</v>
      </c>
      <c r="H646" s="18"/>
      <c r="I646" s="14" t="s">
        <v>3431</v>
      </c>
      <c r="J646" s="14">
        <v>2020</v>
      </c>
      <c r="K646" s="18"/>
      <c r="L646" s="18"/>
      <c r="M646" s="14" t="s">
        <v>229</v>
      </c>
      <c r="N646" s="17" t="s">
        <v>4077</v>
      </c>
      <c r="O646" s="14" t="s">
        <v>4078</v>
      </c>
      <c r="P646" s="14" t="s">
        <v>4079</v>
      </c>
      <c r="Q646" s="14" t="s">
        <v>960</v>
      </c>
      <c r="R646" s="18"/>
      <c r="S646" s="15"/>
      <c r="T646" s="15"/>
      <c r="U646" s="15"/>
      <c r="V646" s="15"/>
    </row>
    <row r="647" spans="1:22" x14ac:dyDescent="0.25">
      <c r="A647" s="14" t="s">
        <v>141</v>
      </c>
      <c r="B647" s="14" t="s">
        <v>1226</v>
      </c>
      <c r="C647" s="14" t="s">
        <v>4080</v>
      </c>
      <c r="D647" s="18"/>
      <c r="E647" s="14">
        <v>2020</v>
      </c>
      <c r="F647" s="18"/>
      <c r="G647" s="18"/>
      <c r="H647" s="14" t="s">
        <v>4081</v>
      </c>
      <c r="I647" s="14" t="s">
        <v>145</v>
      </c>
      <c r="J647" s="14">
        <v>2020</v>
      </c>
      <c r="K647" s="14">
        <v>9781450377317</v>
      </c>
      <c r="L647" s="18"/>
      <c r="M647" s="18"/>
      <c r="N647" s="17" t="s">
        <v>4082</v>
      </c>
      <c r="O647" s="14" t="s">
        <v>4083</v>
      </c>
      <c r="P647" s="14" t="s">
        <v>4084</v>
      </c>
      <c r="Q647" s="14" t="s">
        <v>1573</v>
      </c>
      <c r="R647" s="18"/>
      <c r="S647" s="15"/>
      <c r="T647" s="15"/>
      <c r="U647" s="15"/>
      <c r="V647" s="15"/>
    </row>
    <row r="648" spans="1:22" x14ac:dyDescent="0.25">
      <c r="A648" s="14" t="s">
        <v>141</v>
      </c>
      <c r="B648" s="14" t="s">
        <v>4085</v>
      </c>
      <c r="C648" s="14" t="s">
        <v>4086</v>
      </c>
      <c r="D648" s="18"/>
      <c r="E648" s="14">
        <v>2019</v>
      </c>
      <c r="F648" s="18"/>
      <c r="G648" s="18"/>
      <c r="H648" s="14" t="s">
        <v>3846</v>
      </c>
      <c r="I648" s="14" t="s">
        <v>153</v>
      </c>
      <c r="J648" s="14">
        <v>2019</v>
      </c>
      <c r="K648" s="14">
        <v>9781450368551</v>
      </c>
      <c r="L648" s="18"/>
      <c r="M648" s="18"/>
      <c r="N648" s="17" t="s">
        <v>4087</v>
      </c>
      <c r="O648" s="14" t="s">
        <v>4088</v>
      </c>
      <c r="P648" s="14" t="s">
        <v>4089</v>
      </c>
      <c r="Q648" s="14" t="s">
        <v>2804</v>
      </c>
      <c r="R648" s="18"/>
      <c r="S648" s="15"/>
      <c r="T648" s="15"/>
      <c r="U648" s="15"/>
      <c r="V648" s="15"/>
    </row>
    <row r="649" spans="1:22" x14ac:dyDescent="0.25">
      <c r="A649" s="14" t="s">
        <v>141</v>
      </c>
      <c r="B649" s="14" t="s">
        <v>4090</v>
      </c>
      <c r="C649" s="14" t="s">
        <v>4091</v>
      </c>
      <c r="D649" s="18"/>
      <c r="E649" s="14">
        <v>2019</v>
      </c>
      <c r="F649" s="18"/>
      <c r="G649" s="18"/>
      <c r="H649" s="14" t="s">
        <v>4092</v>
      </c>
      <c r="I649" s="14" t="s">
        <v>257</v>
      </c>
      <c r="J649" s="14">
        <v>2019</v>
      </c>
      <c r="K649" s="14">
        <v>9781728132853</v>
      </c>
      <c r="L649" s="18"/>
      <c r="M649" s="18"/>
      <c r="N649" s="17" t="s">
        <v>4093</v>
      </c>
      <c r="O649" s="14" t="s">
        <v>4094</v>
      </c>
      <c r="P649" s="14" t="s">
        <v>4095</v>
      </c>
      <c r="Q649" s="14" t="s">
        <v>1765</v>
      </c>
      <c r="R649" s="18"/>
      <c r="S649" s="15"/>
      <c r="T649" s="15"/>
      <c r="U649" s="15"/>
      <c r="V649" s="15"/>
    </row>
    <row r="650" spans="1:22" x14ac:dyDescent="0.25">
      <c r="A650" s="14" t="s">
        <v>141</v>
      </c>
      <c r="B650" s="14" t="s">
        <v>4096</v>
      </c>
      <c r="C650" s="14" t="s">
        <v>4097</v>
      </c>
      <c r="D650" s="18"/>
      <c r="E650" s="14">
        <v>2020</v>
      </c>
      <c r="F650" s="18"/>
      <c r="G650" s="18"/>
      <c r="H650" s="18"/>
      <c r="I650" s="14" t="s">
        <v>257</v>
      </c>
      <c r="J650" s="14">
        <v>2020</v>
      </c>
      <c r="K650" s="14">
        <v>9781728147161</v>
      </c>
      <c r="L650" s="18"/>
      <c r="M650" s="18"/>
      <c r="N650" s="17" t="s">
        <v>4098</v>
      </c>
      <c r="O650" s="14" t="s">
        <v>4099</v>
      </c>
      <c r="P650" s="14" t="s">
        <v>4100</v>
      </c>
      <c r="Q650" s="14" t="s">
        <v>2990</v>
      </c>
      <c r="R650" s="18"/>
      <c r="S650" s="15"/>
      <c r="T650" s="15"/>
      <c r="U650" s="15"/>
      <c r="V650" s="15"/>
    </row>
    <row r="651" spans="1:22" x14ac:dyDescent="0.25">
      <c r="A651" s="14" t="s">
        <v>13</v>
      </c>
      <c r="B651" s="14" t="s">
        <v>4101</v>
      </c>
      <c r="C651" s="14" t="s">
        <v>4102</v>
      </c>
      <c r="D651" s="14" t="s">
        <v>307</v>
      </c>
      <c r="E651" s="14">
        <v>2020</v>
      </c>
      <c r="F651" s="14">
        <v>122</v>
      </c>
      <c r="G651" s="18"/>
      <c r="H651" s="18"/>
      <c r="I651" s="14" t="s">
        <v>280</v>
      </c>
      <c r="J651" s="14">
        <v>2020</v>
      </c>
      <c r="K651" s="18"/>
      <c r="L651" s="18"/>
      <c r="M651" s="14" t="s">
        <v>308</v>
      </c>
      <c r="N651" s="17" t="s">
        <v>4103</v>
      </c>
      <c r="O651" s="14" t="s">
        <v>4104</v>
      </c>
      <c r="P651" s="14" t="s">
        <v>4105</v>
      </c>
      <c r="Q651" s="14" t="s">
        <v>4106</v>
      </c>
      <c r="R651" s="18"/>
      <c r="S651" s="15"/>
      <c r="T651" s="15"/>
      <c r="U651" s="15"/>
      <c r="V651" s="15"/>
    </row>
    <row r="652" spans="1:22" x14ac:dyDescent="0.25">
      <c r="A652" s="14" t="s">
        <v>141</v>
      </c>
      <c r="B652" s="14" t="s">
        <v>4107</v>
      </c>
      <c r="C652" s="14" t="s">
        <v>4108</v>
      </c>
      <c r="D652" s="18"/>
      <c r="E652" s="14">
        <v>2019</v>
      </c>
      <c r="F652" s="18"/>
      <c r="G652" s="18"/>
      <c r="H652" s="14" t="s">
        <v>4109</v>
      </c>
      <c r="I652" s="14" t="s">
        <v>257</v>
      </c>
      <c r="J652" s="14">
        <v>2019</v>
      </c>
      <c r="K652" s="14">
        <v>9781728139272</v>
      </c>
      <c r="L652" s="18"/>
      <c r="M652" s="18"/>
      <c r="N652" s="17" t="s">
        <v>4110</v>
      </c>
      <c r="O652" s="14" t="s">
        <v>4111</v>
      </c>
      <c r="P652" s="14" t="s">
        <v>4112</v>
      </c>
      <c r="Q652" s="14" t="s">
        <v>1813</v>
      </c>
      <c r="R652" s="18"/>
      <c r="S652" s="15"/>
      <c r="T652" s="15"/>
      <c r="U652" s="15"/>
      <c r="V652" s="15"/>
    </row>
    <row r="653" spans="1:22" x14ac:dyDescent="0.25">
      <c r="A653" s="14" t="s">
        <v>13</v>
      </c>
      <c r="B653" s="14" t="s">
        <v>4113</v>
      </c>
      <c r="C653" s="14" t="s">
        <v>4114</v>
      </c>
      <c r="D653" s="14" t="s">
        <v>462</v>
      </c>
      <c r="E653" s="14">
        <v>2020</v>
      </c>
      <c r="F653" s="14" t="s">
        <v>4115</v>
      </c>
      <c r="G653" s="18"/>
      <c r="H653" s="14" t="s">
        <v>4116</v>
      </c>
      <c r="I653" s="14" t="s">
        <v>212</v>
      </c>
      <c r="J653" s="14">
        <v>2020</v>
      </c>
      <c r="K653" s="18"/>
      <c r="L653" s="18"/>
      <c r="M653" s="14" t="s">
        <v>465</v>
      </c>
      <c r="N653" s="17" t="s">
        <v>4117</v>
      </c>
      <c r="O653" s="14" t="s">
        <v>4118</v>
      </c>
      <c r="P653" s="14" t="s">
        <v>4119</v>
      </c>
      <c r="Q653" s="14" t="s">
        <v>4120</v>
      </c>
      <c r="R653" s="18"/>
      <c r="S653" s="15"/>
      <c r="T653" s="15"/>
      <c r="U653" s="15"/>
      <c r="V653" s="15"/>
    </row>
    <row r="654" spans="1:22" x14ac:dyDescent="0.25">
      <c r="A654" s="14" t="s">
        <v>13</v>
      </c>
      <c r="B654" s="14" t="s">
        <v>4121</v>
      </c>
      <c r="C654" s="14" t="s">
        <v>4122</v>
      </c>
      <c r="D654" s="14" t="s">
        <v>307</v>
      </c>
      <c r="E654" s="14">
        <v>2020</v>
      </c>
      <c r="F654" s="14">
        <v>121</v>
      </c>
      <c r="G654" s="18"/>
      <c r="H654" s="18"/>
      <c r="I654" s="14" t="s">
        <v>280</v>
      </c>
      <c r="J654" s="14">
        <v>2020</v>
      </c>
      <c r="K654" s="18"/>
      <c r="L654" s="18"/>
      <c r="M654" s="14" t="s">
        <v>308</v>
      </c>
      <c r="N654" s="17" t="s">
        <v>4123</v>
      </c>
      <c r="O654" s="14" t="s">
        <v>4124</v>
      </c>
      <c r="P654" s="14" t="s">
        <v>4125</v>
      </c>
      <c r="Q654" s="14" t="s">
        <v>3118</v>
      </c>
      <c r="R654" s="18"/>
      <c r="S654" s="15"/>
      <c r="T654" s="15"/>
      <c r="U654" s="15"/>
      <c r="V654" s="15"/>
    </row>
    <row r="655" spans="1:22" x14ac:dyDescent="0.25">
      <c r="A655" s="14" t="s">
        <v>13</v>
      </c>
      <c r="B655" s="14" t="s">
        <v>4126</v>
      </c>
      <c r="C655" s="14" t="s">
        <v>4127</v>
      </c>
      <c r="D655" s="14" t="s">
        <v>4128</v>
      </c>
      <c r="E655" s="14">
        <v>2019</v>
      </c>
      <c r="F655" s="14">
        <v>47</v>
      </c>
      <c r="G655" s="18"/>
      <c r="H655" s="14" t="s">
        <v>4129</v>
      </c>
      <c r="I655" s="14" t="s">
        <v>280</v>
      </c>
      <c r="J655" s="14">
        <v>2019</v>
      </c>
      <c r="K655" s="18"/>
      <c r="L655" s="18"/>
      <c r="M655" s="14" t="s">
        <v>4130</v>
      </c>
      <c r="N655" s="17" t="s">
        <v>4131</v>
      </c>
      <c r="O655" s="14" t="s">
        <v>4132</v>
      </c>
      <c r="P655" s="14" t="s">
        <v>4133</v>
      </c>
      <c r="Q655" s="14" t="s">
        <v>1573</v>
      </c>
      <c r="R655" s="18"/>
      <c r="S655" s="15"/>
      <c r="T655" s="15"/>
      <c r="U655" s="15"/>
      <c r="V655" s="15"/>
    </row>
    <row r="656" spans="1:22" x14ac:dyDescent="0.25">
      <c r="A656" s="14" t="s">
        <v>141</v>
      </c>
      <c r="B656" s="14" t="s">
        <v>4134</v>
      </c>
      <c r="C656" s="14" t="s">
        <v>4135</v>
      </c>
      <c r="D656" s="18"/>
      <c r="E656" s="14">
        <v>2020</v>
      </c>
      <c r="F656" s="18"/>
      <c r="G656" s="18"/>
      <c r="H656" s="14" t="s">
        <v>4136</v>
      </c>
      <c r="I656" s="14" t="s">
        <v>153</v>
      </c>
      <c r="J656" s="14">
        <v>2020</v>
      </c>
      <c r="K656" s="14">
        <v>9781450375122</v>
      </c>
      <c r="L656" s="18"/>
      <c r="M656" s="18"/>
      <c r="N656" s="17" t="s">
        <v>4137</v>
      </c>
      <c r="O656" s="14" t="s">
        <v>4138</v>
      </c>
      <c r="P656" s="14" t="s">
        <v>4139</v>
      </c>
      <c r="Q656" s="14" t="s">
        <v>1573</v>
      </c>
      <c r="R656" s="18"/>
      <c r="S656" s="15"/>
      <c r="T656" s="15"/>
      <c r="U656" s="15"/>
      <c r="V656" s="15"/>
    </row>
    <row r="657" spans="1:22" x14ac:dyDescent="0.25">
      <c r="A657" s="14" t="s">
        <v>141</v>
      </c>
      <c r="B657" s="14" t="s">
        <v>4140</v>
      </c>
      <c r="C657" s="14" t="s">
        <v>4141</v>
      </c>
      <c r="D657" s="18"/>
      <c r="E657" s="14">
        <v>2019</v>
      </c>
      <c r="F657" s="18"/>
      <c r="G657" s="18"/>
      <c r="H657" s="14" t="s">
        <v>1905</v>
      </c>
      <c r="I657" s="14" t="s">
        <v>153</v>
      </c>
      <c r="J657" s="14">
        <v>2019</v>
      </c>
      <c r="K657" s="14">
        <v>9781450355728</v>
      </c>
      <c r="L657" s="18"/>
      <c r="M657" s="18"/>
      <c r="N657" s="17" t="s">
        <v>4142</v>
      </c>
      <c r="O657" s="14" t="s">
        <v>4143</v>
      </c>
      <c r="P657" s="14" t="s">
        <v>4144</v>
      </c>
      <c r="Q657" s="14" t="s">
        <v>1887</v>
      </c>
      <c r="R657" s="18"/>
      <c r="S657" s="15"/>
      <c r="T657" s="15"/>
      <c r="U657" s="15"/>
      <c r="V657" s="15"/>
    </row>
    <row r="658" spans="1:22" x14ac:dyDescent="0.25">
      <c r="A658" s="14" t="s">
        <v>13</v>
      </c>
      <c r="B658" s="14" t="s">
        <v>4145</v>
      </c>
      <c r="C658" s="14" t="s">
        <v>4146</v>
      </c>
      <c r="D658" s="14" t="s">
        <v>307</v>
      </c>
      <c r="E658" s="14">
        <v>2019</v>
      </c>
      <c r="F658" s="14">
        <v>108</v>
      </c>
      <c r="G658" s="18"/>
      <c r="H658" s="14" t="s">
        <v>4147</v>
      </c>
      <c r="I658" s="14" t="s">
        <v>280</v>
      </c>
      <c r="J658" s="14">
        <v>2019</v>
      </c>
      <c r="K658" s="18"/>
      <c r="L658" s="18"/>
      <c r="M658" s="14" t="s">
        <v>308</v>
      </c>
      <c r="N658" s="17" t="s">
        <v>4148</v>
      </c>
      <c r="O658" s="14" t="s">
        <v>4149</v>
      </c>
      <c r="P658" s="14" t="s">
        <v>4150</v>
      </c>
      <c r="Q658" s="14" t="s">
        <v>4151</v>
      </c>
      <c r="R658" s="18"/>
      <c r="S658" s="15"/>
      <c r="T658" s="15"/>
      <c r="U658" s="15"/>
      <c r="V658" s="15"/>
    </row>
    <row r="659" spans="1:22" x14ac:dyDescent="0.25">
      <c r="A659" s="14" t="s">
        <v>13</v>
      </c>
      <c r="B659" s="14" t="s">
        <v>4152</v>
      </c>
      <c r="C659" s="14" t="s">
        <v>4153</v>
      </c>
      <c r="D659" s="14" t="s">
        <v>1870</v>
      </c>
      <c r="E659" s="14">
        <v>2019</v>
      </c>
      <c r="F659" s="14">
        <v>355</v>
      </c>
      <c r="G659" s="18"/>
      <c r="H659" s="14" t="s">
        <v>4154</v>
      </c>
      <c r="I659" s="14" t="s">
        <v>4155</v>
      </c>
      <c r="J659" s="14">
        <v>2019</v>
      </c>
      <c r="K659" s="18"/>
      <c r="L659" s="18"/>
      <c r="M659" s="14" t="s">
        <v>1873</v>
      </c>
      <c r="N659" s="17" t="s">
        <v>4156</v>
      </c>
      <c r="O659" s="14" t="s">
        <v>4157</v>
      </c>
      <c r="P659" s="14" t="s">
        <v>4158</v>
      </c>
      <c r="Q659" s="14" t="s">
        <v>4159</v>
      </c>
      <c r="R659" s="18"/>
      <c r="S659" s="15"/>
      <c r="T659" s="15"/>
      <c r="U659" s="15"/>
      <c r="V659" s="15"/>
    </row>
    <row r="660" spans="1:22" x14ac:dyDescent="0.25">
      <c r="A660" s="14" t="s">
        <v>141</v>
      </c>
      <c r="B660" s="14" t="s">
        <v>4160</v>
      </c>
      <c r="C660" s="14" t="s">
        <v>4161</v>
      </c>
      <c r="D660" s="18"/>
      <c r="E660" s="14">
        <v>2019</v>
      </c>
      <c r="F660" s="21">
        <v>43739</v>
      </c>
      <c r="G660" s="18"/>
      <c r="H660" s="14" t="s">
        <v>4162</v>
      </c>
      <c r="I660" s="14" t="s">
        <v>196</v>
      </c>
      <c r="J660" s="14">
        <v>2019</v>
      </c>
      <c r="K660" s="14">
        <v>9781728109459</v>
      </c>
      <c r="L660" s="18"/>
      <c r="M660" s="14" t="s">
        <v>4163</v>
      </c>
      <c r="N660" s="17" t="s">
        <v>4164</v>
      </c>
      <c r="O660" s="14" t="s">
        <v>4165</v>
      </c>
      <c r="P660" s="14" t="s">
        <v>4166</v>
      </c>
      <c r="Q660" s="14" t="s">
        <v>185</v>
      </c>
      <c r="R660" s="18"/>
      <c r="S660" s="15"/>
      <c r="T660" s="15"/>
      <c r="U660" s="15"/>
      <c r="V660" s="15"/>
    </row>
    <row r="661" spans="1:22" x14ac:dyDescent="0.25">
      <c r="A661" s="14" t="s">
        <v>13</v>
      </c>
      <c r="B661" s="14" t="s">
        <v>4167</v>
      </c>
      <c r="C661" s="14" t="s">
        <v>4168</v>
      </c>
      <c r="D661" s="14" t="s">
        <v>1827</v>
      </c>
      <c r="E661" s="14">
        <v>2019</v>
      </c>
      <c r="F661" s="14">
        <v>182</v>
      </c>
      <c r="G661" s="18"/>
      <c r="H661" s="14" t="s">
        <v>4169</v>
      </c>
      <c r="I661" s="14" t="s">
        <v>280</v>
      </c>
      <c r="J661" s="14">
        <v>2019</v>
      </c>
      <c r="K661" s="18"/>
      <c r="L661" s="18"/>
      <c r="M661" s="14" t="s">
        <v>1828</v>
      </c>
      <c r="N661" s="17" t="s">
        <v>4170</v>
      </c>
      <c r="O661" s="14" t="s">
        <v>4171</v>
      </c>
      <c r="P661" s="14" t="s">
        <v>4172</v>
      </c>
      <c r="Q661" s="14" t="s">
        <v>397</v>
      </c>
      <c r="R661" s="18"/>
      <c r="S661" s="15"/>
      <c r="T661" s="15"/>
      <c r="U661" s="15"/>
      <c r="V661" s="15"/>
    </row>
    <row r="662" spans="1:22" x14ac:dyDescent="0.25">
      <c r="A662" s="14" t="s">
        <v>141</v>
      </c>
      <c r="B662" s="14" t="s">
        <v>4173</v>
      </c>
      <c r="C662" s="14" t="s">
        <v>4174</v>
      </c>
      <c r="D662" s="18"/>
      <c r="E662" s="14">
        <v>2020</v>
      </c>
      <c r="F662" s="18"/>
      <c r="G662" s="18"/>
      <c r="H662" s="18"/>
      <c r="I662" s="14" t="s">
        <v>4175</v>
      </c>
      <c r="J662" s="14">
        <v>2020</v>
      </c>
      <c r="K662" s="18"/>
      <c r="L662" s="18"/>
      <c r="M662" s="18"/>
      <c r="N662" s="17" t="s">
        <v>4176</v>
      </c>
      <c r="O662" s="18"/>
      <c r="P662" s="14" t="s">
        <v>4177</v>
      </c>
      <c r="Q662" s="14" t="s">
        <v>157</v>
      </c>
      <c r="R662" s="18"/>
      <c r="S662" s="15"/>
      <c r="T662" s="15"/>
      <c r="U662" s="15"/>
      <c r="V662" s="15"/>
    </row>
    <row r="663" spans="1:22" x14ac:dyDescent="0.25">
      <c r="A663" s="14" t="s">
        <v>141</v>
      </c>
      <c r="B663" s="14" t="s">
        <v>4178</v>
      </c>
      <c r="C663" s="14" t="s">
        <v>4179</v>
      </c>
      <c r="D663" s="18"/>
      <c r="E663" s="14">
        <v>2019</v>
      </c>
      <c r="F663" s="14">
        <v>2520</v>
      </c>
      <c r="G663" s="18"/>
      <c r="H663" s="14" t="s">
        <v>4180</v>
      </c>
      <c r="I663" s="14" t="s">
        <v>613</v>
      </c>
      <c r="J663" s="14">
        <v>2019</v>
      </c>
      <c r="K663" s="18"/>
      <c r="L663" s="18"/>
      <c r="M663" s="14" t="s">
        <v>614</v>
      </c>
      <c r="N663" s="17" t="s">
        <v>4181</v>
      </c>
      <c r="O663" s="18"/>
      <c r="P663" s="14" t="s">
        <v>4182</v>
      </c>
      <c r="Q663" s="14" t="s">
        <v>157</v>
      </c>
      <c r="R663" s="18"/>
      <c r="S663" s="15"/>
      <c r="T663" s="15"/>
      <c r="U663" s="15"/>
      <c r="V663" s="15"/>
    </row>
    <row r="664" spans="1:22" x14ac:dyDescent="0.25">
      <c r="A664" s="14" t="s">
        <v>141</v>
      </c>
      <c r="B664" s="14" t="s">
        <v>4183</v>
      </c>
      <c r="C664" s="14" t="s">
        <v>4184</v>
      </c>
      <c r="D664" s="18"/>
      <c r="E664" s="14">
        <v>2020</v>
      </c>
      <c r="F664" s="14">
        <v>1691</v>
      </c>
      <c r="G664" s="18"/>
      <c r="H664" s="18"/>
      <c r="I664" s="14" t="s">
        <v>2437</v>
      </c>
      <c r="J664" s="14">
        <v>2020</v>
      </c>
      <c r="K664" s="18"/>
      <c r="L664" s="18"/>
      <c r="M664" s="14" t="s">
        <v>2438</v>
      </c>
      <c r="N664" s="17" t="s">
        <v>4185</v>
      </c>
      <c r="O664" s="14" t="s">
        <v>4186</v>
      </c>
      <c r="P664" s="14" t="s">
        <v>4187</v>
      </c>
      <c r="Q664" s="14" t="s">
        <v>568</v>
      </c>
      <c r="R664" s="18"/>
      <c r="S664" s="15"/>
      <c r="T664" s="15"/>
      <c r="U664" s="15"/>
      <c r="V664" s="15"/>
    </row>
    <row r="665" spans="1:22" x14ac:dyDescent="0.25">
      <c r="A665" s="14" t="s">
        <v>141</v>
      </c>
      <c r="B665" s="14" t="s">
        <v>4188</v>
      </c>
      <c r="C665" s="14" t="s">
        <v>4189</v>
      </c>
      <c r="D665" s="18"/>
      <c r="E665" s="14">
        <v>2019</v>
      </c>
      <c r="F665" s="14">
        <v>2520</v>
      </c>
      <c r="G665" s="18"/>
      <c r="H665" s="14" t="s">
        <v>4190</v>
      </c>
      <c r="I665" s="14" t="s">
        <v>613</v>
      </c>
      <c r="J665" s="14">
        <v>2019</v>
      </c>
      <c r="K665" s="18"/>
      <c r="L665" s="18"/>
      <c r="M665" s="14" t="s">
        <v>614</v>
      </c>
      <c r="N665" s="17" t="s">
        <v>4191</v>
      </c>
      <c r="O665" s="18"/>
      <c r="P665" s="14" t="s">
        <v>4192</v>
      </c>
      <c r="Q665" s="14" t="s">
        <v>157</v>
      </c>
      <c r="R665" s="18"/>
      <c r="S665" s="15"/>
      <c r="T665" s="15"/>
      <c r="U665" s="15"/>
      <c r="V665" s="15"/>
    </row>
    <row r="666" spans="1:22" x14ac:dyDescent="0.25">
      <c r="A666" s="14" t="s">
        <v>141</v>
      </c>
      <c r="B666" s="14" t="s">
        <v>1095</v>
      </c>
      <c r="C666" s="14" t="s">
        <v>4193</v>
      </c>
      <c r="D666" s="18"/>
      <c r="E666" s="14">
        <v>2020</v>
      </c>
      <c r="F666" s="18"/>
      <c r="G666" s="18"/>
      <c r="H666" s="14" t="s">
        <v>4194</v>
      </c>
      <c r="I666" s="14" t="s">
        <v>153</v>
      </c>
      <c r="J666" s="14">
        <v>2020</v>
      </c>
      <c r="K666" s="14">
        <v>9781450379571</v>
      </c>
      <c r="L666" s="18"/>
      <c r="M666" s="18"/>
      <c r="N666" s="17" t="s">
        <v>4195</v>
      </c>
      <c r="O666" s="14" t="s">
        <v>4196</v>
      </c>
      <c r="P666" s="14" t="s">
        <v>4197</v>
      </c>
      <c r="Q666" s="14" t="s">
        <v>2243</v>
      </c>
      <c r="R666" s="18"/>
      <c r="S666" s="15"/>
      <c r="T666" s="15"/>
      <c r="U666" s="15"/>
      <c r="V666" s="15"/>
    </row>
    <row r="667" spans="1:22" x14ac:dyDescent="0.25">
      <c r="A667" s="14" t="s">
        <v>141</v>
      </c>
      <c r="B667" s="14" t="s">
        <v>4198</v>
      </c>
      <c r="C667" s="14" t="s">
        <v>4199</v>
      </c>
      <c r="D667" s="18"/>
      <c r="E667" s="14">
        <v>2020</v>
      </c>
      <c r="F667" s="18"/>
      <c r="G667" s="18"/>
      <c r="H667" s="14" t="s">
        <v>4200</v>
      </c>
      <c r="I667" s="14" t="s">
        <v>257</v>
      </c>
      <c r="J667" s="14">
        <v>2020</v>
      </c>
      <c r="K667" s="14">
        <v>9781728155180</v>
      </c>
      <c r="L667" s="18"/>
      <c r="M667" s="18"/>
      <c r="N667" s="17" t="s">
        <v>4201</v>
      </c>
      <c r="O667" s="14" t="s">
        <v>4202</v>
      </c>
      <c r="P667" s="14" t="s">
        <v>4203</v>
      </c>
      <c r="Q667" s="14" t="s">
        <v>185</v>
      </c>
      <c r="R667" s="18"/>
      <c r="S667" s="15"/>
      <c r="T667" s="15"/>
      <c r="U667" s="15"/>
      <c r="V667" s="15"/>
    </row>
    <row r="668" spans="1:22" x14ac:dyDescent="0.25">
      <c r="A668" s="14" t="s">
        <v>539</v>
      </c>
      <c r="B668" s="14" t="s">
        <v>4204</v>
      </c>
      <c r="C668" s="14" t="s">
        <v>4205</v>
      </c>
      <c r="D668" s="18"/>
      <c r="E668" s="14">
        <v>2020</v>
      </c>
      <c r="F668" s="18"/>
      <c r="G668" s="18"/>
      <c r="H668" s="18"/>
      <c r="I668" s="14" t="s">
        <v>4206</v>
      </c>
      <c r="J668" s="14">
        <v>2020</v>
      </c>
      <c r="K668" s="14">
        <v>9783030369187</v>
      </c>
      <c r="L668" s="14">
        <v>9783030369170</v>
      </c>
      <c r="M668" s="18"/>
      <c r="N668" s="17" t="s">
        <v>4207</v>
      </c>
      <c r="O668" s="14" t="s">
        <v>4208</v>
      </c>
      <c r="P668" s="14" t="s">
        <v>4209</v>
      </c>
      <c r="Q668" s="14" t="s">
        <v>1094</v>
      </c>
      <c r="R668" s="14" t="s">
        <v>4210</v>
      </c>
      <c r="S668" s="15"/>
      <c r="T668" s="15"/>
      <c r="U668" s="15"/>
      <c r="V668" s="15"/>
    </row>
    <row r="669" spans="1:22" x14ac:dyDescent="0.25">
      <c r="A669" s="14" t="s">
        <v>13</v>
      </c>
      <c r="B669" s="14" t="s">
        <v>4211</v>
      </c>
      <c r="C669" s="14" t="s">
        <v>4212</v>
      </c>
      <c r="D669" s="14" t="s">
        <v>1870</v>
      </c>
      <c r="E669" s="14">
        <v>2020</v>
      </c>
      <c r="F669" s="14" t="s">
        <v>4213</v>
      </c>
      <c r="G669" s="18"/>
      <c r="H669" s="14" t="s">
        <v>4214</v>
      </c>
      <c r="I669" s="14" t="s">
        <v>137</v>
      </c>
      <c r="J669" s="14">
        <v>2020</v>
      </c>
      <c r="K669" s="18"/>
      <c r="L669" s="18"/>
      <c r="M669" s="14" t="s">
        <v>1873</v>
      </c>
      <c r="N669" s="17" t="s">
        <v>4215</v>
      </c>
      <c r="O669" s="14" t="s">
        <v>4216</v>
      </c>
      <c r="P669" s="14" t="s">
        <v>4217</v>
      </c>
      <c r="Q669" s="14" t="s">
        <v>2201</v>
      </c>
      <c r="R669" s="18"/>
      <c r="S669" s="15"/>
      <c r="T669" s="15"/>
      <c r="U669" s="15"/>
      <c r="V669" s="15"/>
    </row>
    <row r="670" spans="1:22" x14ac:dyDescent="0.25">
      <c r="A670" s="14" t="s">
        <v>13</v>
      </c>
      <c r="B670" s="14" t="s">
        <v>4218</v>
      </c>
      <c r="C670" s="14" t="s">
        <v>4219</v>
      </c>
      <c r="D670" s="14" t="s">
        <v>878</v>
      </c>
      <c r="E670" s="14">
        <v>2019</v>
      </c>
      <c r="F670" s="14">
        <v>31</v>
      </c>
      <c r="G670" s="14">
        <v>9</v>
      </c>
      <c r="H670" s="18"/>
      <c r="I670" s="14" t="s">
        <v>266</v>
      </c>
      <c r="J670" s="14">
        <v>2019</v>
      </c>
      <c r="K670" s="18"/>
      <c r="L670" s="18"/>
      <c r="M670" s="14" t="s">
        <v>879</v>
      </c>
      <c r="N670" s="17" t="s">
        <v>4220</v>
      </c>
      <c r="O670" s="14" t="s">
        <v>4221</v>
      </c>
      <c r="P670" s="14" t="s">
        <v>4222</v>
      </c>
      <c r="Q670" s="14" t="s">
        <v>2723</v>
      </c>
      <c r="R670" s="18"/>
      <c r="S670" s="15"/>
      <c r="T670" s="15"/>
      <c r="U670" s="15"/>
      <c r="V670" s="15"/>
    </row>
    <row r="671" spans="1:22" x14ac:dyDescent="0.25">
      <c r="A671" s="14" t="s">
        <v>13</v>
      </c>
      <c r="B671" s="14" t="s">
        <v>4223</v>
      </c>
      <c r="C671" s="14" t="s">
        <v>4224</v>
      </c>
      <c r="D671" s="14" t="s">
        <v>354</v>
      </c>
      <c r="E671" s="14">
        <v>2019</v>
      </c>
      <c r="F671" s="14">
        <v>149</v>
      </c>
      <c r="G671" s="18"/>
      <c r="H671" s="14" t="s">
        <v>4225</v>
      </c>
      <c r="I671" s="14" t="s">
        <v>355</v>
      </c>
      <c r="J671" s="14">
        <v>2019</v>
      </c>
      <c r="K671" s="18"/>
      <c r="L671" s="18"/>
      <c r="M671" s="14" t="s">
        <v>65</v>
      </c>
      <c r="N671" s="17" t="s">
        <v>4226</v>
      </c>
      <c r="O671" s="14" t="s">
        <v>4227</v>
      </c>
      <c r="P671" s="14" t="s">
        <v>4228</v>
      </c>
      <c r="Q671" s="14" t="s">
        <v>4229</v>
      </c>
      <c r="R671" s="18"/>
      <c r="S671" s="15"/>
      <c r="T671" s="15"/>
      <c r="U671" s="15"/>
      <c r="V671" s="15"/>
    </row>
    <row r="672" spans="1:22" x14ac:dyDescent="0.25">
      <c r="A672" s="14" t="s">
        <v>13</v>
      </c>
      <c r="B672" s="14" t="s">
        <v>4230</v>
      </c>
      <c r="C672" s="14" t="s">
        <v>4231</v>
      </c>
      <c r="D672" s="14" t="s">
        <v>4232</v>
      </c>
      <c r="E672" s="14">
        <v>2020</v>
      </c>
      <c r="F672" s="14">
        <v>13</v>
      </c>
      <c r="G672" s="14">
        <v>12</v>
      </c>
      <c r="H672" s="14" t="s">
        <v>4233</v>
      </c>
      <c r="I672" s="14" t="s">
        <v>4234</v>
      </c>
      <c r="J672" s="14">
        <v>2020</v>
      </c>
      <c r="K672" s="18"/>
      <c r="L672" s="18"/>
      <c r="M672" s="14" t="s">
        <v>4235</v>
      </c>
      <c r="N672" s="17" t="s">
        <v>4236</v>
      </c>
      <c r="O672" s="14" t="s">
        <v>4237</v>
      </c>
      <c r="P672" s="14" t="s">
        <v>4238</v>
      </c>
      <c r="Q672" s="14" t="s">
        <v>2579</v>
      </c>
      <c r="R672" s="18"/>
      <c r="S672" s="15"/>
      <c r="T672" s="15"/>
      <c r="U672" s="15"/>
      <c r="V672" s="15"/>
    </row>
    <row r="673" spans="1:22" x14ac:dyDescent="0.25">
      <c r="A673" s="14" t="s">
        <v>13</v>
      </c>
      <c r="B673" s="14" t="s">
        <v>4239</v>
      </c>
      <c r="C673" s="14" t="s">
        <v>4240</v>
      </c>
      <c r="D673" s="14" t="s">
        <v>4232</v>
      </c>
      <c r="E673" s="14">
        <v>2020</v>
      </c>
      <c r="F673" s="14">
        <v>14</v>
      </c>
      <c r="G673" s="14">
        <v>4</v>
      </c>
      <c r="H673" s="14" t="s">
        <v>4241</v>
      </c>
      <c r="I673" s="14" t="s">
        <v>4234</v>
      </c>
      <c r="J673" s="14">
        <v>2020</v>
      </c>
      <c r="K673" s="18"/>
      <c r="L673" s="18"/>
      <c r="M673" s="14" t="s">
        <v>4235</v>
      </c>
      <c r="N673" s="17" t="s">
        <v>4242</v>
      </c>
      <c r="O673" s="14" t="s">
        <v>4243</v>
      </c>
      <c r="P673" s="14" t="s">
        <v>4244</v>
      </c>
      <c r="Q673" s="14" t="s">
        <v>289</v>
      </c>
      <c r="R673" s="18"/>
      <c r="S673" s="15"/>
      <c r="T673" s="15"/>
      <c r="U673" s="15"/>
      <c r="V673" s="15"/>
    </row>
    <row r="674" spans="1:22" x14ac:dyDescent="0.25">
      <c r="A674" s="14" t="s">
        <v>13</v>
      </c>
      <c r="B674" s="14" t="s">
        <v>4245</v>
      </c>
      <c r="C674" s="14" t="s">
        <v>4246</v>
      </c>
      <c r="D674" s="14" t="s">
        <v>3475</v>
      </c>
      <c r="E674" s="14">
        <v>2020</v>
      </c>
      <c r="F674" s="14">
        <v>1134</v>
      </c>
      <c r="G674" s="18"/>
      <c r="H674" s="14" t="s">
        <v>4247</v>
      </c>
      <c r="I674" s="14" t="s">
        <v>137</v>
      </c>
      <c r="J674" s="14">
        <v>2020</v>
      </c>
      <c r="K674" s="18"/>
      <c r="L674" s="18"/>
      <c r="M674" s="14" t="s">
        <v>3478</v>
      </c>
      <c r="N674" s="17" t="s">
        <v>4248</v>
      </c>
      <c r="O674" s="14" t="s">
        <v>4249</v>
      </c>
      <c r="P674" s="14" t="s">
        <v>4250</v>
      </c>
      <c r="Q674" s="14" t="s">
        <v>185</v>
      </c>
      <c r="R674" s="18"/>
      <c r="S674" s="15"/>
      <c r="T674" s="15"/>
      <c r="U674" s="15"/>
      <c r="V674" s="15"/>
    </row>
    <row r="675" spans="1:22" x14ac:dyDescent="0.25">
      <c r="A675" s="14" t="s">
        <v>141</v>
      </c>
      <c r="B675" s="14" t="s">
        <v>4251</v>
      </c>
      <c r="C675" s="14" t="s">
        <v>4252</v>
      </c>
      <c r="D675" s="18"/>
      <c r="E675" s="14">
        <v>2019</v>
      </c>
      <c r="F675" s="18"/>
      <c r="G675" s="18"/>
      <c r="H675" s="14" t="s">
        <v>4253</v>
      </c>
      <c r="I675" s="14" t="s">
        <v>257</v>
      </c>
      <c r="J675" s="14">
        <v>2019</v>
      </c>
      <c r="K675" s="14">
        <v>9781728133713</v>
      </c>
      <c r="L675" s="18"/>
      <c r="M675" s="18"/>
      <c r="N675" s="17" t="s">
        <v>4254</v>
      </c>
      <c r="O675" s="14" t="s">
        <v>4255</v>
      </c>
      <c r="P675" s="14" t="s">
        <v>4256</v>
      </c>
      <c r="Q675" s="14" t="s">
        <v>2723</v>
      </c>
      <c r="R675" s="18"/>
      <c r="S675" s="15"/>
      <c r="T675" s="15"/>
      <c r="U675" s="15"/>
      <c r="V675" s="15"/>
    </row>
    <row r="676" spans="1:22" x14ac:dyDescent="0.25">
      <c r="A676" s="14" t="s">
        <v>13</v>
      </c>
      <c r="B676" s="14" t="s">
        <v>4257</v>
      </c>
      <c r="C676" s="14" t="s">
        <v>4258</v>
      </c>
      <c r="D676" s="14" t="s">
        <v>1870</v>
      </c>
      <c r="E676" s="14">
        <v>2019</v>
      </c>
      <c r="F676" s="14" t="s">
        <v>4259</v>
      </c>
      <c r="G676" s="18"/>
      <c r="H676" s="14" t="s">
        <v>4260</v>
      </c>
      <c r="I676" s="14" t="s">
        <v>137</v>
      </c>
      <c r="J676" s="14">
        <v>2019</v>
      </c>
      <c r="K676" s="18"/>
      <c r="L676" s="18"/>
      <c r="M676" s="14" t="s">
        <v>1873</v>
      </c>
      <c r="N676" s="17" t="s">
        <v>4261</v>
      </c>
      <c r="O676" s="14" t="s">
        <v>4262</v>
      </c>
      <c r="P676" s="14" t="s">
        <v>4263</v>
      </c>
      <c r="Q676" s="14" t="s">
        <v>318</v>
      </c>
      <c r="R676" s="18"/>
      <c r="S676" s="15"/>
      <c r="T676" s="15"/>
      <c r="U676" s="15"/>
      <c r="V676" s="15"/>
    </row>
    <row r="677" spans="1:22" x14ac:dyDescent="0.25">
      <c r="A677" s="14" t="s">
        <v>13</v>
      </c>
      <c r="B677" s="14" t="s">
        <v>4264</v>
      </c>
      <c r="C677" s="14" t="s">
        <v>4265</v>
      </c>
      <c r="D677" s="14" t="s">
        <v>4266</v>
      </c>
      <c r="E677" s="14">
        <v>2019</v>
      </c>
      <c r="F677" s="14">
        <v>11</v>
      </c>
      <c r="G677" s="14">
        <v>1</v>
      </c>
      <c r="H677" s="14" t="s">
        <v>4267</v>
      </c>
      <c r="I677" s="14" t="s">
        <v>4268</v>
      </c>
      <c r="J677" s="14">
        <v>2019</v>
      </c>
      <c r="K677" s="18"/>
      <c r="L677" s="18"/>
      <c r="M677" s="14" t="s">
        <v>4269</v>
      </c>
      <c r="N677" s="17" t="s">
        <v>4270</v>
      </c>
      <c r="O677" s="14" t="s">
        <v>4271</v>
      </c>
      <c r="P677" s="14" t="s">
        <v>4272</v>
      </c>
      <c r="Q677" s="14" t="s">
        <v>2830</v>
      </c>
      <c r="R677" s="18"/>
      <c r="S677" s="15"/>
      <c r="T677" s="15"/>
      <c r="U677" s="15"/>
      <c r="V677" s="15"/>
    </row>
    <row r="678" spans="1:22" x14ac:dyDescent="0.25">
      <c r="A678" s="14" t="s">
        <v>141</v>
      </c>
      <c r="B678" s="14" t="s">
        <v>4273</v>
      </c>
      <c r="C678" s="14" t="s">
        <v>4274</v>
      </c>
      <c r="D678" s="18"/>
      <c r="E678" s="14">
        <v>2019</v>
      </c>
      <c r="F678" s="21">
        <v>43586</v>
      </c>
      <c r="G678" s="18"/>
      <c r="H678" s="14" t="s">
        <v>4275</v>
      </c>
      <c r="I678" s="14" t="s">
        <v>196</v>
      </c>
      <c r="J678" s="14">
        <v>2019</v>
      </c>
      <c r="K678" s="14">
        <v>9781728115191</v>
      </c>
      <c r="L678" s="18"/>
      <c r="M678" s="18"/>
      <c r="N678" s="17" t="s">
        <v>4276</v>
      </c>
      <c r="O678" s="14" t="s">
        <v>4277</v>
      </c>
      <c r="P678" s="14" t="s">
        <v>4278</v>
      </c>
      <c r="Q678" s="14" t="s">
        <v>4279</v>
      </c>
      <c r="R678" s="18"/>
      <c r="S678" s="15"/>
      <c r="T678" s="15"/>
      <c r="U678" s="15"/>
      <c r="V678" s="15"/>
    </row>
    <row r="679" spans="1:22" x14ac:dyDescent="0.25">
      <c r="A679" s="14" t="s">
        <v>141</v>
      </c>
      <c r="B679" s="14" t="s">
        <v>4280</v>
      </c>
      <c r="C679" s="14" t="s">
        <v>4281</v>
      </c>
      <c r="D679" s="18"/>
      <c r="E679" s="14">
        <v>2019</v>
      </c>
      <c r="F679" s="18"/>
      <c r="G679" s="18"/>
      <c r="H679" s="14" t="s">
        <v>4282</v>
      </c>
      <c r="I679" s="14" t="s">
        <v>257</v>
      </c>
      <c r="J679" s="14">
        <v>2019</v>
      </c>
      <c r="K679" s="14">
        <v>9781728118765</v>
      </c>
      <c r="L679" s="18"/>
      <c r="M679" s="18"/>
      <c r="N679" s="17" t="s">
        <v>4283</v>
      </c>
      <c r="O679" s="14" t="s">
        <v>4284</v>
      </c>
      <c r="P679" s="14" t="s">
        <v>4285</v>
      </c>
      <c r="Q679" s="14" t="s">
        <v>4286</v>
      </c>
      <c r="R679" s="18"/>
      <c r="S679" s="15"/>
      <c r="T679" s="15"/>
      <c r="U679" s="15"/>
      <c r="V679" s="15"/>
    </row>
    <row r="680" spans="1:22" x14ac:dyDescent="0.25">
      <c r="A680" s="14" t="s">
        <v>141</v>
      </c>
      <c r="B680" s="14" t="s">
        <v>4287</v>
      </c>
      <c r="C680" s="14" t="s">
        <v>4288</v>
      </c>
      <c r="D680" s="18"/>
      <c r="E680" s="14">
        <v>2019</v>
      </c>
      <c r="F680" s="18"/>
      <c r="G680" s="18"/>
      <c r="H680" s="18"/>
      <c r="I680" s="14" t="s">
        <v>145</v>
      </c>
      <c r="J680" s="14">
        <v>2019</v>
      </c>
      <c r="K680" s="14">
        <v>9781450359702</v>
      </c>
      <c r="L680" s="18"/>
      <c r="M680" s="18"/>
      <c r="N680" s="17" t="s">
        <v>4289</v>
      </c>
      <c r="O680" s="14" t="s">
        <v>4290</v>
      </c>
      <c r="P680" s="14" t="s">
        <v>4291</v>
      </c>
      <c r="Q680" s="14" t="s">
        <v>4292</v>
      </c>
      <c r="R680" s="18"/>
      <c r="S680" s="15"/>
      <c r="T680" s="15"/>
      <c r="U680" s="15"/>
      <c r="V680" s="15"/>
    </row>
    <row r="681" spans="1:22" x14ac:dyDescent="0.25">
      <c r="A681" s="14" t="s">
        <v>13</v>
      </c>
      <c r="B681" s="14" t="s">
        <v>4293</v>
      </c>
      <c r="C681" s="14" t="s">
        <v>4294</v>
      </c>
      <c r="D681" s="14" t="s">
        <v>668</v>
      </c>
      <c r="E681" s="14">
        <v>2020</v>
      </c>
      <c r="F681" s="14">
        <v>8</v>
      </c>
      <c r="G681" s="18"/>
      <c r="H681" s="14" t="s">
        <v>4295</v>
      </c>
      <c r="I681" s="14" t="s">
        <v>257</v>
      </c>
      <c r="J681" s="14">
        <v>2020</v>
      </c>
      <c r="K681" s="18"/>
      <c r="L681" s="18"/>
      <c r="M681" s="14" t="s">
        <v>670</v>
      </c>
      <c r="N681" s="17" t="s">
        <v>4296</v>
      </c>
      <c r="O681" s="14" t="s">
        <v>4297</v>
      </c>
      <c r="P681" s="14" t="s">
        <v>4298</v>
      </c>
      <c r="Q681" s="14" t="s">
        <v>4299</v>
      </c>
      <c r="R681" s="18"/>
      <c r="S681" s="15"/>
      <c r="T681" s="15"/>
      <c r="U681" s="15"/>
      <c r="V681" s="15"/>
    </row>
    <row r="682" spans="1:22" x14ac:dyDescent="0.25">
      <c r="A682" s="14" t="s">
        <v>13</v>
      </c>
      <c r="B682" s="14" t="s">
        <v>4300</v>
      </c>
      <c r="C682" s="14" t="s">
        <v>4301</v>
      </c>
      <c r="D682" s="14" t="s">
        <v>668</v>
      </c>
      <c r="E682" s="14">
        <v>2020</v>
      </c>
      <c r="F682" s="14">
        <v>8</v>
      </c>
      <c r="G682" s="18"/>
      <c r="H682" s="14" t="s">
        <v>4302</v>
      </c>
      <c r="I682" s="14" t="s">
        <v>257</v>
      </c>
      <c r="J682" s="14">
        <v>2020</v>
      </c>
      <c r="K682" s="18"/>
      <c r="L682" s="18"/>
      <c r="M682" s="14" t="s">
        <v>670</v>
      </c>
      <c r="N682" s="17" t="s">
        <v>4303</v>
      </c>
      <c r="O682" s="14" t="s">
        <v>4304</v>
      </c>
      <c r="P682" s="14" t="s">
        <v>4305</v>
      </c>
      <c r="Q682" s="14" t="s">
        <v>3499</v>
      </c>
      <c r="R682" s="18"/>
      <c r="S682" s="15"/>
      <c r="T682" s="15"/>
      <c r="U682" s="15"/>
      <c r="V682" s="15"/>
    </row>
    <row r="683" spans="1:22" x14ac:dyDescent="0.25">
      <c r="A683" s="14" t="s">
        <v>13</v>
      </c>
      <c r="B683" s="14" t="s">
        <v>4306</v>
      </c>
      <c r="C683" s="14" t="s">
        <v>4307</v>
      </c>
      <c r="D683" s="14" t="s">
        <v>328</v>
      </c>
      <c r="E683" s="14">
        <v>2019</v>
      </c>
      <c r="F683" s="14">
        <v>28</v>
      </c>
      <c r="G683" s="14">
        <v>3</v>
      </c>
      <c r="H683" s="18"/>
      <c r="I683" s="14" t="s">
        <v>145</v>
      </c>
      <c r="J683" s="14">
        <v>2019</v>
      </c>
      <c r="K683" s="18"/>
      <c r="L683" s="18"/>
      <c r="M683" s="14" t="s">
        <v>329</v>
      </c>
      <c r="N683" s="17" t="s">
        <v>4308</v>
      </c>
      <c r="O683" s="14" t="s">
        <v>4309</v>
      </c>
      <c r="P683" s="14" t="s">
        <v>4310</v>
      </c>
      <c r="Q683" s="14" t="s">
        <v>4311</v>
      </c>
      <c r="R683" s="18"/>
      <c r="S683" s="15"/>
      <c r="T683" s="15"/>
      <c r="U683" s="15"/>
      <c r="V683" s="15"/>
    </row>
    <row r="684" spans="1:22" x14ac:dyDescent="0.25">
      <c r="A684" s="14" t="s">
        <v>13</v>
      </c>
      <c r="B684" s="14" t="s">
        <v>4312</v>
      </c>
      <c r="C684" s="14" t="s">
        <v>4313</v>
      </c>
      <c r="D684" s="14" t="s">
        <v>668</v>
      </c>
      <c r="E684" s="14">
        <v>2020</v>
      </c>
      <c r="F684" s="14">
        <v>8</v>
      </c>
      <c r="G684" s="18"/>
      <c r="H684" s="14" t="s">
        <v>4314</v>
      </c>
      <c r="I684" s="14" t="s">
        <v>257</v>
      </c>
      <c r="J684" s="14">
        <v>2020</v>
      </c>
      <c r="K684" s="18"/>
      <c r="L684" s="18"/>
      <c r="M684" s="14" t="s">
        <v>670</v>
      </c>
      <c r="N684" s="17" t="s">
        <v>4315</v>
      </c>
      <c r="O684" s="14" t="s">
        <v>4316</v>
      </c>
      <c r="P684" s="14" t="s">
        <v>4317</v>
      </c>
      <c r="Q684" s="14" t="s">
        <v>3135</v>
      </c>
      <c r="R684" s="18"/>
      <c r="S684" s="15"/>
      <c r="T684" s="15"/>
      <c r="U684" s="15"/>
      <c r="V684" s="15"/>
    </row>
    <row r="685" spans="1:22" x14ac:dyDescent="0.25">
      <c r="A685" s="14" t="s">
        <v>141</v>
      </c>
      <c r="B685" s="14" t="s">
        <v>4318</v>
      </c>
      <c r="C685" s="14" t="s">
        <v>4319</v>
      </c>
      <c r="D685" s="18"/>
      <c r="E685" s="14">
        <v>2019</v>
      </c>
      <c r="F685" s="18"/>
      <c r="G685" s="18"/>
      <c r="H685" s="18"/>
      <c r="I685" s="14" t="s">
        <v>257</v>
      </c>
      <c r="J685" s="14">
        <v>2019</v>
      </c>
      <c r="K685" s="14">
        <v>9781728131856</v>
      </c>
      <c r="L685" s="18"/>
      <c r="M685" s="18"/>
      <c r="N685" s="17" t="s">
        <v>4320</v>
      </c>
      <c r="O685" s="14" t="s">
        <v>4321</v>
      </c>
      <c r="P685" s="14" t="s">
        <v>4322</v>
      </c>
      <c r="Q685" s="14" t="s">
        <v>157</v>
      </c>
      <c r="R685" s="18"/>
      <c r="S685" s="15"/>
      <c r="T685" s="15"/>
      <c r="U685" s="15"/>
      <c r="V685" s="15"/>
    </row>
    <row r="686" spans="1:22" x14ac:dyDescent="0.25">
      <c r="A686" s="14" t="s">
        <v>141</v>
      </c>
      <c r="B686" s="14" t="s">
        <v>4323</v>
      </c>
      <c r="C686" s="14" t="s">
        <v>4324</v>
      </c>
      <c r="D686" s="18"/>
      <c r="E686" s="14">
        <v>2019</v>
      </c>
      <c r="F686" s="18"/>
      <c r="G686" s="18"/>
      <c r="H686" s="14" t="s">
        <v>4325</v>
      </c>
      <c r="I686" s="14" t="s">
        <v>257</v>
      </c>
      <c r="J686" s="14">
        <v>2019</v>
      </c>
      <c r="K686" s="14">
        <v>9781728151656</v>
      </c>
      <c r="L686" s="18"/>
      <c r="M686" s="18"/>
      <c r="N686" s="17" t="s">
        <v>4326</v>
      </c>
      <c r="O686" s="14" t="s">
        <v>4327</v>
      </c>
      <c r="P686" s="14" t="s">
        <v>4328</v>
      </c>
      <c r="Q686" s="14" t="s">
        <v>4329</v>
      </c>
      <c r="R686" s="18"/>
      <c r="S686" s="15"/>
      <c r="T686" s="15"/>
      <c r="U686" s="15"/>
      <c r="V686" s="15"/>
    </row>
    <row r="687" spans="1:22" x14ac:dyDescent="0.25">
      <c r="A687" s="14" t="s">
        <v>141</v>
      </c>
      <c r="B687" s="14" t="s">
        <v>4330</v>
      </c>
      <c r="C687" s="14" t="s">
        <v>4331</v>
      </c>
      <c r="D687" s="18"/>
      <c r="E687" s="14">
        <v>2019</v>
      </c>
      <c r="F687" s="14">
        <v>2</v>
      </c>
      <c r="G687" s="18"/>
      <c r="H687" s="14" t="s">
        <v>4332</v>
      </c>
      <c r="I687" s="14" t="s">
        <v>145</v>
      </c>
      <c r="J687" s="14">
        <v>2019</v>
      </c>
      <c r="K687" s="14">
        <v>9781450371421</v>
      </c>
      <c r="L687" s="18"/>
      <c r="M687" s="18"/>
      <c r="N687" s="17" t="s">
        <v>4333</v>
      </c>
      <c r="O687" s="14" t="s">
        <v>4334</v>
      </c>
      <c r="P687" s="14" t="s">
        <v>4335</v>
      </c>
      <c r="Q687" s="14" t="s">
        <v>1813</v>
      </c>
      <c r="R687" s="18"/>
      <c r="S687" s="15"/>
      <c r="T687" s="15"/>
      <c r="U687" s="15"/>
      <c r="V687" s="15"/>
    </row>
    <row r="688" spans="1:22" x14ac:dyDescent="0.25">
      <c r="A688" s="14" t="s">
        <v>13</v>
      </c>
      <c r="B688" s="14" t="s">
        <v>4336</v>
      </c>
      <c r="C688" s="14" t="s">
        <v>4337</v>
      </c>
      <c r="D688" s="14" t="s">
        <v>209</v>
      </c>
      <c r="E688" s="14">
        <v>2019</v>
      </c>
      <c r="F688" s="14" t="s">
        <v>4338</v>
      </c>
      <c r="G688" s="18"/>
      <c r="H688" s="14" t="s">
        <v>4339</v>
      </c>
      <c r="I688" s="14" t="s">
        <v>4155</v>
      </c>
      <c r="J688" s="14">
        <v>2019</v>
      </c>
      <c r="K688" s="18"/>
      <c r="L688" s="18"/>
      <c r="M688" s="14" t="s">
        <v>213</v>
      </c>
      <c r="N688" s="17" t="s">
        <v>4340</v>
      </c>
      <c r="O688" s="14" t="s">
        <v>4341</v>
      </c>
      <c r="P688" s="14" t="s">
        <v>4342</v>
      </c>
      <c r="Q688" s="14" t="s">
        <v>4002</v>
      </c>
      <c r="R688" s="18"/>
      <c r="S688" s="15"/>
      <c r="T688" s="15"/>
      <c r="U688" s="15"/>
      <c r="V688" s="15"/>
    </row>
    <row r="689" spans="1:22" x14ac:dyDescent="0.25">
      <c r="A689" s="14" t="s">
        <v>141</v>
      </c>
      <c r="B689" s="14" t="s">
        <v>4343</v>
      </c>
      <c r="C689" s="14" t="s">
        <v>4344</v>
      </c>
      <c r="D689" s="18"/>
      <c r="E689" s="14">
        <v>2020</v>
      </c>
      <c r="F689" s="18"/>
      <c r="G689" s="18"/>
      <c r="H689" s="14" t="s">
        <v>4345</v>
      </c>
      <c r="I689" s="14" t="s">
        <v>145</v>
      </c>
      <c r="J689" s="14">
        <v>2020</v>
      </c>
      <c r="K689" s="14">
        <v>9781450377652</v>
      </c>
      <c r="L689" s="18"/>
      <c r="M689" s="18"/>
      <c r="N689" s="17" t="s">
        <v>4346</v>
      </c>
      <c r="O689" s="14" t="s">
        <v>4347</v>
      </c>
      <c r="P689" s="14" t="s">
        <v>4348</v>
      </c>
      <c r="Q689" s="14" t="s">
        <v>176</v>
      </c>
      <c r="R689" s="18"/>
      <c r="S689" s="15"/>
      <c r="T689" s="15"/>
      <c r="U689" s="15"/>
      <c r="V689" s="15"/>
    </row>
    <row r="690" spans="1:22" x14ac:dyDescent="0.25">
      <c r="A690" s="14" t="s">
        <v>141</v>
      </c>
      <c r="B690" s="14" t="s">
        <v>4349</v>
      </c>
      <c r="C690" s="14" t="s">
        <v>4350</v>
      </c>
      <c r="D690" s="18"/>
      <c r="E690" s="14">
        <v>2019</v>
      </c>
      <c r="F690" s="21">
        <v>43586</v>
      </c>
      <c r="G690" s="18"/>
      <c r="H690" s="14" t="s">
        <v>4351</v>
      </c>
      <c r="I690" s="14" t="s">
        <v>196</v>
      </c>
      <c r="J690" s="14">
        <v>2019</v>
      </c>
      <c r="K690" s="14">
        <v>9781728134123</v>
      </c>
      <c r="L690" s="18"/>
      <c r="M690" s="14" t="s">
        <v>4352</v>
      </c>
      <c r="N690" s="17" t="s">
        <v>4353</v>
      </c>
      <c r="O690" s="14" t="s">
        <v>4354</v>
      </c>
      <c r="P690" s="14" t="s">
        <v>4355</v>
      </c>
      <c r="Q690" s="14" t="s">
        <v>4356</v>
      </c>
      <c r="R690" s="18"/>
      <c r="S690" s="15"/>
      <c r="T690" s="15"/>
      <c r="U690" s="15"/>
      <c r="V690" s="15"/>
    </row>
    <row r="691" spans="1:22" x14ac:dyDescent="0.25">
      <c r="A691" s="14" t="s">
        <v>141</v>
      </c>
      <c r="B691" s="14" t="s">
        <v>3344</v>
      </c>
      <c r="C691" s="14" t="s">
        <v>4357</v>
      </c>
      <c r="D691" s="18"/>
      <c r="E691" s="14">
        <v>2020</v>
      </c>
      <c r="F691" s="18"/>
      <c r="G691" s="18"/>
      <c r="H691" s="14" t="s">
        <v>3699</v>
      </c>
      <c r="I691" s="14" t="s">
        <v>196</v>
      </c>
      <c r="J691" s="14">
        <v>2020</v>
      </c>
      <c r="K691" s="14">
        <v>9781450371247</v>
      </c>
      <c r="L691" s="18"/>
      <c r="M691" s="14" t="s">
        <v>1458</v>
      </c>
      <c r="N691" s="17" t="s">
        <v>4358</v>
      </c>
      <c r="O691" s="14" t="s">
        <v>4359</v>
      </c>
      <c r="P691" s="14" t="s">
        <v>4360</v>
      </c>
      <c r="Q691" s="14" t="s">
        <v>2243</v>
      </c>
      <c r="R691" s="18"/>
      <c r="S691" s="15"/>
      <c r="T691" s="15"/>
      <c r="U691" s="15"/>
      <c r="V691" s="15"/>
    </row>
    <row r="692" spans="1:22" x14ac:dyDescent="0.25">
      <c r="A692" s="14" t="s">
        <v>141</v>
      </c>
      <c r="B692" s="18"/>
      <c r="C692" s="14" t="s">
        <v>4361</v>
      </c>
      <c r="D692" s="18"/>
      <c r="E692" s="14">
        <v>2019</v>
      </c>
      <c r="F692" s="18"/>
      <c r="G692" s="18"/>
      <c r="H692" s="18"/>
      <c r="I692" s="14" t="s">
        <v>145</v>
      </c>
      <c r="J692" s="14">
        <v>2019</v>
      </c>
      <c r="K692" s="14">
        <v>9781450371452</v>
      </c>
      <c r="L692" s="18"/>
      <c r="M692" s="18"/>
      <c r="N692" s="17" t="s">
        <v>4362</v>
      </c>
      <c r="O692" s="18"/>
      <c r="P692" s="14" t="s">
        <v>4363</v>
      </c>
      <c r="Q692" s="14" t="s">
        <v>157</v>
      </c>
      <c r="R692" s="18"/>
      <c r="S692" s="15"/>
      <c r="T692" s="15"/>
      <c r="U692" s="15"/>
      <c r="V692" s="15"/>
    </row>
    <row r="693" spans="1:22" x14ac:dyDescent="0.25">
      <c r="A693" s="14" t="s">
        <v>141</v>
      </c>
      <c r="B693" s="14" t="s">
        <v>4364</v>
      </c>
      <c r="C693" s="14" t="s">
        <v>4365</v>
      </c>
      <c r="D693" s="18"/>
      <c r="E693" s="14">
        <v>2020</v>
      </c>
      <c r="F693" s="18"/>
      <c r="G693" s="18"/>
      <c r="H693" s="14" t="s">
        <v>4366</v>
      </c>
      <c r="I693" s="14" t="s">
        <v>257</v>
      </c>
      <c r="J693" s="14">
        <v>2020</v>
      </c>
      <c r="K693" s="14">
        <v>9781728193465</v>
      </c>
      <c r="L693" s="18"/>
      <c r="M693" s="18"/>
      <c r="N693" s="17" t="s">
        <v>4367</v>
      </c>
      <c r="O693" s="14" t="s">
        <v>4368</v>
      </c>
      <c r="P693" s="14" t="s">
        <v>4369</v>
      </c>
      <c r="Q693" s="14" t="s">
        <v>4370</v>
      </c>
      <c r="R693" s="18"/>
      <c r="S693" s="15"/>
      <c r="T693" s="15"/>
      <c r="U693" s="15"/>
      <c r="V693" s="15"/>
    </row>
    <row r="694" spans="1:22" x14ac:dyDescent="0.25">
      <c r="A694" s="14" t="s">
        <v>13</v>
      </c>
      <c r="B694" s="14" t="s">
        <v>4371</v>
      </c>
      <c r="C694" s="14" t="s">
        <v>4372</v>
      </c>
      <c r="D694" s="14" t="s">
        <v>1870</v>
      </c>
      <c r="E694" s="14">
        <v>2020</v>
      </c>
      <c r="F694" s="14" t="s">
        <v>4373</v>
      </c>
      <c r="G694" s="18"/>
      <c r="H694" s="14" t="s">
        <v>4374</v>
      </c>
      <c r="I694" s="14" t="s">
        <v>137</v>
      </c>
      <c r="J694" s="14">
        <v>2020</v>
      </c>
      <c r="K694" s="18"/>
      <c r="L694" s="18"/>
      <c r="M694" s="14" t="s">
        <v>1873</v>
      </c>
      <c r="N694" s="17" t="s">
        <v>4375</v>
      </c>
      <c r="O694" s="14" t="s">
        <v>4376</v>
      </c>
      <c r="P694" s="14" t="s">
        <v>4377</v>
      </c>
      <c r="Q694" s="14" t="s">
        <v>185</v>
      </c>
      <c r="R694" s="18"/>
      <c r="S694" s="15"/>
      <c r="T694" s="15"/>
      <c r="U694" s="15"/>
      <c r="V694" s="15"/>
    </row>
    <row r="695" spans="1:22" x14ac:dyDescent="0.25">
      <c r="A695" s="14" t="s">
        <v>13</v>
      </c>
      <c r="B695" s="14" t="s">
        <v>4378</v>
      </c>
      <c r="C695" s="14" t="s">
        <v>4379</v>
      </c>
      <c r="D695" s="14" t="s">
        <v>4380</v>
      </c>
      <c r="E695" s="14">
        <v>2019</v>
      </c>
      <c r="F695" s="14">
        <v>28</v>
      </c>
      <c r="G695" s="14">
        <v>3</v>
      </c>
      <c r="H695" s="14" t="s">
        <v>4381</v>
      </c>
      <c r="I695" s="14" t="s">
        <v>4382</v>
      </c>
      <c r="J695" s="14">
        <v>2019</v>
      </c>
      <c r="K695" s="18"/>
      <c r="L695" s="18"/>
      <c r="M695" s="14" t="s">
        <v>4383</v>
      </c>
      <c r="N695" s="17" t="s">
        <v>4384</v>
      </c>
      <c r="O695" s="14" t="s">
        <v>4385</v>
      </c>
      <c r="P695" s="14" t="s">
        <v>4386</v>
      </c>
      <c r="Q695" s="14" t="s">
        <v>1676</v>
      </c>
      <c r="R695" s="18"/>
      <c r="S695" s="15"/>
      <c r="T695" s="15"/>
      <c r="U695" s="15"/>
      <c r="V695" s="15"/>
    </row>
    <row r="696" spans="1:22" x14ac:dyDescent="0.25">
      <c r="A696" s="14" t="s">
        <v>13</v>
      </c>
      <c r="B696" s="14" t="s">
        <v>4387</v>
      </c>
      <c r="C696" s="14" t="s">
        <v>4388</v>
      </c>
      <c r="D696" s="14" t="s">
        <v>2704</v>
      </c>
      <c r="E696" s="14">
        <v>2020</v>
      </c>
      <c r="F696" s="14">
        <v>14</v>
      </c>
      <c r="G696" s="14">
        <v>3</v>
      </c>
      <c r="H696" s="14" t="s">
        <v>4389</v>
      </c>
      <c r="I696" s="14" t="s">
        <v>2706</v>
      </c>
      <c r="J696" s="14">
        <v>2020</v>
      </c>
      <c r="K696" s="18"/>
      <c r="L696" s="18"/>
      <c r="M696" s="14" t="s">
        <v>2707</v>
      </c>
      <c r="N696" s="17" t="s">
        <v>4390</v>
      </c>
      <c r="O696" s="14" t="s">
        <v>4391</v>
      </c>
      <c r="P696" s="14" t="s">
        <v>4392</v>
      </c>
      <c r="Q696" s="14" t="s">
        <v>4393</v>
      </c>
      <c r="R696" s="18"/>
      <c r="S696" s="15"/>
      <c r="T696" s="15"/>
      <c r="U696" s="15"/>
      <c r="V696" s="15"/>
    </row>
    <row r="697" spans="1:22" x14ac:dyDescent="0.25">
      <c r="A697" s="14" t="s">
        <v>141</v>
      </c>
      <c r="B697" s="14" t="s">
        <v>4394</v>
      </c>
      <c r="C697" s="14" t="s">
        <v>4395</v>
      </c>
      <c r="D697" s="18"/>
      <c r="E697" s="14">
        <v>2020</v>
      </c>
      <c r="F697" s="14" t="s">
        <v>4396</v>
      </c>
      <c r="G697" s="18"/>
      <c r="H697" s="14" t="s">
        <v>4397</v>
      </c>
      <c r="I697" s="14" t="s">
        <v>933</v>
      </c>
      <c r="J697" s="14">
        <v>2020</v>
      </c>
      <c r="K697" s="14">
        <v>9781891706509</v>
      </c>
      <c r="L697" s="18"/>
      <c r="M697" s="14" t="s">
        <v>934</v>
      </c>
      <c r="N697" s="17" t="s">
        <v>4398</v>
      </c>
      <c r="O697" s="14" t="s">
        <v>4399</v>
      </c>
      <c r="P697" s="14" t="s">
        <v>4400</v>
      </c>
      <c r="Q697" s="14" t="s">
        <v>2723</v>
      </c>
      <c r="R697" s="18"/>
      <c r="S697" s="15"/>
      <c r="T697" s="15"/>
      <c r="U697" s="15"/>
      <c r="V697" s="15"/>
    </row>
    <row r="698" spans="1:22" x14ac:dyDescent="0.25">
      <c r="A698" s="14" t="s">
        <v>141</v>
      </c>
      <c r="B698" s="14" t="s">
        <v>4401</v>
      </c>
      <c r="C698" s="14" t="s">
        <v>4402</v>
      </c>
      <c r="D698" s="18"/>
      <c r="E698" s="14">
        <v>2020</v>
      </c>
      <c r="F698" s="21">
        <v>44166</v>
      </c>
      <c r="G698" s="18"/>
      <c r="H698" s="18"/>
      <c r="I698" s="14" t="s">
        <v>3301</v>
      </c>
      <c r="J698" s="14">
        <v>2020</v>
      </c>
      <c r="K698" s="18"/>
      <c r="L698" s="18"/>
      <c r="M698" s="14" t="s">
        <v>3302</v>
      </c>
      <c r="N698" s="17" t="s">
        <v>4403</v>
      </c>
      <c r="O698" s="18"/>
      <c r="P698" s="14" t="s">
        <v>4404</v>
      </c>
      <c r="Q698" s="14" t="s">
        <v>1573</v>
      </c>
      <c r="R698" s="18"/>
      <c r="S698" s="15"/>
      <c r="T698" s="15"/>
      <c r="U698" s="15"/>
      <c r="V698" s="15"/>
    </row>
    <row r="699" spans="1:22" x14ac:dyDescent="0.25">
      <c r="A699" s="14" t="s">
        <v>13</v>
      </c>
      <c r="B699" s="14" t="s">
        <v>4405</v>
      </c>
      <c r="C699" s="14" t="s">
        <v>4406</v>
      </c>
      <c r="D699" s="14" t="s">
        <v>354</v>
      </c>
      <c r="E699" s="14">
        <v>2020</v>
      </c>
      <c r="F699" s="14">
        <v>160</v>
      </c>
      <c r="G699" s="18"/>
      <c r="H699" s="18"/>
      <c r="I699" s="14" t="s">
        <v>355</v>
      </c>
      <c r="J699" s="14">
        <v>2020</v>
      </c>
      <c r="K699" s="18"/>
      <c r="L699" s="18"/>
      <c r="M699" s="14" t="s">
        <v>65</v>
      </c>
      <c r="N699" s="17" t="s">
        <v>4407</v>
      </c>
      <c r="O699" s="14" t="s">
        <v>4408</v>
      </c>
      <c r="P699" s="14" t="s">
        <v>4409</v>
      </c>
      <c r="Q699" s="14" t="s">
        <v>3118</v>
      </c>
      <c r="R699" s="18"/>
      <c r="S699" s="15"/>
      <c r="T699" s="15"/>
      <c r="U699" s="15"/>
      <c r="V699" s="15"/>
    </row>
    <row r="700" spans="1:22" x14ac:dyDescent="0.25">
      <c r="A700" s="14" t="s">
        <v>141</v>
      </c>
      <c r="B700" s="14" t="s">
        <v>4410</v>
      </c>
      <c r="C700" s="14" t="s">
        <v>4411</v>
      </c>
      <c r="D700" s="18"/>
      <c r="E700" s="14">
        <v>2020</v>
      </c>
      <c r="F700" s="18"/>
      <c r="G700" s="18"/>
      <c r="H700" s="14" t="s">
        <v>4412</v>
      </c>
      <c r="I700" s="14" t="s">
        <v>3109</v>
      </c>
      <c r="J700" s="14">
        <v>2020</v>
      </c>
      <c r="K700" s="14">
        <v>9789897584213</v>
      </c>
      <c r="L700" s="18"/>
      <c r="M700" s="18"/>
      <c r="N700" s="17" t="s">
        <v>4413</v>
      </c>
      <c r="O700" s="18"/>
      <c r="P700" s="14" t="s">
        <v>4414</v>
      </c>
      <c r="Q700" s="14" t="s">
        <v>318</v>
      </c>
      <c r="R700" s="18"/>
      <c r="S700" s="15"/>
      <c r="T700" s="15"/>
      <c r="U700" s="15"/>
      <c r="V700" s="15"/>
    </row>
    <row r="701" spans="1:22" x14ac:dyDescent="0.25">
      <c r="A701" s="14" t="s">
        <v>13</v>
      </c>
      <c r="B701" s="14" t="s">
        <v>4415</v>
      </c>
      <c r="C701" s="14" t="s">
        <v>4416</v>
      </c>
      <c r="D701" s="14" t="s">
        <v>878</v>
      </c>
      <c r="E701" s="14">
        <v>2019</v>
      </c>
      <c r="F701" s="14">
        <v>31</v>
      </c>
      <c r="G701" s="14">
        <v>12</v>
      </c>
      <c r="H701" s="18"/>
      <c r="I701" s="14" t="s">
        <v>266</v>
      </c>
      <c r="J701" s="14">
        <v>2019</v>
      </c>
      <c r="K701" s="18"/>
      <c r="L701" s="18"/>
      <c r="M701" s="14" t="s">
        <v>879</v>
      </c>
      <c r="N701" s="17" t="s">
        <v>4417</v>
      </c>
      <c r="O701" s="14" t="s">
        <v>4418</v>
      </c>
      <c r="P701" s="14" t="s">
        <v>4419</v>
      </c>
      <c r="Q701" s="14" t="s">
        <v>1573</v>
      </c>
      <c r="R701" s="18"/>
      <c r="S701" s="15"/>
      <c r="T701" s="15"/>
      <c r="U701" s="15"/>
      <c r="V701" s="15"/>
    </row>
    <row r="702" spans="1:22" x14ac:dyDescent="0.25">
      <c r="A702" s="14" t="s">
        <v>141</v>
      </c>
      <c r="B702" s="14" t="s">
        <v>4420</v>
      </c>
      <c r="C702" s="14" t="s">
        <v>4421</v>
      </c>
      <c r="D702" s="18"/>
      <c r="E702" s="14">
        <v>2020</v>
      </c>
      <c r="F702" s="18"/>
      <c r="G702" s="18"/>
      <c r="H702" s="14" t="s">
        <v>4422</v>
      </c>
      <c r="I702" s="14" t="s">
        <v>257</v>
      </c>
      <c r="J702" s="14">
        <v>2020</v>
      </c>
      <c r="K702" s="14">
        <v>9781728170169</v>
      </c>
      <c r="L702" s="18"/>
      <c r="M702" s="18"/>
      <c r="N702" s="17" t="s">
        <v>4423</v>
      </c>
      <c r="O702" s="14" t="s">
        <v>4424</v>
      </c>
      <c r="P702" s="14" t="s">
        <v>4425</v>
      </c>
      <c r="Q702" s="14" t="s">
        <v>318</v>
      </c>
      <c r="R702" s="18"/>
      <c r="S702" s="15"/>
      <c r="T702" s="15"/>
      <c r="U702" s="15"/>
      <c r="V702" s="15"/>
    </row>
    <row r="703" spans="1:22" x14ac:dyDescent="0.25">
      <c r="A703" s="14" t="s">
        <v>13</v>
      </c>
      <c r="B703" s="14" t="s">
        <v>4426</v>
      </c>
      <c r="C703" s="14" t="s">
        <v>4427</v>
      </c>
      <c r="D703" s="14" t="s">
        <v>209</v>
      </c>
      <c r="E703" s="14">
        <v>2019</v>
      </c>
      <c r="F703" s="14" t="s">
        <v>4428</v>
      </c>
      <c r="G703" s="18"/>
      <c r="H703" s="14" t="s">
        <v>4429</v>
      </c>
      <c r="I703" s="14" t="s">
        <v>4155</v>
      </c>
      <c r="J703" s="14">
        <v>2019</v>
      </c>
      <c r="K703" s="18"/>
      <c r="L703" s="18"/>
      <c r="M703" s="14" t="s">
        <v>213</v>
      </c>
      <c r="N703" s="17" t="s">
        <v>4430</v>
      </c>
      <c r="O703" s="14" t="s">
        <v>4431</v>
      </c>
      <c r="P703" s="14" t="s">
        <v>4432</v>
      </c>
      <c r="Q703" s="14" t="s">
        <v>2811</v>
      </c>
      <c r="R703" s="18"/>
      <c r="S703" s="15"/>
      <c r="T703" s="15"/>
      <c r="U703" s="15"/>
      <c r="V703" s="15"/>
    </row>
    <row r="704" spans="1:22" x14ac:dyDescent="0.25">
      <c r="A704" s="14" t="s">
        <v>13</v>
      </c>
      <c r="B704" s="14" t="s">
        <v>4433</v>
      </c>
      <c r="C704" s="14" t="s">
        <v>4434</v>
      </c>
      <c r="D704" s="14" t="s">
        <v>668</v>
      </c>
      <c r="E704" s="14">
        <v>2020</v>
      </c>
      <c r="F704" s="14">
        <v>8</v>
      </c>
      <c r="G704" s="18"/>
      <c r="H704" s="14" t="s">
        <v>4435</v>
      </c>
      <c r="I704" s="14" t="s">
        <v>257</v>
      </c>
      <c r="J704" s="14">
        <v>2020</v>
      </c>
      <c r="K704" s="18"/>
      <c r="L704" s="18"/>
      <c r="M704" s="14" t="s">
        <v>670</v>
      </c>
      <c r="N704" s="17" t="s">
        <v>4436</v>
      </c>
      <c r="O704" s="14" t="s">
        <v>4437</v>
      </c>
      <c r="P704" s="14" t="s">
        <v>4438</v>
      </c>
      <c r="Q704" s="14" t="s">
        <v>896</v>
      </c>
      <c r="R704" s="18"/>
      <c r="S704" s="15"/>
      <c r="T704" s="15"/>
      <c r="U704" s="15"/>
      <c r="V704" s="15"/>
    </row>
    <row r="705" spans="1:22" x14ac:dyDescent="0.25">
      <c r="A705" s="14" t="s">
        <v>141</v>
      </c>
      <c r="B705" s="14" t="s">
        <v>4439</v>
      </c>
      <c r="C705" s="14" t="s">
        <v>4440</v>
      </c>
      <c r="D705" s="18"/>
      <c r="E705" s="14">
        <v>2020</v>
      </c>
      <c r="F705" s="21">
        <v>44044</v>
      </c>
      <c r="G705" s="18"/>
      <c r="H705" s="14" t="s">
        <v>4441</v>
      </c>
      <c r="I705" s="14" t="s">
        <v>4442</v>
      </c>
      <c r="J705" s="14">
        <v>2020</v>
      </c>
      <c r="K705" s="14">
        <v>9786197603040</v>
      </c>
      <c r="L705" s="14">
        <v>9786197603057</v>
      </c>
      <c r="M705" s="14" t="s">
        <v>4443</v>
      </c>
      <c r="N705" s="17" t="s">
        <v>4444</v>
      </c>
      <c r="O705" s="14" t="s">
        <v>4445</v>
      </c>
      <c r="P705" s="14" t="s">
        <v>4446</v>
      </c>
      <c r="Q705" s="14" t="s">
        <v>185</v>
      </c>
      <c r="R705" s="18"/>
      <c r="S705" s="15"/>
      <c r="T705" s="15"/>
      <c r="U705" s="15"/>
      <c r="V705" s="15"/>
    </row>
    <row r="706" spans="1:22" x14ac:dyDescent="0.25">
      <c r="A706" s="14" t="s">
        <v>141</v>
      </c>
      <c r="B706" s="14" t="s">
        <v>4447</v>
      </c>
      <c r="C706" s="14" t="s">
        <v>4448</v>
      </c>
      <c r="D706" s="18"/>
      <c r="E706" s="14">
        <v>2020</v>
      </c>
      <c r="F706" s="18"/>
      <c r="G706" s="18"/>
      <c r="H706" s="18"/>
      <c r="I706" s="14" t="s">
        <v>4449</v>
      </c>
      <c r="J706" s="14">
        <v>2020</v>
      </c>
      <c r="K706" s="18"/>
      <c r="L706" s="18"/>
      <c r="M706" s="18"/>
      <c r="N706" s="17" t="s">
        <v>4450</v>
      </c>
      <c r="O706" s="18"/>
      <c r="P706" s="14" t="s">
        <v>4451</v>
      </c>
      <c r="Q706" s="14" t="s">
        <v>185</v>
      </c>
      <c r="R706" s="18"/>
      <c r="S706" s="15"/>
      <c r="T706" s="15"/>
      <c r="U706" s="15"/>
      <c r="V706" s="15"/>
    </row>
    <row r="707" spans="1:22" x14ac:dyDescent="0.25">
      <c r="A707" s="14" t="s">
        <v>13</v>
      </c>
      <c r="B707" s="14" t="s">
        <v>4452</v>
      </c>
      <c r="C707" s="14" t="s">
        <v>4453</v>
      </c>
      <c r="D707" s="14" t="s">
        <v>668</v>
      </c>
      <c r="E707" s="14">
        <v>2019</v>
      </c>
      <c r="F707" s="14">
        <v>7</v>
      </c>
      <c r="G707" s="18"/>
      <c r="H707" s="14" t="s">
        <v>4454</v>
      </c>
      <c r="I707" s="14" t="s">
        <v>257</v>
      </c>
      <c r="J707" s="14">
        <v>2019</v>
      </c>
      <c r="K707" s="18"/>
      <c r="L707" s="18"/>
      <c r="M707" s="14" t="s">
        <v>670</v>
      </c>
      <c r="N707" s="17" t="s">
        <v>4455</v>
      </c>
      <c r="O707" s="14" t="s">
        <v>4456</v>
      </c>
      <c r="P707" s="14" t="s">
        <v>4457</v>
      </c>
      <c r="Q707" s="14" t="s">
        <v>4458</v>
      </c>
      <c r="R707" s="18"/>
      <c r="S707" s="15"/>
      <c r="T707" s="15"/>
      <c r="U707" s="15"/>
      <c r="V707" s="15"/>
    </row>
    <row r="708" spans="1:22" x14ac:dyDescent="0.25">
      <c r="A708" s="14" t="s">
        <v>13</v>
      </c>
      <c r="B708" s="14" t="s">
        <v>4459</v>
      </c>
      <c r="C708" s="14" t="s">
        <v>4460</v>
      </c>
      <c r="D708" s="14" t="s">
        <v>4461</v>
      </c>
      <c r="E708" s="14">
        <v>2019</v>
      </c>
      <c r="F708" s="14">
        <v>25</v>
      </c>
      <c r="G708" s="14">
        <v>1</v>
      </c>
      <c r="H708" s="18"/>
      <c r="I708" s="14" t="s">
        <v>4462</v>
      </c>
      <c r="J708" s="14">
        <v>2019</v>
      </c>
      <c r="K708" s="18"/>
      <c r="L708" s="18"/>
      <c r="M708" s="14" t="s">
        <v>4463</v>
      </c>
      <c r="N708" s="17" t="s">
        <v>4464</v>
      </c>
      <c r="O708" s="14" t="s">
        <v>4465</v>
      </c>
      <c r="P708" s="14" t="s">
        <v>4466</v>
      </c>
      <c r="Q708" s="14" t="s">
        <v>1844</v>
      </c>
      <c r="R708" s="18"/>
      <c r="S708" s="15"/>
      <c r="T708" s="15"/>
      <c r="U708" s="15"/>
      <c r="V708" s="15"/>
    </row>
    <row r="709" spans="1:22" x14ac:dyDescent="0.25">
      <c r="A709" s="14" t="s">
        <v>13</v>
      </c>
      <c r="B709" s="14" t="s">
        <v>4467</v>
      </c>
      <c r="C709" s="14" t="s">
        <v>4468</v>
      </c>
      <c r="D709" s="14" t="s">
        <v>4469</v>
      </c>
      <c r="E709" s="14">
        <v>2020</v>
      </c>
      <c r="F709" s="14">
        <v>21</v>
      </c>
      <c r="G709" s="18"/>
      <c r="H709" s="18"/>
      <c r="I709" s="14" t="s">
        <v>4470</v>
      </c>
      <c r="J709" s="14">
        <v>2020</v>
      </c>
      <c r="K709" s="18"/>
      <c r="L709" s="18"/>
      <c r="M709" s="14" t="s">
        <v>4471</v>
      </c>
      <c r="N709" s="17" t="s">
        <v>4472</v>
      </c>
      <c r="O709" s="18"/>
      <c r="P709" s="14" t="s">
        <v>4473</v>
      </c>
      <c r="Q709" s="14" t="s">
        <v>176</v>
      </c>
      <c r="R709" s="18"/>
      <c r="S709" s="15"/>
      <c r="T709" s="15"/>
      <c r="U709" s="15"/>
      <c r="V709" s="15"/>
    </row>
    <row r="710" spans="1:22" x14ac:dyDescent="0.25">
      <c r="A710" s="14" t="s">
        <v>13</v>
      </c>
      <c r="B710" s="14" t="s">
        <v>4474</v>
      </c>
      <c r="C710" s="14" t="s">
        <v>4475</v>
      </c>
      <c r="D710" s="14" t="s">
        <v>462</v>
      </c>
      <c r="E710" s="14">
        <v>2020</v>
      </c>
      <c r="F710" s="14" t="s">
        <v>4476</v>
      </c>
      <c r="G710" s="18"/>
      <c r="H710" s="14" t="s">
        <v>4477</v>
      </c>
      <c r="I710" s="14" t="s">
        <v>137</v>
      </c>
      <c r="J710" s="14">
        <v>2020</v>
      </c>
      <c r="K710" s="18"/>
      <c r="L710" s="18"/>
      <c r="M710" s="14" t="s">
        <v>465</v>
      </c>
      <c r="N710" s="17" t="s">
        <v>4478</v>
      </c>
      <c r="O710" s="14" t="s">
        <v>4479</v>
      </c>
      <c r="P710" s="14" t="s">
        <v>4480</v>
      </c>
      <c r="Q710" s="14" t="s">
        <v>157</v>
      </c>
      <c r="R710" s="18"/>
      <c r="S710" s="15"/>
      <c r="T710" s="15"/>
      <c r="U710" s="15"/>
      <c r="V710" s="15"/>
    </row>
    <row r="711" spans="1:22" x14ac:dyDescent="0.25">
      <c r="A711" s="14" t="s">
        <v>141</v>
      </c>
      <c r="B711" s="14" t="s">
        <v>4481</v>
      </c>
      <c r="C711" s="14" t="s">
        <v>4482</v>
      </c>
      <c r="D711" s="18"/>
      <c r="E711" s="14">
        <v>2019</v>
      </c>
      <c r="F711" s="18"/>
      <c r="G711" s="18"/>
      <c r="H711" s="14" t="s">
        <v>4483</v>
      </c>
      <c r="I711" s="14" t="s">
        <v>257</v>
      </c>
      <c r="J711" s="14">
        <v>2019</v>
      </c>
      <c r="K711" s="14">
        <v>9781728118765</v>
      </c>
      <c r="L711" s="18"/>
      <c r="M711" s="18"/>
      <c r="N711" s="17" t="s">
        <v>4484</v>
      </c>
      <c r="O711" s="14" t="s">
        <v>4485</v>
      </c>
      <c r="P711" s="14" t="s">
        <v>4486</v>
      </c>
      <c r="Q711" s="14" t="s">
        <v>176</v>
      </c>
      <c r="R711" s="18"/>
      <c r="S711" s="15"/>
      <c r="T711" s="15"/>
      <c r="U711" s="15"/>
      <c r="V711" s="15"/>
    </row>
    <row r="712" spans="1:22" x14ac:dyDescent="0.25">
      <c r="A712" s="14" t="s">
        <v>141</v>
      </c>
      <c r="B712" s="14" t="s">
        <v>4487</v>
      </c>
      <c r="C712" s="14" t="s">
        <v>4488</v>
      </c>
      <c r="D712" s="18"/>
      <c r="E712" s="14">
        <v>2020</v>
      </c>
      <c r="F712" s="18"/>
      <c r="G712" s="18"/>
      <c r="H712" s="14" t="s">
        <v>4489</v>
      </c>
      <c r="I712" s="14" t="s">
        <v>153</v>
      </c>
      <c r="J712" s="14">
        <v>2020</v>
      </c>
      <c r="K712" s="14">
        <v>9781450379601</v>
      </c>
      <c r="L712" s="18"/>
      <c r="M712" s="18"/>
      <c r="N712" s="17" t="s">
        <v>4490</v>
      </c>
      <c r="O712" s="14" t="s">
        <v>4491</v>
      </c>
      <c r="P712" s="14" t="s">
        <v>4492</v>
      </c>
      <c r="Q712" s="14" t="s">
        <v>2286</v>
      </c>
      <c r="R712" s="18"/>
      <c r="S712" s="15"/>
      <c r="T712" s="15"/>
      <c r="U712" s="15"/>
      <c r="V712" s="15"/>
    </row>
    <row r="713" spans="1:22" x14ac:dyDescent="0.25">
      <c r="A713" s="14" t="s">
        <v>141</v>
      </c>
      <c r="B713" s="14" t="s">
        <v>4493</v>
      </c>
      <c r="C713" s="14" t="s">
        <v>4494</v>
      </c>
      <c r="D713" s="18"/>
      <c r="E713" s="14">
        <v>2019</v>
      </c>
      <c r="F713" s="18"/>
      <c r="G713" s="18"/>
      <c r="H713" s="14" t="s">
        <v>4495</v>
      </c>
      <c r="I713" s="14" t="s">
        <v>257</v>
      </c>
      <c r="J713" s="14">
        <v>2019</v>
      </c>
      <c r="K713" s="14">
        <v>9781728132853</v>
      </c>
      <c r="L713" s="18"/>
      <c r="M713" s="18"/>
      <c r="N713" s="17" t="s">
        <v>4496</v>
      </c>
      <c r="O713" s="14" t="s">
        <v>4497</v>
      </c>
      <c r="P713" s="14" t="s">
        <v>4498</v>
      </c>
      <c r="Q713" s="14" t="s">
        <v>818</v>
      </c>
      <c r="R713" s="18"/>
      <c r="S713" s="15"/>
      <c r="T713" s="15"/>
      <c r="U713" s="15"/>
      <c r="V713" s="15"/>
    </row>
    <row r="714" spans="1:22" x14ac:dyDescent="0.25">
      <c r="A714" s="14" t="s">
        <v>141</v>
      </c>
      <c r="B714" s="14" t="s">
        <v>4499</v>
      </c>
      <c r="C714" s="14" t="s">
        <v>4500</v>
      </c>
      <c r="D714" s="18"/>
      <c r="E714" s="14">
        <v>2020</v>
      </c>
      <c r="F714" s="18"/>
      <c r="G714" s="18"/>
      <c r="H714" s="14" t="s">
        <v>4501</v>
      </c>
      <c r="I714" s="14" t="s">
        <v>145</v>
      </c>
      <c r="J714" s="14">
        <v>2020</v>
      </c>
      <c r="K714" s="14">
        <v>9781450377317</v>
      </c>
      <c r="L714" s="18"/>
      <c r="M714" s="18"/>
      <c r="N714" s="17" t="s">
        <v>4502</v>
      </c>
      <c r="O714" s="14" t="s">
        <v>4503</v>
      </c>
      <c r="P714" s="14" t="s">
        <v>4504</v>
      </c>
      <c r="Q714" s="14" t="s">
        <v>2723</v>
      </c>
      <c r="R714" s="18"/>
      <c r="S714" s="15"/>
      <c r="T714" s="15"/>
      <c r="U714" s="15"/>
      <c r="V714" s="15"/>
    </row>
    <row r="715" spans="1:22" x14ac:dyDescent="0.25">
      <c r="A715" s="14" t="s">
        <v>141</v>
      </c>
      <c r="B715" s="14" t="s">
        <v>4505</v>
      </c>
      <c r="C715" s="14" t="s">
        <v>4506</v>
      </c>
      <c r="D715" s="18"/>
      <c r="E715" s="14">
        <v>2019</v>
      </c>
      <c r="F715" s="18"/>
      <c r="G715" s="18"/>
      <c r="H715" s="14" t="s">
        <v>4507</v>
      </c>
      <c r="I715" s="14" t="s">
        <v>257</v>
      </c>
      <c r="J715" s="14">
        <v>2019</v>
      </c>
      <c r="K715" s="14">
        <v>9781538681138</v>
      </c>
      <c r="L715" s="18"/>
      <c r="M715" s="18"/>
      <c r="N715" s="17" t="s">
        <v>4508</v>
      </c>
      <c r="O715" s="14" t="s">
        <v>4509</v>
      </c>
      <c r="P715" s="14" t="s">
        <v>4510</v>
      </c>
      <c r="Q715" s="14" t="s">
        <v>185</v>
      </c>
      <c r="R715" s="18"/>
      <c r="S715" s="15"/>
      <c r="T715" s="15"/>
      <c r="U715" s="15"/>
      <c r="V715" s="15"/>
    </row>
    <row r="716" spans="1:22" x14ac:dyDescent="0.25">
      <c r="A716" s="14" t="s">
        <v>13</v>
      </c>
      <c r="B716" s="14" t="s">
        <v>4511</v>
      </c>
      <c r="C716" s="14" t="s">
        <v>4512</v>
      </c>
      <c r="D716" s="14" t="s">
        <v>462</v>
      </c>
      <c r="E716" s="14">
        <v>2020</v>
      </c>
      <c r="F716" s="14" t="s">
        <v>4115</v>
      </c>
      <c r="G716" s="18"/>
      <c r="H716" s="14" t="s">
        <v>4513</v>
      </c>
      <c r="I716" s="14" t="s">
        <v>212</v>
      </c>
      <c r="J716" s="14">
        <v>2020</v>
      </c>
      <c r="K716" s="18"/>
      <c r="L716" s="18"/>
      <c r="M716" s="14" t="s">
        <v>465</v>
      </c>
      <c r="N716" s="17" t="s">
        <v>4514</v>
      </c>
      <c r="O716" s="14" t="s">
        <v>4515</v>
      </c>
      <c r="P716" s="14" t="s">
        <v>4516</v>
      </c>
      <c r="Q716" s="14" t="s">
        <v>318</v>
      </c>
      <c r="R716" s="18"/>
      <c r="S716" s="15"/>
      <c r="T716" s="15"/>
      <c r="U716" s="15"/>
      <c r="V716" s="15"/>
    </row>
    <row r="717" spans="1:22" x14ac:dyDescent="0.25">
      <c r="A717" s="14" t="s">
        <v>141</v>
      </c>
      <c r="B717" s="14" t="s">
        <v>4517</v>
      </c>
      <c r="C717" s="14" t="s">
        <v>4518</v>
      </c>
      <c r="D717" s="18"/>
      <c r="E717" s="14">
        <v>2020</v>
      </c>
      <c r="F717" s="18"/>
      <c r="G717" s="18"/>
      <c r="H717" s="14" t="s">
        <v>4519</v>
      </c>
      <c r="I717" s="14" t="s">
        <v>196</v>
      </c>
      <c r="J717" s="14">
        <v>2020</v>
      </c>
      <c r="K717" s="14">
        <v>9781450371216</v>
      </c>
      <c r="L717" s="18"/>
      <c r="M717" s="14" t="s">
        <v>1458</v>
      </c>
      <c r="N717" s="17" t="s">
        <v>4520</v>
      </c>
      <c r="O717" s="14" t="s">
        <v>4521</v>
      </c>
      <c r="P717" s="14" t="s">
        <v>4522</v>
      </c>
      <c r="Q717" s="14" t="s">
        <v>4523</v>
      </c>
      <c r="R717" s="18"/>
      <c r="S717" s="15"/>
      <c r="T717" s="15"/>
      <c r="U717" s="15"/>
      <c r="V717" s="15"/>
    </row>
    <row r="718" spans="1:22" x14ac:dyDescent="0.25">
      <c r="A718" s="14" t="s">
        <v>13</v>
      </c>
      <c r="B718" s="14" t="s">
        <v>4524</v>
      </c>
      <c r="C718" s="14" t="s">
        <v>4525</v>
      </c>
      <c r="D718" s="14" t="s">
        <v>4526</v>
      </c>
      <c r="E718" s="14">
        <v>2020</v>
      </c>
      <c r="F718" s="14">
        <v>2020</v>
      </c>
      <c r="G718" s="18"/>
      <c r="H718" s="18"/>
      <c r="I718" s="14" t="s">
        <v>4527</v>
      </c>
      <c r="J718" s="14">
        <v>2020</v>
      </c>
      <c r="K718" s="18"/>
      <c r="L718" s="18"/>
      <c r="M718" s="14" t="s">
        <v>4528</v>
      </c>
      <c r="N718" s="17" t="s">
        <v>4529</v>
      </c>
      <c r="O718" s="18"/>
      <c r="P718" s="14" t="s">
        <v>4530</v>
      </c>
      <c r="Q718" s="14" t="s">
        <v>318</v>
      </c>
      <c r="R718" s="18"/>
      <c r="S718" s="15"/>
      <c r="T718" s="15"/>
      <c r="U718" s="15"/>
      <c r="V718" s="15"/>
    </row>
    <row r="719" spans="1:22" x14ac:dyDescent="0.25">
      <c r="A719" s="14" t="s">
        <v>141</v>
      </c>
      <c r="B719" s="14" t="s">
        <v>4531</v>
      </c>
      <c r="C719" s="14" t="s">
        <v>4532</v>
      </c>
      <c r="D719" s="18"/>
      <c r="E719" s="14">
        <v>2019</v>
      </c>
      <c r="F719" s="18"/>
      <c r="G719" s="18"/>
      <c r="H719" s="14" t="s">
        <v>4533</v>
      </c>
      <c r="I719" s="14" t="s">
        <v>257</v>
      </c>
      <c r="J719" s="14">
        <v>2019</v>
      </c>
      <c r="K719" s="14">
        <v>9781728130941</v>
      </c>
      <c r="L719" s="18"/>
      <c r="M719" s="18"/>
      <c r="N719" s="17" t="s">
        <v>4534</v>
      </c>
      <c r="O719" s="14" t="s">
        <v>4535</v>
      </c>
      <c r="P719" s="14" t="s">
        <v>4536</v>
      </c>
      <c r="Q719" s="14" t="s">
        <v>157</v>
      </c>
      <c r="R719" s="18"/>
      <c r="S719" s="15"/>
      <c r="T719" s="15"/>
      <c r="U719" s="15"/>
      <c r="V719" s="15"/>
    </row>
    <row r="720" spans="1:22" x14ac:dyDescent="0.25">
      <c r="A720" s="14" t="s">
        <v>141</v>
      </c>
      <c r="B720" s="14" t="s">
        <v>4537</v>
      </c>
      <c r="C720" s="14" t="s">
        <v>4538</v>
      </c>
      <c r="D720" s="18"/>
      <c r="E720" s="14">
        <v>2020</v>
      </c>
      <c r="F720" s="18"/>
      <c r="G720" s="18"/>
      <c r="H720" s="14" t="s">
        <v>4539</v>
      </c>
      <c r="I720" s="14" t="s">
        <v>196</v>
      </c>
      <c r="J720" s="14">
        <v>2020</v>
      </c>
      <c r="K720" s="14">
        <v>9781450371247</v>
      </c>
      <c r="L720" s="18"/>
      <c r="M720" s="14" t="s">
        <v>1458</v>
      </c>
      <c r="N720" s="17" t="s">
        <v>4540</v>
      </c>
      <c r="O720" s="14" t="s">
        <v>4541</v>
      </c>
      <c r="P720" s="14" t="s">
        <v>4542</v>
      </c>
      <c r="Q720" s="14" t="s">
        <v>1930</v>
      </c>
      <c r="R720" s="18"/>
      <c r="S720" s="15"/>
      <c r="T720" s="15"/>
      <c r="U720" s="15"/>
      <c r="V720" s="15"/>
    </row>
    <row r="721" spans="1:22" x14ac:dyDescent="0.25">
      <c r="A721" s="14" t="s">
        <v>13</v>
      </c>
      <c r="B721" s="14" t="s">
        <v>4543</v>
      </c>
      <c r="C721" s="14" t="s">
        <v>4544</v>
      </c>
      <c r="D721" s="14" t="s">
        <v>548</v>
      </c>
      <c r="E721" s="14">
        <v>2020</v>
      </c>
      <c r="F721" s="14">
        <v>12</v>
      </c>
      <c r="G721" s="14">
        <v>6</v>
      </c>
      <c r="H721" s="18"/>
      <c r="I721" s="14" t="s">
        <v>3431</v>
      </c>
      <c r="J721" s="14">
        <v>2020</v>
      </c>
      <c r="K721" s="18"/>
      <c r="L721" s="18"/>
      <c r="M721" s="14" t="s">
        <v>549</v>
      </c>
      <c r="N721" s="17" t="s">
        <v>4545</v>
      </c>
      <c r="O721" s="14" t="s">
        <v>4546</v>
      </c>
      <c r="P721" s="14" t="s">
        <v>4547</v>
      </c>
      <c r="Q721" s="14" t="s">
        <v>4548</v>
      </c>
      <c r="R721" s="18"/>
      <c r="S721" s="15"/>
      <c r="T721" s="15"/>
      <c r="U721" s="15"/>
      <c r="V721" s="15"/>
    </row>
    <row r="722" spans="1:22" x14ac:dyDescent="0.25">
      <c r="A722" s="14" t="s">
        <v>141</v>
      </c>
      <c r="B722" s="14" t="s">
        <v>4549</v>
      </c>
      <c r="C722" s="14" t="s">
        <v>4550</v>
      </c>
      <c r="D722" s="18"/>
      <c r="E722" s="14">
        <v>2019</v>
      </c>
      <c r="F722" s="18"/>
      <c r="G722" s="18"/>
      <c r="H722" s="14" t="s">
        <v>4551</v>
      </c>
      <c r="I722" s="14" t="s">
        <v>257</v>
      </c>
      <c r="J722" s="14">
        <v>2019</v>
      </c>
      <c r="K722" s="14">
        <v>9781728130941</v>
      </c>
      <c r="L722" s="18"/>
      <c r="M722" s="18"/>
      <c r="N722" s="17" t="s">
        <v>4552</v>
      </c>
      <c r="O722" s="14" t="s">
        <v>4553</v>
      </c>
      <c r="P722" s="14" t="s">
        <v>4554</v>
      </c>
      <c r="Q722" s="14" t="s">
        <v>2243</v>
      </c>
      <c r="R722" s="18"/>
      <c r="S722" s="15"/>
      <c r="T722" s="15"/>
      <c r="U722" s="15"/>
      <c r="V722" s="15"/>
    </row>
    <row r="723" spans="1:22" x14ac:dyDescent="0.25">
      <c r="A723" s="14" t="s">
        <v>141</v>
      </c>
      <c r="B723" s="14" t="s">
        <v>3062</v>
      </c>
      <c r="C723" s="14" t="s">
        <v>4555</v>
      </c>
      <c r="D723" s="18"/>
      <c r="E723" s="14">
        <v>2019</v>
      </c>
      <c r="F723" s="18"/>
      <c r="G723" s="18"/>
      <c r="H723" s="14" t="s">
        <v>4556</v>
      </c>
      <c r="I723" s="14" t="s">
        <v>257</v>
      </c>
      <c r="J723" s="14">
        <v>2019</v>
      </c>
      <c r="K723" s="14">
        <v>9781728122700</v>
      </c>
      <c r="L723" s="18"/>
      <c r="M723" s="18"/>
      <c r="N723" s="17" t="s">
        <v>4557</v>
      </c>
      <c r="O723" s="14" t="s">
        <v>4558</v>
      </c>
      <c r="P723" s="14" t="s">
        <v>4559</v>
      </c>
      <c r="Q723" s="14" t="s">
        <v>4560</v>
      </c>
      <c r="R723" s="18"/>
      <c r="S723" s="15"/>
      <c r="T723" s="15"/>
      <c r="U723" s="15"/>
      <c r="V723" s="15"/>
    </row>
    <row r="724" spans="1:22" x14ac:dyDescent="0.25">
      <c r="A724" s="14" t="s">
        <v>141</v>
      </c>
      <c r="B724" s="14" t="s">
        <v>4561</v>
      </c>
      <c r="C724" s="14" t="s">
        <v>4562</v>
      </c>
      <c r="D724" s="18"/>
      <c r="E724" s="14">
        <v>2020</v>
      </c>
      <c r="F724" s="18"/>
      <c r="G724" s="18"/>
      <c r="H724" s="14" t="s">
        <v>4563</v>
      </c>
      <c r="I724" s="14" t="s">
        <v>196</v>
      </c>
      <c r="J724" s="14">
        <v>2020</v>
      </c>
      <c r="K724" s="14">
        <v>9781450371216</v>
      </c>
      <c r="L724" s="18"/>
      <c r="M724" s="14" t="s">
        <v>1458</v>
      </c>
      <c r="N724" s="17" t="s">
        <v>4564</v>
      </c>
      <c r="O724" s="14" t="s">
        <v>4565</v>
      </c>
      <c r="P724" s="14" t="s">
        <v>4566</v>
      </c>
      <c r="Q724" s="14" t="s">
        <v>4567</v>
      </c>
      <c r="R724" s="18"/>
      <c r="S724" s="15"/>
      <c r="T724" s="15"/>
      <c r="U724" s="15"/>
      <c r="V724" s="15"/>
    </row>
    <row r="725" spans="1:22" x14ac:dyDescent="0.25">
      <c r="A725" s="14" t="s">
        <v>13</v>
      </c>
      <c r="B725" s="14" t="s">
        <v>4568</v>
      </c>
      <c r="C725" s="14" t="s">
        <v>4569</v>
      </c>
      <c r="D725" s="14" t="s">
        <v>209</v>
      </c>
      <c r="E725" s="14">
        <v>2019</v>
      </c>
      <c r="F725" s="14" t="s">
        <v>4570</v>
      </c>
      <c r="G725" s="18"/>
      <c r="H725" s="14" t="s">
        <v>4571</v>
      </c>
      <c r="I725" s="14" t="s">
        <v>4155</v>
      </c>
      <c r="J725" s="14">
        <v>2019</v>
      </c>
      <c r="K725" s="18"/>
      <c r="L725" s="18"/>
      <c r="M725" s="14" t="s">
        <v>213</v>
      </c>
      <c r="N725" s="17" t="s">
        <v>4572</v>
      </c>
      <c r="O725" s="14" t="s">
        <v>4573</v>
      </c>
      <c r="P725" s="14" t="s">
        <v>4574</v>
      </c>
      <c r="Q725" s="14" t="s">
        <v>318</v>
      </c>
      <c r="R725" s="18"/>
      <c r="S725" s="15"/>
      <c r="T725" s="15"/>
      <c r="U725" s="15"/>
      <c r="V725" s="15"/>
    </row>
    <row r="726" spans="1:22" x14ac:dyDescent="0.25">
      <c r="A726" s="14" t="s">
        <v>141</v>
      </c>
      <c r="B726" s="14" t="s">
        <v>4575</v>
      </c>
      <c r="C726" s="14" t="s">
        <v>4576</v>
      </c>
      <c r="D726" s="18"/>
      <c r="E726" s="14">
        <v>2020</v>
      </c>
      <c r="F726" s="18"/>
      <c r="G726" s="18"/>
      <c r="H726" s="14" t="s">
        <v>4577</v>
      </c>
      <c r="I726" s="14" t="s">
        <v>153</v>
      </c>
      <c r="J726" s="14">
        <v>2020</v>
      </c>
      <c r="K726" s="14">
        <v>9781450379571</v>
      </c>
      <c r="L726" s="18"/>
      <c r="M726" s="18"/>
      <c r="N726" s="17" t="s">
        <v>4578</v>
      </c>
      <c r="O726" s="14" t="s">
        <v>4579</v>
      </c>
      <c r="P726" s="14" t="s">
        <v>4580</v>
      </c>
      <c r="Q726" s="14" t="s">
        <v>4581</v>
      </c>
      <c r="R726" s="18"/>
      <c r="S726" s="15"/>
      <c r="T726" s="15"/>
      <c r="U726" s="15"/>
      <c r="V726" s="15"/>
    </row>
    <row r="727" spans="1:22" x14ac:dyDescent="0.25">
      <c r="A727" s="14" t="s">
        <v>13</v>
      </c>
      <c r="B727" s="14" t="s">
        <v>4582</v>
      </c>
      <c r="C727" s="14" t="s">
        <v>4583</v>
      </c>
      <c r="D727" s="14" t="s">
        <v>209</v>
      </c>
      <c r="E727" s="14">
        <v>2020</v>
      </c>
      <c r="F727" s="14" t="s">
        <v>4584</v>
      </c>
      <c r="G727" s="18"/>
      <c r="H727" s="14" t="s">
        <v>4585</v>
      </c>
      <c r="I727" s="14" t="s">
        <v>212</v>
      </c>
      <c r="J727" s="14">
        <v>2020</v>
      </c>
      <c r="K727" s="18"/>
      <c r="L727" s="18"/>
      <c r="M727" s="14" t="s">
        <v>213</v>
      </c>
      <c r="N727" s="17" t="s">
        <v>4586</v>
      </c>
      <c r="O727" s="14" t="s">
        <v>4587</v>
      </c>
      <c r="P727" s="14" t="s">
        <v>4588</v>
      </c>
      <c r="Q727" s="14" t="s">
        <v>2717</v>
      </c>
      <c r="R727" s="18"/>
      <c r="S727" s="15"/>
      <c r="T727" s="15"/>
      <c r="U727" s="15"/>
      <c r="V727" s="15"/>
    </row>
    <row r="728" spans="1:22" x14ac:dyDescent="0.25">
      <c r="A728" s="14" t="s">
        <v>141</v>
      </c>
      <c r="B728" s="14" t="s">
        <v>2937</v>
      </c>
      <c r="C728" s="14" t="s">
        <v>4589</v>
      </c>
      <c r="D728" s="18"/>
      <c r="E728" s="14">
        <v>2019</v>
      </c>
      <c r="F728" s="18"/>
      <c r="G728" s="18"/>
      <c r="H728" s="14" t="s">
        <v>4590</v>
      </c>
      <c r="I728" s="14" t="s">
        <v>153</v>
      </c>
      <c r="J728" s="14">
        <v>2019</v>
      </c>
      <c r="K728" s="14">
        <v>9781450368551</v>
      </c>
      <c r="L728" s="18"/>
      <c r="M728" s="18"/>
      <c r="N728" s="17" t="s">
        <v>4591</v>
      </c>
      <c r="O728" s="14" t="s">
        <v>4592</v>
      </c>
      <c r="P728" s="14" t="s">
        <v>4593</v>
      </c>
      <c r="Q728" s="14" t="s">
        <v>4286</v>
      </c>
      <c r="R728" s="18"/>
      <c r="S728" s="15"/>
      <c r="T728" s="15"/>
      <c r="U728" s="15"/>
      <c r="V728" s="15"/>
    </row>
    <row r="729" spans="1:22" x14ac:dyDescent="0.25">
      <c r="A729" s="14" t="s">
        <v>13</v>
      </c>
      <c r="B729" s="14" t="s">
        <v>4594</v>
      </c>
      <c r="C729" s="14" t="s">
        <v>4595</v>
      </c>
      <c r="D729" s="14" t="s">
        <v>136</v>
      </c>
      <c r="E729" s="14">
        <v>2020</v>
      </c>
      <c r="F729" s="14">
        <v>25</v>
      </c>
      <c r="G729" s="14">
        <v>3</v>
      </c>
      <c r="H729" s="14" t="s">
        <v>4596</v>
      </c>
      <c r="I729" s="14" t="s">
        <v>137</v>
      </c>
      <c r="J729" s="14">
        <v>2020</v>
      </c>
      <c r="K729" s="18"/>
      <c r="L729" s="18"/>
      <c r="M729" s="14" t="s">
        <v>33</v>
      </c>
      <c r="N729" s="17" t="s">
        <v>4597</v>
      </c>
      <c r="O729" s="14" t="s">
        <v>4598</v>
      </c>
      <c r="P729" s="14" t="s">
        <v>4599</v>
      </c>
      <c r="Q729" s="14" t="s">
        <v>4600</v>
      </c>
      <c r="R729" s="18"/>
      <c r="S729" s="15"/>
      <c r="T729" s="15"/>
      <c r="U729" s="15"/>
      <c r="V729" s="15"/>
    </row>
    <row r="730" spans="1:22" x14ac:dyDescent="0.25">
      <c r="A730" s="14" t="s">
        <v>13</v>
      </c>
      <c r="B730" s="14" t="s">
        <v>4601</v>
      </c>
      <c r="C730" s="14" t="s">
        <v>4602</v>
      </c>
      <c r="D730" s="14" t="s">
        <v>1033</v>
      </c>
      <c r="E730" s="14">
        <v>2020</v>
      </c>
      <c r="F730" s="14">
        <v>45</v>
      </c>
      <c r="G730" s="14">
        <v>4</v>
      </c>
      <c r="H730" s="14" t="s">
        <v>4603</v>
      </c>
      <c r="I730" s="14" t="s">
        <v>137</v>
      </c>
      <c r="J730" s="14">
        <v>2020</v>
      </c>
      <c r="K730" s="18"/>
      <c r="L730" s="18"/>
      <c r="M730" s="14" t="s">
        <v>1035</v>
      </c>
      <c r="N730" s="17" t="s">
        <v>4604</v>
      </c>
      <c r="O730" s="14" t="s">
        <v>4605</v>
      </c>
      <c r="P730" s="14" t="s">
        <v>4606</v>
      </c>
      <c r="Q730" s="14" t="s">
        <v>4607</v>
      </c>
      <c r="R730" s="18"/>
      <c r="S730" s="15"/>
      <c r="T730" s="15"/>
      <c r="U730" s="15"/>
      <c r="V730" s="15"/>
    </row>
    <row r="731" spans="1:22" x14ac:dyDescent="0.25">
      <c r="A731" s="14" t="s">
        <v>141</v>
      </c>
      <c r="B731" s="14" t="s">
        <v>4608</v>
      </c>
      <c r="C731" s="14" t="s">
        <v>4609</v>
      </c>
      <c r="D731" s="18"/>
      <c r="E731" s="14">
        <v>2019</v>
      </c>
      <c r="F731" s="18"/>
      <c r="G731" s="18"/>
      <c r="H731" s="14" t="s">
        <v>4610</v>
      </c>
      <c r="I731" s="14" t="s">
        <v>257</v>
      </c>
      <c r="J731" s="14">
        <v>2019</v>
      </c>
      <c r="K731" s="14">
        <v>9781728151250</v>
      </c>
      <c r="L731" s="18"/>
      <c r="M731" s="18"/>
      <c r="N731" s="17" t="s">
        <v>4611</v>
      </c>
      <c r="O731" s="14" t="s">
        <v>4612</v>
      </c>
      <c r="P731" s="14" t="s">
        <v>4613</v>
      </c>
      <c r="Q731" s="14" t="s">
        <v>185</v>
      </c>
      <c r="R731" s="18"/>
      <c r="S731" s="15"/>
      <c r="T731" s="15"/>
      <c r="U731" s="15"/>
      <c r="V731" s="15"/>
    </row>
    <row r="732" spans="1:22" x14ac:dyDescent="0.25">
      <c r="A732" s="14" t="s">
        <v>141</v>
      </c>
      <c r="B732" s="14" t="s">
        <v>4614</v>
      </c>
      <c r="C732" s="14" t="s">
        <v>4615</v>
      </c>
      <c r="D732" s="18"/>
      <c r="E732" s="14">
        <v>2020</v>
      </c>
      <c r="F732" s="18"/>
      <c r="G732" s="18"/>
      <c r="H732" s="14" t="s">
        <v>4616</v>
      </c>
      <c r="I732" s="14" t="s">
        <v>153</v>
      </c>
      <c r="J732" s="14">
        <v>2020</v>
      </c>
      <c r="K732" s="14">
        <v>9781450369367</v>
      </c>
      <c r="L732" s="18"/>
      <c r="M732" s="18"/>
      <c r="N732" s="17" t="s">
        <v>4617</v>
      </c>
      <c r="O732" s="14" t="s">
        <v>4618</v>
      </c>
      <c r="P732" s="14" t="s">
        <v>4619</v>
      </c>
      <c r="Q732" s="14" t="s">
        <v>4620</v>
      </c>
      <c r="R732" s="18"/>
      <c r="S732" s="15"/>
      <c r="T732" s="15"/>
      <c r="U732" s="15"/>
      <c r="V732" s="15"/>
    </row>
    <row r="733" spans="1:22" x14ac:dyDescent="0.25">
      <c r="A733" s="14" t="s">
        <v>141</v>
      </c>
      <c r="B733" s="14" t="s">
        <v>4621</v>
      </c>
      <c r="C733" s="14" t="s">
        <v>4622</v>
      </c>
      <c r="D733" s="18"/>
      <c r="E733" s="14">
        <v>2020</v>
      </c>
      <c r="F733" s="18"/>
      <c r="G733" s="18"/>
      <c r="H733" s="14" t="s">
        <v>4623</v>
      </c>
      <c r="I733" s="14" t="s">
        <v>145</v>
      </c>
      <c r="J733" s="14">
        <v>2020</v>
      </c>
      <c r="K733" s="14">
        <v>9781450367356</v>
      </c>
      <c r="L733" s="18"/>
      <c r="M733" s="14" t="s">
        <v>3308</v>
      </c>
      <c r="N733" s="17" t="s">
        <v>4624</v>
      </c>
      <c r="O733" s="14" t="s">
        <v>4625</v>
      </c>
      <c r="P733" s="14" t="s">
        <v>4626</v>
      </c>
      <c r="Q733" s="14" t="s">
        <v>4627</v>
      </c>
      <c r="R733" s="18"/>
      <c r="S733" s="15"/>
      <c r="T733" s="15"/>
      <c r="U733" s="15"/>
      <c r="V733" s="15"/>
    </row>
    <row r="734" spans="1:22" x14ac:dyDescent="0.25">
      <c r="A734" s="14" t="s">
        <v>141</v>
      </c>
      <c r="B734" s="14" t="s">
        <v>4628</v>
      </c>
      <c r="C734" s="14" t="s">
        <v>4629</v>
      </c>
      <c r="D734" s="18"/>
      <c r="E734" s="14">
        <v>2019</v>
      </c>
      <c r="F734" s="18"/>
      <c r="G734" s="18"/>
      <c r="H734" s="14" t="s">
        <v>4630</v>
      </c>
      <c r="I734" s="14" t="s">
        <v>257</v>
      </c>
      <c r="J734" s="14">
        <v>2019</v>
      </c>
      <c r="K734" s="14">
        <v>9781538650356</v>
      </c>
      <c r="L734" s="18"/>
      <c r="M734" s="18"/>
      <c r="N734" s="17" t="s">
        <v>4631</v>
      </c>
      <c r="O734" s="14" t="s">
        <v>4632</v>
      </c>
      <c r="P734" s="14" t="s">
        <v>4633</v>
      </c>
      <c r="Q734" s="14" t="s">
        <v>4634</v>
      </c>
      <c r="R734" s="18"/>
      <c r="S734" s="15"/>
      <c r="T734" s="15"/>
      <c r="U734" s="15"/>
      <c r="V734" s="15"/>
    </row>
    <row r="735" spans="1:22" x14ac:dyDescent="0.25">
      <c r="A735" s="14" t="s">
        <v>13</v>
      </c>
      <c r="B735" s="14" t="s">
        <v>4635</v>
      </c>
      <c r="C735" s="14" t="s">
        <v>4636</v>
      </c>
      <c r="D735" s="14" t="s">
        <v>4637</v>
      </c>
      <c r="E735" s="14">
        <v>2019</v>
      </c>
      <c r="F735" s="14">
        <v>36</v>
      </c>
      <c r="G735" s="14">
        <v>5</v>
      </c>
      <c r="H735" s="14" t="s">
        <v>4638</v>
      </c>
      <c r="I735" s="14" t="s">
        <v>196</v>
      </c>
      <c r="J735" s="14">
        <v>2019</v>
      </c>
      <c r="K735" s="18"/>
      <c r="L735" s="18"/>
      <c r="M735" s="14" t="s">
        <v>4639</v>
      </c>
      <c r="N735" s="17" t="s">
        <v>4640</v>
      </c>
      <c r="O735" s="14" t="s">
        <v>4641</v>
      </c>
      <c r="P735" s="14" t="s">
        <v>4642</v>
      </c>
      <c r="Q735" s="14" t="s">
        <v>3633</v>
      </c>
      <c r="R735" s="18"/>
      <c r="S735" s="15"/>
      <c r="T735" s="15"/>
      <c r="U735" s="15"/>
      <c r="V735" s="15"/>
    </row>
    <row r="736" spans="1:22" x14ac:dyDescent="0.25">
      <c r="A736" s="14" t="s">
        <v>141</v>
      </c>
      <c r="B736" s="14" t="s">
        <v>4643</v>
      </c>
      <c r="C736" s="14" t="s">
        <v>4644</v>
      </c>
      <c r="D736" s="18"/>
      <c r="E736" s="14">
        <v>2019</v>
      </c>
      <c r="F736" s="18"/>
      <c r="G736" s="18"/>
      <c r="H736" s="14" t="s">
        <v>4645</v>
      </c>
      <c r="I736" s="14" t="s">
        <v>257</v>
      </c>
      <c r="J736" s="14">
        <v>2019</v>
      </c>
      <c r="K736" s="14">
        <v>9781728151656</v>
      </c>
      <c r="L736" s="18"/>
      <c r="M736" s="18"/>
      <c r="N736" s="17" t="s">
        <v>4646</v>
      </c>
      <c r="O736" s="14" t="s">
        <v>4647</v>
      </c>
      <c r="P736" s="14" t="s">
        <v>4648</v>
      </c>
      <c r="Q736" s="14" t="s">
        <v>4649</v>
      </c>
      <c r="R736" s="18"/>
      <c r="S736" s="15"/>
      <c r="T736" s="15"/>
      <c r="U736" s="15"/>
      <c r="V736" s="15"/>
    </row>
    <row r="737" spans="1:22" x14ac:dyDescent="0.25">
      <c r="A737" s="14" t="s">
        <v>13</v>
      </c>
      <c r="B737" s="14" t="s">
        <v>4650</v>
      </c>
      <c r="C737" s="14" t="s">
        <v>4651</v>
      </c>
      <c r="D737" s="14" t="s">
        <v>264</v>
      </c>
      <c r="E737" s="14">
        <v>2019</v>
      </c>
      <c r="F737" s="14">
        <v>49</v>
      </c>
      <c r="G737" s="14">
        <v>1</v>
      </c>
      <c r="H737" s="14" t="s">
        <v>4652</v>
      </c>
      <c r="I737" s="14" t="s">
        <v>266</v>
      </c>
      <c r="J737" s="14">
        <v>2019</v>
      </c>
      <c r="K737" s="18"/>
      <c r="L737" s="18"/>
      <c r="M737" s="14" t="s">
        <v>267</v>
      </c>
      <c r="N737" s="17" t="s">
        <v>4653</v>
      </c>
      <c r="O737" s="14" t="s">
        <v>4654</v>
      </c>
      <c r="P737" s="14" t="s">
        <v>4655</v>
      </c>
      <c r="Q737" s="14" t="s">
        <v>4634</v>
      </c>
      <c r="R737" s="18"/>
      <c r="S737" s="15"/>
      <c r="T737" s="15"/>
      <c r="U737" s="15"/>
      <c r="V737" s="15"/>
    </row>
    <row r="738" spans="1:22" x14ac:dyDescent="0.25">
      <c r="A738" s="14" t="s">
        <v>141</v>
      </c>
      <c r="B738" s="14" t="s">
        <v>4656</v>
      </c>
      <c r="C738" s="14" t="s">
        <v>4657</v>
      </c>
      <c r="D738" s="18"/>
      <c r="E738" s="14">
        <v>2019</v>
      </c>
      <c r="F738" s="18"/>
      <c r="G738" s="18"/>
      <c r="H738" s="14" t="s">
        <v>3846</v>
      </c>
      <c r="I738" s="14" t="s">
        <v>257</v>
      </c>
      <c r="J738" s="14">
        <v>2019</v>
      </c>
      <c r="K738" s="14">
        <v>9781728151380</v>
      </c>
      <c r="L738" s="18"/>
      <c r="M738" s="18"/>
      <c r="N738" s="17" t="s">
        <v>4658</v>
      </c>
      <c r="O738" s="14" t="s">
        <v>4659</v>
      </c>
      <c r="P738" s="14" t="s">
        <v>4660</v>
      </c>
      <c r="Q738" s="14" t="s">
        <v>2717</v>
      </c>
      <c r="R738" s="18"/>
      <c r="S738" s="15"/>
      <c r="T738" s="15"/>
      <c r="U738" s="15"/>
      <c r="V738" s="15"/>
    </row>
    <row r="739" spans="1:22" x14ac:dyDescent="0.25">
      <c r="A739" s="14" t="s">
        <v>13</v>
      </c>
      <c r="B739" s="14" t="s">
        <v>4661</v>
      </c>
      <c r="C739" s="14" t="s">
        <v>4662</v>
      </c>
      <c r="D739" s="14" t="s">
        <v>4663</v>
      </c>
      <c r="E739" s="14">
        <v>2019</v>
      </c>
      <c r="F739" s="14">
        <v>136</v>
      </c>
      <c r="G739" s="14">
        <v>7</v>
      </c>
      <c r="H739" s="14" t="s">
        <v>4664</v>
      </c>
      <c r="I739" s="14" t="s">
        <v>137</v>
      </c>
      <c r="J739" s="14">
        <v>2019</v>
      </c>
      <c r="K739" s="18"/>
      <c r="L739" s="18"/>
      <c r="M739" s="14" t="s">
        <v>4665</v>
      </c>
      <c r="N739" s="17" t="s">
        <v>4666</v>
      </c>
      <c r="O739" s="14" t="s">
        <v>4667</v>
      </c>
      <c r="P739" s="14" t="s">
        <v>4668</v>
      </c>
      <c r="Q739" s="14" t="s">
        <v>157</v>
      </c>
      <c r="R739" s="18"/>
      <c r="S739" s="15"/>
      <c r="T739" s="15"/>
      <c r="U739" s="15"/>
      <c r="V739" s="15"/>
    </row>
    <row r="740" spans="1:22" x14ac:dyDescent="0.25">
      <c r="A740" s="14" t="s">
        <v>13</v>
      </c>
      <c r="B740" s="14" t="s">
        <v>4669</v>
      </c>
      <c r="C740" s="14" t="s">
        <v>4670</v>
      </c>
      <c r="D740" s="14" t="s">
        <v>668</v>
      </c>
      <c r="E740" s="14">
        <v>2020</v>
      </c>
      <c r="F740" s="14">
        <v>8</v>
      </c>
      <c r="G740" s="18"/>
      <c r="H740" s="14" t="s">
        <v>4671</v>
      </c>
      <c r="I740" s="14" t="s">
        <v>257</v>
      </c>
      <c r="J740" s="14">
        <v>2020</v>
      </c>
      <c r="K740" s="18"/>
      <c r="L740" s="18"/>
      <c r="M740" s="14" t="s">
        <v>670</v>
      </c>
      <c r="N740" s="17" t="s">
        <v>4672</v>
      </c>
      <c r="O740" s="14" t="s">
        <v>4673</v>
      </c>
      <c r="P740" s="14" t="s">
        <v>4674</v>
      </c>
      <c r="Q740" s="14" t="s">
        <v>4675</v>
      </c>
      <c r="R740" s="18"/>
      <c r="S740" s="15"/>
      <c r="T740" s="15"/>
      <c r="U740" s="15"/>
      <c r="V740" s="15"/>
    </row>
    <row r="741" spans="1:22" x14ac:dyDescent="0.25">
      <c r="A741" s="14" t="s">
        <v>13</v>
      </c>
      <c r="B741" s="14" t="s">
        <v>2998</v>
      </c>
      <c r="C741" s="14" t="s">
        <v>4676</v>
      </c>
      <c r="D741" s="14" t="s">
        <v>668</v>
      </c>
      <c r="E741" s="14">
        <v>2020</v>
      </c>
      <c r="F741" s="14">
        <v>8</v>
      </c>
      <c r="G741" s="18"/>
      <c r="H741" s="14" t="s">
        <v>4677</v>
      </c>
      <c r="I741" s="14" t="s">
        <v>257</v>
      </c>
      <c r="J741" s="14">
        <v>2020</v>
      </c>
      <c r="K741" s="18"/>
      <c r="L741" s="18"/>
      <c r="M741" s="14" t="s">
        <v>670</v>
      </c>
      <c r="N741" s="17" t="s">
        <v>4678</v>
      </c>
      <c r="O741" s="14" t="s">
        <v>4679</v>
      </c>
      <c r="P741" s="14" t="s">
        <v>4680</v>
      </c>
      <c r="Q741" s="14" t="s">
        <v>4681</v>
      </c>
      <c r="R741" s="18"/>
      <c r="S741" s="15"/>
      <c r="T741" s="15"/>
      <c r="U741" s="15"/>
      <c r="V741" s="15"/>
    </row>
    <row r="742" spans="1:22" x14ac:dyDescent="0.25">
      <c r="A742" s="14" t="s">
        <v>13</v>
      </c>
      <c r="B742" s="14" t="s">
        <v>4682</v>
      </c>
      <c r="C742" s="14" t="s">
        <v>4683</v>
      </c>
      <c r="D742" s="14" t="s">
        <v>354</v>
      </c>
      <c r="E742" s="14">
        <v>2020</v>
      </c>
      <c r="F742" s="14">
        <v>164</v>
      </c>
      <c r="G742" s="18"/>
      <c r="H742" s="18"/>
      <c r="I742" s="14" t="s">
        <v>355</v>
      </c>
      <c r="J742" s="14">
        <v>2020</v>
      </c>
      <c r="K742" s="18"/>
      <c r="L742" s="18"/>
      <c r="M742" s="14" t="s">
        <v>65</v>
      </c>
      <c r="N742" s="17" t="s">
        <v>4684</v>
      </c>
      <c r="O742" s="14" t="s">
        <v>4685</v>
      </c>
      <c r="P742" s="14" t="s">
        <v>4686</v>
      </c>
      <c r="Q742" s="14" t="s">
        <v>4687</v>
      </c>
      <c r="R742" s="18"/>
      <c r="S742" s="15"/>
      <c r="T742" s="15"/>
      <c r="U742" s="15"/>
      <c r="V742" s="15"/>
    </row>
    <row r="743" spans="1:22" x14ac:dyDescent="0.25">
      <c r="A743" s="14" t="s">
        <v>141</v>
      </c>
      <c r="B743" s="14" t="s">
        <v>4688</v>
      </c>
      <c r="C743" s="14" t="s">
        <v>4689</v>
      </c>
      <c r="D743" s="18"/>
      <c r="E743" s="14">
        <v>2019</v>
      </c>
      <c r="F743" s="18"/>
      <c r="G743" s="18"/>
      <c r="H743" s="14" t="s">
        <v>1977</v>
      </c>
      <c r="I743" s="14" t="s">
        <v>257</v>
      </c>
      <c r="J743" s="14">
        <v>2019</v>
      </c>
      <c r="K743" s="14">
        <v>9781728104393</v>
      </c>
      <c r="L743" s="18"/>
      <c r="M743" s="18"/>
      <c r="N743" s="17" t="s">
        <v>4690</v>
      </c>
      <c r="O743" s="14" t="s">
        <v>4691</v>
      </c>
      <c r="P743" s="14" t="s">
        <v>4692</v>
      </c>
      <c r="Q743" s="14" t="s">
        <v>747</v>
      </c>
      <c r="R743" s="18"/>
      <c r="S743" s="15"/>
      <c r="T743" s="15"/>
      <c r="U743" s="15"/>
      <c r="V743" s="15"/>
    </row>
    <row r="744" spans="1:22" x14ac:dyDescent="0.25">
      <c r="A744" s="14" t="s">
        <v>13</v>
      </c>
      <c r="B744" s="14" t="s">
        <v>4693</v>
      </c>
      <c r="C744" s="14" t="s">
        <v>4694</v>
      </c>
      <c r="D744" s="14" t="s">
        <v>4637</v>
      </c>
      <c r="E744" s="14">
        <v>2020</v>
      </c>
      <c r="F744" s="14">
        <v>37</v>
      </c>
      <c r="G744" s="14">
        <v>1</v>
      </c>
      <c r="H744" s="14" t="s">
        <v>4695</v>
      </c>
      <c r="I744" s="14" t="s">
        <v>196</v>
      </c>
      <c r="J744" s="14">
        <v>2020</v>
      </c>
      <c r="K744" s="18"/>
      <c r="L744" s="18"/>
      <c r="M744" s="14" t="s">
        <v>4639</v>
      </c>
      <c r="N744" s="17" t="s">
        <v>4696</v>
      </c>
      <c r="O744" s="14" t="s">
        <v>4697</v>
      </c>
      <c r="P744" s="14" t="s">
        <v>4698</v>
      </c>
      <c r="Q744" s="14" t="s">
        <v>2997</v>
      </c>
      <c r="R744" s="18"/>
      <c r="S744" s="15"/>
      <c r="T744" s="15"/>
      <c r="U744" s="15"/>
      <c r="V744" s="15"/>
    </row>
    <row r="745" spans="1:22" x14ac:dyDescent="0.25">
      <c r="A745" s="14" t="s">
        <v>13</v>
      </c>
      <c r="B745" s="14" t="s">
        <v>4699</v>
      </c>
      <c r="C745" s="14" t="s">
        <v>4700</v>
      </c>
      <c r="D745" s="14" t="s">
        <v>668</v>
      </c>
      <c r="E745" s="14">
        <v>2019</v>
      </c>
      <c r="F745" s="14">
        <v>7</v>
      </c>
      <c r="G745" s="18"/>
      <c r="H745" s="14" t="s">
        <v>4701</v>
      </c>
      <c r="I745" s="14" t="s">
        <v>257</v>
      </c>
      <c r="J745" s="14">
        <v>2019</v>
      </c>
      <c r="K745" s="18"/>
      <c r="L745" s="18"/>
      <c r="M745" s="14" t="s">
        <v>670</v>
      </c>
      <c r="N745" s="17" t="s">
        <v>4702</v>
      </c>
      <c r="O745" s="14" t="s">
        <v>4703</v>
      </c>
      <c r="P745" s="14" t="s">
        <v>4704</v>
      </c>
      <c r="Q745" s="14" t="s">
        <v>4705</v>
      </c>
      <c r="R745" s="18"/>
      <c r="S745" s="15"/>
      <c r="T745" s="15"/>
      <c r="U745" s="15"/>
      <c r="V745" s="15"/>
    </row>
    <row r="746" spans="1:22" x14ac:dyDescent="0.25">
      <c r="A746" s="14" t="s">
        <v>141</v>
      </c>
      <c r="B746" s="14" t="s">
        <v>4706</v>
      </c>
      <c r="C746" s="14" t="s">
        <v>4707</v>
      </c>
      <c r="D746" s="18"/>
      <c r="E746" s="14">
        <v>2019</v>
      </c>
      <c r="F746" s="18"/>
      <c r="G746" s="18"/>
      <c r="H746" s="14" t="s">
        <v>4708</v>
      </c>
      <c r="I746" s="14" t="s">
        <v>257</v>
      </c>
      <c r="J746" s="14">
        <v>2019</v>
      </c>
      <c r="K746" s="14">
        <v>9781728130941</v>
      </c>
      <c r="L746" s="18"/>
      <c r="M746" s="18"/>
      <c r="N746" s="17" t="s">
        <v>4709</v>
      </c>
      <c r="O746" s="14" t="s">
        <v>4710</v>
      </c>
      <c r="P746" s="14" t="s">
        <v>4711</v>
      </c>
      <c r="Q746" s="14" t="s">
        <v>1813</v>
      </c>
      <c r="R746" s="18"/>
      <c r="S746" s="15"/>
      <c r="T746" s="15"/>
      <c r="U746" s="15"/>
      <c r="V746" s="15"/>
    </row>
    <row r="747" spans="1:22" x14ac:dyDescent="0.25">
      <c r="A747" s="14" t="s">
        <v>13</v>
      </c>
      <c r="B747" s="14" t="s">
        <v>4712</v>
      </c>
      <c r="C747" s="14" t="s">
        <v>4713</v>
      </c>
      <c r="D747" s="14" t="s">
        <v>462</v>
      </c>
      <c r="E747" s="14">
        <v>2019</v>
      </c>
      <c r="F747" s="14" t="s">
        <v>4714</v>
      </c>
      <c r="G747" s="18"/>
      <c r="H747" s="14" t="s">
        <v>4715</v>
      </c>
      <c r="I747" s="14" t="s">
        <v>137</v>
      </c>
      <c r="J747" s="14">
        <v>2019</v>
      </c>
      <c r="K747" s="18"/>
      <c r="L747" s="18"/>
      <c r="M747" s="14" t="s">
        <v>465</v>
      </c>
      <c r="N747" s="17" t="s">
        <v>4716</v>
      </c>
      <c r="O747" s="14" t="s">
        <v>4717</v>
      </c>
      <c r="P747" s="14" t="s">
        <v>4718</v>
      </c>
      <c r="Q747" s="14" t="s">
        <v>318</v>
      </c>
      <c r="R747" s="18"/>
      <c r="S747" s="15"/>
      <c r="T747" s="15"/>
      <c r="U747" s="15"/>
      <c r="V747" s="15"/>
    </row>
    <row r="748" spans="1:22" x14ac:dyDescent="0.25">
      <c r="A748" s="14" t="s">
        <v>141</v>
      </c>
      <c r="B748" s="14" t="s">
        <v>4719</v>
      </c>
      <c r="C748" s="14" t="s">
        <v>4720</v>
      </c>
      <c r="D748" s="18"/>
      <c r="E748" s="14">
        <v>2020</v>
      </c>
      <c r="F748" s="18"/>
      <c r="G748" s="18"/>
      <c r="H748" s="14" t="s">
        <v>4721</v>
      </c>
      <c r="I748" s="14" t="s">
        <v>257</v>
      </c>
      <c r="J748" s="14">
        <v>2020</v>
      </c>
      <c r="K748" s="14">
        <v>9781728110516</v>
      </c>
      <c r="L748" s="18"/>
      <c r="M748" s="18"/>
      <c r="N748" s="17" t="s">
        <v>4722</v>
      </c>
      <c r="O748" s="14" t="s">
        <v>4723</v>
      </c>
      <c r="P748" s="14" t="s">
        <v>4724</v>
      </c>
      <c r="Q748" s="14" t="s">
        <v>318</v>
      </c>
      <c r="R748" s="18"/>
      <c r="S748" s="15"/>
      <c r="T748" s="15"/>
      <c r="U748" s="15"/>
      <c r="V748" s="15"/>
    </row>
    <row r="749" spans="1:22" x14ac:dyDescent="0.25">
      <c r="A749" s="14" t="s">
        <v>13</v>
      </c>
      <c r="B749" s="14" t="s">
        <v>4725</v>
      </c>
      <c r="C749" s="14" t="s">
        <v>4726</v>
      </c>
      <c r="D749" s="14" t="s">
        <v>4727</v>
      </c>
      <c r="E749" s="14">
        <v>2020</v>
      </c>
      <c r="F749" s="14">
        <v>2020</v>
      </c>
      <c r="G749" s="18"/>
      <c r="H749" s="18"/>
      <c r="I749" s="14" t="s">
        <v>1333</v>
      </c>
      <c r="J749" s="14">
        <v>2020</v>
      </c>
      <c r="K749" s="18"/>
      <c r="L749" s="18"/>
      <c r="M749" s="14" t="s">
        <v>4728</v>
      </c>
      <c r="N749" s="17" t="s">
        <v>4729</v>
      </c>
      <c r="O749" s="14" t="s">
        <v>4730</v>
      </c>
      <c r="P749" s="14" t="s">
        <v>4731</v>
      </c>
      <c r="Q749" s="14" t="s">
        <v>285</v>
      </c>
      <c r="R749" s="18"/>
      <c r="S749" s="15"/>
      <c r="T749" s="15"/>
      <c r="U749" s="15"/>
      <c r="V749" s="15"/>
    </row>
    <row r="750" spans="1:22" x14ac:dyDescent="0.25">
      <c r="A750" s="14" t="s">
        <v>13</v>
      </c>
      <c r="B750" s="14" t="s">
        <v>4732</v>
      </c>
      <c r="C750" s="14" t="s">
        <v>4733</v>
      </c>
      <c r="D750" s="14" t="s">
        <v>462</v>
      </c>
      <c r="E750" s="14">
        <v>2020</v>
      </c>
      <c r="F750" s="14" t="s">
        <v>4734</v>
      </c>
      <c r="G750" s="18"/>
      <c r="H750" s="14" t="s">
        <v>4735</v>
      </c>
      <c r="I750" s="14" t="s">
        <v>137</v>
      </c>
      <c r="J750" s="14">
        <v>2020</v>
      </c>
      <c r="K750" s="18"/>
      <c r="L750" s="18"/>
      <c r="M750" s="14" t="s">
        <v>465</v>
      </c>
      <c r="N750" s="17" t="s">
        <v>4736</v>
      </c>
      <c r="O750" s="14" t="s">
        <v>4737</v>
      </c>
      <c r="P750" s="14" t="s">
        <v>4738</v>
      </c>
      <c r="Q750" s="14" t="s">
        <v>318</v>
      </c>
      <c r="R750" s="18"/>
      <c r="S750" s="15"/>
      <c r="T750" s="15"/>
      <c r="U750" s="15"/>
      <c r="V750" s="15"/>
    </row>
    <row r="751" spans="1:22" x14ac:dyDescent="0.25">
      <c r="A751" s="14" t="s">
        <v>141</v>
      </c>
      <c r="B751" s="14" t="s">
        <v>4739</v>
      </c>
      <c r="C751" s="14" t="s">
        <v>4740</v>
      </c>
      <c r="D751" s="18"/>
      <c r="E751" s="14">
        <v>2019</v>
      </c>
      <c r="F751" s="18"/>
      <c r="G751" s="18"/>
      <c r="H751" s="14" t="s">
        <v>4741</v>
      </c>
      <c r="I751" s="14" t="s">
        <v>153</v>
      </c>
      <c r="J751" s="14">
        <v>2019</v>
      </c>
      <c r="K751" s="14">
        <v>9781450366991</v>
      </c>
      <c r="L751" s="18"/>
      <c r="M751" s="18"/>
      <c r="N751" s="17" t="s">
        <v>4742</v>
      </c>
      <c r="O751" s="14" t="s">
        <v>4743</v>
      </c>
      <c r="P751" s="14" t="s">
        <v>4744</v>
      </c>
      <c r="Q751" s="14" t="s">
        <v>4745</v>
      </c>
      <c r="R751" s="18"/>
      <c r="S751" s="15"/>
      <c r="T751" s="15"/>
      <c r="U751" s="15"/>
      <c r="V751" s="15"/>
    </row>
    <row r="752" spans="1:22" x14ac:dyDescent="0.25">
      <c r="A752" s="14" t="s">
        <v>13</v>
      </c>
      <c r="B752" s="14" t="s">
        <v>4746</v>
      </c>
      <c r="C752" s="14" t="s">
        <v>4747</v>
      </c>
      <c r="D752" s="14" t="s">
        <v>1827</v>
      </c>
      <c r="E752" s="14">
        <v>2019</v>
      </c>
      <c r="F752" s="14">
        <v>180</v>
      </c>
      <c r="G752" s="18"/>
      <c r="H752" s="14" t="s">
        <v>2975</v>
      </c>
      <c r="I752" s="14" t="s">
        <v>280</v>
      </c>
      <c r="J752" s="14">
        <v>2019</v>
      </c>
      <c r="K752" s="18"/>
      <c r="L752" s="18"/>
      <c r="M752" s="14" t="s">
        <v>1828</v>
      </c>
      <c r="N752" s="17" t="s">
        <v>4748</v>
      </c>
      <c r="O752" s="14" t="s">
        <v>4749</v>
      </c>
      <c r="P752" s="14" t="s">
        <v>4750</v>
      </c>
      <c r="Q752" s="14" t="s">
        <v>2942</v>
      </c>
      <c r="R752" s="18"/>
      <c r="S752" s="15"/>
      <c r="T752" s="15"/>
      <c r="U752" s="15"/>
      <c r="V752" s="15"/>
    </row>
    <row r="753" spans="1:22" x14ac:dyDescent="0.25">
      <c r="A753" s="14" t="s">
        <v>141</v>
      </c>
      <c r="B753" s="14" t="s">
        <v>4751</v>
      </c>
      <c r="C753" s="14" t="s">
        <v>4752</v>
      </c>
      <c r="D753" s="18"/>
      <c r="E753" s="14">
        <v>2019</v>
      </c>
      <c r="F753" s="18"/>
      <c r="G753" s="18"/>
      <c r="H753" s="14" t="s">
        <v>4753</v>
      </c>
      <c r="I753" s="14" t="s">
        <v>257</v>
      </c>
      <c r="J753" s="14">
        <v>2019</v>
      </c>
      <c r="K753" s="14">
        <v>9781728130941</v>
      </c>
      <c r="L753" s="18"/>
      <c r="M753" s="18"/>
      <c r="N753" s="17" t="s">
        <v>4754</v>
      </c>
      <c r="O753" s="14" t="s">
        <v>4755</v>
      </c>
      <c r="P753" s="14" t="s">
        <v>4756</v>
      </c>
      <c r="Q753" s="14" t="s">
        <v>185</v>
      </c>
      <c r="R753" s="18"/>
      <c r="S753" s="15"/>
      <c r="T753" s="15"/>
      <c r="U753" s="15"/>
      <c r="V753" s="15"/>
    </row>
    <row r="754" spans="1:22" x14ac:dyDescent="0.25">
      <c r="A754" s="14" t="s">
        <v>141</v>
      </c>
      <c r="B754" s="14" t="s">
        <v>4757</v>
      </c>
      <c r="C754" s="14" t="s">
        <v>4758</v>
      </c>
      <c r="D754" s="18"/>
      <c r="E754" s="14">
        <v>2019</v>
      </c>
      <c r="F754" s="21">
        <v>43586</v>
      </c>
      <c r="G754" s="18"/>
      <c r="H754" s="14" t="s">
        <v>4759</v>
      </c>
      <c r="I754" s="14" t="s">
        <v>196</v>
      </c>
      <c r="J754" s="14">
        <v>2019</v>
      </c>
      <c r="K754" s="14">
        <v>9781728134123</v>
      </c>
      <c r="L754" s="18"/>
      <c r="M754" s="14" t="s">
        <v>4352</v>
      </c>
      <c r="N754" s="17" t="s">
        <v>4760</v>
      </c>
      <c r="O754" s="14" t="s">
        <v>4761</v>
      </c>
      <c r="P754" s="14" t="s">
        <v>4762</v>
      </c>
      <c r="Q754" s="14" t="s">
        <v>2420</v>
      </c>
      <c r="R754" s="18"/>
      <c r="S754" s="15"/>
      <c r="T754" s="15"/>
      <c r="U754" s="15"/>
      <c r="V754" s="15"/>
    </row>
    <row r="755" spans="1:22" x14ac:dyDescent="0.25">
      <c r="A755" s="14" t="s">
        <v>141</v>
      </c>
      <c r="B755" s="14" t="s">
        <v>3177</v>
      </c>
      <c r="C755" s="14" t="s">
        <v>4763</v>
      </c>
      <c r="D755" s="18"/>
      <c r="E755" s="14">
        <v>2020</v>
      </c>
      <c r="F755" s="18"/>
      <c r="G755" s="18"/>
      <c r="H755" s="14" t="s">
        <v>3179</v>
      </c>
      <c r="I755" s="14" t="s">
        <v>196</v>
      </c>
      <c r="J755" s="14">
        <v>2020</v>
      </c>
      <c r="K755" s="14">
        <v>9781450371223</v>
      </c>
      <c r="L755" s="18"/>
      <c r="M755" s="14" t="s">
        <v>1458</v>
      </c>
      <c r="N755" s="17" t="s">
        <v>4764</v>
      </c>
      <c r="O755" s="14" t="s">
        <v>3181</v>
      </c>
      <c r="P755" s="14" t="s">
        <v>4765</v>
      </c>
      <c r="Q755" s="14" t="s">
        <v>176</v>
      </c>
      <c r="R755" s="18"/>
      <c r="S755" s="15"/>
      <c r="T755" s="15"/>
      <c r="U755" s="15"/>
      <c r="V755" s="15"/>
    </row>
    <row r="756" spans="1:22" x14ac:dyDescent="0.25">
      <c r="A756" s="14" t="s">
        <v>141</v>
      </c>
      <c r="B756" s="14" t="s">
        <v>4766</v>
      </c>
      <c r="C756" s="14" t="s">
        <v>4767</v>
      </c>
      <c r="D756" s="18"/>
      <c r="E756" s="14">
        <v>2019</v>
      </c>
      <c r="F756" s="18"/>
      <c r="G756" s="18"/>
      <c r="H756" s="14" t="s">
        <v>4768</v>
      </c>
      <c r="I756" s="14" t="s">
        <v>257</v>
      </c>
      <c r="J756" s="14">
        <v>2019</v>
      </c>
      <c r="K756" s="14">
        <v>9781728139272</v>
      </c>
      <c r="L756" s="18"/>
      <c r="M756" s="18"/>
      <c r="N756" s="17" t="s">
        <v>4769</v>
      </c>
      <c r="O756" s="14" t="s">
        <v>4770</v>
      </c>
      <c r="P756" s="14" t="s">
        <v>4771</v>
      </c>
      <c r="Q756" s="14" t="s">
        <v>1740</v>
      </c>
      <c r="R756" s="18"/>
      <c r="S756" s="15"/>
      <c r="T756" s="15"/>
      <c r="U756" s="15"/>
      <c r="V756" s="15"/>
    </row>
    <row r="757" spans="1:22" x14ac:dyDescent="0.25">
      <c r="A757" s="14" t="s">
        <v>141</v>
      </c>
      <c r="B757" s="14" t="s">
        <v>4772</v>
      </c>
      <c r="C757" s="14" t="s">
        <v>4773</v>
      </c>
      <c r="D757" s="18"/>
      <c r="E757" s="14">
        <v>2020</v>
      </c>
      <c r="F757" s="14">
        <v>2659</v>
      </c>
      <c r="G757" s="18"/>
      <c r="H757" s="14" t="s">
        <v>4774</v>
      </c>
      <c r="I757" s="14" t="s">
        <v>613</v>
      </c>
      <c r="J757" s="14">
        <v>2020</v>
      </c>
      <c r="K757" s="18"/>
      <c r="L757" s="18"/>
      <c r="M757" s="14" t="s">
        <v>614</v>
      </c>
      <c r="N757" s="17" t="s">
        <v>4775</v>
      </c>
      <c r="O757" s="18"/>
      <c r="P757" s="14" t="s">
        <v>4776</v>
      </c>
      <c r="Q757" s="14" t="s">
        <v>157</v>
      </c>
      <c r="R757" s="18"/>
      <c r="S757" s="15"/>
      <c r="T757" s="15"/>
      <c r="U757" s="15"/>
      <c r="V757" s="15"/>
    </row>
    <row r="758" spans="1:22" x14ac:dyDescent="0.25">
      <c r="A758" s="14" t="s">
        <v>13</v>
      </c>
      <c r="B758" s="14" t="s">
        <v>4777</v>
      </c>
      <c r="C758" s="14" t="s">
        <v>4778</v>
      </c>
      <c r="D758" s="14" t="s">
        <v>328</v>
      </c>
      <c r="E758" s="14">
        <v>2020</v>
      </c>
      <c r="F758" s="14">
        <v>29</v>
      </c>
      <c r="G758" s="14">
        <v>2</v>
      </c>
      <c r="H758" s="18"/>
      <c r="I758" s="14" t="s">
        <v>145</v>
      </c>
      <c r="J758" s="14">
        <v>2020</v>
      </c>
      <c r="K758" s="18"/>
      <c r="L758" s="18"/>
      <c r="M758" s="14" t="s">
        <v>329</v>
      </c>
      <c r="N758" s="17" t="s">
        <v>4779</v>
      </c>
      <c r="O758" s="14" t="s">
        <v>4780</v>
      </c>
      <c r="P758" s="14" t="s">
        <v>4781</v>
      </c>
      <c r="Q758" s="14" t="s">
        <v>2997</v>
      </c>
      <c r="R758" s="18"/>
      <c r="S758" s="15"/>
      <c r="T758" s="15"/>
      <c r="U758" s="15"/>
      <c r="V758" s="15"/>
    </row>
    <row r="759" spans="1:22" x14ac:dyDescent="0.25">
      <c r="A759" s="14" t="s">
        <v>141</v>
      </c>
      <c r="B759" s="14" t="s">
        <v>4782</v>
      </c>
      <c r="C759" s="14" t="s">
        <v>4783</v>
      </c>
      <c r="D759" s="18"/>
      <c r="E759" s="14">
        <v>2019</v>
      </c>
      <c r="F759" s="18"/>
      <c r="G759" s="18"/>
      <c r="H759" s="14" t="s">
        <v>4784</v>
      </c>
      <c r="I759" s="14" t="s">
        <v>153</v>
      </c>
      <c r="J759" s="14">
        <v>2019</v>
      </c>
      <c r="K759" s="14">
        <v>9781450369954</v>
      </c>
      <c r="L759" s="18"/>
      <c r="M759" s="18"/>
      <c r="N759" s="17" t="s">
        <v>4785</v>
      </c>
      <c r="O759" s="14" t="s">
        <v>4786</v>
      </c>
      <c r="P759" s="14" t="s">
        <v>4787</v>
      </c>
      <c r="Q759" s="14" t="s">
        <v>520</v>
      </c>
      <c r="R759" s="18"/>
      <c r="S759" s="15"/>
      <c r="T759" s="15"/>
      <c r="U759" s="15"/>
      <c r="V759" s="15"/>
    </row>
    <row r="760" spans="1:22" x14ac:dyDescent="0.25">
      <c r="A760" s="14" t="s">
        <v>13</v>
      </c>
      <c r="B760" s="14" t="s">
        <v>4788</v>
      </c>
      <c r="C760" s="14" t="s">
        <v>4789</v>
      </c>
      <c r="D760" s="14" t="s">
        <v>4790</v>
      </c>
      <c r="E760" s="14">
        <v>2020</v>
      </c>
      <c r="F760" s="14">
        <v>2020</v>
      </c>
      <c r="G760" s="14" t="s">
        <v>4791</v>
      </c>
      <c r="H760" s="14" t="s">
        <v>4792</v>
      </c>
      <c r="I760" s="14" t="s">
        <v>4793</v>
      </c>
      <c r="J760" s="14">
        <v>2020</v>
      </c>
      <c r="K760" s="18"/>
      <c r="L760" s="18"/>
      <c r="M760" s="14" t="s">
        <v>4794</v>
      </c>
      <c r="N760" s="17" t="s">
        <v>4795</v>
      </c>
      <c r="O760" s="18"/>
      <c r="P760" s="14" t="s">
        <v>4796</v>
      </c>
      <c r="Q760" s="14" t="s">
        <v>157</v>
      </c>
      <c r="R760" s="18"/>
      <c r="S760" s="15"/>
      <c r="T760" s="15"/>
      <c r="U760" s="15"/>
      <c r="V760" s="15"/>
    </row>
    <row r="761" spans="1:22" x14ac:dyDescent="0.25">
      <c r="A761" s="14" t="s">
        <v>13</v>
      </c>
      <c r="B761" s="14" t="s">
        <v>4797</v>
      </c>
      <c r="C761" s="14" t="s">
        <v>4798</v>
      </c>
      <c r="D761" s="14" t="s">
        <v>4637</v>
      </c>
      <c r="E761" s="14">
        <v>2020</v>
      </c>
      <c r="F761" s="14">
        <v>37</v>
      </c>
      <c r="G761" s="14">
        <v>4</v>
      </c>
      <c r="H761" s="14" t="s">
        <v>4799</v>
      </c>
      <c r="I761" s="14" t="s">
        <v>196</v>
      </c>
      <c r="J761" s="14">
        <v>2020</v>
      </c>
      <c r="K761" s="18"/>
      <c r="L761" s="18"/>
      <c r="M761" s="14" t="s">
        <v>4639</v>
      </c>
      <c r="N761" s="17" t="s">
        <v>4800</v>
      </c>
      <c r="O761" s="14" t="s">
        <v>4801</v>
      </c>
      <c r="P761" s="14" t="s">
        <v>4802</v>
      </c>
      <c r="Q761" s="14" t="s">
        <v>2823</v>
      </c>
      <c r="R761" s="18"/>
      <c r="S761" s="15"/>
      <c r="T761" s="15"/>
      <c r="U761" s="15"/>
      <c r="V761" s="15"/>
    </row>
    <row r="762" spans="1:22" x14ac:dyDescent="0.25">
      <c r="A762" s="14" t="s">
        <v>13</v>
      </c>
      <c r="B762" s="14" t="s">
        <v>4803</v>
      </c>
      <c r="C762" s="14" t="s">
        <v>4804</v>
      </c>
      <c r="D762" s="14" t="s">
        <v>4805</v>
      </c>
      <c r="E762" s="14">
        <v>2020</v>
      </c>
      <c r="F762" s="14">
        <v>108</v>
      </c>
      <c r="G762" s="14">
        <v>7</v>
      </c>
      <c r="H762" s="14" t="s">
        <v>4806</v>
      </c>
      <c r="I762" s="14" t="s">
        <v>257</v>
      </c>
      <c r="J762" s="14">
        <v>2020</v>
      </c>
      <c r="K762" s="18"/>
      <c r="L762" s="18"/>
      <c r="M762" s="14" t="s">
        <v>4807</v>
      </c>
      <c r="N762" s="17" t="s">
        <v>4808</v>
      </c>
      <c r="O762" s="14" t="s">
        <v>4809</v>
      </c>
      <c r="P762" s="14" t="s">
        <v>4810</v>
      </c>
      <c r="Q762" s="14" t="s">
        <v>2770</v>
      </c>
      <c r="R762" s="18"/>
      <c r="S762" s="15"/>
      <c r="T762" s="15"/>
      <c r="U762" s="15"/>
      <c r="V762" s="15"/>
    </row>
    <row r="763" spans="1:22" x14ac:dyDescent="0.25">
      <c r="A763" s="14" t="s">
        <v>13</v>
      </c>
      <c r="B763" s="14" t="s">
        <v>4811</v>
      </c>
      <c r="C763" s="14" t="s">
        <v>4812</v>
      </c>
      <c r="D763" s="14" t="s">
        <v>462</v>
      </c>
      <c r="E763" s="14">
        <v>2020</v>
      </c>
      <c r="F763" s="14">
        <v>1272</v>
      </c>
      <c r="G763" s="18"/>
      <c r="H763" s="14" t="s">
        <v>4813</v>
      </c>
      <c r="I763" s="14" t="s">
        <v>212</v>
      </c>
      <c r="J763" s="14">
        <v>2020</v>
      </c>
      <c r="K763" s="18"/>
      <c r="L763" s="18"/>
      <c r="M763" s="14" t="s">
        <v>465</v>
      </c>
      <c r="N763" s="17" t="s">
        <v>4814</v>
      </c>
      <c r="O763" s="14" t="s">
        <v>4815</v>
      </c>
      <c r="P763" s="14" t="s">
        <v>4816</v>
      </c>
      <c r="Q763" s="14" t="s">
        <v>157</v>
      </c>
      <c r="R763" s="18"/>
      <c r="S763" s="15"/>
      <c r="T763" s="15"/>
      <c r="U763" s="15"/>
      <c r="V763" s="15"/>
    </row>
    <row r="764" spans="1:22" x14ac:dyDescent="0.25">
      <c r="A764" s="14" t="s">
        <v>13</v>
      </c>
      <c r="B764" s="14" t="s">
        <v>4817</v>
      </c>
      <c r="C764" s="14" t="s">
        <v>4818</v>
      </c>
      <c r="D764" s="14" t="s">
        <v>255</v>
      </c>
      <c r="E764" s="14">
        <v>2019</v>
      </c>
      <c r="F764" s="14">
        <v>45</v>
      </c>
      <c r="G764" s="14">
        <v>2</v>
      </c>
      <c r="H764" s="14" t="s">
        <v>4819</v>
      </c>
      <c r="I764" s="14" t="s">
        <v>257</v>
      </c>
      <c r="J764" s="14">
        <v>2019</v>
      </c>
      <c r="K764" s="18"/>
      <c r="L764" s="18"/>
      <c r="M764" s="14" t="s">
        <v>18</v>
      </c>
      <c r="N764" s="17" t="s">
        <v>4820</v>
      </c>
      <c r="O764" s="14" t="s">
        <v>4821</v>
      </c>
      <c r="P764" s="14" t="s">
        <v>4822</v>
      </c>
      <c r="Q764" s="14" t="s">
        <v>4823</v>
      </c>
      <c r="R764" s="18"/>
      <c r="S764" s="15"/>
      <c r="T764" s="15"/>
      <c r="U764" s="15"/>
      <c r="V764" s="15"/>
    </row>
    <row r="765" spans="1:22" x14ac:dyDescent="0.25">
      <c r="A765" s="14" t="s">
        <v>13</v>
      </c>
      <c r="B765" s="14" t="s">
        <v>4824</v>
      </c>
      <c r="C765" s="14" t="s">
        <v>4825</v>
      </c>
      <c r="D765" s="14" t="s">
        <v>462</v>
      </c>
      <c r="E765" s="14">
        <v>2020</v>
      </c>
      <c r="F765" s="14">
        <v>1272</v>
      </c>
      <c r="G765" s="18"/>
      <c r="H765" s="14" t="s">
        <v>3012</v>
      </c>
      <c r="I765" s="14" t="s">
        <v>212</v>
      </c>
      <c r="J765" s="14">
        <v>2020</v>
      </c>
      <c r="K765" s="18"/>
      <c r="L765" s="18"/>
      <c r="M765" s="14" t="s">
        <v>465</v>
      </c>
      <c r="N765" s="17" t="s">
        <v>4826</v>
      </c>
      <c r="O765" s="14" t="s">
        <v>4827</v>
      </c>
      <c r="P765" s="14" t="s">
        <v>4828</v>
      </c>
      <c r="Q765" s="14" t="s">
        <v>1598</v>
      </c>
      <c r="R765" s="18"/>
      <c r="S765" s="15"/>
      <c r="T765" s="15"/>
      <c r="U765" s="15"/>
      <c r="V765" s="15"/>
    </row>
    <row r="766" spans="1:22" x14ac:dyDescent="0.25">
      <c r="A766" s="14" t="s">
        <v>13</v>
      </c>
      <c r="B766" s="14" t="s">
        <v>4829</v>
      </c>
      <c r="C766" s="14" t="s">
        <v>4830</v>
      </c>
      <c r="D766" s="14" t="s">
        <v>462</v>
      </c>
      <c r="E766" s="14">
        <v>2020</v>
      </c>
      <c r="F766" s="14" t="s">
        <v>4831</v>
      </c>
      <c r="G766" s="18"/>
      <c r="H766" s="14" t="s">
        <v>4832</v>
      </c>
      <c r="I766" s="14" t="s">
        <v>212</v>
      </c>
      <c r="J766" s="14">
        <v>2020</v>
      </c>
      <c r="K766" s="18"/>
      <c r="L766" s="18"/>
      <c r="M766" s="14" t="s">
        <v>465</v>
      </c>
      <c r="N766" s="17" t="s">
        <v>4833</v>
      </c>
      <c r="O766" s="14" t="s">
        <v>4834</v>
      </c>
      <c r="P766" s="14" t="s">
        <v>4835</v>
      </c>
      <c r="Q766" s="14" t="s">
        <v>157</v>
      </c>
      <c r="R766" s="18"/>
      <c r="S766" s="15"/>
      <c r="T766" s="15"/>
      <c r="U766" s="15"/>
      <c r="V766" s="15"/>
    </row>
    <row r="767" spans="1:22" x14ac:dyDescent="0.25">
      <c r="A767" s="14" t="s">
        <v>141</v>
      </c>
      <c r="B767" s="14" t="s">
        <v>4836</v>
      </c>
      <c r="C767" s="14" t="s">
        <v>4837</v>
      </c>
      <c r="D767" s="18"/>
      <c r="E767" s="14">
        <v>2020</v>
      </c>
      <c r="F767" s="18"/>
      <c r="G767" s="18"/>
      <c r="H767" s="18"/>
      <c r="I767" s="14" t="s">
        <v>257</v>
      </c>
      <c r="J767" s="14">
        <v>2020</v>
      </c>
      <c r="K767" s="14">
        <v>9781728169262</v>
      </c>
      <c r="L767" s="18"/>
      <c r="M767" s="18"/>
      <c r="N767" s="17" t="s">
        <v>4838</v>
      </c>
      <c r="O767" s="14" t="s">
        <v>4839</v>
      </c>
      <c r="P767" s="14" t="s">
        <v>4840</v>
      </c>
      <c r="Q767" s="14" t="s">
        <v>404</v>
      </c>
      <c r="R767" s="18"/>
      <c r="S767" s="15"/>
      <c r="T767" s="15"/>
      <c r="U767" s="15"/>
      <c r="V767" s="15"/>
    </row>
    <row r="768" spans="1:22" x14ac:dyDescent="0.25">
      <c r="A768" s="14" t="s">
        <v>141</v>
      </c>
      <c r="B768" s="14" t="s">
        <v>4739</v>
      </c>
      <c r="C768" s="14" t="s">
        <v>4841</v>
      </c>
      <c r="D768" s="18"/>
      <c r="E768" s="14">
        <v>2019</v>
      </c>
      <c r="F768" s="18"/>
      <c r="G768" s="18"/>
      <c r="H768" s="14" t="s">
        <v>4842</v>
      </c>
      <c r="I768" s="14" t="s">
        <v>196</v>
      </c>
      <c r="J768" s="14">
        <v>2019</v>
      </c>
      <c r="K768" s="14">
        <v>9781450368476</v>
      </c>
      <c r="L768" s="18"/>
      <c r="M768" s="14" t="s">
        <v>4843</v>
      </c>
      <c r="N768" s="17" t="s">
        <v>4844</v>
      </c>
      <c r="O768" s="14" t="s">
        <v>4845</v>
      </c>
      <c r="P768" s="14" t="s">
        <v>4846</v>
      </c>
      <c r="Q768" s="14" t="s">
        <v>185</v>
      </c>
      <c r="R768" s="18"/>
      <c r="S768" s="15"/>
      <c r="T768" s="15"/>
      <c r="U768" s="15"/>
      <c r="V768" s="15"/>
    </row>
    <row r="769" spans="1:22" x14ac:dyDescent="0.25">
      <c r="A769" s="14" t="s">
        <v>141</v>
      </c>
      <c r="B769" s="14" t="s">
        <v>4847</v>
      </c>
      <c r="C769" s="14" t="s">
        <v>4848</v>
      </c>
      <c r="D769" s="18"/>
      <c r="E769" s="14">
        <v>2019</v>
      </c>
      <c r="F769" s="18"/>
      <c r="G769" s="18"/>
      <c r="H769" s="14" t="s">
        <v>4849</v>
      </c>
      <c r="I769" s="14" t="s">
        <v>257</v>
      </c>
      <c r="J769" s="14">
        <v>2019</v>
      </c>
      <c r="K769" s="14">
        <v>9781728122649</v>
      </c>
      <c r="L769" s="18"/>
      <c r="M769" s="18"/>
      <c r="N769" s="17" t="s">
        <v>4850</v>
      </c>
      <c r="O769" s="14" t="s">
        <v>4851</v>
      </c>
      <c r="P769" s="14" t="s">
        <v>4852</v>
      </c>
      <c r="Q769" s="14" t="s">
        <v>4853</v>
      </c>
      <c r="R769" s="18"/>
      <c r="S769" s="15"/>
      <c r="T769" s="15"/>
      <c r="U769" s="15"/>
      <c r="V769" s="15"/>
    </row>
    <row r="770" spans="1:22" x14ac:dyDescent="0.25">
      <c r="A770" s="14" t="s">
        <v>141</v>
      </c>
      <c r="B770" s="14" t="s">
        <v>4854</v>
      </c>
      <c r="C770" s="14" t="s">
        <v>4855</v>
      </c>
      <c r="D770" s="18"/>
      <c r="E770" s="14">
        <v>2020</v>
      </c>
      <c r="F770" s="18"/>
      <c r="G770" s="18"/>
      <c r="H770" s="14" t="s">
        <v>4856</v>
      </c>
      <c r="I770" s="14" t="s">
        <v>145</v>
      </c>
      <c r="J770" s="14">
        <v>2020</v>
      </c>
      <c r="K770" s="14">
        <v>9781450368667</v>
      </c>
      <c r="L770" s="18"/>
      <c r="M770" s="18"/>
      <c r="N770" s="17" t="s">
        <v>4857</v>
      </c>
      <c r="O770" s="14" t="s">
        <v>4858</v>
      </c>
      <c r="P770" s="14" t="s">
        <v>4859</v>
      </c>
      <c r="Q770" s="14" t="s">
        <v>318</v>
      </c>
      <c r="R770" s="18"/>
      <c r="S770" s="15"/>
      <c r="T770" s="15"/>
      <c r="U770" s="15"/>
      <c r="V770" s="15"/>
    </row>
    <row r="771" spans="1:22" x14ac:dyDescent="0.25">
      <c r="A771" s="14" t="s">
        <v>141</v>
      </c>
      <c r="B771" s="14" t="s">
        <v>4860</v>
      </c>
      <c r="C771" s="14" t="s">
        <v>4861</v>
      </c>
      <c r="D771" s="18"/>
      <c r="E771" s="14">
        <v>2019</v>
      </c>
      <c r="F771" s="21">
        <v>43739</v>
      </c>
      <c r="G771" s="18"/>
      <c r="H771" s="14" t="s">
        <v>4862</v>
      </c>
      <c r="I771" s="14" t="s">
        <v>257</v>
      </c>
      <c r="J771" s="14">
        <v>2019</v>
      </c>
      <c r="K771" s="14">
        <v>9781728118956</v>
      </c>
      <c r="L771" s="18"/>
      <c r="M771" s="14" t="s">
        <v>4863</v>
      </c>
      <c r="N771" s="17" t="s">
        <v>4864</v>
      </c>
      <c r="O771" s="14" t="s">
        <v>4865</v>
      </c>
      <c r="P771" s="14" t="s">
        <v>4866</v>
      </c>
      <c r="Q771" s="14" t="s">
        <v>2110</v>
      </c>
      <c r="R771" s="18"/>
      <c r="S771" s="15"/>
      <c r="T771" s="15"/>
      <c r="U771" s="15"/>
      <c r="V771" s="15"/>
    </row>
    <row r="772" spans="1:22" x14ac:dyDescent="0.25">
      <c r="A772" s="14" t="s">
        <v>141</v>
      </c>
      <c r="B772" s="14" t="s">
        <v>4867</v>
      </c>
      <c r="C772" s="14" t="s">
        <v>4868</v>
      </c>
      <c r="D772" s="18"/>
      <c r="E772" s="14">
        <v>2020</v>
      </c>
      <c r="F772" s="18"/>
      <c r="G772" s="18"/>
      <c r="H772" s="14" t="s">
        <v>4869</v>
      </c>
      <c r="I772" s="14" t="s">
        <v>257</v>
      </c>
      <c r="J772" s="14">
        <v>2020</v>
      </c>
      <c r="K772" s="14">
        <v>9781728151434</v>
      </c>
      <c r="L772" s="18"/>
      <c r="M772" s="18"/>
      <c r="N772" s="17" t="s">
        <v>4870</v>
      </c>
      <c r="O772" s="14" t="s">
        <v>4871</v>
      </c>
      <c r="P772" s="14" t="s">
        <v>4872</v>
      </c>
      <c r="Q772" s="14" t="s">
        <v>2823</v>
      </c>
      <c r="R772" s="18"/>
      <c r="S772" s="15"/>
      <c r="T772" s="15"/>
      <c r="U772" s="15"/>
      <c r="V772" s="15"/>
    </row>
    <row r="773" spans="1:22" x14ac:dyDescent="0.25">
      <c r="A773" s="14" t="s">
        <v>141</v>
      </c>
      <c r="B773" s="14" t="s">
        <v>4873</v>
      </c>
      <c r="C773" s="14" t="s">
        <v>4874</v>
      </c>
      <c r="D773" s="18"/>
      <c r="E773" s="14">
        <v>2020</v>
      </c>
      <c r="F773" s="18"/>
      <c r="G773" s="18"/>
      <c r="H773" s="14" t="s">
        <v>4875</v>
      </c>
      <c r="I773" s="14" t="s">
        <v>153</v>
      </c>
      <c r="J773" s="14">
        <v>2020</v>
      </c>
      <c r="K773" s="14">
        <v>9781450369916</v>
      </c>
      <c r="L773" s="18"/>
      <c r="M773" s="18"/>
      <c r="N773" s="17" t="s">
        <v>4876</v>
      </c>
      <c r="O773" s="14" t="s">
        <v>4877</v>
      </c>
      <c r="P773" s="14" t="s">
        <v>4878</v>
      </c>
      <c r="Q773" s="14" t="s">
        <v>1094</v>
      </c>
      <c r="R773" s="18"/>
      <c r="S773" s="15"/>
      <c r="T773" s="15"/>
      <c r="U773" s="15"/>
      <c r="V773" s="15"/>
    </row>
    <row r="774" spans="1:22" x14ac:dyDescent="0.25">
      <c r="A774" s="14" t="s">
        <v>13</v>
      </c>
      <c r="B774" s="14" t="s">
        <v>4879</v>
      </c>
      <c r="C774" s="14" t="s">
        <v>4880</v>
      </c>
      <c r="D774" s="14" t="s">
        <v>462</v>
      </c>
      <c r="E774" s="14">
        <v>2019</v>
      </c>
      <c r="F774" s="14">
        <v>960</v>
      </c>
      <c r="G774" s="18"/>
      <c r="H774" s="14" t="s">
        <v>4881</v>
      </c>
      <c r="I774" s="14" t="s">
        <v>4155</v>
      </c>
      <c r="J774" s="14">
        <v>2019</v>
      </c>
      <c r="K774" s="18"/>
      <c r="L774" s="18"/>
      <c r="M774" s="14" t="s">
        <v>465</v>
      </c>
      <c r="N774" s="17" t="s">
        <v>4882</v>
      </c>
      <c r="O774" s="14" t="s">
        <v>4883</v>
      </c>
      <c r="P774" s="14" t="s">
        <v>4884</v>
      </c>
      <c r="Q774" s="14" t="s">
        <v>2723</v>
      </c>
      <c r="R774" s="18"/>
      <c r="S774" s="15"/>
      <c r="T774" s="15"/>
      <c r="U774" s="15"/>
      <c r="V774" s="15"/>
    </row>
    <row r="775" spans="1:22" x14ac:dyDescent="0.25">
      <c r="A775" s="14" t="s">
        <v>141</v>
      </c>
      <c r="B775" s="14" t="s">
        <v>4885</v>
      </c>
      <c r="C775" s="14" t="s">
        <v>4886</v>
      </c>
      <c r="D775" s="18"/>
      <c r="E775" s="14">
        <v>2019</v>
      </c>
      <c r="F775" s="18"/>
      <c r="G775" s="18"/>
      <c r="H775" s="14" t="s">
        <v>4887</v>
      </c>
      <c r="I775" s="14" t="s">
        <v>153</v>
      </c>
      <c r="J775" s="14">
        <v>2019</v>
      </c>
      <c r="K775" s="14">
        <v>9781450368551</v>
      </c>
      <c r="L775" s="18"/>
      <c r="M775" s="18"/>
      <c r="N775" s="17" t="s">
        <v>4888</v>
      </c>
      <c r="O775" s="14" t="s">
        <v>4889</v>
      </c>
      <c r="P775" s="14" t="s">
        <v>4890</v>
      </c>
      <c r="Q775" s="14" t="s">
        <v>4016</v>
      </c>
      <c r="R775" s="18"/>
      <c r="S775" s="15"/>
      <c r="T775" s="15"/>
      <c r="U775" s="15"/>
      <c r="V775" s="15"/>
    </row>
    <row r="776" spans="1:22" x14ac:dyDescent="0.25">
      <c r="A776" s="14" t="s">
        <v>141</v>
      </c>
      <c r="B776" s="14" t="s">
        <v>4891</v>
      </c>
      <c r="C776" s="14" t="s">
        <v>4892</v>
      </c>
      <c r="D776" s="18"/>
      <c r="E776" s="14">
        <v>2019</v>
      </c>
      <c r="F776" s="18"/>
      <c r="G776" s="18"/>
      <c r="H776" s="14" t="s">
        <v>4893</v>
      </c>
      <c r="I776" s="14" t="s">
        <v>257</v>
      </c>
      <c r="J776" s="14">
        <v>2019</v>
      </c>
      <c r="K776" s="14">
        <v>9781728141367</v>
      </c>
      <c r="L776" s="18"/>
      <c r="M776" s="18"/>
      <c r="N776" s="17" t="s">
        <v>4894</v>
      </c>
      <c r="O776" s="14" t="s">
        <v>4895</v>
      </c>
      <c r="P776" s="14" t="s">
        <v>4896</v>
      </c>
      <c r="Q776" s="14" t="s">
        <v>157</v>
      </c>
      <c r="R776" s="18"/>
      <c r="S776" s="15"/>
      <c r="T776" s="15"/>
      <c r="U776" s="15"/>
      <c r="V776" s="15"/>
    </row>
    <row r="777" spans="1:22" x14ac:dyDescent="0.25">
      <c r="A777" s="14" t="s">
        <v>13</v>
      </c>
      <c r="B777" s="14" t="s">
        <v>4897</v>
      </c>
      <c r="C777" s="14" t="s">
        <v>4898</v>
      </c>
      <c r="D777" s="14" t="s">
        <v>890</v>
      </c>
      <c r="E777" s="14">
        <v>2020</v>
      </c>
      <c r="F777" s="14">
        <v>2</v>
      </c>
      <c r="G777" s="18"/>
      <c r="H777" s="18"/>
      <c r="I777" s="14" t="s">
        <v>891</v>
      </c>
      <c r="J777" s="14">
        <v>2020</v>
      </c>
      <c r="K777" s="18"/>
      <c r="L777" s="18"/>
      <c r="M777" s="14" t="s">
        <v>892</v>
      </c>
      <c r="N777" s="17" t="s">
        <v>4899</v>
      </c>
      <c r="O777" s="14" t="s">
        <v>4900</v>
      </c>
      <c r="P777" s="18"/>
      <c r="Q777" s="14" t="s">
        <v>4901</v>
      </c>
      <c r="R777" s="18"/>
      <c r="S777" s="15"/>
      <c r="T777" s="15"/>
      <c r="U777" s="15"/>
      <c r="V777" s="15"/>
    </row>
    <row r="778" spans="1:22" x14ac:dyDescent="0.25">
      <c r="A778" s="14" t="s">
        <v>13</v>
      </c>
      <c r="B778" s="14" t="s">
        <v>4902</v>
      </c>
      <c r="C778" s="14" t="s">
        <v>4903</v>
      </c>
      <c r="D778" s="14" t="s">
        <v>4904</v>
      </c>
      <c r="E778" s="14">
        <v>2019</v>
      </c>
      <c r="F778" s="14">
        <v>9</v>
      </c>
      <c r="G778" s="14">
        <v>2</v>
      </c>
      <c r="H778" s="14" t="s">
        <v>4905</v>
      </c>
      <c r="I778" s="14" t="s">
        <v>4906</v>
      </c>
      <c r="J778" s="14">
        <v>2019</v>
      </c>
      <c r="K778" s="18"/>
      <c r="L778" s="18"/>
      <c r="M778" s="14" t="s">
        <v>4907</v>
      </c>
      <c r="N778" s="17" t="s">
        <v>4908</v>
      </c>
      <c r="O778" s="14" t="s">
        <v>4909</v>
      </c>
      <c r="P778" s="14" t="s">
        <v>4910</v>
      </c>
      <c r="Q778" s="14" t="s">
        <v>2636</v>
      </c>
      <c r="R778" s="18"/>
      <c r="S778" s="15"/>
      <c r="T778" s="15"/>
      <c r="U778" s="15"/>
      <c r="V778" s="15"/>
    </row>
    <row r="779" spans="1:22" x14ac:dyDescent="0.25">
      <c r="A779" s="14" t="s">
        <v>13</v>
      </c>
      <c r="B779" s="14" t="s">
        <v>4911</v>
      </c>
      <c r="C779" s="14" t="s">
        <v>4912</v>
      </c>
      <c r="D779" s="14" t="s">
        <v>4637</v>
      </c>
      <c r="E779" s="14">
        <v>2020</v>
      </c>
      <c r="F779" s="14">
        <v>37</v>
      </c>
      <c r="G779" s="14">
        <v>4</v>
      </c>
      <c r="H779" s="14" t="s">
        <v>4913</v>
      </c>
      <c r="I779" s="14" t="s">
        <v>196</v>
      </c>
      <c r="J779" s="14">
        <v>2020</v>
      </c>
      <c r="K779" s="18"/>
      <c r="L779" s="18"/>
      <c r="M779" s="14" t="s">
        <v>4639</v>
      </c>
      <c r="N779" s="17" t="s">
        <v>4914</v>
      </c>
      <c r="O779" s="14" t="s">
        <v>4915</v>
      </c>
      <c r="P779" s="14" t="s">
        <v>4916</v>
      </c>
      <c r="Q779" s="14" t="s">
        <v>4917</v>
      </c>
      <c r="R779" s="18"/>
      <c r="S779" s="15"/>
      <c r="T779" s="15"/>
      <c r="U779" s="15"/>
      <c r="V779" s="15"/>
    </row>
    <row r="780" spans="1:22" x14ac:dyDescent="0.25">
      <c r="A780" s="14" t="s">
        <v>13</v>
      </c>
      <c r="B780" s="14" t="s">
        <v>4918</v>
      </c>
      <c r="C780" s="14" t="s">
        <v>4919</v>
      </c>
      <c r="D780" s="14" t="s">
        <v>3475</v>
      </c>
      <c r="E780" s="14">
        <v>2020</v>
      </c>
      <c r="F780" s="14">
        <v>1294</v>
      </c>
      <c r="G780" s="18"/>
      <c r="H780" s="14" t="s">
        <v>4920</v>
      </c>
      <c r="I780" s="14" t="s">
        <v>212</v>
      </c>
      <c r="J780" s="14">
        <v>2020</v>
      </c>
      <c r="K780" s="18"/>
      <c r="L780" s="18"/>
      <c r="M780" s="14" t="s">
        <v>3478</v>
      </c>
      <c r="N780" s="17" t="s">
        <v>4921</v>
      </c>
      <c r="O780" s="14" t="s">
        <v>4922</v>
      </c>
      <c r="P780" s="14" t="s">
        <v>4923</v>
      </c>
      <c r="Q780" s="14" t="s">
        <v>318</v>
      </c>
      <c r="R780" s="18"/>
      <c r="S780" s="15"/>
      <c r="T780" s="15"/>
      <c r="U780" s="15"/>
      <c r="V780" s="15"/>
    </row>
    <row r="781" spans="1:22" x14ac:dyDescent="0.25">
      <c r="A781" s="14" t="s">
        <v>141</v>
      </c>
      <c r="B781" s="14" t="s">
        <v>4924</v>
      </c>
      <c r="C781" s="14" t="s">
        <v>4925</v>
      </c>
      <c r="D781" s="18"/>
      <c r="E781" s="14">
        <v>2019</v>
      </c>
      <c r="F781" s="18"/>
      <c r="G781" s="18"/>
      <c r="H781" s="14" t="s">
        <v>4926</v>
      </c>
      <c r="I781" s="14" t="s">
        <v>257</v>
      </c>
      <c r="J781" s="14">
        <v>2019</v>
      </c>
      <c r="K781" s="14">
        <v>9781728117607</v>
      </c>
      <c r="L781" s="18"/>
      <c r="M781" s="18"/>
      <c r="N781" s="17" t="s">
        <v>4927</v>
      </c>
      <c r="O781" s="14" t="s">
        <v>4928</v>
      </c>
      <c r="P781" s="14" t="s">
        <v>4929</v>
      </c>
      <c r="Q781" s="14" t="s">
        <v>4930</v>
      </c>
      <c r="R781" s="18"/>
      <c r="S781" s="15"/>
      <c r="T781" s="15"/>
      <c r="U781" s="15"/>
      <c r="V781" s="15"/>
    </row>
    <row r="782" spans="1:22" x14ac:dyDescent="0.25">
      <c r="A782" s="14" t="s">
        <v>141</v>
      </c>
      <c r="B782" s="14" t="s">
        <v>4931</v>
      </c>
      <c r="C782" s="14" t="s">
        <v>4932</v>
      </c>
      <c r="D782" s="18"/>
      <c r="E782" s="14">
        <v>2020</v>
      </c>
      <c r="F782" s="18"/>
      <c r="G782" s="18"/>
      <c r="H782" s="14" t="s">
        <v>4933</v>
      </c>
      <c r="I782" s="14" t="s">
        <v>3109</v>
      </c>
      <c r="J782" s="14">
        <v>2020</v>
      </c>
      <c r="K782" s="14">
        <v>9789897583995</v>
      </c>
      <c r="L782" s="18"/>
      <c r="M782" s="18"/>
      <c r="N782" s="17" t="s">
        <v>4934</v>
      </c>
      <c r="O782" s="18"/>
      <c r="P782" s="14" t="s">
        <v>4935</v>
      </c>
      <c r="Q782" s="14" t="s">
        <v>318</v>
      </c>
      <c r="R782" s="18"/>
      <c r="S782" s="15"/>
      <c r="T782" s="15"/>
      <c r="U782" s="15"/>
      <c r="V782" s="15"/>
    </row>
    <row r="783" spans="1:22" x14ac:dyDescent="0.25">
      <c r="A783" s="14" t="s">
        <v>13</v>
      </c>
      <c r="B783" s="18"/>
      <c r="C783" s="14" t="s">
        <v>4936</v>
      </c>
      <c r="D783" s="14" t="s">
        <v>209</v>
      </c>
      <c r="E783" s="14">
        <v>2019</v>
      </c>
      <c r="F783" s="14" t="s">
        <v>4937</v>
      </c>
      <c r="G783" s="18"/>
      <c r="H783" s="18"/>
      <c r="I783" s="14" t="s">
        <v>137</v>
      </c>
      <c r="J783" s="14">
        <v>2019</v>
      </c>
      <c r="K783" s="18"/>
      <c r="L783" s="18"/>
      <c r="M783" s="14" t="s">
        <v>213</v>
      </c>
      <c r="N783" s="17" t="s">
        <v>4938</v>
      </c>
      <c r="O783" s="18"/>
      <c r="P783" s="14" t="s">
        <v>4939</v>
      </c>
      <c r="Q783" s="14" t="s">
        <v>157</v>
      </c>
      <c r="R783" s="18"/>
      <c r="S783" s="15"/>
      <c r="T783" s="15"/>
      <c r="U783" s="15"/>
      <c r="V783" s="15"/>
    </row>
    <row r="784" spans="1:22" x14ac:dyDescent="0.25">
      <c r="A784" s="14" t="s">
        <v>141</v>
      </c>
      <c r="B784" s="14" t="s">
        <v>4940</v>
      </c>
      <c r="C784" s="14" t="s">
        <v>4941</v>
      </c>
      <c r="D784" s="18"/>
      <c r="E784" s="14">
        <v>2020</v>
      </c>
      <c r="F784" s="14" t="s">
        <v>4942</v>
      </c>
      <c r="G784" s="18"/>
      <c r="H784" s="14" t="s">
        <v>4943</v>
      </c>
      <c r="I784" s="14" t="s">
        <v>4944</v>
      </c>
      <c r="J784" s="14">
        <v>2020</v>
      </c>
      <c r="K784" s="14">
        <v>9783885797012</v>
      </c>
      <c r="L784" s="18"/>
      <c r="M784" s="14" t="s">
        <v>4945</v>
      </c>
      <c r="N784" s="17" t="s">
        <v>4946</v>
      </c>
      <c r="O784" s="14" t="s">
        <v>4947</v>
      </c>
      <c r="P784" s="14" t="s">
        <v>4948</v>
      </c>
      <c r="Q784" s="14" t="s">
        <v>157</v>
      </c>
      <c r="R784" s="18"/>
      <c r="S784" s="15"/>
      <c r="T784" s="15"/>
      <c r="U784" s="15"/>
      <c r="V784" s="15"/>
    </row>
    <row r="785" spans="1:22" x14ac:dyDescent="0.25">
      <c r="A785" s="14" t="s">
        <v>141</v>
      </c>
      <c r="B785" s="14" t="s">
        <v>3189</v>
      </c>
      <c r="C785" s="14" t="s">
        <v>4949</v>
      </c>
      <c r="D785" s="18"/>
      <c r="E785" s="14">
        <v>2019</v>
      </c>
      <c r="F785" s="18"/>
      <c r="G785" s="18"/>
      <c r="H785" s="14" t="s">
        <v>4950</v>
      </c>
      <c r="I785" s="14" t="s">
        <v>145</v>
      </c>
      <c r="J785" s="14">
        <v>2019</v>
      </c>
      <c r="K785" s="14">
        <v>9781450372336</v>
      </c>
      <c r="L785" s="18"/>
      <c r="M785" s="18"/>
      <c r="N785" s="17" t="s">
        <v>4951</v>
      </c>
      <c r="O785" s="14" t="s">
        <v>4952</v>
      </c>
      <c r="P785" s="14" t="s">
        <v>4953</v>
      </c>
      <c r="Q785" s="14" t="s">
        <v>4954</v>
      </c>
      <c r="R785" s="18"/>
      <c r="S785" s="15"/>
      <c r="T785" s="15"/>
      <c r="U785" s="15"/>
      <c r="V785" s="15"/>
    </row>
    <row r="786" spans="1:22" x14ac:dyDescent="0.25">
      <c r="A786" s="14" t="s">
        <v>13</v>
      </c>
      <c r="B786" s="14" t="s">
        <v>4955</v>
      </c>
      <c r="C786" s="14" t="s">
        <v>4956</v>
      </c>
      <c r="D786" s="14" t="s">
        <v>209</v>
      </c>
      <c r="E786" s="14">
        <v>2020</v>
      </c>
      <c r="F786" s="14" t="s">
        <v>4957</v>
      </c>
      <c r="G786" s="18"/>
      <c r="H786" s="14" t="s">
        <v>4958</v>
      </c>
      <c r="I786" s="14" t="s">
        <v>212</v>
      </c>
      <c r="J786" s="14">
        <v>2020</v>
      </c>
      <c r="K786" s="18"/>
      <c r="L786" s="18"/>
      <c r="M786" s="14" t="s">
        <v>213</v>
      </c>
      <c r="N786" s="17" t="s">
        <v>4959</v>
      </c>
      <c r="O786" s="14" t="s">
        <v>4960</v>
      </c>
      <c r="P786" s="14" t="s">
        <v>4961</v>
      </c>
      <c r="Q786" s="14" t="s">
        <v>157</v>
      </c>
      <c r="R786" s="18"/>
      <c r="S786" s="15"/>
      <c r="T786" s="15"/>
      <c r="U786" s="15"/>
      <c r="V786" s="15"/>
    </row>
    <row r="787" spans="1:22" x14ac:dyDescent="0.25">
      <c r="A787" s="14" t="s">
        <v>141</v>
      </c>
      <c r="B787" s="14" t="s">
        <v>4962</v>
      </c>
      <c r="C787" s="14" t="s">
        <v>4963</v>
      </c>
      <c r="D787" s="18"/>
      <c r="E787" s="14">
        <v>2020</v>
      </c>
      <c r="F787" s="18"/>
      <c r="G787" s="18"/>
      <c r="H787" s="18"/>
      <c r="I787" s="14" t="s">
        <v>3683</v>
      </c>
      <c r="J787" s="14">
        <v>2020</v>
      </c>
      <c r="K787" s="14">
        <v>9781733632508</v>
      </c>
      <c r="L787" s="18"/>
      <c r="M787" s="18"/>
      <c r="N787" s="17" t="s">
        <v>4964</v>
      </c>
      <c r="O787" s="18"/>
      <c r="P787" s="14" t="s">
        <v>4965</v>
      </c>
      <c r="Q787" s="14" t="s">
        <v>1813</v>
      </c>
      <c r="R787" s="18"/>
      <c r="S787" s="15"/>
      <c r="T787" s="15"/>
      <c r="U787" s="15"/>
      <c r="V787" s="15"/>
    </row>
    <row r="788" spans="1:22" x14ac:dyDescent="0.25">
      <c r="A788" s="14" t="s">
        <v>13</v>
      </c>
      <c r="B788" s="14" t="s">
        <v>4966</v>
      </c>
      <c r="C788" s="14" t="s">
        <v>4967</v>
      </c>
      <c r="D788" s="14" t="s">
        <v>3475</v>
      </c>
      <c r="E788" s="14">
        <v>2020</v>
      </c>
      <c r="F788" s="14">
        <v>959</v>
      </c>
      <c r="G788" s="18"/>
      <c r="H788" s="14" t="s">
        <v>4968</v>
      </c>
      <c r="I788" s="14" t="s">
        <v>4155</v>
      </c>
      <c r="J788" s="14">
        <v>2020</v>
      </c>
      <c r="K788" s="18"/>
      <c r="L788" s="18"/>
      <c r="M788" s="14" t="s">
        <v>3478</v>
      </c>
      <c r="N788" s="17" t="s">
        <v>4969</v>
      </c>
      <c r="O788" s="14" t="s">
        <v>4970</v>
      </c>
      <c r="P788" s="14" t="s">
        <v>4971</v>
      </c>
      <c r="Q788" s="14" t="s">
        <v>318</v>
      </c>
      <c r="R788" s="18"/>
      <c r="S788" s="15"/>
      <c r="T788" s="15"/>
      <c r="U788" s="15"/>
      <c r="V788" s="15"/>
    </row>
    <row r="789" spans="1:22" x14ac:dyDescent="0.25">
      <c r="A789" s="14" t="s">
        <v>141</v>
      </c>
      <c r="B789" s="14" t="s">
        <v>4972</v>
      </c>
      <c r="C789" s="14" t="s">
        <v>4973</v>
      </c>
      <c r="D789" s="18"/>
      <c r="E789" s="14">
        <v>2020</v>
      </c>
      <c r="F789" s="14">
        <v>2</v>
      </c>
      <c r="G789" s="18"/>
      <c r="H789" s="14" t="s">
        <v>4974</v>
      </c>
      <c r="I789" s="14" t="s">
        <v>3109</v>
      </c>
      <c r="J789" s="14">
        <v>2020</v>
      </c>
      <c r="K789" s="14">
        <v>9789897584237</v>
      </c>
      <c r="L789" s="18"/>
      <c r="M789" s="18"/>
      <c r="N789" s="17" t="s">
        <v>4975</v>
      </c>
      <c r="O789" s="18"/>
      <c r="P789" s="14" t="s">
        <v>4976</v>
      </c>
      <c r="Q789" s="14" t="s">
        <v>1813</v>
      </c>
      <c r="R789" s="18"/>
      <c r="S789" s="15"/>
      <c r="T789" s="15"/>
      <c r="U789" s="15"/>
      <c r="V789" s="15"/>
    </row>
    <row r="790" spans="1:22" x14ac:dyDescent="0.25">
      <c r="A790" s="14" t="s">
        <v>13</v>
      </c>
      <c r="B790" s="14" t="s">
        <v>4977</v>
      </c>
      <c r="C790" s="14" t="s">
        <v>4978</v>
      </c>
      <c r="D790" s="14" t="s">
        <v>209</v>
      </c>
      <c r="E790" s="14">
        <v>2020</v>
      </c>
      <c r="F790" s="14" t="s">
        <v>4979</v>
      </c>
      <c r="G790" s="18"/>
      <c r="H790" s="14" t="s">
        <v>4980</v>
      </c>
      <c r="I790" s="14" t="s">
        <v>212</v>
      </c>
      <c r="J790" s="14">
        <v>2020</v>
      </c>
      <c r="K790" s="18"/>
      <c r="L790" s="18"/>
      <c r="M790" s="14" t="s">
        <v>213</v>
      </c>
      <c r="N790" s="17" t="s">
        <v>4981</v>
      </c>
      <c r="O790" s="14" t="s">
        <v>4982</v>
      </c>
      <c r="P790" s="14" t="s">
        <v>4983</v>
      </c>
      <c r="Q790" s="14" t="s">
        <v>404</v>
      </c>
      <c r="R790" s="18"/>
      <c r="S790" s="15"/>
      <c r="T790" s="15"/>
      <c r="U790" s="15"/>
      <c r="V790" s="15"/>
    </row>
    <row r="791" spans="1:22" x14ac:dyDescent="0.25">
      <c r="A791" s="14" t="s">
        <v>13</v>
      </c>
      <c r="B791" s="14" t="s">
        <v>4984</v>
      </c>
      <c r="C791" s="14" t="s">
        <v>4985</v>
      </c>
      <c r="D791" s="14" t="s">
        <v>209</v>
      </c>
      <c r="E791" s="14">
        <v>2020</v>
      </c>
      <c r="F791" s="14" t="s">
        <v>4986</v>
      </c>
      <c r="G791" s="18"/>
      <c r="H791" s="14" t="s">
        <v>4987</v>
      </c>
      <c r="I791" s="14" t="s">
        <v>137</v>
      </c>
      <c r="J791" s="14">
        <v>2020</v>
      </c>
      <c r="K791" s="18"/>
      <c r="L791" s="18"/>
      <c r="M791" s="14" t="s">
        <v>213</v>
      </c>
      <c r="N791" s="17" t="s">
        <v>4988</v>
      </c>
      <c r="O791" s="14" t="s">
        <v>4989</v>
      </c>
      <c r="P791" s="14" t="s">
        <v>4990</v>
      </c>
      <c r="Q791" s="14" t="s">
        <v>818</v>
      </c>
      <c r="R791" s="18"/>
      <c r="S791" s="15"/>
      <c r="T791" s="15"/>
      <c r="U791" s="15"/>
      <c r="V791" s="15"/>
    </row>
    <row r="792" spans="1:22" x14ac:dyDescent="0.25">
      <c r="A792" s="14" t="s">
        <v>141</v>
      </c>
      <c r="B792" s="14" t="s">
        <v>4991</v>
      </c>
      <c r="C792" s="14" t="s">
        <v>4992</v>
      </c>
      <c r="D792" s="18"/>
      <c r="E792" s="14">
        <v>2019</v>
      </c>
      <c r="F792" s="18"/>
      <c r="G792" s="18"/>
      <c r="H792" s="14" t="s">
        <v>4993</v>
      </c>
      <c r="I792" s="14" t="s">
        <v>257</v>
      </c>
      <c r="J792" s="14">
        <v>2019</v>
      </c>
      <c r="K792" s="14">
        <v>9781728133713</v>
      </c>
      <c r="L792" s="18"/>
      <c r="M792" s="18"/>
      <c r="N792" s="17" t="s">
        <v>4994</v>
      </c>
      <c r="O792" s="14" t="s">
        <v>4995</v>
      </c>
      <c r="P792" s="14" t="s">
        <v>4996</v>
      </c>
      <c r="Q792" s="14" t="s">
        <v>1813</v>
      </c>
      <c r="R792" s="18"/>
      <c r="S792" s="15"/>
      <c r="T792" s="15"/>
      <c r="U792" s="15"/>
      <c r="V792" s="15"/>
    </row>
    <row r="793" spans="1:22" x14ac:dyDescent="0.25">
      <c r="A793" s="14" t="s">
        <v>13</v>
      </c>
      <c r="B793" s="14" t="s">
        <v>4997</v>
      </c>
      <c r="C793" s="14" t="s">
        <v>4998</v>
      </c>
      <c r="D793" s="14" t="s">
        <v>2179</v>
      </c>
      <c r="E793" s="14">
        <v>2019</v>
      </c>
      <c r="F793" s="14">
        <v>2019</v>
      </c>
      <c r="G793" s="14">
        <v>4</v>
      </c>
      <c r="H793" s="18"/>
      <c r="I793" s="14" t="s">
        <v>2180</v>
      </c>
      <c r="J793" s="14">
        <v>2019</v>
      </c>
      <c r="K793" s="18"/>
      <c r="L793" s="18"/>
      <c r="M793" s="14" t="s">
        <v>2181</v>
      </c>
      <c r="N793" s="17" t="s">
        <v>4999</v>
      </c>
      <c r="O793" s="14" t="s">
        <v>5000</v>
      </c>
      <c r="P793" s="14" t="s">
        <v>5001</v>
      </c>
      <c r="Q793" s="14" t="s">
        <v>3452</v>
      </c>
      <c r="R793" s="18"/>
      <c r="S793" s="15"/>
      <c r="T793" s="15"/>
      <c r="U793" s="15"/>
      <c r="V793" s="15"/>
    </row>
    <row r="794" spans="1:22" x14ac:dyDescent="0.25">
      <c r="A794" s="14" t="s">
        <v>13</v>
      </c>
      <c r="B794" s="14" t="s">
        <v>5002</v>
      </c>
      <c r="C794" s="14" t="s">
        <v>5003</v>
      </c>
      <c r="D794" s="14" t="s">
        <v>307</v>
      </c>
      <c r="E794" s="14">
        <v>2019</v>
      </c>
      <c r="F794" s="14">
        <v>113</v>
      </c>
      <c r="G794" s="18"/>
      <c r="H794" s="14" t="s">
        <v>5004</v>
      </c>
      <c r="I794" s="14" t="s">
        <v>280</v>
      </c>
      <c r="J794" s="14">
        <v>2019</v>
      </c>
      <c r="K794" s="18"/>
      <c r="L794" s="18"/>
      <c r="M794" s="14" t="s">
        <v>308</v>
      </c>
      <c r="N794" s="17" t="s">
        <v>5005</v>
      </c>
      <c r="O794" s="14" t="s">
        <v>5006</v>
      </c>
      <c r="P794" s="14" t="s">
        <v>5007</v>
      </c>
      <c r="Q794" s="14" t="s">
        <v>2286</v>
      </c>
      <c r="R794" s="18"/>
      <c r="S794" s="15"/>
      <c r="T794" s="15"/>
      <c r="U794" s="15"/>
      <c r="V794" s="15"/>
    </row>
    <row r="795" spans="1:22" x14ac:dyDescent="0.25">
      <c r="A795" s="14" t="s">
        <v>13</v>
      </c>
      <c r="B795" s="14" t="s">
        <v>5008</v>
      </c>
      <c r="C795" s="14" t="s">
        <v>5009</v>
      </c>
      <c r="D795" s="14" t="s">
        <v>1870</v>
      </c>
      <c r="E795" s="14">
        <v>2020</v>
      </c>
      <c r="F795" s="14">
        <v>410</v>
      </c>
      <c r="G795" s="18"/>
      <c r="H795" s="14" t="s">
        <v>5010</v>
      </c>
      <c r="I795" s="14" t="s">
        <v>212</v>
      </c>
      <c r="J795" s="14">
        <v>2020</v>
      </c>
      <c r="K795" s="18"/>
      <c r="L795" s="18"/>
      <c r="M795" s="14" t="s">
        <v>1873</v>
      </c>
      <c r="N795" s="17" t="s">
        <v>5011</v>
      </c>
      <c r="O795" s="14" t="s">
        <v>5012</v>
      </c>
      <c r="P795" s="14" t="s">
        <v>5013</v>
      </c>
      <c r="Q795" s="14" t="s">
        <v>176</v>
      </c>
      <c r="R795" s="18"/>
      <c r="S795" s="15"/>
      <c r="T795" s="15"/>
      <c r="U795" s="15"/>
      <c r="V795" s="15"/>
    </row>
    <row r="796" spans="1:22" x14ac:dyDescent="0.25">
      <c r="A796" s="14" t="s">
        <v>141</v>
      </c>
      <c r="B796" s="14" t="s">
        <v>5014</v>
      </c>
      <c r="C796" s="14" t="s">
        <v>5015</v>
      </c>
      <c r="D796" s="18"/>
      <c r="E796" s="14">
        <v>2019</v>
      </c>
      <c r="F796" s="18"/>
      <c r="G796" s="18"/>
      <c r="H796" s="14" t="s">
        <v>5016</v>
      </c>
      <c r="I796" s="14" t="s">
        <v>257</v>
      </c>
      <c r="J796" s="14">
        <v>2019</v>
      </c>
      <c r="K796" s="14">
        <v>9781728125084</v>
      </c>
      <c r="L796" s="18"/>
      <c r="M796" s="18"/>
      <c r="N796" s="17" t="s">
        <v>5017</v>
      </c>
      <c r="O796" s="14" t="s">
        <v>5018</v>
      </c>
      <c r="P796" s="14" t="s">
        <v>5019</v>
      </c>
      <c r="Q796" s="14" t="s">
        <v>2243</v>
      </c>
      <c r="R796" s="18"/>
      <c r="S796" s="15"/>
      <c r="T796" s="15"/>
      <c r="U796" s="15"/>
      <c r="V796" s="15"/>
    </row>
    <row r="797" spans="1:22" x14ac:dyDescent="0.25">
      <c r="A797" s="14" t="s">
        <v>141</v>
      </c>
      <c r="B797" s="14" t="s">
        <v>5020</v>
      </c>
      <c r="C797" s="14" t="s">
        <v>5021</v>
      </c>
      <c r="D797" s="18"/>
      <c r="E797" s="14">
        <v>2019</v>
      </c>
      <c r="F797" s="14">
        <v>2520</v>
      </c>
      <c r="G797" s="18"/>
      <c r="H797" s="14" t="s">
        <v>5022</v>
      </c>
      <c r="I797" s="14" t="s">
        <v>613</v>
      </c>
      <c r="J797" s="14">
        <v>2019</v>
      </c>
      <c r="K797" s="18"/>
      <c r="L797" s="18"/>
      <c r="M797" s="14" t="s">
        <v>614</v>
      </c>
      <c r="N797" s="17" t="s">
        <v>5023</v>
      </c>
      <c r="O797" s="18"/>
      <c r="P797" s="14" t="s">
        <v>5024</v>
      </c>
      <c r="Q797" s="14" t="s">
        <v>318</v>
      </c>
      <c r="R797" s="18"/>
      <c r="S797" s="15"/>
      <c r="T797" s="15"/>
      <c r="U797" s="15"/>
      <c r="V797" s="15"/>
    </row>
    <row r="798" spans="1:22" x14ac:dyDescent="0.25">
      <c r="A798" s="14" t="s">
        <v>13</v>
      </c>
      <c r="B798" s="14" t="s">
        <v>5025</v>
      </c>
      <c r="C798" s="14" t="s">
        <v>5026</v>
      </c>
      <c r="D798" s="14" t="s">
        <v>462</v>
      </c>
      <c r="E798" s="14">
        <v>2020</v>
      </c>
      <c r="F798" s="14" t="s">
        <v>5027</v>
      </c>
      <c r="G798" s="18"/>
      <c r="H798" s="14" t="s">
        <v>5028</v>
      </c>
      <c r="I798" s="14" t="s">
        <v>137</v>
      </c>
      <c r="J798" s="14">
        <v>2020</v>
      </c>
      <c r="K798" s="18"/>
      <c r="L798" s="18"/>
      <c r="M798" s="14" t="s">
        <v>465</v>
      </c>
      <c r="N798" s="17" t="s">
        <v>5029</v>
      </c>
      <c r="O798" s="14" t="s">
        <v>5030</v>
      </c>
      <c r="P798" s="14" t="s">
        <v>5031</v>
      </c>
      <c r="Q798" s="14" t="s">
        <v>176</v>
      </c>
      <c r="R798" s="18"/>
      <c r="S798" s="15"/>
      <c r="T798" s="15"/>
      <c r="U798" s="15"/>
      <c r="V798" s="15"/>
    </row>
    <row r="799" spans="1:22" x14ac:dyDescent="0.25">
      <c r="A799" s="14" t="s">
        <v>539</v>
      </c>
      <c r="B799" s="14" t="s">
        <v>5032</v>
      </c>
      <c r="C799" s="14" t="s">
        <v>5033</v>
      </c>
      <c r="D799" s="18"/>
      <c r="E799" s="14">
        <v>2019</v>
      </c>
      <c r="F799" s="18"/>
      <c r="G799" s="18"/>
      <c r="H799" s="18"/>
      <c r="I799" s="14" t="s">
        <v>5034</v>
      </c>
      <c r="J799" s="14">
        <v>2019</v>
      </c>
      <c r="K799" s="14">
        <v>9783658199388</v>
      </c>
      <c r="L799" s="14">
        <v>9783658199371</v>
      </c>
      <c r="M799" s="18"/>
      <c r="N799" s="17" t="s">
        <v>5035</v>
      </c>
      <c r="O799" s="14" t="s">
        <v>5036</v>
      </c>
      <c r="P799" s="14" t="s">
        <v>5037</v>
      </c>
      <c r="Q799" s="14" t="s">
        <v>818</v>
      </c>
      <c r="R799" s="14" t="s">
        <v>5038</v>
      </c>
      <c r="S799" s="15"/>
      <c r="T799" s="15"/>
      <c r="U799" s="15"/>
      <c r="V799" s="15"/>
    </row>
    <row r="800" spans="1:22" x14ac:dyDescent="0.25">
      <c r="A800" s="14" t="s">
        <v>141</v>
      </c>
      <c r="B800" s="14" t="s">
        <v>5039</v>
      </c>
      <c r="C800" s="14" t="s">
        <v>5040</v>
      </c>
      <c r="D800" s="18"/>
      <c r="E800" s="14">
        <v>2019</v>
      </c>
      <c r="F800" s="18"/>
      <c r="G800" s="18"/>
      <c r="H800" s="14" t="s">
        <v>5041</v>
      </c>
      <c r="I800" s="14" t="s">
        <v>257</v>
      </c>
      <c r="J800" s="14">
        <v>2019</v>
      </c>
      <c r="K800" s="14">
        <v>9781728122434</v>
      </c>
      <c r="L800" s="18"/>
      <c r="M800" s="18"/>
      <c r="N800" s="17" t="s">
        <v>5042</v>
      </c>
      <c r="O800" s="14" t="s">
        <v>5043</v>
      </c>
      <c r="P800" s="14" t="s">
        <v>5044</v>
      </c>
      <c r="Q800" s="14" t="s">
        <v>404</v>
      </c>
      <c r="R800" s="18"/>
      <c r="S800" s="15"/>
      <c r="T800" s="15"/>
      <c r="U800" s="15"/>
      <c r="V800" s="15"/>
    </row>
    <row r="801" spans="1:22" x14ac:dyDescent="0.25">
      <c r="A801" s="14" t="s">
        <v>141</v>
      </c>
      <c r="B801" s="14" t="s">
        <v>5045</v>
      </c>
      <c r="C801" s="14" t="s">
        <v>5046</v>
      </c>
      <c r="D801" s="18"/>
      <c r="E801" s="14">
        <v>2020</v>
      </c>
      <c r="F801" s="18"/>
      <c r="G801" s="18"/>
      <c r="H801" s="14" t="s">
        <v>5047</v>
      </c>
      <c r="I801" s="14" t="s">
        <v>153</v>
      </c>
      <c r="J801" s="14">
        <v>2020</v>
      </c>
      <c r="K801" s="14">
        <v>9781450379625</v>
      </c>
      <c r="L801" s="18"/>
      <c r="M801" s="18"/>
      <c r="N801" s="17" t="s">
        <v>5048</v>
      </c>
      <c r="O801" s="14" t="s">
        <v>5049</v>
      </c>
      <c r="P801" s="14" t="s">
        <v>5050</v>
      </c>
      <c r="Q801" s="14" t="s">
        <v>1094</v>
      </c>
      <c r="R801" s="18"/>
      <c r="S801" s="15"/>
      <c r="T801" s="15"/>
      <c r="U801" s="15"/>
      <c r="V801" s="15"/>
    </row>
    <row r="802" spans="1:22" x14ac:dyDescent="0.25">
      <c r="A802" s="14" t="s">
        <v>13</v>
      </c>
      <c r="B802" s="14" t="s">
        <v>5051</v>
      </c>
      <c r="C802" s="14" t="s">
        <v>5052</v>
      </c>
      <c r="D802" s="14" t="s">
        <v>136</v>
      </c>
      <c r="E802" s="14">
        <v>2020</v>
      </c>
      <c r="F802" s="14">
        <v>25</v>
      </c>
      <c r="G802" s="14">
        <v>1</v>
      </c>
      <c r="H802" s="14" t="s">
        <v>5053</v>
      </c>
      <c r="I802" s="14" t="s">
        <v>137</v>
      </c>
      <c r="J802" s="14">
        <v>2020</v>
      </c>
      <c r="K802" s="18"/>
      <c r="L802" s="18"/>
      <c r="M802" s="14" t="s">
        <v>33</v>
      </c>
      <c r="N802" s="17" t="s">
        <v>5054</v>
      </c>
      <c r="O802" s="14" t="s">
        <v>5055</v>
      </c>
      <c r="P802" s="14" t="s">
        <v>5056</v>
      </c>
      <c r="Q802" s="14" t="s">
        <v>3118</v>
      </c>
      <c r="R802" s="18"/>
      <c r="S802" s="15"/>
      <c r="T802" s="15"/>
      <c r="U802" s="15"/>
      <c r="V802" s="15"/>
    </row>
    <row r="803" spans="1:22" x14ac:dyDescent="0.25">
      <c r="A803" s="14" t="s">
        <v>141</v>
      </c>
      <c r="B803" s="14" t="s">
        <v>5057</v>
      </c>
      <c r="C803" s="14" t="s">
        <v>5058</v>
      </c>
      <c r="D803" s="18"/>
      <c r="E803" s="14">
        <v>2020</v>
      </c>
      <c r="F803" s="18"/>
      <c r="G803" s="18"/>
      <c r="H803" s="14" t="s">
        <v>5059</v>
      </c>
      <c r="I803" s="14" t="s">
        <v>153</v>
      </c>
      <c r="J803" s="14">
        <v>2020</v>
      </c>
      <c r="K803" s="14">
        <v>9781450379571</v>
      </c>
      <c r="L803" s="18"/>
      <c r="M803" s="18"/>
      <c r="N803" s="17" t="s">
        <v>5060</v>
      </c>
      <c r="O803" s="14" t="s">
        <v>5061</v>
      </c>
      <c r="P803" s="14" t="s">
        <v>5062</v>
      </c>
      <c r="Q803" s="14" t="s">
        <v>4286</v>
      </c>
      <c r="R803" s="18"/>
      <c r="S803" s="15"/>
      <c r="T803" s="15"/>
      <c r="U803" s="15"/>
      <c r="V803" s="15"/>
    </row>
    <row r="804" spans="1:22" x14ac:dyDescent="0.25">
      <c r="A804" s="14" t="s">
        <v>141</v>
      </c>
      <c r="B804" s="14" t="s">
        <v>5063</v>
      </c>
      <c r="C804" s="14" t="s">
        <v>5064</v>
      </c>
      <c r="D804" s="18"/>
      <c r="E804" s="14">
        <v>2020</v>
      </c>
      <c r="F804" s="18"/>
      <c r="G804" s="18"/>
      <c r="H804" s="14" t="s">
        <v>5065</v>
      </c>
      <c r="I804" s="14" t="s">
        <v>3109</v>
      </c>
      <c r="J804" s="14">
        <v>2020</v>
      </c>
      <c r="K804" s="14">
        <v>9789897584213</v>
      </c>
      <c r="L804" s="18"/>
      <c r="M804" s="18"/>
      <c r="N804" s="17" t="s">
        <v>5066</v>
      </c>
      <c r="O804" s="18"/>
      <c r="P804" s="14" t="s">
        <v>5067</v>
      </c>
      <c r="Q804" s="14" t="s">
        <v>176</v>
      </c>
      <c r="R804" s="18"/>
      <c r="S804" s="15"/>
      <c r="T804" s="15"/>
      <c r="U804" s="15"/>
      <c r="V804" s="15"/>
    </row>
    <row r="805" spans="1:22" x14ac:dyDescent="0.25">
      <c r="A805" s="14" t="s">
        <v>141</v>
      </c>
      <c r="B805" s="14" t="s">
        <v>2238</v>
      </c>
      <c r="C805" s="14" t="s">
        <v>5068</v>
      </c>
      <c r="D805" s="18"/>
      <c r="E805" s="14">
        <v>2019</v>
      </c>
      <c r="F805" s="18"/>
      <c r="G805" s="18"/>
      <c r="H805" s="14" t="s">
        <v>5069</v>
      </c>
      <c r="I805" s="14" t="s">
        <v>257</v>
      </c>
      <c r="J805" s="14">
        <v>2019</v>
      </c>
      <c r="K805" s="14">
        <v>9781728130941</v>
      </c>
      <c r="L805" s="18"/>
      <c r="M805" s="18"/>
      <c r="N805" s="17" t="s">
        <v>5070</v>
      </c>
      <c r="O805" s="14" t="s">
        <v>5071</v>
      </c>
      <c r="P805" s="14" t="s">
        <v>5072</v>
      </c>
      <c r="Q805" s="14" t="s">
        <v>2911</v>
      </c>
      <c r="R805" s="18"/>
      <c r="S805" s="15"/>
      <c r="T805" s="15"/>
      <c r="U805" s="15"/>
      <c r="V805" s="15"/>
    </row>
    <row r="806" spans="1:22" x14ac:dyDescent="0.25">
      <c r="A806" s="14" t="s">
        <v>141</v>
      </c>
      <c r="B806" s="14" t="s">
        <v>5073</v>
      </c>
      <c r="C806" s="14" t="s">
        <v>5074</v>
      </c>
      <c r="D806" s="18"/>
      <c r="E806" s="14">
        <v>2020</v>
      </c>
      <c r="F806" s="21">
        <v>43983</v>
      </c>
      <c r="G806" s="18"/>
      <c r="H806" s="14" t="s">
        <v>5075</v>
      </c>
      <c r="I806" s="14" t="s">
        <v>196</v>
      </c>
      <c r="J806" s="14">
        <v>2020</v>
      </c>
      <c r="K806" s="14">
        <v>9781728193601</v>
      </c>
      <c r="L806" s="18"/>
      <c r="M806" s="14" t="s">
        <v>5076</v>
      </c>
      <c r="N806" s="17" t="s">
        <v>5077</v>
      </c>
      <c r="O806" s="14" t="s">
        <v>5078</v>
      </c>
      <c r="P806" s="14" t="s">
        <v>5079</v>
      </c>
      <c r="Q806" s="14" t="s">
        <v>3633</v>
      </c>
      <c r="R806" s="18"/>
      <c r="S806" s="15"/>
      <c r="T806" s="15"/>
      <c r="U806" s="15"/>
      <c r="V806" s="15"/>
    </row>
    <row r="807" spans="1:22" x14ac:dyDescent="0.25">
      <c r="A807" s="14" t="s">
        <v>141</v>
      </c>
      <c r="B807" s="14" t="s">
        <v>5080</v>
      </c>
      <c r="C807" s="14" t="s">
        <v>5081</v>
      </c>
      <c r="D807" s="18"/>
      <c r="E807" s="14">
        <v>2019</v>
      </c>
      <c r="F807" s="18"/>
      <c r="G807" s="18"/>
      <c r="H807" s="14" t="s">
        <v>5082</v>
      </c>
      <c r="I807" s="14" t="s">
        <v>153</v>
      </c>
      <c r="J807" s="14">
        <v>2019</v>
      </c>
      <c r="K807" s="14">
        <v>9781450355728</v>
      </c>
      <c r="L807" s="18"/>
      <c r="M807" s="18"/>
      <c r="N807" s="17" t="s">
        <v>5083</v>
      </c>
      <c r="O807" s="14" t="s">
        <v>5084</v>
      </c>
      <c r="P807" s="14" t="s">
        <v>5085</v>
      </c>
      <c r="Q807" s="14" t="s">
        <v>2286</v>
      </c>
      <c r="R807" s="18"/>
      <c r="S807" s="15"/>
      <c r="T807" s="15"/>
      <c r="U807" s="15"/>
      <c r="V807" s="15"/>
    </row>
    <row r="808" spans="1:22" x14ac:dyDescent="0.25">
      <c r="A808" s="14" t="s">
        <v>141</v>
      </c>
      <c r="B808" s="14" t="s">
        <v>5086</v>
      </c>
      <c r="C808" s="14" t="s">
        <v>5087</v>
      </c>
      <c r="D808" s="18"/>
      <c r="E808" s="14">
        <v>2019</v>
      </c>
      <c r="F808" s="21">
        <v>43800</v>
      </c>
      <c r="G808" s="18"/>
      <c r="H808" s="14" t="s">
        <v>5088</v>
      </c>
      <c r="I808" s="14" t="s">
        <v>196</v>
      </c>
      <c r="J808" s="14">
        <v>2019</v>
      </c>
      <c r="K808" s="14">
        <v>9781728146485</v>
      </c>
      <c r="L808" s="18"/>
      <c r="M808" s="14" t="s">
        <v>3521</v>
      </c>
      <c r="N808" s="17" t="s">
        <v>5089</v>
      </c>
      <c r="O808" s="14" t="s">
        <v>5090</v>
      </c>
      <c r="P808" s="14" t="s">
        <v>5091</v>
      </c>
      <c r="Q808" s="14" t="s">
        <v>2811</v>
      </c>
      <c r="R808" s="18"/>
      <c r="S808" s="15"/>
      <c r="T808" s="15"/>
      <c r="U808" s="15"/>
      <c r="V808" s="15"/>
    </row>
    <row r="809" spans="1:22" x14ac:dyDescent="0.25">
      <c r="A809" s="14" t="s">
        <v>13</v>
      </c>
      <c r="B809" s="14" t="s">
        <v>5092</v>
      </c>
      <c r="C809" s="14" t="s">
        <v>5093</v>
      </c>
      <c r="D809" s="14" t="s">
        <v>5094</v>
      </c>
      <c r="E809" s="14">
        <v>2020</v>
      </c>
      <c r="F809" s="14">
        <v>109</v>
      </c>
      <c r="G809" s="14">
        <v>5</v>
      </c>
      <c r="H809" s="14" t="s">
        <v>5095</v>
      </c>
      <c r="I809" s="14" t="s">
        <v>137</v>
      </c>
      <c r="J809" s="14">
        <v>2020</v>
      </c>
      <c r="K809" s="18"/>
      <c r="L809" s="18"/>
      <c r="M809" s="14" t="s">
        <v>5096</v>
      </c>
      <c r="N809" s="17" t="s">
        <v>5097</v>
      </c>
      <c r="O809" s="14" t="s">
        <v>5098</v>
      </c>
      <c r="P809" s="14" t="s">
        <v>5099</v>
      </c>
      <c r="Q809" s="14" t="s">
        <v>5100</v>
      </c>
      <c r="R809" s="18"/>
      <c r="S809" s="15"/>
      <c r="T809" s="15"/>
      <c r="U809" s="15"/>
      <c r="V809" s="15"/>
    </row>
    <row r="810" spans="1:22" x14ac:dyDescent="0.25">
      <c r="A810" s="14" t="s">
        <v>141</v>
      </c>
      <c r="B810" s="14" t="s">
        <v>1784</v>
      </c>
      <c r="C810" s="14" t="s">
        <v>5101</v>
      </c>
      <c r="D810" s="18"/>
      <c r="E810" s="14">
        <v>2020</v>
      </c>
      <c r="F810" s="18"/>
      <c r="G810" s="18"/>
      <c r="H810" s="14" t="s">
        <v>3699</v>
      </c>
      <c r="I810" s="14" t="s">
        <v>153</v>
      </c>
      <c r="J810" s="14">
        <v>2020</v>
      </c>
      <c r="K810" s="14">
        <v>9781450375122</v>
      </c>
      <c r="L810" s="18"/>
      <c r="M810" s="18"/>
      <c r="N810" s="17" t="s">
        <v>5102</v>
      </c>
      <c r="O810" s="14" t="s">
        <v>5103</v>
      </c>
      <c r="P810" s="14" t="s">
        <v>5104</v>
      </c>
      <c r="Q810" s="14" t="s">
        <v>1573</v>
      </c>
      <c r="R810" s="18"/>
      <c r="S810" s="15"/>
      <c r="T810" s="15"/>
      <c r="U810" s="15"/>
      <c r="V810" s="15"/>
    </row>
    <row r="811" spans="1:22" x14ac:dyDescent="0.25">
      <c r="A811" s="14" t="s">
        <v>141</v>
      </c>
      <c r="B811" s="14" t="s">
        <v>5105</v>
      </c>
      <c r="C811" s="14" t="s">
        <v>5106</v>
      </c>
      <c r="D811" s="18"/>
      <c r="E811" s="14">
        <v>2020</v>
      </c>
      <c r="F811" s="18"/>
      <c r="G811" s="18"/>
      <c r="H811" s="14" t="s">
        <v>5107</v>
      </c>
      <c r="I811" s="14" t="s">
        <v>257</v>
      </c>
      <c r="J811" s="14">
        <v>2020</v>
      </c>
      <c r="K811" s="14">
        <v>9781728151434</v>
      </c>
      <c r="L811" s="18"/>
      <c r="M811" s="18"/>
      <c r="N811" s="17" t="s">
        <v>5108</v>
      </c>
      <c r="O811" s="14" t="s">
        <v>5109</v>
      </c>
      <c r="P811" s="14" t="s">
        <v>5110</v>
      </c>
      <c r="Q811" s="14" t="s">
        <v>5111</v>
      </c>
      <c r="R811" s="18"/>
      <c r="S811" s="15"/>
      <c r="T811" s="15"/>
      <c r="U811" s="15"/>
      <c r="V811" s="15"/>
    </row>
    <row r="812" spans="1:22" x14ac:dyDescent="0.25">
      <c r="A812" s="14" t="s">
        <v>141</v>
      </c>
      <c r="B812" s="14" t="s">
        <v>5112</v>
      </c>
      <c r="C812" s="14" t="s">
        <v>5113</v>
      </c>
      <c r="D812" s="18"/>
      <c r="E812" s="14">
        <v>2019</v>
      </c>
      <c r="F812" s="18"/>
      <c r="G812" s="18"/>
      <c r="H812" s="14" t="s">
        <v>5114</v>
      </c>
      <c r="I812" s="14" t="s">
        <v>257</v>
      </c>
      <c r="J812" s="14">
        <v>2019</v>
      </c>
      <c r="K812" s="14">
        <v>9781728163345</v>
      </c>
      <c r="L812" s="18"/>
      <c r="M812" s="18"/>
      <c r="N812" s="17" t="s">
        <v>5115</v>
      </c>
      <c r="O812" s="14" t="s">
        <v>5116</v>
      </c>
      <c r="P812" s="14" t="s">
        <v>5117</v>
      </c>
      <c r="Q812" s="14" t="s">
        <v>157</v>
      </c>
      <c r="R812" s="18"/>
      <c r="S812" s="15"/>
      <c r="T812" s="15"/>
      <c r="U812" s="15"/>
      <c r="V812" s="15"/>
    </row>
    <row r="813" spans="1:22" x14ac:dyDescent="0.25">
      <c r="A813" s="14" t="s">
        <v>13</v>
      </c>
      <c r="B813" s="14" t="s">
        <v>5118</v>
      </c>
      <c r="C813" s="14" t="s">
        <v>5119</v>
      </c>
      <c r="D813" s="14" t="s">
        <v>255</v>
      </c>
      <c r="E813" s="14">
        <v>2020</v>
      </c>
      <c r="F813" s="14">
        <v>46</v>
      </c>
      <c r="G813" s="14">
        <v>5</v>
      </c>
      <c r="H813" s="14" t="s">
        <v>5120</v>
      </c>
      <c r="I813" s="14" t="s">
        <v>257</v>
      </c>
      <c r="J813" s="14">
        <v>2020</v>
      </c>
      <c r="K813" s="18"/>
      <c r="L813" s="18"/>
      <c r="M813" s="14" t="s">
        <v>18</v>
      </c>
      <c r="N813" s="17" t="s">
        <v>5121</v>
      </c>
      <c r="O813" s="14" t="s">
        <v>5122</v>
      </c>
      <c r="P813" s="14" t="s">
        <v>5123</v>
      </c>
      <c r="Q813" s="14" t="s">
        <v>5124</v>
      </c>
      <c r="R813" s="18"/>
      <c r="S813" s="15"/>
      <c r="T813" s="15"/>
      <c r="U813" s="15"/>
      <c r="V813" s="15"/>
    </row>
    <row r="814" spans="1:22" x14ac:dyDescent="0.25">
      <c r="A814" s="14" t="s">
        <v>141</v>
      </c>
      <c r="B814" s="14" t="s">
        <v>5125</v>
      </c>
      <c r="C814" s="14" t="s">
        <v>5126</v>
      </c>
      <c r="D814" s="18"/>
      <c r="E814" s="14">
        <v>2020</v>
      </c>
      <c r="F814" s="18"/>
      <c r="G814" s="18"/>
      <c r="H814" s="18"/>
      <c r="I814" s="14" t="s">
        <v>145</v>
      </c>
      <c r="J814" s="14">
        <v>2020</v>
      </c>
      <c r="K814" s="14">
        <v>9781450367080</v>
      </c>
      <c r="L814" s="18"/>
      <c r="M814" s="18"/>
      <c r="N814" s="17" t="s">
        <v>5127</v>
      </c>
      <c r="O814" s="14" t="s">
        <v>5128</v>
      </c>
      <c r="P814" s="14" t="s">
        <v>5129</v>
      </c>
      <c r="Q814" s="14" t="s">
        <v>5130</v>
      </c>
      <c r="R814" s="18"/>
      <c r="S814" s="15"/>
      <c r="T814" s="15"/>
      <c r="U814" s="15"/>
      <c r="V814" s="15"/>
    </row>
    <row r="815" spans="1:22" x14ac:dyDescent="0.25">
      <c r="A815" s="14" t="s">
        <v>13</v>
      </c>
      <c r="B815" s="14" t="s">
        <v>5131</v>
      </c>
      <c r="C815" s="14" t="s">
        <v>5132</v>
      </c>
      <c r="D815" s="14" t="s">
        <v>255</v>
      </c>
      <c r="E815" s="14">
        <v>2019</v>
      </c>
      <c r="F815" s="14">
        <v>45</v>
      </c>
      <c r="G815" s="14">
        <v>7</v>
      </c>
      <c r="H815" s="14" t="s">
        <v>5133</v>
      </c>
      <c r="I815" s="14" t="s">
        <v>257</v>
      </c>
      <c r="J815" s="14">
        <v>2019</v>
      </c>
      <c r="K815" s="18"/>
      <c r="L815" s="18"/>
      <c r="M815" s="14" t="s">
        <v>18</v>
      </c>
      <c r="N815" s="17" t="s">
        <v>5134</v>
      </c>
      <c r="O815" s="14" t="s">
        <v>5135</v>
      </c>
      <c r="P815" s="14" t="s">
        <v>5136</v>
      </c>
      <c r="Q815" s="14" t="s">
        <v>2804</v>
      </c>
      <c r="R815" s="18"/>
      <c r="S815" s="15"/>
      <c r="T815" s="15"/>
      <c r="U815" s="15"/>
      <c r="V815" s="15"/>
    </row>
    <row r="816" spans="1:22" x14ac:dyDescent="0.25">
      <c r="A816" s="14" t="s">
        <v>141</v>
      </c>
      <c r="B816" s="14" t="s">
        <v>5137</v>
      </c>
      <c r="C816" s="14" t="s">
        <v>5138</v>
      </c>
      <c r="D816" s="18"/>
      <c r="E816" s="14">
        <v>2017</v>
      </c>
      <c r="F816" s="14">
        <v>15</v>
      </c>
      <c r="G816" s="18"/>
      <c r="H816" s="14" t="s">
        <v>5139</v>
      </c>
      <c r="I816" s="14" t="s">
        <v>196</v>
      </c>
      <c r="J816" s="14">
        <v>2017</v>
      </c>
      <c r="K816" s="18"/>
      <c r="L816" s="18"/>
      <c r="M816" s="14" t="s">
        <v>5140</v>
      </c>
      <c r="N816" s="17" t="s">
        <v>5141</v>
      </c>
      <c r="O816" s="14" t="s">
        <v>5142</v>
      </c>
      <c r="P816" s="14" t="s">
        <v>5143</v>
      </c>
      <c r="Q816" s="14" t="s">
        <v>176</v>
      </c>
      <c r="R816" s="18"/>
      <c r="S816" s="15"/>
      <c r="T816" s="15"/>
      <c r="U816" s="15"/>
      <c r="V816" s="15"/>
    </row>
    <row r="817" spans="1:22" x14ac:dyDescent="0.25">
      <c r="A817" s="14" t="s">
        <v>141</v>
      </c>
      <c r="B817" s="14" t="s">
        <v>5144</v>
      </c>
      <c r="C817" s="14" t="s">
        <v>5145</v>
      </c>
      <c r="D817" s="18"/>
      <c r="E817" s="14">
        <v>2018</v>
      </c>
      <c r="F817" s="18"/>
      <c r="G817" s="18"/>
      <c r="H817" s="14" t="s">
        <v>5146</v>
      </c>
      <c r="I817" s="14" t="s">
        <v>196</v>
      </c>
      <c r="J817" s="14">
        <v>2018</v>
      </c>
      <c r="K817" s="14">
        <v>9781450356619</v>
      </c>
      <c r="L817" s="18"/>
      <c r="M817" s="14" t="s">
        <v>1458</v>
      </c>
      <c r="N817" s="17" t="s">
        <v>5147</v>
      </c>
      <c r="O817" s="14" t="s">
        <v>5148</v>
      </c>
      <c r="P817" s="14" t="s">
        <v>5149</v>
      </c>
      <c r="Q817" s="14" t="s">
        <v>289</v>
      </c>
      <c r="R817" s="18"/>
      <c r="S817" s="15"/>
      <c r="T817" s="15"/>
      <c r="U817" s="15"/>
      <c r="V817" s="15"/>
    </row>
    <row r="818" spans="1:22" x14ac:dyDescent="0.25">
      <c r="A818" s="14" t="s">
        <v>141</v>
      </c>
      <c r="B818" s="14" t="s">
        <v>5150</v>
      </c>
      <c r="C818" s="14" t="s">
        <v>5151</v>
      </c>
      <c r="D818" s="18"/>
      <c r="E818" s="14">
        <v>2018</v>
      </c>
      <c r="F818" s="18"/>
      <c r="G818" s="18"/>
      <c r="H818" s="14" t="s">
        <v>2496</v>
      </c>
      <c r="I818" s="14" t="s">
        <v>145</v>
      </c>
      <c r="J818" s="14">
        <v>2018</v>
      </c>
      <c r="K818" s="14">
        <v>9781450365659</v>
      </c>
      <c r="L818" s="18"/>
      <c r="M818" s="18"/>
      <c r="N818" s="17" t="s">
        <v>5152</v>
      </c>
      <c r="O818" s="14" t="s">
        <v>5153</v>
      </c>
      <c r="P818" s="14" t="s">
        <v>5154</v>
      </c>
      <c r="Q818" s="14" t="s">
        <v>176</v>
      </c>
      <c r="R818" s="18"/>
      <c r="S818" s="15"/>
      <c r="T818" s="15"/>
      <c r="U818" s="15"/>
      <c r="V818" s="15"/>
    </row>
    <row r="819" spans="1:22" x14ac:dyDescent="0.25">
      <c r="A819" s="14" t="s">
        <v>141</v>
      </c>
      <c r="B819" s="14" t="s">
        <v>5155</v>
      </c>
      <c r="C819" s="14" t="s">
        <v>5156</v>
      </c>
      <c r="D819" s="18"/>
      <c r="E819" s="14">
        <v>2018</v>
      </c>
      <c r="F819" s="14">
        <v>1</v>
      </c>
      <c r="G819" s="18"/>
      <c r="H819" s="14" t="s">
        <v>1659</v>
      </c>
      <c r="I819" s="14" t="s">
        <v>196</v>
      </c>
      <c r="J819" s="14">
        <v>2018</v>
      </c>
      <c r="K819" s="14">
        <v>9781538626665</v>
      </c>
      <c r="L819" s="18"/>
      <c r="M819" s="14" t="s">
        <v>5157</v>
      </c>
      <c r="N819" s="17" t="s">
        <v>5158</v>
      </c>
      <c r="O819" s="14" t="s">
        <v>5159</v>
      </c>
      <c r="P819" s="14" t="s">
        <v>5160</v>
      </c>
      <c r="Q819" s="14" t="s">
        <v>2804</v>
      </c>
      <c r="R819" s="18"/>
      <c r="S819" s="15"/>
      <c r="T819" s="15"/>
      <c r="U819" s="15"/>
      <c r="V819" s="15"/>
    </row>
    <row r="820" spans="1:22" x14ac:dyDescent="0.25">
      <c r="A820" s="14" t="s">
        <v>13</v>
      </c>
      <c r="B820" s="14" t="s">
        <v>5161</v>
      </c>
      <c r="C820" s="14" t="s">
        <v>5162</v>
      </c>
      <c r="D820" s="14" t="s">
        <v>5163</v>
      </c>
      <c r="E820" s="14">
        <v>2017</v>
      </c>
      <c r="F820" s="14">
        <v>22</v>
      </c>
      <c r="G820" s="18"/>
      <c r="H820" s="14" t="s">
        <v>5164</v>
      </c>
      <c r="I820" s="14" t="s">
        <v>212</v>
      </c>
      <c r="J820" s="14">
        <v>2017</v>
      </c>
      <c r="K820" s="18"/>
      <c r="L820" s="18"/>
      <c r="M820" s="14" t="s">
        <v>5165</v>
      </c>
      <c r="N820" s="17" t="s">
        <v>5166</v>
      </c>
      <c r="O820" s="14" t="s">
        <v>5167</v>
      </c>
      <c r="P820" s="14" t="s">
        <v>5168</v>
      </c>
      <c r="Q820" s="14" t="s">
        <v>397</v>
      </c>
      <c r="R820" s="18"/>
      <c r="S820" s="15"/>
      <c r="T820" s="15"/>
      <c r="U820" s="15"/>
      <c r="V820" s="15"/>
    </row>
    <row r="821" spans="1:22" x14ac:dyDescent="0.25">
      <c r="A821" s="14" t="s">
        <v>141</v>
      </c>
      <c r="B821" s="14" t="s">
        <v>5169</v>
      </c>
      <c r="C821" s="14" t="s">
        <v>5170</v>
      </c>
      <c r="D821" s="18"/>
      <c r="E821" s="14">
        <v>2017</v>
      </c>
      <c r="F821" s="14" t="s">
        <v>5171</v>
      </c>
      <c r="G821" s="18"/>
      <c r="H821" s="14" t="s">
        <v>5172</v>
      </c>
      <c r="I821" s="14" t="s">
        <v>2919</v>
      </c>
      <c r="J821" s="14">
        <v>2017</v>
      </c>
      <c r="K821" s="14">
        <v>9781577357797</v>
      </c>
      <c r="L821" s="18"/>
      <c r="M821" s="18"/>
      <c r="N821" s="17" t="s">
        <v>5173</v>
      </c>
      <c r="O821" s="18"/>
      <c r="P821" s="14" t="s">
        <v>5174</v>
      </c>
      <c r="Q821" s="14" t="s">
        <v>157</v>
      </c>
      <c r="R821" s="18"/>
      <c r="S821" s="15"/>
      <c r="T821" s="15"/>
      <c r="U821" s="15"/>
      <c r="V821" s="15"/>
    </row>
    <row r="822" spans="1:22" x14ac:dyDescent="0.25">
      <c r="A822" s="14" t="s">
        <v>539</v>
      </c>
      <c r="B822" s="14" t="s">
        <v>5175</v>
      </c>
      <c r="C822" s="14" t="s">
        <v>5176</v>
      </c>
      <c r="D822" s="18"/>
      <c r="E822" s="14">
        <v>2015</v>
      </c>
      <c r="F822" s="18"/>
      <c r="G822" s="18"/>
      <c r="H822" s="18"/>
      <c r="I822" s="14" t="s">
        <v>1465</v>
      </c>
      <c r="J822" s="14">
        <v>2015</v>
      </c>
      <c r="K822" s="14">
        <v>9781466682276</v>
      </c>
      <c r="L822" s="14">
        <v>9781466682269</v>
      </c>
      <c r="M822" s="18"/>
      <c r="N822" s="17" t="s">
        <v>5177</v>
      </c>
      <c r="O822" s="14" t="s">
        <v>5178</v>
      </c>
      <c r="P822" s="14" t="s">
        <v>5179</v>
      </c>
      <c r="Q822" s="14" t="s">
        <v>3003</v>
      </c>
      <c r="R822" s="14" t="s">
        <v>5180</v>
      </c>
      <c r="S822" s="15"/>
      <c r="T822" s="15"/>
      <c r="U822" s="15"/>
      <c r="V822" s="15"/>
    </row>
    <row r="823" spans="1:22" x14ac:dyDescent="0.25">
      <c r="A823" s="14" t="s">
        <v>141</v>
      </c>
      <c r="B823" s="14" t="s">
        <v>5181</v>
      </c>
      <c r="C823" s="14" t="s">
        <v>5182</v>
      </c>
      <c r="D823" s="18"/>
      <c r="E823" s="14">
        <v>2018</v>
      </c>
      <c r="F823" s="18"/>
      <c r="G823" s="18"/>
      <c r="H823" s="14" t="s">
        <v>5183</v>
      </c>
      <c r="I823" s="14" t="s">
        <v>153</v>
      </c>
      <c r="J823" s="14">
        <v>2018</v>
      </c>
      <c r="K823" s="14">
        <v>9781450360562</v>
      </c>
      <c r="L823" s="18"/>
      <c r="M823" s="18"/>
      <c r="N823" s="17" t="s">
        <v>5184</v>
      </c>
      <c r="O823" s="14" t="s">
        <v>5185</v>
      </c>
      <c r="P823" s="14" t="s">
        <v>5186</v>
      </c>
      <c r="Q823" s="14" t="s">
        <v>176</v>
      </c>
      <c r="R823" s="18"/>
      <c r="S823" s="15"/>
      <c r="T823" s="15"/>
      <c r="U823" s="15"/>
      <c r="V823" s="15"/>
    </row>
    <row r="824" spans="1:22" x14ac:dyDescent="0.25">
      <c r="A824" s="14" t="s">
        <v>13</v>
      </c>
      <c r="B824" s="14" t="s">
        <v>5187</v>
      </c>
      <c r="C824" s="14" t="s">
        <v>5188</v>
      </c>
      <c r="D824" s="14" t="s">
        <v>209</v>
      </c>
      <c r="E824" s="14">
        <v>2018</v>
      </c>
      <c r="F824" s="14" t="s">
        <v>5189</v>
      </c>
      <c r="G824" s="18"/>
      <c r="H824" s="14" t="s">
        <v>5190</v>
      </c>
      <c r="I824" s="14" t="s">
        <v>4155</v>
      </c>
      <c r="J824" s="14">
        <v>2018</v>
      </c>
      <c r="K824" s="18"/>
      <c r="L824" s="18"/>
      <c r="M824" s="14" t="s">
        <v>213</v>
      </c>
      <c r="N824" s="17" t="s">
        <v>5191</v>
      </c>
      <c r="O824" s="14" t="s">
        <v>5192</v>
      </c>
      <c r="P824" s="14" t="s">
        <v>5193</v>
      </c>
      <c r="Q824" s="14" t="s">
        <v>2243</v>
      </c>
      <c r="R824" s="18"/>
      <c r="S824" s="15"/>
      <c r="T824" s="15"/>
      <c r="U824" s="15"/>
      <c r="V824" s="15"/>
    </row>
    <row r="825" spans="1:22" x14ac:dyDescent="0.25">
      <c r="A825" s="14" t="s">
        <v>13</v>
      </c>
      <c r="B825" s="14" t="s">
        <v>5194</v>
      </c>
      <c r="C825" s="14" t="s">
        <v>5195</v>
      </c>
      <c r="D825" s="14" t="s">
        <v>136</v>
      </c>
      <c r="E825" s="14">
        <v>2017</v>
      </c>
      <c r="F825" s="14">
        <v>22</v>
      </c>
      <c r="G825" s="14">
        <v>3</v>
      </c>
      <c r="H825" s="14" t="s">
        <v>5196</v>
      </c>
      <c r="I825" s="14" t="s">
        <v>3998</v>
      </c>
      <c r="J825" s="14">
        <v>2017</v>
      </c>
      <c r="K825" s="18"/>
      <c r="L825" s="18"/>
      <c r="M825" s="14" t="s">
        <v>33</v>
      </c>
      <c r="N825" s="17" t="s">
        <v>5197</v>
      </c>
      <c r="O825" s="14" t="s">
        <v>5198</v>
      </c>
      <c r="P825" s="14" t="s">
        <v>5199</v>
      </c>
      <c r="Q825" s="14" t="s">
        <v>4002</v>
      </c>
      <c r="R825" s="18"/>
      <c r="S825" s="15"/>
      <c r="T825" s="15"/>
      <c r="U825" s="15"/>
      <c r="V825" s="15"/>
    </row>
    <row r="826" spans="1:22" x14ac:dyDescent="0.25">
      <c r="A826" s="14" t="s">
        <v>141</v>
      </c>
      <c r="B826" s="14" t="s">
        <v>5200</v>
      </c>
      <c r="C826" s="14" t="s">
        <v>5201</v>
      </c>
      <c r="D826" s="18"/>
      <c r="E826" s="14">
        <v>2018</v>
      </c>
      <c r="F826" s="18"/>
      <c r="G826" s="18"/>
      <c r="H826" s="14" t="s">
        <v>5202</v>
      </c>
      <c r="I826" s="14" t="s">
        <v>257</v>
      </c>
      <c r="J826" s="14">
        <v>2018</v>
      </c>
      <c r="K826" s="14">
        <v>9781538673829</v>
      </c>
      <c r="L826" s="18"/>
      <c r="M826" s="18"/>
      <c r="N826" s="17" t="s">
        <v>5203</v>
      </c>
      <c r="O826" s="14" t="s">
        <v>5204</v>
      </c>
      <c r="P826" s="14" t="s">
        <v>5205</v>
      </c>
      <c r="Q826" s="14" t="s">
        <v>1573</v>
      </c>
      <c r="R826" s="18"/>
      <c r="S826" s="15"/>
      <c r="T826" s="15"/>
      <c r="U826" s="15"/>
      <c r="V826" s="15"/>
    </row>
    <row r="827" spans="1:22" x14ac:dyDescent="0.25">
      <c r="A827" s="14" t="s">
        <v>13</v>
      </c>
      <c r="B827" s="14" t="s">
        <v>5206</v>
      </c>
      <c r="C827" s="14" t="s">
        <v>5207</v>
      </c>
      <c r="D827" s="14" t="s">
        <v>209</v>
      </c>
      <c r="E827" s="14">
        <v>2017</v>
      </c>
      <c r="F827" s="14" t="s">
        <v>5208</v>
      </c>
      <c r="G827" s="18"/>
      <c r="H827" s="14" t="s">
        <v>4943</v>
      </c>
      <c r="I827" s="14" t="s">
        <v>4155</v>
      </c>
      <c r="J827" s="14">
        <v>2017</v>
      </c>
      <c r="K827" s="18"/>
      <c r="L827" s="18"/>
      <c r="M827" s="14" t="s">
        <v>213</v>
      </c>
      <c r="N827" s="17" t="s">
        <v>5209</v>
      </c>
      <c r="O827" s="14" t="s">
        <v>5210</v>
      </c>
      <c r="P827" s="14" t="s">
        <v>5211</v>
      </c>
      <c r="Q827" s="14" t="s">
        <v>1740</v>
      </c>
      <c r="R827" s="18"/>
      <c r="S827" s="15"/>
      <c r="T827" s="15"/>
      <c r="U827" s="15"/>
      <c r="V827" s="15"/>
    </row>
    <row r="828" spans="1:22" x14ac:dyDescent="0.25">
      <c r="A828" s="14" t="s">
        <v>141</v>
      </c>
      <c r="B828" s="14" t="s">
        <v>5212</v>
      </c>
      <c r="C828" s="14" t="s">
        <v>5213</v>
      </c>
      <c r="D828" s="18"/>
      <c r="E828" s="14">
        <v>2017</v>
      </c>
      <c r="F828" s="14">
        <v>11</v>
      </c>
      <c r="G828" s="18"/>
      <c r="H828" s="14" t="s">
        <v>5214</v>
      </c>
      <c r="I828" s="14" t="s">
        <v>145</v>
      </c>
      <c r="J828" s="14">
        <v>2017</v>
      </c>
      <c r="K828" s="18"/>
      <c r="L828" s="18"/>
      <c r="M828" s="14" t="s">
        <v>4235</v>
      </c>
      <c r="N828" s="17" t="s">
        <v>5215</v>
      </c>
      <c r="O828" s="14" t="s">
        <v>5216</v>
      </c>
      <c r="P828" s="14" t="s">
        <v>5217</v>
      </c>
      <c r="Q828" s="14" t="s">
        <v>2830</v>
      </c>
      <c r="R828" s="18"/>
      <c r="S828" s="15"/>
      <c r="T828" s="15"/>
      <c r="U828" s="15"/>
      <c r="V828" s="15"/>
    </row>
    <row r="829" spans="1:22" x14ac:dyDescent="0.25">
      <c r="A829" s="14" t="s">
        <v>13</v>
      </c>
      <c r="B829" s="14" t="s">
        <v>5218</v>
      </c>
      <c r="C829" s="14" t="s">
        <v>5219</v>
      </c>
      <c r="D829" s="14" t="s">
        <v>354</v>
      </c>
      <c r="E829" s="14">
        <v>2017</v>
      </c>
      <c r="F829" s="14">
        <v>133</v>
      </c>
      <c r="G829" s="18"/>
      <c r="H829" s="14" t="s">
        <v>5220</v>
      </c>
      <c r="I829" s="14" t="s">
        <v>355</v>
      </c>
      <c r="J829" s="14">
        <v>2017</v>
      </c>
      <c r="K829" s="18"/>
      <c r="L829" s="18"/>
      <c r="M829" s="14" t="s">
        <v>65</v>
      </c>
      <c r="N829" s="17" t="s">
        <v>5221</v>
      </c>
      <c r="O829" s="14" t="s">
        <v>5222</v>
      </c>
      <c r="P829" s="14" t="s">
        <v>5223</v>
      </c>
      <c r="Q829" s="14" t="s">
        <v>4634</v>
      </c>
      <c r="R829" s="18"/>
      <c r="S829" s="15"/>
      <c r="T829" s="15"/>
      <c r="U829" s="15"/>
      <c r="V829" s="15"/>
    </row>
    <row r="830" spans="1:22" x14ac:dyDescent="0.25">
      <c r="A830" s="14" t="s">
        <v>13</v>
      </c>
      <c r="B830" s="14" t="s">
        <v>5224</v>
      </c>
      <c r="C830" s="14" t="s">
        <v>5225</v>
      </c>
      <c r="D830" s="14" t="s">
        <v>5226</v>
      </c>
      <c r="E830" s="14">
        <v>2017</v>
      </c>
      <c r="F830" s="14">
        <v>23</v>
      </c>
      <c r="G830" s="14">
        <v>5</v>
      </c>
      <c r="H830" s="14" t="s">
        <v>5227</v>
      </c>
      <c r="I830" s="14" t="s">
        <v>5228</v>
      </c>
      <c r="J830" s="14">
        <v>2017</v>
      </c>
      <c r="K830" s="18"/>
      <c r="L830" s="18"/>
      <c r="M830" s="14" t="s">
        <v>5229</v>
      </c>
      <c r="N830" s="17" t="s">
        <v>5230</v>
      </c>
      <c r="O830" s="14" t="s">
        <v>5231</v>
      </c>
      <c r="P830" s="14" t="s">
        <v>5232</v>
      </c>
      <c r="Q830" s="14" t="s">
        <v>2420</v>
      </c>
      <c r="R830" s="18"/>
      <c r="S830" s="15"/>
      <c r="T830" s="15"/>
      <c r="U830" s="15"/>
      <c r="V830" s="15"/>
    </row>
    <row r="831" spans="1:22" x14ac:dyDescent="0.25">
      <c r="A831" s="14" t="s">
        <v>13</v>
      </c>
      <c r="B831" s="14" t="s">
        <v>5233</v>
      </c>
      <c r="C831" s="14" t="s">
        <v>5234</v>
      </c>
      <c r="D831" s="14" t="s">
        <v>209</v>
      </c>
      <c r="E831" s="14">
        <v>2017</v>
      </c>
      <c r="F831" s="14" t="s">
        <v>5208</v>
      </c>
      <c r="G831" s="18"/>
      <c r="H831" s="14" t="s">
        <v>5235</v>
      </c>
      <c r="I831" s="14" t="s">
        <v>4155</v>
      </c>
      <c r="J831" s="14">
        <v>2017</v>
      </c>
      <c r="K831" s="18"/>
      <c r="L831" s="18"/>
      <c r="M831" s="14" t="s">
        <v>213</v>
      </c>
      <c r="N831" s="17" t="s">
        <v>5236</v>
      </c>
      <c r="O831" s="14" t="s">
        <v>5237</v>
      </c>
      <c r="P831" s="14" t="s">
        <v>5238</v>
      </c>
      <c r="Q831" s="14" t="s">
        <v>176</v>
      </c>
      <c r="R831" s="18"/>
      <c r="S831" s="15"/>
      <c r="T831" s="15"/>
      <c r="U831" s="15"/>
      <c r="V831" s="15"/>
    </row>
    <row r="832" spans="1:22" x14ac:dyDescent="0.25">
      <c r="A832" s="14" t="s">
        <v>141</v>
      </c>
      <c r="B832" s="14" t="s">
        <v>5239</v>
      </c>
      <c r="C832" s="14" t="s">
        <v>5240</v>
      </c>
      <c r="D832" s="18"/>
      <c r="E832" s="14">
        <v>2017</v>
      </c>
      <c r="F832" s="21">
        <v>43101</v>
      </c>
      <c r="G832" s="18"/>
      <c r="H832" s="14" t="s">
        <v>5241</v>
      </c>
      <c r="I832" s="14" t="s">
        <v>257</v>
      </c>
      <c r="J832" s="14">
        <v>2017</v>
      </c>
      <c r="K832" s="14">
        <v>9781538627143</v>
      </c>
      <c r="L832" s="18"/>
      <c r="M832" s="18"/>
      <c r="N832" s="17" t="s">
        <v>5242</v>
      </c>
      <c r="O832" s="14" t="s">
        <v>5243</v>
      </c>
      <c r="P832" s="14" t="s">
        <v>5244</v>
      </c>
      <c r="Q832" s="14" t="s">
        <v>5245</v>
      </c>
      <c r="R832" s="18"/>
      <c r="S832" s="15"/>
      <c r="T832" s="15"/>
      <c r="U832" s="15"/>
      <c r="V832" s="15"/>
    </row>
    <row r="833" spans="1:22" x14ac:dyDescent="0.25">
      <c r="A833" s="14" t="s">
        <v>13</v>
      </c>
      <c r="B833" s="14" t="s">
        <v>5246</v>
      </c>
      <c r="C833" s="14" t="s">
        <v>5247</v>
      </c>
      <c r="D833" s="14" t="s">
        <v>5248</v>
      </c>
      <c r="E833" s="14">
        <v>2018</v>
      </c>
      <c r="F833" s="14">
        <v>9</v>
      </c>
      <c r="G833" s="14">
        <v>4</v>
      </c>
      <c r="H833" s="14" t="s">
        <v>5249</v>
      </c>
      <c r="I833" s="14" t="s">
        <v>5250</v>
      </c>
      <c r="J833" s="14">
        <v>2018</v>
      </c>
      <c r="K833" s="18"/>
      <c r="L833" s="18"/>
      <c r="M833" s="14" t="s">
        <v>5251</v>
      </c>
      <c r="N833" s="17" t="s">
        <v>5252</v>
      </c>
      <c r="O833" s="14" t="s">
        <v>5253</v>
      </c>
      <c r="P833" s="14" t="s">
        <v>5254</v>
      </c>
      <c r="Q833" s="14" t="s">
        <v>5255</v>
      </c>
      <c r="R833" s="18"/>
      <c r="S833" s="15"/>
      <c r="T833" s="15"/>
      <c r="U833" s="15"/>
      <c r="V833" s="15"/>
    </row>
    <row r="834" spans="1:22" x14ac:dyDescent="0.25">
      <c r="A834" s="14" t="s">
        <v>141</v>
      </c>
      <c r="B834" s="14" t="s">
        <v>5256</v>
      </c>
      <c r="C834" s="14" t="s">
        <v>5257</v>
      </c>
      <c r="D834" s="18"/>
      <c r="E834" s="14">
        <v>2015</v>
      </c>
      <c r="F834" s="18"/>
      <c r="G834" s="18"/>
      <c r="H834" s="14" t="s">
        <v>5258</v>
      </c>
      <c r="I834" s="14" t="s">
        <v>257</v>
      </c>
      <c r="J834" s="14">
        <v>2015</v>
      </c>
      <c r="K834" s="14">
        <v>9781467375320</v>
      </c>
      <c r="L834" s="18"/>
      <c r="M834" s="18"/>
      <c r="N834" s="17" t="s">
        <v>5259</v>
      </c>
      <c r="O834" s="14" t="s">
        <v>5260</v>
      </c>
      <c r="P834" s="14" t="s">
        <v>5261</v>
      </c>
      <c r="Q834" s="14" t="s">
        <v>2610</v>
      </c>
      <c r="R834" s="18"/>
      <c r="S834" s="15"/>
      <c r="T834" s="15"/>
      <c r="U834" s="15"/>
      <c r="V834" s="15"/>
    </row>
    <row r="835" spans="1:22" x14ac:dyDescent="0.25">
      <c r="A835" s="14" t="s">
        <v>141</v>
      </c>
      <c r="B835" s="14" t="s">
        <v>5262</v>
      </c>
      <c r="C835" s="14" t="s">
        <v>5263</v>
      </c>
      <c r="D835" s="18"/>
      <c r="E835" s="14">
        <v>2012</v>
      </c>
      <c r="F835" s="18"/>
      <c r="G835" s="18"/>
      <c r="H835" s="18"/>
      <c r="I835" s="18"/>
      <c r="J835" s="14">
        <v>2012</v>
      </c>
      <c r="K835" s="14">
        <v>9781450316149</v>
      </c>
      <c r="L835" s="18"/>
      <c r="M835" s="18"/>
      <c r="N835" s="17" t="s">
        <v>5264</v>
      </c>
      <c r="O835" s="14" t="s">
        <v>5265</v>
      </c>
      <c r="P835" s="14" t="s">
        <v>5266</v>
      </c>
      <c r="Q835" s="14" t="s">
        <v>5267</v>
      </c>
      <c r="R835" s="18"/>
      <c r="S835" s="15"/>
      <c r="T835" s="15"/>
      <c r="U835" s="15"/>
      <c r="V835" s="15"/>
    </row>
    <row r="836" spans="1:22" x14ac:dyDescent="0.25">
      <c r="A836" s="14" t="s">
        <v>141</v>
      </c>
      <c r="B836" s="14" t="s">
        <v>5268</v>
      </c>
      <c r="C836" s="14" t="s">
        <v>5269</v>
      </c>
      <c r="D836" s="18"/>
      <c r="E836" s="14">
        <v>2015</v>
      </c>
      <c r="F836" s="18"/>
      <c r="G836" s="18"/>
      <c r="H836" s="14" t="s">
        <v>3808</v>
      </c>
      <c r="I836" s="14" t="s">
        <v>153</v>
      </c>
      <c r="J836" s="14">
        <v>2015</v>
      </c>
      <c r="K836" s="14">
        <v>9781450334808</v>
      </c>
      <c r="L836" s="18"/>
      <c r="M836" s="18"/>
      <c r="N836" s="17" t="s">
        <v>5270</v>
      </c>
      <c r="O836" s="14" t="s">
        <v>5271</v>
      </c>
      <c r="P836" s="14" t="s">
        <v>5272</v>
      </c>
      <c r="Q836" s="14" t="s">
        <v>3003</v>
      </c>
      <c r="R836" s="18"/>
      <c r="S836" s="15"/>
      <c r="T836" s="15"/>
      <c r="U836" s="15"/>
      <c r="V836" s="15"/>
    </row>
    <row r="837" spans="1:22" x14ac:dyDescent="0.25">
      <c r="A837" s="14" t="s">
        <v>141</v>
      </c>
      <c r="B837" s="14" t="s">
        <v>5273</v>
      </c>
      <c r="C837" s="14" t="s">
        <v>5274</v>
      </c>
      <c r="D837" s="18"/>
      <c r="E837" s="14">
        <v>2013</v>
      </c>
      <c r="F837" s="18"/>
      <c r="G837" s="18"/>
      <c r="H837" s="14" t="s">
        <v>4039</v>
      </c>
      <c r="I837" s="14" t="s">
        <v>196</v>
      </c>
      <c r="J837" s="14">
        <v>2013</v>
      </c>
      <c r="K837" s="14">
        <v>9781467364430</v>
      </c>
      <c r="L837" s="18"/>
      <c r="M837" s="18"/>
      <c r="N837" s="17" t="s">
        <v>5275</v>
      </c>
      <c r="O837" s="14" t="s">
        <v>5276</v>
      </c>
      <c r="P837" s="14" t="s">
        <v>5277</v>
      </c>
      <c r="Q837" s="14" t="s">
        <v>3118</v>
      </c>
      <c r="R837" s="18"/>
      <c r="S837" s="15"/>
      <c r="T837" s="15"/>
      <c r="U837" s="15"/>
      <c r="V837" s="15"/>
    </row>
    <row r="838" spans="1:22" x14ac:dyDescent="0.25">
      <c r="A838" s="14" t="s">
        <v>141</v>
      </c>
      <c r="B838" s="14" t="s">
        <v>5278</v>
      </c>
      <c r="C838" s="14" t="s">
        <v>5279</v>
      </c>
      <c r="D838" s="18"/>
      <c r="E838" s="14">
        <v>2016</v>
      </c>
      <c r="F838" s="21">
        <v>42614</v>
      </c>
      <c r="G838" s="18"/>
      <c r="H838" s="14" t="s">
        <v>5280</v>
      </c>
      <c r="I838" s="14" t="s">
        <v>257</v>
      </c>
      <c r="J838" s="14">
        <v>2016</v>
      </c>
      <c r="K838" s="14">
        <v>9781450342292</v>
      </c>
      <c r="L838" s="18"/>
      <c r="M838" s="14" t="s">
        <v>5281</v>
      </c>
      <c r="N838" s="17" t="s">
        <v>5282</v>
      </c>
      <c r="O838" s="14" t="s">
        <v>5283</v>
      </c>
      <c r="P838" s="14" t="s">
        <v>5284</v>
      </c>
      <c r="Q838" s="14" t="s">
        <v>5285</v>
      </c>
      <c r="R838" s="18"/>
      <c r="S838" s="15"/>
      <c r="T838" s="15"/>
      <c r="U838" s="15"/>
      <c r="V838" s="15"/>
    </row>
    <row r="839" spans="1:22" x14ac:dyDescent="0.25">
      <c r="A839" s="14" t="s">
        <v>141</v>
      </c>
      <c r="B839" s="14" t="s">
        <v>5286</v>
      </c>
      <c r="C839" s="14" t="s">
        <v>5287</v>
      </c>
      <c r="D839" s="18"/>
      <c r="E839" s="14">
        <v>2015</v>
      </c>
      <c r="F839" s="18"/>
      <c r="G839" s="18"/>
      <c r="H839" s="14" t="s">
        <v>5288</v>
      </c>
      <c r="I839" s="14" t="s">
        <v>153</v>
      </c>
      <c r="J839" s="14">
        <v>2015</v>
      </c>
      <c r="K839" s="14">
        <v>9781450336758</v>
      </c>
      <c r="L839" s="18"/>
      <c r="M839" s="18"/>
      <c r="N839" s="17" t="s">
        <v>5289</v>
      </c>
      <c r="O839" s="14" t="s">
        <v>5290</v>
      </c>
      <c r="P839" s="14" t="s">
        <v>5291</v>
      </c>
      <c r="Q839" s="14" t="s">
        <v>5292</v>
      </c>
      <c r="R839" s="18"/>
      <c r="S839" s="15"/>
      <c r="T839" s="15"/>
      <c r="U839" s="15"/>
      <c r="V839" s="15"/>
    </row>
    <row r="840" spans="1:22" x14ac:dyDescent="0.25">
      <c r="A840" s="14" t="s">
        <v>141</v>
      </c>
      <c r="B840" s="14" t="s">
        <v>5293</v>
      </c>
      <c r="C840" s="14" t="s">
        <v>5294</v>
      </c>
      <c r="D840" s="18"/>
      <c r="E840" s="14">
        <v>2016</v>
      </c>
      <c r="F840" s="18"/>
      <c r="G840" s="18"/>
      <c r="H840" s="14" t="s">
        <v>5295</v>
      </c>
      <c r="I840" s="14" t="s">
        <v>257</v>
      </c>
      <c r="J840" s="14">
        <v>2016</v>
      </c>
      <c r="K840" s="14">
        <v>9781509036943</v>
      </c>
      <c r="L840" s="18"/>
      <c r="M840" s="18"/>
      <c r="N840" s="17" t="s">
        <v>5296</v>
      </c>
      <c r="O840" s="14" t="s">
        <v>5297</v>
      </c>
      <c r="P840" s="14" t="s">
        <v>5298</v>
      </c>
      <c r="Q840" s="14" t="s">
        <v>2286</v>
      </c>
      <c r="R840" s="18"/>
      <c r="S840" s="15"/>
      <c r="T840" s="15"/>
      <c r="U840" s="15"/>
      <c r="V840" s="15"/>
    </row>
    <row r="841" spans="1:22" x14ac:dyDescent="0.25">
      <c r="A841" s="14" t="s">
        <v>13</v>
      </c>
      <c r="B841" s="14" t="s">
        <v>5299</v>
      </c>
      <c r="C841" s="14" t="s">
        <v>5300</v>
      </c>
      <c r="D841" s="14" t="s">
        <v>209</v>
      </c>
      <c r="E841" s="14">
        <v>2017</v>
      </c>
      <c r="F841" s="14" t="s">
        <v>5301</v>
      </c>
      <c r="G841" s="18"/>
      <c r="H841" s="14" t="s">
        <v>5302</v>
      </c>
      <c r="I841" s="14" t="s">
        <v>4155</v>
      </c>
      <c r="J841" s="14">
        <v>2017</v>
      </c>
      <c r="K841" s="18"/>
      <c r="L841" s="18"/>
      <c r="M841" s="14" t="s">
        <v>213</v>
      </c>
      <c r="N841" s="17" t="s">
        <v>5303</v>
      </c>
      <c r="O841" s="14" t="s">
        <v>5304</v>
      </c>
      <c r="P841" s="14" t="s">
        <v>5305</v>
      </c>
      <c r="Q841" s="14" t="s">
        <v>5306</v>
      </c>
      <c r="R841" s="18"/>
      <c r="S841" s="15"/>
      <c r="T841" s="15"/>
      <c r="U841" s="15"/>
      <c r="V841" s="15"/>
    </row>
    <row r="842" spans="1:22" x14ac:dyDescent="0.25">
      <c r="A842" s="14" t="s">
        <v>13</v>
      </c>
      <c r="B842" s="14" t="s">
        <v>5307</v>
      </c>
      <c r="C842" s="14" t="s">
        <v>5308</v>
      </c>
      <c r="D842" s="14" t="s">
        <v>878</v>
      </c>
      <c r="E842" s="14">
        <v>2014</v>
      </c>
      <c r="F842" s="14">
        <v>26</v>
      </c>
      <c r="G842" s="14">
        <v>7</v>
      </c>
      <c r="H842" s="14" t="s">
        <v>5309</v>
      </c>
      <c r="I842" s="14" t="s">
        <v>266</v>
      </c>
      <c r="J842" s="14">
        <v>2014</v>
      </c>
      <c r="K842" s="18"/>
      <c r="L842" s="18"/>
      <c r="M842" s="14" t="s">
        <v>879</v>
      </c>
      <c r="N842" s="17" t="s">
        <v>5310</v>
      </c>
      <c r="O842" s="14" t="s">
        <v>5311</v>
      </c>
      <c r="P842" s="14" t="s">
        <v>5312</v>
      </c>
      <c r="Q842" s="14" t="s">
        <v>2579</v>
      </c>
      <c r="R842" s="18"/>
      <c r="S842" s="15"/>
      <c r="T842" s="15"/>
      <c r="U842" s="15"/>
      <c r="V842" s="15"/>
    </row>
    <row r="843" spans="1:22" x14ac:dyDescent="0.25">
      <c r="A843" s="14" t="s">
        <v>13</v>
      </c>
      <c r="B843" s="14" t="s">
        <v>5313</v>
      </c>
      <c r="C843" s="14" t="s">
        <v>5314</v>
      </c>
      <c r="D843" s="14" t="s">
        <v>307</v>
      </c>
      <c r="E843" s="14">
        <v>2018</v>
      </c>
      <c r="F843" s="14">
        <v>93</v>
      </c>
      <c r="G843" s="18"/>
      <c r="H843" s="14" t="s">
        <v>5315</v>
      </c>
      <c r="I843" s="14" t="s">
        <v>280</v>
      </c>
      <c r="J843" s="14">
        <v>2018</v>
      </c>
      <c r="K843" s="18"/>
      <c r="L843" s="18"/>
      <c r="M843" s="14" t="s">
        <v>308</v>
      </c>
      <c r="N843" s="17" t="s">
        <v>5316</v>
      </c>
      <c r="O843" s="14" t="s">
        <v>5317</v>
      </c>
      <c r="P843" s="14" t="s">
        <v>5318</v>
      </c>
      <c r="Q843" s="14" t="s">
        <v>3266</v>
      </c>
      <c r="R843" s="18"/>
      <c r="S843" s="15"/>
      <c r="T843" s="15"/>
      <c r="U843" s="15"/>
      <c r="V843" s="15"/>
    </row>
    <row r="844" spans="1:22" x14ac:dyDescent="0.25">
      <c r="A844" s="14" t="s">
        <v>141</v>
      </c>
      <c r="B844" s="14" t="s">
        <v>5319</v>
      </c>
      <c r="C844" s="14" t="s">
        <v>5320</v>
      </c>
      <c r="D844" s="18"/>
      <c r="E844" s="14">
        <v>2017</v>
      </c>
      <c r="F844" s="18"/>
      <c r="G844" s="18"/>
      <c r="H844" s="14" t="s">
        <v>5321</v>
      </c>
      <c r="I844" s="14" t="s">
        <v>257</v>
      </c>
      <c r="J844" s="14">
        <v>2017</v>
      </c>
      <c r="K844" s="14">
        <v>9781538626757</v>
      </c>
      <c r="L844" s="18"/>
      <c r="M844" s="18"/>
      <c r="N844" s="17" t="s">
        <v>5322</v>
      </c>
      <c r="O844" s="14" t="s">
        <v>5323</v>
      </c>
      <c r="P844" s="14" t="s">
        <v>5324</v>
      </c>
      <c r="Q844" s="14" t="s">
        <v>1656</v>
      </c>
      <c r="R844" s="18"/>
      <c r="S844" s="15"/>
      <c r="T844" s="15"/>
      <c r="U844" s="15"/>
      <c r="V844" s="15"/>
    </row>
    <row r="845" spans="1:22" x14ac:dyDescent="0.25">
      <c r="A845" s="14" t="s">
        <v>141</v>
      </c>
      <c r="B845" s="14" t="s">
        <v>5325</v>
      </c>
      <c r="C845" s="14" t="s">
        <v>5326</v>
      </c>
      <c r="D845" s="18"/>
      <c r="E845" s="14">
        <v>2017</v>
      </c>
      <c r="F845" s="18"/>
      <c r="G845" s="18"/>
      <c r="H845" s="14" t="s">
        <v>5327</v>
      </c>
      <c r="I845" s="14" t="s">
        <v>196</v>
      </c>
      <c r="J845" s="14">
        <v>2017</v>
      </c>
      <c r="K845" s="14">
        <v>9781509065431</v>
      </c>
      <c r="L845" s="18"/>
      <c r="M845" s="14" t="s">
        <v>5328</v>
      </c>
      <c r="N845" s="17" t="s">
        <v>5329</v>
      </c>
      <c r="O845" s="14" t="s">
        <v>5330</v>
      </c>
      <c r="P845" s="14" t="s">
        <v>5331</v>
      </c>
      <c r="Q845" s="14" t="s">
        <v>5332</v>
      </c>
      <c r="R845" s="18"/>
      <c r="S845" s="15"/>
      <c r="T845" s="15"/>
      <c r="U845" s="15"/>
      <c r="V845" s="15"/>
    </row>
    <row r="846" spans="1:22" x14ac:dyDescent="0.25">
      <c r="A846" s="14" t="s">
        <v>141</v>
      </c>
      <c r="B846" s="14" t="s">
        <v>5333</v>
      </c>
      <c r="C846" s="14" t="s">
        <v>5334</v>
      </c>
      <c r="D846" s="18"/>
      <c r="E846" s="14">
        <v>2017</v>
      </c>
      <c r="F846" s="21">
        <v>42856</v>
      </c>
      <c r="G846" s="18"/>
      <c r="H846" s="14" t="s">
        <v>5335</v>
      </c>
      <c r="I846" s="14" t="s">
        <v>145</v>
      </c>
      <c r="J846" s="14">
        <v>2017</v>
      </c>
      <c r="K846" s="14">
        <v>9781450346559</v>
      </c>
      <c r="L846" s="18"/>
      <c r="M846" s="18"/>
      <c r="N846" s="17" t="s">
        <v>5336</v>
      </c>
      <c r="O846" s="14" t="s">
        <v>5337</v>
      </c>
      <c r="P846" s="14" t="s">
        <v>5338</v>
      </c>
      <c r="Q846" s="14" t="s">
        <v>5339</v>
      </c>
      <c r="R846" s="18"/>
      <c r="S846" s="15"/>
      <c r="T846" s="15"/>
      <c r="U846" s="15"/>
      <c r="V846" s="15"/>
    </row>
    <row r="847" spans="1:22" x14ac:dyDescent="0.25">
      <c r="A847" s="14" t="s">
        <v>141</v>
      </c>
      <c r="B847" s="14" t="s">
        <v>5340</v>
      </c>
      <c r="C847" s="14" t="s">
        <v>5341</v>
      </c>
      <c r="D847" s="18"/>
      <c r="E847" s="14">
        <v>2018</v>
      </c>
      <c r="F847" s="18"/>
      <c r="G847" s="18"/>
      <c r="H847" s="14" t="s">
        <v>5342</v>
      </c>
      <c r="I847" s="14" t="s">
        <v>257</v>
      </c>
      <c r="J847" s="14">
        <v>2018</v>
      </c>
      <c r="K847" s="14">
        <v>9781538677575</v>
      </c>
      <c r="L847" s="18"/>
      <c r="M847" s="18"/>
      <c r="N847" s="17" t="s">
        <v>5343</v>
      </c>
      <c r="O847" s="14" t="s">
        <v>5344</v>
      </c>
      <c r="P847" s="14" t="s">
        <v>5345</v>
      </c>
      <c r="Q847" s="14" t="s">
        <v>1573</v>
      </c>
      <c r="R847" s="18"/>
      <c r="S847" s="15"/>
      <c r="T847" s="15"/>
      <c r="U847" s="15"/>
      <c r="V847" s="15"/>
    </row>
    <row r="848" spans="1:22" x14ac:dyDescent="0.25">
      <c r="A848" s="14" t="s">
        <v>13</v>
      </c>
      <c r="B848" s="14" t="s">
        <v>5346</v>
      </c>
      <c r="C848" s="14" t="s">
        <v>5347</v>
      </c>
      <c r="D848" s="14" t="s">
        <v>307</v>
      </c>
      <c r="E848" s="14">
        <v>2016</v>
      </c>
      <c r="F848" s="14">
        <v>70</v>
      </c>
      <c r="G848" s="18"/>
      <c r="H848" s="14" t="s">
        <v>5348</v>
      </c>
      <c r="I848" s="14" t="s">
        <v>280</v>
      </c>
      <c r="J848" s="14">
        <v>2016</v>
      </c>
      <c r="K848" s="18"/>
      <c r="L848" s="18"/>
      <c r="M848" s="14" t="s">
        <v>308</v>
      </c>
      <c r="N848" s="17" t="s">
        <v>5349</v>
      </c>
      <c r="O848" s="14" t="s">
        <v>5350</v>
      </c>
      <c r="P848" s="14" t="s">
        <v>5351</v>
      </c>
      <c r="Q848" s="14" t="s">
        <v>4560</v>
      </c>
      <c r="R848" s="18"/>
      <c r="S848" s="15"/>
      <c r="T848" s="15"/>
      <c r="U848" s="15"/>
      <c r="V848" s="15"/>
    </row>
    <row r="849" spans="1:22" x14ac:dyDescent="0.25">
      <c r="A849" s="14" t="s">
        <v>141</v>
      </c>
      <c r="B849" s="14" t="s">
        <v>5352</v>
      </c>
      <c r="C849" s="14" t="s">
        <v>5353</v>
      </c>
      <c r="D849" s="18"/>
      <c r="E849" s="14">
        <v>2016</v>
      </c>
      <c r="F849" s="14" t="s">
        <v>5354</v>
      </c>
      <c r="G849" s="18"/>
      <c r="H849" s="18"/>
      <c r="I849" s="14" t="s">
        <v>145</v>
      </c>
      <c r="J849" s="14">
        <v>2016</v>
      </c>
      <c r="K849" s="14">
        <v>9781450336918</v>
      </c>
      <c r="L849" s="18"/>
      <c r="M849" s="18"/>
      <c r="N849" s="17" t="s">
        <v>5355</v>
      </c>
      <c r="O849" s="14" t="s">
        <v>5356</v>
      </c>
      <c r="P849" s="14" t="s">
        <v>5357</v>
      </c>
      <c r="Q849" s="14" t="s">
        <v>5358</v>
      </c>
      <c r="R849" s="18"/>
      <c r="S849" s="15"/>
      <c r="T849" s="15"/>
      <c r="U849" s="15"/>
      <c r="V849" s="15"/>
    </row>
    <row r="850" spans="1:22" x14ac:dyDescent="0.25">
      <c r="A850" s="14" t="s">
        <v>141</v>
      </c>
      <c r="B850" s="14" t="s">
        <v>5359</v>
      </c>
      <c r="C850" s="14" t="s">
        <v>5360</v>
      </c>
      <c r="D850" s="18"/>
      <c r="E850" s="14">
        <v>2018</v>
      </c>
      <c r="F850" s="18"/>
      <c r="G850" s="18"/>
      <c r="H850" s="14" t="s">
        <v>5361</v>
      </c>
      <c r="I850" s="14" t="s">
        <v>145</v>
      </c>
      <c r="J850" s="14">
        <v>2018</v>
      </c>
      <c r="K850" s="14">
        <v>9781450365031</v>
      </c>
      <c r="L850" s="18"/>
      <c r="M850" s="18"/>
      <c r="N850" s="17" t="s">
        <v>5362</v>
      </c>
      <c r="O850" s="14" t="s">
        <v>5363</v>
      </c>
      <c r="P850" s="14" t="s">
        <v>5364</v>
      </c>
      <c r="Q850" s="14" t="s">
        <v>318</v>
      </c>
      <c r="R850" s="18"/>
      <c r="S850" s="15"/>
      <c r="T850" s="15"/>
      <c r="U850" s="15"/>
      <c r="V850" s="15"/>
    </row>
    <row r="851" spans="1:22" x14ac:dyDescent="0.25">
      <c r="A851" s="14" t="s">
        <v>13</v>
      </c>
      <c r="B851" s="14" t="s">
        <v>4803</v>
      </c>
      <c r="C851" s="14" t="s">
        <v>5365</v>
      </c>
      <c r="D851" s="14" t="s">
        <v>5366</v>
      </c>
      <c r="E851" s="14">
        <v>2018</v>
      </c>
      <c r="F851" s="14">
        <v>51</v>
      </c>
      <c r="G851" s="14">
        <v>3</v>
      </c>
      <c r="H851" s="18"/>
      <c r="I851" s="14" t="s">
        <v>145</v>
      </c>
      <c r="J851" s="14">
        <v>2018</v>
      </c>
      <c r="K851" s="18"/>
      <c r="L851" s="18"/>
      <c r="M851" s="14" t="s">
        <v>5367</v>
      </c>
      <c r="N851" s="17" t="s">
        <v>5368</v>
      </c>
      <c r="O851" s="14" t="s">
        <v>5369</v>
      </c>
      <c r="P851" s="14" t="s">
        <v>5370</v>
      </c>
      <c r="Q851" s="14" t="s">
        <v>5371</v>
      </c>
      <c r="R851" s="18"/>
      <c r="S851" s="15"/>
      <c r="T851" s="15"/>
      <c r="U851" s="15"/>
      <c r="V851" s="15"/>
    </row>
    <row r="852" spans="1:22" x14ac:dyDescent="0.25">
      <c r="A852" s="14" t="s">
        <v>13</v>
      </c>
      <c r="B852" s="14" t="s">
        <v>5372</v>
      </c>
      <c r="C852" s="14" t="s">
        <v>5373</v>
      </c>
      <c r="D852" s="14" t="s">
        <v>5374</v>
      </c>
      <c r="E852" s="14">
        <v>2018</v>
      </c>
      <c r="F852" s="14">
        <v>171</v>
      </c>
      <c r="G852" s="14">
        <v>1</v>
      </c>
      <c r="H852" s="14" t="s">
        <v>5375</v>
      </c>
      <c r="I852" s="14" t="s">
        <v>5376</v>
      </c>
      <c r="J852" s="14">
        <v>2018</v>
      </c>
      <c r="K852" s="18"/>
      <c r="L852" s="18"/>
      <c r="M852" s="14" t="s">
        <v>5377</v>
      </c>
      <c r="N852" s="17" t="s">
        <v>5378</v>
      </c>
      <c r="O852" s="14" t="s">
        <v>5379</v>
      </c>
      <c r="P852" s="14" t="s">
        <v>5380</v>
      </c>
      <c r="Q852" s="14" t="s">
        <v>1573</v>
      </c>
      <c r="R852" s="18"/>
      <c r="S852" s="15"/>
      <c r="T852" s="15"/>
      <c r="U852" s="15"/>
      <c r="V852" s="15"/>
    </row>
    <row r="853" spans="1:22" x14ac:dyDescent="0.25">
      <c r="A853" s="14" t="s">
        <v>141</v>
      </c>
      <c r="B853" s="14" t="s">
        <v>5381</v>
      </c>
      <c r="C853" s="14" t="s">
        <v>5382</v>
      </c>
      <c r="D853" s="18"/>
      <c r="E853" s="14">
        <v>2017</v>
      </c>
      <c r="F853" s="21">
        <v>43009</v>
      </c>
      <c r="G853" s="18"/>
      <c r="H853" s="14" t="s">
        <v>5383</v>
      </c>
      <c r="I853" s="14" t="s">
        <v>196</v>
      </c>
      <c r="J853" s="14">
        <v>2017</v>
      </c>
      <c r="K853" s="14">
        <v>9781538609415</v>
      </c>
      <c r="L853" s="18"/>
      <c r="M853" s="14" t="s">
        <v>2680</v>
      </c>
      <c r="N853" s="17" t="s">
        <v>5384</v>
      </c>
      <c r="O853" s="14" t="s">
        <v>5385</v>
      </c>
      <c r="P853" s="14" t="s">
        <v>5386</v>
      </c>
      <c r="Q853" s="14" t="s">
        <v>5387</v>
      </c>
      <c r="R853" s="18"/>
      <c r="S853" s="15"/>
      <c r="T853" s="15"/>
      <c r="U853" s="15"/>
      <c r="V853" s="15"/>
    </row>
    <row r="854" spans="1:22" x14ac:dyDescent="0.25">
      <c r="A854" s="14" t="s">
        <v>141</v>
      </c>
      <c r="B854" s="14" t="s">
        <v>5388</v>
      </c>
      <c r="C854" s="14" t="s">
        <v>5389</v>
      </c>
      <c r="D854" s="18"/>
      <c r="E854" s="14">
        <v>2017</v>
      </c>
      <c r="F854" s="14" t="s">
        <v>5390</v>
      </c>
      <c r="G854" s="18"/>
      <c r="H854" s="14" t="s">
        <v>5391</v>
      </c>
      <c r="I854" s="14" t="s">
        <v>145</v>
      </c>
      <c r="J854" s="14">
        <v>2017</v>
      </c>
      <c r="K854" s="14">
        <v>9781450348041</v>
      </c>
      <c r="L854" s="18"/>
      <c r="M854" s="18"/>
      <c r="N854" s="17" t="s">
        <v>5392</v>
      </c>
      <c r="O854" s="14" t="s">
        <v>5393</v>
      </c>
      <c r="P854" s="14" t="s">
        <v>5394</v>
      </c>
      <c r="Q854" s="14" t="s">
        <v>1733</v>
      </c>
      <c r="R854" s="18"/>
      <c r="S854" s="15"/>
      <c r="T854" s="15"/>
      <c r="U854" s="15"/>
      <c r="V854" s="15"/>
    </row>
    <row r="855" spans="1:22" x14ac:dyDescent="0.25">
      <c r="A855" s="14" t="s">
        <v>141</v>
      </c>
      <c r="B855" s="14" t="s">
        <v>5395</v>
      </c>
      <c r="C855" s="14" t="s">
        <v>5396</v>
      </c>
      <c r="D855" s="18"/>
      <c r="E855" s="14">
        <v>2017</v>
      </c>
      <c r="F855" s="14" t="s">
        <v>5397</v>
      </c>
      <c r="G855" s="18"/>
      <c r="H855" s="14" t="s">
        <v>5398</v>
      </c>
      <c r="I855" s="14" t="s">
        <v>196</v>
      </c>
      <c r="J855" s="14">
        <v>2017</v>
      </c>
      <c r="K855" s="14">
        <v>9781509040391</v>
      </c>
      <c r="L855" s="18"/>
      <c r="M855" s="14" t="s">
        <v>197</v>
      </c>
      <c r="N855" s="17" t="s">
        <v>5399</v>
      </c>
      <c r="O855" s="14" t="s">
        <v>5400</v>
      </c>
      <c r="P855" s="14" t="s">
        <v>5401</v>
      </c>
      <c r="Q855" s="14" t="s">
        <v>2804</v>
      </c>
      <c r="R855" s="18"/>
      <c r="S855" s="15"/>
      <c r="T855" s="15"/>
      <c r="U855" s="15"/>
      <c r="V855" s="15"/>
    </row>
    <row r="856" spans="1:22" x14ac:dyDescent="0.25">
      <c r="A856" s="14" t="s">
        <v>141</v>
      </c>
      <c r="B856" s="14" t="s">
        <v>5402</v>
      </c>
      <c r="C856" s="14" t="s">
        <v>5403</v>
      </c>
      <c r="D856" s="18"/>
      <c r="E856" s="14">
        <v>2018</v>
      </c>
      <c r="F856" s="18"/>
      <c r="G856" s="18"/>
      <c r="H856" s="18"/>
      <c r="I856" s="14" t="s">
        <v>5404</v>
      </c>
      <c r="J856" s="14">
        <v>2018</v>
      </c>
      <c r="K856" s="18"/>
      <c r="L856" s="18"/>
      <c r="M856" s="18"/>
      <c r="N856" s="17" t="s">
        <v>5405</v>
      </c>
      <c r="O856" s="18"/>
      <c r="P856" s="14" t="s">
        <v>5406</v>
      </c>
      <c r="Q856" s="14" t="s">
        <v>5407</v>
      </c>
      <c r="R856" s="18"/>
      <c r="S856" s="15"/>
      <c r="T856" s="15"/>
      <c r="U856" s="15"/>
      <c r="V856" s="15"/>
    </row>
    <row r="857" spans="1:22" x14ac:dyDescent="0.25">
      <c r="A857" s="14" t="s">
        <v>539</v>
      </c>
      <c r="B857" s="14" t="s">
        <v>5408</v>
      </c>
      <c r="C857" s="14" t="s">
        <v>5409</v>
      </c>
      <c r="D857" s="18"/>
      <c r="E857" s="14">
        <v>2018</v>
      </c>
      <c r="F857" s="18"/>
      <c r="G857" s="18"/>
      <c r="H857" s="18"/>
      <c r="I857" s="14" t="s">
        <v>5410</v>
      </c>
      <c r="J857" s="14">
        <v>2018</v>
      </c>
      <c r="K857" s="14">
        <v>9783319918365</v>
      </c>
      <c r="L857" s="14">
        <v>9783319918358</v>
      </c>
      <c r="M857" s="18"/>
      <c r="N857" s="17" t="s">
        <v>5411</v>
      </c>
      <c r="O857" s="14" t="s">
        <v>5412</v>
      </c>
      <c r="P857" s="14" t="s">
        <v>5413</v>
      </c>
      <c r="Q857" s="14" t="s">
        <v>1930</v>
      </c>
      <c r="R857" s="14" t="s">
        <v>5414</v>
      </c>
      <c r="S857" s="15"/>
      <c r="T857" s="15"/>
      <c r="U857" s="15"/>
      <c r="V857" s="15"/>
    </row>
    <row r="858" spans="1:22" x14ac:dyDescent="0.25">
      <c r="A858" s="14" t="s">
        <v>141</v>
      </c>
      <c r="B858" s="14" t="s">
        <v>5415</v>
      </c>
      <c r="C858" s="14" t="s">
        <v>5416</v>
      </c>
      <c r="D858" s="18"/>
      <c r="E858" s="14">
        <v>2016</v>
      </c>
      <c r="F858" s="18"/>
      <c r="G858" s="18"/>
      <c r="H858" s="14" t="s">
        <v>5417</v>
      </c>
      <c r="I858" s="14" t="s">
        <v>257</v>
      </c>
      <c r="J858" s="14">
        <v>2016</v>
      </c>
      <c r="K858" s="14">
        <v>9781509038824</v>
      </c>
      <c r="L858" s="18"/>
      <c r="M858" s="18"/>
      <c r="N858" s="17" t="s">
        <v>5418</v>
      </c>
      <c r="O858" s="14" t="s">
        <v>5419</v>
      </c>
      <c r="P858" s="14" t="s">
        <v>5420</v>
      </c>
      <c r="Q858" s="14" t="s">
        <v>2286</v>
      </c>
      <c r="R858" s="18"/>
      <c r="S858" s="15"/>
      <c r="T858" s="15"/>
      <c r="U858" s="15"/>
      <c r="V858" s="15"/>
    </row>
    <row r="859" spans="1:22" x14ac:dyDescent="0.25">
      <c r="A859" s="14" t="s">
        <v>141</v>
      </c>
      <c r="B859" s="14" t="s">
        <v>5421</v>
      </c>
      <c r="C859" s="14" t="s">
        <v>5422</v>
      </c>
      <c r="D859" s="18"/>
      <c r="E859" s="14">
        <v>2018</v>
      </c>
      <c r="F859" s="21">
        <v>43435</v>
      </c>
      <c r="G859" s="18"/>
      <c r="H859" s="14" t="s">
        <v>5423</v>
      </c>
      <c r="I859" s="14" t="s">
        <v>196</v>
      </c>
      <c r="J859" s="14">
        <v>2018</v>
      </c>
      <c r="K859" s="14">
        <v>9781728119700</v>
      </c>
      <c r="L859" s="18"/>
      <c r="M859" s="14" t="s">
        <v>3521</v>
      </c>
      <c r="N859" s="17" t="s">
        <v>5424</v>
      </c>
      <c r="O859" s="14" t="s">
        <v>5425</v>
      </c>
      <c r="P859" s="14" t="s">
        <v>5426</v>
      </c>
      <c r="Q859" s="14" t="s">
        <v>1573</v>
      </c>
      <c r="R859" s="18"/>
      <c r="S859" s="15"/>
      <c r="T859" s="15"/>
      <c r="U859" s="15"/>
      <c r="V859" s="15"/>
    </row>
    <row r="860" spans="1:22" x14ac:dyDescent="0.25">
      <c r="A860" s="14" t="s">
        <v>13</v>
      </c>
      <c r="B860" s="14" t="s">
        <v>5427</v>
      </c>
      <c r="C860" s="14" t="s">
        <v>5428</v>
      </c>
      <c r="D860" s="14" t="s">
        <v>354</v>
      </c>
      <c r="E860" s="14">
        <v>2018</v>
      </c>
      <c r="F860" s="14">
        <v>141</v>
      </c>
      <c r="G860" s="18"/>
      <c r="H860" s="14" t="s">
        <v>5429</v>
      </c>
      <c r="I860" s="14" t="s">
        <v>355</v>
      </c>
      <c r="J860" s="14">
        <v>2018</v>
      </c>
      <c r="K860" s="18"/>
      <c r="L860" s="18"/>
      <c r="M860" s="14" t="s">
        <v>65</v>
      </c>
      <c r="N860" s="17" t="s">
        <v>5430</v>
      </c>
      <c r="O860" s="14" t="s">
        <v>5431</v>
      </c>
      <c r="P860" s="14" t="s">
        <v>5432</v>
      </c>
      <c r="Q860" s="14" t="s">
        <v>5433</v>
      </c>
      <c r="R860" s="18"/>
      <c r="S860" s="15"/>
      <c r="T860" s="15"/>
      <c r="U860" s="15"/>
      <c r="V860" s="15"/>
    </row>
    <row r="861" spans="1:22" x14ac:dyDescent="0.25">
      <c r="A861" s="14" t="s">
        <v>141</v>
      </c>
      <c r="B861" s="14" t="s">
        <v>5434</v>
      </c>
      <c r="C861" s="14" t="s">
        <v>5435</v>
      </c>
      <c r="D861" s="18"/>
      <c r="E861" s="14">
        <v>2017</v>
      </c>
      <c r="F861" s="18"/>
      <c r="G861" s="18"/>
      <c r="H861" s="14" t="s">
        <v>850</v>
      </c>
      <c r="I861" s="14" t="s">
        <v>153</v>
      </c>
      <c r="J861" s="14">
        <v>2017</v>
      </c>
      <c r="K861" s="14">
        <v>9781450352024</v>
      </c>
      <c r="L861" s="18"/>
      <c r="M861" s="18"/>
      <c r="N861" s="17" t="s">
        <v>5436</v>
      </c>
      <c r="O861" s="14" t="s">
        <v>5437</v>
      </c>
      <c r="P861" s="14" t="s">
        <v>5438</v>
      </c>
      <c r="Q861" s="14" t="s">
        <v>5439</v>
      </c>
      <c r="R861" s="18"/>
      <c r="S861" s="15"/>
      <c r="T861" s="15"/>
      <c r="U861" s="15"/>
      <c r="V861" s="15"/>
    </row>
    <row r="862" spans="1:22" x14ac:dyDescent="0.25">
      <c r="A862" s="14" t="s">
        <v>141</v>
      </c>
      <c r="B862" s="14" t="s">
        <v>5440</v>
      </c>
      <c r="C862" s="14" t="s">
        <v>5441</v>
      </c>
      <c r="D862" s="18"/>
      <c r="E862" s="14">
        <v>2017</v>
      </c>
      <c r="F862" s="18"/>
      <c r="G862" s="18"/>
      <c r="H862" s="14" t="s">
        <v>5442</v>
      </c>
      <c r="I862" s="14" t="s">
        <v>196</v>
      </c>
      <c r="J862" s="14">
        <v>2017</v>
      </c>
      <c r="K862" s="14">
        <v>9781538605356</v>
      </c>
      <c r="L862" s="18"/>
      <c r="M862" s="18"/>
      <c r="N862" s="17" t="s">
        <v>5443</v>
      </c>
      <c r="O862" s="14" t="s">
        <v>5444</v>
      </c>
      <c r="P862" s="14" t="s">
        <v>5445</v>
      </c>
      <c r="Q862" s="14" t="s">
        <v>2110</v>
      </c>
      <c r="R862" s="18"/>
      <c r="S862" s="15"/>
      <c r="T862" s="15"/>
      <c r="U862" s="15"/>
      <c r="V862" s="15"/>
    </row>
    <row r="863" spans="1:22" x14ac:dyDescent="0.25">
      <c r="A863" s="14" t="s">
        <v>141</v>
      </c>
      <c r="B863" s="14" t="s">
        <v>5446</v>
      </c>
      <c r="C863" s="14" t="s">
        <v>5447</v>
      </c>
      <c r="D863" s="18"/>
      <c r="E863" s="14">
        <v>2016</v>
      </c>
      <c r="F863" s="14">
        <v>1771</v>
      </c>
      <c r="G863" s="18"/>
      <c r="H863" s="14" t="s">
        <v>5448</v>
      </c>
      <c r="I863" s="14" t="s">
        <v>613</v>
      </c>
      <c r="J863" s="14">
        <v>2016</v>
      </c>
      <c r="K863" s="18"/>
      <c r="L863" s="18"/>
      <c r="M863" s="14" t="s">
        <v>614</v>
      </c>
      <c r="N863" s="17" t="s">
        <v>5449</v>
      </c>
      <c r="O863" s="18"/>
      <c r="P863" s="14" t="s">
        <v>5450</v>
      </c>
      <c r="Q863" s="14" t="s">
        <v>2110</v>
      </c>
      <c r="R863" s="18"/>
      <c r="S863" s="15"/>
      <c r="T863" s="15"/>
      <c r="U863" s="15"/>
      <c r="V863" s="15"/>
    </row>
    <row r="864" spans="1:22" x14ac:dyDescent="0.25">
      <c r="A864" s="14" t="s">
        <v>141</v>
      </c>
      <c r="B864" s="14" t="s">
        <v>5451</v>
      </c>
      <c r="C864" s="14" t="s">
        <v>5452</v>
      </c>
      <c r="D864" s="18"/>
      <c r="E864" s="14">
        <v>2017</v>
      </c>
      <c r="F864" s="18"/>
      <c r="G864" s="18"/>
      <c r="H864" s="14" t="s">
        <v>5453</v>
      </c>
      <c r="I864" s="14" t="s">
        <v>153</v>
      </c>
      <c r="J864" s="14">
        <v>2017</v>
      </c>
      <c r="K864" s="14">
        <v>9781450355698</v>
      </c>
      <c r="L864" s="18"/>
      <c r="M864" s="18"/>
      <c r="N864" s="17" t="s">
        <v>5454</v>
      </c>
      <c r="O864" s="14" t="s">
        <v>5455</v>
      </c>
      <c r="P864" s="14" t="s">
        <v>5456</v>
      </c>
      <c r="Q864" s="14" t="s">
        <v>2811</v>
      </c>
      <c r="R864" s="18"/>
      <c r="S864" s="15"/>
      <c r="T864" s="15"/>
      <c r="U864" s="15"/>
      <c r="V864" s="15"/>
    </row>
    <row r="865" spans="1:22" x14ac:dyDescent="0.25">
      <c r="A865" s="14" t="s">
        <v>141</v>
      </c>
      <c r="B865" s="14" t="s">
        <v>5457</v>
      </c>
      <c r="C865" s="14" t="s">
        <v>5458</v>
      </c>
      <c r="D865" s="18"/>
      <c r="E865" s="14">
        <v>2016</v>
      </c>
      <c r="F865" s="14" t="s">
        <v>5459</v>
      </c>
      <c r="G865" s="18"/>
      <c r="H865" s="14" t="s">
        <v>5460</v>
      </c>
      <c r="I865" s="14" t="s">
        <v>196</v>
      </c>
      <c r="J865" s="14">
        <v>2016</v>
      </c>
      <c r="K865" s="14">
        <v>9781450339001</v>
      </c>
      <c r="L865" s="14">
        <v>9781450342056</v>
      </c>
      <c r="M865" s="14" t="s">
        <v>1458</v>
      </c>
      <c r="N865" s="17" t="s">
        <v>5461</v>
      </c>
      <c r="O865" s="14" t="s">
        <v>5462</v>
      </c>
      <c r="P865" s="14" t="s">
        <v>5463</v>
      </c>
      <c r="Q865" s="14" t="s">
        <v>5464</v>
      </c>
      <c r="R865" s="18"/>
      <c r="S865" s="15"/>
      <c r="T865" s="15"/>
      <c r="U865" s="15"/>
      <c r="V865" s="15"/>
    </row>
    <row r="866" spans="1:22" x14ac:dyDescent="0.25">
      <c r="A866" s="14" t="s">
        <v>13</v>
      </c>
      <c r="B866" s="14" t="s">
        <v>5465</v>
      </c>
      <c r="C866" s="14" t="s">
        <v>5466</v>
      </c>
      <c r="D866" s="14" t="s">
        <v>307</v>
      </c>
      <c r="E866" s="14">
        <v>2015</v>
      </c>
      <c r="F866" s="14">
        <v>57</v>
      </c>
      <c r="G866" s="14">
        <v>1</v>
      </c>
      <c r="H866" s="14" t="s">
        <v>5467</v>
      </c>
      <c r="I866" s="14" t="s">
        <v>280</v>
      </c>
      <c r="J866" s="14">
        <v>2015</v>
      </c>
      <c r="K866" s="18"/>
      <c r="L866" s="18"/>
      <c r="M866" s="14" t="s">
        <v>308</v>
      </c>
      <c r="N866" s="17" t="s">
        <v>5468</v>
      </c>
      <c r="O866" s="14" t="s">
        <v>5469</v>
      </c>
      <c r="P866" s="14" t="s">
        <v>5470</v>
      </c>
      <c r="Q866" s="14" t="s">
        <v>747</v>
      </c>
      <c r="R866" s="18"/>
      <c r="S866" s="15"/>
      <c r="T866" s="15"/>
      <c r="U866" s="15"/>
      <c r="V866" s="15"/>
    </row>
    <row r="867" spans="1:22" x14ac:dyDescent="0.25">
      <c r="A867" s="14" t="s">
        <v>141</v>
      </c>
      <c r="B867" s="14" t="s">
        <v>5471</v>
      </c>
      <c r="C867" s="14" t="s">
        <v>5472</v>
      </c>
      <c r="D867" s="18"/>
      <c r="E867" s="14">
        <v>2016</v>
      </c>
      <c r="F867" s="18"/>
      <c r="G867" s="18"/>
      <c r="H867" s="14" t="s">
        <v>5473</v>
      </c>
      <c r="I867" s="14" t="s">
        <v>257</v>
      </c>
      <c r="J867" s="14">
        <v>2016</v>
      </c>
      <c r="K867" s="14">
        <v>9781467390040</v>
      </c>
      <c r="L867" s="18"/>
      <c r="M867" s="18"/>
      <c r="N867" s="17" t="s">
        <v>5474</v>
      </c>
      <c r="O867" s="14" t="s">
        <v>5475</v>
      </c>
      <c r="P867" s="14" t="s">
        <v>5476</v>
      </c>
      <c r="Q867" s="14" t="s">
        <v>2110</v>
      </c>
      <c r="R867" s="18"/>
      <c r="S867" s="15"/>
      <c r="T867" s="15"/>
      <c r="U867" s="15"/>
      <c r="V867" s="15"/>
    </row>
    <row r="868" spans="1:22" x14ac:dyDescent="0.25">
      <c r="A868" s="14" t="s">
        <v>141</v>
      </c>
      <c r="B868" s="14" t="s">
        <v>5477</v>
      </c>
      <c r="C868" s="14" t="s">
        <v>5478</v>
      </c>
      <c r="D868" s="18"/>
      <c r="E868" s="14">
        <v>2018</v>
      </c>
      <c r="F868" s="18"/>
      <c r="G868" s="18"/>
      <c r="H868" s="14" t="s">
        <v>4489</v>
      </c>
      <c r="I868" s="14" t="s">
        <v>196</v>
      </c>
      <c r="J868" s="14">
        <v>2018</v>
      </c>
      <c r="K868" s="14">
        <v>9781450357135</v>
      </c>
      <c r="L868" s="18"/>
      <c r="M868" s="14" t="s">
        <v>1458</v>
      </c>
      <c r="N868" s="17" t="s">
        <v>5479</v>
      </c>
      <c r="O868" s="14" t="s">
        <v>5480</v>
      </c>
      <c r="P868" s="14" t="s">
        <v>5481</v>
      </c>
      <c r="Q868" s="14" t="s">
        <v>4286</v>
      </c>
      <c r="R868" s="18"/>
      <c r="S868" s="15"/>
      <c r="T868" s="15"/>
      <c r="U868" s="15"/>
      <c r="V868" s="15"/>
    </row>
    <row r="869" spans="1:22" x14ac:dyDescent="0.25">
      <c r="A869" s="14" t="s">
        <v>141</v>
      </c>
      <c r="B869" s="14" t="s">
        <v>5482</v>
      </c>
      <c r="C869" s="14" t="s">
        <v>5483</v>
      </c>
      <c r="D869" s="18"/>
      <c r="E869" s="14">
        <v>2015</v>
      </c>
      <c r="F869" s="21">
        <v>42005</v>
      </c>
      <c r="G869" s="18"/>
      <c r="H869" s="14" t="s">
        <v>5484</v>
      </c>
      <c r="I869" s="14" t="s">
        <v>3301</v>
      </c>
      <c r="J869" s="14">
        <v>2015</v>
      </c>
      <c r="K869" s="18"/>
      <c r="L869" s="18"/>
      <c r="M869" s="14" t="s">
        <v>3302</v>
      </c>
      <c r="N869" s="17" t="s">
        <v>5485</v>
      </c>
      <c r="O869" s="18"/>
      <c r="P869" s="14" t="s">
        <v>5486</v>
      </c>
      <c r="Q869" s="14" t="s">
        <v>5487</v>
      </c>
      <c r="R869" s="18"/>
      <c r="S869" s="15"/>
      <c r="T869" s="15"/>
      <c r="U869" s="15"/>
      <c r="V869" s="15"/>
    </row>
    <row r="870" spans="1:22" x14ac:dyDescent="0.25">
      <c r="A870" s="14" t="s">
        <v>13</v>
      </c>
      <c r="B870" s="14" t="s">
        <v>5488</v>
      </c>
      <c r="C870" s="14" t="s">
        <v>5489</v>
      </c>
      <c r="D870" s="14" t="s">
        <v>354</v>
      </c>
      <c r="E870" s="14">
        <v>2017</v>
      </c>
      <c r="F870" s="14">
        <v>125</v>
      </c>
      <c r="G870" s="18"/>
      <c r="H870" s="14" t="s">
        <v>5490</v>
      </c>
      <c r="I870" s="14" t="s">
        <v>355</v>
      </c>
      <c r="J870" s="14">
        <v>2017</v>
      </c>
      <c r="K870" s="18"/>
      <c r="L870" s="18"/>
      <c r="M870" s="14" t="s">
        <v>65</v>
      </c>
      <c r="N870" s="17" t="s">
        <v>5491</v>
      </c>
      <c r="O870" s="14" t="s">
        <v>5492</v>
      </c>
      <c r="P870" s="14" t="s">
        <v>5493</v>
      </c>
      <c r="Q870" s="14" t="s">
        <v>5494</v>
      </c>
      <c r="R870" s="18"/>
      <c r="S870" s="15"/>
      <c r="T870" s="15"/>
      <c r="U870" s="15"/>
      <c r="V870" s="15"/>
    </row>
    <row r="871" spans="1:22" x14ac:dyDescent="0.25">
      <c r="A871" s="14" t="s">
        <v>141</v>
      </c>
      <c r="B871" s="14" t="s">
        <v>5495</v>
      </c>
      <c r="C871" s="14" t="s">
        <v>5496</v>
      </c>
      <c r="D871" s="18"/>
      <c r="E871" s="14">
        <v>2017</v>
      </c>
      <c r="F871" s="18"/>
      <c r="G871" s="18"/>
      <c r="H871" s="14" t="s">
        <v>5497</v>
      </c>
      <c r="I871" s="14" t="s">
        <v>257</v>
      </c>
      <c r="J871" s="14">
        <v>2017</v>
      </c>
      <c r="K871" s="14">
        <v>9781509065974</v>
      </c>
      <c r="L871" s="18"/>
      <c r="M871" s="18"/>
      <c r="N871" s="17" t="s">
        <v>5498</v>
      </c>
      <c r="O871" s="14" t="s">
        <v>5499</v>
      </c>
      <c r="P871" s="14" t="s">
        <v>5500</v>
      </c>
      <c r="Q871" s="14" t="s">
        <v>4581</v>
      </c>
      <c r="R871" s="18"/>
      <c r="S871" s="15"/>
      <c r="T871" s="15"/>
      <c r="U871" s="15"/>
      <c r="V871" s="15"/>
    </row>
    <row r="872" spans="1:22" x14ac:dyDescent="0.25">
      <c r="A872" s="14" t="s">
        <v>141</v>
      </c>
      <c r="B872" s="14" t="s">
        <v>5501</v>
      </c>
      <c r="C872" s="14" t="s">
        <v>5502</v>
      </c>
      <c r="D872" s="18"/>
      <c r="E872" s="14">
        <v>2015</v>
      </c>
      <c r="F872" s="21">
        <v>42217</v>
      </c>
      <c r="G872" s="18"/>
      <c r="H872" s="14" t="s">
        <v>5503</v>
      </c>
      <c r="I872" s="14" t="s">
        <v>145</v>
      </c>
      <c r="J872" s="14">
        <v>2015</v>
      </c>
      <c r="K872" s="14">
        <v>9781450336642</v>
      </c>
      <c r="L872" s="18"/>
      <c r="M872" s="18"/>
      <c r="N872" s="17" t="s">
        <v>5504</v>
      </c>
      <c r="O872" s="14" t="s">
        <v>5505</v>
      </c>
      <c r="P872" s="14" t="s">
        <v>5506</v>
      </c>
      <c r="Q872" s="14" t="s">
        <v>4393</v>
      </c>
      <c r="R872" s="18"/>
      <c r="S872" s="15"/>
      <c r="T872" s="15"/>
      <c r="U872" s="15"/>
      <c r="V872" s="15"/>
    </row>
    <row r="873" spans="1:22" x14ac:dyDescent="0.25">
      <c r="A873" s="14" t="s">
        <v>141</v>
      </c>
      <c r="B873" s="14" t="s">
        <v>2972</v>
      </c>
      <c r="C873" s="14" t="s">
        <v>5507</v>
      </c>
      <c r="D873" s="18"/>
      <c r="E873" s="14">
        <v>2018</v>
      </c>
      <c r="F873" s="18"/>
      <c r="G873" s="18"/>
      <c r="H873" s="14" t="s">
        <v>2496</v>
      </c>
      <c r="I873" s="14" t="s">
        <v>196</v>
      </c>
      <c r="J873" s="14">
        <v>2018</v>
      </c>
      <c r="K873" s="14">
        <v>9781450357135</v>
      </c>
      <c r="L873" s="18"/>
      <c r="M873" s="14" t="s">
        <v>1458</v>
      </c>
      <c r="N873" s="17" t="s">
        <v>5508</v>
      </c>
      <c r="O873" s="14" t="s">
        <v>5509</v>
      </c>
      <c r="P873" s="14" t="s">
        <v>5510</v>
      </c>
      <c r="Q873" s="14" t="s">
        <v>2723</v>
      </c>
      <c r="R873" s="18"/>
      <c r="S873" s="15"/>
      <c r="T873" s="15"/>
      <c r="U873" s="15"/>
      <c r="V873" s="15"/>
    </row>
    <row r="874" spans="1:22" x14ac:dyDescent="0.25">
      <c r="A874" s="14" t="s">
        <v>13</v>
      </c>
      <c r="B874" s="14" t="s">
        <v>14</v>
      </c>
      <c r="C874" s="14" t="s">
        <v>15</v>
      </c>
      <c r="D874" s="14" t="s">
        <v>255</v>
      </c>
      <c r="E874" s="14">
        <v>2017</v>
      </c>
      <c r="F874" s="14">
        <v>43</v>
      </c>
      <c r="G874" s="14">
        <v>11</v>
      </c>
      <c r="H874" s="14" t="s">
        <v>5511</v>
      </c>
      <c r="I874" s="14" t="s">
        <v>257</v>
      </c>
      <c r="J874" s="14">
        <v>2017</v>
      </c>
      <c r="K874" s="18"/>
      <c r="L874" s="18"/>
      <c r="M874" s="14" t="s">
        <v>18</v>
      </c>
      <c r="N874" s="17" t="s">
        <v>5512</v>
      </c>
      <c r="O874" s="14" t="s">
        <v>20</v>
      </c>
      <c r="P874" s="14" t="s">
        <v>5513</v>
      </c>
      <c r="Q874" s="14" t="s">
        <v>5514</v>
      </c>
      <c r="R874" s="18"/>
      <c r="S874" s="15"/>
      <c r="T874" s="15"/>
      <c r="U874" s="15"/>
      <c r="V874" s="15"/>
    </row>
    <row r="875" spans="1:22" x14ac:dyDescent="0.25">
      <c r="A875" s="14" t="s">
        <v>13</v>
      </c>
      <c r="B875" s="14" t="s">
        <v>5515</v>
      </c>
      <c r="C875" s="14" t="s">
        <v>5516</v>
      </c>
      <c r="D875" s="14" t="s">
        <v>5517</v>
      </c>
      <c r="E875" s="14">
        <v>2012</v>
      </c>
      <c r="F875" s="14">
        <v>4</v>
      </c>
      <c r="G875" s="14">
        <v>19</v>
      </c>
      <c r="H875" s="14" t="s">
        <v>5518</v>
      </c>
      <c r="I875" s="14" t="s">
        <v>5519</v>
      </c>
      <c r="J875" s="14">
        <v>2012</v>
      </c>
      <c r="K875" s="18"/>
      <c r="L875" s="18"/>
      <c r="M875" s="14" t="s">
        <v>5520</v>
      </c>
      <c r="N875" s="17" t="s">
        <v>5521</v>
      </c>
      <c r="O875" s="14" t="s">
        <v>5522</v>
      </c>
      <c r="P875" s="14" t="s">
        <v>5523</v>
      </c>
      <c r="Q875" s="14" t="s">
        <v>1930</v>
      </c>
      <c r="R875" s="18"/>
      <c r="S875" s="15"/>
      <c r="T875" s="15"/>
      <c r="U875" s="15"/>
      <c r="V875" s="15"/>
    </row>
    <row r="876" spans="1:22" x14ac:dyDescent="0.25">
      <c r="A876" s="14" t="s">
        <v>13</v>
      </c>
      <c r="B876" s="14" t="s">
        <v>5524</v>
      </c>
      <c r="C876" s="14" t="s">
        <v>5525</v>
      </c>
      <c r="D876" s="14" t="s">
        <v>5526</v>
      </c>
      <c r="E876" s="14">
        <v>2017</v>
      </c>
      <c r="F876" s="14">
        <v>128</v>
      </c>
      <c r="G876" s="18"/>
      <c r="H876" s="14" t="s">
        <v>5527</v>
      </c>
      <c r="I876" s="14" t="s">
        <v>280</v>
      </c>
      <c r="J876" s="14">
        <v>2017</v>
      </c>
      <c r="K876" s="18"/>
      <c r="L876" s="18"/>
      <c r="M876" s="14" t="s">
        <v>5528</v>
      </c>
      <c r="N876" s="17" t="s">
        <v>5529</v>
      </c>
      <c r="O876" s="14" t="s">
        <v>5530</v>
      </c>
      <c r="P876" s="14" t="s">
        <v>5531</v>
      </c>
      <c r="Q876" s="14" t="s">
        <v>5532</v>
      </c>
      <c r="R876" s="18"/>
      <c r="S876" s="15"/>
      <c r="T876" s="15"/>
      <c r="U876" s="15"/>
      <c r="V876" s="15"/>
    </row>
    <row r="877" spans="1:22" x14ac:dyDescent="0.25">
      <c r="A877" s="14" t="s">
        <v>141</v>
      </c>
      <c r="B877" s="14" t="s">
        <v>5533</v>
      </c>
      <c r="C877" s="14" t="s">
        <v>5534</v>
      </c>
      <c r="D877" s="18"/>
      <c r="E877" s="14">
        <v>2017</v>
      </c>
      <c r="F877" s="14" t="s">
        <v>5535</v>
      </c>
      <c r="G877" s="18"/>
      <c r="H877" s="14" t="s">
        <v>5536</v>
      </c>
      <c r="I877" s="14" t="s">
        <v>145</v>
      </c>
      <c r="J877" s="14">
        <v>2017</v>
      </c>
      <c r="K877" s="14">
        <v>9781450341974</v>
      </c>
      <c r="L877" s="18"/>
      <c r="M877" s="14" t="s">
        <v>3308</v>
      </c>
      <c r="N877" s="17" t="s">
        <v>5537</v>
      </c>
      <c r="O877" s="14" t="s">
        <v>5538</v>
      </c>
      <c r="P877" s="14" t="s">
        <v>5539</v>
      </c>
      <c r="Q877" s="14" t="s">
        <v>5540</v>
      </c>
      <c r="R877" s="18"/>
      <c r="S877" s="15"/>
      <c r="T877" s="15"/>
      <c r="U877" s="15"/>
      <c r="V877" s="15"/>
    </row>
    <row r="878" spans="1:22" x14ac:dyDescent="0.25">
      <c r="A878" s="14" t="s">
        <v>13</v>
      </c>
      <c r="B878" s="14" t="s">
        <v>5541</v>
      </c>
      <c r="C878" s="14" t="s">
        <v>5542</v>
      </c>
      <c r="D878" s="14" t="s">
        <v>5543</v>
      </c>
      <c r="E878" s="14">
        <v>2018</v>
      </c>
      <c r="F878" s="14">
        <v>10</v>
      </c>
      <c r="G878" s="14" t="s">
        <v>5544</v>
      </c>
      <c r="H878" s="14" t="s">
        <v>3248</v>
      </c>
      <c r="I878" s="14" t="s">
        <v>5545</v>
      </c>
      <c r="J878" s="14">
        <v>2018</v>
      </c>
      <c r="K878" s="18"/>
      <c r="L878" s="18"/>
      <c r="M878" s="14" t="s">
        <v>5546</v>
      </c>
      <c r="N878" s="17" t="s">
        <v>5547</v>
      </c>
      <c r="O878" s="18"/>
      <c r="P878" s="14" t="s">
        <v>5548</v>
      </c>
      <c r="Q878" s="14" t="s">
        <v>157</v>
      </c>
      <c r="R878" s="18"/>
      <c r="S878" s="15"/>
      <c r="T878" s="15"/>
      <c r="U878" s="15"/>
      <c r="V878" s="15"/>
    </row>
    <row r="879" spans="1:22" x14ac:dyDescent="0.25">
      <c r="A879" s="14" t="s">
        <v>141</v>
      </c>
      <c r="B879" s="14" t="s">
        <v>5549</v>
      </c>
      <c r="C879" s="14" t="s">
        <v>5550</v>
      </c>
      <c r="D879" s="18"/>
      <c r="E879" s="14">
        <v>2018</v>
      </c>
      <c r="F879" s="18"/>
      <c r="G879" s="18"/>
      <c r="H879" s="14" t="s">
        <v>5551</v>
      </c>
      <c r="I879" s="14" t="s">
        <v>5552</v>
      </c>
      <c r="J879" s="14">
        <v>2018</v>
      </c>
      <c r="K879" s="14">
        <v>9781577358008</v>
      </c>
      <c r="L879" s="18"/>
      <c r="M879" s="18"/>
      <c r="N879" s="17" t="s">
        <v>5553</v>
      </c>
      <c r="O879" s="18"/>
      <c r="P879" s="14" t="s">
        <v>5554</v>
      </c>
      <c r="Q879" s="14" t="s">
        <v>5555</v>
      </c>
      <c r="R879" s="18"/>
      <c r="S879" s="15"/>
      <c r="T879" s="15"/>
      <c r="U879" s="15"/>
      <c r="V879" s="15"/>
    </row>
    <row r="880" spans="1:22" x14ac:dyDescent="0.25">
      <c r="A880" s="14" t="s">
        <v>141</v>
      </c>
      <c r="B880" s="14" t="s">
        <v>5556</v>
      </c>
      <c r="C880" s="14" t="s">
        <v>5557</v>
      </c>
      <c r="D880" s="18"/>
      <c r="E880" s="14">
        <v>2017</v>
      </c>
      <c r="F880" s="18"/>
      <c r="G880" s="18"/>
      <c r="H880" s="14" t="s">
        <v>1977</v>
      </c>
      <c r="I880" s="14" t="s">
        <v>257</v>
      </c>
      <c r="J880" s="14">
        <v>2017</v>
      </c>
      <c r="K880" s="14">
        <v>9789531842235</v>
      </c>
      <c r="L880" s="18"/>
      <c r="M880" s="18"/>
      <c r="N880" s="17" t="s">
        <v>5558</v>
      </c>
      <c r="O880" s="14" t="s">
        <v>5559</v>
      </c>
      <c r="P880" s="14" t="s">
        <v>5560</v>
      </c>
      <c r="Q880" s="14" t="s">
        <v>1573</v>
      </c>
      <c r="R880" s="18"/>
      <c r="S880" s="15"/>
      <c r="T880" s="15"/>
      <c r="U880" s="15"/>
      <c r="V880" s="15"/>
    </row>
    <row r="881" spans="1:22" x14ac:dyDescent="0.25">
      <c r="A881" s="14" t="s">
        <v>141</v>
      </c>
      <c r="B881" s="14" t="s">
        <v>5561</v>
      </c>
      <c r="C881" s="14" t="s">
        <v>5562</v>
      </c>
      <c r="D881" s="18"/>
      <c r="E881" s="14">
        <v>2017</v>
      </c>
      <c r="F881" s="14">
        <v>1810</v>
      </c>
      <c r="G881" s="18"/>
      <c r="H881" s="18"/>
      <c r="I881" s="14" t="s">
        <v>613</v>
      </c>
      <c r="J881" s="14">
        <v>2017</v>
      </c>
      <c r="K881" s="18"/>
      <c r="L881" s="18"/>
      <c r="M881" s="14" t="s">
        <v>614</v>
      </c>
      <c r="N881" s="17" t="s">
        <v>5563</v>
      </c>
      <c r="O881" s="18"/>
      <c r="P881" s="14" t="s">
        <v>5564</v>
      </c>
      <c r="Q881" s="14" t="s">
        <v>157</v>
      </c>
      <c r="R881" s="18"/>
      <c r="S881" s="15"/>
      <c r="T881" s="15"/>
      <c r="U881" s="15"/>
      <c r="V881" s="15"/>
    </row>
    <row r="882" spans="1:22" x14ac:dyDescent="0.25">
      <c r="A882" s="14" t="s">
        <v>13</v>
      </c>
      <c r="B882" s="14" t="s">
        <v>5565</v>
      </c>
      <c r="C882" s="14" t="s">
        <v>5566</v>
      </c>
      <c r="D882" s="14" t="s">
        <v>598</v>
      </c>
      <c r="E882" s="14">
        <v>2018</v>
      </c>
      <c r="F882" s="14">
        <v>29</v>
      </c>
      <c r="G882" s="14">
        <v>5</v>
      </c>
      <c r="H882" s="14" t="s">
        <v>5567</v>
      </c>
      <c r="I882" s="14" t="s">
        <v>600</v>
      </c>
      <c r="J882" s="14">
        <v>2018</v>
      </c>
      <c r="K882" s="18"/>
      <c r="L882" s="18"/>
      <c r="M882" s="14" t="s">
        <v>601</v>
      </c>
      <c r="N882" s="17" t="s">
        <v>5568</v>
      </c>
      <c r="O882" s="14" t="s">
        <v>5569</v>
      </c>
      <c r="P882" s="14" t="s">
        <v>5570</v>
      </c>
      <c r="Q882" s="14" t="s">
        <v>2723</v>
      </c>
      <c r="R882" s="18"/>
      <c r="S882" s="15"/>
      <c r="T882" s="15"/>
      <c r="U882" s="15"/>
      <c r="V882" s="15"/>
    </row>
    <row r="883" spans="1:22" x14ac:dyDescent="0.25">
      <c r="A883" s="14" t="s">
        <v>539</v>
      </c>
      <c r="B883" s="14" t="s">
        <v>5571</v>
      </c>
      <c r="C883" s="14" t="s">
        <v>5572</v>
      </c>
      <c r="D883" s="18"/>
      <c r="E883" s="14">
        <v>2014</v>
      </c>
      <c r="F883" s="18"/>
      <c r="G883" s="18"/>
      <c r="H883" s="18"/>
      <c r="I883" s="14" t="s">
        <v>5573</v>
      </c>
      <c r="J883" s="14">
        <v>2014</v>
      </c>
      <c r="K883" s="14">
        <v>9783642453984</v>
      </c>
      <c r="L883" s="14">
        <v>9783642453977</v>
      </c>
      <c r="M883" s="18"/>
      <c r="N883" s="17" t="s">
        <v>5574</v>
      </c>
      <c r="O883" s="14" t="s">
        <v>5575</v>
      </c>
      <c r="P883" s="14" t="s">
        <v>5576</v>
      </c>
      <c r="Q883" s="14" t="s">
        <v>5577</v>
      </c>
      <c r="R883" s="14" t="s">
        <v>5578</v>
      </c>
      <c r="S883" s="15"/>
      <c r="T883" s="15"/>
      <c r="U883" s="15"/>
      <c r="V883" s="15"/>
    </row>
    <row r="884" spans="1:22" x14ac:dyDescent="0.25">
      <c r="A884" s="14" t="s">
        <v>141</v>
      </c>
      <c r="B884" s="14" t="s">
        <v>5579</v>
      </c>
      <c r="C884" s="14" t="s">
        <v>5580</v>
      </c>
      <c r="D884" s="18"/>
      <c r="E884" s="14">
        <v>2017</v>
      </c>
      <c r="F884" s="14">
        <v>2017</v>
      </c>
      <c r="G884" s="18"/>
      <c r="H884" s="14" t="s">
        <v>5581</v>
      </c>
      <c r="I884" s="14" t="s">
        <v>613</v>
      </c>
      <c r="J884" s="14">
        <v>2017</v>
      </c>
      <c r="K884" s="18"/>
      <c r="L884" s="18"/>
      <c r="M884" s="14" t="s">
        <v>614</v>
      </c>
      <c r="N884" s="17" t="s">
        <v>5582</v>
      </c>
      <c r="O884" s="18"/>
      <c r="P884" s="14" t="s">
        <v>5583</v>
      </c>
      <c r="Q884" s="14" t="s">
        <v>2110</v>
      </c>
      <c r="R884" s="18"/>
      <c r="S884" s="15"/>
      <c r="T884" s="15"/>
      <c r="U884" s="15"/>
      <c r="V884" s="15"/>
    </row>
    <row r="885" spans="1:22" x14ac:dyDescent="0.25">
      <c r="A885" s="14" t="s">
        <v>141</v>
      </c>
      <c r="B885" s="14" t="s">
        <v>5584</v>
      </c>
      <c r="C885" s="14" t="s">
        <v>5585</v>
      </c>
      <c r="D885" s="18"/>
      <c r="E885" s="14">
        <v>2018</v>
      </c>
      <c r="F885" s="14">
        <v>2291</v>
      </c>
      <c r="G885" s="18"/>
      <c r="H885" s="14" t="s">
        <v>5586</v>
      </c>
      <c r="I885" s="14" t="s">
        <v>613</v>
      </c>
      <c r="J885" s="14">
        <v>2018</v>
      </c>
      <c r="K885" s="18"/>
      <c r="L885" s="18"/>
      <c r="M885" s="14" t="s">
        <v>614</v>
      </c>
      <c r="N885" s="17" t="s">
        <v>5587</v>
      </c>
      <c r="O885" s="18"/>
      <c r="P885" s="14" t="s">
        <v>5588</v>
      </c>
      <c r="Q885" s="14" t="s">
        <v>157</v>
      </c>
      <c r="R885" s="18"/>
      <c r="S885" s="15"/>
      <c r="T885" s="15"/>
      <c r="U885" s="15"/>
      <c r="V885" s="15"/>
    </row>
    <row r="886" spans="1:22" x14ac:dyDescent="0.25">
      <c r="A886" s="14" t="s">
        <v>141</v>
      </c>
      <c r="B886" s="14" t="s">
        <v>5589</v>
      </c>
      <c r="C886" s="14" t="s">
        <v>5590</v>
      </c>
      <c r="D886" s="18"/>
      <c r="E886" s="14">
        <v>2018</v>
      </c>
      <c r="F886" s="18"/>
      <c r="G886" s="18"/>
      <c r="H886" s="14" t="s">
        <v>5591</v>
      </c>
      <c r="I886" s="14" t="s">
        <v>257</v>
      </c>
      <c r="J886" s="14">
        <v>2018</v>
      </c>
      <c r="K886" s="14">
        <v>9781538673829</v>
      </c>
      <c r="L886" s="18"/>
      <c r="M886" s="18"/>
      <c r="N886" s="17" t="s">
        <v>5592</v>
      </c>
      <c r="O886" s="14" t="s">
        <v>5593</v>
      </c>
      <c r="P886" s="14" t="s">
        <v>5594</v>
      </c>
      <c r="Q886" s="14" t="s">
        <v>5595</v>
      </c>
      <c r="R886" s="18"/>
      <c r="S886" s="15"/>
      <c r="T886" s="15"/>
      <c r="U886" s="15"/>
      <c r="V886" s="15"/>
    </row>
    <row r="887" spans="1:22" x14ac:dyDescent="0.25">
      <c r="A887" s="14" t="s">
        <v>141</v>
      </c>
      <c r="B887" s="14" t="s">
        <v>5596</v>
      </c>
      <c r="C887" s="14" t="s">
        <v>5597</v>
      </c>
      <c r="D887" s="18"/>
      <c r="E887" s="14">
        <v>2018</v>
      </c>
      <c r="F887" s="18"/>
      <c r="G887" s="18"/>
      <c r="H887" s="14" t="s">
        <v>5598</v>
      </c>
      <c r="I887" s="14" t="s">
        <v>145</v>
      </c>
      <c r="J887" s="14">
        <v>2018</v>
      </c>
      <c r="K887" s="14">
        <v>9781450356930</v>
      </c>
      <c r="L887" s="18"/>
      <c r="M887" s="14" t="s">
        <v>5599</v>
      </c>
      <c r="N887" s="17" t="s">
        <v>5600</v>
      </c>
      <c r="O887" s="14" t="s">
        <v>5601</v>
      </c>
      <c r="P887" s="14" t="s">
        <v>5602</v>
      </c>
      <c r="Q887" s="14" t="s">
        <v>5603</v>
      </c>
      <c r="R887" s="18"/>
      <c r="S887" s="15"/>
      <c r="T887" s="15"/>
      <c r="U887" s="15"/>
      <c r="V887" s="15"/>
    </row>
    <row r="888" spans="1:22" x14ac:dyDescent="0.25">
      <c r="A888" s="14" t="s">
        <v>141</v>
      </c>
      <c r="B888" s="14" t="s">
        <v>5604</v>
      </c>
      <c r="C888" s="14" t="s">
        <v>5605</v>
      </c>
      <c r="D888" s="18"/>
      <c r="E888" s="14">
        <v>2015</v>
      </c>
      <c r="F888" s="21">
        <v>42248</v>
      </c>
      <c r="G888" s="18"/>
      <c r="H888" s="18"/>
      <c r="I888" s="14" t="s">
        <v>257</v>
      </c>
      <c r="J888" s="14">
        <v>2015</v>
      </c>
      <c r="K888" s="14">
        <v>9781479919604</v>
      </c>
      <c r="L888" s="18"/>
      <c r="M888" s="18"/>
      <c r="N888" s="17" t="s">
        <v>5606</v>
      </c>
      <c r="O888" s="14" t="s">
        <v>5607</v>
      </c>
      <c r="P888" s="14" t="s">
        <v>5608</v>
      </c>
      <c r="Q888" s="14" t="s">
        <v>520</v>
      </c>
      <c r="R888" s="18"/>
      <c r="S888" s="15"/>
      <c r="T888" s="15"/>
      <c r="U888" s="15"/>
      <c r="V888" s="15"/>
    </row>
    <row r="889" spans="1:22" x14ac:dyDescent="0.25">
      <c r="A889" s="14" t="s">
        <v>141</v>
      </c>
      <c r="B889" s="14" t="s">
        <v>5609</v>
      </c>
      <c r="C889" s="14" t="s">
        <v>5610</v>
      </c>
      <c r="D889" s="18"/>
      <c r="E889" s="14">
        <v>2018</v>
      </c>
      <c r="F889" s="18"/>
      <c r="G889" s="18"/>
      <c r="H889" s="14" t="s">
        <v>3417</v>
      </c>
      <c r="I889" s="14" t="s">
        <v>257</v>
      </c>
      <c r="J889" s="14">
        <v>2018</v>
      </c>
      <c r="K889" s="14">
        <v>9781538682906</v>
      </c>
      <c r="L889" s="18"/>
      <c r="M889" s="18"/>
      <c r="N889" s="17" t="s">
        <v>5611</v>
      </c>
      <c r="O889" s="14" t="s">
        <v>5612</v>
      </c>
      <c r="P889" s="14" t="s">
        <v>5613</v>
      </c>
      <c r="Q889" s="14" t="s">
        <v>2286</v>
      </c>
      <c r="R889" s="18"/>
      <c r="S889" s="15"/>
      <c r="T889" s="15"/>
      <c r="U889" s="15"/>
      <c r="V889" s="15"/>
    </row>
    <row r="890" spans="1:22" x14ac:dyDescent="0.25">
      <c r="A890" s="14" t="s">
        <v>13</v>
      </c>
      <c r="B890" s="14" t="s">
        <v>3236</v>
      </c>
      <c r="C890" s="14" t="s">
        <v>5614</v>
      </c>
      <c r="D890" s="14" t="s">
        <v>878</v>
      </c>
      <c r="E890" s="14">
        <v>2018</v>
      </c>
      <c r="F890" s="14">
        <v>30</v>
      </c>
      <c r="G890" s="14">
        <v>6</v>
      </c>
      <c r="H890" s="18"/>
      <c r="I890" s="14" t="s">
        <v>266</v>
      </c>
      <c r="J890" s="14">
        <v>2018</v>
      </c>
      <c r="K890" s="18"/>
      <c r="L890" s="18"/>
      <c r="M890" s="14" t="s">
        <v>879</v>
      </c>
      <c r="N890" s="17" t="s">
        <v>5615</v>
      </c>
      <c r="O890" s="14" t="s">
        <v>5616</v>
      </c>
      <c r="P890" s="14" t="s">
        <v>5617</v>
      </c>
      <c r="Q890" s="14" t="s">
        <v>5618</v>
      </c>
      <c r="R890" s="18"/>
      <c r="S890" s="15"/>
      <c r="T890" s="15"/>
      <c r="U890" s="15"/>
      <c r="V890" s="15"/>
    </row>
    <row r="891" spans="1:22" x14ac:dyDescent="0.25">
      <c r="A891" s="14" t="s">
        <v>13</v>
      </c>
      <c r="B891" s="14" t="s">
        <v>5619</v>
      </c>
      <c r="C891" s="14" t="s">
        <v>5620</v>
      </c>
      <c r="D891" s="14" t="s">
        <v>264</v>
      </c>
      <c r="E891" s="14">
        <v>2018</v>
      </c>
      <c r="F891" s="14">
        <v>48</v>
      </c>
      <c r="G891" s="14">
        <v>5</v>
      </c>
      <c r="H891" s="14" t="s">
        <v>5621</v>
      </c>
      <c r="I891" s="14" t="s">
        <v>266</v>
      </c>
      <c r="J891" s="14">
        <v>2018</v>
      </c>
      <c r="K891" s="18"/>
      <c r="L891" s="18"/>
      <c r="M891" s="14" t="s">
        <v>267</v>
      </c>
      <c r="N891" s="17" t="s">
        <v>5622</v>
      </c>
      <c r="O891" s="14" t="s">
        <v>5623</v>
      </c>
      <c r="P891" s="14" t="s">
        <v>5624</v>
      </c>
      <c r="Q891" s="14" t="s">
        <v>1813</v>
      </c>
      <c r="R891" s="18"/>
      <c r="S891" s="15"/>
      <c r="T891" s="15"/>
      <c r="U891" s="15"/>
      <c r="V891" s="15"/>
    </row>
    <row r="892" spans="1:22" x14ac:dyDescent="0.25">
      <c r="A892" s="14" t="s">
        <v>141</v>
      </c>
      <c r="B892" s="14" t="s">
        <v>5625</v>
      </c>
      <c r="C892" s="14" t="s">
        <v>5626</v>
      </c>
      <c r="D892" s="18"/>
      <c r="E892" s="14">
        <v>2018</v>
      </c>
      <c r="F892" s="21">
        <v>43160</v>
      </c>
      <c r="G892" s="18"/>
      <c r="H892" s="14" t="s">
        <v>5627</v>
      </c>
      <c r="I892" s="14" t="s">
        <v>153</v>
      </c>
      <c r="J892" s="14">
        <v>2018</v>
      </c>
      <c r="K892" s="14">
        <v>9781450350952</v>
      </c>
      <c r="L892" s="18"/>
      <c r="M892" s="18"/>
      <c r="N892" s="17" t="s">
        <v>5628</v>
      </c>
      <c r="O892" s="14" t="s">
        <v>5629</v>
      </c>
      <c r="P892" s="14" t="s">
        <v>5630</v>
      </c>
      <c r="Q892" s="14" t="s">
        <v>3067</v>
      </c>
      <c r="R892" s="18"/>
      <c r="S892" s="15"/>
      <c r="T892" s="15"/>
      <c r="U892" s="15"/>
      <c r="V892" s="15"/>
    </row>
    <row r="893" spans="1:22" x14ac:dyDescent="0.25">
      <c r="A893" s="14" t="s">
        <v>141</v>
      </c>
      <c r="B893" s="14" t="s">
        <v>4817</v>
      </c>
      <c r="C893" s="14" t="s">
        <v>5631</v>
      </c>
      <c r="D893" s="18"/>
      <c r="E893" s="14">
        <v>2016</v>
      </c>
      <c r="F893" s="18"/>
      <c r="G893" s="18"/>
      <c r="H893" s="14" t="s">
        <v>5632</v>
      </c>
      <c r="I893" s="14" t="s">
        <v>257</v>
      </c>
      <c r="J893" s="14">
        <v>2016</v>
      </c>
      <c r="K893" s="14">
        <v>9781509038060</v>
      </c>
      <c r="L893" s="18"/>
      <c r="M893" s="18"/>
      <c r="N893" s="17" t="s">
        <v>5633</v>
      </c>
      <c r="O893" s="14" t="s">
        <v>5634</v>
      </c>
      <c r="P893" s="14" t="s">
        <v>5635</v>
      </c>
      <c r="Q893" s="14" t="s">
        <v>5636</v>
      </c>
      <c r="R893" s="18"/>
      <c r="S893" s="15"/>
      <c r="T893" s="15"/>
      <c r="U893" s="15"/>
      <c r="V893" s="15"/>
    </row>
    <row r="894" spans="1:22" x14ac:dyDescent="0.25">
      <c r="A894" s="14" t="s">
        <v>141</v>
      </c>
      <c r="B894" s="14" t="s">
        <v>5637</v>
      </c>
      <c r="C894" s="14" t="s">
        <v>5638</v>
      </c>
      <c r="D894" s="18"/>
      <c r="E894" s="14">
        <v>2017</v>
      </c>
      <c r="F894" s="18"/>
      <c r="G894" s="18"/>
      <c r="H894" s="14" t="s">
        <v>5639</v>
      </c>
      <c r="I894" s="14" t="s">
        <v>196</v>
      </c>
      <c r="J894" s="14">
        <v>2017</v>
      </c>
      <c r="K894" s="14">
        <v>9781538605356</v>
      </c>
      <c r="L894" s="18"/>
      <c r="M894" s="18"/>
      <c r="N894" s="17" t="s">
        <v>5640</v>
      </c>
      <c r="O894" s="14" t="s">
        <v>5641</v>
      </c>
      <c r="P894" s="14" t="s">
        <v>5642</v>
      </c>
      <c r="Q894" s="14" t="s">
        <v>5643</v>
      </c>
      <c r="R894" s="18"/>
      <c r="S894" s="15"/>
      <c r="T894" s="15"/>
      <c r="U894" s="15"/>
      <c r="V894" s="15"/>
    </row>
    <row r="895" spans="1:22" x14ac:dyDescent="0.25">
      <c r="A895" s="14" t="s">
        <v>13</v>
      </c>
      <c r="B895" s="14" t="s">
        <v>5644</v>
      </c>
      <c r="C895" s="14" t="s">
        <v>5645</v>
      </c>
      <c r="D895" s="14" t="s">
        <v>188</v>
      </c>
      <c r="E895" s="14">
        <v>2018</v>
      </c>
      <c r="F895" s="14">
        <v>28</v>
      </c>
      <c r="G895" s="14">
        <v>3</v>
      </c>
      <c r="H895" s="14" t="s">
        <v>5646</v>
      </c>
      <c r="I895" s="14" t="s">
        <v>5647</v>
      </c>
      <c r="J895" s="14">
        <v>2018</v>
      </c>
      <c r="K895" s="18"/>
      <c r="L895" s="18"/>
      <c r="M895" s="14" t="s">
        <v>73</v>
      </c>
      <c r="N895" s="17" t="s">
        <v>5648</v>
      </c>
      <c r="O895" s="14" t="s">
        <v>5649</v>
      </c>
      <c r="P895" s="14" t="s">
        <v>5650</v>
      </c>
      <c r="Q895" s="14" t="s">
        <v>318</v>
      </c>
      <c r="R895" s="18"/>
      <c r="S895" s="15"/>
      <c r="T895" s="15"/>
      <c r="U895" s="15"/>
      <c r="V895" s="15"/>
    </row>
    <row r="896" spans="1:22" x14ac:dyDescent="0.25">
      <c r="A896" s="14" t="s">
        <v>141</v>
      </c>
      <c r="B896" s="14" t="s">
        <v>5651</v>
      </c>
      <c r="C896" s="14" t="s">
        <v>5652</v>
      </c>
      <c r="D896" s="18"/>
      <c r="E896" s="14">
        <v>2017</v>
      </c>
      <c r="F896" s="18"/>
      <c r="G896" s="18"/>
      <c r="H896" s="14" t="s">
        <v>1659</v>
      </c>
      <c r="I896" s="14" t="s">
        <v>145</v>
      </c>
      <c r="J896" s="14">
        <v>2017</v>
      </c>
      <c r="K896" s="14">
        <v>9781450353267</v>
      </c>
      <c r="L896" s="18"/>
      <c r="M896" s="18"/>
      <c r="N896" s="17" t="s">
        <v>5653</v>
      </c>
      <c r="O896" s="14" t="s">
        <v>5654</v>
      </c>
      <c r="P896" s="14" t="s">
        <v>5655</v>
      </c>
      <c r="Q896" s="14" t="s">
        <v>2243</v>
      </c>
      <c r="R896" s="18"/>
      <c r="S896" s="15"/>
      <c r="T896" s="15"/>
      <c r="U896" s="15"/>
      <c r="V896" s="15"/>
    </row>
    <row r="897" spans="1:22" x14ac:dyDescent="0.25">
      <c r="A897" s="14" t="s">
        <v>141</v>
      </c>
      <c r="B897" s="14" t="s">
        <v>5656</v>
      </c>
      <c r="C897" s="14" t="s">
        <v>5657</v>
      </c>
      <c r="D897" s="18"/>
      <c r="E897" s="14">
        <v>2018</v>
      </c>
      <c r="F897" s="18"/>
      <c r="G897" s="18"/>
      <c r="H897" s="14" t="s">
        <v>5658</v>
      </c>
      <c r="I897" s="14" t="s">
        <v>257</v>
      </c>
      <c r="J897" s="14">
        <v>2018</v>
      </c>
      <c r="K897" s="14">
        <v>9781538670880</v>
      </c>
      <c r="L897" s="18"/>
      <c r="M897" s="18"/>
      <c r="N897" s="17" t="s">
        <v>5659</v>
      </c>
      <c r="O897" s="14" t="s">
        <v>5660</v>
      </c>
      <c r="P897" s="14" t="s">
        <v>5661</v>
      </c>
      <c r="Q897" s="14" t="s">
        <v>818</v>
      </c>
      <c r="R897" s="18"/>
      <c r="S897" s="15"/>
      <c r="T897" s="15"/>
      <c r="U897" s="15"/>
      <c r="V897" s="15"/>
    </row>
    <row r="898" spans="1:22" x14ac:dyDescent="0.25">
      <c r="A898" s="14" t="s">
        <v>141</v>
      </c>
      <c r="B898" s="14" t="s">
        <v>5662</v>
      </c>
      <c r="C898" s="14" t="s">
        <v>5663</v>
      </c>
      <c r="D898" s="18"/>
      <c r="E898" s="14">
        <v>2018</v>
      </c>
      <c r="F898" s="18"/>
      <c r="G898" s="18"/>
      <c r="H898" s="14" t="s">
        <v>4893</v>
      </c>
      <c r="I898" s="14" t="s">
        <v>257</v>
      </c>
      <c r="J898" s="14">
        <v>2018</v>
      </c>
      <c r="K898" s="14">
        <v>9781538663523</v>
      </c>
      <c r="L898" s="18"/>
      <c r="M898" s="18"/>
      <c r="N898" s="17" t="s">
        <v>5664</v>
      </c>
      <c r="O898" s="14" t="s">
        <v>5665</v>
      </c>
      <c r="P898" s="14" t="s">
        <v>5666</v>
      </c>
      <c r="Q898" s="14" t="s">
        <v>2723</v>
      </c>
      <c r="R898" s="18"/>
      <c r="S898" s="15"/>
      <c r="T898" s="15"/>
      <c r="U898" s="15"/>
      <c r="V898" s="15"/>
    </row>
    <row r="899" spans="1:22" x14ac:dyDescent="0.25">
      <c r="A899" s="14" t="s">
        <v>141</v>
      </c>
      <c r="B899" s="14" t="s">
        <v>5667</v>
      </c>
      <c r="C899" s="14" t="s">
        <v>5668</v>
      </c>
      <c r="D899" s="18"/>
      <c r="E899" s="14">
        <v>2018</v>
      </c>
      <c r="F899" s="18"/>
      <c r="G899" s="18"/>
      <c r="H899" s="14" t="s">
        <v>5669</v>
      </c>
      <c r="I899" s="14" t="s">
        <v>257</v>
      </c>
      <c r="J899" s="14">
        <v>2018</v>
      </c>
      <c r="K899" s="14">
        <v>9781538672327</v>
      </c>
      <c r="L899" s="18"/>
      <c r="M899" s="18"/>
      <c r="N899" s="17" t="s">
        <v>5670</v>
      </c>
      <c r="O899" s="14" t="s">
        <v>5671</v>
      </c>
      <c r="P899" s="14" t="s">
        <v>5672</v>
      </c>
      <c r="Q899" s="14" t="s">
        <v>1404</v>
      </c>
      <c r="R899" s="18"/>
      <c r="S899" s="15"/>
      <c r="T899" s="15"/>
      <c r="U899" s="15"/>
      <c r="V899" s="15"/>
    </row>
    <row r="900" spans="1:22" x14ac:dyDescent="0.25">
      <c r="A900" s="14" t="s">
        <v>13</v>
      </c>
      <c r="B900" s="14" t="s">
        <v>5673</v>
      </c>
      <c r="C900" s="14" t="s">
        <v>5674</v>
      </c>
      <c r="D900" s="14" t="s">
        <v>188</v>
      </c>
      <c r="E900" s="14">
        <v>2015</v>
      </c>
      <c r="F900" s="14">
        <v>25</v>
      </c>
      <c r="G900" s="23">
        <v>45179</v>
      </c>
      <c r="H900" s="14" t="s">
        <v>5675</v>
      </c>
      <c r="I900" s="14" t="s">
        <v>5647</v>
      </c>
      <c r="J900" s="14">
        <v>2015</v>
      </c>
      <c r="K900" s="18"/>
      <c r="L900" s="18"/>
      <c r="M900" s="14" t="s">
        <v>73</v>
      </c>
      <c r="N900" s="17" t="s">
        <v>5676</v>
      </c>
      <c r="O900" s="14" t="s">
        <v>5677</v>
      </c>
      <c r="P900" s="14" t="s">
        <v>5678</v>
      </c>
      <c r="Q900" s="14" t="s">
        <v>1598</v>
      </c>
      <c r="R900" s="18"/>
      <c r="S900" s="15"/>
      <c r="T900" s="15"/>
      <c r="U900" s="15"/>
      <c r="V900" s="15"/>
    </row>
    <row r="901" spans="1:22" x14ac:dyDescent="0.25">
      <c r="A901" s="14" t="s">
        <v>13</v>
      </c>
      <c r="B901" s="14" t="s">
        <v>5679</v>
      </c>
      <c r="C901" s="14" t="s">
        <v>5680</v>
      </c>
      <c r="D901" s="14" t="s">
        <v>354</v>
      </c>
      <c r="E901" s="14">
        <v>2018</v>
      </c>
      <c r="F901" s="14">
        <v>144</v>
      </c>
      <c r="G901" s="18"/>
      <c r="H901" s="14" t="s">
        <v>5681</v>
      </c>
      <c r="I901" s="14" t="s">
        <v>355</v>
      </c>
      <c r="J901" s="14">
        <v>2018</v>
      </c>
      <c r="K901" s="18"/>
      <c r="L901" s="18"/>
      <c r="M901" s="14" t="s">
        <v>65</v>
      </c>
      <c r="N901" s="17" t="s">
        <v>5682</v>
      </c>
      <c r="O901" s="14" t="s">
        <v>5683</v>
      </c>
      <c r="P901" s="14" t="s">
        <v>5684</v>
      </c>
      <c r="Q901" s="14" t="s">
        <v>4634</v>
      </c>
      <c r="R901" s="18"/>
      <c r="S901" s="15"/>
      <c r="T901" s="15"/>
      <c r="U901" s="15"/>
      <c r="V901" s="15"/>
    </row>
    <row r="902" spans="1:22" x14ac:dyDescent="0.25">
      <c r="A902" s="14" t="s">
        <v>141</v>
      </c>
      <c r="B902" s="14" t="s">
        <v>5685</v>
      </c>
      <c r="C902" s="14" t="s">
        <v>5686</v>
      </c>
      <c r="D902" s="18"/>
      <c r="E902" s="14">
        <v>2018</v>
      </c>
      <c r="F902" s="21">
        <v>43221</v>
      </c>
      <c r="G902" s="18"/>
      <c r="H902" s="18"/>
      <c r="I902" s="14" t="s">
        <v>196</v>
      </c>
      <c r="J902" s="14">
        <v>2018</v>
      </c>
      <c r="K902" s="14">
        <v>9781450356633</v>
      </c>
      <c r="L902" s="18"/>
      <c r="M902" s="14" t="s">
        <v>1458</v>
      </c>
      <c r="N902" s="17" t="s">
        <v>5687</v>
      </c>
      <c r="O902" s="14" t="s">
        <v>5688</v>
      </c>
      <c r="P902" s="14" t="s">
        <v>5689</v>
      </c>
      <c r="Q902" s="14" t="s">
        <v>5690</v>
      </c>
      <c r="R902" s="18"/>
      <c r="S902" s="15"/>
      <c r="T902" s="15"/>
      <c r="U902" s="15"/>
      <c r="V902" s="15"/>
    </row>
    <row r="903" spans="1:22" x14ac:dyDescent="0.25">
      <c r="A903" s="14" t="s">
        <v>141</v>
      </c>
      <c r="B903" s="14" t="s">
        <v>5691</v>
      </c>
      <c r="C903" s="14" t="s">
        <v>5692</v>
      </c>
      <c r="D903" s="18"/>
      <c r="E903" s="14">
        <v>2016</v>
      </c>
      <c r="F903" s="18"/>
      <c r="G903" s="18"/>
      <c r="H903" s="14" t="s">
        <v>5693</v>
      </c>
      <c r="I903" s="14" t="s">
        <v>257</v>
      </c>
      <c r="J903" s="14">
        <v>2016</v>
      </c>
      <c r="K903" s="14">
        <v>9781509021314</v>
      </c>
      <c r="L903" s="18"/>
      <c r="M903" s="18"/>
      <c r="N903" s="17" t="s">
        <v>5694</v>
      </c>
      <c r="O903" s="14" t="s">
        <v>5695</v>
      </c>
      <c r="P903" s="14" t="s">
        <v>5696</v>
      </c>
      <c r="Q903" s="14" t="s">
        <v>4581</v>
      </c>
      <c r="R903" s="18"/>
      <c r="S903" s="15"/>
      <c r="T903" s="15"/>
      <c r="U903" s="15"/>
      <c r="V903" s="15"/>
    </row>
    <row r="904" spans="1:22" x14ac:dyDescent="0.25">
      <c r="A904" s="14" t="s">
        <v>141</v>
      </c>
      <c r="B904" s="14" t="s">
        <v>5697</v>
      </c>
      <c r="C904" s="14" t="s">
        <v>5698</v>
      </c>
      <c r="D904" s="18"/>
      <c r="E904" s="14">
        <v>2015</v>
      </c>
      <c r="F904" s="18"/>
      <c r="G904" s="18"/>
      <c r="H904" s="14" t="s">
        <v>1911</v>
      </c>
      <c r="I904" s="14" t="s">
        <v>257</v>
      </c>
      <c r="J904" s="14">
        <v>2015</v>
      </c>
      <c r="K904" s="14">
        <v>9781467373784</v>
      </c>
      <c r="L904" s="18"/>
      <c r="M904" s="18"/>
      <c r="N904" s="17" t="s">
        <v>5699</v>
      </c>
      <c r="O904" s="14" t="s">
        <v>5700</v>
      </c>
      <c r="P904" s="14" t="s">
        <v>5701</v>
      </c>
      <c r="Q904" s="14" t="s">
        <v>4634</v>
      </c>
      <c r="R904" s="18"/>
      <c r="S904" s="15"/>
      <c r="T904" s="15"/>
      <c r="U904" s="15"/>
      <c r="V904" s="15"/>
    </row>
    <row r="905" spans="1:22" x14ac:dyDescent="0.25">
      <c r="A905" s="14" t="s">
        <v>141</v>
      </c>
      <c r="B905" s="14" t="s">
        <v>5702</v>
      </c>
      <c r="C905" s="14" t="s">
        <v>5703</v>
      </c>
      <c r="D905" s="18"/>
      <c r="E905" s="14">
        <v>2018</v>
      </c>
      <c r="F905" s="18"/>
      <c r="G905" s="18"/>
      <c r="H905" s="14" t="s">
        <v>5704</v>
      </c>
      <c r="I905" s="14" t="s">
        <v>257</v>
      </c>
      <c r="J905" s="14">
        <v>2018</v>
      </c>
      <c r="K905" s="14">
        <v>9781538670972</v>
      </c>
      <c r="L905" s="18"/>
      <c r="M905" s="18"/>
      <c r="N905" s="17" t="s">
        <v>5705</v>
      </c>
      <c r="O905" s="14" t="s">
        <v>5706</v>
      </c>
      <c r="P905" s="14" t="s">
        <v>5707</v>
      </c>
      <c r="Q905" s="14" t="s">
        <v>5708</v>
      </c>
      <c r="R905" s="18"/>
      <c r="S905" s="15"/>
      <c r="T905" s="15"/>
      <c r="U905" s="15"/>
      <c r="V905" s="15"/>
    </row>
    <row r="906" spans="1:22" x14ac:dyDescent="0.25">
      <c r="A906" s="14" t="s">
        <v>141</v>
      </c>
      <c r="B906" s="14" t="s">
        <v>5709</v>
      </c>
      <c r="C906" s="14" t="s">
        <v>5710</v>
      </c>
      <c r="D906" s="18"/>
      <c r="E906" s="14">
        <v>2013</v>
      </c>
      <c r="F906" s="18"/>
      <c r="G906" s="18"/>
      <c r="H906" s="14" t="s">
        <v>5711</v>
      </c>
      <c r="I906" s="18"/>
      <c r="J906" s="14">
        <v>2013</v>
      </c>
      <c r="K906" s="18"/>
      <c r="L906" s="18"/>
      <c r="M906" s="18"/>
      <c r="N906" s="17" t="s">
        <v>5712</v>
      </c>
      <c r="O906" s="14" t="s">
        <v>5713</v>
      </c>
      <c r="P906" s="14" t="s">
        <v>5714</v>
      </c>
      <c r="Q906" s="14" t="s">
        <v>5715</v>
      </c>
      <c r="R906" s="18"/>
      <c r="S906" s="15"/>
      <c r="T906" s="15"/>
      <c r="U906" s="15"/>
      <c r="V906" s="15"/>
    </row>
    <row r="907" spans="1:22" x14ac:dyDescent="0.25">
      <c r="A907" s="14" t="s">
        <v>141</v>
      </c>
      <c r="B907" s="14" t="s">
        <v>5716</v>
      </c>
      <c r="C907" s="14" t="s">
        <v>5717</v>
      </c>
      <c r="D907" s="18"/>
      <c r="E907" s="14">
        <v>2014</v>
      </c>
      <c r="F907" s="18"/>
      <c r="G907" s="18"/>
      <c r="H907" s="14" t="s">
        <v>5718</v>
      </c>
      <c r="I907" s="14" t="s">
        <v>145</v>
      </c>
      <c r="J907" s="14">
        <v>2014</v>
      </c>
      <c r="K907" s="14">
        <v>9781450327688</v>
      </c>
      <c r="L907" s="18"/>
      <c r="M907" s="18"/>
      <c r="N907" s="17" t="s">
        <v>5719</v>
      </c>
      <c r="O907" s="14" t="s">
        <v>5720</v>
      </c>
      <c r="P907" s="14" t="s">
        <v>5721</v>
      </c>
      <c r="Q907" s="14" t="s">
        <v>318</v>
      </c>
      <c r="R907" s="18"/>
      <c r="S907" s="15"/>
      <c r="T907" s="15"/>
      <c r="U907" s="15"/>
      <c r="V907" s="15"/>
    </row>
    <row r="908" spans="1:22" x14ac:dyDescent="0.25">
      <c r="A908" s="14" t="s">
        <v>141</v>
      </c>
      <c r="B908" s="14" t="s">
        <v>5722</v>
      </c>
      <c r="C908" s="14" t="s">
        <v>5723</v>
      </c>
      <c r="D908" s="18"/>
      <c r="E908" s="14">
        <v>2018</v>
      </c>
      <c r="F908" s="14">
        <v>2319</v>
      </c>
      <c r="G908" s="18"/>
      <c r="H908" s="18"/>
      <c r="I908" s="14" t="s">
        <v>613</v>
      </c>
      <c r="J908" s="14">
        <v>2018</v>
      </c>
      <c r="K908" s="18"/>
      <c r="L908" s="18"/>
      <c r="M908" s="14" t="s">
        <v>614</v>
      </c>
      <c r="N908" s="17" t="s">
        <v>5724</v>
      </c>
      <c r="O908" s="18"/>
      <c r="P908" s="14" t="s">
        <v>5725</v>
      </c>
      <c r="Q908" s="14" t="s">
        <v>318</v>
      </c>
      <c r="R908" s="18"/>
      <c r="S908" s="15"/>
      <c r="T908" s="15"/>
      <c r="U908" s="15"/>
      <c r="V908" s="15"/>
    </row>
    <row r="909" spans="1:22" x14ac:dyDescent="0.25">
      <c r="A909" s="14" t="s">
        <v>13</v>
      </c>
      <c r="B909" s="14" t="s">
        <v>5726</v>
      </c>
      <c r="C909" s="14" t="s">
        <v>5727</v>
      </c>
      <c r="D909" s="14" t="s">
        <v>878</v>
      </c>
      <c r="E909" s="14">
        <v>2018</v>
      </c>
      <c r="F909" s="14">
        <v>30</v>
      </c>
      <c r="G909" s="14">
        <v>12</v>
      </c>
      <c r="H909" s="18"/>
      <c r="I909" s="14" t="s">
        <v>266</v>
      </c>
      <c r="J909" s="14">
        <v>2018</v>
      </c>
      <c r="K909" s="18"/>
      <c r="L909" s="18"/>
      <c r="M909" s="14" t="s">
        <v>879</v>
      </c>
      <c r="N909" s="17" t="s">
        <v>5728</v>
      </c>
      <c r="O909" s="14" t="s">
        <v>5729</v>
      </c>
      <c r="P909" s="14" t="s">
        <v>5730</v>
      </c>
      <c r="Q909" s="14" t="s">
        <v>157</v>
      </c>
      <c r="R909" s="18"/>
      <c r="S909" s="15"/>
      <c r="T909" s="15"/>
      <c r="U909" s="15"/>
      <c r="V909" s="15"/>
    </row>
    <row r="910" spans="1:22" x14ac:dyDescent="0.25">
      <c r="A910" s="14" t="s">
        <v>141</v>
      </c>
      <c r="B910" s="14" t="s">
        <v>5731</v>
      </c>
      <c r="C910" s="14" t="s">
        <v>5732</v>
      </c>
      <c r="D910" s="18"/>
      <c r="E910" s="14">
        <v>2018</v>
      </c>
      <c r="F910" s="18"/>
      <c r="G910" s="18"/>
      <c r="H910" s="14" t="s">
        <v>5733</v>
      </c>
      <c r="I910" s="14" t="s">
        <v>196</v>
      </c>
      <c r="J910" s="14">
        <v>2018</v>
      </c>
      <c r="K910" s="14">
        <v>9781450357166</v>
      </c>
      <c r="L910" s="18"/>
      <c r="M910" s="14" t="s">
        <v>1458</v>
      </c>
      <c r="N910" s="17" t="s">
        <v>5734</v>
      </c>
      <c r="O910" s="14" t="s">
        <v>5735</v>
      </c>
      <c r="P910" s="14" t="s">
        <v>5736</v>
      </c>
      <c r="Q910" s="14" t="s">
        <v>1598</v>
      </c>
      <c r="R910" s="18"/>
      <c r="S910" s="15"/>
      <c r="T910" s="15"/>
      <c r="U910" s="15"/>
      <c r="V910" s="15"/>
    </row>
    <row r="911" spans="1:22" x14ac:dyDescent="0.25">
      <c r="A911" s="14" t="s">
        <v>141</v>
      </c>
      <c r="B911" s="14" t="s">
        <v>5737</v>
      </c>
      <c r="C911" s="14" t="s">
        <v>5738</v>
      </c>
      <c r="D911" s="18"/>
      <c r="E911" s="14">
        <v>2018</v>
      </c>
      <c r="F911" s="18"/>
      <c r="G911" s="18"/>
      <c r="H911" s="14" t="s">
        <v>5739</v>
      </c>
      <c r="I911" s="14" t="s">
        <v>196</v>
      </c>
      <c r="J911" s="14">
        <v>2018</v>
      </c>
      <c r="K911" s="14">
        <v>9781450357166</v>
      </c>
      <c r="L911" s="18"/>
      <c r="M911" s="14" t="s">
        <v>1458</v>
      </c>
      <c r="N911" s="17" t="s">
        <v>5740</v>
      </c>
      <c r="O911" s="14" t="s">
        <v>5741</v>
      </c>
      <c r="P911" s="14" t="s">
        <v>5742</v>
      </c>
      <c r="Q911" s="14" t="s">
        <v>5743</v>
      </c>
      <c r="R911" s="18"/>
      <c r="S911" s="15"/>
      <c r="T911" s="15"/>
      <c r="U911" s="15"/>
      <c r="V911" s="15"/>
    </row>
    <row r="912" spans="1:22" x14ac:dyDescent="0.25">
      <c r="A912" s="14" t="s">
        <v>539</v>
      </c>
      <c r="B912" s="14" t="s">
        <v>5744</v>
      </c>
      <c r="C912" s="14" t="s">
        <v>5745</v>
      </c>
      <c r="D912" s="18"/>
      <c r="E912" s="14">
        <v>2017</v>
      </c>
      <c r="F912" s="18"/>
      <c r="G912" s="18"/>
      <c r="H912" s="18"/>
      <c r="I912" s="14" t="s">
        <v>355</v>
      </c>
      <c r="J912" s="14">
        <v>2017</v>
      </c>
      <c r="K912" s="14">
        <v>9780128052822</v>
      </c>
      <c r="L912" s="14">
        <v>9780128051955</v>
      </c>
      <c r="M912" s="18"/>
      <c r="N912" s="17" t="s">
        <v>5746</v>
      </c>
      <c r="O912" s="14" t="s">
        <v>5747</v>
      </c>
      <c r="P912" s="14" t="s">
        <v>5748</v>
      </c>
      <c r="Q912" s="14" t="s">
        <v>397</v>
      </c>
      <c r="R912" s="14" t="s">
        <v>5749</v>
      </c>
      <c r="S912" s="15"/>
      <c r="T912" s="15"/>
      <c r="U912" s="15"/>
      <c r="V912" s="15"/>
    </row>
    <row r="913" spans="1:22" x14ac:dyDescent="0.25">
      <c r="A913" s="14" t="s">
        <v>141</v>
      </c>
      <c r="B913" s="14" t="s">
        <v>5750</v>
      </c>
      <c r="C913" s="14" t="s">
        <v>5751</v>
      </c>
      <c r="D913" s="18"/>
      <c r="E913" s="14">
        <v>2018</v>
      </c>
      <c r="F913" s="18"/>
      <c r="G913" s="18"/>
      <c r="H913" s="14" t="s">
        <v>5752</v>
      </c>
      <c r="I913" s="14" t="s">
        <v>196</v>
      </c>
      <c r="J913" s="14">
        <v>2018</v>
      </c>
      <c r="K913" s="14">
        <v>9781450357401</v>
      </c>
      <c r="L913" s="18"/>
      <c r="M913" s="14" t="s">
        <v>1458</v>
      </c>
      <c r="N913" s="17" t="s">
        <v>5753</v>
      </c>
      <c r="O913" s="14" t="s">
        <v>5754</v>
      </c>
      <c r="P913" s="14" t="s">
        <v>5755</v>
      </c>
      <c r="Q913" s="14" t="s">
        <v>157</v>
      </c>
      <c r="R913" s="18"/>
      <c r="S913" s="15"/>
      <c r="T913" s="15"/>
      <c r="U913" s="15"/>
      <c r="V913" s="15"/>
    </row>
    <row r="914" spans="1:22" x14ac:dyDescent="0.25">
      <c r="A914" s="14" t="s">
        <v>141</v>
      </c>
      <c r="B914" s="14" t="s">
        <v>5756</v>
      </c>
      <c r="C914" s="14" t="s">
        <v>5757</v>
      </c>
      <c r="D914" s="18"/>
      <c r="E914" s="14">
        <v>2017</v>
      </c>
      <c r="F914" s="14" t="s">
        <v>5390</v>
      </c>
      <c r="G914" s="18"/>
      <c r="H914" s="14" t="s">
        <v>5758</v>
      </c>
      <c r="I914" s="14" t="s">
        <v>145</v>
      </c>
      <c r="J914" s="14">
        <v>2017</v>
      </c>
      <c r="K914" s="14">
        <v>9781450348041</v>
      </c>
      <c r="L914" s="18"/>
      <c r="M914" s="18"/>
      <c r="N914" s="17" t="s">
        <v>5759</v>
      </c>
      <c r="O914" s="14" t="s">
        <v>5760</v>
      </c>
      <c r="P914" s="14" t="s">
        <v>5761</v>
      </c>
      <c r="Q914" s="14" t="s">
        <v>5708</v>
      </c>
      <c r="R914" s="18"/>
      <c r="S914" s="15"/>
      <c r="T914" s="15"/>
      <c r="U914" s="15"/>
      <c r="V914" s="15"/>
    </row>
    <row r="915" spans="1:22" x14ac:dyDescent="0.25">
      <c r="A915" s="14" t="s">
        <v>141</v>
      </c>
      <c r="B915" s="14" t="s">
        <v>5762</v>
      </c>
      <c r="C915" s="14" t="s">
        <v>5763</v>
      </c>
      <c r="D915" s="18"/>
      <c r="E915" s="14">
        <v>2016</v>
      </c>
      <c r="F915" s="21">
        <v>42370</v>
      </c>
      <c r="G915" s="18"/>
      <c r="H915" s="14" t="s">
        <v>5764</v>
      </c>
      <c r="I915" s="14" t="s">
        <v>257</v>
      </c>
      <c r="J915" s="14">
        <v>2016</v>
      </c>
      <c r="K915" s="14">
        <v>9781509018550</v>
      </c>
      <c r="L915" s="18"/>
      <c r="M915" s="18"/>
      <c r="N915" s="17" t="s">
        <v>5765</v>
      </c>
      <c r="O915" s="14" t="s">
        <v>5766</v>
      </c>
      <c r="P915" s="14" t="s">
        <v>5767</v>
      </c>
      <c r="Q915" s="14" t="s">
        <v>5768</v>
      </c>
      <c r="R915" s="18"/>
      <c r="S915" s="15"/>
      <c r="T915" s="15"/>
      <c r="U915" s="15"/>
      <c r="V915" s="15"/>
    </row>
    <row r="916" spans="1:22" x14ac:dyDescent="0.25">
      <c r="A916" s="14" t="s">
        <v>141</v>
      </c>
      <c r="B916" s="14" t="s">
        <v>5769</v>
      </c>
      <c r="C916" s="14" t="s">
        <v>5770</v>
      </c>
      <c r="D916" s="18"/>
      <c r="E916" s="14">
        <v>2016</v>
      </c>
      <c r="F916" s="14" t="s">
        <v>5771</v>
      </c>
      <c r="G916" s="18"/>
      <c r="H916" s="14" t="s">
        <v>5327</v>
      </c>
      <c r="I916" s="14" t="s">
        <v>145</v>
      </c>
      <c r="J916" s="14">
        <v>2016</v>
      </c>
      <c r="K916" s="14">
        <v>9781450342186</v>
      </c>
      <c r="L916" s="18"/>
      <c r="M916" s="18"/>
      <c r="N916" s="17" t="s">
        <v>5772</v>
      </c>
      <c r="O916" s="14" t="s">
        <v>5773</v>
      </c>
      <c r="P916" s="14" t="s">
        <v>5774</v>
      </c>
      <c r="Q916" s="14" t="s">
        <v>5775</v>
      </c>
      <c r="R916" s="18"/>
      <c r="S916" s="15"/>
      <c r="T916" s="15"/>
      <c r="U916" s="15"/>
      <c r="V916" s="15"/>
    </row>
    <row r="917" spans="1:22" x14ac:dyDescent="0.25">
      <c r="A917" s="14" t="s">
        <v>13</v>
      </c>
      <c r="B917" s="14" t="s">
        <v>5776</v>
      </c>
      <c r="C917" s="14" t="s">
        <v>5777</v>
      </c>
      <c r="D917" s="14" t="s">
        <v>307</v>
      </c>
      <c r="E917" s="14">
        <v>2017</v>
      </c>
      <c r="F917" s="14">
        <v>88</v>
      </c>
      <c r="G917" s="18"/>
      <c r="H917" s="14" t="s">
        <v>5778</v>
      </c>
      <c r="I917" s="14" t="s">
        <v>280</v>
      </c>
      <c r="J917" s="14">
        <v>2017</v>
      </c>
      <c r="K917" s="18"/>
      <c r="L917" s="18"/>
      <c r="M917" s="14" t="s">
        <v>308</v>
      </c>
      <c r="N917" s="17" t="s">
        <v>5779</v>
      </c>
      <c r="O917" s="14" t="s">
        <v>5780</v>
      </c>
      <c r="P917" s="14" t="s">
        <v>5781</v>
      </c>
      <c r="Q917" s="14" t="s">
        <v>2830</v>
      </c>
      <c r="R917" s="18"/>
      <c r="S917" s="15"/>
      <c r="T917" s="15"/>
      <c r="U917" s="15"/>
      <c r="V917" s="15"/>
    </row>
    <row r="918" spans="1:22" x14ac:dyDescent="0.25">
      <c r="A918" s="14" t="s">
        <v>141</v>
      </c>
      <c r="B918" s="14" t="s">
        <v>5782</v>
      </c>
      <c r="C918" s="14" t="s">
        <v>5783</v>
      </c>
      <c r="D918" s="18"/>
      <c r="E918" s="14">
        <v>2018</v>
      </c>
      <c r="F918" s="18"/>
      <c r="G918" s="18"/>
      <c r="H918" s="14" t="s">
        <v>5784</v>
      </c>
      <c r="I918" s="14" t="s">
        <v>153</v>
      </c>
      <c r="J918" s="14">
        <v>2018</v>
      </c>
      <c r="K918" s="14">
        <v>9781450360555</v>
      </c>
      <c r="L918" s="18"/>
      <c r="M918" s="18"/>
      <c r="N918" s="17" t="s">
        <v>5785</v>
      </c>
      <c r="O918" s="14" t="s">
        <v>5786</v>
      </c>
      <c r="P918" s="14" t="s">
        <v>5787</v>
      </c>
      <c r="Q918" s="14" t="s">
        <v>1813</v>
      </c>
      <c r="R918" s="18"/>
      <c r="S918" s="15"/>
      <c r="T918" s="15"/>
      <c r="U918" s="15"/>
      <c r="V918" s="15"/>
    </row>
    <row r="919" spans="1:22" x14ac:dyDescent="0.25">
      <c r="A919" s="14" t="s">
        <v>141</v>
      </c>
      <c r="B919" s="14" t="s">
        <v>5788</v>
      </c>
      <c r="C919" s="14" t="s">
        <v>5789</v>
      </c>
      <c r="D919" s="18"/>
      <c r="E919" s="14">
        <v>2018</v>
      </c>
      <c r="F919" s="18"/>
      <c r="G919" s="18"/>
      <c r="H919" s="14" t="s">
        <v>5790</v>
      </c>
      <c r="I919" s="14" t="s">
        <v>196</v>
      </c>
      <c r="J919" s="14">
        <v>2018</v>
      </c>
      <c r="K919" s="14">
        <v>9781450356633</v>
      </c>
      <c r="L919" s="18"/>
      <c r="M919" s="14" t="s">
        <v>1458</v>
      </c>
      <c r="N919" s="17" t="s">
        <v>5791</v>
      </c>
      <c r="O919" s="14" t="s">
        <v>5792</v>
      </c>
      <c r="P919" s="14" t="s">
        <v>5793</v>
      </c>
      <c r="Q919" s="14" t="s">
        <v>5577</v>
      </c>
      <c r="R919" s="18"/>
      <c r="S919" s="15"/>
      <c r="T919" s="15"/>
      <c r="U919" s="15"/>
      <c r="V919" s="15"/>
    </row>
    <row r="920" spans="1:22" x14ac:dyDescent="0.25">
      <c r="A920" s="14" t="s">
        <v>141</v>
      </c>
      <c r="B920" s="14" t="s">
        <v>5794</v>
      </c>
      <c r="C920" s="14" t="s">
        <v>5795</v>
      </c>
      <c r="D920" s="18"/>
      <c r="E920" s="14">
        <v>2017</v>
      </c>
      <c r="F920" s="18"/>
      <c r="G920" s="18"/>
      <c r="H920" s="14" t="s">
        <v>5796</v>
      </c>
      <c r="I920" s="14" t="s">
        <v>257</v>
      </c>
      <c r="J920" s="14">
        <v>2017</v>
      </c>
      <c r="K920" s="14">
        <v>9781538609927</v>
      </c>
      <c r="L920" s="18"/>
      <c r="M920" s="18"/>
      <c r="N920" s="17" t="s">
        <v>5797</v>
      </c>
      <c r="O920" s="14" t="s">
        <v>5798</v>
      </c>
      <c r="P920" s="14" t="s">
        <v>5799</v>
      </c>
      <c r="Q920" s="14" t="s">
        <v>4052</v>
      </c>
      <c r="R920" s="18"/>
      <c r="S920" s="15"/>
      <c r="T920" s="15"/>
      <c r="U920" s="15"/>
      <c r="V920" s="15"/>
    </row>
    <row r="921" spans="1:22" x14ac:dyDescent="0.25">
      <c r="A921" s="14" t="s">
        <v>141</v>
      </c>
      <c r="B921" s="14" t="s">
        <v>5800</v>
      </c>
      <c r="C921" s="14" t="s">
        <v>5801</v>
      </c>
      <c r="D921" s="18"/>
      <c r="E921" s="14">
        <v>2016</v>
      </c>
      <c r="F921" s="14" t="s">
        <v>5802</v>
      </c>
      <c r="G921" s="18"/>
      <c r="H921" s="18"/>
      <c r="I921" s="14" t="s">
        <v>145</v>
      </c>
      <c r="J921" s="14">
        <v>2016</v>
      </c>
      <c r="K921" s="14">
        <v>9781450337342</v>
      </c>
      <c r="L921" s="18"/>
      <c r="M921" s="18"/>
      <c r="N921" s="17" t="s">
        <v>5803</v>
      </c>
      <c r="O921" s="14" t="s">
        <v>5804</v>
      </c>
      <c r="P921" s="14" t="s">
        <v>5805</v>
      </c>
      <c r="Q921" s="14" t="s">
        <v>318</v>
      </c>
      <c r="R921" s="18"/>
      <c r="S921" s="15"/>
      <c r="T921" s="15"/>
      <c r="U921" s="15"/>
      <c r="V921" s="15"/>
    </row>
    <row r="922" spans="1:22" x14ac:dyDescent="0.25">
      <c r="A922" s="14" t="s">
        <v>141</v>
      </c>
      <c r="B922" s="14" t="s">
        <v>5806</v>
      </c>
      <c r="C922" s="14" t="s">
        <v>5807</v>
      </c>
      <c r="D922" s="18"/>
      <c r="E922" s="14">
        <v>2018</v>
      </c>
      <c r="F922" s="18"/>
      <c r="G922" s="18"/>
      <c r="H922" s="14" t="s">
        <v>5808</v>
      </c>
      <c r="I922" s="14" t="s">
        <v>196</v>
      </c>
      <c r="J922" s="14">
        <v>2018</v>
      </c>
      <c r="K922" s="14">
        <v>9781450357166</v>
      </c>
      <c r="L922" s="18"/>
      <c r="M922" s="14" t="s">
        <v>1458</v>
      </c>
      <c r="N922" s="17" t="s">
        <v>5809</v>
      </c>
      <c r="O922" s="14" t="s">
        <v>5810</v>
      </c>
      <c r="P922" s="14" t="s">
        <v>5811</v>
      </c>
      <c r="Q922" s="14" t="s">
        <v>5812</v>
      </c>
      <c r="R922" s="18"/>
      <c r="S922" s="15"/>
      <c r="T922" s="15"/>
      <c r="U922" s="15"/>
      <c r="V922" s="15"/>
    </row>
    <row r="923" spans="1:22" x14ac:dyDescent="0.25">
      <c r="A923" s="14" t="s">
        <v>13</v>
      </c>
      <c r="B923" s="14" t="s">
        <v>5813</v>
      </c>
      <c r="C923" s="14" t="s">
        <v>5814</v>
      </c>
      <c r="D923" s="14" t="s">
        <v>209</v>
      </c>
      <c r="E923" s="14">
        <v>2016</v>
      </c>
      <c r="F923" s="14" t="s">
        <v>5815</v>
      </c>
      <c r="G923" s="18"/>
      <c r="H923" s="14" t="s">
        <v>5816</v>
      </c>
      <c r="I923" s="14" t="s">
        <v>4155</v>
      </c>
      <c r="J923" s="14">
        <v>2016</v>
      </c>
      <c r="K923" s="18"/>
      <c r="L923" s="18"/>
      <c r="M923" s="14" t="s">
        <v>213</v>
      </c>
      <c r="N923" s="17" t="s">
        <v>5817</v>
      </c>
      <c r="O923" s="14" t="s">
        <v>5818</v>
      </c>
      <c r="P923" s="14" t="s">
        <v>5819</v>
      </c>
      <c r="Q923" s="14" t="s">
        <v>3749</v>
      </c>
      <c r="R923" s="18"/>
      <c r="S923" s="15"/>
      <c r="T923" s="15"/>
      <c r="U923" s="15"/>
      <c r="V923" s="15"/>
    </row>
    <row r="924" spans="1:22" x14ac:dyDescent="0.25">
      <c r="A924" s="14" t="s">
        <v>13</v>
      </c>
      <c r="B924" s="14" t="s">
        <v>5820</v>
      </c>
      <c r="C924" s="14" t="s">
        <v>5821</v>
      </c>
      <c r="D924" s="14" t="s">
        <v>5822</v>
      </c>
      <c r="E924" s="14">
        <v>2018</v>
      </c>
      <c r="F924" s="14">
        <v>21</v>
      </c>
      <c r="G924" s="14">
        <v>5</v>
      </c>
      <c r="H924" s="14" t="s">
        <v>5823</v>
      </c>
      <c r="I924" s="14" t="s">
        <v>5824</v>
      </c>
      <c r="J924" s="14">
        <v>2018</v>
      </c>
      <c r="K924" s="18"/>
      <c r="L924" s="18"/>
      <c r="M924" s="14" t="s">
        <v>5825</v>
      </c>
      <c r="N924" s="17" t="s">
        <v>5826</v>
      </c>
      <c r="O924" s="14" t="s">
        <v>5827</v>
      </c>
      <c r="P924" s="14" t="s">
        <v>5828</v>
      </c>
      <c r="Q924" s="14" t="s">
        <v>2723</v>
      </c>
      <c r="R924" s="18"/>
      <c r="S924" s="15"/>
      <c r="T924" s="15"/>
      <c r="U924" s="15"/>
      <c r="V924" s="15"/>
    </row>
    <row r="925" spans="1:22" x14ac:dyDescent="0.25">
      <c r="A925" s="14" t="s">
        <v>141</v>
      </c>
      <c r="B925" s="14" t="s">
        <v>5829</v>
      </c>
      <c r="C925" s="14" t="s">
        <v>5830</v>
      </c>
      <c r="D925" s="18"/>
      <c r="E925" s="14">
        <v>2017</v>
      </c>
      <c r="F925" s="14" t="s">
        <v>5397</v>
      </c>
      <c r="G925" s="18"/>
      <c r="H925" s="14" t="s">
        <v>5831</v>
      </c>
      <c r="I925" s="14" t="s">
        <v>196</v>
      </c>
      <c r="J925" s="14">
        <v>2017</v>
      </c>
      <c r="K925" s="14">
        <v>9781509040391</v>
      </c>
      <c r="L925" s="18"/>
      <c r="M925" s="14" t="s">
        <v>197</v>
      </c>
      <c r="N925" s="17" t="s">
        <v>5832</v>
      </c>
      <c r="O925" s="14" t="s">
        <v>5833</v>
      </c>
      <c r="P925" s="14" t="s">
        <v>5834</v>
      </c>
      <c r="Q925" s="14" t="s">
        <v>5835</v>
      </c>
      <c r="R925" s="18"/>
      <c r="S925" s="15"/>
      <c r="T925" s="15"/>
      <c r="U925" s="15"/>
      <c r="V925" s="15"/>
    </row>
    <row r="926" spans="1:22" x14ac:dyDescent="0.25">
      <c r="A926" s="14" t="s">
        <v>141</v>
      </c>
      <c r="B926" s="14" t="s">
        <v>5836</v>
      </c>
      <c r="C926" s="14" t="s">
        <v>5837</v>
      </c>
      <c r="D926" s="18"/>
      <c r="E926" s="14">
        <v>2016</v>
      </c>
      <c r="F926" s="14" t="s">
        <v>5838</v>
      </c>
      <c r="G926" s="18"/>
      <c r="H926" s="14" t="s">
        <v>5839</v>
      </c>
      <c r="I926" s="14" t="s">
        <v>145</v>
      </c>
      <c r="J926" s="14">
        <v>2016</v>
      </c>
      <c r="K926" s="14">
        <v>9781450342322</v>
      </c>
      <c r="L926" s="18"/>
      <c r="M926" s="18"/>
      <c r="N926" s="17" t="s">
        <v>5840</v>
      </c>
      <c r="O926" s="14" t="s">
        <v>5841</v>
      </c>
      <c r="P926" s="14" t="s">
        <v>5842</v>
      </c>
      <c r="Q926" s="14" t="s">
        <v>318</v>
      </c>
      <c r="R926" s="18"/>
      <c r="S926" s="15"/>
      <c r="T926" s="15"/>
      <c r="U926" s="15"/>
      <c r="V926" s="15"/>
    </row>
    <row r="927" spans="1:22" x14ac:dyDescent="0.25">
      <c r="A927" s="14" t="s">
        <v>141</v>
      </c>
      <c r="B927" s="14" t="s">
        <v>4257</v>
      </c>
      <c r="C927" s="14" t="s">
        <v>5843</v>
      </c>
      <c r="D927" s="18"/>
      <c r="E927" s="14">
        <v>2017</v>
      </c>
      <c r="F927" s="18"/>
      <c r="G927" s="18"/>
      <c r="H927" s="14" t="s">
        <v>5844</v>
      </c>
      <c r="I927" s="14" t="s">
        <v>257</v>
      </c>
      <c r="J927" s="14">
        <v>2017</v>
      </c>
      <c r="K927" s="14">
        <v>9781538621400</v>
      </c>
      <c r="L927" s="18"/>
      <c r="M927" s="18"/>
      <c r="N927" s="17" t="s">
        <v>5845</v>
      </c>
      <c r="O927" s="14" t="s">
        <v>5846</v>
      </c>
      <c r="P927" s="14" t="s">
        <v>5847</v>
      </c>
      <c r="Q927" s="14" t="s">
        <v>3633</v>
      </c>
      <c r="R927" s="18"/>
      <c r="S927" s="15"/>
      <c r="T927" s="15"/>
      <c r="U927" s="15"/>
      <c r="V927" s="15"/>
    </row>
    <row r="928" spans="1:22" x14ac:dyDescent="0.25">
      <c r="A928" s="14" t="s">
        <v>141</v>
      </c>
      <c r="B928" s="14" t="s">
        <v>5848</v>
      </c>
      <c r="C928" s="14" t="s">
        <v>5849</v>
      </c>
      <c r="D928" s="18"/>
      <c r="E928" s="14">
        <v>2018</v>
      </c>
      <c r="F928" s="18"/>
      <c r="G928" s="18"/>
      <c r="H928" s="14" t="s">
        <v>5850</v>
      </c>
      <c r="I928" s="14" t="s">
        <v>196</v>
      </c>
      <c r="J928" s="14">
        <v>2018</v>
      </c>
      <c r="K928" s="14">
        <v>9781450356633</v>
      </c>
      <c r="L928" s="18"/>
      <c r="M928" s="14" t="s">
        <v>1458</v>
      </c>
      <c r="N928" s="17" t="s">
        <v>5851</v>
      </c>
      <c r="O928" s="14" t="s">
        <v>5852</v>
      </c>
      <c r="P928" s="14" t="s">
        <v>5853</v>
      </c>
      <c r="Q928" s="14" t="s">
        <v>2420</v>
      </c>
      <c r="R928" s="18"/>
      <c r="S928" s="15"/>
      <c r="T928" s="15"/>
      <c r="U928" s="15"/>
      <c r="V928" s="15"/>
    </row>
    <row r="929" spans="1:22" x14ac:dyDescent="0.25">
      <c r="A929" s="14" t="s">
        <v>141</v>
      </c>
      <c r="B929" s="14" t="s">
        <v>5854</v>
      </c>
      <c r="C929" s="14" t="s">
        <v>5855</v>
      </c>
      <c r="D929" s="18"/>
      <c r="E929" s="14">
        <v>2018</v>
      </c>
      <c r="F929" s="21">
        <v>43282</v>
      </c>
      <c r="G929" s="18"/>
      <c r="H929" s="14" t="s">
        <v>5856</v>
      </c>
      <c r="I929" s="14" t="s">
        <v>933</v>
      </c>
      <c r="J929" s="14">
        <v>2018</v>
      </c>
      <c r="K929" s="14">
        <v>9781891706448</v>
      </c>
      <c r="L929" s="18"/>
      <c r="M929" s="14" t="s">
        <v>934</v>
      </c>
      <c r="N929" s="17" t="s">
        <v>5857</v>
      </c>
      <c r="O929" s="14" t="s">
        <v>5858</v>
      </c>
      <c r="P929" s="14" t="s">
        <v>5859</v>
      </c>
      <c r="Q929" s="14" t="s">
        <v>5860</v>
      </c>
      <c r="R929" s="18"/>
      <c r="S929" s="15"/>
      <c r="T929" s="15"/>
      <c r="U929" s="15"/>
      <c r="V929" s="15"/>
    </row>
    <row r="930" spans="1:22" x14ac:dyDescent="0.25">
      <c r="A930" s="14" t="s">
        <v>13</v>
      </c>
      <c r="B930" s="14" t="s">
        <v>5861</v>
      </c>
      <c r="C930" s="14" t="s">
        <v>5862</v>
      </c>
      <c r="D930" s="14" t="s">
        <v>354</v>
      </c>
      <c r="E930" s="14">
        <v>2018</v>
      </c>
      <c r="F930" s="14">
        <v>135</v>
      </c>
      <c r="G930" s="18"/>
      <c r="H930" s="14" t="s">
        <v>5863</v>
      </c>
      <c r="I930" s="14" t="s">
        <v>355</v>
      </c>
      <c r="J930" s="14">
        <v>2018</v>
      </c>
      <c r="K930" s="18"/>
      <c r="L930" s="18"/>
      <c r="M930" s="14" t="s">
        <v>65</v>
      </c>
      <c r="N930" s="17" t="s">
        <v>5864</v>
      </c>
      <c r="O930" s="14" t="s">
        <v>5865</v>
      </c>
      <c r="P930" s="14" t="s">
        <v>5866</v>
      </c>
      <c r="Q930" s="14" t="s">
        <v>747</v>
      </c>
      <c r="R930" s="18"/>
      <c r="S930" s="15"/>
      <c r="T930" s="15"/>
      <c r="U930" s="15"/>
      <c r="V930" s="15"/>
    </row>
    <row r="931" spans="1:22" x14ac:dyDescent="0.25">
      <c r="A931" s="14" t="s">
        <v>141</v>
      </c>
      <c r="B931" s="14" t="s">
        <v>5867</v>
      </c>
      <c r="C931" s="14" t="s">
        <v>5868</v>
      </c>
      <c r="D931" s="18"/>
      <c r="E931" s="14">
        <v>2017</v>
      </c>
      <c r="F931" s="14">
        <v>2</v>
      </c>
      <c r="G931" s="18"/>
      <c r="H931" s="14" t="s">
        <v>5869</v>
      </c>
      <c r="I931" s="14" t="s">
        <v>2565</v>
      </c>
      <c r="J931" s="14">
        <v>2017</v>
      </c>
      <c r="K931" s="14">
        <v>9781945626760</v>
      </c>
      <c r="L931" s="18"/>
      <c r="M931" s="18"/>
      <c r="N931" s="17" t="s">
        <v>5870</v>
      </c>
      <c r="O931" s="14" t="s">
        <v>5871</v>
      </c>
      <c r="P931" s="14" t="s">
        <v>5872</v>
      </c>
      <c r="Q931" s="14" t="s">
        <v>3225</v>
      </c>
      <c r="R931" s="18"/>
      <c r="S931" s="15"/>
      <c r="T931" s="15"/>
      <c r="U931" s="15"/>
      <c r="V931" s="15"/>
    </row>
    <row r="932" spans="1:22" x14ac:dyDescent="0.25">
      <c r="A932" s="14" t="s">
        <v>539</v>
      </c>
      <c r="B932" s="14" t="s">
        <v>5873</v>
      </c>
      <c r="C932" s="14" t="s">
        <v>5874</v>
      </c>
      <c r="D932" s="18"/>
      <c r="E932" s="14">
        <v>2015</v>
      </c>
      <c r="F932" s="18"/>
      <c r="G932" s="18"/>
      <c r="H932" s="18"/>
      <c r="I932" s="14" t="s">
        <v>355</v>
      </c>
      <c r="J932" s="14">
        <v>2015</v>
      </c>
      <c r="K932" s="14">
        <v>9780124115439</v>
      </c>
      <c r="L932" s="14">
        <v>9780124115194</v>
      </c>
      <c r="M932" s="18"/>
      <c r="N932" s="17" t="s">
        <v>5875</v>
      </c>
      <c r="O932" s="14" t="s">
        <v>5876</v>
      </c>
      <c r="P932" s="14" t="s">
        <v>5877</v>
      </c>
      <c r="Q932" s="14" t="s">
        <v>3633</v>
      </c>
      <c r="R932" s="14" t="s">
        <v>5878</v>
      </c>
      <c r="S932" s="15"/>
      <c r="T932" s="15"/>
      <c r="U932" s="15"/>
      <c r="V932" s="15"/>
    </row>
    <row r="933" spans="1:22" x14ac:dyDescent="0.25">
      <c r="A933" s="14" t="s">
        <v>13</v>
      </c>
      <c r="B933" s="14" t="s">
        <v>5879</v>
      </c>
      <c r="C933" s="14" t="s">
        <v>5880</v>
      </c>
      <c r="D933" s="14" t="s">
        <v>523</v>
      </c>
      <c r="E933" s="14">
        <v>2017</v>
      </c>
      <c r="F933" s="14">
        <v>25</v>
      </c>
      <c r="G933" s="14">
        <v>3</v>
      </c>
      <c r="H933" s="14" t="s">
        <v>5881</v>
      </c>
      <c r="I933" s="14" t="s">
        <v>3998</v>
      </c>
      <c r="J933" s="14">
        <v>2017</v>
      </c>
      <c r="K933" s="18"/>
      <c r="L933" s="18"/>
      <c r="M933" s="14" t="s">
        <v>525</v>
      </c>
      <c r="N933" s="17" t="s">
        <v>5882</v>
      </c>
      <c r="O933" s="14" t="s">
        <v>5883</v>
      </c>
      <c r="P933" s="14" t="s">
        <v>5884</v>
      </c>
      <c r="Q933" s="14" t="s">
        <v>3003</v>
      </c>
      <c r="R933" s="18"/>
      <c r="S933" s="15"/>
      <c r="T933" s="15"/>
      <c r="U933" s="15"/>
      <c r="V933" s="15"/>
    </row>
    <row r="934" spans="1:22" x14ac:dyDescent="0.25">
      <c r="A934" s="14" t="s">
        <v>141</v>
      </c>
      <c r="B934" s="14" t="s">
        <v>5549</v>
      </c>
      <c r="C934" s="14" t="s">
        <v>5885</v>
      </c>
      <c r="D934" s="18"/>
      <c r="E934" s="14">
        <v>2016</v>
      </c>
      <c r="F934" s="14" t="s">
        <v>5838</v>
      </c>
      <c r="G934" s="18"/>
      <c r="H934" s="14" t="s">
        <v>5886</v>
      </c>
      <c r="I934" s="14" t="s">
        <v>145</v>
      </c>
      <c r="J934" s="14">
        <v>2016</v>
      </c>
      <c r="K934" s="14">
        <v>9781450342322</v>
      </c>
      <c r="L934" s="18"/>
      <c r="M934" s="18"/>
      <c r="N934" s="17" t="s">
        <v>5887</v>
      </c>
      <c r="O934" s="14" t="s">
        <v>5888</v>
      </c>
      <c r="P934" s="14" t="s">
        <v>5889</v>
      </c>
      <c r="Q934" s="14" t="s">
        <v>5890</v>
      </c>
      <c r="R934" s="18"/>
      <c r="S934" s="15"/>
      <c r="T934" s="15"/>
      <c r="U934" s="15"/>
      <c r="V934" s="15"/>
    </row>
    <row r="935" spans="1:22" x14ac:dyDescent="0.25">
      <c r="A935" s="14" t="s">
        <v>141</v>
      </c>
      <c r="B935" s="14" t="s">
        <v>5891</v>
      </c>
      <c r="C935" s="14" t="s">
        <v>5892</v>
      </c>
      <c r="D935" s="18"/>
      <c r="E935" s="14">
        <v>2015</v>
      </c>
      <c r="F935" s="18"/>
      <c r="G935" s="18"/>
      <c r="H935" s="14" t="s">
        <v>5893</v>
      </c>
      <c r="I935" s="14" t="s">
        <v>257</v>
      </c>
      <c r="J935" s="14">
        <v>2015</v>
      </c>
      <c r="K935" s="14">
        <v>9781467373784</v>
      </c>
      <c r="L935" s="18"/>
      <c r="M935" s="18"/>
      <c r="N935" s="17" t="s">
        <v>5894</v>
      </c>
      <c r="O935" s="14" t="s">
        <v>5895</v>
      </c>
      <c r="P935" s="14" t="s">
        <v>5896</v>
      </c>
      <c r="Q935" s="14" t="s">
        <v>4052</v>
      </c>
      <c r="R935" s="18"/>
      <c r="S935" s="15"/>
      <c r="T935" s="15"/>
      <c r="U935" s="15"/>
      <c r="V935" s="15"/>
    </row>
    <row r="936" spans="1:22" x14ac:dyDescent="0.25">
      <c r="A936" s="14" t="s">
        <v>13</v>
      </c>
      <c r="B936" s="14" t="s">
        <v>5897</v>
      </c>
      <c r="C936" s="14" t="s">
        <v>5898</v>
      </c>
      <c r="D936" s="14" t="s">
        <v>462</v>
      </c>
      <c r="E936" s="14">
        <v>2018</v>
      </c>
      <c r="F936" s="14">
        <v>918</v>
      </c>
      <c r="G936" s="18"/>
      <c r="H936" s="14" t="s">
        <v>5899</v>
      </c>
      <c r="I936" s="14" t="s">
        <v>4155</v>
      </c>
      <c r="J936" s="14">
        <v>2018</v>
      </c>
      <c r="K936" s="18"/>
      <c r="L936" s="18"/>
      <c r="M936" s="14" t="s">
        <v>465</v>
      </c>
      <c r="N936" s="17" t="s">
        <v>5900</v>
      </c>
      <c r="O936" s="14" t="s">
        <v>5901</v>
      </c>
      <c r="P936" s="14" t="s">
        <v>5902</v>
      </c>
      <c r="Q936" s="14" t="s">
        <v>176</v>
      </c>
      <c r="R936" s="18"/>
      <c r="S936" s="15"/>
      <c r="T936" s="15"/>
      <c r="U936" s="15"/>
      <c r="V936" s="15"/>
    </row>
    <row r="937" spans="1:22" x14ac:dyDescent="0.25">
      <c r="A937" s="14" t="s">
        <v>13</v>
      </c>
      <c r="B937" s="14" t="s">
        <v>5903</v>
      </c>
      <c r="C937" s="14" t="s">
        <v>5904</v>
      </c>
      <c r="D937" s="14" t="s">
        <v>5905</v>
      </c>
      <c r="E937" s="14">
        <v>2018</v>
      </c>
      <c r="F937" s="14">
        <v>11</v>
      </c>
      <c r="G937" s="14">
        <v>2</v>
      </c>
      <c r="H937" s="14" t="s">
        <v>5906</v>
      </c>
      <c r="I937" s="14" t="s">
        <v>5907</v>
      </c>
      <c r="J937" s="14">
        <v>2018</v>
      </c>
      <c r="K937" s="18"/>
      <c r="L937" s="18"/>
      <c r="M937" s="14" t="s">
        <v>5908</v>
      </c>
      <c r="N937" s="17" t="s">
        <v>5909</v>
      </c>
      <c r="O937" s="18"/>
      <c r="P937" s="14" t="s">
        <v>5910</v>
      </c>
      <c r="Q937" s="14" t="s">
        <v>185</v>
      </c>
      <c r="R937" s="18"/>
      <c r="S937" s="15"/>
      <c r="T937" s="15"/>
      <c r="U937" s="15"/>
      <c r="V937" s="15"/>
    </row>
    <row r="938" spans="1:22" x14ac:dyDescent="0.25">
      <c r="A938" s="14" t="s">
        <v>141</v>
      </c>
      <c r="B938" s="14" t="s">
        <v>5911</v>
      </c>
      <c r="C938" s="14" t="s">
        <v>5912</v>
      </c>
      <c r="D938" s="18"/>
      <c r="E938" s="14">
        <v>2018</v>
      </c>
      <c r="F938" s="18"/>
      <c r="G938" s="18"/>
      <c r="H938" s="14" t="s">
        <v>4109</v>
      </c>
      <c r="I938" s="14" t="s">
        <v>5913</v>
      </c>
      <c r="J938" s="14">
        <v>2018</v>
      </c>
      <c r="K938" s="18"/>
      <c r="L938" s="18"/>
      <c r="M938" s="18"/>
      <c r="N938" s="17" t="s">
        <v>5914</v>
      </c>
      <c r="O938" s="18"/>
      <c r="P938" s="14" t="s">
        <v>5915</v>
      </c>
      <c r="Q938" s="14" t="s">
        <v>318</v>
      </c>
      <c r="R938" s="18"/>
      <c r="S938" s="15"/>
      <c r="T938" s="15"/>
      <c r="U938" s="15"/>
      <c r="V938" s="15"/>
    </row>
    <row r="939" spans="1:22" x14ac:dyDescent="0.25">
      <c r="A939" s="14" t="s">
        <v>141</v>
      </c>
      <c r="B939" s="14" t="s">
        <v>5144</v>
      </c>
      <c r="C939" s="14" t="s">
        <v>5145</v>
      </c>
      <c r="D939" s="18"/>
      <c r="E939" s="14">
        <v>2018</v>
      </c>
      <c r="F939" s="18"/>
      <c r="G939" s="18"/>
      <c r="H939" s="14" t="s">
        <v>5146</v>
      </c>
      <c r="I939" s="14" t="s">
        <v>257</v>
      </c>
      <c r="J939" s="14">
        <v>2018</v>
      </c>
      <c r="K939" s="14">
        <v>9781450356619</v>
      </c>
      <c r="L939" s="18"/>
      <c r="M939" s="18"/>
      <c r="N939" s="17" t="s">
        <v>5916</v>
      </c>
      <c r="O939" s="14" t="s">
        <v>5148</v>
      </c>
      <c r="P939" s="14" t="s">
        <v>5149</v>
      </c>
      <c r="Q939" s="14" t="s">
        <v>1404</v>
      </c>
      <c r="R939" s="18"/>
      <c r="S939" s="15"/>
      <c r="T939" s="15"/>
      <c r="U939" s="15"/>
      <c r="V939" s="15"/>
    </row>
    <row r="940" spans="1:22" x14ac:dyDescent="0.25">
      <c r="A940" s="14" t="s">
        <v>141</v>
      </c>
      <c r="B940" s="14" t="s">
        <v>5917</v>
      </c>
      <c r="C940" s="14" t="s">
        <v>5918</v>
      </c>
      <c r="D940" s="18"/>
      <c r="E940" s="14">
        <v>2018</v>
      </c>
      <c r="F940" s="18"/>
      <c r="G940" s="18"/>
      <c r="H940" s="14" t="s">
        <v>5919</v>
      </c>
      <c r="I940" s="14" t="s">
        <v>196</v>
      </c>
      <c r="J940" s="14">
        <v>2018</v>
      </c>
      <c r="K940" s="14">
        <v>9781450357166</v>
      </c>
      <c r="L940" s="18"/>
      <c r="M940" s="14" t="s">
        <v>1458</v>
      </c>
      <c r="N940" s="17" t="s">
        <v>5920</v>
      </c>
      <c r="O940" s="14" t="s">
        <v>5921</v>
      </c>
      <c r="P940" s="14" t="s">
        <v>5922</v>
      </c>
      <c r="Q940" s="14" t="s">
        <v>5923</v>
      </c>
      <c r="R940" s="18"/>
      <c r="S940" s="15"/>
      <c r="T940" s="15"/>
      <c r="U940" s="15"/>
      <c r="V940" s="15"/>
    </row>
    <row r="941" spans="1:22" x14ac:dyDescent="0.25">
      <c r="A941" s="14" t="s">
        <v>13</v>
      </c>
      <c r="B941" s="14" t="s">
        <v>5924</v>
      </c>
      <c r="C941" s="14" t="s">
        <v>5925</v>
      </c>
      <c r="D941" s="14" t="s">
        <v>3475</v>
      </c>
      <c r="E941" s="14">
        <v>2019</v>
      </c>
      <c r="F941" s="14">
        <v>741</v>
      </c>
      <c r="G941" s="18"/>
      <c r="H941" s="14" t="s">
        <v>5926</v>
      </c>
      <c r="I941" s="14" t="s">
        <v>4155</v>
      </c>
      <c r="J941" s="14">
        <v>2019</v>
      </c>
      <c r="K941" s="18"/>
      <c r="L941" s="18"/>
      <c r="M941" s="14" t="s">
        <v>3478</v>
      </c>
      <c r="N941" s="17" t="s">
        <v>5927</v>
      </c>
      <c r="O941" s="14" t="s">
        <v>5928</v>
      </c>
      <c r="P941" s="14" t="s">
        <v>5929</v>
      </c>
      <c r="Q941" s="14" t="s">
        <v>5930</v>
      </c>
      <c r="R941" s="18"/>
      <c r="S941" s="15"/>
      <c r="T941" s="15"/>
      <c r="U941" s="15"/>
      <c r="V941" s="15"/>
    </row>
    <row r="942" spans="1:22" x14ac:dyDescent="0.25">
      <c r="A942" s="14" t="s">
        <v>141</v>
      </c>
      <c r="B942" s="14" t="s">
        <v>4452</v>
      </c>
      <c r="C942" s="14" t="s">
        <v>5931</v>
      </c>
      <c r="D942" s="18"/>
      <c r="E942" s="14">
        <v>2018</v>
      </c>
      <c r="F942" s="18"/>
      <c r="G942" s="18"/>
      <c r="H942" s="14" t="s">
        <v>5932</v>
      </c>
      <c r="I942" s="14" t="s">
        <v>257</v>
      </c>
      <c r="J942" s="14">
        <v>2018</v>
      </c>
      <c r="K942" s="14">
        <v>9781538673829</v>
      </c>
      <c r="L942" s="18"/>
      <c r="M942" s="18"/>
      <c r="N942" s="17" t="s">
        <v>5933</v>
      </c>
      <c r="O942" s="14" t="s">
        <v>5934</v>
      </c>
      <c r="P942" s="14" t="s">
        <v>5935</v>
      </c>
      <c r="Q942" s="14" t="s">
        <v>2286</v>
      </c>
      <c r="R942" s="18"/>
      <c r="S942" s="15"/>
      <c r="T942" s="15"/>
      <c r="U942" s="15"/>
      <c r="V942" s="15"/>
    </row>
    <row r="943" spans="1:22" x14ac:dyDescent="0.25">
      <c r="A943" s="14" t="s">
        <v>141</v>
      </c>
      <c r="B943" s="14" t="s">
        <v>5936</v>
      </c>
      <c r="C943" s="14" t="s">
        <v>5937</v>
      </c>
      <c r="D943" s="18"/>
      <c r="E943" s="14">
        <v>2018</v>
      </c>
      <c r="F943" s="14">
        <v>2</v>
      </c>
      <c r="G943" s="18"/>
      <c r="H943" s="14" t="s">
        <v>5938</v>
      </c>
      <c r="I943" s="14" t="s">
        <v>2565</v>
      </c>
      <c r="J943" s="14">
        <v>2018</v>
      </c>
      <c r="K943" s="14">
        <v>9781948087292</v>
      </c>
      <c r="L943" s="18"/>
      <c r="M943" s="18"/>
      <c r="N943" s="17" t="s">
        <v>5939</v>
      </c>
      <c r="O943" s="18"/>
      <c r="P943" s="14" t="s">
        <v>5940</v>
      </c>
      <c r="Q943" s="14" t="s">
        <v>5941</v>
      </c>
      <c r="R943" s="18"/>
      <c r="S943" s="15"/>
      <c r="T943" s="15"/>
      <c r="U943" s="15"/>
      <c r="V943" s="15"/>
    </row>
    <row r="944" spans="1:22" x14ac:dyDescent="0.25">
      <c r="A944" s="14" t="s">
        <v>141</v>
      </c>
      <c r="B944" s="14" t="s">
        <v>5942</v>
      </c>
      <c r="C944" s="14" t="s">
        <v>5943</v>
      </c>
      <c r="D944" s="18"/>
      <c r="E944" s="14">
        <v>2017</v>
      </c>
      <c r="F944" s="21">
        <v>42736</v>
      </c>
      <c r="G944" s="18"/>
      <c r="H944" s="14" t="s">
        <v>4741</v>
      </c>
      <c r="I944" s="14" t="s">
        <v>257</v>
      </c>
      <c r="J944" s="14">
        <v>2017</v>
      </c>
      <c r="K944" s="14">
        <v>9781538606834</v>
      </c>
      <c r="L944" s="18"/>
      <c r="M944" s="18"/>
      <c r="N944" s="17" t="s">
        <v>5944</v>
      </c>
      <c r="O944" s="14" t="s">
        <v>5945</v>
      </c>
      <c r="P944" s="14" t="s">
        <v>5946</v>
      </c>
      <c r="Q944" s="14" t="s">
        <v>5947</v>
      </c>
      <c r="R944" s="18"/>
      <c r="S944" s="15"/>
      <c r="T944" s="15"/>
      <c r="U944" s="15"/>
      <c r="V944" s="15"/>
    </row>
    <row r="945" spans="1:22" x14ac:dyDescent="0.25">
      <c r="A945" s="14" t="s">
        <v>13</v>
      </c>
      <c r="B945" s="14" t="s">
        <v>125</v>
      </c>
      <c r="C945" s="14" t="s">
        <v>126</v>
      </c>
      <c r="D945" s="14" t="s">
        <v>354</v>
      </c>
      <c r="E945" s="14">
        <v>2018</v>
      </c>
      <c r="F945" s="14">
        <v>138</v>
      </c>
      <c r="G945" s="18"/>
      <c r="H945" s="14" t="s">
        <v>5948</v>
      </c>
      <c r="I945" s="14" t="s">
        <v>355</v>
      </c>
      <c r="J945" s="14">
        <v>2018</v>
      </c>
      <c r="K945" s="18"/>
      <c r="L945" s="18"/>
      <c r="M945" s="14" t="s">
        <v>65</v>
      </c>
      <c r="N945" s="17" t="s">
        <v>5949</v>
      </c>
      <c r="O945" s="14" t="s">
        <v>129</v>
      </c>
      <c r="P945" s="14" t="s">
        <v>5950</v>
      </c>
      <c r="Q945" s="14" t="s">
        <v>5951</v>
      </c>
      <c r="R945" s="18"/>
      <c r="S945" s="15"/>
      <c r="T945" s="15"/>
      <c r="U945" s="15"/>
      <c r="V945" s="15"/>
    </row>
    <row r="946" spans="1:22" x14ac:dyDescent="0.25">
      <c r="A946" s="14" t="s">
        <v>141</v>
      </c>
      <c r="B946" s="14" t="s">
        <v>5952</v>
      </c>
      <c r="C946" s="14" t="s">
        <v>5953</v>
      </c>
      <c r="D946" s="18"/>
      <c r="E946" s="14">
        <v>2017</v>
      </c>
      <c r="F946" s="18"/>
      <c r="G946" s="18"/>
      <c r="H946" s="14" t="s">
        <v>5954</v>
      </c>
      <c r="I946" s="14" t="s">
        <v>257</v>
      </c>
      <c r="J946" s="14">
        <v>2017</v>
      </c>
      <c r="K946" s="14">
        <v>9781538631911</v>
      </c>
      <c r="L946" s="18"/>
      <c r="M946" s="18"/>
      <c r="N946" s="17" t="s">
        <v>5955</v>
      </c>
      <c r="O946" s="14" t="s">
        <v>5956</v>
      </c>
      <c r="P946" s="14" t="s">
        <v>5957</v>
      </c>
      <c r="Q946" s="14" t="s">
        <v>5958</v>
      </c>
      <c r="R946" s="18"/>
      <c r="S946" s="15"/>
      <c r="T946" s="15"/>
      <c r="U946" s="15"/>
      <c r="V946" s="15"/>
    </row>
    <row r="947" spans="1:22" x14ac:dyDescent="0.25">
      <c r="A947" s="14" t="s">
        <v>141</v>
      </c>
      <c r="B947" s="14" t="s">
        <v>5959</v>
      </c>
      <c r="C947" s="14" t="s">
        <v>5960</v>
      </c>
      <c r="D947" s="18"/>
      <c r="E947" s="14">
        <v>2018</v>
      </c>
      <c r="F947" s="14">
        <v>2361</v>
      </c>
      <c r="G947" s="18"/>
      <c r="H947" s="18"/>
      <c r="I947" s="14" t="s">
        <v>613</v>
      </c>
      <c r="J947" s="14">
        <v>2018</v>
      </c>
      <c r="K947" s="18"/>
      <c r="L947" s="18"/>
      <c r="M947" s="14" t="s">
        <v>614</v>
      </c>
      <c r="N947" s="17" t="s">
        <v>5961</v>
      </c>
      <c r="O947" s="18"/>
      <c r="P947" s="14" t="s">
        <v>5962</v>
      </c>
      <c r="Q947" s="14" t="s">
        <v>318</v>
      </c>
      <c r="R947" s="18"/>
      <c r="S947" s="15"/>
      <c r="T947" s="15"/>
      <c r="U947" s="15"/>
      <c r="V947" s="15"/>
    </row>
    <row r="948" spans="1:22" x14ac:dyDescent="0.25">
      <c r="A948" s="14" t="s">
        <v>13</v>
      </c>
      <c r="B948" s="14" t="s">
        <v>5963</v>
      </c>
      <c r="C948" s="14" t="s">
        <v>5964</v>
      </c>
      <c r="D948" s="14" t="s">
        <v>971</v>
      </c>
      <c r="E948" s="14">
        <v>2017</v>
      </c>
      <c r="F948" s="14">
        <v>72</v>
      </c>
      <c r="G948" s="18"/>
      <c r="H948" s="14" t="s">
        <v>5965</v>
      </c>
      <c r="I948" s="14" t="s">
        <v>280</v>
      </c>
      <c r="J948" s="14">
        <v>2017</v>
      </c>
      <c r="K948" s="18"/>
      <c r="L948" s="18"/>
      <c r="M948" s="14" t="s">
        <v>973</v>
      </c>
      <c r="N948" s="17" t="s">
        <v>5966</v>
      </c>
      <c r="O948" s="14" t="s">
        <v>5967</v>
      </c>
      <c r="P948" s="14" t="s">
        <v>5968</v>
      </c>
      <c r="Q948" s="14" t="s">
        <v>3407</v>
      </c>
      <c r="R948" s="18"/>
      <c r="S948" s="15"/>
      <c r="T948" s="15"/>
      <c r="U948" s="15"/>
      <c r="V948" s="15"/>
    </row>
    <row r="949" spans="1:22" x14ac:dyDescent="0.25">
      <c r="A949" s="14" t="s">
        <v>141</v>
      </c>
      <c r="B949" s="14" t="s">
        <v>5969</v>
      </c>
      <c r="C949" s="14" t="s">
        <v>5970</v>
      </c>
      <c r="D949" s="18"/>
      <c r="E949" s="14">
        <v>2018</v>
      </c>
      <c r="F949" s="18"/>
      <c r="G949" s="18"/>
      <c r="H949" s="14" t="s">
        <v>5971</v>
      </c>
      <c r="I949" s="14" t="s">
        <v>257</v>
      </c>
      <c r="J949" s="14">
        <v>2018</v>
      </c>
      <c r="K949" s="14">
        <v>9781538663523</v>
      </c>
      <c r="L949" s="18"/>
      <c r="M949" s="18"/>
      <c r="N949" s="17" t="s">
        <v>5972</v>
      </c>
      <c r="O949" s="14" t="s">
        <v>5973</v>
      </c>
      <c r="P949" s="14" t="s">
        <v>5974</v>
      </c>
      <c r="Q949" s="14" t="s">
        <v>4009</v>
      </c>
      <c r="R949" s="18"/>
      <c r="S949" s="15"/>
      <c r="T949" s="15"/>
      <c r="U949" s="15"/>
      <c r="V949" s="15"/>
    </row>
    <row r="950" spans="1:22" x14ac:dyDescent="0.25">
      <c r="A950" s="14" t="s">
        <v>141</v>
      </c>
      <c r="B950" s="14" t="s">
        <v>5975</v>
      </c>
      <c r="C950" s="14" t="s">
        <v>5976</v>
      </c>
      <c r="D950" s="18"/>
      <c r="E950" s="14">
        <v>2018</v>
      </c>
      <c r="F950" s="21">
        <v>43160</v>
      </c>
      <c r="G950" s="18"/>
      <c r="H950" s="14" t="s">
        <v>5977</v>
      </c>
      <c r="I950" s="14" t="s">
        <v>257</v>
      </c>
      <c r="J950" s="14">
        <v>2018</v>
      </c>
      <c r="K950" s="14">
        <v>9781538649695</v>
      </c>
      <c r="L950" s="18"/>
      <c r="M950" s="18"/>
      <c r="N950" s="17" t="s">
        <v>5978</v>
      </c>
      <c r="O950" s="14" t="s">
        <v>5979</v>
      </c>
      <c r="P950" s="14" t="s">
        <v>5980</v>
      </c>
      <c r="Q950" s="14" t="s">
        <v>5981</v>
      </c>
      <c r="R950" s="18"/>
      <c r="S950" s="15"/>
      <c r="T950" s="15"/>
      <c r="U950" s="15"/>
      <c r="V950" s="15"/>
    </row>
    <row r="951" spans="1:22" x14ac:dyDescent="0.25">
      <c r="A951" s="14" t="s">
        <v>13</v>
      </c>
      <c r="B951" s="14" t="s">
        <v>5982</v>
      </c>
      <c r="C951" s="14" t="s">
        <v>5983</v>
      </c>
      <c r="D951" s="14" t="s">
        <v>2974</v>
      </c>
      <c r="E951" s="14">
        <v>2016</v>
      </c>
      <c r="F951" s="14">
        <v>472</v>
      </c>
      <c r="G951" s="18"/>
      <c r="H951" s="14" t="s">
        <v>5984</v>
      </c>
      <c r="I951" s="14" t="s">
        <v>3998</v>
      </c>
      <c r="J951" s="14">
        <v>2016</v>
      </c>
      <c r="K951" s="18"/>
      <c r="L951" s="18"/>
      <c r="M951" s="14" t="s">
        <v>2976</v>
      </c>
      <c r="N951" s="17" t="s">
        <v>5985</v>
      </c>
      <c r="O951" s="14" t="s">
        <v>5986</v>
      </c>
      <c r="P951" s="14" t="s">
        <v>5987</v>
      </c>
      <c r="Q951" s="14" t="s">
        <v>818</v>
      </c>
      <c r="R951" s="18"/>
      <c r="S951" s="15"/>
      <c r="T951" s="15"/>
      <c r="U951" s="15"/>
      <c r="V951" s="15"/>
    </row>
    <row r="952" spans="1:22" x14ac:dyDescent="0.25">
      <c r="A952" s="14" t="s">
        <v>13</v>
      </c>
      <c r="B952" s="14" t="s">
        <v>5988</v>
      </c>
      <c r="C952" s="14" t="s">
        <v>5989</v>
      </c>
      <c r="D952" s="14" t="s">
        <v>307</v>
      </c>
      <c r="E952" s="14">
        <v>2016</v>
      </c>
      <c r="F952" s="14">
        <v>74</v>
      </c>
      <c r="G952" s="18"/>
      <c r="H952" s="14" t="s">
        <v>5990</v>
      </c>
      <c r="I952" s="14" t="s">
        <v>280</v>
      </c>
      <c r="J952" s="14">
        <v>2016</v>
      </c>
      <c r="K952" s="18"/>
      <c r="L952" s="18"/>
      <c r="M952" s="14" t="s">
        <v>308</v>
      </c>
      <c r="N952" s="17" t="s">
        <v>5991</v>
      </c>
      <c r="O952" s="14" t="s">
        <v>5992</v>
      </c>
      <c r="P952" s="14" t="s">
        <v>5993</v>
      </c>
      <c r="Q952" s="14" t="s">
        <v>5433</v>
      </c>
      <c r="R952" s="18"/>
      <c r="S952" s="15"/>
      <c r="T952" s="15"/>
      <c r="U952" s="15"/>
      <c r="V952" s="15"/>
    </row>
    <row r="953" spans="1:22" x14ac:dyDescent="0.25">
      <c r="A953" s="14" t="s">
        <v>13</v>
      </c>
      <c r="B953" s="14" t="s">
        <v>5994</v>
      </c>
      <c r="C953" s="14" t="s">
        <v>5995</v>
      </c>
      <c r="D953" s="14" t="s">
        <v>227</v>
      </c>
      <c r="E953" s="14">
        <v>2018</v>
      </c>
      <c r="F953" s="14">
        <v>8</v>
      </c>
      <c r="G953" s="14">
        <v>10</v>
      </c>
      <c r="H953" s="18"/>
      <c r="I953" s="14" t="s">
        <v>3431</v>
      </c>
      <c r="J953" s="14">
        <v>2018</v>
      </c>
      <c r="K953" s="18"/>
      <c r="L953" s="18"/>
      <c r="M953" s="14" t="s">
        <v>229</v>
      </c>
      <c r="N953" s="17" t="s">
        <v>5996</v>
      </c>
      <c r="O953" s="14" t="s">
        <v>5997</v>
      </c>
      <c r="P953" s="14" t="s">
        <v>5998</v>
      </c>
      <c r="Q953" s="14" t="s">
        <v>3452</v>
      </c>
      <c r="R953" s="18"/>
      <c r="S953" s="15"/>
      <c r="T953" s="15"/>
      <c r="U953" s="15"/>
      <c r="V953" s="15"/>
    </row>
    <row r="954" spans="1:22" x14ac:dyDescent="0.25">
      <c r="A954" s="14" t="s">
        <v>13</v>
      </c>
      <c r="B954" s="14" t="s">
        <v>5999</v>
      </c>
      <c r="C954" s="14" t="s">
        <v>6000</v>
      </c>
      <c r="D954" s="14" t="s">
        <v>307</v>
      </c>
      <c r="E954" s="14">
        <v>2018</v>
      </c>
      <c r="F954" s="14">
        <v>99</v>
      </c>
      <c r="G954" s="18"/>
      <c r="H954" s="14" t="s">
        <v>3699</v>
      </c>
      <c r="I954" s="14" t="s">
        <v>280</v>
      </c>
      <c r="J954" s="14">
        <v>2018</v>
      </c>
      <c r="K954" s="18"/>
      <c r="L954" s="18"/>
      <c r="M954" s="14" t="s">
        <v>308</v>
      </c>
      <c r="N954" s="17" t="s">
        <v>6001</v>
      </c>
      <c r="O954" s="14" t="s">
        <v>6002</v>
      </c>
      <c r="P954" s="14" t="s">
        <v>6003</v>
      </c>
      <c r="Q954" s="14" t="s">
        <v>6004</v>
      </c>
      <c r="R954" s="18"/>
      <c r="S954" s="15"/>
      <c r="T954" s="15"/>
      <c r="U954" s="15"/>
      <c r="V954" s="15"/>
    </row>
    <row r="955" spans="1:22" x14ac:dyDescent="0.25">
      <c r="A955" s="14" t="s">
        <v>13</v>
      </c>
      <c r="B955" s="14" t="s">
        <v>82</v>
      </c>
      <c r="C955" s="14" t="s">
        <v>83</v>
      </c>
      <c r="D955" s="14" t="s">
        <v>136</v>
      </c>
      <c r="E955" s="14">
        <v>2018</v>
      </c>
      <c r="F955" s="14">
        <v>23</v>
      </c>
      <c r="G955" s="14">
        <v>1</v>
      </c>
      <c r="H955" s="14" t="s">
        <v>6005</v>
      </c>
      <c r="I955" s="14" t="s">
        <v>3998</v>
      </c>
      <c r="J955" s="14">
        <v>2018</v>
      </c>
      <c r="K955" s="18"/>
      <c r="L955" s="18"/>
      <c r="M955" s="14" t="s">
        <v>33</v>
      </c>
      <c r="N955" s="17" t="s">
        <v>6006</v>
      </c>
      <c r="O955" s="14" t="s">
        <v>86</v>
      </c>
      <c r="P955" s="14" t="s">
        <v>6007</v>
      </c>
      <c r="Q955" s="14" t="s">
        <v>5595</v>
      </c>
      <c r="R955" s="18"/>
      <c r="S955" s="15"/>
      <c r="T955" s="15"/>
      <c r="U955" s="15"/>
      <c r="V955" s="15"/>
    </row>
    <row r="956" spans="1:22" x14ac:dyDescent="0.25">
      <c r="A956" s="14" t="s">
        <v>141</v>
      </c>
      <c r="B956" s="14" t="s">
        <v>6008</v>
      </c>
      <c r="C956" s="14" t="s">
        <v>6009</v>
      </c>
      <c r="D956" s="18"/>
      <c r="E956" s="14">
        <v>2018</v>
      </c>
      <c r="F956" s="18"/>
      <c r="G956" s="18"/>
      <c r="H956" s="14" t="s">
        <v>6010</v>
      </c>
      <c r="I956" s="14" t="s">
        <v>257</v>
      </c>
      <c r="J956" s="14">
        <v>2018</v>
      </c>
      <c r="K956" s="14">
        <v>9781538655207</v>
      </c>
      <c r="L956" s="18"/>
      <c r="M956" s="18"/>
      <c r="N956" s="17" t="s">
        <v>6011</v>
      </c>
      <c r="O956" s="14" t="s">
        <v>6012</v>
      </c>
      <c r="P956" s="14" t="s">
        <v>6013</v>
      </c>
      <c r="Q956" s="14" t="s">
        <v>176</v>
      </c>
      <c r="R956" s="18"/>
      <c r="S956" s="15"/>
      <c r="T956" s="15"/>
      <c r="U956" s="15"/>
      <c r="V956" s="15"/>
    </row>
    <row r="957" spans="1:22" x14ac:dyDescent="0.25">
      <c r="A957" s="14" t="s">
        <v>13</v>
      </c>
      <c r="B957" s="14" t="s">
        <v>6014</v>
      </c>
      <c r="C957" s="14" t="s">
        <v>6015</v>
      </c>
      <c r="D957" s="14" t="s">
        <v>255</v>
      </c>
      <c r="E957" s="14">
        <v>2018</v>
      </c>
      <c r="F957" s="14">
        <v>44</v>
      </c>
      <c r="G957" s="14">
        <v>10</v>
      </c>
      <c r="H957" s="14" t="s">
        <v>6016</v>
      </c>
      <c r="I957" s="14" t="s">
        <v>257</v>
      </c>
      <c r="J957" s="14">
        <v>2018</v>
      </c>
      <c r="K957" s="18"/>
      <c r="L957" s="18"/>
      <c r="M957" s="14" t="s">
        <v>18</v>
      </c>
      <c r="N957" s="17" t="s">
        <v>6017</v>
      </c>
      <c r="O957" s="14" t="s">
        <v>6018</v>
      </c>
      <c r="P957" s="14" t="s">
        <v>6019</v>
      </c>
      <c r="Q957" s="14" t="s">
        <v>6020</v>
      </c>
      <c r="R957" s="18"/>
      <c r="S957" s="15"/>
      <c r="T957" s="15"/>
      <c r="U957" s="15"/>
      <c r="V957" s="15"/>
    </row>
    <row r="958" spans="1:22" x14ac:dyDescent="0.25">
      <c r="A958" s="14" t="s">
        <v>141</v>
      </c>
      <c r="B958" s="14" t="s">
        <v>6021</v>
      </c>
      <c r="C958" s="14" t="s">
        <v>6022</v>
      </c>
      <c r="D958" s="18"/>
      <c r="E958" s="14">
        <v>2018</v>
      </c>
      <c r="F958" s="18"/>
      <c r="G958" s="18"/>
      <c r="H958" s="14" t="s">
        <v>6023</v>
      </c>
      <c r="I958" s="14" t="s">
        <v>196</v>
      </c>
      <c r="J958" s="14">
        <v>2018</v>
      </c>
      <c r="K958" s="14">
        <v>9781450357173</v>
      </c>
      <c r="L958" s="18"/>
      <c r="M958" s="14" t="s">
        <v>1458</v>
      </c>
      <c r="N958" s="17" t="s">
        <v>6024</v>
      </c>
      <c r="O958" s="14" t="s">
        <v>6025</v>
      </c>
      <c r="P958" s="14" t="s">
        <v>6026</v>
      </c>
      <c r="Q958" s="14" t="s">
        <v>157</v>
      </c>
      <c r="R958" s="18"/>
      <c r="S958" s="15"/>
      <c r="T958" s="15"/>
      <c r="U958" s="15"/>
      <c r="V958" s="15"/>
    </row>
    <row r="959" spans="1:22" x14ac:dyDescent="0.25">
      <c r="A959" s="14" t="s">
        <v>13</v>
      </c>
      <c r="B959" s="14" t="s">
        <v>6027</v>
      </c>
      <c r="C959" s="14" t="s">
        <v>6028</v>
      </c>
      <c r="D959" s="14" t="s">
        <v>6029</v>
      </c>
      <c r="E959" s="14">
        <v>2016</v>
      </c>
      <c r="F959" s="14">
        <v>3</v>
      </c>
      <c r="G959" s="14" t="s">
        <v>6030</v>
      </c>
      <c r="H959" s="18"/>
      <c r="I959" s="14" t="s">
        <v>891</v>
      </c>
      <c r="J959" s="14">
        <v>2016</v>
      </c>
      <c r="K959" s="18"/>
      <c r="L959" s="18"/>
      <c r="M959" s="14" t="s">
        <v>6031</v>
      </c>
      <c r="N959" s="17" t="s">
        <v>6032</v>
      </c>
      <c r="O959" s="14" t="s">
        <v>6033</v>
      </c>
      <c r="P959" s="14" t="s">
        <v>6034</v>
      </c>
      <c r="Q959" s="14" t="s">
        <v>6035</v>
      </c>
      <c r="R959" s="18"/>
      <c r="S959" s="15"/>
      <c r="T959" s="15"/>
      <c r="U959" s="15"/>
      <c r="V959" s="15"/>
    </row>
    <row r="960" spans="1:22" x14ac:dyDescent="0.25">
      <c r="A960" s="14" t="s">
        <v>141</v>
      </c>
      <c r="B960" s="14" t="s">
        <v>6036</v>
      </c>
      <c r="C960" s="14" t="s">
        <v>6037</v>
      </c>
      <c r="D960" s="18"/>
      <c r="E960" s="14">
        <v>2016</v>
      </c>
      <c r="F960" s="18"/>
      <c r="G960" s="18"/>
      <c r="H960" s="14" t="s">
        <v>6038</v>
      </c>
      <c r="I960" s="14" t="s">
        <v>257</v>
      </c>
      <c r="J960" s="14">
        <v>2016</v>
      </c>
      <c r="K960" s="14">
        <v>9781509036011</v>
      </c>
      <c r="L960" s="18"/>
      <c r="M960" s="18"/>
      <c r="N960" s="17" t="s">
        <v>6039</v>
      </c>
      <c r="O960" s="14" t="s">
        <v>6040</v>
      </c>
      <c r="P960" s="14" t="s">
        <v>6041</v>
      </c>
      <c r="Q960" s="14" t="s">
        <v>2420</v>
      </c>
      <c r="R960" s="18"/>
      <c r="S960" s="15"/>
      <c r="T960" s="15"/>
      <c r="U960" s="15"/>
      <c r="V960" s="15"/>
    </row>
    <row r="961" spans="1:22" x14ac:dyDescent="0.25">
      <c r="A961" s="14" t="s">
        <v>141</v>
      </c>
      <c r="B961" s="14" t="s">
        <v>6042</v>
      </c>
      <c r="C961" s="14" t="s">
        <v>6043</v>
      </c>
      <c r="D961" s="18"/>
      <c r="E961" s="14">
        <v>2018</v>
      </c>
      <c r="F961" s="18"/>
      <c r="G961" s="18"/>
      <c r="H961" s="18"/>
      <c r="I961" s="14" t="s">
        <v>3683</v>
      </c>
      <c r="J961" s="14">
        <v>2018</v>
      </c>
      <c r="K961" s="14">
        <v>9780996683173</v>
      </c>
      <c r="L961" s="18"/>
      <c r="M961" s="18"/>
      <c r="N961" s="17" t="s">
        <v>6044</v>
      </c>
      <c r="O961" s="18"/>
      <c r="P961" s="14" t="s">
        <v>6045</v>
      </c>
      <c r="Q961" s="14" t="s">
        <v>2110</v>
      </c>
      <c r="R961" s="18"/>
      <c r="S961" s="15"/>
      <c r="T961" s="15"/>
      <c r="U961" s="15"/>
      <c r="V961" s="15"/>
    </row>
    <row r="962" spans="1:22" x14ac:dyDescent="0.25">
      <c r="A962" s="14" t="s">
        <v>141</v>
      </c>
      <c r="B962" s="14" t="s">
        <v>6046</v>
      </c>
      <c r="C962" s="14" t="s">
        <v>6047</v>
      </c>
      <c r="D962" s="18"/>
      <c r="E962" s="14">
        <v>2017</v>
      </c>
      <c r="F962" s="18"/>
      <c r="G962" s="18"/>
      <c r="H962" s="14" t="s">
        <v>6048</v>
      </c>
      <c r="I962" s="14" t="s">
        <v>257</v>
      </c>
      <c r="J962" s="14">
        <v>2017</v>
      </c>
      <c r="K962" s="14">
        <v>9781538609927</v>
      </c>
      <c r="L962" s="18"/>
      <c r="M962" s="18"/>
      <c r="N962" s="17" t="s">
        <v>6049</v>
      </c>
      <c r="O962" s="14" t="s">
        <v>6050</v>
      </c>
      <c r="P962" s="14" t="s">
        <v>6051</v>
      </c>
      <c r="Q962" s="14" t="s">
        <v>5433</v>
      </c>
      <c r="R962" s="18"/>
      <c r="S962" s="15"/>
      <c r="T962" s="15"/>
      <c r="U962" s="15"/>
      <c r="V962" s="15"/>
    </row>
    <row r="963" spans="1:22" x14ac:dyDescent="0.25">
      <c r="A963" s="14" t="s">
        <v>13</v>
      </c>
      <c r="B963" s="14" t="s">
        <v>6052</v>
      </c>
      <c r="C963" s="14" t="s">
        <v>6053</v>
      </c>
      <c r="D963" s="14" t="s">
        <v>6054</v>
      </c>
      <c r="E963" s="14">
        <v>2018</v>
      </c>
      <c r="F963" s="14">
        <v>7</v>
      </c>
      <c r="G963" s="14">
        <v>4</v>
      </c>
      <c r="H963" s="14" t="s">
        <v>6055</v>
      </c>
      <c r="I963" s="14" t="s">
        <v>6056</v>
      </c>
      <c r="J963" s="14">
        <v>2018</v>
      </c>
      <c r="K963" s="18"/>
      <c r="L963" s="18"/>
      <c r="M963" s="14" t="s">
        <v>6057</v>
      </c>
      <c r="N963" s="17" t="s">
        <v>6058</v>
      </c>
      <c r="O963" s="14" t="s">
        <v>6059</v>
      </c>
      <c r="P963" s="14" t="s">
        <v>6060</v>
      </c>
      <c r="Q963" s="14" t="s">
        <v>1813</v>
      </c>
      <c r="R963" s="18"/>
      <c r="S963" s="15"/>
      <c r="T963" s="15"/>
      <c r="U963" s="15"/>
      <c r="V963" s="15"/>
    </row>
    <row r="964" spans="1:22" x14ac:dyDescent="0.25">
      <c r="A964" s="14" t="s">
        <v>141</v>
      </c>
      <c r="B964" s="14" t="s">
        <v>6061</v>
      </c>
      <c r="C964" s="14" t="s">
        <v>6062</v>
      </c>
      <c r="D964" s="18"/>
      <c r="E964" s="14">
        <v>2018</v>
      </c>
      <c r="F964" s="14">
        <v>12</v>
      </c>
      <c r="G964" s="18"/>
      <c r="H964" s="14" t="s">
        <v>6063</v>
      </c>
      <c r="I964" s="14" t="s">
        <v>145</v>
      </c>
      <c r="J964" s="14">
        <v>2018</v>
      </c>
      <c r="K964" s="18"/>
      <c r="L964" s="18"/>
      <c r="M964" s="14" t="s">
        <v>4235</v>
      </c>
      <c r="N964" s="17" t="s">
        <v>6064</v>
      </c>
      <c r="O964" s="14" t="s">
        <v>6065</v>
      </c>
      <c r="P964" s="14" t="s">
        <v>6066</v>
      </c>
      <c r="Q964" s="14" t="s">
        <v>261</v>
      </c>
      <c r="R964" s="18"/>
      <c r="S964" s="15"/>
      <c r="T964" s="15"/>
      <c r="U964" s="15"/>
      <c r="V964" s="15"/>
    </row>
    <row r="965" spans="1:22" x14ac:dyDescent="0.25">
      <c r="A965" s="14" t="s">
        <v>13</v>
      </c>
      <c r="B965" s="14" t="s">
        <v>6067</v>
      </c>
      <c r="C965" s="14" t="s">
        <v>6068</v>
      </c>
      <c r="D965" s="14" t="s">
        <v>255</v>
      </c>
      <c r="E965" s="14">
        <v>2018</v>
      </c>
      <c r="F965" s="14">
        <v>44</v>
      </c>
      <c r="G965" s="14">
        <v>2</v>
      </c>
      <c r="H965" s="14" t="s">
        <v>6069</v>
      </c>
      <c r="I965" s="14" t="s">
        <v>257</v>
      </c>
      <c r="J965" s="14">
        <v>2018</v>
      </c>
      <c r="K965" s="18"/>
      <c r="L965" s="18"/>
      <c r="M965" s="14" t="s">
        <v>18</v>
      </c>
      <c r="N965" s="17" t="s">
        <v>6070</v>
      </c>
      <c r="O965" s="14" t="s">
        <v>6071</v>
      </c>
      <c r="P965" s="14" t="s">
        <v>6072</v>
      </c>
      <c r="Q965" s="14" t="s">
        <v>6073</v>
      </c>
      <c r="R965" s="18"/>
      <c r="S965" s="15"/>
      <c r="T965" s="15"/>
      <c r="U965" s="15"/>
      <c r="V965" s="15"/>
    </row>
    <row r="966" spans="1:22" x14ac:dyDescent="0.25">
      <c r="A966" s="14" t="s">
        <v>13</v>
      </c>
      <c r="B966" s="14" t="s">
        <v>6074</v>
      </c>
      <c r="C966" s="14" t="s">
        <v>6075</v>
      </c>
      <c r="D966" s="14" t="s">
        <v>354</v>
      </c>
      <c r="E966" s="14">
        <v>2018</v>
      </c>
      <c r="F966" s="14">
        <v>136</v>
      </c>
      <c r="G966" s="18"/>
      <c r="H966" s="14" t="s">
        <v>2780</v>
      </c>
      <c r="I966" s="14" t="s">
        <v>355</v>
      </c>
      <c r="J966" s="14">
        <v>2018</v>
      </c>
      <c r="K966" s="18"/>
      <c r="L966" s="18"/>
      <c r="M966" s="14" t="s">
        <v>65</v>
      </c>
      <c r="N966" s="17" t="s">
        <v>6076</v>
      </c>
      <c r="O966" s="14" t="s">
        <v>6077</v>
      </c>
      <c r="P966" s="14" t="s">
        <v>6078</v>
      </c>
      <c r="Q966" s="14" t="s">
        <v>6079</v>
      </c>
      <c r="R966" s="18"/>
      <c r="S966" s="15"/>
      <c r="T966" s="15"/>
      <c r="U966" s="15"/>
      <c r="V966" s="15"/>
    </row>
    <row r="967" spans="1:22" x14ac:dyDescent="0.25">
      <c r="A967" s="14" t="s">
        <v>13</v>
      </c>
      <c r="B967" s="14" t="s">
        <v>6080</v>
      </c>
      <c r="C967" s="14" t="s">
        <v>6081</v>
      </c>
      <c r="D967" s="14" t="s">
        <v>209</v>
      </c>
      <c r="E967" s="14">
        <v>2018</v>
      </c>
      <c r="F967" s="14" t="s">
        <v>6082</v>
      </c>
      <c r="G967" s="18"/>
      <c r="H967" s="14" t="s">
        <v>6083</v>
      </c>
      <c r="I967" s="14" t="s">
        <v>4155</v>
      </c>
      <c r="J967" s="14">
        <v>2018</v>
      </c>
      <c r="K967" s="18"/>
      <c r="L967" s="18"/>
      <c r="M967" s="14" t="s">
        <v>213</v>
      </c>
      <c r="N967" s="17" t="s">
        <v>6084</v>
      </c>
      <c r="O967" s="14" t="s">
        <v>6085</v>
      </c>
      <c r="P967" s="14" t="s">
        <v>6086</v>
      </c>
      <c r="Q967" s="14" t="s">
        <v>2811</v>
      </c>
      <c r="R967" s="18"/>
      <c r="S967" s="15"/>
      <c r="T967" s="15"/>
      <c r="U967" s="15"/>
      <c r="V967" s="15"/>
    </row>
    <row r="968" spans="1:22" x14ac:dyDescent="0.25">
      <c r="A968" s="14" t="s">
        <v>13</v>
      </c>
      <c r="B968" s="14" t="s">
        <v>4257</v>
      </c>
      <c r="C968" s="14" t="s">
        <v>6087</v>
      </c>
      <c r="D968" s="14" t="s">
        <v>1870</v>
      </c>
      <c r="E968" s="14">
        <v>2018</v>
      </c>
      <c r="F968" s="14">
        <v>314</v>
      </c>
      <c r="G968" s="18"/>
      <c r="H968" s="14" t="s">
        <v>6088</v>
      </c>
      <c r="I968" s="14" t="s">
        <v>4155</v>
      </c>
      <c r="J968" s="14">
        <v>2018</v>
      </c>
      <c r="K968" s="18"/>
      <c r="L968" s="18"/>
      <c r="M968" s="14" t="s">
        <v>1873</v>
      </c>
      <c r="N968" s="17" t="s">
        <v>6089</v>
      </c>
      <c r="O968" s="14" t="s">
        <v>6090</v>
      </c>
      <c r="P968" s="14" t="s">
        <v>6091</v>
      </c>
      <c r="Q968" s="14" t="s">
        <v>5100</v>
      </c>
      <c r="R968" s="18"/>
      <c r="S968" s="15"/>
      <c r="T968" s="15"/>
      <c r="U968" s="15"/>
      <c r="V968" s="15"/>
    </row>
    <row r="969" spans="1:22" x14ac:dyDescent="0.25">
      <c r="A969" s="14" t="s">
        <v>13</v>
      </c>
      <c r="B969" s="14" t="s">
        <v>6092</v>
      </c>
      <c r="C969" s="14" t="s">
        <v>6093</v>
      </c>
      <c r="D969" s="14" t="s">
        <v>6094</v>
      </c>
      <c r="E969" s="14">
        <v>2018</v>
      </c>
      <c r="F969" s="14">
        <v>7</v>
      </c>
      <c r="G969" s="14">
        <v>2</v>
      </c>
      <c r="H969" s="14" t="s">
        <v>6095</v>
      </c>
      <c r="I969" s="14" t="s">
        <v>5573</v>
      </c>
      <c r="J969" s="14">
        <v>2018</v>
      </c>
      <c r="K969" s="18"/>
      <c r="L969" s="18"/>
      <c r="M969" s="14" t="s">
        <v>6096</v>
      </c>
      <c r="N969" s="17" t="s">
        <v>6097</v>
      </c>
      <c r="O969" s="14" t="s">
        <v>6098</v>
      </c>
      <c r="P969" s="14" t="s">
        <v>6099</v>
      </c>
      <c r="Q969" s="14" t="s">
        <v>6020</v>
      </c>
      <c r="R969" s="18"/>
      <c r="S969" s="15"/>
      <c r="T969" s="15"/>
      <c r="U969" s="15"/>
      <c r="V969" s="15"/>
    </row>
    <row r="970" spans="1:22" x14ac:dyDescent="0.25">
      <c r="A970" s="14" t="s">
        <v>13</v>
      </c>
      <c r="B970" s="14" t="s">
        <v>6100</v>
      </c>
      <c r="C970" s="14" t="s">
        <v>6101</v>
      </c>
      <c r="D970" s="14" t="s">
        <v>307</v>
      </c>
      <c r="E970" s="14">
        <v>2018</v>
      </c>
      <c r="F970" s="14">
        <v>102</v>
      </c>
      <c r="G970" s="18"/>
      <c r="H970" s="14" t="s">
        <v>6102</v>
      </c>
      <c r="I970" s="14" t="s">
        <v>280</v>
      </c>
      <c r="J970" s="14">
        <v>2018</v>
      </c>
      <c r="K970" s="18"/>
      <c r="L970" s="18"/>
      <c r="M970" s="14" t="s">
        <v>308</v>
      </c>
      <c r="N970" s="17" t="s">
        <v>6103</v>
      </c>
      <c r="O970" s="14" t="s">
        <v>6104</v>
      </c>
      <c r="P970" s="14" t="s">
        <v>6105</v>
      </c>
      <c r="Q970" s="14" t="s">
        <v>6106</v>
      </c>
      <c r="R970" s="18"/>
      <c r="S970" s="15"/>
      <c r="T970" s="15"/>
      <c r="U970" s="15"/>
      <c r="V970" s="15"/>
    </row>
    <row r="971" spans="1:22" x14ac:dyDescent="0.25">
      <c r="A971" s="14" t="s">
        <v>141</v>
      </c>
      <c r="B971" s="14" t="s">
        <v>3101</v>
      </c>
      <c r="C971" s="14" t="s">
        <v>3102</v>
      </c>
      <c r="D971" s="18"/>
      <c r="E971" s="14">
        <v>2020</v>
      </c>
      <c r="F971" s="18"/>
      <c r="G971" s="18"/>
      <c r="H971" s="14" t="s">
        <v>6110</v>
      </c>
      <c r="I971" s="18"/>
      <c r="J971" s="18"/>
      <c r="K971" s="14" t="s">
        <v>6111</v>
      </c>
      <c r="L971" s="16">
        <v>44105</v>
      </c>
      <c r="M971" s="18"/>
      <c r="N971" s="14" t="s">
        <v>6112</v>
      </c>
      <c r="O971" s="18"/>
      <c r="P971" s="18"/>
      <c r="Q971" s="14" t="s">
        <v>6113</v>
      </c>
      <c r="R971" s="14" t="s">
        <v>6114</v>
      </c>
      <c r="S971" s="15"/>
      <c r="T971" s="15"/>
      <c r="U971" s="15"/>
      <c r="V971" s="15"/>
    </row>
    <row r="972" spans="1:22" x14ac:dyDescent="0.25">
      <c r="A972" s="14" t="s">
        <v>13</v>
      </c>
      <c r="B972" s="14" t="s">
        <v>14</v>
      </c>
      <c r="C972" s="14" t="s">
        <v>15</v>
      </c>
      <c r="D972" s="14" t="s">
        <v>255</v>
      </c>
      <c r="E972" s="14">
        <v>2017</v>
      </c>
      <c r="F972" s="14">
        <v>43</v>
      </c>
      <c r="G972" s="14">
        <v>11</v>
      </c>
      <c r="H972" s="14" t="s">
        <v>17</v>
      </c>
      <c r="I972" s="18"/>
      <c r="J972" s="18"/>
      <c r="K972" s="18"/>
      <c r="L972" s="16">
        <v>43040</v>
      </c>
      <c r="M972" s="18"/>
      <c r="N972" s="14" t="s">
        <v>6115</v>
      </c>
      <c r="O972" s="17" t="s">
        <v>19</v>
      </c>
      <c r="P972" s="14" t="s">
        <v>20</v>
      </c>
      <c r="Q972" s="14" t="s">
        <v>21</v>
      </c>
      <c r="R972" s="14" t="s">
        <v>6116</v>
      </c>
      <c r="S972" s="15"/>
      <c r="T972" s="15"/>
      <c r="U972" s="15"/>
      <c r="V972" s="15"/>
    </row>
    <row r="973" spans="1:22" x14ac:dyDescent="0.25">
      <c r="A973" s="14" t="s">
        <v>141</v>
      </c>
      <c r="B973" s="14" t="s">
        <v>2031</v>
      </c>
      <c r="C973" s="14" t="s">
        <v>2032</v>
      </c>
      <c r="D973" s="18"/>
      <c r="E973" s="14">
        <v>2022</v>
      </c>
      <c r="F973" s="18"/>
      <c r="G973" s="18"/>
      <c r="H973" s="14" t="s">
        <v>6117</v>
      </c>
      <c r="I973" s="18"/>
      <c r="J973" s="18"/>
      <c r="K973" s="14" t="s">
        <v>6118</v>
      </c>
      <c r="L973" s="20">
        <v>44682</v>
      </c>
      <c r="M973" s="18"/>
      <c r="N973" s="18"/>
      <c r="O973" s="17" t="s">
        <v>6119</v>
      </c>
      <c r="P973" s="14" t="s">
        <v>2035</v>
      </c>
      <c r="Q973" s="14" t="s">
        <v>6120</v>
      </c>
      <c r="R973" s="14" t="s">
        <v>6121</v>
      </c>
      <c r="S973" s="15"/>
      <c r="T973" s="15"/>
      <c r="U973" s="15"/>
      <c r="V973" s="15"/>
    </row>
    <row r="974" spans="1:22" x14ac:dyDescent="0.25">
      <c r="A974" s="14" t="s">
        <v>141</v>
      </c>
      <c r="B974" s="14" t="s">
        <v>6122</v>
      </c>
      <c r="C974" s="14" t="s">
        <v>6123</v>
      </c>
      <c r="D974" s="18"/>
      <c r="E974" s="14">
        <v>2018</v>
      </c>
      <c r="F974" s="18"/>
      <c r="G974" s="18"/>
      <c r="H974" s="14" t="s">
        <v>6124</v>
      </c>
      <c r="I974" s="18"/>
      <c r="J974" s="18"/>
      <c r="K974" s="14" t="s">
        <v>6125</v>
      </c>
      <c r="L974" s="20">
        <v>43221</v>
      </c>
      <c r="M974" s="18"/>
      <c r="N974" s="18"/>
      <c r="O974" s="18"/>
      <c r="P974" s="18"/>
      <c r="Q974" s="14" t="s">
        <v>6126</v>
      </c>
      <c r="R974" s="14" t="s">
        <v>6127</v>
      </c>
      <c r="S974" s="15"/>
      <c r="T974" s="15"/>
      <c r="U974" s="15"/>
      <c r="V974" s="15"/>
    </row>
    <row r="975" spans="1:22" x14ac:dyDescent="0.25">
      <c r="A975" s="14" t="s">
        <v>141</v>
      </c>
      <c r="B975" s="14" t="s">
        <v>6128</v>
      </c>
      <c r="C975" s="14" t="s">
        <v>6129</v>
      </c>
      <c r="D975" s="18"/>
      <c r="E975" s="14">
        <v>2019</v>
      </c>
      <c r="F975" s="18"/>
      <c r="G975" s="18"/>
      <c r="H975" s="14" t="s">
        <v>6130</v>
      </c>
      <c r="I975" s="18"/>
      <c r="J975" s="18"/>
      <c r="K975" s="14" t="s">
        <v>6131</v>
      </c>
      <c r="L975" s="20">
        <v>43586</v>
      </c>
      <c r="M975" s="18"/>
      <c r="N975" s="18"/>
      <c r="O975" s="17" t="s">
        <v>6132</v>
      </c>
      <c r="P975" s="14" t="s">
        <v>6133</v>
      </c>
      <c r="Q975" s="14" t="s">
        <v>6134</v>
      </c>
      <c r="R975" s="14" t="s">
        <v>6135</v>
      </c>
      <c r="S975" s="15"/>
      <c r="T975" s="15"/>
      <c r="U975" s="15"/>
      <c r="V975" s="15"/>
    </row>
    <row r="976" spans="1:22" x14ac:dyDescent="0.25">
      <c r="A976" s="14" t="s">
        <v>141</v>
      </c>
      <c r="B976" s="14" t="s">
        <v>6136</v>
      </c>
      <c r="C976" s="14" t="s">
        <v>6137</v>
      </c>
      <c r="D976" s="18"/>
      <c r="E976" s="14">
        <v>2021</v>
      </c>
      <c r="F976" s="18"/>
      <c r="G976" s="18"/>
      <c r="H976" s="23">
        <v>44932</v>
      </c>
      <c r="I976" s="18"/>
      <c r="J976" s="18"/>
      <c r="K976" s="14" t="s">
        <v>6138</v>
      </c>
      <c r="L976" s="16">
        <v>44531</v>
      </c>
      <c r="M976" s="18"/>
      <c r="N976" s="18"/>
      <c r="O976" s="17" t="s">
        <v>6139</v>
      </c>
      <c r="P976" s="14" t="s">
        <v>6140</v>
      </c>
      <c r="Q976" s="14" t="s">
        <v>6141</v>
      </c>
      <c r="R976" s="14" t="s">
        <v>6142</v>
      </c>
      <c r="S976" s="15"/>
      <c r="T976" s="15"/>
      <c r="U976" s="15"/>
      <c r="V976" s="15"/>
    </row>
    <row r="977" spans="1:22" x14ac:dyDescent="0.25">
      <c r="A977" s="14" t="s">
        <v>141</v>
      </c>
      <c r="B977" s="14" t="s">
        <v>4452</v>
      </c>
      <c r="C977" s="14" t="s">
        <v>6143</v>
      </c>
      <c r="D977" s="18"/>
      <c r="E977" s="14">
        <v>2018</v>
      </c>
      <c r="F977" s="18"/>
      <c r="G977" s="18"/>
      <c r="H977" s="14" t="s">
        <v>6144</v>
      </c>
      <c r="I977" s="18"/>
      <c r="J977" s="18"/>
      <c r="K977" s="14" t="s">
        <v>6145</v>
      </c>
      <c r="L977" s="20">
        <v>43313</v>
      </c>
      <c r="M977" s="18"/>
      <c r="N977" s="18"/>
      <c r="O977" s="17" t="s">
        <v>6146</v>
      </c>
      <c r="P977" s="14" t="s">
        <v>5934</v>
      </c>
      <c r="Q977" s="14" t="s">
        <v>6147</v>
      </c>
      <c r="R977" s="14" t="s">
        <v>6148</v>
      </c>
      <c r="S977" s="15"/>
      <c r="T977" s="15"/>
      <c r="U977" s="15"/>
      <c r="V977" s="15"/>
    </row>
    <row r="978" spans="1:22" x14ac:dyDescent="0.25">
      <c r="A978" s="14" t="s">
        <v>141</v>
      </c>
      <c r="B978" s="14" t="s">
        <v>5917</v>
      </c>
      <c r="C978" s="14" t="s">
        <v>6149</v>
      </c>
      <c r="D978" s="18"/>
      <c r="E978" s="14">
        <v>2018</v>
      </c>
      <c r="F978" s="18"/>
      <c r="G978" s="18"/>
      <c r="H978" s="14" t="s">
        <v>6150</v>
      </c>
      <c r="I978" s="18"/>
      <c r="J978" s="18"/>
      <c r="K978" s="14" t="s">
        <v>6151</v>
      </c>
      <c r="L978" s="20">
        <v>43221</v>
      </c>
      <c r="M978" s="18"/>
      <c r="N978" s="14" t="s">
        <v>6152</v>
      </c>
      <c r="O978" s="18"/>
      <c r="P978" s="18"/>
      <c r="Q978" s="14" t="s">
        <v>6153</v>
      </c>
      <c r="R978" s="14" t="s">
        <v>6154</v>
      </c>
      <c r="S978" s="15"/>
      <c r="T978" s="15"/>
      <c r="U978" s="15"/>
      <c r="V978" s="15"/>
    </row>
    <row r="979" spans="1:22" x14ac:dyDescent="0.25">
      <c r="A979" s="14" t="s">
        <v>141</v>
      </c>
      <c r="B979" s="14" t="s">
        <v>6155</v>
      </c>
      <c r="C979" s="14" t="s">
        <v>6156</v>
      </c>
      <c r="D979" s="18"/>
      <c r="E979" s="14">
        <v>2017</v>
      </c>
      <c r="F979" s="18"/>
      <c r="G979" s="18"/>
      <c r="H979" s="14" t="s">
        <v>6157</v>
      </c>
      <c r="I979" s="18"/>
      <c r="J979" s="18"/>
      <c r="K979" s="14" t="s">
        <v>6158</v>
      </c>
      <c r="L979" s="20">
        <v>42856</v>
      </c>
      <c r="M979" s="18"/>
      <c r="N979" s="18"/>
      <c r="O979" s="17" t="s">
        <v>6159</v>
      </c>
      <c r="P979" s="14" t="s">
        <v>6160</v>
      </c>
      <c r="Q979" s="14" t="s">
        <v>6161</v>
      </c>
      <c r="R979" s="14" t="s">
        <v>6162</v>
      </c>
      <c r="S979" s="15"/>
      <c r="T979" s="15"/>
      <c r="U979" s="15"/>
      <c r="V979" s="15"/>
    </row>
    <row r="980" spans="1:22" x14ac:dyDescent="0.25">
      <c r="A980" s="14" t="s">
        <v>141</v>
      </c>
      <c r="B980" s="14" t="s">
        <v>6163</v>
      </c>
      <c r="C980" s="14" t="s">
        <v>6164</v>
      </c>
      <c r="D980" s="18"/>
      <c r="E980" s="14">
        <v>2022</v>
      </c>
      <c r="F980" s="18"/>
      <c r="G980" s="18"/>
      <c r="H980" s="14" t="s">
        <v>6165</v>
      </c>
      <c r="I980" s="18"/>
      <c r="J980" s="18"/>
      <c r="K980" s="14" t="s">
        <v>6166</v>
      </c>
      <c r="L980" s="20">
        <v>44774</v>
      </c>
      <c r="M980" s="18"/>
      <c r="N980" s="18"/>
      <c r="O980" s="17" t="s">
        <v>6167</v>
      </c>
      <c r="P980" s="14" t="s">
        <v>6168</v>
      </c>
      <c r="Q980" s="14" t="s">
        <v>6169</v>
      </c>
      <c r="R980" s="14" t="s">
        <v>6170</v>
      </c>
      <c r="S980" s="15"/>
      <c r="T980" s="15"/>
      <c r="U980" s="15"/>
      <c r="V980" s="15"/>
    </row>
    <row r="981" spans="1:22" x14ac:dyDescent="0.25">
      <c r="A981" s="14" t="s">
        <v>141</v>
      </c>
      <c r="B981" s="14" t="s">
        <v>2068</v>
      </c>
      <c r="C981" s="14" t="s">
        <v>6171</v>
      </c>
      <c r="D981" s="18"/>
      <c r="E981" s="14">
        <v>2022</v>
      </c>
      <c r="F981" s="18"/>
      <c r="G981" s="18"/>
      <c r="H981" s="14" t="s">
        <v>6172</v>
      </c>
      <c r="I981" s="18"/>
      <c r="J981" s="18"/>
      <c r="K981" s="14" t="s">
        <v>6118</v>
      </c>
      <c r="L981" s="20">
        <v>44682</v>
      </c>
      <c r="M981" s="18"/>
      <c r="N981" s="18"/>
      <c r="O981" s="17" t="s">
        <v>6173</v>
      </c>
      <c r="P981" s="14" t="s">
        <v>2072</v>
      </c>
      <c r="Q981" s="14" t="s">
        <v>6174</v>
      </c>
      <c r="R981" s="14" t="s">
        <v>6175</v>
      </c>
      <c r="S981" s="15"/>
      <c r="T981" s="15"/>
      <c r="U981" s="15"/>
      <c r="V981" s="15"/>
    </row>
    <row r="982" spans="1:22" x14ac:dyDescent="0.25">
      <c r="A982" s="14" t="s">
        <v>141</v>
      </c>
      <c r="B982" s="14" t="s">
        <v>6176</v>
      </c>
      <c r="C982" s="14" t="s">
        <v>6177</v>
      </c>
      <c r="D982" s="18"/>
      <c r="E982" s="14">
        <v>2021</v>
      </c>
      <c r="F982" s="18"/>
      <c r="G982" s="18"/>
      <c r="H982" s="14" t="s">
        <v>6178</v>
      </c>
      <c r="I982" s="18"/>
      <c r="J982" s="18"/>
      <c r="K982" s="14" t="s">
        <v>6179</v>
      </c>
      <c r="L982" s="20">
        <v>44440</v>
      </c>
      <c r="M982" s="18"/>
      <c r="N982" s="18"/>
      <c r="O982" s="17" t="s">
        <v>6180</v>
      </c>
      <c r="P982" s="14" t="s">
        <v>6181</v>
      </c>
      <c r="Q982" s="14" t="s">
        <v>6182</v>
      </c>
      <c r="R982" s="14" t="s">
        <v>6183</v>
      </c>
      <c r="S982" s="15"/>
      <c r="T982" s="15"/>
      <c r="U982" s="15"/>
      <c r="V982" s="15"/>
    </row>
    <row r="983" spans="1:22" x14ac:dyDescent="0.25">
      <c r="A983" s="14" t="s">
        <v>141</v>
      </c>
      <c r="B983" s="14" t="s">
        <v>2307</v>
      </c>
      <c r="C983" s="14" t="s">
        <v>2308</v>
      </c>
      <c r="D983" s="18"/>
      <c r="E983" s="14">
        <v>2022</v>
      </c>
      <c r="F983" s="18"/>
      <c r="G983" s="18"/>
      <c r="H983" s="14" t="s">
        <v>6184</v>
      </c>
      <c r="I983" s="18"/>
      <c r="J983" s="18"/>
      <c r="K983" s="14" t="s">
        <v>6118</v>
      </c>
      <c r="L983" s="20">
        <v>44682</v>
      </c>
      <c r="M983" s="18"/>
      <c r="N983" s="18"/>
      <c r="O983" s="17" t="s">
        <v>6185</v>
      </c>
      <c r="P983" s="14" t="s">
        <v>2311</v>
      </c>
      <c r="Q983" s="14" t="s">
        <v>6186</v>
      </c>
      <c r="R983" s="14" t="s">
        <v>6187</v>
      </c>
      <c r="S983" s="15"/>
      <c r="T983" s="15"/>
      <c r="U983" s="15"/>
      <c r="V983" s="15"/>
    </row>
    <row r="984" spans="1:22" x14ac:dyDescent="0.25">
      <c r="A984" s="14" t="s">
        <v>141</v>
      </c>
      <c r="B984" s="14" t="s">
        <v>3357</v>
      </c>
      <c r="C984" s="14" t="s">
        <v>3358</v>
      </c>
      <c r="D984" s="18"/>
      <c r="E984" s="14">
        <v>2021</v>
      </c>
      <c r="F984" s="18"/>
      <c r="G984" s="18"/>
      <c r="H984" s="14" t="s">
        <v>6188</v>
      </c>
      <c r="I984" s="18"/>
      <c r="J984" s="18"/>
      <c r="K984" s="14" t="s">
        <v>6189</v>
      </c>
      <c r="L984" s="16">
        <v>44501</v>
      </c>
      <c r="M984" s="18"/>
      <c r="N984" s="14" t="s">
        <v>6190</v>
      </c>
      <c r="O984" s="17" t="s">
        <v>6191</v>
      </c>
      <c r="P984" s="14" t="s">
        <v>3361</v>
      </c>
      <c r="Q984" s="14" t="s">
        <v>6192</v>
      </c>
      <c r="R984" s="14" t="s">
        <v>6193</v>
      </c>
      <c r="S984" s="15"/>
      <c r="T984" s="15"/>
      <c r="U984" s="15"/>
      <c r="V984" s="15"/>
    </row>
    <row r="985" spans="1:22" x14ac:dyDescent="0.25">
      <c r="A985" s="14" t="s">
        <v>141</v>
      </c>
      <c r="B985" s="14" t="s">
        <v>2494</v>
      </c>
      <c r="C985" s="14" t="s">
        <v>2495</v>
      </c>
      <c r="D985" s="18"/>
      <c r="E985" s="14">
        <v>2022</v>
      </c>
      <c r="F985" s="18"/>
      <c r="G985" s="18"/>
      <c r="H985" s="14" t="s">
        <v>6194</v>
      </c>
      <c r="I985" s="18"/>
      <c r="J985" s="18"/>
      <c r="K985" s="14" t="s">
        <v>6118</v>
      </c>
      <c r="L985" s="20">
        <v>44682</v>
      </c>
      <c r="M985" s="18"/>
      <c r="N985" s="18"/>
      <c r="O985" s="17" t="s">
        <v>6195</v>
      </c>
      <c r="P985" s="14" t="s">
        <v>2498</v>
      </c>
      <c r="Q985" s="14" t="s">
        <v>6196</v>
      </c>
      <c r="R985" s="14" t="s">
        <v>6197</v>
      </c>
      <c r="S985" s="15"/>
      <c r="T985" s="15"/>
      <c r="U985" s="15"/>
      <c r="V985" s="15"/>
    </row>
    <row r="986" spans="1:22" x14ac:dyDescent="0.25">
      <c r="A986" s="14" t="s">
        <v>141</v>
      </c>
      <c r="B986" s="14" t="s">
        <v>6198</v>
      </c>
      <c r="C986" s="14" t="s">
        <v>6199</v>
      </c>
      <c r="D986" s="18"/>
      <c r="E986" s="14">
        <v>2016</v>
      </c>
      <c r="F986" s="18"/>
      <c r="G986" s="18"/>
      <c r="H986" s="14" t="s">
        <v>6200</v>
      </c>
      <c r="I986" s="18"/>
      <c r="J986" s="18"/>
      <c r="K986" s="14" t="s">
        <v>6201</v>
      </c>
      <c r="L986" s="20">
        <v>42491</v>
      </c>
      <c r="M986" s="18"/>
      <c r="N986" s="18"/>
      <c r="O986" s="18"/>
      <c r="P986" s="18"/>
      <c r="Q986" s="14" t="s">
        <v>6202</v>
      </c>
      <c r="R986" s="14" t="s">
        <v>6203</v>
      </c>
      <c r="S986" s="15"/>
      <c r="T986" s="15"/>
      <c r="U986" s="15"/>
      <c r="V986" s="15"/>
    </row>
    <row r="987" spans="1:22" x14ac:dyDescent="0.25">
      <c r="A987" s="14" t="s">
        <v>13</v>
      </c>
      <c r="B987" s="14" t="s">
        <v>6204</v>
      </c>
      <c r="C987" s="14" t="s">
        <v>6205</v>
      </c>
      <c r="D987" s="14" t="s">
        <v>4637</v>
      </c>
      <c r="E987" s="14">
        <v>2016</v>
      </c>
      <c r="F987" s="14">
        <v>33</v>
      </c>
      <c r="G987" s="14">
        <v>1</v>
      </c>
      <c r="H987" s="14" t="s">
        <v>6206</v>
      </c>
      <c r="I987" s="18"/>
      <c r="J987" s="18"/>
      <c r="K987" s="18"/>
      <c r="L987" s="20">
        <v>42370</v>
      </c>
      <c r="M987" s="18"/>
      <c r="N987" s="14" t="s">
        <v>6207</v>
      </c>
      <c r="O987" s="17" t="s">
        <v>6208</v>
      </c>
      <c r="P987" s="14" t="s">
        <v>6209</v>
      </c>
      <c r="Q987" s="14" t="s">
        <v>6210</v>
      </c>
      <c r="R987" s="14" t="s">
        <v>6211</v>
      </c>
      <c r="S987" s="15"/>
      <c r="T987" s="15"/>
      <c r="U987" s="15"/>
      <c r="V987" s="15"/>
    </row>
    <row r="988" spans="1:22" x14ac:dyDescent="0.25">
      <c r="A988" s="14" t="s">
        <v>13</v>
      </c>
      <c r="B988" s="14" t="s">
        <v>6212</v>
      </c>
      <c r="C988" s="14" t="s">
        <v>6213</v>
      </c>
      <c r="D988" s="14" t="s">
        <v>4637</v>
      </c>
      <c r="E988" s="14">
        <v>2021</v>
      </c>
      <c r="F988" s="14">
        <v>38</v>
      </c>
      <c r="G988" s="14">
        <v>6</v>
      </c>
      <c r="H988" s="14" t="s">
        <v>6214</v>
      </c>
      <c r="I988" s="18"/>
      <c r="J988" s="18"/>
      <c r="K988" s="18"/>
      <c r="L988" s="16">
        <v>44501</v>
      </c>
      <c r="M988" s="18"/>
      <c r="N988" s="14" t="s">
        <v>6207</v>
      </c>
      <c r="O988" s="17" t="s">
        <v>6215</v>
      </c>
      <c r="P988" s="14" t="s">
        <v>6216</v>
      </c>
      <c r="Q988" s="14" t="s">
        <v>6217</v>
      </c>
      <c r="R988" s="14" t="s">
        <v>6218</v>
      </c>
      <c r="S988" s="15"/>
      <c r="T988" s="15"/>
      <c r="U988" s="15"/>
      <c r="V988" s="15"/>
    </row>
    <row r="989" spans="1:22" x14ac:dyDescent="0.25">
      <c r="A989" s="14" t="s">
        <v>141</v>
      </c>
      <c r="B989" s="14" t="s">
        <v>6219</v>
      </c>
      <c r="C989" s="14" t="s">
        <v>6220</v>
      </c>
      <c r="D989" s="18"/>
      <c r="E989" s="14">
        <v>2018</v>
      </c>
      <c r="F989" s="18"/>
      <c r="G989" s="18"/>
      <c r="H989" s="23">
        <v>44936</v>
      </c>
      <c r="I989" s="18"/>
      <c r="J989" s="18"/>
      <c r="K989" s="14" t="s">
        <v>6125</v>
      </c>
      <c r="L989" s="20">
        <v>43221</v>
      </c>
      <c r="M989" s="18"/>
      <c r="N989" s="18"/>
      <c r="O989" s="18"/>
      <c r="P989" s="18"/>
      <c r="Q989" s="14" t="s">
        <v>6221</v>
      </c>
      <c r="R989" s="14" t="s">
        <v>6222</v>
      </c>
      <c r="S989" s="15"/>
      <c r="T989" s="15"/>
      <c r="U989" s="15"/>
      <c r="V989" s="15"/>
    </row>
    <row r="990" spans="1:22" x14ac:dyDescent="0.25">
      <c r="A990" s="14" t="s">
        <v>141</v>
      </c>
      <c r="B990" s="14" t="s">
        <v>2729</v>
      </c>
      <c r="C990" s="14" t="s">
        <v>6223</v>
      </c>
      <c r="D990" s="18"/>
      <c r="E990" s="14">
        <v>2021</v>
      </c>
      <c r="F990" s="18"/>
      <c r="G990" s="18"/>
      <c r="H990" s="14" t="s">
        <v>6224</v>
      </c>
      <c r="I990" s="18"/>
      <c r="J990" s="18"/>
      <c r="K990" s="14" t="s">
        <v>6225</v>
      </c>
      <c r="L990" s="20">
        <v>44317</v>
      </c>
      <c r="M990" s="18"/>
      <c r="N990" s="14" t="s">
        <v>6226</v>
      </c>
      <c r="O990" s="17" t="s">
        <v>6227</v>
      </c>
      <c r="P990" s="14" t="s">
        <v>2733</v>
      </c>
      <c r="Q990" s="14" t="s">
        <v>6228</v>
      </c>
      <c r="R990" s="14" t="s">
        <v>6229</v>
      </c>
      <c r="S990" s="15"/>
      <c r="T990" s="15"/>
      <c r="U990" s="15"/>
      <c r="V990" s="15"/>
    </row>
    <row r="991" spans="1:22" x14ac:dyDescent="0.25">
      <c r="A991" s="14" t="s">
        <v>141</v>
      </c>
      <c r="B991" s="14" t="s">
        <v>6230</v>
      </c>
      <c r="C991" s="14" t="s">
        <v>6231</v>
      </c>
      <c r="D991" s="18"/>
      <c r="E991" s="14">
        <v>2022</v>
      </c>
      <c r="F991" s="18"/>
      <c r="G991" s="18"/>
      <c r="H991" s="14" t="s">
        <v>6232</v>
      </c>
      <c r="I991" s="18"/>
      <c r="J991" s="18"/>
      <c r="K991" s="14" t="s">
        <v>6118</v>
      </c>
      <c r="L991" s="20">
        <v>44682</v>
      </c>
      <c r="M991" s="18"/>
      <c r="N991" s="18"/>
      <c r="O991" s="17" t="s">
        <v>6233</v>
      </c>
      <c r="P991" s="14" t="s">
        <v>6234</v>
      </c>
      <c r="Q991" s="14" t="s">
        <v>6235</v>
      </c>
      <c r="R991" s="14" t="s">
        <v>6236</v>
      </c>
      <c r="S991" s="15"/>
      <c r="T991" s="15"/>
      <c r="U991" s="15"/>
      <c r="V991" s="15"/>
    </row>
    <row r="992" spans="1:22" x14ac:dyDescent="0.25">
      <c r="A992" s="14" t="s">
        <v>141</v>
      </c>
      <c r="B992" s="14" t="s">
        <v>5788</v>
      </c>
      <c r="C992" s="14" t="s">
        <v>6237</v>
      </c>
      <c r="D992" s="18"/>
      <c r="E992" s="14">
        <v>2018</v>
      </c>
      <c r="F992" s="18"/>
      <c r="G992" s="18"/>
      <c r="H992" s="23">
        <v>45181</v>
      </c>
      <c r="I992" s="18"/>
      <c r="J992" s="18"/>
      <c r="K992" s="14" t="s">
        <v>6238</v>
      </c>
      <c r="L992" s="20">
        <v>43221</v>
      </c>
      <c r="M992" s="18"/>
      <c r="N992" s="14" t="s">
        <v>6239</v>
      </c>
      <c r="O992" s="18"/>
      <c r="P992" s="18"/>
      <c r="Q992" s="14" t="s">
        <v>6240</v>
      </c>
      <c r="R992" s="14" t="s">
        <v>6241</v>
      </c>
      <c r="S992" s="15"/>
      <c r="T992" s="15"/>
      <c r="U992" s="15"/>
      <c r="V992" s="15"/>
    </row>
    <row r="993" spans="1:22" x14ac:dyDescent="0.25">
      <c r="A993" s="14" t="s">
        <v>141</v>
      </c>
      <c r="B993" s="14" t="s">
        <v>6242</v>
      </c>
      <c r="C993" s="14" t="s">
        <v>3178</v>
      </c>
      <c r="D993" s="18"/>
      <c r="E993" s="14">
        <v>2020</v>
      </c>
      <c r="F993" s="18"/>
      <c r="G993" s="18"/>
      <c r="H993" s="14" t="s">
        <v>6243</v>
      </c>
      <c r="I993" s="18"/>
      <c r="J993" s="18"/>
      <c r="K993" s="14" t="s">
        <v>6111</v>
      </c>
      <c r="L993" s="16">
        <v>44105</v>
      </c>
      <c r="M993" s="18"/>
      <c r="N993" s="14" t="s">
        <v>6112</v>
      </c>
      <c r="O993" s="18"/>
      <c r="P993" s="18"/>
      <c r="Q993" s="14" t="s">
        <v>6244</v>
      </c>
      <c r="R993" s="14" t="s">
        <v>6245</v>
      </c>
      <c r="S993" s="15"/>
      <c r="T993" s="15"/>
      <c r="U993" s="15"/>
      <c r="V993" s="15"/>
    </row>
    <row r="994" spans="1:22" x14ac:dyDescent="0.25">
      <c r="A994" s="14" t="s">
        <v>13</v>
      </c>
      <c r="B994" s="14" t="s">
        <v>6246</v>
      </c>
      <c r="C994" s="14" t="s">
        <v>6247</v>
      </c>
      <c r="D994" s="14" t="s">
        <v>255</v>
      </c>
      <c r="E994" s="14">
        <v>2021</v>
      </c>
      <c r="F994" s="14">
        <v>47</v>
      </c>
      <c r="G994" s="14">
        <v>9</v>
      </c>
      <c r="H994" s="14" t="s">
        <v>6248</v>
      </c>
      <c r="I994" s="18"/>
      <c r="J994" s="18"/>
      <c r="K994" s="18"/>
      <c r="L994" s="20">
        <v>44440</v>
      </c>
      <c r="M994" s="18"/>
      <c r="N994" s="14" t="s">
        <v>6115</v>
      </c>
      <c r="O994" s="17" t="s">
        <v>6249</v>
      </c>
      <c r="P994" s="14" t="s">
        <v>6250</v>
      </c>
      <c r="Q994" s="14" t="s">
        <v>6251</v>
      </c>
      <c r="R994" s="14" t="s">
        <v>6252</v>
      </c>
      <c r="S994" s="15"/>
      <c r="T994" s="15"/>
      <c r="U994" s="15"/>
      <c r="V994" s="15"/>
    </row>
    <row r="995" spans="1:22" x14ac:dyDescent="0.25">
      <c r="A995" s="14" t="s">
        <v>141</v>
      </c>
      <c r="B995" s="14" t="s">
        <v>6253</v>
      </c>
      <c r="C995" s="14" t="s">
        <v>6254</v>
      </c>
      <c r="D995" s="18"/>
      <c r="E995" s="14">
        <v>2015</v>
      </c>
      <c r="F995" s="18"/>
      <c r="G995" s="18"/>
      <c r="H995" s="14" t="s">
        <v>6255</v>
      </c>
      <c r="I995" s="18"/>
      <c r="J995" s="18"/>
      <c r="K995" s="14" t="s">
        <v>6256</v>
      </c>
      <c r="L995" s="16">
        <v>42278</v>
      </c>
      <c r="M995" s="18"/>
      <c r="N995" s="18"/>
      <c r="O995" s="17" t="s">
        <v>6257</v>
      </c>
      <c r="P995" s="14" t="s">
        <v>6258</v>
      </c>
      <c r="Q995" s="14" t="s">
        <v>6259</v>
      </c>
      <c r="R995" s="14" t="s">
        <v>6260</v>
      </c>
      <c r="S995" s="15"/>
      <c r="T995" s="15"/>
      <c r="U995" s="15"/>
      <c r="V995" s="15"/>
    </row>
    <row r="996" spans="1:22" x14ac:dyDescent="0.25">
      <c r="A996" s="14" t="s">
        <v>141</v>
      </c>
      <c r="B996" s="14" t="s">
        <v>6261</v>
      </c>
      <c r="C996" s="14" t="s">
        <v>6262</v>
      </c>
      <c r="D996" s="18"/>
      <c r="E996" s="14">
        <v>2015</v>
      </c>
      <c r="F996" s="18"/>
      <c r="G996" s="18"/>
      <c r="H996" s="23">
        <v>45184</v>
      </c>
      <c r="I996" s="18"/>
      <c r="J996" s="18"/>
      <c r="K996" s="14" t="s">
        <v>6256</v>
      </c>
      <c r="L996" s="16">
        <v>42278</v>
      </c>
      <c r="M996" s="18"/>
      <c r="N996" s="18"/>
      <c r="O996" s="17" t="s">
        <v>6263</v>
      </c>
      <c r="P996" s="14" t="s">
        <v>6264</v>
      </c>
      <c r="Q996" s="14" t="s">
        <v>6265</v>
      </c>
      <c r="R996" s="14" t="s">
        <v>6266</v>
      </c>
      <c r="S996" s="15"/>
      <c r="T996" s="15"/>
      <c r="U996" s="15"/>
      <c r="V996" s="15"/>
    </row>
    <row r="997" spans="1:22" x14ac:dyDescent="0.25">
      <c r="A997" s="14" t="s">
        <v>141</v>
      </c>
      <c r="B997" s="14" t="s">
        <v>6267</v>
      </c>
      <c r="C997" s="14" t="s">
        <v>2654</v>
      </c>
      <c r="D997" s="18"/>
      <c r="E997" s="14">
        <v>2022</v>
      </c>
      <c r="F997" s="18"/>
      <c r="G997" s="18"/>
      <c r="H997" s="14" t="s">
        <v>6268</v>
      </c>
      <c r="I997" s="18"/>
      <c r="J997" s="18"/>
      <c r="K997" s="14" t="s">
        <v>6269</v>
      </c>
      <c r="L997" s="20">
        <v>44682</v>
      </c>
      <c r="M997" s="18"/>
      <c r="N997" s="18"/>
      <c r="O997" s="17" t="s">
        <v>6270</v>
      </c>
      <c r="P997" s="14" t="s">
        <v>2657</v>
      </c>
      <c r="Q997" s="14" t="s">
        <v>6271</v>
      </c>
      <c r="R997" s="14" t="s">
        <v>6272</v>
      </c>
      <c r="S997" s="15"/>
      <c r="T997" s="15"/>
      <c r="U997" s="15"/>
      <c r="V997" s="15"/>
    </row>
    <row r="998" spans="1:22" x14ac:dyDescent="0.25">
      <c r="A998" s="14" t="s">
        <v>141</v>
      </c>
      <c r="B998" s="14" t="s">
        <v>4924</v>
      </c>
      <c r="C998" s="14" t="s">
        <v>4925</v>
      </c>
      <c r="D998" s="18"/>
      <c r="E998" s="14">
        <v>2019</v>
      </c>
      <c r="F998" s="18"/>
      <c r="G998" s="18"/>
      <c r="H998" s="14" t="s">
        <v>6273</v>
      </c>
      <c r="I998" s="18"/>
      <c r="J998" s="18"/>
      <c r="K998" s="14" t="s">
        <v>6274</v>
      </c>
      <c r="L998" s="20">
        <v>43586</v>
      </c>
      <c r="M998" s="18"/>
      <c r="N998" s="18"/>
      <c r="O998" s="17" t="s">
        <v>6275</v>
      </c>
      <c r="P998" s="14" t="s">
        <v>4928</v>
      </c>
      <c r="Q998" s="14" t="s">
        <v>6276</v>
      </c>
      <c r="R998" s="14" t="s">
        <v>6277</v>
      </c>
      <c r="S998" s="15"/>
      <c r="T998" s="15"/>
      <c r="U998" s="15"/>
      <c r="V998" s="15"/>
    </row>
    <row r="999" spans="1:22" x14ac:dyDescent="0.25">
      <c r="A999" s="14" t="s">
        <v>141</v>
      </c>
      <c r="B999" s="14" t="s">
        <v>6278</v>
      </c>
      <c r="C999" s="14" t="s">
        <v>2087</v>
      </c>
      <c r="D999" s="18"/>
      <c r="E999" s="14">
        <v>2021</v>
      </c>
      <c r="F999" s="18"/>
      <c r="G999" s="18"/>
      <c r="H999" s="14" t="s">
        <v>6279</v>
      </c>
      <c r="I999" s="18"/>
      <c r="J999" s="18"/>
      <c r="K999" s="14" t="s">
        <v>6179</v>
      </c>
      <c r="L999" s="20">
        <v>44440</v>
      </c>
      <c r="M999" s="18"/>
      <c r="N999" s="18"/>
      <c r="O999" s="17" t="s">
        <v>6280</v>
      </c>
      <c r="P999" s="14" t="s">
        <v>2090</v>
      </c>
      <c r="Q999" s="14" t="s">
        <v>6281</v>
      </c>
      <c r="R999" s="14" t="s">
        <v>6282</v>
      </c>
      <c r="S999" s="15"/>
      <c r="T999" s="15"/>
      <c r="U999" s="15"/>
      <c r="V999" s="15"/>
    </row>
    <row r="1000" spans="1:22" x14ac:dyDescent="0.25">
      <c r="A1000" s="14" t="s">
        <v>13</v>
      </c>
      <c r="B1000" s="14" t="s">
        <v>6283</v>
      </c>
      <c r="C1000" s="14" t="s">
        <v>6284</v>
      </c>
      <c r="D1000" s="14" t="s">
        <v>668</v>
      </c>
      <c r="E1000" s="14">
        <v>2021</v>
      </c>
      <c r="F1000" s="14">
        <v>9</v>
      </c>
      <c r="G1000" s="18"/>
      <c r="H1000" s="14" t="s">
        <v>6285</v>
      </c>
      <c r="I1000" s="18"/>
      <c r="J1000" s="18"/>
      <c r="K1000" s="18"/>
      <c r="L1000" s="14">
        <v>2021</v>
      </c>
      <c r="M1000" s="18"/>
      <c r="N1000" s="14" t="s">
        <v>670</v>
      </c>
      <c r="O1000" s="17" t="s">
        <v>6286</v>
      </c>
      <c r="P1000" s="14" t="s">
        <v>6287</v>
      </c>
      <c r="Q1000" s="14" t="s">
        <v>6288</v>
      </c>
      <c r="R1000" s="14" t="s">
        <v>6289</v>
      </c>
      <c r="S1000" s="15"/>
      <c r="T1000" s="15"/>
      <c r="U1000" s="15"/>
      <c r="V1000" s="15"/>
    </row>
    <row r="1001" spans="1:22" x14ac:dyDescent="0.25">
      <c r="A1001" s="14" t="s">
        <v>13</v>
      </c>
      <c r="B1001" s="14" t="s">
        <v>6290</v>
      </c>
      <c r="C1001" s="14" t="s">
        <v>6291</v>
      </c>
      <c r="D1001" s="14" t="s">
        <v>668</v>
      </c>
      <c r="E1001" s="14">
        <v>2020</v>
      </c>
      <c r="F1001" s="14">
        <v>8</v>
      </c>
      <c r="G1001" s="18"/>
      <c r="H1001" s="14" t="s">
        <v>6292</v>
      </c>
      <c r="I1001" s="18"/>
      <c r="J1001" s="18"/>
      <c r="K1001" s="18"/>
      <c r="L1001" s="14">
        <v>2020</v>
      </c>
      <c r="M1001" s="18"/>
      <c r="N1001" s="14" t="s">
        <v>670</v>
      </c>
      <c r="O1001" s="17" t="s">
        <v>6293</v>
      </c>
      <c r="P1001" s="14" t="s">
        <v>6294</v>
      </c>
      <c r="Q1001" s="14" t="s">
        <v>6295</v>
      </c>
      <c r="R1001" s="14" t="s">
        <v>6296</v>
      </c>
      <c r="S1001" s="15"/>
      <c r="T1001" s="15"/>
      <c r="U1001" s="15"/>
      <c r="V1001" s="15"/>
    </row>
    <row r="1002" spans="1:22" x14ac:dyDescent="0.25">
      <c r="A1002" s="14" t="s">
        <v>141</v>
      </c>
      <c r="B1002" s="14" t="s">
        <v>6297</v>
      </c>
      <c r="C1002" s="14" t="s">
        <v>6298</v>
      </c>
      <c r="D1002" s="18"/>
      <c r="E1002" s="14">
        <v>2021</v>
      </c>
      <c r="F1002" s="18"/>
      <c r="G1002" s="18"/>
      <c r="H1002" s="14" t="s">
        <v>6299</v>
      </c>
      <c r="I1002" s="18"/>
      <c r="J1002" s="18"/>
      <c r="K1002" s="14" t="s">
        <v>6300</v>
      </c>
      <c r="L1002" s="20">
        <v>44317</v>
      </c>
      <c r="M1002" s="18"/>
      <c r="N1002" s="14" t="s">
        <v>6112</v>
      </c>
      <c r="O1002" s="17" t="s">
        <v>6301</v>
      </c>
      <c r="P1002" s="14" t="s">
        <v>6302</v>
      </c>
      <c r="Q1002" s="14" t="s">
        <v>6303</v>
      </c>
      <c r="R1002" s="14" t="s">
        <v>6304</v>
      </c>
      <c r="S1002" s="15"/>
      <c r="T1002" s="15"/>
      <c r="U1002" s="15"/>
      <c r="V1002" s="15"/>
    </row>
    <row r="1003" spans="1:22" x14ac:dyDescent="0.25">
      <c r="A1003" s="14" t="s">
        <v>13</v>
      </c>
      <c r="B1003" s="14" t="s">
        <v>6305</v>
      </c>
      <c r="C1003" s="14" t="s">
        <v>6306</v>
      </c>
      <c r="D1003" s="14" t="s">
        <v>6307</v>
      </c>
      <c r="E1003" s="14">
        <v>2015</v>
      </c>
      <c r="F1003" s="14">
        <v>17</v>
      </c>
      <c r="G1003" s="14">
        <v>6</v>
      </c>
      <c r="H1003" s="14" t="s">
        <v>6308</v>
      </c>
      <c r="I1003" s="18"/>
      <c r="J1003" s="18"/>
      <c r="K1003" s="18"/>
      <c r="L1003" s="16">
        <v>42309</v>
      </c>
      <c r="M1003" s="18"/>
      <c r="N1003" s="14" t="s">
        <v>6309</v>
      </c>
      <c r="O1003" s="17" t="s">
        <v>6310</v>
      </c>
      <c r="P1003" s="14" t="s">
        <v>6311</v>
      </c>
      <c r="Q1003" s="14" t="s">
        <v>6312</v>
      </c>
      <c r="R1003" s="14" t="s">
        <v>6313</v>
      </c>
      <c r="S1003" s="15"/>
      <c r="T1003" s="15"/>
      <c r="U1003" s="15"/>
      <c r="V1003" s="15"/>
    </row>
    <row r="1004" spans="1:22" x14ac:dyDescent="0.25">
      <c r="A1004" s="14" t="s">
        <v>141</v>
      </c>
      <c r="B1004" s="14" t="s">
        <v>4688</v>
      </c>
      <c r="C1004" s="14" t="s">
        <v>6314</v>
      </c>
      <c r="D1004" s="18"/>
      <c r="E1004" s="14">
        <v>2018</v>
      </c>
      <c r="F1004" s="18"/>
      <c r="G1004" s="18"/>
      <c r="H1004" s="23">
        <v>45119</v>
      </c>
      <c r="I1004" s="18"/>
      <c r="J1004" s="18"/>
      <c r="K1004" s="14" t="s">
        <v>6315</v>
      </c>
      <c r="L1004" s="16">
        <v>43435</v>
      </c>
      <c r="M1004" s="18"/>
      <c r="N1004" s="14" t="s">
        <v>6316</v>
      </c>
      <c r="O1004" s="17" t="s">
        <v>6317</v>
      </c>
      <c r="P1004" s="14" t="s">
        <v>4691</v>
      </c>
      <c r="Q1004" s="14" t="s">
        <v>6318</v>
      </c>
      <c r="R1004" s="14" t="s">
        <v>6319</v>
      </c>
      <c r="S1004" s="15"/>
      <c r="T1004" s="15"/>
      <c r="U1004" s="15"/>
      <c r="V1004" s="15"/>
    </row>
    <row r="1005" spans="1:22" x14ac:dyDescent="0.25">
      <c r="A1005" s="14" t="s">
        <v>141</v>
      </c>
      <c r="B1005" s="14" t="s">
        <v>30</v>
      </c>
      <c r="C1005" s="14" t="s">
        <v>6320</v>
      </c>
      <c r="D1005" s="18"/>
      <c r="E1005" s="14">
        <v>2020</v>
      </c>
      <c r="F1005" s="18"/>
      <c r="G1005" s="18"/>
      <c r="H1005" s="14" t="s">
        <v>6321</v>
      </c>
      <c r="I1005" s="18"/>
      <c r="J1005" s="18"/>
      <c r="K1005" s="14" t="s">
        <v>6322</v>
      </c>
      <c r="L1005" s="20">
        <v>44044</v>
      </c>
      <c r="M1005" s="18"/>
      <c r="N1005" s="18"/>
      <c r="O1005" s="17" t="s">
        <v>6323</v>
      </c>
      <c r="P1005" s="14" t="s">
        <v>6324</v>
      </c>
      <c r="Q1005" s="14" t="s">
        <v>6325</v>
      </c>
      <c r="R1005" s="14" t="s">
        <v>6326</v>
      </c>
      <c r="S1005" s="15"/>
      <c r="T1005" s="15"/>
      <c r="U1005" s="15"/>
      <c r="V1005" s="15"/>
    </row>
    <row r="1006" spans="1:22" x14ac:dyDescent="0.25">
      <c r="A1006" s="14" t="s">
        <v>141</v>
      </c>
      <c r="B1006" s="14" t="s">
        <v>2924</v>
      </c>
      <c r="C1006" s="14" t="s">
        <v>6327</v>
      </c>
      <c r="D1006" s="18"/>
      <c r="E1006" s="14">
        <v>2021</v>
      </c>
      <c r="F1006" s="18"/>
      <c r="G1006" s="18"/>
      <c r="H1006" s="14" t="s">
        <v>6328</v>
      </c>
      <c r="I1006" s="18"/>
      <c r="J1006" s="18"/>
      <c r="K1006" s="14" t="s">
        <v>6329</v>
      </c>
      <c r="L1006" s="20">
        <v>44317</v>
      </c>
      <c r="M1006" s="18"/>
      <c r="N1006" s="14" t="s">
        <v>6152</v>
      </c>
      <c r="O1006" s="17" t="s">
        <v>6330</v>
      </c>
      <c r="P1006" s="14" t="s">
        <v>2928</v>
      </c>
      <c r="Q1006" s="14" t="s">
        <v>6331</v>
      </c>
      <c r="R1006" s="14" t="s">
        <v>6332</v>
      </c>
      <c r="S1006" s="15"/>
      <c r="T1006" s="15"/>
      <c r="U1006" s="15"/>
      <c r="V1006" s="15"/>
    </row>
    <row r="1007" spans="1:22" x14ac:dyDescent="0.25">
      <c r="A1007" s="14" t="s">
        <v>141</v>
      </c>
      <c r="B1007" s="14" t="s">
        <v>3166</v>
      </c>
      <c r="C1007" s="14" t="s">
        <v>6333</v>
      </c>
      <c r="D1007" s="18"/>
      <c r="E1007" s="14">
        <v>2021</v>
      </c>
      <c r="F1007" s="18"/>
      <c r="G1007" s="18"/>
      <c r="H1007" s="14" t="s">
        <v>6334</v>
      </c>
      <c r="I1007" s="18"/>
      <c r="J1007" s="18"/>
      <c r="K1007" s="14" t="s">
        <v>6335</v>
      </c>
      <c r="L1007" s="20">
        <v>44317</v>
      </c>
      <c r="M1007" s="18"/>
      <c r="N1007" s="14" t="s">
        <v>6336</v>
      </c>
      <c r="O1007" s="17" t="s">
        <v>6337</v>
      </c>
      <c r="P1007" s="14" t="s">
        <v>3170</v>
      </c>
      <c r="Q1007" s="14" t="s">
        <v>6338</v>
      </c>
      <c r="R1007" s="14" t="s">
        <v>6339</v>
      </c>
      <c r="S1007" s="15"/>
      <c r="T1007" s="15"/>
      <c r="U1007" s="15"/>
      <c r="V1007" s="15"/>
    </row>
    <row r="1008" spans="1:22" x14ac:dyDescent="0.25">
      <c r="A1008" s="14" t="s">
        <v>13</v>
      </c>
      <c r="B1008" s="14" t="s">
        <v>6340</v>
      </c>
      <c r="C1008" s="14" t="s">
        <v>6341</v>
      </c>
      <c r="D1008" s="14" t="s">
        <v>4637</v>
      </c>
      <c r="E1008" s="14">
        <v>2017</v>
      </c>
      <c r="F1008" s="14">
        <v>34</v>
      </c>
      <c r="G1008" s="14">
        <v>2</v>
      </c>
      <c r="H1008" s="14" t="s">
        <v>6342</v>
      </c>
      <c r="I1008" s="18"/>
      <c r="J1008" s="18"/>
      <c r="K1008" s="18"/>
      <c r="L1008" s="20">
        <v>42795</v>
      </c>
      <c r="M1008" s="18"/>
      <c r="N1008" s="14" t="s">
        <v>6207</v>
      </c>
      <c r="O1008" s="17" t="s">
        <v>6343</v>
      </c>
      <c r="P1008" s="14" t="s">
        <v>6344</v>
      </c>
      <c r="Q1008" s="14" t="s">
        <v>6345</v>
      </c>
      <c r="R1008" s="14" t="s">
        <v>6346</v>
      </c>
      <c r="S1008" s="15"/>
      <c r="T1008" s="15"/>
      <c r="U1008" s="15"/>
      <c r="V1008" s="15"/>
    </row>
    <row r="1009" spans="1:22" x14ac:dyDescent="0.25">
      <c r="A1009" s="14" t="s">
        <v>13</v>
      </c>
      <c r="B1009" s="14" t="s">
        <v>6347</v>
      </c>
      <c r="C1009" s="14" t="s">
        <v>6348</v>
      </c>
      <c r="D1009" s="14" t="s">
        <v>4637</v>
      </c>
      <c r="E1009" s="14">
        <v>2018</v>
      </c>
      <c r="F1009" s="14">
        <v>35</v>
      </c>
      <c r="G1009" s="14">
        <v>2</v>
      </c>
      <c r="H1009" s="14" t="s">
        <v>6349</v>
      </c>
      <c r="I1009" s="18"/>
      <c r="J1009" s="18"/>
      <c r="K1009" s="18"/>
      <c r="L1009" s="20">
        <v>43160</v>
      </c>
      <c r="M1009" s="18"/>
      <c r="N1009" s="14" t="s">
        <v>6207</v>
      </c>
      <c r="O1009" s="17" t="s">
        <v>6350</v>
      </c>
      <c r="P1009" s="14" t="s">
        <v>6351</v>
      </c>
      <c r="Q1009" s="14" t="s">
        <v>6352</v>
      </c>
      <c r="R1009" s="14" t="s">
        <v>6353</v>
      </c>
      <c r="S1009" s="15"/>
      <c r="T1009" s="15"/>
      <c r="U1009" s="15"/>
      <c r="V1009" s="15"/>
    </row>
    <row r="1010" spans="1:22" x14ac:dyDescent="0.25">
      <c r="A1010" s="14" t="s">
        <v>13</v>
      </c>
      <c r="B1010" s="14" t="s">
        <v>977</v>
      </c>
      <c r="C1010" s="14" t="s">
        <v>6354</v>
      </c>
      <c r="D1010" s="14" t="s">
        <v>255</v>
      </c>
      <c r="E1010" s="14">
        <v>2022</v>
      </c>
      <c r="F1010" s="14">
        <v>48</v>
      </c>
      <c r="G1010" s="14">
        <v>12</v>
      </c>
      <c r="H1010" s="14" t="s">
        <v>6355</v>
      </c>
      <c r="I1010" s="18"/>
      <c r="J1010" s="18"/>
      <c r="K1010" s="18"/>
      <c r="L1010" s="16">
        <v>44896</v>
      </c>
      <c r="M1010" s="18"/>
      <c r="N1010" s="14" t="s">
        <v>6115</v>
      </c>
      <c r="O1010" s="17" t="s">
        <v>6356</v>
      </c>
      <c r="P1010" s="14" t="s">
        <v>981</v>
      </c>
      <c r="Q1010" s="14" t="s">
        <v>6357</v>
      </c>
      <c r="R1010" s="14" t="s">
        <v>6358</v>
      </c>
      <c r="S1010" s="15"/>
      <c r="T1010" s="15"/>
      <c r="U1010" s="15"/>
      <c r="V1010" s="15"/>
    </row>
    <row r="1011" spans="1:22" x14ac:dyDescent="0.25">
      <c r="A1011" s="14" t="s">
        <v>141</v>
      </c>
      <c r="B1011" s="14" t="s">
        <v>6359</v>
      </c>
      <c r="C1011" s="14" t="s">
        <v>6360</v>
      </c>
      <c r="D1011" s="18"/>
      <c r="E1011" s="14">
        <v>2019</v>
      </c>
      <c r="F1011" s="18"/>
      <c r="G1011" s="18"/>
      <c r="H1011" s="14" t="s">
        <v>6361</v>
      </c>
      <c r="I1011" s="18"/>
      <c r="J1011" s="18"/>
      <c r="K1011" s="14" t="s">
        <v>6362</v>
      </c>
      <c r="L1011" s="16">
        <v>43800</v>
      </c>
      <c r="M1011" s="18"/>
      <c r="N1011" s="14" t="s">
        <v>6316</v>
      </c>
      <c r="O1011" s="17" t="s">
        <v>6363</v>
      </c>
      <c r="P1011" s="14" t="s">
        <v>6364</v>
      </c>
      <c r="Q1011" s="14" t="s">
        <v>6365</v>
      </c>
      <c r="R1011" s="14" t="s">
        <v>6366</v>
      </c>
      <c r="S1011" s="15"/>
      <c r="T1011" s="15"/>
      <c r="U1011" s="15"/>
      <c r="V1011" s="15"/>
    </row>
    <row r="1012" spans="1:22" x14ac:dyDescent="0.25">
      <c r="A1012" s="14" t="s">
        <v>13</v>
      </c>
      <c r="B1012" s="14" t="s">
        <v>6367</v>
      </c>
      <c r="C1012" s="14" t="s">
        <v>5094</v>
      </c>
      <c r="D1012" s="14" t="s">
        <v>4637</v>
      </c>
      <c r="E1012" s="14">
        <v>2016</v>
      </c>
      <c r="F1012" s="14">
        <v>33</v>
      </c>
      <c r="G1012" s="14">
        <v>5</v>
      </c>
      <c r="H1012" s="14" t="s">
        <v>6368</v>
      </c>
      <c r="I1012" s="18"/>
      <c r="J1012" s="18"/>
      <c r="K1012" s="18"/>
      <c r="L1012" s="20">
        <v>42614</v>
      </c>
      <c r="M1012" s="18"/>
      <c r="N1012" s="14" t="s">
        <v>6207</v>
      </c>
      <c r="O1012" s="17" t="s">
        <v>6369</v>
      </c>
      <c r="P1012" s="14" t="s">
        <v>6370</v>
      </c>
      <c r="Q1012" s="14" t="s">
        <v>6371</v>
      </c>
      <c r="R1012" s="14" t="s">
        <v>6372</v>
      </c>
      <c r="S1012" s="15"/>
      <c r="T1012" s="15"/>
      <c r="U1012" s="15"/>
      <c r="V1012" s="15"/>
    </row>
    <row r="1013" spans="1:22" x14ac:dyDescent="0.25">
      <c r="A1013" s="14" t="s">
        <v>141</v>
      </c>
      <c r="B1013" s="14" t="s">
        <v>4537</v>
      </c>
      <c r="C1013" s="14" t="s">
        <v>6373</v>
      </c>
      <c r="D1013" s="18"/>
      <c r="E1013" s="14">
        <v>2020</v>
      </c>
      <c r="F1013" s="18"/>
      <c r="G1013" s="18"/>
      <c r="H1013" s="14" t="s">
        <v>6374</v>
      </c>
      <c r="I1013" s="18"/>
      <c r="J1013" s="18"/>
      <c r="K1013" s="14" t="s">
        <v>6375</v>
      </c>
      <c r="L1013" s="16">
        <v>44105</v>
      </c>
      <c r="M1013" s="18"/>
      <c r="N1013" s="18"/>
      <c r="O1013" s="18"/>
      <c r="P1013" s="18"/>
      <c r="Q1013" s="14" t="s">
        <v>6376</v>
      </c>
      <c r="R1013" s="14" t="s">
        <v>6377</v>
      </c>
      <c r="S1013" s="15"/>
      <c r="T1013" s="15"/>
      <c r="U1013" s="15"/>
      <c r="V1013" s="15"/>
    </row>
    <row r="1014" spans="1:22" x14ac:dyDescent="0.25">
      <c r="A1014" s="14" t="s">
        <v>141</v>
      </c>
      <c r="B1014" s="14" t="s">
        <v>1747</v>
      </c>
      <c r="C1014" s="14" t="s">
        <v>1748</v>
      </c>
      <c r="D1014" s="18"/>
      <c r="E1014" s="14">
        <v>2022</v>
      </c>
      <c r="F1014" s="18"/>
      <c r="G1014" s="18"/>
      <c r="H1014" s="14" t="s">
        <v>6378</v>
      </c>
      <c r="I1014" s="18"/>
      <c r="J1014" s="18"/>
      <c r="K1014" s="14" t="s">
        <v>6269</v>
      </c>
      <c r="L1014" s="20">
        <v>44682</v>
      </c>
      <c r="M1014" s="18"/>
      <c r="N1014" s="18"/>
      <c r="O1014" s="17" t="s">
        <v>6379</v>
      </c>
      <c r="P1014" s="14" t="s">
        <v>1751</v>
      </c>
      <c r="Q1014" s="14" t="s">
        <v>6380</v>
      </c>
      <c r="R1014" s="14" t="s">
        <v>6381</v>
      </c>
      <c r="S1014" s="15"/>
      <c r="T1014" s="15"/>
      <c r="U1014" s="15"/>
      <c r="V1014" s="15"/>
    </row>
    <row r="1015" spans="1:22" x14ac:dyDescent="0.25">
      <c r="A1015" s="14" t="s">
        <v>13</v>
      </c>
      <c r="B1015" s="14" t="s">
        <v>1243</v>
      </c>
      <c r="C1015" s="14" t="s">
        <v>1244</v>
      </c>
      <c r="D1015" s="14" t="s">
        <v>255</v>
      </c>
      <c r="E1015" s="14">
        <v>2022</v>
      </c>
      <c r="F1015" s="14">
        <v>48</v>
      </c>
      <c r="G1015" s="14">
        <v>4</v>
      </c>
      <c r="H1015" s="14" t="s">
        <v>6382</v>
      </c>
      <c r="I1015" s="18"/>
      <c r="J1015" s="18"/>
      <c r="K1015" s="18"/>
      <c r="L1015" s="20">
        <v>44652</v>
      </c>
      <c r="M1015" s="18"/>
      <c r="N1015" s="14" t="s">
        <v>6115</v>
      </c>
      <c r="O1015" s="17" t="s">
        <v>6383</v>
      </c>
      <c r="P1015" s="14" t="s">
        <v>1247</v>
      </c>
      <c r="Q1015" s="14" t="s">
        <v>6384</v>
      </c>
      <c r="R1015" s="14" t="s">
        <v>6385</v>
      </c>
      <c r="S1015" s="15"/>
      <c r="T1015" s="15"/>
      <c r="U1015" s="15"/>
      <c r="V1015" s="15"/>
    </row>
    <row r="1016" spans="1:22" x14ac:dyDescent="0.25">
      <c r="A1016" s="14" t="s">
        <v>141</v>
      </c>
      <c r="B1016" s="14" t="s">
        <v>1784</v>
      </c>
      <c r="C1016" s="14" t="s">
        <v>1785</v>
      </c>
      <c r="D1016" s="18"/>
      <c r="E1016" s="14">
        <v>2021</v>
      </c>
      <c r="F1016" s="18"/>
      <c r="G1016" s="18"/>
      <c r="H1016" s="23">
        <v>44934</v>
      </c>
      <c r="I1016" s="18"/>
      <c r="J1016" s="18"/>
      <c r="K1016" s="14" t="s">
        <v>6179</v>
      </c>
      <c r="L1016" s="20">
        <v>44440</v>
      </c>
      <c r="M1016" s="18"/>
      <c r="N1016" s="18"/>
      <c r="O1016" s="17" t="s">
        <v>6386</v>
      </c>
      <c r="P1016" s="14" t="s">
        <v>1788</v>
      </c>
      <c r="Q1016" s="14" t="s">
        <v>6387</v>
      </c>
      <c r="R1016" s="14" t="s">
        <v>6388</v>
      </c>
      <c r="S1016" s="15"/>
      <c r="T1016" s="15"/>
      <c r="U1016" s="15"/>
      <c r="V1016" s="15"/>
    </row>
    <row r="1017" spans="1:22" x14ac:dyDescent="0.25">
      <c r="A1017" s="14" t="s">
        <v>13</v>
      </c>
      <c r="B1017" s="14" t="s">
        <v>6389</v>
      </c>
      <c r="C1017" s="14" t="s">
        <v>1125</v>
      </c>
      <c r="D1017" s="14" t="s">
        <v>255</v>
      </c>
      <c r="E1017" s="14">
        <v>2022</v>
      </c>
      <c r="F1017" s="18"/>
      <c r="G1017" s="18"/>
      <c r="H1017" s="23">
        <v>44945</v>
      </c>
      <c r="I1017" s="18"/>
      <c r="J1017" s="18"/>
      <c r="K1017" s="18"/>
      <c r="L1017" s="14">
        <v>2022</v>
      </c>
      <c r="M1017" s="18"/>
      <c r="N1017" s="14" t="s">
        <v>6115</v>
      </c>
      <c r="O1017" s="17" t="s">
        <v>6390</v>
      </c>
      <c r="P1017" s="14" t="s">
        <v>1128</v>
      </c>
      <c r="Q1017" s="14" t="s">
        <v>6391</v>
      </c>
      <c r="R1017" s="14" t="s">
        <v>6392</v>
      </c>
      <c r="S1017" s="15"/>
      <c r="T1017" s="15"/>
      <c r="U1017" s="15"/>
      <c r="V1017" s="15"/>
    </row>
    <row r="1018" spans="1:22" x14ac:dyDescent="0.25">
      <c r="A1018" s="14" t="s">
        <v>141</v>
      </c>
      <c r="B1018" s="14" t="s">
        <v>3344</v>
      </c>
      <c r="C1018" s="14" t="s">
        <v>3698</v>
      </c>
      <c r="D1018" s="18"/>
      <c r="E1018" s="14">
        <v>2020</v>
      </c>
      <c r="F1018" s="18"/>
      <c r="G1018" s="18"/>
      <c r="H1018" s="23">
        <v>44936</v>
      </c>
      <c r="I1018" s="18"/>
      <c r="J1018" s="18"/>
      <c r="K1018" s="14" t="s">
        <v>6393</v>
      </c>
      <c r="L1018" s="16">
        <v>44105</v>
      </c>
      <c r="M1018" s="18"/>
      <c r="N1018" s="18"/>
      <c r="O1018" s="18"/>
      <c r="P1018" s="18"/>
      <c r="Q1018" s="14" t="s">
        <v>6394</v>
      </c>
      <c r="R1018" s="14" t="s">
        <v>6395</v>
      </c>
      <c r="S1018" s="15"/>
      <c r="T1018" s="15"/>
      <c r="U1018" s="15"/>
      <c r="V1018" s="15"/>
    </row>
    <row r="1019" spans="1:22" x14ac:dyDescent="0.25">
      <c r="A1019" s="14" t="s">
        <v>141</v>
      </c>
      <c r="B1019" s="14" t="s">
        <v>6396</v>
      </c>
      <c r="C1019" s="14" t="s">
        <v>6397</v>
      </c>
      <c r="D1019" s="18"/>
      <c r="E1019" s="14">
        <v>2019</v>
      </c>
      <c r="F1019" s="18"/>
      <c r="G1019" s="18"/>
      <c r="H1019" s="14" t="s">
        <v>6398</v>
      </c>
      <c r="I1019" s="18"/>
      <c r="J1019" s="18"/>
      <c r="K1019" s="14" t="s">
        <v>6399</v>
      </c>
      <c r="L1019" s="20">
        <v>43678</v>
      </c>
      <c r="M1019" s="18"/>
      <c r="N1019" s="18"/>
      <c r="O1019" s="17" t="s">
        <v>6400</v>
      </c>
      <c r="P1019" s="14" t="s">
        <v>6401</v>
      </c>
      <c r="Q1019" s="14" t="s">
        <v>6402</v>
      </c>
      <c r="R1019" s="14" t="s">
        <v>6403</v>
      </c>
      <c r="S1019" s="15"/>
      <c r="T1019" s="15"/>
      <c r="U1019" s="15"/>
      <c r="V1019" s="15"/>
    </row>
    <row r="1020" spans="1:22" x14ac:dyDescent="0.25">
      <c r="A1020" s="14" t="s">
        <v>13</v>
      </c>
      <c r="B1020" s="14" t="s">
        <v>37</v>
      </c>
      <c r="C1020" s="14" t="s">
        <v>38</v>
      </c>
      <c r="D1020" s="14" t="s">
        <v>255</v>
      </c>
      <c r="E1020" s="14">
        <v>2022</v>
      </c>
      <c r="F1020" s="14">
        <v>48</v>
      </c>
      <c r="G1020" s="14">
        <v>12</v>
      </c>
      <c r="H1020" s="14" t="s">
        <v>39</v>
      </c>
      <c r="I1020" s="18"/>
      <c r="J1020" s="18"/>
      <c r="K1020" s="18"/>
      <c r="L1020" s="16">
        <v>44896</v>
      </c>
      <c r="M1020" s="18"/>
      <c r="N1020" s="14" t="s">
        <v>6115</v>
      </c>
      <c r="O1020" s="17" t="s">
        <v>40</v>
      </c>
      <c r="P1020" s="14" t="s">
        <v>41</v>
      </c>
      <c r="Q1020" s="14" t="s">
        <v>42</v>
      </c>
      <c r="R1020" s="14" t="s">
        <v>6404</v>
      </c>
      <c r="S1020" s="15"/>
      <c r="T1020" s="15"/>
      <c r="U1020" s="15"/>
      <c r="V1020" s="15"/>
    </row>
    <row r="1021" spans="1:22" x14ac:dyDescent="0.25">
      <c r="A1021" s="14" t="s">
        <v>13</v>
      </c>
      <c r="B1021" s="14" t="s">
        <v>88</v>
      </c>
      <c r="C1021" s="14" t="s">
        <v>89</v>
      </c>
      <c r="D1021" s="14" t="s">
        <v>347</v>
      </c>
      <c r="E1021" s="14">
        <v>2022</v>
      </c>
      <c r="F1021" s="14">
        <v>71</v>
      </c>
      <c r="G1021" s="14">
        <v>3</v>
      </c>
      <c r="H1021" s="14" t="s">
        <v>91</v>
      </c>
      <c r="I1021" s="18"/>
      <c r="J1021" s="18"/>
      <c r="K1021" s="18"/>
      <c r="L1021" s="20">
        <v>44805</v>
      </c>
      <c r="M1021" s="18"/>
      <c r="N1021" s="14" t="s">
        <v>6405</v>
      </c>
      <c r="O1021" s="17" t="s">
        <v>93</v>
      </c>
      <c r="P1021" s="14" t="s">
        <v>94</v>
      </c>
      <c r="Q1021" s="14" t="s">
        <v>6406</v>
      </c>
      <c r="R1021" s="14" t="s">
        <v>6407</v>
      </c>
      <c r="S1021" s="15"/>
      <c r="T1021" s="15"/>
      <c r="U1021" s="15"/>
      <c r="V1021" s="15"/>
    </row>
    <row r="1022" spans="1:22" x14ac:dyDescent="0.25">
      <c r="A1022" s="14" t="s">
        <v>141</v>
      </c>
      <c r="B1022" s="14" t="s">
        <v>6128</v>
      </c>
      <c r="C1022" s="14" t="s">
        <v>6408</v>
      </c>
      <c r="D1022" s="18"/>
      <c r="E1022" s="14">
        <v>2018</v>
      </c>
      <c r="F1022" s="18"/>
      <c r="G1022" s="18"/>
      <c r="H1022" s="14" t="s">
        <v>6409</v>
      </c>
      <c r="I1022" s="18"/>
      <c r="J1022" s="18"/>
      <c r="K1022" s="14" t="s">
        <v>6238</v>
      </c>
      <c r="L1022" s="20">
        <v>43221</v>
      </c>
      <c r="M1022" s="18"/>
      <c r="N1022" s="14" t="s">
        <v>6239</v>
      </c>
      <c r="O1022" s="18"/>
      <c r="P1022" s="18"/>
      <c r="Q1022" s="14" t="s">
        <v>6410</v>
      </c>
      <c r="R1022" s="14" t="s">
        <v>6411</v>
      </c>
      <c r="S1022" s="15"/>
      <c r="T1022" s="15"/>
      <c r="U1022" s="15"/>
      <c r="V1022" s="15"/>
    </row>
    <row r="1023" spans="1:22" x14ac:dyDescent="0.25">
      <c r="A1023" s="14" t="s">
        <v>141</v>
      </c>
      <c r="B1023" s="14" t="s">
        <v>2545</v>
      </c>
      <c r="C1023" s="14" t="s">
        <v>2546</v>
      </c>
      <c r="D1023" s="18"/>
      <c r="E1023" s="14">
        <v>2021</v>
      </c>
      <c r="F1023" s="18"/>
      <c r="G1023" s="18"/>
      <c r="H1023" s="23">
        <v>44934</v>
      </c>
      <c r="I1023" s="18"/>
      <c r="J1023" s="18"/>
      <c r="K1023" s="14" t="s">
        <v>6412</v>
      </c>
      <c r="L1023" s="20">
        <v>44378</v>
      </c>
      <c r="M1023" s="18"/>
      <c r="N1023" s="14" t="s">
        <v>6413</v>
      </c>
      <c r="O1023" s="17" t="s">
        <v>6414</v>
      </c>
      <c r="P1023" s="14" t="s">
        <v>2548</v>
      </c>
      <c r="Q1023" s="14" t="s">
        <v>6415</v>
      </c>
      <c r="R1023" s="14" t="s">
        <v>6416</v>
      </c>
      <c r="S1023" s="15"/>
      <c r="T1023" s="15"/>
      <c r="U1023" s="15"/>
      <c r="V1023" s="15"/>
    </row>
    <row r="1024" spans="1:22" x14ac:dyDescent="0.25">
      <c r="A1024" s="14" t="s">
        <v>13</v>
      </c>
      <c r="B1024" s="14" t="s">
        <v>3901</v>
      </c>
      <c r="C1024" s="14" t="s">
        <v>3902</v>
      </c>
      <c r="D1024" s="14" t="s">
        <v>255</v>
      </c>
      <c r="E1024" s="14">
        <v>2019</v>
      </c>
      <c r="F1024" s="14">
        <v>45</v>
      </c>
      <c r="G1024" s="14">
        <v>12</v>
      </c>
      <c r="H1024" s="14" t="s">
        <v>6417</v>
      </c>
      <c r="I1024" s="18"/>
      <c r="J1024" s="18"/>
      <c r="K1024" s="18"/>
      <c r="L1024" s="16">
        <v>43800</v>
      </c>
      <c r="M1024" s="18"/>
      <c r="N1024" s="14" t="s">
        <v>6115</v>
      </c>
      <c r="O1024" s="17" t="s">
        <v>6418</v>
      </c>
      <c r="P1024" s="14" t="s">
        <v>3905</v>
      </c>
      <c r="Q1024" s="14" t="s">
        <v>6419</v>
      </c>
      <c r="R1024" s="14" t="s">
        <v>6420</v>
      </c>
      <c r="S1024" s="15"/>
      <c r="T1024" s="15"/>
      <c r="U1024" s="15"/>
      <c r="V1024" s="15"/>
    </row>
    <row r="1025" spans="1:22" x14ac:dyDescent="0.25">
      <c r="A1025" s="14" t="s">
        <v>141</v>
      </c>
      <c r="B1025" s="14" t="s">
        <v>5556</v>
      </c>
      <c r="C1025" s="14" t="s">
        <v>5557</v>
      </c>
      <c r="D1025" s="18"/>
      <c r="E1025" s="14">
        <v>2017</v>
      </c>
      <c r="F1025" s="18"/>
      <c r="G1025" s="18"/>
      <c r="H1025" s="23">
        <v>45119</v>
      </c>
      <c r="I1025" s="18"/>
      <c r="J1025" s="18"/>
      <c r="K1025" s="14" t="s">
        <v>6421</v>
      </c>
      <c r="L1025" s="20">
        <v>42887</v>
      </c>
      <c r="M1025" s="18"/>
      <c r="N1025" s="18"/>
      <c r="O1025" s="17" t="s">
        <v>6422</v>
      </c>
      <c r="P1025" s="14" t="s">
        <v>5559</v>
      </c>
      <c r="Q1025" s="14" t="s">
        <v>6423</v>
      </c>
      <c r="R1025" s="14" t="s">
        <v>6424</v>
      </c>
      <c r="S1025" s="15"/>
      <c r="T1025" s="15"/>
      <c r="U1025" s="15"/>
      <c r="V1025" s="15"/>
    </row>
    <row r="1026" spans="1:22" x14ac:dyDescent="0.25">
      <c r="A1026" s="14" t="s">
        <v>141</v>
      </c>
      <c r="B1026" s="14" t="s">
        <v>6425</v>
      </c>
      <c r="C1026" s="14" t="s">
        <v>3381</v>
      </c>
      <c r="D1026" s="18"/>
      <c r="E1026" s="14">
        <v>2020</v>
      </c>
      <c r="F1026" s="18"/>
      <c r="G1026" s="18"/>
      <c r="H1026" s="14" t="s">
        <v>6426</v>
      </c>
      <c r="I1026" s="18"/>
      <c r="J1026" s="18"/>
      <c r="K1026" s="14" t="s">
        <v>6322</v>
      </c>
      <c r="L1026" s="20">
        <v>44044</v>
      </c>
      <c r="M1026" s="18"/>
      <c r="N1026" s="18"/>
      <c r="O1026" s="17" t="s">
        <v>6427</v>
      </c>
      <c r="P1026" s="14" t="s">
        <v>3384</v>
      </c>
      <c r="Q1026" s="14" t="s">
        <v>6428</v>
      </c>
      <c r="R1026" s="14" t="s">
        <v>6429</v>
      </c>
      <c r="S1026" s="15"/>
      <c r="T1026" s="15"/>
      <c r="U1026" s="15"/>
      <c r="V1026" s="15"/>
    </row>
    <row r="1027" spans="1:22" x14ac:dyDescent="0.25">
      <c r="A1027" s="14" t="s">
        <v>13</v>
      </c>
      <c r="B1027" s="14" t="s">
        <v>109</v>
      </c>
      <c r="C1027" s="14" t="s">
        <v>110</v>
      </c>
      <c r="D1027" s="14" t="s">
        <v>255</v>
      </c>
      <c r="E1027" s="14">
        <v>2022</v>
      </c>
      <c r="F1027" s="14">
        <v>48</v>
      </c>
      <c r="G1027" s="14">
        <v>5</v>
      </c>
      <c r="H1027" s="14" t="s">
        <v>111</v>
      </c>
      <c r="I1027" s="18"/>
      <c r="J1027" s="18"/>
      <c r="K1027" s="18"/>
      <c r="L1027" s="20">
        <v>44682</v>
      </c>
      <c r="M1027" s="18"/>
      <c r="N1027" s="14" t="s">
        <v>6115</v>
      </c>
      <c r="O1027" s="17" t="s">
        <v>112</v>
      </c>
      <c r="P1027" s="14" t="s">
        <v>113</v>
      </c>
      <c r="Q1027" s="14" t="s">
        <v>6430</v>
      </c>
      <c r="R1027" s="14" t="s">
        <v>6431</v>
      </c>
      <c r="S1027" s="15"/>
      <c r="T1027" s="15"/>
      <c r="U1027" s="15"/>
      <c r="V1027" s="15"/>
    </row>
    <row r="1028" spans="1:22" x14ac:dyDescent="0.25">
      <c r="A1028" s="14" t="s">
        <v>141</v>
      </c>
      <c r="B1028" s="14" t="s">
        <v>5589</v>
      </c>
      <c r="C1028" s="14" t="s">
        <v>6432</v>
      </c>
      <c r="D1028" s="18"/>
      <c r="E1028" s="14">
        <v>2018</v>
      </c>
      <c r="F1028" s="18"/>
      <c r="G1028" s="18"/>
      <c r="H1028" s="14" t="s">
        <v>6433</v>
      </c>
      <c r="I1028" s="18"/>
      <c r="J1028" s="18"/>
      <c r="K1028" s="14" t="s">
        <v>6145</v>
      </c>
      <c r="L1028" s="20">
        <v>43313</v>
      </c>
      <c r="M1028" s="18"/>
      <c r="N1028" s="18"/>
      <c r="O1028" s="17" t="s">
        <v>6434</v>
      </c>
      <c r="P1028" s="14" t="s">
        <v>5593</v>
      </c>
      <c r="Q1028" s="14" t="s">
        <v>6435</v>
      </c>
      <c r="R1028" s="14" t="s">
        <v>6436</v>
      </c>
      <c r="S1028" s="15"/>
      <c r="T1028" s="15"/>
      <c r="U1028" s="15"/>
      <c r="V1028" s="15"/>
    </row>
    <row r="1029" spans="1:22" x14ac:dyDescent="0.25">
      <c r="A1029" s="14" t="s">
        <v>141</v>
      </c>
      <c r="B1029" s="14" t="s">
        <v>6046</v>
      </c>
      <c r="C1029" s="14" t="s">
        <v>6437</v>
      </c>
      <c r="D1029" s="18"/>
      <c r="E1029" s="14">
        <v>2017</v>
      </c>
      <c r="F1029" s="18"/>
      <c r="G1029" s="18"/>
      <c r="H1029" s="14" t="s">
        <v>6438</v>
      </c>
      <c r="I1029" s="18"/>
      <c r="J1029" s="18"/>
      <c r="K1029" s="14" t="s">
        <v>6439</v>
      </c>
      <c r="L1029" s="20">
        <v>42979</v>
      </c>
      <c r="M1029" s="18"/>
      <c r="N1029" s="18"/>
      <c r="O1029" s="17" t="s">
        <v>6440</v>
      </c>
      <c r="P1029" s="14" t="s">
        <v>6050</v>
      </c>
      <c r="Q1029" s="14" t="s">
        <v>6441</v>
      </c>
      <c r="R1029" s="14" t="s">
        <v>6442</v>
      </c>
      <c r="S1029" s="15"/>
      <c r="T1029" s="15"/>
      <c r="U1029" s="15"/>
      <c r="V1029" s="15"/>
    </row>
    <row r="1030" spans="1:22" x14ac:dyDescent="0.25">
      <c r="A1030" s="14" t="s">
        <v>141</v>
      </c>
      <c r="B1030" s="14" t="s">
        <v>2972</v>
      </c>
      <c r="C1030" s="14" t="s">
        <v>6443</v>
      </c>
      <c r="D1030" s="18"/>
      <c r="E1030" s="14">
        <v>2018</v>
      </c>
      <c r="F1030" s="18"/>
      <c r="G1030" s="18"/>
      <c r="H1030" s="14" t="s">
        <v>6194</v>
      </c>
      <c r="I1030" s="18"/>
      <c r="J1030" s="18"/>
      <c r="K1030" s="14" t="s">
        <v>6125</v>
      </c>
      <c r="L1030" s="20">
        <v>43221</v>
      </c>
      <c r="M1030" s="18"/>
      <c r="N1030" s="18"/>
      <c r="O1030" s="18"/>
      <c r="P1030" s="18"/>
      <c r="Q1030" s="14" t="s">
        <v>6444</v>
      </c>
      <c r="R1030" s="14" t="s">
        <v>6445</v>
      </c>
      <c r="S1030" s="15"/>
      <c r="T1030" s="15"/>
      <c r="U1030" s="15"/>
      <c r="V1030" s="15"/>
    </row>
    <row r="1031" spans="1:22" x14ac:dyDescent="0.25">
      <c r="A1031" s="14" t="s">
        <v>141</v>
      </c>
      <c r="B1031" s="14" t="s">
        <v>2862</v>
      </c>
      <c r="C1031" s="14" t="s">
        <v>6446</v>
      </c>
      <c r="D1031" s="18"/>
      <c r="E1031" s="14">
        <v>2020</v>
      </c>
      <c r="F1031" s="18"/>
      <c r="G1031" s="18"/>
      <c r="H1031" s="14" t="s">
        <v>6447</v>
      </c>
      <c r="I1031" s="18"/>
      <c r="J1031" s="18"/>
      <c r="K1031" s="14" t="s">
        <v>6448</v>
      </c>
      <c r="L1031" s="20">
        <v>44075</v>
      </c>
      <c r="M1031" s="18"/>
      <c r="N1031" s="14" t="s">
        <v>6449</v>
      </c>
      <c r="O1031" s="17" t="s">
        <v>6450</v>
      </c>
      <c r="P1031" s="14" t="s">
        <v>2866</v>
      </c>
      <c r="Q1031" s="14" t="s">
        <v>6451</v>
      </c>
      <c r="R1031" s="14" t="s">
        <v>6452</v>
      </c>
      <c r="S1031" s="15"/>
      <c r="T1031" s="15"/>
      <c r="U1031" s="15"/>
      <c r="V1031" s="15"/>
    </row>
    <row r="1032" spans="1:22" x14ac:dyDescent="0.25">
      <c r="A1032" s="14" t="s">
        <v>141</v>
      </c>
      <c r="B1032" s="14" t="s">
        <v>4420</v>
      </c>
      <c r="C1032" s="14" t="s">
        <v>4421</v>
      </c>
      <c r="D1032" s="18"/>
      <c r="E1032" s="14">
        <v>2020</v>
      </c>
      <c r="F1032" s="18"/>
      <c r="G1032" s="18"/>
      <c r="H1032" s="14" t="s">
        <v>6453</v>
      </c>
      <c r="I1032" s="18"/>
      <c r="J1032" s="18"/>
      <c r="K1032" s="14" t="s">
        <v>6454</v>
      </c>
      <c r="L1032" s="20">
        <v>43983</v>
      </c>
      <c r="M1032" s="18"/>
      <c r="N1032" s="18"/>
      <c r="O1032" s="17" t="s">
        <v>6455</v>
      </c>
      <c r="P1032" s="14" t="s">
        <v>4424</v>
      </c>
      <c r="Q1032" s="14" t="s">
        <v>6456</v>
      </c>
      <c r="R1032" s="14" t="s">
        <v>6457</v>
      </c>
      <c r="S1032" s="15"/>
      <c r="T1032" s="15"/>
      <c r="U1032" s="15"/>
      <c r="V1032" s="15"/>
    </row>
    <row r="1033" spans="1:22" x14ac:dyDescent="0.25">
      <c r="A1033" s="14" t="s">
        <v>13</v>
      </c>
      <c r="B1033" s="14" t="s">
        <v>2158</v>
      </c>
      <c r="C1033" s="14" t="s">
        <v>2159</v>
      </c>
      <c r="D1033" s="14" t="s">
        <v>255</v>
      </c>
      <c r="E1033" s="14">
        <v>2021</v>
      </c>
      <c r="F1033" s="14">
        <v>47</v>
      </c>
      <c r="G1033" s="14">
        <v>12</v>
      </c>
      <c r="H1033" s="14" t="s">
        <v>6458</v>
      </c>
      <c r="I1033" s="18"/>
      <c r="J1033" s="18"/>
      <c r="K1033" s="18"/>
      <c r="L1033" s="16">
        <v>44531</v>
      </c>
      <c r="M1033" s="18"/>
      <c r="N1033" s="14" t="s">
        <v>6115</v>
      </c>
      <c r="O1033" s="17" t="s">
        <v>6459</v>
      </c>
      <c r="P1033" s="14" t="s">
        <v>2162</v>
      </c>
      <c r="Q1033" s="14" t="s">
        <v>6460</v>
      </c>
      <c r="R1033" s="14" t="s">
        <v>6461</v>
      </c>
      <c r="S1033" s="15"/>
      <c r="T1033" s="15"/>
      <c r="U1033" s="15"/>
      <c r="V1033" s="15"/>
    </row>
    <row r="1034" spans="1:22" x14ac:dyDescent="0.25">
      <c r="A1034" s="14" t="s">
        <v>141</v>
      </c>
      <c r="B1034" s="14" t="s">
        <v>3183</v>
      </c>
      <c r="C1034" s="14" t="s">
        <v>3184</v>
      </c>
      <c r="D1034" s="18"/>
      <c r="E1034" s="14">
        <v>2020</v>
      </c>
      <c r="F1034" s="18"/>
      <c r="G1034" s="18"/>
      <c r="H1034" s="14" t="s">
        <v>6462</v>
      </c>
      <c r="I1034" s="18"/>
      <c r="J1034" s="18"/>
      <c r="K1034" s="14" t="s">
        <v>6463</v>
      </c>
      <c r="L1034" s="20">
        <v>44075</v>
      </c>
      <c r="M1034" s="18"/>
      <c r="N1034" s="14" t="s">
        <v>6190</v>
      </c>
      <c r="O1034" s="18"/>
      <c r="P1034" s="18"/>
      <c r="Q1034" s="14" t="s">
        <v>6464</v>
      </c>
      <c r="R1034" s="14" t="s">
        <v>6465</v>
      </c>
      <c r="S1034" s="15"/>
      <c r="T1034" s="15"/>
      <c r="U1034" s="15"/>
      <c r="V1034" s="15"/>
    </row>
    <row r="1035" spans="1:22" x14ac:dyDescent="0.25">
      <c r="A1035" s="14" t="s">
        <v>141</v>
      </c>
      <c r="B1035" s="14" t="s">
        <v>6466</v>
      </c>
      <c r="C1035" s="14" t="s">
        <v>6467</v>
      </c>
      <c r="D1035" s="18"/>
      <c r="E1035" s="14">
        <v>2022</v>
      </c>
      <c r="F1035" s="18"/>
      <c r="G1035" s="18"/>
      <c r="H1035" s="14" t="s">
        <v>6468</v>
      </c>
      <c r="I1035" s="18"/>
      <c r="J1035" s="18"/>
      <c r="K1035" s="14" t="s">
        <v>6469</v>
      </c>
      <c r="L1035" s="20">
        <v>44682</v>
      </c>
      <c r="M1035" s="18"/>
      <c r="N1035" s="14" t="s">
        <v>6152</v>
      </c>
      <c r="O1035" s="17" t="s">
        <v>6470</v>
      </c>
      <c r="P1035" s="14" t="s">
        <v>6471</v>
      </c>
      <c r="Q1035" s="14" t="s">
        <v>6472</v>
      </c>
      <c r="R1035" s="14" t="s">
        <v>6473</v>
      </c>
      <c r="S1035" s="15"/>
      <c r="T1035" s="15"/>
      <c r="U1035" s="15"/>
      <c r="V1035" s="15"/>
    </row>
    <row r="1036" spans="1:22" x14ac:dyDescent="0.25">
      <c r="A1036" s="14" t="s">
        <v>141</v>
      </c>
      <c r="B1036" s="14" t="s">
        <v>6474</v>
      </c>
      <c r="C1036" s="14" t="s">
        <v>6475</v>
      </c>
      <c r="D1036" s="18"/>
      <c r="E1036" s="14">
        <v>2014</v>
      </c>
      <c r="F1036" s="18"/>
      <c r="G1036" s="18"/>
      <c r="H1036" s="23">
        <v>44932</v>
      </c>
      <c r="I1036" s="18"/>
      <c r="J1036" s="18"/>
      <c r="K1036" s="14" t="s">
        <v>6476</v>
      </c>
      <c r="L1036" s="20">
        <v>41760</v>
      </c>
      <c r="M1036" s="18"/>
      <c r="N1036" s="14" t="s">
        <v>6477</v>
      </c>
      <c r="O1036" s="17" t="s">
        <v>6478</v>
      </c>
      <c r="P1036" s="14" t="s">
        <v>6479</v>
      </c>
      <c r="Q1036" s="14" t="s">
        <v>6480</v>
      </c>
      <c r="R1036" s="14" t="s">
        <v>6481</v>
      </c>
      <c r="S1036" s="15"/>
      <c r="T1036" s="15"/>
      <c r="U1036" s="15"/>
      <c r="V1036" s="15"/>
    </row>
    <row r="1037" spans="1:22" x14ac:dyDescent="0.25">
      <c r="A1037" s="14" t="s">
        <v>141</v>
      </c>
      <c r="B1037" s="14" t="s">
        <v>1657</v>
      </c>
      <c r="C1037" s="14" t="s">
        <v>1658</v>
      </c>
      <c r="D1037" s="18"/>
      <c r="E1037" s="14">
        <v>2021</v>
      </c>
      <c r="F1037" s="18"/>
      <c r="G1037" s="18"/>
      <c r="H1037" s="14" t="s">
        <v>6482</v>
      </c>
      <c r="I1037" s="18"/>
      <c r="J1037" s="18"/>
      <c r="K1037" s="14" t="s">
        <v>6483</v>
      </c>
      <c r="L1037" s="20">
        <v>44317</v>
      </c>
      <c r="M1037" s="18"/>
      <c r="N1037" s="18"/>
      <c r="O1037" s="17" t="s">
        <v>6484</v>
      </c>
      <c r="P1037" s="14" t="s">
        <v>1661</v>
      </c>
      <c r="Q1037" s="14" t="s">
        <v>6485</v>
      </c>
      <c r="R1037" s="14" t="s">
        <v>6486</v>
      </c>
      <c r="S1037" s="15"/>
      <c r="T1037" s="15"/>
      <c r="U1037" s="15"/>
      <c r="V1037" s="15"/>
    </row>
    <row r="1038" spans="1:22" x14ac:dyDescent="0.25">
      <c r="A1038" s="14" t="s">
        <v>13</v>
      </c>
      <c r="B1038" s="14" t="s">
        <v>480</v>
      </c>
      <c r="C1038" s="14" t="s">
        <v>481</v>
      </c>
      <c r="D1038" s="14" t="s">
        <v>255</v>
      </c>
      <c r="E1038" s="14">
        <v>2022</v>
      </c>
      <c r="F1038" s="14">
        <v>48</v>
      </c>
      <c r="G1038" s="14">
        <v>10</v>
      </c>
      <c r="H1038" s="14" t="s">
        <v>6487</v>
      </c>
      <c r="I1038" s="18"/>
      <c r="J1038" s="18"/>
      <c r="K1038" s="18"/>
      <c r="L1038" s="16">
        <v>44835</v>
      </c>
      <c r="M1038" s="18"/>
      <c r="N1038" s="14" t="s">
        <v>6115</v>
      </c>
      <c r="O1038" s="17" t="s">
        <v>6488</v>
      </c>
      <c r="P1038" s="14" t="s">
        <v>484</v>
      </c>
      <c r="Q1038" s="14" t="s">
        <v>6489</v>
      </c>
      <c r="R1038" s="14" t="s">
        <v>6490</v>
      </c>
      <c r="S1038" s="15"/>
      <c r="T1038" s="15"/>
      <c r="U1038" s="15"/>
      <c r="V1038" s="15"/>
    </row>
    <row r="1039" spans="1:22" x14ac:dyDescent="0.25">
      <c r="A1039" s="14" t="s">
        <v>141</v>
      </c>
      <c r="B1039" s="14" t="s">
        <v>3590</v>
      </c>
      <c r="C1039" s="14" t="s">
        <v>3591</v>
      </c>
      <c r="D1039" s="18"/>
      <c r="E1039" s="14">
        <v>2021</v>
      </c>
      <c r="F1039" s="18"/>
      <c r="G1039" s="18"/>
      <c r="H1039" s="14" t="s">
        <v>6491</v>
      </c>
      <c r="I1039" s="18"/>
      <c r="J1039" s="18"/>
      <c r="K1039" s="14" t="s">
        <v>6189</v>
      </c>
      <c r="L1039" s="16">
        <v>44501</v>
      </c>
      <c r="M1039" s="18"/>
      <c r="N1039" s="14" t="s">
        <v>6190</v>
      </c>
      <c r="O1039" s="17" t="s">
        <v>6492</v>
      </c>
      <c r="P1039" s="14" t="s">
        <v>3594</v>
      </c>
      <c r="Q1039" s="14" t="s">
        <v>6493</v>
      </c>
      <c r="R1039" s="14" t="s">
        <v>6494</v>
      </c>
      <c r="S1039" s="15"/>
      <c r="T1039" s="15"/>
      <c r="U1039" s="15"/>
      <c r="V1039" s="15"/>
    </row>
    <row r="1040" spans="1:22" x14ac:dyDescent="0.25">
      <c r="A1040" s="14" t="s">
        <v>13</v>
      </c>
      <c r="B1040" s="14" t="s">
        <v>2513</v>
      </c>
      <c r="C1040" s="14" t="s">
        <v>2514</v>
      </c>
      <c r="D1040" s="14" t="s">
        <v>2515</v>
      </c>
      <c r="E1040" s="14">
        <v>2021</v>
      </c>
      <c r="F1040" s="14">
        <v>18</v>
      </c>
      <c r="G1040" s="14">
        <v>3</v>
      </c>
      <c r="H1040" s="14" t="s">
        <v>6495</v>
      </c>
      <c r="I1040" s="18"/>
      <c r="J1040" s="18"/>
      <c r="K1040" s="18"/>
      <c r="L1040" s="20">
        <v>44378</v>
      </c>
      <c r="M1040" s="18"/>
      <c r="N1040" s="14" t="s">
        <v>6496</v>
      </c>
      <c r="O1040" s="17" t="s">
        <v>6497</v>
      </c>
      <c r="P1040" s="14" t="s">
        <v>2519</v>
      </c>
      <c r="Q1040" s="14" t="s">
        <v>6498</v>
      </c>
      <c r="R1040" s="14" t="s">
        <v>6499</v>
      </c>
      <c r="S1040" s="15"/>
      <c r="T1040" s="15"/>
      <c r="U1040" s="15"/>
      <c r="V1040" s="15"/>
    </row>
    <row r="1041" spans="1:22" x14ac:dyDescent="0.25">
      <c r="A1041" s="14" t="s">
        <v>141</v>
      </c>
      <c r="B1041" s="14" t="s">
        <v>2980</v>
      </c>
      <c r="C1041" s="14" t="s">
        <v>2981</v>
      </c>
      <c r="D1041" s="18"/>
      <c r="E1041" s="14">
        <v>2020</v>
      </c>
      <c r="F1041" s="18"/>
      <c r="G1041" s="18"/>
      <c r="H1041" s="23">
        <v>44932</v>
      </c>
      <c r="I1041" s="18"/>
      <c r="J1041" s="18"/>
      <c r="K1041" s="14" t="s">
        <v>6500</v>
      </c>
      <c r="L1041" s="16">
        <v>44136</v>
      </c>
      <c r="M1041" s="18"/>
      <c r="N1041" s="18"/>
      <c r="O1041" s="17" t="s">
        <v>6501</v>
      </c>
      <c r="P1041" s="14" t="s">
        <v>2983</v>
      </c>
      <c r="Q1041" s="14" t="s">
        <v>6502</v>
      </c>
      <c r="R1041" s="14" t="s">
        <v>6503</v>
      </c>
      <c r="S1041" s="15"/>
      <c r="T1041" s="15"/>
      <c r="U1041" s="15"/>
      <c r="V1041" s="15"/>
    </row>
    <row r="1042" spans="1:22" x14ac:dyDescent="0.25">
      <c r="A1042" s="14" t="s">
        <v>141</v>
      </c>
      <c r="B1042" s="14" t="s">
        <v>6504</v>
      </c>
      <c r="C1042" s="14" t="s">
        <v>6505</v>
      </c>
      <c r="D1042" s="18"/>
      <c r="E1042" s="14">
        <v>2014</v>
      </c>
      <c r="F1042" s="18"/>
      <c r="G1042" s="18"/>
      <c r="H1042" s="14" t="s">
        <v>6506</v>
      </c>
      <c r="I1042" s="18"/>
      <c r="J1042" s="18"/>
      <c r="K1042" s="14" t="s">
        <v>6507</v>
      </c>
      <c r="L1042" s="20">
        <v>41883</v>
      </c>
      <c r="M1042" s="18"/>
      <c r="N1042" s="14" t="s">
        <v>6508</v>
      </c>
      <c r="O1042" s="17" t="s">
        <v>6509</v>
      </c>
      <c r="P1042" s="14" t="s">
        <v>6510</v>
      </c>
      <c r="Q1042" s="14" t="s">
        <v>6511</v>
      </c>
      <c r="R1042" s="14" t="s">
        <v>6512</v>
      </c>
      <c r="S1042" s="15"/>
      <c r="T1042" s="15"/>
      <c r="U1042" s="15"/>
      <c r="V1042" s="15"/>
    </row>
    <row r="1043" spans="1:22" x14ac:dyDescent="0.25">
      <c r="A1043" s="14" t="s">
        <v>141</v>
      </c>
      <c r="B1043" s="14" t="s">
        <v>3662</v>
      </c>
      <c r="C1043" s="14" t="s">
        <v>3663</v>
      </c>
      <c r="D1043" s="18"/>
      <c r="E1043" s="14">
        <v>2021</v>
      </c>
      <c r="F1043" s="18"/>
      <c r="G1043" s="18"/>
      <c r="H1043" s="24">
        <v>44930</v>
      </c>
      <c r="I1043" s="18"/>
      <c r="J1043" s="18"/>
      <c r="K1043" s="14" t="s">
        <v>6513</v>
      </c>
      <c r="L1043" s="20">
        <v>44440</v>
      </c>
      <c r="M1043" s="18"/>
      <c r="N1043" s="18"/>
      <c r="O1043" s="17" t="s">
        <v>6514</v>
      </c>
      <c r="P1043" s="14" t="s">
        <v>3666</v>
      </c>
      <c r="Q1043" s="14" t="s">
        <v>6515</v>
      </c>
      <c r="R1043" s="14" t="s">
        <v>6516</v>
      </c>
      <c r="S1043" s="15"/>
      <c r="T1043" s="15"/>
      <c r="U1043" s="15"/>
      <c r="V1043" s="15"/>
    </row>
    <row r="1044" spans="1:22" x14ac:dyDescent="0.25">
      <c r="A1044" s="14" t="s">
        <v>141</v>
      </c>
      <c r="B1044" s="14" t="s">
        <v>5239</v>
      </c>
      <c r="C1044" s="14" t="s">
        <v>5240</v>
      </c>
      <c r="D1044" s="18"/>
      <c r="E1044" s="14">
        <v>2017</v>
      </c>
      <c r="F1044" s="18"/>
      <c r="G1044" s="18"/>
      <c r="H1044" s="14" t="s">
        <v>6517</v>
      </c>
      <c r="I1044" s="18"/>
      <c r="J1044" s="18"/>
      <c r="K1044" s="14" t="s">
        <v>6518</v>
      </c>
      <c r="L1044" s="16">
        <v>43070</v>
      </c>
      <c r="M1044" s="18"/>
      <c r="N1044" s="18"/>
      <c r="O1044" s="17" t="s">
        <v>6519</v>
      </c>
      <c r="P1044" s="14" t="s">
        <v>5243</v>
      </c>
      <c r="Q1044" s="14" t="s">
        <v>6520</v>
      </c>
      <c r="R1044" s="14" t="s">
        <v>6521</v>
      </c>
      <c r="S1044" s="15"/>
      <c r="T1044" s="15"/>
      <c r="U1044" s="15"/>
      <c r="V1044" s="15"/>
    </row>
    <row r="1045" spans="1:22" x14ac:dyDescent="0.25">
      <c r="A1045" s="14" t="s">
        <v>141</v>
      </c>
      <c r="B1045" s="14" t="s">
        <v>6522</v>
      </c>
      <c r="C1045" s="14" t="s">
        <v>6523</v>
      </c>
      <c r="D1045" s="18"/>
      <c r="E1045" s="14">
        <v>2017</v>
      </c>
      <c r="F1045" s="18"/>
      <c r="G1045" s="18"/>
      <c r="H1045" s="14" t="s">
        <v>6524</v>
      </c>
      <c r="I1045" s="18"/>
      <c r="J1045" s="18"/>
      <c r="K1045" s="14" t="s">
        <v>6439</v>
      </c>
      <c r="L1045" s="20">
        <v>42979</v>
      </c>
      <c r="M1045" s="18"/>
      <c r="N1045" s="18"/>
      <c r="O1045" s="17" t="s">
        <v>6525</v>
      </c>
      <c r="P1045" s="14" t="s">
        <v>5798</v>
      </c>
      <c r="Q1045" s="14" t="s">
        <v>6526</v>
      </c>
      <c r="R1045" s="14" t="s">
        <v>6527</v>
      </c>
      <c r="S1045" s="15"/>
      <c r="T1045" s="15"/>
      <c r="U1045" s="15"/>
      <c r="V1045" s="15"/>
    </row>
    <row r="1046" spans="1:22" x14ac:dyDescent="0.25">
      <c r="A1046" s="14" t="s">
        <v>141</v>
      </c>
      <c r="B1046" s="14" t="s">
        <v>6528</v>
      </c>
      <c r="C1046" s="14" t="s">
        <v>6529</v>
      </c>
      <c r="D1046" s="18"/>
      <c r="E1046" s="14">
        <v>2018</v>
      </c>
      <c r="F1046" s="18"/>
      <c r="G1046" s="18"/>
      <c r="H1046" s="14" t="s">
        <v>6530</v>
      </c>
      <c r="I1046" s="18"/>
      <c r="J1046" s="18"/>
      <c r="K1046" s="14" t="s">
        <v>6531</v>
      </c>
      <c r="L1046" s="20">
        <v>43344</v>
      </c>
      <c r="M1046" s="18"/>
      <c r="N1046" s="18"/>
      <c r="O1046" s="17" t="s">
        <v>6532</v>
      </c>
      <c r="P1046" s="14" t="s">
        <v>6533</v>
      </c>
      <c r="Q1046" s="14" t="s">
        <v>6534</v>
      </c>
      <c r="R1046" s="14" t="s">
        <v>6535</v>
      </c>
      <c r="S1046" s="15"/>
      <c r="T1046" s="15"/>
      <c r="U1046" s="15"/>
      <c r="V1046" s="15"/>
    </row>
    <row r="1047" spans="1:22" x14ac:dyDescent="0.25">
      <c r="A1047" s="14" t="s">
        <v>13</v>
      </c>
      <c r="B1047" s="14" t="s">
        <v>6536</v>
      </c>
      <c r="C1047" s="14" t="s">
        <v>6537</v>
      </c>
      <c r="D1047" s="14" t="s">
        <v>255</v>
      </c>
      <c r="E1047" s="14">
        <v>2021</v>
      </c>
      <c r="F1047" s="14">
        <v>47</v>
      </c>
      <c r="G1047" s="14">
        <v>3</v>
      </c>
      <c r="H1047" s="14" t="s">
        <v>6538</v>
      </c>
      <c r="I1047" s="18"/>
      <c r="J1047" s="18"/>
      <c r="K1047" s="18"/>
      <c r="L1047" s="20">
        <v>44256</v>
      </c>
      <c r="M1047" s="18"/>
      <c r="N1047" s="14" t="s">
        <v>6115</v>
      </c>
      <c r="O1047" s="17" t="s">
        <v>6539</v>
      </c>
      <c r="P1047" s="14" t="s">
        <v>6540</v>
      </c>
      <c r="Q1047" s="14" t="s">
        <v>6541</v>
      </c>
      <c r="R1047" s="14" t="s">
        <v>6542</v>
      </c>
      <c r="S1047" s="15"/>
      <c r="T1047" s="15"/>
      <c r="U1047" s="15"/>
      <c r="V1047" s="15"/>
    </row>
    <row r="1048" spans="1:22" x14ac:dyDescent="0.25">
      <c r="A1048" s="14" t="s">
        <v>141</v>
      </c>
      <c r="B1048" s="14" t="s">
        <v>6543</v>
      </c>
      <c r="C1048" s="14" t="s">
        <v>6544</v>
      </c>
      <c r="D1048" s="18"/>
      <c r="E1048" s="14">
        <v>2018</v>
      </c>
      <c r="F1048" s="18"/>
      <c r="G1048" s="18"/>
      <c r="H1048" s="14" t="s">
        <v>6545</v>
      </c>
      <c r="I1048" s="18"/>
      <c r="J1048" s="18"/>
      <c r="K1048" s="14" t="s">
        <v>6145</v>
      </c>
      <c r="L1048" s="20">
        <v>43313</v>
      </c>
      <c r="M1048" s="18"/>
      <c r="N1048" s="18"/>
      <c r="O1048" s="17" t="s">
        <v>6546</v>
      </c>
      <c r="P1048" s="14" t="s">
        <v>6547</v>
      </c>
      <c r="Q1048" s="14" t="s">
        <v>6548</v>
      </c>
      <c r="R1048" s="14" t="s">
        <v>6549</v>
      </c>
      <c r="S1048" s="15"/>
      <c r="T1048" s="15"/>
      <c r="U1048" s="15"/>
      <c r="V1048" s="15"/>
    </row>
    <row r="1049" spans="1:22" x14ac:dyDescent="0.25">
      <c r="A1049" s="14" t="s">
        <v>141</v>
      </c>
      <c r="B1049" s="14" t="s">
        <v>1909</v>
      </c>
      <c r="C1049" s="14" t="s">
        <v>1910</v>
      </c>
      <c r="D1049" s="18"/>
      <c r="E1049" s="14">
        <v>2022</v>
      </c>
      <c r="F1049" s="18"/>
      <c r="G1049" s="18"/>
      <c r="H1049" s="23">
        <v>44934</v>
      </c>
      <c r="I1049" s="18"/>
      <c r="J1049" s="18"/>
      <c r="K1049" s="14" t="s">
        <v>6550</v>
      </c>
      <c r="L1049" s="20">
        <v>44682</v>
      </c>
      <c r="M1049" s="18"/>
      <c r="N1049" s="18"/>
      <c r="O1049" s="17" t="s">
        <v>6551</v>
      </c>
      <c r="P1049" s="14" t="s">
        <v>1913</v>
      </c>
      <c r="Q1049" s="14" t="s">
        <v>6552</v>
      </c>
      <c r="R1049" s="14" t="s">
        <v>6553</v>
      </c>
      <c r="S1049" s="15"/>
      <c r="T1049" s="15"/>
      <c r="U1049" s="15"/>
      <c r="V1049" s="15"/>
    </row>
    <row r="1050" spans="1:22" x14ac:dyDescent="0.25">
      <c r="A1050" s="14" t="s">
        <v>13</v>
      </c>
      <c r="B1050" s="14" t="s">
        <v>6554</v>
      </c>
      <c r="C1050" s="14" t="s">
        <v>6555</v>
      </c>
      <c r="D1050" s="14" t="s">
        <v>4637</v>
      </c>
      <c r="E1050" s="14">
        <v>2018</v>
      </c>
      <c r="F1050" s="14">
        <v>35</v>
      </c>
      <c r="G1050" s="14">
        <v>6</v>
      </c>
      <c r="H1050" s="23">
        <v>45275</v>
      </c>
      <c r="I1050" s="18"/>
      <c r="J1050" s="18"/>
      <c r="K1050" s="18"/>
      <c r="L1050" s="16">
        <v>43405</v>
      </c>
      <c r="M1050" s="18"/>
      <c r="N1050" s="14" t="s">
        <v>6207</v>
      </c>
      <c r="O1050" s="17" t="s">
        <v>6556</v>
      </c>
      <c r="P1050" s="14" t="s">
        <v>6557</v>
      </c>
      <c r="Q1050" s="14" t="s">
        <v>6558</v>
      </c>
      <c r="R1050" s="14" t="s">
        <v>6559</v>
      </c>
      <c r="S1050" s="15"/>
      <c r="T1050" s="15"/>
      <c r="U1050" s="15"/>
      <c r="V1050" s="15"/>
    </row>
    <row r="1051" spans="1:22" x14ac:dyDescent="0.25">
      <c r="A1051" s="14" t="s">
        <v>13</v>
      </c>
      <c r="B1051" s="14" t="s">
        <v>4635</v>
      </c>
      <c r="C1051" s="14" t="s">
        <v>4636</v>
      </c>
      <c r="D1051" s="14" t="s">
        <v>4637</v>
      </c>
      <c r="E1051" s="14">
        <v>2019</v>
      </c>
      <c r="F1051" s="14">
        <v>36</v>
      </c>
      <c r="G1051" s="14">
        <v>5</v>
      </c>
      <c r="H1051" s="14" t="s">
        <v>6560</v>
      </c>
      <c r="I1051" s="18"/>
      <c r="J1051" s="18"/>
      <c r="K1051" s="18"/>
      <c r="L1051" s="20">
        <v>43709</v>
      </c>
      <c r="M1051" s="18"/>
      <c r="N1051" s="14" t="s">
        <v>6207</v>
      </c>
      <c r="O1051" s="17" t="s">
        <v>6561</v>
      </c>
      <c r="P1051" s="14" t="s">
        <v>4641</v>
      </c>
      <c r="Q1051" s="14" t="s">
        <v>6562</v>
      </c>
      <c r="R1051" s="14" t="s">
        <v>6563</v>
      </c>
      <c r="S1051" s="15"/>
      <c r="T1051" s="15"/>
      <c r="U1051" s="15"/>
      <c r="V1051" s="15"/>
    </row>
    <row r="1052" spans="1:22" x14ac:dyDescent="0.25">
      <c r="A1052" s="14" t="s">
        <v>141</v>
      </c>
      <c r="B1052" s="14" t="s">
        <v>6564</v>
      </c>
      <c r="C1052" s="14" t="s">
        <v>6565</v>
      </c>
      <c r="D1052" s="18"/>
      <c r="E1052" s="14">
        <v>2021</v>
      </c>
      <c r="F1052" s="18"/>
      <c r="G1052" s="18"/>
      <c r="H1052" s="14" t="s">
        <v>6566</v>
      </c>
      <c r="I1052" s="18"/>
      <c r="J1052" s="18"/>
      <c r="K1052" s="14" t="s">
        <v>6567</v>
      </c>
      <c r="L1052" s="20">
        <v>44440</v>
      </c>
      <c r="M1052" s="18"/>
      <c r="N1052" s="18"/>
      <c r="O1052" s="17" t="s">
        <v>6568</v>
      </c>
      <c r="P1052" s="14" t="s">
        <v>6569</v>
      </c>
      <c r="Q1052" s="14" t="s">
        <v>6570</v>
      </c>
      <c r="R1052" s="14" t="s">
        <v>6571</v>
      </c>
      <c r="S1052" s="15"/>
      <c r="T1052" s="15"/>
      <c r="U1052" s="15"/>
      <c r="V1052" s="15"/>
    </row>
    <row r="1053" spans="1:22" x14ac:dyDescent="0.25">
      <c r="A1053" s="14" t="s">
        <v>141</v>
      </c>
      <c r="B1053" s="14" t="s">
        <v>6572</v>
      </c>
      <c r="C1053" s="14" t="s">
        <v>6573</v>
      </c>
      <c r="D1053" s="18"/>
      <c r="E1053" s="14">
        <v>2019</v>
      </c>
      <c r="F1053" s="18"/>
      <c r="G1053" s="18"/>
      <c r="H1053" s="14" t="s">
        <v>6574</v>
      </c>
      <c r="I1053" s="18"/>
      <c r="J1053" s="18"/>
      <c r="K1053" s="14" t="s">
        <v>6575</v>
      </c>
      <c r="L1053" s="20">
        <v>43556</v>
      </c>
      <c r="M1053" s="18"/>
      <c r="N1053" s="18"/>
      <c r="O1053" s="17" t="s">
        <v>6576</v>
      </c>
      <c r="P1053" s="14" t="s">
        <v>6577</v>
      </c>
      <c r="Q1053" s="14" t="s">
        <v>6578</v>
      </c>
      <c r="R1053" s="14" t="s">
        <v>6579</v>
      </c>
      <c r="S1053" s="15"/>
      <c r="T1053" s="15"/>
      <c r="U1053" s="15"/>
      <c r="V1053" s="15"/>
    </row>
    <row r="1054" spans="1:22" x14ac:dyDescent="0.25">
      <c r="A1054" s="14" t="s">
        <v>13</v>
      </c>
      <c r="B1054" s="18"/>
      <c r="C1054" s="14" t="s">
        <v>6580</v>
      </c>
      <c r="D1054" s="14" t="s">
        <v>6581</v>
      </c>
      <c r="E1054" s="14">
        <v>2017</v>
      </c>
      <c r="F1054" s="18"/>
      <c r="G1054" s="18"/>
      <c r="H1054" s="14" t="s">
        <v>6582</v>
      </c>
      <c r="I1054" s="18"/>
      <c r="J1054" s="18"/>
      <c r="K1054" s="18"/>
      <c r="L1054" s="20">
        <v>42948</v>
      </c>
      <c r="M1054" s="18"/>
      <c r="N1054" s="18"/>
      <c r="O1054" s="17" t="s">
        <v>6583</v>
      </c>
      <c r="P1054" s="14" t="s">
        <v>6584</v>
      </c>
      <c r="Q1054" s="14" t="s">
        <v>6585</v>
      </c>
      <c r="R1054" s="14" t="s">
        <v>6586</v>
      </c>
      <c r="S1054" s="15"/>
      <c r="T1054" s="15"/>
      <c r="U1054" s="15"/>
      <c r="V1054" s="15"/>
    </row>
    <row r="1055" spans="1:22" x14ac:dyDescent="0.25">
      <c r="A1055" s="14" t="s">
        <v>13</v>
      </c>
      <c r="B1055" s="14" t="s">
        <v>4452</v>
      </c>
      <c r="C1055" s="14" t="s">
        <v>4453</v>
      </c>
      <c r="D1055" s="14" t="s">
        <v>668</v>
      </c>
      <c r="E1055" s="14">
        <v>2019</v>
      </c>
      <c r="F1055" s="14">
        <v>7</v>
      </c>
      <c r="G1055" s="18"/>
      <c r="H1055" s="14" t="s">
        <v>6587</v>
      </c>
      <c r="I1055" s="18"/>
      <c r="J1055" s="18"/>
      <c r="K1055" s="18"/>
      <c r="L1055" s="14">
        <v>2019</v>
      </c>
      <c r="M1055" s="18"/>
      <c r="N1055" s="14" t="s">
        <v>670</v>
      </c>
      <c r="O1055" s="17" t="s">
        <v>6588</v>
      </c>
      <c r="P1055" s="14" t="s">
        <v>4456</v>
      </c>
      <c r="Q1055" s="14" t="s">
        <v>6589</v>
      </c>
      <c r="R1055" s="14" t="s">
        <v>6590</v>
      </c>
      <c r="S1055" s="15"/>
      <c r="T1055" s="15"/>
      <c r="U1055" s="15"/>
      <c r="V1055" s="15"/>
    </row>
    <row r="1056" spans="1:22" x14ac:dyDescent="0.25">
      <c r="A1056" s="14" t="s">
        <v>141</v>
      </c>
      <c r="B1056" s="14" t="s">
        <v>1416</v>
      </c>
      <c r="C1056" s="14" t="s">
        <v>1417</v>
      </c>
      <c r="D1056" s="18"/>
      <c r="E1056" s="14">
        <v>2022</v>
      </c>
      <c r="F1056" s="18"/>
      <c r="G1056" s="18"/>
      <c r="H1056" s="14" t="s">
        <v>6591</v>
      </c>
      <c r="I1056" s="18"/>
      <c r="J1056" s="18"/>
      <c r="K1056" s="14" t="s">
        <v>6592</v>
      </c>
      <c r="L1056" s="20">
        <v>44621</v>
      </c>
      <c r="M1056" s="18"/>
      <c r="N1056" s="14" t="s">
        <v>6593</v>
      </c>
      <c r="O1056" s="17" t="s">
        <v>6594</v>
      </c>
      <c r="P1056" s="14" t="s">
        <v>1420</v>
      </c>
      <c r="Q1056" s="14" t="s">
        <v>6595</v>
      </c>
      <c r="R1056" s="14" t="s">
        <v>6596</v>
      </c>
      <c r="S1056" s="15"/>
      <c r="T1056" s="15"/>
      <c r="U1056" s="15"/>
      <c r="V1056" s="15"/>
    </row>
    <row r="1057" spans="1:22" x14ac:dyDescent="0.25">
      <c r="A1057" s="14" t="s">
        <v>141</v>
      </c>
      <c r="B1057" s="14" t="s">
        <v>3147</v>
      </c>
      <c r="C1057" s="14" t="s">
        <v>3148</v>
      </c>
      <c r="D1057" s="18"/>
      <c r="E1057" s="14">
        <v>2021</v>
      </c>
      <c r="F1057" s="18"/>
      <c r="G1057" s="18"/>
      <c r="H1057" s="23">
        <v>44936</v>
      </c>
      <c r="I1057" s="18"/>
      <c r="J1057" s="18"/>
      <c r="K1057" s="14" t="s">
        <v>6597</v>
      </c>
      <c r="L1057" s="20">
        <v>44256</v>
      </c>
      <c r="M1057" s="18"/>
      <c r="N1057" s="14" t="s">
        <v>2902</v>
      </c>
      <c r="O1057" s="17" t="s">
        <v>6598</v>
      </c>
      <c r="P1057" s="14" t="s">
        <v>3150</v>
      </c>
      <c r="Q1057" s="14" t="s">
        <v>6599</v>
      </c>
      <c r="R1057" s="14" t="s">
        <v>6600</v>
      </c>
      <c r="S1057" s="15"/>
      <c r="T1057" s="15"/>
      <c r="U1057" s="15"/>
      <c r="V1057" s="15"/>
    </row>
    <row r="1058" spans="1:22" x14ac:dyDescent="0.25">
      <c r="A1058" s="14" t="s">
        <v>141</v>
      </c>
      <c r="B1058" s="14" t="s">
        <v>5806</v>
      </c>
      <c r="C1058" s="14" t="s">
        <v>6601</v>
      </c>
      <c r="D1058" s="18"/>
      <c r="E1058" s="14">
        <v>2018</v>
      </c>
      <c r="F1058" s="18"/>
      <c r="G1058" s="18"/>
      <c r="H1058" s="14" t="s">
        <v>6602</v>
      </c>
      <c r="I1058" s="18"/>
      <c r="J1058" s="18"/>
      <c r="K1058" s="14" t="s">
        <v>6151</v>
      </c>
      <c r="L1058" s="20">
        <v>43221</v>
      </c>
      <c r="M1058" s="18"/>
      <c r="N1058" s="14" t="s">
        <v>6152</v>
      </c>
      <c r="O1058" s="18"/>
      <c r="P1058" s="18"/>
      <c r="Q1058" s="14" t="s">
        <v>6603</v>
      </c>
      <c r="R1058" s="14" t="s">
        <v>6604</v>
      </c>
      <c r="S1058" s="15"/>
      <c r="T1058" s="15"/>
      <c r="U1058" s="15"/>
      <c r="V1058" s="15"/>
    </row>
    <row r="1059" spans="1:22" x14ac:dyDescent="0.25">
      <c r="A1059" s="14" t="s">
        <v>13</v>
      </c>
      <c r="B1059" s="14" t="s">
        <v>6605</v>
      </c>
      <c r="C1059" s="14" t="s">
        <v>6606</v>
      </c>
      <c r="D1059" s="14" t="s">
        <v>4637</v>
      </c>
      <c r="E1059" s="14">
        <v>2021</v>
      </c>
      <c r="F1059" s="14">
        <v>38</v>
      </c>
      <c r="G1059" s="14">
        <v>6</v>
      </c>
      <c r="H1059" s="14" t="s">
        <v>6607</v>
      </c>
      <c r="I1059" s="18"/>
      <c r="J1059" s="18"/>
      <c r="K1059" s="18"/>
      <c r="L1059" s="16">
        <v>44501</v>
      </c>
      <c r="M1059" s="18"/>
      <c r="N1059" s="14" t="s">
        <v>6207</v>
      </c>
      <c r="O1059" s="17" t="s">
        <v>6608</v>
      </c>
      <c r="P1059" s="14" t="s">
        <v>6609</v>
      </c>
      <c r="Q1059" s="14" t="s">
        <v>6610</v>
      </c>
      <c r="R1059" s="14" t="s">
        <v>6611</v>
      </c>
      <c r="S1059" s="15"/>
      <c r="T1059" s="15"/>
      <c r="U1059" s="15"/>
      <c r="V1059" s="15"/>
    </row>
    <row r="1060" spans="1:22" x14ac:dyDescent="0.25">
      <c r="A1060" s="14" t="s">
        <v>141</v>
      </c>
      <c r="B1060" s="14" t="s">
        <v>1960</v>
      </c>
      <c r="C1060" s="14" t="s">
        <v>6612</v>
      </c>
      <c r="D1060" s="18"/>
      <c r="E1060" s="14">
        <v>2021</v>
      </c>
      <c r="F1060" s="18"/>
      <c r="G1060" s="18"/>
      <c r="H1060" s="23">
        <v>44931</v>
      </c>
      <c r="I1060" s="18"/>
      <c r="J1060" s="18"/>
      <c r="K1060" s="14" t="s">
        <v>6613</v>
      </c>
      <c r="L1060" s="20">
        <v>44409</v>
      </c>
      <c r="M1060" s="18"/>
      <c r="N1060" s="18"/>
      <c r="O1060" s="17" t="s">
        <v>6614</v>
      </c>
      <c r="P1060" s="14" t="s">
        <v>1963</v>
      </c>
      <c r="Q1060" s="14" t="s">
        <v>6615</v>
      </c>
      <c r="R1060" s="14" t="s">
        <v>6616</v>
      </c>
      <c r="S1060" s="15"/>
      <c r="T1060" s="15"/>
      <c r="U1060" s="15"/>
      <c r="V1060" s="15"/>
    </row>
    <row r="1061" spans="1:22" x14ac:dyDescent="0.25">
      <c r="A1061" s="14" t="s">
        <v>141</v>
      </c>
      <c r="B1061" s="14" t="s">
        <v>5969</v>
      </c>
      <c r="C1061" s="14" t="s">
        <v>6617</v>
      </c>
      <c r="D1061" s="18"/>
      <c r="E1061" s="14">
        <v>2018</v>
      </c>
      <c r="F1061" s="18"/>
      <c r="G1061" s="18"/>
      <c r="H1061" s="14" t="s">
        <v>6618</v>
      </c>
      <c r="I1061" s="18"/>
      <c r="J1061" s="18"/>
      <c r="K1061" s="14" t="s">
        <v>6619</v>
      </c>
      <c r="L1061" s="20">
        <v>43191</v>
      </c>
      <c r="M1061" s="18"/>
      <c r="N1061" s="18"/>
      <c r="O1061" s="17" t="s">
        <v>6620</v>
      </c>
      <c r="P1061" s="14" t="s">
        <v>5973</v>
      </c>
      <c r="Q1061" s="14" t="s">
        <v>6621</v>
      </c>
      <c r="R1061" s="14" t="s">
        <v>6622</v>
      </c>
      <c r="S1061" s="15"/>
      <c r="T1061" s="15"/>
      <c r="U1061" s="15"/>
      <c r="V1061" s="15"/>
    </row>
    <row r="1062" spans="1:22" x14ac:dyDescent="0.25">
      <c r="A1062" s="14" t="s">
        <v>141</v>
      </c>
      <c r="B1062" s="14" t="s">
        <v>6623</v>
      </c>
      <c r="C1062" s="14" t="s">
        <v>6624</v>
      </c>
      <c r="D1062" s="18"/>
      <c r="E1062" s="14">
        <v>2022</v>
      </c>
      <c r="F1062" s="18"/>
      <c r="G1062" s="18"/>
      <c r="H1062" s="14" t="s">
        <v>6625</v>
      </c>
      <c r="I1062" s="18"/>
      <c r="J1062" s="18"/>
      <c r="K1062" s="14" t="s">
        <v>6626</v>
      </c>
      <c r="L1062" s="20">
        <v>44682</v>
      </c>
      <c r="M1062" s="18"/>
      <c r="N1062" s="18"/>
      <c r="O1062" s="17" t="s">
        <v>6627</v>
      </c>
      <c r="P1062" s="14" t="s">
        <v>6628</v>
      </c>
      <c r="Q1062" s="14" t="s">
        <v>6629</v>
      </c>
      <c r="R1062" s="14" t="s">
        <v>6630</v>
      </c>
      <c r="S1062" s="15"/>
      <c r="T1062" s="15"/>
      <c r="U1062" s="15"/>
      <c r="V1062" s="15"/>
    </row>
    <row r="1063" spans="1:22" x14ac:dyDescent="0.25">
      <c r="A1063" s="14" t="s">
        <v>141</v>
      </c>
      <c r="B1063" s="14" t="s">
        <v>4561</v>
      </c>
      <c r="C1063" s="14" t="s">
        <v>6631</v>
      </c>
      <c r="D1063" s="18"/>
      <c r="E1063" s="14">
        <v>2020</v>
      </c>
      <c r="F1063" s="18"/>
      <c r="G1063" s="18"/>
      <c r="H1063" s="14" t="s">
        <v>6632</v>
      </c>
      <c r="I1063" s="18"/>
      <c r="J1063" s="18"/>
      <c r="K1063" s="14" t="s">
        <v>6633</v>
      </c>
      <c r="L1063" s="16">
        <v>44105</v>
      </c>
      <c r="M1063" s="18"/>
      <c r="N1063" s="14" t="s">
        <v>6336</v>
      </c>
      <c r="O1063" s="18"/>
      <c r="P1063" s="18"/>
      <c r="Q1063" s="14" t="s">
        <v>6634</v>
      </c>
      <c r="R1063" s="14" t="s">
        <v>6635</v>
      </c>
      <c r="S1063" s="15"/>
      <c r="T1063" s="15"/>
      <c r="U1063" s="15"/>
      <c r="V1063" s="15"/>
    </row>
    <row r="1064" spans="1:22" x14ac:dyDescent="0.25">
      <c r="A1064" s="14" t="s">
        <v>13</v>
      </c>
      <c r="B1064" s="14" t="s">
        <v>6636</v>
      </c>
      <c r="C1064" s="14" t="s">
        <v>6637</v>
      </c>
      <c r="D1064" s="14" t="s">
        <v>4637</v>
      </c>
      <c r="E1064" s="14">
        <v>2019</v>
      </c>
      <c r="F1064" s="14">
        <v>36</v>
      </c>
      <c r="G1064" s="14">
        <v>2</v>
      </c>
      <c r="H1064" s="14" t="s">
        <v>6638</v>
      </c>
      <c r="I1064" s="18"/>
      <c r="J1064" s="18"/>
      <c r="K1064" s="18"/>
      <c r="L1064" s="20">
        <v>43525</v>
      </c>
      <c r="M1064" s="18"/>
      <c r="N1064" s="14" t="s">
        <v>6207</v>
      </c>
      <c r="O1064" s="17" t="s">
        <v>6639</v>
      </c>
      <c r="P1064" s="14" t="s">
        <v>6640</v>
      </c>
      <c r="Q1064" s="14" t="s">
        <v>6641</v>
      </c>
      <c r="R1064" s="14" t="s">
        <v>6642</v>
      </c>
      <c r="S1064" s="15"/>
      <c r="T1064" s="15"/>
      <c r="U1064" s="15"/>
      <c r="V1064" s="15"/>
    </row>
    <row r="1065" spans="1:22" x14ac:dyDescent="0.25">
      <c r="A1065" s="14" t="s">
        <v>141</v>
      </c>
      <c r="B1065" s="14" t="s">
        <v>3922</v>
      </c>
      <c r="C1065" s="14" t="s">
        <v>3923</v>
      </c>
      <c r="D1065" s="18"/>
      <c r="E1065" s="14">
        <v>2019</v>
      </c>
      <c r="F1065" s="18"/>
      <c r="G1065" s="18"/>
      <c r="H1065" s="14" t="s">
        <v>6643</v>
      </c>
      <c r="I1065" s="18"/>
      <c r="J1065" s="18"/>
      <c r="K1065" s="14" t="s">
        <v>6644</v>
      </c>
      <c r="L1065" s="20">
        <v>43497</v>
      </c>
      <c r="M1065" s="18"/>
      <c r="N1065" s="14" t="s">
        <v>6593</v>
      </c>
      <c r="O1065" s="17" t="s">
        <v>6645</v>
      </c>
      <c r="P1065" s="14" t="s">
        <v>3926</v>
      </c>
      <c r="Q1065" s="14" t="s">
        <v>6646</v>
      </c>
      <c r="R1065" s="14" t="s">
        <v>6647</v>
      </c>
      <c r="S1065" s="15"/>
      <c r="T1065" s="15"/>
      <c r="U1065" s="15"/>
      <c r="V1065" s="15"/>
    </row>
    <row r="1066" spans="1:22" x14ac:dyDescent="0.25">
      <c r="A1066" s="14" t="s">
        <v>141</v>
      </c>
      <c r="B1066" s="14" t="s">
        <v>5086</v>
      </c>
      <c r="C1066" s="14" t="s">
        <v>5087</v>
      </c>
      <c r="D1066" s="18"/>
      <c r="E1066" s="14">
        <v>2019</v>
      </c>
      <c r="F1066" s="18"/>
      <c r="G1066" s="18"/>
      <c r="H1066" s="14" t="s">
        <v>6648</v>
      </c>
      <c r="I1066" s="18"/>
      <c r="J1066" s="18"/>
      <c r="K1066" s="14" t="s">
        <v>6649</v>
      </c>
      <c r="L1066" s="16">
        <v>43800</v>
      </c>
      <c r="M1066" s="18"/>
      <c r="N1066" s="14" t="s">
        <v>6650</v>
      </c>
      <c r="O1066" s="17" t="s">
        <v>6651</v>
      </c>
      <c r="P1066" s="14" t="s">
        <v>5090</v>
      </c>
      <c r="Q1066" s="14" t="s">
        <v>6652</v>
      </c>
      <c r="R1066" s="14" t="s">
        <v>6653</v>
      </c>
      <c r="S1066" s="15"/>
      <c r="T1066" s="15"/>
      <c r="U1066" s="15"/>
      <c r="V1066" s="15"/>
    </row>
    <row r="1067" spans="1:22" x14ac:dyDescent="0.25">
      <c r="A1067" s="14" t="s">
        <v>141</v>
      </c>
      <c r="B1067" s="14" t="s">
        <v>3719</v>
      </c>
      <c r="C1067" s="14" t="s">
        <v>3720</v>
      </c>
      <c r="D1067" s="18"/>
      <c r="E1067" s="14">
        <v>2020</v>
      </c>
      <c r="F1067" s="18"/>
      <c r="G1067" s="18"/>
      <c r="H1067" s="14" t="s">
        <v>6654</v>
      </c>
      <c r="I1067" s="18"/>
      <c r="J1067" s="18"/>
      <c r="K1067" s="14" t="s">
        <v>6655</v>
      </c>
      <c r="L1067" s="16">
        <v>44136</v>
      </c>
      <c r="M1067" s="18"/>
      <c r="N1067" s="18"/>
      <c r="O1067" s="17" t="s">
        <v>6656</v>
      </c>
      <c r="P1067" s="14" t="s">
        <v>3722</v>
      </c>
      <c r="Q1067" s="14" t="s">
        <v>6657</v>
      </c>
      <c r="R1067" s="14" t="s">
        <v>6658</v>
      </c>
      <c r="S1067" s="15"/>
      <c r="T1067" s="15"/>
      <c r="U1067" s="15"/>
      <c r="V1067" s="15"/>
    </row>
    <row r="1068" spans="1:22" x14ac:dyDescent="0.25">
      <c r="A1068" s="14" t="s">
        <v>13</v>
      </c>
      <c r="B1068" s="14" t="s">
        <v>6659</v>
      </c>
      <c r="C1068" s="14" t="s">
        <v>6660</v>
      </c>
      <c r="D1068" s="14" t="s">
        <v>255</v>
      </c>
      <c r="E1068" s="14">
        <v>2022</v>
      </c>
      <c r="F1068" s="18"/>
      <c r="G1068" s="18"/>
      <c r="H1068" s="23">
        <v>44948</v>
      </c>
      <c r="I1068" s="18"/>
      <c r="J1068" s="18"/>
      <c r="K1068" s="18"/>
      <c r="L1068" s="14">
        <v>2022</v>
      </c>
      <c r="M1068" s="18"/>
      <c r="N1068" s="14" t="s">
        <v>6115</v>
      </c>
      <c r="O1068" s="17" t="s">
        <v>6661</v>
      </c>
      <c r="P1068" s="14" t="s">
        <v>6662</v>
      </c>
      <c r="Q1068" s="14" t="s">
        <v>6663</v>
      </c>
      <c r="R1068" s="14" t="s">
        <v>6664</v>
      </c>
      <c r="S1068" s="15"/>
      <c r="T1068" s="15"/>
      <c r="U1068" s="15"/>
      <c r="V1068" s="15"/>
    </row>
    <row r="1069" spans="1:22" x14ac:dyDescent="0.25">
      <c r="A1069" s="14" t="s">
        <v>141</v>
      </c>
      <c r="B1069" s="14" t="s">
        <v>1747</v>
      </c>
      <c r="C1069" s="14" t="s">
        <v>2250</v>
      </c>
      <c r="D1069" s="18"/>
      <c r="E1069" s="14">
        <v>2022</v>
      </c>
      <c r="F1069" s="18"/>
      <c r="G1069" s="18"/>
      <c r="H1069" s="14" t="s">
        <v>6665</v>
      </c>
      <c r="I1069" s="18"/>
      <c r="J1069" s="18"/>
      <c r="K1069" s="14" t="s">
        <v>6550</v>
      </c>
      <c r="L1069" s="20">
        <v>44682</v>
      </c>
      <c r="M1069" s="18"/>
      <c r="N1069" s="18"/>
      <c r="O1069" s="17" t="s">
        <v>6666</v>
      </c>
      <c r="P1069" s="14" t="s">
        <v>2253</v>
      </c>
      <c r="Q1069" s="14" t="s">
        <v>6667</v>
      </c>
      <c r="R1069" s="14" t="s">
        <v>6668</v>
      </c>
      <c r="S1069" s="15"/>
      <c r="T1069" s="15"/>
      <c r="U1069" s="15"/>
      <c r="V1069" s="15"/>
    </row>
    <row r="1070" spans="1:22" x14ac:dyDescent="0.25">
      <c r="A1070" s="14" t="s">
        <v>141</v>
      </c>
      <c r="B1070" s="14" t="s">
        <v>1937</v>
      </c>
      <c r="C1070" s="14" t="s">
        <v>1938</v>
      </c>
      <c r="D1070" s="18"/>
      <c r="E1070" s="14">
        <v>2022</v>
      </c>
      <c r="F1070" s="18"/>
      <c r="G1070" s="18"/>
      <c r="H1070" s="14" t="s">
        <v>6669</v>
      </c>
      <c r="I1070" s="18"/>
      <c r="J1070" s="18"/>
      <c r="K1070" s="14" t="s">
        <v>6670</v>
      </c>
      <c r="L1070" s="20">
        <v>44682</v>
      </c>
      <c r="M1070" s="18"/>
      <c r="N1070" s="14" t="s">
        <v>6112</v>
      </c>
      <c r="O1070" s="17" t="s">
        <v>6671</v>
      </c>
      <c r="P1070" s="14" t="s">
        <v>6672</v>
      </c>
      <c r="Q1070" s="14" t="s">
        <v>6673</v>
      </c>
      <c r="R1070" s="14" t="s">
        <v>6674</v>
      </c>
      <c r="S1070" s="15"/>
      <c r="T1070" s="15"/>
      <c r="U1070" s="15"/>
      <c r="V1070" s="15"/>
    </row>
    <row r="1071" spans="1:22" x14ac:dyDescent="0.25">
      <c r="A1071" s="14" t="s">
        <v>141</v>
      </c>
      <c r="B1071" s="14" t="s">
        <v>6675</v>
      </c>
      <c r="C1071" s="14" t="s">
        <v>6676</v>
      </c>
      <c r="D1071" s="18"/>
      <c r="E1071" s="14">
        <v>2021</v>
      </c>
      <c r="F1071" s="18"/>
      <c r="G1071" s="18"/>
      <c r="H1071" s="23">
        <v>44934</v>
      </c>
      <c r="I1071" s="18"/>
      <c r="J1071" s="18"/>
      <c r="K1071" s="14" t="s">
        <v>6677</v>
      </c>
      <c r="L1071" s="20">
        <v>44317</v>
      </c>
      <c r="M1071" s="18"/>
      <c r="N1071" s="18"/>
      <c r="O1071" s="17" t="s">
        <v>6678</v>
      </c>
      <c r="P1071" s="14" t="s">
        <v>3810</v>
      </c>
      <c r="Q1071" s="14" t="s">
        <v>6679</v>
      </c>
      <c r="R1071" s="14" t="s">
        <v>6680</v>
      </c>
      <c r="S1071" s="15"/>
      <c r="T1071" s="15"/>
      <c r="U1071" s="15"/>
      <c r="V1071" s="15"/>
    </row>
    <row r="1072" spans="1:22" x14ac:dyDescent="0.25">
      <c r="A1072" s="14" t="s">
        <v>141</v>
      </c>
      <c r="B1072" s="14" t="s">
        <v>6681</v>
      </c>
      <c r="C1072" s="14" t="s">
        <v>6682</v>
      </c>
      <c r="D1072" s="18"/>
      <c r="E1072" s="14">
        <v>2019</v>
      </c>
      <c r="F1072" s="18"/>
      <c r="G1072" s="18"/>
      <c r="H1072" s="14" t="s">
        <v>6683</v>
      </c>
      <c r="I1072" s="18"/>
      <c r="J1072" s="18"/>
      <c r="K1072" s="14" t="s">
        <v>6684</v>
      </c>
      <c r="L1072" s="20">
        <v>43709</v>
      </c>
      <c r="M1072" s="18"/>
      <c r="N1072" s="18"/>
      <c r="O1072" s="17" t="s">
        <v>6685</v>
      </c>
      <c r="P1072" s="14" t="s">
        <v>3943</v>
      </c>
      <c r="Q1072" s="14" t="s">
        <v>6686</v>
      </c>
      <c r="R1072" s="14" t="s">
        <v>6687</v>
      </c>
      <c r="S1072" s="15"/>
      <c r="T1072" s="15"/>
      <c r="U1072" s="15"/>
      <c r="V1072" s="15"/>
    </row>
    <row r="1073" spans="1:22" x14ac:dyDescent="0.25">
      <c r="A1073" s="14" t="s">
        <v>13</v>
      </c>
      <c r="B1073" s="14" t="s">
        <v>6688</v>
      </c>
      <c r="C1073" s="14" t="s">
        <v>6689</v>
      </c>
      <c r="D1073" s="14" t="s">
        <v>4637</v>
      </c>
      <c r="E1073" s="14">
        <v>2017</v>
      </c>
      <c r="F1073" s="14">
        <v>34</v>
      </c>
      <c r="G1073" s="14">
        <v>3</v>
      </c>
      <c r="H1073" s="23">
        <v>45182</v>
      </c>
      <c r="I1073" s="18"/>
      <c r="J1073" s="18"/>
      <c r="K1073" s="18"/>
      <c r="L1073" s="20">
        <v>42856</v>
      </c>
      <c r="M1073" s="18"/>
      <c r="N1073" s="14" t="s">
        <v>6207</v>
      </c>
      <c r="O1073" s="17" t="s">
        <v>6690</v>
      </c>
      <c r="P1073" s="14" t="s">
        <v>6691</v>
      </c>
      <c r="Q1073" s="14" t="s">
        <v>6692</v>
      </c>
      <c r="R1073" s="14" t="s">
        <v>6693</v>
      </c>
      <c r="S1073" s="15"/>
      <c r="T1073" s="15"/>
      <c r="U1073" s="15"/>
      <c r="V1073" s="15"/>
    </row>
    <row r="1074" spans="1:22" x14ac:dyDescent="0.25">
      <c r="A1074" s="14" t="s">
        <v>141</v>
      </c>
      <c r="B1074" s="14" t="s">
        <v>4090</v>
      </c>
      <c r="C1074" s="14" t="s">
        <v>4091</v>
      </c>
      <c r="D1074" s="18"/>
      <c r="E1074" s="14">
        <v>2019</v>
      </c>
      <c r="F1074" s="18"/>
      <c r="G1074" s="18"/>
      <c r="H1074" s="14" t="s">
        <v>6694</v>
      </c>
      <c r="I1074" s="18"/>
      <c r="J1074" s="18"/>
      <c r="K1074" s="14" t="s">
        <v>6399</v>
      </c>
      <c r="L1074" s="20">
        <v>43678</v>
      </c>
      <c r="M1074" s="18"/>
      <c r="N1074" s="18"/>
      <c r="O1074" s="17" t="s">
        <v>6695</v>
      </c>
      <c r="P1074" s="14" t="s">
        <v>4094</v>
      </c>
      <c r="Q1074" s="14" t="s">
        <v>6696</v>
      </c>
      <c r="R1074" s="14" t="s">
        <v>6697</v>
      </c>
      <c r="S1074" s="15"/>
      <c r="T1074" s="15"/>
      <c r="U1074" s="15"/>
      <c r="V1074" s="15"/>
    </row>
    <row r="1075" spans="1:22" x14ac:dyDescent="0.25">
      <c r="A1075" s="14" t="s">
        <v>13</v>
      </c>
      <c r="B1075" s="14" t="s">
        <v>4693</v>
      </c>
      <c r="C1075" s="14" t="s">
        <v>4694</v>
      </c>
      <c r="D1075" s="14" t="s">
        <v>4637</v>
      </c>
      <c r="E1075" s="14">
        <v>2020</v>
      </c>
      <c r="F1075" s="14">
        <v>37</v>
      </c>
      <c r="G1075" s="14">
        <v>1</v>
      </c>
      <c r="H1075" s="14" t="s">
        <v>6698</v>
      </c>
      <c r="I1075" s="18"/>
      <c r="J1075" s="18"/>
      <c r="K1075" s="18"/>
      <c r="L1075" s="20">
        <v>43831</v>
      </c>
      <c r="M1075" s="18"/>
      <c r="N1075" s="14" t="s">
        <v>6207</v>
      </c>
      <c r="O1075" s="17" t="s">
        <v>6699</v>
      </c>
      <c r="P1075" s="14" t="s">
        <v>4697</v>
      </c>
      <c r="Q1075" s="14" t="s">
        <v>6700</v>
      </c>
      <c r="R1075" s="14" t="s">
        <v>6701</v>
      </c>
      <c r="S1075" s="15"/>
      <c r="T1075" s="15"/>
      <c r="U1075" s="15"/>
      <c r="V1075" s="15"/>
    </row>
    <row r="1076" spans="1:22" x14ac:dyDescent="0.25">
      <c r="A1076" s="14" t="s">
        <v>13</v>
      </c>
      <c r="B1076" s="14" t="s">
        <v>1574</v>
      </c>
      <c r="C1076" s="14" t="s">
        <v>1575</v>
      </c>
      <c r="D1076" s="14" t="s">
        <v>668</v>
      </c>
      <c r="E1076" s="14">
        <v>2022</v>
      </c>
      <c r="F1076" s="14">
        <v>10</v>
      </c>
      <c r="G1076" s="18"/>
      <c r="H1076" s="14" t="s">
        <v>6702</v>
      </c>
      <c r="I1076" s="18"/>
      <c r="J1076" s="18"/>
      <c r="K1076" s="18"/>
      <c r="L1076" s="14">
        <v>2022</v>
      </c>
      <c r="M1076" s="18"/>
      <c r="N1076" s="14" t="s">
        <v>670</v>
      </c>
      <c r="O1076" s="17" t="s">
        <v>6703</v>
      </c>
      <c r="P1076" s="14" t="s">
        <v>1578</v>
      </c>
      <c r="Q1076" s="14" t="s">
        <v>6704</v>
      </c>
      <c r="R1076" s="14" t="s">
        <v>6705</v>
      </c>
      <c r="S1076" s="15"/>
      <c r="T1076" s="15"/>
      <c r="U1076" s="15"/>
      <c r="V1076" s="15"/>
    </row>
    <row r="1077" spans="1:22" x14ac:dyDescent="0.25">
      <c r="A1077" s="14" t="s">
        <v>141</v>
      </c>
      <c r="B1077" s="14" t="s">
        <v>3421</v>
      </c>
      <c r="C1077" s="14" t="s">
        <v>3422</v>
      </c>
      <c r="D1077" s="18"/>
      <c r="E1077" s="14">
        <v>2021</v>
      </c>
      <c r="F1077" s="18"/>
      <c r="G1077" s="18"/>
      <c r="H1077" s="23">
        <v>45248</v>
      </c>
      <c r="I1077" s="18"/>
      <c r="J1077" s="18"/>
      <c r="K1077" s="14" t="s">
        <v>6677</v>
      </c>
      <c r="L1077" s="20">
        <v>44317</v>
      </c>
      <c r="M1077" s="18"/>
      <c r="N1077" s="18"/>
      <c r="O1077" s="17" t="s">
        <v>6706</v>
      </c>
      <c r="P1077" s="14" t="s">
        <v>3425</v>
      </c>
      <c r="Q1077" s="14" t="s">
        <v>6707</v>
      </c>
      <c r="R1077" s="14" t="s">
        <v>6708</v>
      </c>
      <c r="S1077" s="15"/>
      <c r="T1077" s="15"/>
      <c r="U1077" s="15"/>
      <c r="V1077" s="15"/>
    </row>
    <row r="1078" spans="1:22" x14ac:dyDescent="0.25">
      <c r="A1078" s="14" t="s">
        <v>141</v>
      </c>
      <c r="B1078" s="14" t="s">
        <v>5975</v>
      </c>
      <c r="C1078" s="14" t="s">
        <v>5976</v>
      </c>
      <c r="D1078" s="18"/>
      <c r="E1078" s="14">
        <v>2018</v>
      </c>
      <c r="F1078" s="18"/>
      <c r="G1078" s="18"/>
      <c r="H1078" s="14" t="s">
        <v>6709</v>
      </c>
      <c r="I1078" s="18"/>
      <c r="J1078" s="18"/>
      <c r="K1078" s="14" t="s">
        <v>6710</v>
      </c>
      <c r="L1078" s="20">
        <v>43160</v>
      </c>
      <c r="M1078" s="18"/>
      <c r="N1078" s="18"/>
      <c r="O1078" s="17" t="s">
        <v>6711</v>
      </c>
      <c r="P1078" s="14" t="s">
        <v>5979</v>
      </c>
      <c r="Q1078" s="14" t="s">
        <v>6712</v>
      </c>
      <c r="R1078" s="14" t="s">
        <v>6713</v>
      </c>
      <c r="S1078" s="15"/>
      <c r="T1078" s="15"/>
      <c r="U1078" s="15"/>
      <c r="V1078" s="15"/>
    </row>
    <row r="1079" spans="1:22" x14ac:dyDescent="0.25">
      <c r="A1079" s="14" t="s">
        <v>141</v>
      </c>
      <c r="B1079" s="14" t="s">
        <v>5806</v>
      </c>
      <c r="C1079" s="14" t="s">
        <v>4868</v>
      </c>
      <c r="D1079" s="18"/>
      <c r="E1079" s="14">
        <v>2020</v>
      </c>
      <c r="F1079" s="18"/>
      <c r="G1079" s="18"/>
      <c r="H1079" s="14" t="s">
        <v>6714</v>
      </c>
      <c r="I1079" s="18"/>
      <c r="J1079" s="18"/>
      <c r="K1079" s="14" t="s">
        <v>6715</v>
      </c>
      <c r="L1079" s="20">
        <v>43862</v>
      </c>
      <c r="M1079" s="18"/>
      <c r="N1079" s="14" t="s">
        <v>6593</v>
      </c>
      <c r="O1079" s="17" t="s">
        <v>6716</v>
      </c>
      <c r="P1079" s="14" t="s">
        <v>4871</v>
      </c>
      <c r="Q1079" s="14" t="s">
        <v>6717</v>
      </c>
      <c r="R1079" s="14" t="s">
        <v>6718</v>
      </c>
      <c r="S1079" s="15"/>
      <c r="T1079" s="15"/>
      <c r="U1079" s="15"/>
      <c r="V1079" s="15"/>
    </row>
    <row r="1080" spans="1:22" x14ac:dyDescent="0.25">
      <c r="A1080" s="14" t="s">
        <v>141</v>
      </c>
      <c r="B1080" s="14" t="s">
        <v>6719</v>
      </c>
      <c r="C1080" s="14" t="s">
        <v>6720</v>
      </c>
      <c r="D1080" s="18"/>
      <c r="E1080" s="14">
        <v>2022</v>
      </c>
      <c r="F1080" s="18"/>
      <c r="G1080" s="18"/>
      <c r="H1080" s="14" t="s">
        <v>6721</v>
      </c>
      <c r="I1080" s="18"/>
      <c r="J1080" s="18"/>
      <c r="K1080" s="14" t="s">
        <v>6722</v>
      </c>
      <c r="L1080" s="20">
        <v>44682</v>
      </c>
      <c r="M1080" s="18"/>
      <c r="N1080" s="14" t="s">
        <v>6226</v>
      </c>
      <c r="O1080" s="17" t="s">
        <v>6723</v>
      </c>
      <c r="P1080" s="14" t="s">
        <v>6724</v>
      </c>
      <c r="Q1080" s="14" t="s">
        <v>6725</v>
      </c>
      <c r="R1080" s="14" t="s">
        <v>6726</v>
      </c>
      <c r="S1080" s="15"/>
      <c r="T1080" s="15"/>
      <c r="U1080" s="15"/>
      <c r="V1080" s="15"/>
    </row>
    <row r="1081" spans="1:22" x14ac:dyDescent="0.25">
      <c r="A1081" s="14" t="s">
        <v>141</v>
      </c>
      <c r="B1081" s="14" t="s">
        <v>3096</v>
      </c>
      <c r="C1081" s="14" t="s">
        <v>3097</v>
      </c>
      <c r="D1081" s="18"/>
      <c r="E1081" s="14">
        <v>2020</v>
      </c>
      <c r="F1081" s="18"/>
      <c r="G1081" s="18"/>
      <c r="H1081" s="23">
        <v>44933</v>
      </c>
      <c r="I1081" s="18"/>
      <c r="J1081" s="18"/>
      <c r="K1081" s="14" t="s">
        <v>6727</v>
      </c>
      <c r="L1081" s="16">
        <v>44166</v>
      </c>
      <c r="M1081" s="18"/>
      <c r="N1081" s="18"/>
      <c r="O1081" s="17" t="s">
        <v>6728</v>
      </c>
      <c r="P1081" s="14" t="s">
        <v>3099</v>
      </c>
      <c r="Q1081" s="14" t="s">
        <v>6729</v>
      </c>
      <c r="R1081" s="14" t="s">
        <v>6730</v>
      </c>
      <c r="S1081" s="15"/>
      <c r="T1081" s="15"/>
      <c r="U1081" s="15"/>
      <c r="V1081" s="15"/>
    </row>
    <row r="1082" spans="1:22" x14ac:dyDescent="0.25">
      <c r="A1082" s="14" t="s">
        <v>141</v>
      </c>
      <c r="B1082" s="14" t="s">
        <v>6731</v>
      </c>
      <c r="C1082" s="14" t="s">
        <v>6732</v>
      </c>
      <c r="D1082" s="18"/>
      <c r="E1082" s="14">
        <v>2022</v>
      </c>
      <c r="F1082" s="18"/>
      <c r="G1082" s="18"/>
      <c r="H1082" s="14" t="s">
        <v>6733</v>
      </c>
      <c r="I1082" s="18"/>
      <c r="J1082" s="18"/>
      <c r="K1082" s="14" t="s">
        <v>6118</v>
      </c>
      <c r="L1082" s="20">
        <v>44682</v>
      </c>
      <c r="M1082" s="18"/>
      <c r="N1082" s="18"/>
      <c r="O1082" s="17" t="s">
        <v>6734</v>
      </c>
      <c r="P1082" s="14" t="s">
        <v>6735</v>
      </c>
      <c r="Q1082" s="14" t="s">
        <v>6736</v>
      </c>
      <c r="R1082" s="14" t="s">
        <v>6737</v>
      </c>
      <c r="S1082" s="15"/>
      <c r="T1082" s="15"/>
      <c r="U1082" s="15"/>
      <c r="V1082" s="15"/>
    </row>
    <row r="1083" spans="1:22" x14ac:dyDescent="0.25">
      <c r="A1083" s="14" t="s">
        <v>13</v>
      </c>
      <c r="B1083" s="14" t="s">
        <v>819</v>
      </c>
      <c r="C1083" s="14" t="s">
        <v>820</v>
      </c>
      <c r="D1083" s="14" t="s">
        <v>255</v>
      </c>
      <c r="E1083" s="14">
        <v>2022</v>
      </c>
      <c r="F1083" s="14">
        <v>48</v>
      </c>
      <c r="G1083" s="14">
        <v>9</v>
      </c>
      <c r="H1083" s="14" t="s">
        <v>6738</v>
      </c>
      <c r="I1083" s="18"/>
      <c r="J1083" s="18"/>
      <c r="K1083" s="18"/>
      <c r="L1083" s="20">
        <v>44805</v>
      </c>
      <c r="M1083" s="18"/>
      <c r="N1083" s="14" t="s">
        <v>6115</v>
      </c>
      <c r="O1083" s="17" t="s">
        <v>6739</v>
      </c>
      <c r="P1083" s="14" t="s">
        <v>823</v>
      </c>
      <c r="Q1083" s="14" t="s">
        <v>6740</v>
      </c>
      <c r="R1083" s="14" t="s">
        <v>6741</v>
      </c>
      <c r="S1083" s="15"/>
      <c r="T1083" s="15"/>
      <c r="U1083" s="15"/>
      <c r="V1083" s="15"/>
    </row>
    <row r="1084" spans="1:22" x14ac:dyDescent="0.25">
      <c r="A1084" s="14" t="s">
        <v>141</v>
      </c>
      <c r="B1084" s="14" t="s">
        <v>6742</v>
      </c>
      <c r="C1084" s="14" t="s">
        <v>6743</v>
      </c>
      <c r="D1084" s="18"/>
      <c r="E1084" s="14">
        <v>2013</v>
      </c>
      <c r="F1084" s="18"/>
      <c r="G1084" s="18"/>
      <c r="H1084" s="14" t="s">
        <v>6744</v>
      </c>
      <c r="I1084" s="18"/>
      <c r="J1084" s="18"/>
      <c r="K1084" s="14" t="s">
        <v>6745</v>
      </c>
      <c r="L1084" s="20">
        <v>41395</v>
      </c>
      <c r="M1084" s="18"/>
      <c r="N1084" s="14" t="s">
        <v>6336</v>
      </c>
      <c r="O1084" s="17" t="s">
        <v>6746</v>
      </c>
      <c r="P1084" s="14" t="s">
        <v>6747</v>
      </c>
      <c r="Q1084" s="14" t="s">
        <v>6748</v>
      </c>
      <c r="R1084" s="14" t="s">
        <v>6749</v>
      </c>
      <c r="S1084" s="15"/>
      <c r="T1084" s="15"/>
      <c r="U1084" s="15"/>
      <c r="V1084" s="15"/>
    </row>
    <row r="1085" spans="1:22" x14ac:dyDescent="0.25">
      <c r="A1085" s="14" t="s">
        <v>141</v>
      </c>
      <c r="B1085" s="14" t="s">
        <v>6750</v>
      </c>
      <c r="C1085" s="14" t="s">
        <v>6751</v>
      </c>
      <c r="D1085" s="18"/>
      <c r="E1085" s="14">
        <v>2020</v>
      </c>
      <c r="F1085" s="18"/>
      <c r="G1085" s="18"/>
      <c r="H1085" s="14" t="s">
        <v>6752</v>
      </c>
      <c r="I1085" s="18"/>
      <c r="J1085" s="18"/>
      <c r="K1085" s="14" t="s">
        <v>6322</v>
      </c>
      <c r="L1085" s="20">
        <v>44044</v>
      </c>
      <c r="M1085" s="18"/>
      <c r="N1085" s="18"/>
      <c r="O1085" s="17" t="s">
        <v>6753</v>
      </c>
      <c r="P1085" s="14" t="s">
        <v>6754</v>
      </c>
      <c r="Q1085" s="14" t="s">
        <v>6755</v>
      </c>
      <c r="R1085" s="14" t="s">
        <v>6756</v>
      </c>
      <c r="S1085" s="15"/>
      <c r="T1085" s="15"/>
      <c r="U1085" s="15"/>
      <c r="V1085" s="15"/>
    </row>
    <row r="1086" spans="1:22" x14ac:dyDescent="0.25">
      <c r="A1086" s="14" t="s">
        <v>141</v>
      </c>
      <c r="B1086" s="14" t="s">
        <v>3561</v>
      </c>
      <c r="C1086" s="14" t="s">
        <v>6757</v>
      </c>
      <c r="D1086" s="18"/>
      <c r="E1086" s="14">
        <v>2020</v>
      </c>
      <c r="F1086" s="18"/>
      <c r="G1086" s="18"/>
      <c r="H1086" s="14" t="s">
        <v>6758</v>
      </c>
      <c r="I1086" s="18"/>
      <c r="J1086" s="18"/>
      <c r="K1086" s="14" t="s">
        <v>6322</v>
      </c>
      <c r="L1086" s="20">
        <v>44044</v>
      </c>
      <c r="M1086" s="18"/>
      <c r="N1086" s="18"/>
      <c r="O1086" s="17" t="s">
        <v>6759</v>
      </c>
      <c r="P1086" s="14" t="s">
        <v>6760</v>
      </c>
      <c r="Q1086" s="14" t="s">
        <v>6761</v>
      </c>
      <c r="R1086" s="14" t="s">
        <v>6762</v>
      </c>
      <c r="S1086" s="15"/>
      <c r="T1086" s="15"/>
      <c r="U1086" s="15"/>
      <c r="V1086" s="15"/>
    </row>
    <row r="1087" spans="1:22" x14ac:dyDescent="0.25">
      <c r="A1087" s="14" t="s">
        <v>141</v>
      </c>
      <c r="B1087" s="18"/>
      <c r="C1087" s="14" t="s">
        <v>6763</v>
      </c>
      <c r="D1087" s="18"/>
      <c r="E1087" s="14">
        <v>2021</v>
      </c>
      <c r="F1087" s="18"/>
      <c r="G1087" s="18"/>
      <c r="H1087" s="14" t="s">
        <v>6764</v>
      </c>
      <c r="I1087" s="18"/>
      <c r="J1087" s="18"/>
      <c r="K1087" s="14" t="s">
        <v>6329</v>
      </c>
      <c r="L1087" s="20">
        <v>44317</v>
      </c>
      <c r="M1087" s="18"/>
      <c r="N1087" s="14" t="s">
        <v>6152</v>
      </c>
      <c r="O1087" s="17" t="s">
        <v>6765</v>
      </c>
      <c r="P1087" s="14" t="s">
        <v>1811</v>
      </c>
      <c r="Q1087" s="14" t="s">
        <v>6766</v>
      </c>
      <c r="R1087" s="14" t="s">
        <v>6767</v>
      </c>
      <c r="S1087" s="15"/>
      <c r="T1087" s="15"/>
      <c r="U1087" s="15"/>
      <c r="V1087" s="15"/>
    </row>
    <row r="1088" spans="1:22" x14ac:dyDescent="0.25">
      <c r="A1088" s="14" t="s">
        <v>141</v>
      </c>
      <c r="B1088" s="14" t="s">
        <v>2080</v>
      </c>
      <c r="C1088" s="14" t="s">
        <v>6768</v>
      </c>
      <c r="D1088" s="18"/>
      <c r="E1088" s="14">
        <v>2021</v>
      </c>
      <c r="F1088" s="18"/>
      <c r="G1088" s="18"/>
      <c r="H1088" s="14" t="s">
        <v>6769</v>
      </c>
      <c r="I1088" s="18"/>
      <c r="J1088" s="18"/>
      <c r="K1088" s="14" t="s">
        <v>6329</v>
      </c>
      <c r="L1088" s="20">
        <v>44317</v>
      </c>
      <c r="M1088" s="18"/>
      <c r="N1088" s="14" t="s">
        <v>6152</v>
      </c>
      <c r="O1088" s="17" t="s">
        <v>6770</v>
      </c>
      <c r="P1088" s="14" t="s">
        <v>2084</v>
      </c>
      <c r="Q1088" s="14" t="s">
        <v>6771</v>
      </c>
      <c r="R1088" s="14" t="s">
        <v>6772</v>
      </c>
      <c r="S1088" s="15"/>
      <c r="T1088" s="15"/>
      <c r="U1088" s="15"/>
      <c r="V1088" s="15"/>
    </row>
    <row r="1089" spans="1:22" x14ac:dyDescent="0.25">
      <c r="A1089" s="14" t="s">
        <v>141</v>
      </c>
      <c r="B1089" s="14" t="s">
        <v>1981</v>
      </c>
      <c r="C1089" s="14" t="s">
        <v>1982</v>
      </c>
      <c r="D1089" s="18"/>
      <c r="E1089" s="14">
        <v>2022</v>
      </c>
      <c r="F1089" s="18"/>
      <c r="G1089" s="18"/>
      <c r="H1089" s="14" t="s">
        <v>6773</v>
      </c>
      <c r="I1089" s="18"/>
      <c r="J1089" s="18"/>
      <c r="K1089" s="14" t="s">
        <v>6469</v>
      </c>
      <c r="L1089" s="20">
        <v>44682</v>
      </c>
      <c r="M1089" s="18"/>
      <c r="N1089" s="14" t="s">
        <v>6152</v>
      </c>
      <c r="O1089" s="17" t="s">
        <v>6774</v>
      </c>
      <c r="P1089" s="14" t="s">
        <v>1985</v>
      </c>
      <c r="Q1089" s="14" t="s">
        <v>6775</v>
      </c>
      <c r="R1089" s="14" t="s">
        <v>6776</v>
      </c>
      <c r="S1089" s="15"/>
      <c r="T1089" s="15"/>
      <c r="U1089" s="15"/>
      <c r="V1089" s="15"/>
    </row>
    <row r="1090" spans="1:22" x14ac:dyDescent="0.25">
      <c r="A1090" s="14" t="s">
        <v>141</v>
      </c>
      <c r="B1090" s="14" t="s">
        <v>6777</v>
      </c>
      <c r="C1090" s="14" t="s">
        <v>6778</v>
      </c>
      <c r="D1090" s="18"/>
      <c r="E1090" s="14">
        <v>2019</v>
      </c>
      <c r="F1090" s="18"/>
      <c r="G1090" s="18"/>
      <c r="H1090" s="14" t="s">
        <v>6779</v>
      </c>
      <c r="I1090" s="18"/>
      <c r="J1090" s="18"/>
      <c r="K1090" s="14" t="s">
        <v>6780</v>
      </c>
      <c r="L1090" s="16">
        <v>43800</v>
      </c>
      <c r="M1090" s="18"/>
      <c r="N1090" s="18"/>
      <c r="O1090" s="17" t="s">
        <v>6781</v>
      </c>
      <c r="P1090" s="14" t="s">
        <v>6782</v>
      </c>
      <c r="Q1090" s="14" t="s">
        <v>6783</v>
      </c>
      <c r="R1090" s="14" t="s">
        <v>6784</v>
      </c>
      <c r="S1090" s="15"/>
      <c r="T1090" s="15"/>
      <c r="U1090" s="15"/>
      <c r="V1090" s="15"/>
    </row>
    <row r="1091" spans="1:22" x14ac:dyDescent="0.25">
      <c r="A1091" s="14" t="s">
        <v>13</v>
      </c>
      <c r="B1091" s="14" t="s">
        <v>2998</v>
      </c>
      <c r="C1091" s="14" t="s">
        <v>6785</v>
      </c>
      <c r="D1091" s="14" t="s">
        <v>668</v>
      </c>
      <c r="E1091" s="14">
        <v>2020</v>
      </c>
      <c r="F1091" s="14">
        <v>8</v>
      </c>
      <c r="G1091" s="18"/>
      <c r="H1091" s="14" t="s">
        <v>6786</v>
      </c>
      <c r="I1091" s="18"/>
      <c r="J1091" s="18"/>
      <c r="K1091" s="18"/>
      <c r="L1091" s="14">
        <v>2020</v>
      </c>
      <c r="M1091" s="18"/>
      <c r="N1091" s="14" t="s">
        <v>670</v>
      </c>
      <c r="O1091" s="17" t="s">
        <v>6787</v>
      </c>
      <c r="P1091" s="14" t="s">
        <v>4679</v>
      </c>
      <c r="Q1091" s="14" t="s">
        <v>6788</v>
      </c>
      <c r="R1091" s="14" t="s">
        <v>6789</v>
      </c>
      <c r="S1091" s="15"/>
      <c r="T1091" s="15"/>
      <c r="U1091" s="15"/>
      <c r="V1091" s="15"/>
    </row>
    <row r="1092" spans="1:22" x14ac:dyDescent="0.25">
      <c r="A1092" s="14" t="s">
        <v>13</v>
      </c>
      <c r="B1092" s="14" t="s">
        <v>6790</v>
      </c>
      <c r="C1092" s="14" t="s">
        <v>6791</v>
      </c>
      <c r="D1092" s="14" t="s">
        <v>255</v>
      </c>
      <c r="E1092" s="14">
        <v>2022</v>
      </c>
      <c r="F1092" s="18"/>
      <c r="G1092" s="18"/>
      <c r="H1092" s="23">
        <v>44941</v>
      </c>
      <c r="I1092" s="18"/>
      <c r="J1092" s="18"/>
      <c r="K1092" s="18"/>
      <c r="L1092" s="14">
        <v>2022</v>
      </c>
      <c r="M1092" s="18"/>
      <c r="N1092" s="14" t="s">
        <v>6115</v>
      </c>
      <c r="O1092" s="17" t="s">
        <v>6792</v>
      </c>
      <c r="P1092" s="14" t="s">
        <v>6793</v>
      </c>
      <c r="Q1092" s="14" t="s">
        <v>6794</v>
      </c>
      <c r="R1092" s="14" t="s">
        <v>6795</v>
      </c>
      <c r="S1092" s="15"/>
      <c r="T1092" s="15"/>
      <c r="U1092" s="15"/>
      <c r="V1092" s="15"/>
    </row>
    <row r="1093" spans="1:22" x14ac:dyDescent="0.25">
      <c r="A1093" s="14" t="s">
        <v>141</v>
      </c>
      <c r="B1093" s="14" t="s">
        <v>6796</v>
      </c>
      <c r="C1093" s="14" t="s">
        <v>6797</v>
      </c>
      <c r="D1093" s="18"/>
      <c r="E1093" s="14">
        <v>2022</v>
      </c>
      <c r="F1093" s="18"/>
      <c r="G1093" s="18"/>
      <c r="H1093" s="14" t="s">
        <v>6798</v>
      </c>
      <c r="I1093" s="18"/>
      <c r="J1093" s="18"/>
      <c r="K1093" s="14" t="s">
        <v>6626</v>
      </c>
      <c r="L1093" s="20">
        <v>44682</v>
      </c>
      <c r="M1093" s="18"/>
      <c r="N1093" s="18"/>
      <c r="O1093" s="17" t="s">
        <v>6799</v>
      </c>
      <c r="P1093" s="14" t="s">
        <v>6800</v>
      </c>
      <c r="Q1093" s="14" t="s">
        <v>6801</v>
      </c>
      <c r="R1093" s="14" t="s">
        <v>6802</v>
      </c>
      <c r="S1093" s="15"/>
      <c r="T1093" s="15"/>
      <c r="U1093" s="15"/>
      <c r="V1093" s="15"/>
    </row>
    <row r="1094" spans="1:22" x14ac:dyDescent="0.25">
      <c r="A1094" s="14" t="s">
        <v>141</v>
      </c>
      <c r="B1094" s="14" t="s">
        <v>4349</v>
      </c>
      <c r="C1094" s="14" t="s">
        <v>6803</v>
      </c>
      <c r="D1094" s="18"/>
      <c r="E1094" s="14">
        <v>2019</v>
      </c>
      <c r="F1094" s="18"/>
      <c r="G1094" s="18"/>
      <c r="H1094" s="14" t="s">
        <v>6804</v>
      </c>
      <c r="I1094" s="18"/>
      <c r="J1094" s="18"/>
      <c r="K1094" s="14" t="s">
        <v>6805</v>
      </c>
      <c r="L1094" s="20">
        <v>43586</v>
      </c>
      <c r="M1094" s="18"/>
      <c r="N1094" s="14" t="s">
        <v>6152</v>
      </c>
      <c r="O1094" s="17" t="s">
        <v>6806</v>
      </c>
      <c r="P1094" s="14" t="s">
        <v>4354</v>
      </c>
      <c r="Q1094" s="14" t="s">
        <v>6807</v>
      </c>
      <c r="R1094" s="14" t="s">
        <v>6808</v>
      </c>
      <c r="S1094" s="15"/>
      <c r="T1094" s="15"/>
      <c r="U1094" s="15"/>
      <c r="V1094" s="15"/>
    </row>
    <row r="1095" spans="1:22" x14ac:dyDescent="0.25">
      <c r="A1095" s="14" t="s">
        <v>141</v>
      </c>
      <c r="B1095" s="14" t="s">
        <v>2442</v>
      </c>
      <c r="C1095" s="14" t="s">
        <v>2443</v>
      </c>
      <c r="D1095" s="18"/>
      <c r="E1095" s="14">
        <v>2022</v>
      </c>
      <c r="F1095" s="18"/>
      <c r="G1095" s="18"/>
      <c r="H1095" s="14" t="s">
        <v>6733</v>
      </c>
      <c r="I1095" s="18"/>
      <c r="J1095" s="18"/>
      <c r="K1095" s="14" t="s">
        <v>6809</v>
      </c>
      <c r="L1095" s="20">
        <v>44682</v>
      </c>
      <c r="M1095" s="18"/>
      <c r="N1095" s="18"/>
      <c r="O1095" s="17" t="s">
        <v>6810</v>
      </c>
      <c r="P1095" s="14" t="s">
        <v>6811</v>
      </c>
      <c r="Q1095" s="14" t="s">
        <v>6812</v>
      </c>
      <c r="R1095" s="14" t="s">
        <v>6813</v>
      </c>
      <c r="S1095" s="15"/>
      <c r="T1095" s="15"/>
      <c r="U1095" s="15"/>
      <c r="V1095" s="15"/>
    </row>
    <row r="1096" spans="1:22" x14ac:dyDescent="0.25">
      <c r="A1096" s="14" t="s">
        <v>141</v>
      </c>
      <c r="B1096" s="14" t="s">
        <v>6814</v>
      </c>
      <c r="C1096" s="14" t="s">
        <v>6815</v>
      </c>
      <c r="D1096" s="18"/>
      <c r="E1096" s="14">
        <v>2022</v>
      </c>
      <c r="F1096" s="18"/>
      <c r="G1096" s="18"/>
      <c r="H1096" s="14" t="s">
        <v>6816</v>
      </c>
      <c r="I1096" s="18"/>
      <c r="J1096" s="18"/>
      <c r="K1096" s="14" t="s">
        <v>6817</v>
      </c>
      <c r="L1096" s="16">
        <v>44835</v>
      </c>
      <c r="M1096" s="18"/>
      <c r="N1096" s="14" t="s">
        <v>6818</v>
      </c>
      <c r="O1096" s="17" t="s">
        <v>6819</v>
      </c>
      <c r="P1096" s="14" t="s">
        <v>6820</v>
      </c>
      <c r="Q1096" s="14" t="s">
        <v>6821</v>
      </c>
      <c r="R1096" s="14" t="s">
        <v>6822</v>
      </c>
      <c r="S1096" s="15"/>
      <c r="T1096" s="15"/>
      <c r="U1096" s="15"/>
      <c r="V1096" s="15"/>
    </row>
    <row r="1097" spans="1:22" x14ac:dyDescent="0.25">
      <c r="A1097" s="14" t="s">
        <v>141</v>
      </c>
      <c r="B1097" s="14" t="s">
        <v>4273</v>
      </c>
      <c r="C1097" s="14" t="s">
        <v>6823</v>
      </c>
      <c r="D1097" s="18"/>
      <c r="E1097" s="14">
        <v>2019</v>
      </c>
      <c r="F1097" s="18"/>
      <c r="G1097" s="18"/>
      <c r="H1097" s="14" t="s">
        <v>6824</v>
      </c>
      <c r="I1097" s="18"/>
      <c r="J1097" s="18"/>
      <c r="K1097" s="14" t="s">
        <v>6825</v>
      </c>
      <c r="L1097" s="20">
        <v>43586</v>
      </c>
      <c r="M1097" s="18"/>
      <c r="N1097" s="14" t="s">
        <v>6226</v>
      </c>
      <c r="O1097" s="17" t="s">
        <v>6826</v>
      </c>
      <c r="P1097" s="14" t="s">
        <v>4277</v>
      </c>
      <c r="Q1097" s="14" t="s">
        <v>6827</v>
      </c>
      <c r="R1097" s="14" t="s">
        <v>6828</v>
      </c>
      <c r="S1097" s="15"/>
      <c r="T1097" s="15"/>
      <c r="U1097" s="15"/>
      <c r="V1097" s="15"/>
    </row>
    <row r="1098" spans="1:22" x14ac:dyDescent="0.25">
      <c r="A1098" s="14" t="s">
        <v>141</v>
      </c>
      <c r="B1098" s="14" t="s">
        <v>6829</v>
      </c>
      <c r="C1098" s="14" t="s">
        <v>6830</v>
      </c>
      <c r="D1098" s="18"/>
      <c r="E1098" s="14">
        <v>2022</v>
      </c>
      <c r="F1098" s="18"/>
      <c r="G1098" s="18"/>
      <c r="H1098" s="14" t="s">
        <v>6831</v>
      </c>
      <c r="I1098" s="18"/>
      <c r="J1098" s="18"/>
      <c r="K1098" s="14" t="s">
        <v>6626</v>
      </c>
      <c r="L1098" s="20">
        <v>44682</v>
      </c>
      <c r="M1098" s="18"/>
      <c r="N1098" s="18"/>
      <c r="O1098" s="17" t="s">
        <v>6832</v>
      </c>
      <c r="P1098" s="14" t="s">
        <v>6833</v>
      </c>
      <c r="Q1098" s="14" t="s">
        <v>6834</v>
      </c>
      <c r="R1098" s="14" t="s">
        <v>6835</v>
      </c>
      <c r="S1098" s="15"/>
      <c r="T1098" s="15"/>
      <c r="U1098" s="15"/>
      <c r="V1098" s="15"/>
    </row>
    <row r="1099" spans="1:22" x14ac:dyDescent="0.25">
      <c r="A1099" s="14" t="s">
        <v>141</v>
      </c>
      <c r="B1099" s="14" t="s">
        <v>5702</v>
      </c>
      <c r="C1099" s="14" t="s">
        <v>5703</v>
      </c>
      <c r="D1099" s="18"/>
      <c r="E1099" s="14">
        <v>2018</v>
      </c>
      <c r="F1099" s="18"/>
      <c r="G1099" s="18"/>
      <c r="H1099" s="14" t="s">
        <v>6836</v>
      </c>
      <c r="I1099" s="18"/>
      <c r="J1099" s="18"/>
      <c r="K1099" s="14" t="s">
        <v>6837</v>
      </c>
      <c r="L1099" s="20">
        <v>43344</v>
      </c>
      <c r="M1099" s="18"/>
      <c r="N1099" s="14" t="s">
        <v>6838</v>
      </c>
      <c r="O1099" s="17" t="s">
        <v>6839</v>
      </c>
      <c r="P1099" s="14" t="s">
        <v>5706</v>
      </c>
      <c r="Q1099" s="14" t="s">
        <v>6840</v>
      </c>
      <c r="R1099" s="14" t="s">
        <v>6841</v>
      </c>
      <c r="S1099" s="15"/>
      <c r="T1099" s="15"/>
      <c r="U1099" s="15"/>
      <c r="V1099" s="15"/>
    </row>
    <row r="1100" spans="1:22" x14ac:dyDescent="0.25">
      <c r="A1100" s="14" t="s">
        <v>141</v>
      </c>
      <c r="B1100" s="14" t="s">
        <v>6842</v>
      </c>
      <c r="C1100" s="14" t="s">
        <v>6843</v>
      </c>
      <c r="D1100" s="18"/>
      <c r="E1100" s="14">
        <v>2020</v>
      </c>
      <c r="F1100" s="18"/>
      <c r="G1100" s="18"/>
      <c r="H1100" s="14" t="s">
        <v>6844</v>
      </c>
      <c r="I1100" s="18"/>
      <c r="J1100" s="18"/>
      <c r="K1100" s="14" t="s">
        <v>6463</v>
      </c>
      <c r="L1100" s="20">
        <v>44075</v>
      </c>
      <c r="M1100" s="18"/>
      <c r="N1100" s="14" t="s">
        <v>6190</v>
      </c>
      <c r="O1100" s="18"/>
      <c r="P1100" s="18"/>
      <c r="Q1100" s="14" t="s">
        <v>6845</v>
      </c>
      <c r="R1100" s="14" t="s">
        <v>6846</v>
      </c>
      <c r="S1100" s="15"/>
      <c r="T1100" s="15"/>
      <c r="U1100" s="15"/>
      <c r="V1100" s="15"/>
    </row>
    <row r="1101" spans="1:22" x14ac:dyDescent="0.25">
      <c r="A1101" s="14" t="s">
        <v>141</v>
      </c>
      <c r="B1101" s="14" t="s">
        <v>2313</v>
      </c>
      <c r="C1101" s="14" t="s">
        <v>2314</v>
      </c>
      <c r="D1101" s="18"/>
      <c r="E1101" s="14">
        <v>2022</v>
      </c>
      <c r="F1101" s="18"/>
      <c r="G1101" s="18"/>
      <c r="H1101" s="14" t="s">
        <v>6847</v>
      </c>
      <c r="I1101" s="18"/>
      <c r="J1101" s="18"/>
      <c r="K1101" s="14" t="s">
        <v>6848</v>
      </c>
      <c r="L1101" s="20">
        <v>44621</v>
      </c>
      <c r="M1101" s="18"/>
      <c r="N1101" s="18"/>
      <c r="O1101" s="17" t="s">
        <v>6849</v>
      </c>
      <c r="P1101" s="14" t="s">
        <v>2316</v>
      </c>
      <c r="Q1101" s="14" t="s">
        <v>6850</v>
      </c>
      <c r="R1101" s="14" t="s">
        <v>6851</v>
      </c>
      <c r="S1101" s="15"/>
      <c r="T1101" s="15"/>
      <c r="U1101" s="15"/>
      <c r="V1101" s="15"/>
    </row>
    <row r="1102" spans="1:22" x14ac:dyDescent="0.25">
      <c r="A1102" s="14" t="s">
        <v>141</v>
      </c>
      <c r="B1102" s="14" t="s">
        <v>6852</v>
      </c>
      <c r="C1102" s="14" t="s">
        <v>6853</v>
      </c>
      <c r="D1102" s="18"/>
      <c r="E1102" s="14">
        <v>2021</v>
      </c>
      <c r="F1102" s="18"/>
      <c r="G1102" s="18"/>
      <c r="H1102" s="23">
        <v>44930</v>
      </c>
      <c r="I1102" s="18"/>
      <c r="J1102" s="18"/>
      <c r="K1102" s="14" t="s">
        <v>6854</v>
      </c>
      <c r="L1102" s="16">
        <v>44531</v>
      </c>
      <c r="M1102" s="18"/>
      <c r="N1102" s="18"/>
      <c r="O1102" s="17" t="s">
        <v>6855</v>
      </c>
      <c r="P1102" s="14" t="s">
        <v>6856</v>
      </c>
      <c r="Q1102" s="14" t="s">
        <v>6857</v>
      </c>
      <c r="R1102" s="14" t="s">
        <v>6858</v>
      </c>
      <c r="S1102" s="15"/>
      <c r="T1102" s="15"/>
      <c r="U1102" s="15"/>
      <c r="V1102" s="15"/>
    </row>
    <row r="1103" spans="1:22" x14ac:dyDescent="0.25">
      <c r="A1103" s="14" t="s">
        <v>141</v>
      </c>
      <c r="B1103" s="14" t="s">
        <v>2386</v>
      </c>
      <c r="C1103" s="14" t="s">
        <v>2387</v>
      </c>
      <c r="D1103" s="18"/>
      <c r="E1103" s="14">
        <v>2022</v>
      </c>
      <c r="F1103" s="18"/>
      <c r="G1103" s="18"/>
      <c r="H1103" s="14" t="s">
        <v>6859</v>
      </c>
      <c r="I1103" s="18"/>
      <c r="J1103" s="18"/>
      <c r="K1103" s="14" t="s">
        <v>6269</v>
      </c>
      <c r="L1103" s="20">
        <v>44682</v>
      </c>
      <c r="M1103" s="18"/>
      <c r="N1103" s="18"/>
      <c r="O1103" s="17" t="s">
        <v>6860</v>
      </c>
      <c r="P1103" s="14" t="s">
        <v>2390</v>
      </c>
      <c r="Q1103" s="14" t="s">
        <v>6861</v>
      </c>
      <c r="R1103" s="14" t="s">
        <v>6862</v>
      </c>
      <c r="S1103" s="15"/>
      <c r="T1103" s="15"/>
      <c r="U1103" s="15"/>
      <c r="V1103" s="15"/>
    </row>
    <row r="1104" spans="1:22" x14ac:dyDescent="0.25">
      <c r="A1104" s="14" t="s">
        <v>141</v>
      </c>
      <c r="B1104" s="14" t="s">
        <v>1802</v>
      </c>
      <c r="C1104" s="14" t="s">
        <v>1803</v>
      </c>
      <c r="D1104" s="18"/>
      <c r="E1104" s="14">
        <v>2022</v>
      </c>
      <c r="F1104" s="18"/>
      <c r="G1104" s="18"/>
      <c r="H1104" s="14" t="s">
        <v>6863</v>
      </c>
      <c r="I1104" s="18"/>
      <c r="J1104" s="18"/>
      <c r="K1104" s="14" t="s">
        <v>6592</v>
      </c>
      <c r="L1104" s="20">
        <v>44621</v>
      </c>
      <c r="M1104" s="18"/>
      <c r="N1104" s="14" t="s">
        <v>6593</v>
      </c>
      <c r="O1104" s="17" t="s">
        <v>6864</v>
      </c>
      <c r="P1104" s="14" t="s">
        <v>1806</v>
      </c>
      <c r="Q1104" s="14" t="s">
        <v>6865</v>
      </c>
      <c r="R1104" s="14" t="s">
        <v>6866</v>
      </c>
      <c r="S1104" s="15"/>
      <c r="T1104" s="15"/>
      <c r="U1104" s="15"/>
      <c r="V1104" s="15"/>
    </row>
    <row r="1105" spans="1:22" x14ac:dyDescent="0.25">
      <c r="A1105" s="14" t="s">
        <v>13</v>
      </c>
      <c r="B1105" s="14" t="s">
        <v>6867</v>
      </c>
      <c r="C1105" s="14" t="s">
        <v>6868</v>
      </c>
      <c r="D1105" s="14" t="s">
        <v>255</v>
      </c>
      <c r="E1105" s="14">
        <v>2016</v>
      </c>
      <c r="F1105" s="14">
        <v>42</v>
      </c>
      <c r="G1105" s="14">
        <v>11</v>
      </c>
      <c r="H1105" s="14" t="s">
        <v>6869</v>
      </c>
      <c r="I1105" s="18"/>
      <c r="J1105" s="18"/>
      <c r="K1105" s="18"/>
      <c r="L1105" s="16">
        <v>42675</v>
      </c>
      <c r="M1105" s="18"/>
      <c r="N1105" s="14" t="s">
        <v>6115</v>
      </c>
      <c r="O1105" s="17" t="s">
        <v>6870</v>
      </c>
      <c r="P1105" s="14" t="s">
        <v>6871</v>
      </c>
      <c r="Q1105" s="14" t="s">
        <v>6872</v>
      </c>
      <c r="R1105" s="14" t="s">
        <v>6873</v>
      </c>
      <c r="S1105" s="15"/>
      <c r="T1105" s="15"/>
      <c r="U1105" s="15"/>
      <c r="V1105" s="15"/>
    </row>
    <row r="1106" spans="1:22" x14ac:dyDescent="0.25">
      <c r="A1106" s="14" t="s">
        <v>141</v>
      </c>
      <c r="B1106" s="14" t="s">
        <v>5750</v>
      </c>
      <c r="C1106" s="14" t="s">
        <v>6874</v>
      </c>
      <c r="D1106" s="18"/>
      <c r="E1106" s="14">
        <v>2018</v>
      </c>
      <c r="F1106" s="18"/>
      <c r="G1106" s="18"/>
      <c r="H1106" s="23">
        <v>45054</v>
      </c>
      <c r="I1106" s="18"/>
      <c r="J1106" s="18"/>
      <c r="K1106" s="14" t="s">
        <v>6875</v>
      </c>
      <c r="L1106" s="20">
        <v>43221</v>
      </c>
      <c r="M1106" s="18"/>
      <c r="N1106" s="18"/>
      <c r="O1106" s="18"/>
      <c r="P1106" s="18"/>
      <c r="Q1106" s="14" t="s">
        <v>6876</v>
      </c>
      <c r="R1106" s="14" t="s">
        <v>6877</v>
      </c>
      <c r="S1106" s="15"/>
      <c r="T1106" s="15"/>
      <c r="U1106" s="15"/>
      <c r="V1106" s="15"/>
    </row>
    <row r="1107" spans="1:22" x14ac:dyDescent="0.25">
      <c r="A1107" s="14" t="s">
        <v>13</v>
      </c>
      <c r="B1107" s="14" t="s">
        <v>6878</v>
      </c>
      <c r="C1107" s="14" t="s">
        <v>6879</v>
      </c>
      <c r="D1107" s="14" t="s">
        <v>4637</v>
      </c>
      <c r="E1107" s="14">
        <v>2019</v>
      </c>
      <c r="F1107" s="14">
        <v>36</v>
      </c>
      <c r="G1107" s="14">
        <v>6</v>
      </c>
      <c r="H1107" s="14" t="s">
        <v>6880</v>
      </c>
      <c r="I1107" s="18"/>
      <c r="J1107" s="18"/>
      <c r="K1107" s="18"/>
      <c r="L1107" s="16">
        <v>43770</v>
      </c>
      <c r="M1107" s="18"/>
      <c r="N1107" s="14" t="s">
        <v>6207</v>
      </c>
      <c r="O1107" s="17" t="s">
        <v>6881</v>
      </c>
      <c r="P1107" s="14" t="s">
        <v>6882</v>
      </c>
      <c r="Q1107" s="14" t="s">
        <v>6883</v>
      </c>
      <c r="R1107" s="14" t="s">
        <v>6884</v>
      </c>
      <c r="S1107" s="15"/>
      <c r="T1107" s="15"/>
      <c r="U1107" s="15"/>
      <c r="V1107" s="15"/>
    </row>
    <row r="1108" spans="1:22" x14ac:dyDescent="0.25">
      <c r="A1108" s="14" t="s">
        <v>141</v>
      </c>
      <c r="B1108" s="14" t="s">
        <v>6885</v>
      </c>
      <c r="C1108" s="14" t="s">
        <v>6886</v>
      </c>
      <c r="D1108" s="18"/>
      <c r="E1108" s="14">
        <v>2018</v>
      </c>
      <c r="F1108" s="18"/>
      <c r="G1108" s="18"/>
      <c r="H1108" s="14" t="s">
        <v>6887</v>
      </c>
      <c r="I1108" s="18"/>
      <c r="J1108" s="18"/>
      <c r="K1108" s="14" t="s">
        <v>6145</v>
      </c>
      <c r="L1108" s="20">
        <v>43313</v>
      </c>
      <c r="M1108" s="18"/>
      <c r="N1108" s="18"/>
      <c r="O1108" s="17" t="s">
        <v>6888</v>
      </c>
      <c r="P1108" s="14" t="s">
        <v>6889</v>
      </c>
      <c r="Q1108" s="14" t="s">
        <v>6890</v>
      </c>
      <c r="R1108" s="14" t="s">
        <v>6891</v>
      </c>
      <c r="S1108" s="15"/>
      <c r="T1108" s="15"/>
      <c r="U1108" s="15"/>
      <c r="V1108" s="15"/>
    </row>
    <row r="1109" spans="1:22" x14ac:dyDescent="0.25">
      <c r="A1109" s="14" t="s">
        <v>141</v>
      </c>
      <c r="B1109" s="14" t="s">
        <v>6892</v>
      </c>
      <c r="C1109" s="14" t="s">
        <v>6893</v>
      </c>
      <c r="D1109" s="18"/>
      <c r="E1109" s="14">
        <v>2018</v>
      </c>
      <c r="F1109" s="18"/>
      <c r="G1109" s="18"/>
      <c r="H1109" s="14" t="s">
        <v>6894</v>
      </c>
      <c r="I1109" s="18"/>
      <c r="J1109" s="18"/>
      <c r="K1109" s="14" t="s">
        <v>6895</v>
      </c>
      <c r="L1109" s="20">
        <v>43282</v>
      </c>
      <c r="M1109" s="18"/>
      <c r="N1109" s="18"/>
      <c r="O1109" s="17" t="s">
        <v>6896</v>
      </c>
      <c r="P1109" s="14" t="s">
        <v>6897</v>
      </c>
      <c r="Q1109" s="14" t="s">
        <v>6898</v>
      </c>
      <c r="R1109" s="14" t="s">
        <v>6899</v>
      </c>
      <c r="S1109" s="15"/>
      <c r="T1109" s="15"/>
      <c r="U1109" s="15"/>
      <c r="V1109" s="15"/>
    </row>
    <row r="1110" spans="1:22" x14ac:dyDescent="0.25">
      <c r="A1110" s="14" t="s">
        <v>141</v>
      </c>
      <c r="B1110" s="14" t="s">
        <v>2711</v>
      </c>
      <c r="C1110" s="14" t="s">
        <v>2712</v>
      </c>
      <c r="D1110" s="18"/>
      <c r="E1110" s="14">
        <v>2021</v>
      </c>
      <c r="F1110" s="18"/>
      <c r="G1110" s="18"/>
      <c r="H1110" s="14" t="s">
        <v>6900</v>
      </c>
      <c r="I1110" s="18"/>
      <c r="J1110" s="18"/>
      <c r="K1110" s="14" t="s">
        <v>6901</v>
      </c>
      <c r="L1110" s="20">
        <v>44440</v>
      </c>
      <c r="M1110" s="18"/>
      <c r="N1110" s="14" t="s">
        <v>6902</v>
      </c>
      <c r="O1110" s="17" t="s">
        <v>6903</v>
      </c>
      <c r="P1110" s="14" t="s">
        <v>2715</v>
      </c>
      <c r="Q1110" s="14" t="s">
        <v>6904</v>
      </c>
      <c r="R1110" s="14" t="s">
        <v>6905</v>
      </c>
      <c r="S1110" s="15"/>
      <c r="T1110" s="15"/>
      <c r="U1110" s="15"/>
      <c r="V1110" s="15"/>
    </row>
    <row r="1111" spans="1:22" x14ac:dyDescent="0.25">
      <c r="A1111" s="14" t="s">
        <v>141</v>
      </c>
      <c r="B1111" s="14" t="s">
        <v>6906</v>
      </c>
      <c r="C1111" s="14" t="s">
        <v>6907</v>
      </c>
      <c r="D1111" s="18"/>
      <c r="E1111" s="14">
        <v>2016</v>
      </c>
      <c r="F1111" s="18"/>
      <c r="G1111" s="18"/>
      <c r="H1111" s="23">
        <v>44933</v>
      </c>
      <c r="I1111" s="18"/>
      <c r="J1111" s="18"/>
      <c r="K1111" s="14" t="s">
        <v>6908</v>
      </c>
      <c r="L1111" s="20">
        <v>42491</v>
      </c>
      <c r="M1111" s="18"/>
      <c r="N1111" s="18"/>
      <c r="O1111" s="17" t="s">
        <v>6909</v>
      </c>
      <c r="P1111" s="14" t="s">
        <v>6910</v>
      </c>
      <c r="Q1111" s="14" t="s">
        <v>6911</v>
      </c>
      <c r="R1111" s="14" t="s">
        <v>6912</v>
      </c>
      <c r="S1111" s="15"/>
      <c r="T1111" s="15"/>
      <c r="U1111" s="15"/>
      <c r="V1111" s="15"/>
    </row>
    <row r="1112" spans="1:22" x14ac:dyDescent="0.25">
      <c r="A1112" s="14" t="s">
        <v>141</v>
      </c>
      <c r="B1112" s="14" t="s">
        <v>6913</v>
      </c>
      <c r="C1112" s="14" t="s">
        <v>6914</v>
      </c>
      <c r="D1112" s="18"/>
      <c r="E1112" s="14">
        <v>2019</v>
      </c>
      <c r="F1112" s="18"/>
      <c r="G1112" s="18"/>
      <c r="H1112" s="14" t="s">
        <v>6915</v>
      </c>
      <c r="I1112" s="18"/>
      <c r="J1112" s="18"/>
      <c r="K1112" s="14" t="s">
        <v>6916</v>
      </c>
      <c r="L1112" s="16">
        <v>43739</v>
      </c>
      <c r="M1112" s="18"/>
      <c r="N1112" s="14" t="s">
        <v>6917</v>
      </c>
      <c r="O1112" s="17" t="s">
        <v>6918</v>
      </c>
      <c r="P1112" s="14" t="s">
        <v>6919</v>
      </c>
      <c r="Q1112" s="14" t="s">
        <v>6920</v>
      </c>
      <c r="R1112" s="14" t="s">
        <v>6921</v>
      </c>
      <c r="S1112" s="15"/>
      <c r="T1112" s="15"/>
      <c r="U1112" s="15"/>
      <c r="V1112" s="15"/>
    </row>
    <row r="1113" spans="1:22" x14ac:dyDescent="0.25">
      <c r="A1113" s="14" t="s">
        <v>141</v>
      </c>
      <c r="B1113" s="14" t="s">
        <v>3215</v>
      </c>
      <c r="C1113" s="14" t="s">
        <v>6922</v>
      </c>
      <c r="D1113" s="18"/>
      <c r="E1113" s="14">
        <v>2020</v>
      </c>
      <c r="F1113" s="18"/>
      <c r="G1113" s="18"/>
      <c r="H1113" s="23">
        <v>44932</v>
      </c>
      <c r="I1113" s="18"/>
      <c r="J1113" s="18"/>
      <c r="K1113" s="14" t="s">
        <v>6923</v>
      </c>
      <c r="L1113" s="20">
        <v>44075</v>
      </c>
      <c r="M1113" s="18"/>
      <c r="N1113" s="14" t="s">
        <v>6924</v>
      </c>
      <c r="O1113" s="17" t="s">
        <v>6925</v>
      </c>
      <c r="P1113" s="14" t="s">
        <v>3218</v>
      </c>
      <c r="Q1113" s="14" t="s">
        <v>6926</v>
      </c>
      <c r="R1113" s="14" t="s">
        <v>6927</v>
      </c>
      <c r="S1113" s="15"/>
      <c r="T1113" s="15"/>
      <c r="U1113" s="15"/>
      <c r="V1113" s="15"/>
    </row>
    <row r="1114" spans="1:22" x14ac:dyDescent="0.25">
      <c r="A1114" s="14" t="s">
        <v>141</v>
      </c>
      <c r="B1114" s="14" t="s">
        <v>3844</v>
      </c>
      <c r="C1114" s="14" t="s">
        <v>6928</v>
      </c>
      <c r="D1114" s="18"/>
      <c r="E1114" s="14">
        <v>2021</v>
      </c>
      <c r="F1114" s="18"/>
      <c r="G1114" s="18"/>
      <c r="H1114" s="14" t="s">
        <v>6929</v>
      </c>
      <c r="I1114" s="18"/>
      <c r="J1114" s="18"/>
      <c r="K1114" s="14" t="s">
        <v>6930</v>
      </c>
      <c r="L1114" s="20">
        <v>44317</v>
      </c>
      <c r="M1114" s="18"/>
      <c r="N1114" s="18"/>
      <c r="O1114" s="17" t="s">
        <v>6931</v>
      </c>
      <c r="P1114" s="14" t="s">
        <v>3848</v>
      </c>
      <c r="Q1114" s="14" t="s">
        <v>6932</v>
      </c>
      <c r="R1114" s="14" t="s">
        <v>6933</v>
      </c>
      <c r="S1114" s="15"/>
      <c r="T1114" s="15"/>
      <c r="U1114" s="15"/>
      <c r="V1114" s="15"/>
    </row>
    <row r="1115" spans="1:22" x14ac:dyDescent="0.25">
      <c r="A1115" s="14" t="s">
        <v>13</v>
      </c>
      <c r="B1115" s="14" t="s">
        <v>6934</v>
      </c>
      <c r="C1115" s="14" t="s">
        <v>6935</v>
      </c>
      <c r="D1115" s="14" t="s">
        <v>668</v>
      </c>
      <c r="E1115" s="14">
        <v>2019</v>
      </c>
      <c r="F1115" s="14">
        <v>7</v>
      </c>
      <c r="G1115" s="18"/>
      <c r="H1115" s="14" t="s">
        <v>6936</v>
      </c>
      <c r="I1115" s="18"/>
      <c r="J1115" s="18"/>
      <c r="K1115" s="18"/>
      <c r="L1115" s="14">
        <v>2019</v>
      </c>
      <c r="M1115" s="18"/>
      <c r="N1115" s="14" t="s">
        <v>670</v>
      </c>
      <c r="O1115" s="17" t="s">
        <v>6937</v>
      </c>
      <c r="P1115" s="14" t="s">
        <v>6938</v>
      </c>
      <c r="Q1115" s="14" t="s">
        <v>6939</v>
      </c>
      <c r="R1115" s="14" t="s">
        <v>6940</v>
      </c>
      <c r="S1115" s="15"/>
      <c r="T1115" s="15"/>
      <c r="U1115" s="15"/>
      <c r="V1115" s="15"/>
    </row>
    <row r="1116" spans="1:22" x14ac:dyDescent="0.25">
      <c r="A1116" s="14" t="s">
        <v>141</v>
      </c>
      <c r="B1116" s="14" t="s">
        <v>6941</v>
      </c>
      <c r="C1116" s="14" t="s">
        <v>6942</v>
      </c>
      <c r="D1116" s="18"/>
      <c r="E1116" s="14">
        <v>2019</v>
      </c>
      <c r="F1116" s="18"/>
      <c r="G1116" s="18"/>
      <c r="H1116" s="23">
        <v>44931</v>
      </c>
      <c r="I1116" s="18"/>
      <c r="J1116" s="18"/>
      <c r="K1116" s="14" t="s">
        <v>6943</v>
      </c>
      <c r="L1116" s="20">
        <v>43709</v>
      </c>
      <c r="M1116" s="18"/>
      <c r="N1116" s="14" t="s">
        <v>6944</v>
      </c>
      <c r="O1116" s="17" t="s">
        <v>6945</v>
      </c>
      <c r="P1116" s="14" t="s">
        <v>6946</v>
      </c>
      <c r="Q1116" s="14" t="s">
        <v>6947</v>
      </c>
      <c r="R1116" s="14" t="s">
        <v>6948</v>
      </c>
      <c r="S1116" s="15"/>
      <c r="T1116" s="15"/>
      <c r="U1116" s="15"/>
      <c r="V1116" s="15"/>
    </row>
    <row r="1117" spans="1:22" x14ac:dyDescent="0.25">
      <c r="A1117" s="14" t="s">
        <v>141</v>
      </c>
      <c r="B1117" s="14" t="s">
        <v>6949</v>
      </c>
      <c r="C1117" s="14" t="s">
        <v>6950</v>
      </c>
      <c r="D1117" s="18"/>
      <c r="E1117" s="14">
        <v>2018</v>
      </c>
      <c r="F1117" s="18"/>
      <c r="G1117" s="18"/>
      <c r="H1117" s="14" t="s">
        <v>6951</v>
      </c>
      <c r="I1117" s="18"/>
      <c r="J1117" s="18"/>
      <c r="K1117" s="14" t="s">
        <v>6952</v>
      </c>
      <c r="L1117" s="20">
        <v>43313</v>
      </c>
      <c r="M1117" s="18"/>
      <c r="N1117" s="18"/>
      <c r="O1117" s="17" t="s">
        <v>6953</v>
      </c>
      <c r="P1117" s="14" t="s">
        <v>6954</v>
      </c>
      <c r="Q1117" s="14" t="s">
        <v>6955</v>
      </c>
      <c r="R1117" s="14" t="s">
        <v>6956</v>
      </c>
      <c r="S1117" s="15"/>
      <c r="T1117" s="15"/>
      <c r="U1117" s="15"/>
      <c r="V1117" s="15"/>
    </row>
    <row r="1118" spans="1:22" x14ac:dyDescent="0.25">
      <c r="A1118" s="14" t="s">
        <v>141</v>
      </c>
      <c r="B1118" s="14" t="s">
        <v>6957</v>
      </c>
      <c r="C1118" s="14" t="s">
        <v>6958</v>
      </c>
      <c r="D1118" s="18"/>
      <c r="E1118" s="14">
        <v>2019</v>
      </c>
      <c r="F1118" s="18"/>
      <c r="G1118" s="18"/>
      <c r="H1118" s="14" t="s">
        <v>6959</v>
      </c>
      <c r="I1118" s="18"/>
      <c r="J1118" s="18"/>
      <c r="K1118" s="14" t="s">
        <v>6960</v>
      </c>
      <c r="L1118" s="20">
        <v>43525</v>
      </c>
      <c r="M1118" s="18"/>
      <c r="N1118" s="18"/>
      <c r="O1118" s="17" t="s">
        <v>6961</v>
      </c>
      <c r="P1118" s="14" t="s">
        <v>6962</v>
      </c>
      <c r="Q1118" s="14" t="s">
        <v>6963</v>
      </c>
      <c r="R1118" s="14" t="s">
        <v>6964</v>
      </c>
      <c r="S1118" s="15"/>
      <c r="T1118" s="15"/>
      <c r="U1118" s="15"/>
      <c r="V1118" s="15"/>
    </row>
    <row r="1119" spans="1:22" x14ac:dyDescent="0.25">
      <c r="A1119" s="14" t="s">
        <v>141</v>
      </c>
      <c r="B1119" s="14" t="s">
        <v>339</v>
      </c>
      <c r="C1119" s="14" t="s">
        <v>340</v>
      </c>
      <c r="D1119" s="18"/>
      <c r="E1119" s="14">
        <v>2022</v>
      </c>
      <c r="F1119" s="18"/>
      <c r="G1119" s="18"/>
      <c r="H1119" s="14" t="s">
        <v>6965</v>
      </c>
      <c r="I1119" s="18"/>
      <c r="J1119" s="18"/>
      <c r="K1119" s="14" t="s">
        <v>6966</v>
      </c>
      <c r="L1119" s="20">
        <v>44713</v>
      </c>
      <c r="M1119" s="18"/>
      <c r="N1119" s="14" t="s">
        <v>5157</v>
      </c>
      <c r="O1119" s="17" t="s">
        <v>6967</v>
      </c>
      <c r="P1119" s="14" t="s">
        <v>343</v>
      </c>
      <c r="Q1119" s="14" t="s">
        <v>6968</v>
      </c>
      <c r="R1119" s="14" t="s">
        <v>6969</v>
      </c>
      <c r="S1119" s="15"/>
      <c r="T1119" s="15"/>
      <c r="U1119" s="15"/>
      <c r="V1119" s="15"/>
    </row>
    <row r="1120" spans="1:22" x14ac:dyDescent="0.25">
      <c r="A1120" s="14" t="s">
        <v>141</v>
      </c>
      <c r="B1120" s="14" t="s">
        <v>6970</v>
      </c>
      <c r="C1120" s="14" t="s">
        <v>6971</v>
      </c>
      <c r="D1120" s="18"/>
      <c r="E1120" s="14">
        <v>2016</v>
      </c>
      <c r="F1120" s="18"/>
      <c r="G1120" s="18"/>
      <c r="H1120" s="14" t="s">
        <v>6972</v>
      </c>
      <c r="I1120" s="18"/>
      <c r="J1120" s="18"/>
      <c r="K1120" s="14" t="s">
        <v>6973</v>
      </c>
      <c r="L1120" s="20">
        <v>42583</v>
      </c>
      <c r="M1120" s="18"/>
      <c r="N1120" s="14" t="s">
        <v>6974</v>
      </c>
      <c r="O1120" s="17" t="s">
        <v>6975</v>
      </c>
      <c r="P1120" s="14" t="s">
        <v>6976</v>
      </c>
      <c r="Q1120" s="14" t="s">
        <v>6977</v>
      </c>
      <c r="R1120" s="14" t="s">
        <v>6978</v>
      </c>
      <c r="S1120" s="15"/>
      <c r="T1120" s="15"/>
      <c r="U1120" s="15"/>
      <c r="V1120" s="15"/>
    </row>
    <row r="1121" spans="1:22" x14ac:dyDescent="0.25">
      <c r="A1121" s="14" t="s">
        <v>141</v>
      </c>
      <c r="B1121" s="14" t="s">
        <v>3621</v>
      </c>
      <c r="C1121" s="14" t="s">
        <v>3622</v>
      </c>
      <c r="D1121" s="18"/>
      <c r="E1121" s="14">
        <v>2020</v>
      </c>
      <c r="F1121" s="18"/>
      <c r="G1121" s="18"/>
      <c r="H1121" s="14" t="s">
        <v>6979</v>
      </c>
      <c r="I1121" s="18"/>
      <c r="J1121" s="18"/>
      <c r="K1121" s="14" t="s">
        <v>6980</v>
      </c>
      <c r="L1121" s="20">
        <v>44075</v>
      </c>
      <c r="M1121" s="18"/>
      <c r="N1121" s="14" t="s">
        <v>6818</v>
      </c>
      <c r="O1121" s="17" t="s">
        <v>6981</v>
      </c>
      <c r="P1121" s="14" t="s">
        <v>3625</v>
      </c>
      <c r="Q1121" s="14" t="s">
        <v>6982</v>
      </c>
      <c r="R1121" s="14" t="s">
        <v>6983</v>
      </c>
      <c r="S1121" s="15"/>
      <c r="T1121" s="15"/>
      <c r="U1121" s="15"/>
      <c r="V1121" s="15"/>
    </row>
    <row r="1122" spans="1:22" x14ac:dyDescent="0.25">
      <c r="A1122" s="14" t="s">
        <v>141</v>
      </c>
      <c r="B1122" s="14" t="s">
        <v>6984</v>
      </c>
      <c r="C1122" s="14" t="s">
        <v>6985</v>
      </c>
      <c r="D1122" s="18"/>
      <c r="E1122" s="14">
        <v>2019</v>
      </c>
      <c r="F1122" s="18"/>
      <c r="G1122" s="18"/>
      <c r="H1122" s="14" t="s">
        <v>6863</v>
      </c>
      <c r="I1122" s="18"/>
      <c r="J1122" s="18"/>
      <c r="K1122" s="14" t="s">
        <v>6986</v>
      </c>
      <c r="L1122" s="20">
        <v>43586</v>
      </c>
      <c r="M1122" s="18"/>
      <c r="N1122" s="14" t="s">
        <v>6336</v>
      </c>
      <c r="O1122" s="17" t="s">
        <v>6987</v>
      </c>
      <c r="P1122" s="14" t="s">
        <v>6988</v>
      </c>
      <c r="Q1122" s="14" t="s">
        <v>6989</v>
      </c>
      <c r="R1122" s="14" t="s">
        <v>6990</v>
      </c>
      <c r="S1122" s="15"/>
      <c r="T1122" s="15"/>
      <c r="U1122" s="15"/>
      <c r="V1122" s="15"/>
    </row>
    <row r="1123" spans="1:22" x14ac:dyDescent="0.25">
      <c r="A1123" s="14" t="s">
        <v>141</v>
      </c>
      <c r="B1123" s="14" t="s">
        <v>6991</v>
      </c>
      <c r="C1123" s="14" t="s">
        <v>6992</v>
      </c>
      <c r="D1123" s="18"/>
      <c r="E1123" s="14">
        <v>2018</v>
      </c>
      <c r="F1123" s="18"/>
      <c r="G1123" s="18"/>
      <c r="H1123" s="14" t="s">
        <v>6993</v>
      </c>
      <c r="I1123" s="18"/>
      <c r="J1123" s="18"/>
      <c r="K1123" s="14" t="s">
        <v>6994</v>
      </c>
      <c r="L1123" s="20">
        <v>43221</v>
      </c>
      <c r="M1123" s="18"/>
      <c r="N1123" s="18"/>
      <c r="O1123" s="18"/>
      <c r="P1123" s="18"/>
      <c r="Q1123" s="14" t="s">
        <v>6995</v>
      </c>
      <c r="R1123" s="14" t="s">
        <v>6996</v>
      </c>
      <c r="S1123" s="15"/>
      <c r="T1123" s="15"/>
      <c r="U1123" s="15"/>
      <c r="V1123" s="15"/>
    </row>
    <row r="1124" spans="1:22" x14ac:dyDescent="0.25">
      <c r="A1124" s="14" t="s">
        <v>141</v>
      </c>
      <c r="B1124" s="14" t="s">
        <v>6997</v>
      </c>
      <c r="C1124" s="14" t="s">
        <v>6998</v>
      </c>
      <c r="D1124" s="18"/>
      <c r="E1124" s="14">
        <v>2015</v>
      </c>
      <c r="F1124" s="18"/>
      <c r="G1124" s="18"/>
      <c r="H1124" s="14" t="s">
        <v>6999</v>
      </c>
      <c r="I1124" s="18"/>
      <c r="J1124" s="18"/>
      <c r="K1124" s="14" t="s">
        <v>7000</v>
      </c>
      <c r="L1124" s="20">
        <v>42186</v>
      </c>
      <c r="M1124" s="18"/>
      <c r="N1124" s="14" t="s">
        <v>6974</v>
      </c>
      <c r="O1124" s="17" t="s">
        <v>7001</v>
      </c>
      <c r="P1124" s="14" t="s">
        <v>7002</v>
      </c>
      <c r="Q1124" s="14" t="s">
        <v>7003</v>
      </c>
      <c r="R1124" s="14" t="s">
        <v>7004</v>
      </c>
      <c r="S1124" s="15"/>
      <c r="T1124" s="15"/>
      <c r="U1124" s="15"/>
      <c r="V1124" s="15"/>
    </row>
    <row r="1125" spans="1:22" x14ac:dyDescent="0.25">
      <c r="A1125" s="14" t="s">
        <v>141</v>
      </c>
      <c r="B1125" s="14" t="s">
        <v>7005</v>
      </c>
      <c r="C1125" s="14" t="s">
        <v>7006</v>
      </c>
      <c r="D1125" s="18"/>
      <c r="E1125" s="14">
        <v>2020</v>
      </c>
      <c r="F1125" s="18"/>
      <c r="G1125" s="18"/>
      <c r="H1125" s="23">
        <v>44932</v>
      </c>
      <c r="I1125" s="18"/>
      <c r="J1125" s="18"/>
      <c r="K1125" s="14" t="s">
        <v>7007</v>
      </c>
      <c r="L1125" s="20">
        <v>43891</v>
      </c>
      <c r="M1125" s="18"/>
      <c r="N1125" s="18"/>
      <c r="O1125" s="17" t="s">
        <v>7008</v>
      </c>
      <c r="P1125" s="14" t="s">
        <v>7009</v>
      </c>
      <c r="Q1125" s="14" t="s">
        <v>7010</v>
      </c>
      <c r="R1125" s="14" t="s">
        <v>7011</v>
      </c>
      <c r="S1125" s="15"/>
      <c r="T1125" s="15"/>
      <c r="U1125" s="15"/>
      <c r="V1125" s="15"/>
    </row>
    <row r="1126" spans="1:22" x14ac:dyDescent="0.25">
      <c r="A1126" s="14" t="s">
        <v>13</v>
      </c>
      <c r="B1126" s="14" t="s">
        <v>7012</v>
      </c>
      <c r="C1126" s="14" t="s">
        <v>7013</v>
      </c>
      <c r="D1126" s="14" t="s">
        <v>4637</v>
      </c>
      <c r="E1126" s="14">
        <v>2022</v>
      </c>
      <c r="F1126" s="14">
        <v>39</v>
      </c>
      <c r="G1126" s="14">
        <v>6</v>
      </c>
      <c r="H1126" s="14" t="s">
        <v>7014</v>
      </c>
      <c r="I1126" s="18"/>
      <c r="J1126" s="18"/>
      <c r="K1126" s="18"/>
      <c r="L1126" s="16">
        <v>44866</v>
      </c>
      <c r="M1126" s="18"/>
      <c r="N1126" s="14" t="s">
        <v>6207</v>
      </c>
      <c r="O1126" s="17" t="s">
        <v>7015</v>
      </c>
      <c r="P1126" s="14" t="s">
        <v>7016</v>
      </c>
      <c r="Q1126" s="14" t="s">
        <v>7017</v>
      </c>
      <c r="R1126" s="14" t="s">
        <v>7018</v>
      </c>
      <c r="S1126" s="15"/>
      <c r="T1126" s="15"/>
      <c r="U1126" s="15"/>
      <c r="V1126" s="15"/>
    </row>
    <row r="1127" spans="1:22" x14ac:dyDescent="0.25">
      <c r="A1127" s="14" t="s">
        <v>13</v>
      </c>
      <c r="B1127" s="14" t="s">
        <v>7019</v>
      </c>
      <c r="C1127" s="14" t="s">
        <v>7020</v>
      </c>
      <c r="D1127" s="14" t="s">
        <v>7021</v>
      </c>
      <c r="E1127" s="14">
        <v>2016</v>
      </c>
      <c r="F1127" s="14">
        <v>27</v>
      </c>
      <c r="G1127" s="14">
        <v>3</v>
      </c>
      <c r="H1127" s="14" t="s">
        <v>7022</v>
      </c>
      <c r="I1127" s="18"/>
      <c r="J1127" s="18"/>
      <c r="K1127" s="18"/>
      <c r="L1127" s="20">
        <v>42430</v>
      </c>
      <c r="M1127" s="18"/>
      <c r="N1127" s="14" t="s">
        <v>7023</v>
      </c>
      <c r="O1127" s="17" t="s">
        <v>7024</v>
      </c>
      <c r="P1127" s="14" t="s">
        <v>7025</v>
      </c>
      <c r="Q1127" s="14" t="s">
        <v>7026</v>
      </c>
      <c r="R1127" s="14" t="s">
        <v>7027</v>
      </c>
      <c r="S1127" s="15"/>
      <c r="T1127" s="15"/>
      <c r="U1127" s="15"/>
      <c r="V1127" s="15"/>
    </row>
    <row r="1128" spans="1:22" x14ac:dyDescent="0.25">
      <c r="A1128" s="14" t="s">
        <v>13</v>
      </c>
      <c r="B1128" s="14" t="s">
        <v>3081</v>
      </c>
      <c r="C1128" s="14" t="s">
        <v>3082</v>
      </c>
      <c r="D1128" s="14" t="s">
        <v>255</v>
      </c>
      <c r="E1128" s="14">
        <v>2021</v>
      </c>
      <c r="F1128" s="14">
        <v>47</v>
      </c>
      <c r="G1128" s="14">
        <v>1</v>
      </c>
      <c r="H1128" s="14" t="s">
        <v>7028</v>
      </c>
      <c r="I1128" s="18"/>
      <c r="J1128" s="18"/>
      <c r="K1128" s="18"/>
      <c r="L1128" s="20">
        <v>44197</v>
      </c>
      <c r="M1128" s="18"/>
      <c r="N1128" s="14" t="s">
        <v>6115</v>
      </c>
      <c r="O1128" s="17" t="s">
        <v>7029</v>
      </c>
      <c r="P1128" s="14" t="s">
        <v>3085</v>
      </c>
      <c r="Q1128" s="14" t="s">
        <v>7030</v>
      </c>
      <c r="R1128" s="14" t="s">
        <v>7031</v>
      </c>
      <c r="S1128" s="15"/>
      <c r="T1128" s="15"/>
      <c r="U1128" s="15"/>
      <c r="V1128" s="15"/>
    </row>
    <row r="1129" spans="1:22" x14ac:dyDescent="0.25">
      <c r="A1129" s="14" t="s">
        <v>13</v>
      </c>
      <c r="B1129" s="18"/>
      <c r="C1129" s="14" t="s">
        <v>7032</v>
      </c>
      <c r="D1129" s="14" t="s">
        <v>7033</v>
      </c>
      <c r="E1129" s="14">
        <v>2016</v>
      </c>
      <c r="F1129" s="18"/>
      <c r="G1129" s="18"/>
      <c r="H1129" s="14" t="s">
        <v>7034</v>
      </c>
      <c r="I1129" s="18"/>
      <c r="J1129" s="18"/>
      <c r="K1129" s="18"/>
      <c r="L1129" s="20">
        <v>42370</v>
      </c>
      <c r="M1129" s="18"/>
      <c r="N1129" s="18"/>
      <c r="O1129" s="18"/>
      <c r="P1129" s="18"/>
      <c r="Q1129" s="14" t="s">
        <v>7035</v>
      </c>
      <c r="R1129" s="14" t="s">
        <v>7036</v>
      </c>
      <c r="S1129" s="15"/>
      <c r="T1129" s="15"/>
      <c r="U1129" s="15"/>
      <c r="V1129" s="15"/>
    </row>
    <row r="1130" spans="1:22" x14ac:dyDescent="0.25">
      <c r="A1130" s="14" t="s">
        <v>13</v>
      </c>
      <c r="B1130" s="18"/>
      <c r="C1130" s="14" t="s">
        <v>7037</v>
      </c>
      <c r="D1130" s="14" t="s">
        <v>7038</v>
      </c>
      <c r="E1130" s="14">
        <v>2017</v>
      </c>
      <c r="F1130" s="18"/>
      <c r="G1130" s="18"/>
      <c r="H1130" s="14" t="s">
        <v>7039</v>
      </c>
      <c r="I1130" s="18"/>
      <c r="J1130" s="18"/>
      <c r="K1130" s="18"/>
      <c r="L1130" s="20">
        <v>42736</v>
      </c>
      <c r="M1130" s="18"/>
      <c r="N1130" s="18"/>
      <c r="O1130" s="18"/>
      <c r="P1130" s="18"/>
      <c r="Q1130" s="14" t="s">
        <v>7035</v>
      </c>
      <c r="R1130" s="14" t="s">
        <v>7040</v>
      </c>
      <c r="S1130" s="15"/>
      <c r="T1130" s="15"/>
      <c r="U1130" s="15"/>
      <c r="V1130" s="15"/>
    </row>
    <row r="1131" spans="1:22" x14ac:dyDescent="0.25">
      <c r="A1131" s="14" t="s">
        <v>13</v>
      </c>
      <c r="B1131" s="18"/>
      <c r="C1131" s="14" t="s">
        <v>7032</v>
      </c>
      <c r="D1131" s="14" t="s">
        <v>7041</v>
      </c>
      <c r="E1131" s="14">
        <v>2017</v>
      </c>
      <c r="F1131" s="18"/>
      <c r="G1131" s="18"/>
      <c r="H1131" s="14" t="s">
        <v>7042</v>
      </c>
      <c r="I1131" s="18"/>
      <c r="J1131" s="18"/>
      <c r="K1131" s="18"/>
      <c r="L1131" s="20">
        <v>42736</v>
      </c>
      <c r="M1131" s="18"/>
      <c r="N1131" s="18"/>
      <c r="O1131" s="18"/>
      <c r="P1131" s="18"/>
      <c r="Q1131" s="14" t="s">
        <v>7035</v>
      </c>
      <c r="R1131" s="14" t="s">
        <v>7043</v>
      </c>
      <c r="S1131" s="15"/>
      <c r="T1131" s="15"/>
      <c r="U1131" s="15"/>
      <c r="V1131" s="15"/>
    </row>
    <row r="1132" spans="1:22" x14ac:dyDescent="0.25">
      <c r="A1132" s="14" t="s">
        <v>13</v>
      </c>
      <c r="B1132" s="14" t="s">
        <v>7044</v>
      </c>
      <c r="C1132" s="14" t="s">
        <v>7045</v>
      </c>
      <c r="D1132" s="14" t="s">
        <v>4637</v>
      </c>
      <c r="E1132" s="14">
        <v>2022</v>
      </c>
      <c r="F1132" s="14">
        <v>39</v>
      </c>
      <c r="G1132" s="14">
        <v>3</v>
      </c>
      <c r="H1132" s="14" t="s">
        <v>7046</v>
      </c>
      <c r="I1132" s="18"/>
      <c r="J1132" s="18"/>
      <c r="K1132" s="18"/>
      <c r="L1132" s="20">
        <v>44682</v>
      </c>
      <c r="M1132" s="18"/>
      <c r="N1132" s="14" t="s">
        <v>6207</v>
      </c>
      <c r="O1132" s="17" t="s">
        <v>7047</v>
      </c>
      <c r="P1132" s="14" t="s">
        <v>7048</v>
      </c>
      <c r="Q1132" s="14" t="s">
        <v>7049</v>
      </c>
      <c r="R1132" s="18"/>
      <c r="S1132" s="15"/>
      <c r="T1132" s="15"/>
      <c r="U1132" s="15"/>
      <c r="V1132" s="15"/>
    </row>
    <row r="1133" spans="1:22" x14ac:dyDescent="0.25">
      <c r="A1133" s="14" t="s">
        <v>13</v>
      </c>
      <c r="B1133" s="14" t="s">
        <v>6984</v>
      </c>
      <c r="C1133" s="14" t="s">
        <v>7050</v>
      </c>
      <c r="D1133" s="14" t="s">
        <v>255</v>
      </c>
      <c r="E1133" s="14">
        <v>2022</v>
      </c>
      <c r="F1133" s="14">
        <v>48</v>
      </c>
      <c r="G1133" s="14">
        <v>7</v>
      </c>
      <c r="H1133" s="14" t="s">
        <v>7051</v>
      </c>
      <c r="I1133" s="18"/>
      <c r="J1133" s="18"/>
      <c r="K1133" s="18"/>
      <c r="L1133" s="20">
        <v>44743</v>
      </c>
      <c r="M1133" s="18"/>
      <c r="N1133" s="14" t="s">
        <v>6115</v>
      </c>
      <c r="O1133" s="17" t="s">
        <v>7052</v>
      </c>
      <c r="P1133" s="14" t="s">
        <v>7053</v>
      </c>
      <c r="Q1133" s="14" t="s">
        <v>7054</v>
      </c>
      <c r="R1133" s="14" t="s">
        <v>7055</v>
      </c>
      <c r="S1133" s="15"/>
      <c r="T1133" s="15"/>
      <c r="U1133" s="15"/>
      <c r="V1133" s="15"/>
    </row>
    <row r="1134" spans="1:22" x14ac:dyDescent="0.25">
      <c r="A1134" s="14" t="s">
        <v>13</v>
      </c>
      <c r="B1134" s="14" t="s">
        <v>2232</v>
      </c>
      <c r="C1134" s="14" t="s">
        <v>7056</v>
      </c>
      <c r="D1134" s="14" t="s">
        <v>255</v>
      </c>
      <c r="E1134" s="14">
        <v>2022</v>
      </c>
      <c r="F1134" s="14">
        <v>48</v>
      </c>
      <c r="G1134" s="14">
        <v>1</v>
      </c>
      <c r="H1134" s="14" t="s">
        <v>7057</v>
      </c>
      <c r="I1134" s="18"/>
      <c r="J1134" s="18"/>
      <c r="K1134" s="18"/>
      <c r="L1134" s="20">
        <v>44562</v>
      </c>
      <c r="M1134" s="18"/>
      <c r="N1134" s="14" t="s">
        <v>6115</v>
      </c>
      <c r="O1134" s="17" t="s">
        <v>7058</v>
      </c>
      <c r="P1134" s="14" t="s">
        <v>2236</v>
      </c>
      <c r="Q1134" s="14" t="s">
        <v>7059</v>
      </c>
      <c r="R1134" s="14" t="s">
        <v>7060</v>
      </c>
      <c r="S1134" s="15"/>
      <c r="T1134" s="15"/>
      <c r="U1134" s="15"/>
      <c r="V1134" s="15"/>
    </row>
    <row r="1135" spans="1:22" x14ac:dyDescent="0.25">
      <c r="A1135" s="14" t="s">
        <v>141</v>
      </c>
      <c r="B1135" s="14" t="s">
        <v>7061</v>
      </c>
      <c r="C1135" s="14" t="s">
        <v>7062</v>
      </c>
      <c r="D1135" s="18"/>
      <c r="E1135" s="14">
        <v>2019</v>
      </c>
      <c r="F1135" s="18"/>
      <c r="G1135" s="18"/>
      <c r="H1135" s="14" t="s">
        <v>7063</v>
      </c>
      <c r="I1135" s="18"/>
      <c r="J1135" s="18"/>
      <c r="K1135" s="14" t="s">
        <v>7064</v>
      </c>
      <c r="L1135" s="20">
        <v>43586</v>
      </c>
      <c r="M1135" s="18"/>
      <c r="N1135" s="14" t="s">
        <v>7065</v>
      </c>
      <c r="O1135" s="17" t="s">
        <v>7066</v>
      </c>
      <c r="P1135" s="14" t="s">
        <v>7067</v>
      </c>
      <c r="Q1135" s="14" t="s">
        <v>7068</v>
      </c>
      <c r="R1135" s="14" t="s">
        <v>7069</v>
      </c>
      <c r="S1135" s="15"/>
      <c r="T1135" s="15"/>
      <c r="U1135" s="15"/>
      <c r="V1135" s="15"/>
    </row>
    <row r="1136" spans="1:22" x14ac:dyDescent="0.25">
      <c r="A1136" s="14" t="s">
        <v>141</v>
      </c>
      <c r="B1136" s="14" t="s">
        <v>7070</v>
      </c>
      <c r="C1136" s="14" t="s">
        <v>7071</v>
      </c>
      <c r="D1136" s="18"/>
      <c r="E1136" s="14">
        <v>2022</v>
      </c>
      <c r="F1136" s="18"/>
      <c r="G1136" s="18"/>
      <c r="H1136" s="14" t="s">
        <v>7072</v>
      </c>
      <c r="I1136" s="18"/>
      <c r="J1136" s="18"/>
      <c r="K1136" s="14" t="s">
        <v>6722</v>
      </c>
      <c r="L1136" s="20">
        <v>44682</v>
      </c>
      <c r="M1136" s="18"/>
      <c r="N1136" s="14" t="s">
        <v>6226</v>
      </c>
      <c r="O1136" s="17" t="s">
        <v>7073</v>
      </c>
      <c r="P1136" s="14" t="s">
        <v>7074</v>
      </c>
      <c r="Q1136" s="14" t="s">
        <v>7075</v>
      </c>
      <c r="R1136" s="14" t="s">
        <v>7076</v>
      </c>
      <c r="S1136" s="15"/>
      <c r="T1136" s="15"/>
      <c r="U1136" s="15"/>
      <c r="V1136" s="15"/>
    </row>
    <row r="1137" spans="1:22" x14ac:dyDescent="0.25">
      <c r="A1137" s="14" t="s">
        <v>141</v>
      </c>
      <c r="B1137" s="14" t="s">
        <v>4860</v>
      </c>
      <c r="C1137" s="14" t="s">
        <v>4861</v>
      </c>
      <c r="D1137" s="18"/>
      <c r="E1137" s="14">
        <v>2019</v>
      </c>
      <c r="F1137" s="18"/>
      <c r="G1137" s="18"/>
      <c r="H1137" s="14" t="s">
        <v>7077</v>
      </c>
      <c r="I1137" s="18"/>
      <c r="J1137" s="18"/>
      <c r="K1137" s="14" t="s">
        <v>7078</v>
      </c>
      <c r="L1137" s="16">
        <v>43739</v>
      </c>
      <c r="M1137" s="18"/>
      <c r="N1137" s="14" t="s">
        <v>7079</v>
      </c>
      <c r="O1137" s="17" t="s">
        <v>7080</v>
      </c>
      <c r="P1137" s="14" t="s">
        <v>4865</v>
      </c>
      <c r="Q1137" s="14" t="s">
        <v>7081</v>
      </c>
      <c r="R1137" s="14" t="s">
        <v>7082</v>
      </c>
      <c r="S1137" s="15"/>
      <c r="T1137" s="15"/>
      <c r="U1137" s="15"/>
      <c r="V1137" s="15"/>
    </row>
    <row r="1138" spans="1:22" x14ac:dyDescent="0.25">
      <c r="A1138" s="14" t="s">
        <v>141</v>
      </c>
      <c r="B1138" s="14" t="s">
        <v>7083</v>
      </c>
      <c r="C1138" s="14" t="s">
        <v>7084</v>
      </c>
      <c r="D1138" s="18"/>
      <c r="E1138" s="14">
        <v>2019</v>
      </c>
      <c r="F1138" s="18"/>
      <c r="G1138" s="18"/>
      <c r="H1138" s="14" t="s">
        <v>7085</v>
      </c>
      <c r="I1138" s="18"/>
      <c r="J1138" s="18"/>
      <c r="K1138" s="14" t="s">
        <v>6684</v>
      </c>
      <c r="L1138" s="20">
        <v>43709</v>
      </c>
      <c r="M1138" s="18"/>
      <c r="N1138" s="18"/>
      <c r="O1138" s="17" t="s">
        <v>7086</v>
      </c>
      <c r="P1138" s="14" t="s">
        <v>4647</v>
      </c>
      <c r="Q1138" s="14" t="s">
        <v>7087</v>
      </c>
      <c r="R1138" s="14" t="s">
        <v>7088</v>
      </c>
      <c r="S1138" s="15"/>
      <c r="T1138" s="15"/>
      <c r="U1138" s="15"/>
      <c r="V1138" s="15"/>
    </row>
    <row r="1139" spans="1:22" x14ac:dyDescent="0.25">
      <c r="A1139" s="14" t="s">
        <v>141</v>
      </c>
      <c r="B1139" s="14" t="s">
        <v>7089</v>
      </c>
      <c r="C1139" s="14" t="s">
        <v>7090</v>
      </c>
      <c r="D1139" s="18"/>
      <c r="E1139" s="14">
        <v>2019</v>
      </c>
      <c r="F1139" s="18"/>
      <c r="G1139" s="18"/>
      <c r="H1139" s="14" t="s">
        <v>6482</v>
      </c>
      <c r="I1139" s="18"/>
      <c r="J1139" s="18"/>
      <c r="K1139" s="14" t="s">
        <v>7091</v>
      </c>
      <c r="L1139" s="20">
        <v>43586</v>
      </c>
      <c r="M1139" s="18"/>
      <c r="N1139" s="18"/>
      <c r="O1139" s="17" t="s">
        <v>7092</v>
      </c>
      <c r="P1139" s="14" t="s">
        <v>7093</v>
      </c>
      <c r="Q1139" s="14" t="s">
        <v>7094</v>
      </c>
      <c r="R1139" s="14" t="s">
        <v>7095</v>
      </c>
      <c r="S1139" s="15"/>
      <c r="T1139" s="15"/>
      <c r="U1139" s="15"/>
      <c r="V1139" s="15"/>
    </row>
    <row r="1140" spans="1:22" x14ac:dyDescent="0.25">
      <c r="A1140" s="14" t="s">
        <v>141</v>
      </c>
      <c r="B1140" s="14" t="s">
        <v>7096</v>
      </c>
      <c r="C1140" s="14" t="s">
        <v>7097</v>
      </c>
      <c r="D1140" s="18"/>
      <c r="E1140" s="14">
        <v>2022</v>
      </c>
      <c r="F1140" s="18"/>
      <c r="G1140" s="18"/>
      <c r="H1140" s="14" t="s">
        <v>7098</v>
      </c>
      <c r="I1140" s="18"/>
      <c r="J1140" s="18"/>
      <c r="K1140" s="14" t="s">
        <v>7099</v>
      </c>
      <c r="L1140" s="20">
        <v>44562</v>
      </c>
      <c r="M1140" s="18"/>
      <c r="N1140" s="18"/>
      <c r="O1140" s="17" t="s">
        <v>7100</v>
      </c>
      <c r="P1140" s="14" t="s">
        <v>7101</v>
      </c>
      <c r="Q1140" s="14" t="s">
        <v>7102</v>
      </c>
      <c r="R1140" s="14" t="s">
        <v>7103</v>
      </c>
      <c r="S1140" s="15"/>
      <c r="T1140" s="15"/>
      <c r="U1140" s="15"/>
      <c r="V1140" s="15"/>
    </row>
    <row r="1141" spans="1:22" x14ac:dyDescent="0.25">
      <c r="A1141" s="14" t="s">
        <v>13</v>
      </c>
      <c r="B1141" s="14" t="s">
        <v>7104</v>
      </c>
      <c r="C1141" s="14" t="s">
        <v>7105</v>
      </c>
      <c r="D1141" s="14" t="s">
        <v>4637</v>
      </c>
      <c r="E1141" s="14">
        <v>2022</v>
      </c>
      <c r="F1141" s="14">
        <v>39</v>
      </c>
      <c r="G1141" s="14">
        <v>5</v>
      </c>
      <c r="H1141" s="14" t="s">
        <v>7106</v>
      </c>
      <c r="I1141" s="18"/>
      <c r="J1141" s="18"/>
      <c r="K1141" s="18"/>
      <c r="L1141" s="20">
        <v>44805</v>
      </c>
      <c r="M1141" s="18"/>
      <c r="N1141" s="14" t="s">
        <v>6207</v>
      </c>
      <c r="O1141" s="17" t="s">
        <v>7107</v>
      </c>
      <c r="P1141" s="14" t="s">
        <v>7108</v>
      </c>
      <c r="Q1141" s="14" t="s">
        <v>7109</v>
      </c>
      <c r="R1141" s="18"/>
      <c r="S1141" s="15"/>
      <c r="T1141" s="15"/>
      <c r="U1141" s="15"/>
      <c r="V1141" s="15"/>
    </row>
    <row r="1142" spans="1:22" x14ac:dyDescent="0.25">
      <c r="A1142" s="14" t="s">
        <v>141</v>
      </c>
      <c r="B1142" s="14" t="s">
        <v>4107</v>
      </c>
      <c r="C1142" s="14" t="s">
        <v>4108</v>
      </c>
      <c r="D1142" s="18"/>
      <c r="E1142" s="14">
        <v>2019</v>
      </c>
      <c r="F1142" s="18"/>
      <c r="G1142" s="18"/>
      <c r="H1142" s="14" t="s">
        <v>7110</v>
      </c>
      <c r="I1142" s="18"/>
      <c r="J1142" s="18"/>
      <c r="K1142" s="14" t="s">
        <v>7111</v>
      </c>
      <c r="L1142" s="20">
        <v>43647</v>
      </c>
      <c r="M1142" s="18"/>
      <c r="N1142" s="18"/>
      <c r="O1142" s="17" t="s">
        <v>7112</v>
      </c>
      <c r="P1142" s="14" t="s">
        <v>4111</v>
      </c>
      <c r="Q1142" s="14" t="s">
        <v>7113</v>
      </c>
      <c r="R1142" s="14" t="s">
        <v>7114</v>
      </c>
      <c r="S1142" s="15"/>
      <c r="T1142" s="15"/>
      <c r="U1142" s="15"/>
      <c r="V1142" s="15"/>
    </row>
    <row r="1143" spans="1:22" x14ac:dyDescent="0.25">
      <c r="A1143" s="14" t="s">
        <v>141</v>
      </c>
      <c r="B1143" s="14" t="s">
        <v>7115</v>
      </c>
      <c r="C1143" s="14" t="s">
        <v>7116</v>
      </c>
      <c r="D1143" s="18"/>
      <c r="E1143" s="14">
        <v>2021</v>
      </c>
      <c r="F1143" s="18"/>
      <c r="G1143" s="18"/>
      <c r="H1143" s="14" t="s">
        <v>7117</v>
      </c>
      <c r="I1143" s="18"/>
      <c r="J1143" s="18"/>
      <c r="K1143" s="14" t="s">
        <v>7118</v>
      </c>
      <c r="L1143" s="16">
        <v>44501</v>
      </c>
      <c r="M1143" s="18"/>
      <c r="N1143" s="14" t="s">
        <v>7119</v>
      </c>
      <c r="O1143" s="17" t="s">
        <v>7120</v>
      </c>
      <c r="P1143" s="14" t="s">
        <v>7121</v>
      </c>
      <c r="Q1143" s="14" t="s">
        <v>7122</v>
      </c>
      <c r="R1143" s="14" t="s">
        <v>7123</v>
      </c>
      <c r="S1143" s="15"/>
      <c r="T1143" s="15"/>
      <c r="U1143" s="15"/>
      <c r="V1143" s="15"/>
    </row>
    <row r="1144" spans="1:22" x14ac:dyDescent="0.25">
      <c r="A1144" s="14" t="s">
        <v>141</v>
      </c>
      <c r="B1144" s="14" t="s">
        <v>7124</v>
      </c>
      <c r="C1144" s="14" t="s">
        <v>7125</v>
      </c>
      <c r="D1144" s="18"/>
      <c r="E1144" s="14">
        <v>2020</v>
      </c>
      <c r="F1144" s="18"/>
      <c r="G1144" s="18"/>
      <c r="H1144" s="23">
        <v>44934</v>
      </c>
      <c r="I1144" s="18"/>
      <c r="J1144" s="18"/>
      <c r="K1144" s="14" t="s">
        <v>7126</v>
      </c>
      <c r="L1144" s="20">
        <v>44013</v>
      </c>
      <c r="M1144" s="18"/>
      <c r="N1144" s="14" t="s">
        <v>6413</v>
      </c>
      <c r="O1144" s="17" t="s">
        <v>7127</v>
      </c>
      <c r="P1144" s="14" t="s">
        <v>7128</v>
      </c>
      <c r="Q1144" s="14" t="s">
        <v>7129</v>
      </c>
      <c r="R1144" s="14" t="s">
        <v>7130</v>
      </c>
      <c r="S1144" s="15"/>
      <c r="T1144" s="15"/>
      <c r="U1144" s="15"/>
      <c r="V1144" s="15"/>
    </row>
    <row r="1145" spans="1:22" x14ac:dyDescent="0.25">
      <c r="A1145" s="14" t="s">
        <v>141</v>
      </c>
      <c r="B1145" s="14" t="s">
        <v>7131</v>
      </c>
      <c r="C1145" s="14" t="s">
        <v>7132</v>
      </c>
      <c r="D1145" s="18"/>
      <c r="E1145" s="14">
        <v>2022</v>
      </c>
      <c r="F1145" s="18"/>
      <c r="G1145" s="18"/>
      <c r="H1145" s="14" t="s">
        <v>7133</v>
      </c>
      <c r="I1145" s="18"/>
      <c r="J1145" s="18"/>
      <c r="K1145" s="14" t="s">
        <v>6817</v>
      </c>
      <c r="L1145" s="16">
        <v>44835</v>
      </c>
      <c r="M1145" s="18"/>
      <c r="N1145" s="14" t="s">
        <v>6818</v>
      </c>
      <c r="O1145" s="17" t="s">
        <v>7134</v>
      </c>
      <c r="P1145" s="14" t="s">
        <v>7135</v>
      </c>
      <c r="Q1145" s="14" t="s">
        <v>7136</v>
      </c>
      <c r="R1145" s="14" t="s">
        <v>7137</v>
      </c>
      <c r="S1145" s="15"/>
      <c r="T1145" s="15"/>
      <c r="U1145" s="15"/>
      <c r="V1145" s="15"/>
    </row>
    <row r="1146" spans="1:22" x14ac:dyDescent="0.25">
      <c r="A1146" s="14" t="s">
        <v>13</v>
      </c>
      <c r="B1146" s="14" t="s">
        <v>7138</v>
      </c>
      <c r="C1146" s="14" t="s">
        <v>7139</v>
      </c>
      <c r="D1146" s="14" t="s">
        <v>255</v>
      </c>
      <c r="E1146" s="14">
        <v>2022</v>
      </c>
      <c r="F1146" s="14">
        <v>48</v>
      </c>
      <c r="G1146" s="14">
        <v>10</v>
      </c>
      <c r="H1146" s="14" t="s">
        <v>7140</v>
      </c>
      <c r="I1146" s="18"/>
      <c r="J1146" s="18"/>
      <c r="K1146" s="18"/>
      <c r="L1146" s="16">
        <v>44835</v>
      </c>
      <c r="M1146" s="18"/>
      <c r="N1146" s="14" t="s">
        <v>6115</v>
      </c>
      <c r="O1146" s="17" t="s">
        <v>7141</v>
      </c>
      <c r="P1146" s="14" t="s">
        <v>7142</v>
      </c>
      <c r="Q1146" s="14" t="s">
        <v>7143</v>
      </c>
      <c r="R1146" s="14" t="s">
        <v>7144</v>
      </c>
      <c r="S1146" s="15"/>
      <c r="T1146" s="15"/>
      <c r="U1146" s="15"/>
      <c r="V1146" s="15"/>
    </row>
    <row r="1147" spans="1:22" x14ac:dyDescent="0.25">
      <c r="A1147" s="14" t="s">
        <v>141</v>
      </c>
      <c r="B1147" s="14" t="s">
        <v>7145</v>
      </c>
      <c r="C1147" s="14" t="s">
        <v>7146</v>
      </c>
      <c r="D1147" s="18"/>
      <c r="E1147" s="14">
        <v>2021</v>
      </c>
      <c r="F1147" s="18"/>
      <c r="G1147" s="18"/>
      <c r="H1147" s="14" t="s">
        <v>7147</v>
      </c>
      <c r="I1147" s="18"/>
      <c r="J1147" s="18"/>
      <c r="K1147" s="14" t="s">
        <v>6189</v>
      </c>
      <c r="L1147" s="16">
        <v>44501</v>
      </c>
      <c r="M1147" s="18"/>
      <c r="N1147" s="14" t="s">
        <v>6190</v>
      </c>
      <c r="O1147" s="17" t="s">
        <v>7148</v>
      </c>
      <c r="P1147" s="14" t="s">
        <v>7149</v>
      </c>
      <c r="Q1147" s="14" t="s">
        <v>7150</v>
      </c>
      <c r="R1147" s="14" t="s">
        <v>7151</v>
      </c>
      <c r="S1147" s="15"/>
      <c r="T1147" s="15"/>
      <c r="U1147" s="15"/>
      <c r="V1147" s="15"/>
    </row>
    <row r="1148" spans="1:22" x14ac:dyDescent="0.25">
      <c r="A1148" s="14" t="s">
        <v>141</v>
      </c>
      <c r="B1148" s="14" t="s">
        <v>5395</v>
      </c>
      <c r="C1148" s="14" t="s">
        <v>7152</v>
      </c>
      <c r="D1148" s="18"/>
      <c r="E1148" s="14">
        <v>2017</v>
      </c>
      <c r="F1148" s="18"/>
      <c r="G1148" s="18"/>
      <c r="H1148" s="14" t="s">
        <v>7153</v>
      </c>
      <c r="I1148" s="18"/>
      <c r="J1148" s="18"/>
      <c r="K1148" s="14" t="s">
        <v>7154</v>
      </c>
      <c r="L1148" s="16">
        <v>43040</v>
      </c>
      <c r="M1148" s="18"/>
      <c r="N1148" s="18"/>
      <c r="O1148" s="17" t="s">
        <v>7155</v>
      </c>
      <c r="P1148" s="14" t="s">
        <v>5400</v>
      </c>
      <c r="Q1148" s="14" t="s">
        <v>7156</v>
      </c>
      <c r="R1148" s="14" t="s">
        <v>7157</v>
      </c>
      <c r="S1148" s="15"/>
      <c r="T1148" s="15"/>
      <c r="U1148" s="15"/>
      <c r="V1148" s="15"/>
    </row>
    <row r="1149" spans="1:22" x14ac:dyDescent="0.25">
      <c r="A1149" s="14" t="s">
        <v>13</v>
      </c>
      <c r="B1149" s="14" t="s">
        <v>7158</v>
      </c>
      <c r="C1149" s="14" t="s">
        <v>7159</v>
      </c>
      <c r="D1149" s="14" t="s">
        <v>255</v>
      </c>
      <c r="E1149" s="14">
        <v>2021</v>
      </c>
      <c r="F1149" s="14">
        <v>47</v>
      </c>
      <c r="G1149" s="14">
        <v>11</v>
      </c>
      <c r="H1149" s="14" t="s">
        <v>7160</v>
      </c>
      <c r="I1149" s="18"/>
      <c r="J1149" s="18"/>
      <c r="K1149" s="18"/>
      <c r="L1149" s="16">
        <v>44501</v>
      </c>
      <c r="M1149" s="18"/>
      <c r="N1149" s="14" t="s">
        <v>6115</v>
      </c>
      <c r="O1149" s="17" t="s">
        <v>7161</v>
      </c>
      <c r="P1149" s="14" t="s">
        <v>7162</v>
      </c>
      <c r="Q1149" s="14" t="s">
        <v>7163</v>
      </c>
      <c r="R1149" s="14" t="s">
        <v>7164</v>
      </c>
      <c r="S1149" s="15"/>
      <c r="T1149" s="15"/>
      <c r="U1149" s="15"/>
      <c r="V1149" s="15"/>
    </row>
    <row r="1150" spans="1:22" x14ac:dyDescent="0.25">
      <c r="A1150" s="14" t="s">
        <v>141</v>
      </c>
      <c r="B1150" s="14" t="s">
        <v>7165</v>
      </c>
      <c r="C1150" s="14" t="s">
        <v>7166</v>
      </c>
      <c r="D1150" s="18"/>
      <c r="E1150" s="14">
        <v>2020</v>
      </c>
      <c r="F1150" s="18"/>
      <c r="G1150" s="18"/>
      <c r="H1150" s="14" t="s">
        <v>7167</v>
      </c>
      <c r="I1150" s="18"/>
      <c r="J1150" s="18"/>
      <c r="K1150" s="14" t="s">
        <v>7168</v>
      </c>
      <c r="L1150" s="16">
        <v>44105</v>
      </c>
      <c r="M1150" s="18"/>
      <c r="N1150" s="18"/>
      <c r="O1150" s="18"/>
      <c r="P1150" s="18"/>
      <c r="Q1150" s="14" t="s">
        <v>7169</v>
      </c>
      <c r="R1150" s="14" t="s">
        <v>7170</v>
      </c>
      <c r="S1150" s="15"/>
      <c r="T1150" s="15"/>
      <c r="U1150" s="15"/>
      <c r="V1150" s="15"/>
    </row>
    <row r="1151" spans="1:22" x14ac:dyDescent="0.25">
      <c r="A1151" s="14" t="s">
        <v>141</v>
      </c>
      <c r="B1151" s="14" t="s">
        <v>7171</v>
      </c>
      <c r="C1151" s="14" t="s">
        <v>7172</v>
      </c>
      <c r="D1151" s="18"/>
      <c r="E1151" s="14">
        <v>2020</v>
      </c>
      <c r="F1151" s="18"/>
      <c r="G1151" s="18"/>
      <c r="H1151" s="23">
        <v>44938</v>
      </c>
      <c r="I1151" s="18"/>
      <c r="J1151" s="18"/>
      <c r="K1151" s="14" t="s">
        <v>7173</v>
      </c>
      <c r="L1151" s="20">
        <v>43952</v>
      </c>
      <c r="M1151" s="18"/>
      <c r="N1151" s="18"/>
      <c r="O1151" s="17" t="s">
        <v>7174</v>
      </c>
      <c r="P1151" s="14" t="s">
        <v>7175</v>
      </c>
      <c r="Q1151" s="14" t="s">
        <v>7176</v>
      </c>
      <c r="R1151" s="14" t="s">
        <v>7177</v>
      </c>
      <c r="S1151" s="15"/>
      <c r="T1151" s="15"/>
      <c r="U1151" s="15"/>
      <c r="V1151" s="15"/>
    </row>
    <row r="1152" spans="1:22" x14ac:dyDescent="0.25">
      <c r="A1152" s="14" t="s">
        <v>141</v>
      </c>
      <c r="B1152" s="14" t="s">
        <v>1819</v>
      </c>
      <c r="C1152" s="14" t="s">
        <v>1820</v>
      </c>
      <c r="D1152" s="18"/>
      <c r="E1152" s="14">
        <v>2022</v>
      </c>
      <c r="F1152" s="18"/>
      <c r="G1152" s="18"/>
      <c r="H1152" s="14" t="s">
        <v>7178</v>
      </c>
      <c r="I1152" s="18"/>
      <c r="J1152" s="18"/>
      <c r="K1152" s="14" t="s">
        <v>7179</v>
      </c>
      <c r="L1152" s="20">
        <v>44682</v>
      </c>
      <c r="M1152" s="18"/>
      <c r="N1152" s="14" t="s">
        <v>7180</v>
      </c>
      <c r="O1152" s="17" t="s">
        <v>7181</v>
      </c>
      <c r="P1152" s="14" t="s">
        <v>1823</v>
      </c>
      <c r="Q1152" s="14" t="s">
        <v>7182</v>
      </c>
      <c r="R1152" s="14" t="s">
        <v>7183</v>
      </c>
      <c r="S1152" s="15"/>
      <c r="T1152" s="15"/>
      <c r="U1152" s="15"/>
      <c r="V1152" s="15"/>
    </row>
    <row r="1153" spans="1:22" x14ac:dyDescent="0.25">
      <c r="A1153" s="14" t="s">
        <v>141</v>
      </c>
      <c r="B1153" s="14" t="s">
        <v>7184</v>
      </c>
      <c r="C1153" s="14" t="s">
        <v>2955</v>
      </c>
      <c r="D1153" s="18"/>
      <c r="E1153" s="14">
        <v>2021</v>
      </c>
      <c r="F1153" s="18"/>
      <c r="G1153" s="18"/>
      <c r="H1153" s="14" t="s">
        <v>7185</v>
      </c>
      <c r="I1153" s="18"/>
      <c r="J1153" s="18"/>
      <c r="K1153" s="14" t="s">
        <v>7186</v>
      </c>
      <c r="L1153" s="16">
        <v>44470</v>
      </c>
      <c r="M1153" s="18"/>
      <c r="N1153" s="18"/>
      <c r="O1153" s="17" t="s">
        <v>7187</v>
      </c>
      <c r="P1153" s="14" t="s">
        <v>2958</v>
      </c>
      <c r="Q1153" s="14" t="s">
        <v>7188</v>
      </c>
      <c r="R1153" s="14" t="s">
        <v>7189</v>
      </c>
      <c r="S1153" s="15"/>
      <c r="T1153" s="15"/>
      <c r="U1153" s="15"/>
      <c r="V1153" s="15"/>
    </row>
    <row r="1154" spans="1:22" x14ac:dyDescent="0.25">
      <c r="A1154" s="14" t="s">
        <v>13</v>
      </c>
      <c r="B1154" s="14" t="s">
        <v>7190</v>
      </c>
      <c r="C1154" s="14" t="s">
        <v>7191</v>
      </c>
      <c r="D1154" s="14" t="s">
        <v>255</v>
      </c>
      <c r="E1154" s="14">
        <v>2022</v>
      </c>
      <c r="F1154" s="14">
        <v>48</v>
      </c>
      <c r="G1154" s="14">
        <v>9</v>
      </c>
      <c r="H1154" s="14" t="s">
        <v>7192</v>
      </c>
      <c r="I1154" s="18"/>
      <c r="J1154" s="18"/>
      <c r="K1154" s="18"/>
      <c r="L1154" s="20">
        <v>44805</v>
      </c>
      <c r="M1154" s="18"/>
      <c r="N1154" s="14" t="s">
        <v>6115</v>
      </c>
      <c r="O1154" s="17" t="s">
        <v>7193</v>
      </c>
      <c r="P1154" s="14" t="s">
        <v>7194</v>
      </c>
      <c r="Q1154" s="14" t="s">
        <v>7195</v>
      </c>
      <c r="R1154" s="14" t="s">
        <v>7196</v>
      </c>
      <c r="S1154" s="15"/>
      <c r="T1154" s="15"/>
      <c r="U1154" s="15"/>
      <c r="V1154" s="15"/>
    </row>
    <row r="1155" spans="1:22" x14ac:dyDescent="0.25">
      <c r="A1155" s="14" t="s">
        <v>141</v>
      </c>
      <c r="B1155" s="14" t="s">
        <v>7197</v>
      </c>
      <c r="C1155" s="14" t="s">
        <v>3731</v>
      </c>
      <c r="D1155" s="18"/>
      <c r="E1155" s="14">
        <v>2021</v>
      </c>
      <c r="F1155" s="18"/>
      <c r="G1155" s="18"/>
      <c r="H1155" s="14" t="s">
        <v>7198</v>
      </c>
      <c r="I1155" s="18"/>
      <c r="J1155" s="18"/>
      <c r="K1155" s="14" t="s">
        <v>7199</v>
      </c>
      <c r="L1155" s="16">
        <v>44531</v>
      </c>
      <c r="M1155" s="18"/>
      <c r="N1155" s="14" t="s">
        <v>3734</v>
      </c>
      <c r="O1155" s="17" t="s">
        <v>7200</v>
      </c>
      <c r="P1155" s="14" t="s">
        <v>3736</v>
      </c>
      <c r="Q1155" s="14" t="s">
        <v>7201</v>
      </c>
      <c r="R1155" s="14" t="s">
        <v>7202</v>
      </c>
      <c r="S1155" s="15"/>
      <c r="T1155" s="15"/>
      <c r="U1155" s="15"/>
      <c r="V1155" s="15"/>
    </row>
    <row r="1156" spans="1:22" x14ac:dyDescent="0.25">
      <c r="A1156" s="14" t="s">
        <v>13</v>
      </c>
      <c r="B1156" s="14" t="s">
        <v>5131</v>
      </c>
      <c r="C1156" s="14" t="s">
        <v>5132</v>
      </c>
      <c r="D1156" s="14" t="s">
        <v>255</v>
      </c>
      <c r="E1156" s="14">
        <v>2019</v>
      </c>
      <c r="F1156" s="14">
        <v>45</v>
      </c>
      <c r="G1156" s="14">
        <v>7</v>
      </c>
      <c r="H1156" s="14" t="s">
        <v>7203</v>
      </c>
      <c r="I1156" s="18"/>
      <c r="J1156" s="18"/>
      <c r="K1156" s="18"/>
      <c r="L1156" s="20">
        <v>43647</v>
      </c>
      <c r="M1156" s="18"/>
      <c r="N1156" s="14" t="s">
        <v>6115</v>
      </c>
      <c r="O1156" s="17" t="s">
        <v>7204</v>
      </c>
      <c r="P1156" s="14" t="s">
        <v>5135</v>
      </c>
      <c r="Q1156" s="14" t="s">
        <v>7205</v>
      </c>
      <c r="R1156" s="14" t="s">
        <v>7206</v>
      </c>
      <c r="S1156" s="15"/>
      <c r="T1156" s="15"/>
      <c r="U1156" s="15"/>
      <c r="V1156" s="15"/>
    </row>
    <row r="1157" spans="1:22" x14ac:dyDescent="0.25">
      <c r="A1157" s="14" t="s">
        <v>141</v>
      </c>
      <c r="B1157" s="14" t="s">
        <v>7207</v>
      </c>
      <c r="C1157" s="14" t="s">
        <v>7208</v>
      </c>
      <c r="D1157" s="18"/>
      <c r="E1157" s="14">
        <v>2020</v>
      </c>
      <c r="F1157" s="18"/>
      <c r="G1157" s="18"/>
      <c r="H1157" s="14" t="s">
        <v>7209</v>
      </c>
      <c r="I1157" s="18"/>
      <c r="J1157" s="18"/>
      <c r="K1157" s="14" t="s">
        <v>7210</v>
      </c>
      <c r="L1157" s="16">
        <v>44166</v>
      </c>
      <c r="M1157" s="18"/>
      <c r="N1157" s="18"/>
      <c r="O1157" s="17" t="s">
        <v>7211</v>
      </c>
      <c r="P1157" s="14" t="s">
        <v>7212</v>
      </c>
      <c r="Q1157" s="14" t="s">
        <v>7213</v>
      </c>
      <c r="R1157" s="14" t="s">
        <v>7214</v>
      </c>
      <c r="S1157" s="15"/>
      <c r="T1157" s="15"/>
      <c r="U1157" s="15"/>
      <c r="V1157" s="15"/>
    </row>
    <row r="1158" spans="1:22" x14ac:dyDescent="0.25">
      <c r="A1158" s="14" t="s">
        <v>141</v>
      </c>
      <c r="B1158" s="14" t="s">
        <v>7215</v>
      </c>
      <c r="C1158" s="14" t="s">
        <v>7216</v>
      </c>
      <c r="D1158" s="18"/>
      <c r="E1158" s="14">
        <v>2016</v>
      </c>
      <c r="F1158" s="18"/>
      <c r="G1158" s="18"/>
      <c r="H1158" s="14" t="s">
        <v>7217</v>
      </c>
      <c r="I1158" s="18"/>
      <c r="J1158" s="18"/>
      <c r="K1158" s="14" t="s">
        <v>7218</v>
      </c>
      <c r="L1158" s="20">
        <v>42614</v>
      </c>
      <c r="M1158" s="18"/>
      <c r="N1158" s="14" t="s">
        <v>7219</v>
      </c>
      <c r="O1158" s="17" t="s">
        <v>7220</v>
      </c>
      <c r="P1158" s="14" t="s">
        <v>7221</v>
      </c>
      <c r="Q1158" s="14" t="s">
        <v>7222</v>
      </c>
      <c r="R1158" s="14" t="s">
        <v>7223</v>
      </c>
      <c r="S1158" s="15"/>
      <c r="T1158" s="15"/>
      <c r="U1158" s="15"/>
      <c r="V1158" s="15"/>
    </row>
    <row r="1159" spans="1:22" x14ac:dyDescent="0.25">
      <c r="A1159" s="14" t="s">
        <v>141</v>
      </c>
      <c r="B1159" s="14" t="s">
        <v>7224</v>
      </c>
      <c r="C1159" s="14" t="s">
        <v>7225</v>
      </c>
      <c r="D1159" s="18"/>
      <c r="E1159" s="14">
        <v>2020</v>
      </c>
      <c r="F1159" s="18"/>
      <c r="G1159" s="18"/>
      <c r="H1159" s="14" t="s">
        <v>7226</v>
      </c>
      <c r="I1159" s="18"/>
      <c r="J1159" s="18"/>
      <c r="K1159" s="14" t="s">
        <v>7227</v>
      </c>
      <c r="L1159" s="16">
        <v>44105</v>
      </c>
      <c r="M1159" s="18"/>
      <c r="N1159" s="18"/>
      <c r="O1159" s="17" t="s">
        <v>7228</v>
      </c>
      <c r="P1159" s="14" t="s">
        <v>7229</v>
      </c>
      <c r="Q1159" s="14" t="s">
        <v>7230</v>
      </c>
      <c r="R1159" s="14" t="s">
        <v>7231</v>
      </c>
      <c r="S1159" s="15"/>
      <c r="T1159" s="15"/>
      <c r="U1159" s="15"/>
      <c r="V1159" s="15"/>
    </row>
    <row r="1160" spans="1:22" x14ac:dyDescent="0.25">
      <c r="A1160" s="14" t="s">
        <v>141</v>
      </c>
      <c r="B1160" s="14" t="s">
        <v>7232</v>
      </c>
      <c r="C1160" s="14" t="s">
        <v>7233</v>
      </c>
      <c r="D1160" s="18"/>
      <c r="E1160" s="14">
        <v>2021</v>
      </c>
      <c r="F1160" s="18"/>
      <c r="G1160" s="18"/>
      <c r="H1160" s="14" t="s">
        <v>7234</v>
      </c>
      <c r="I1160" s="18"/>
      <c r="J1160" s="18"/>
      <c r="K1160" s="14" t="s">
        <v>6677</v>
      </c>
      <c r="L1160" s="20">
        <v>44317</v>
      </c>
      <c r="M1160" s="18"/>
      <c r="N1160" s="18"/>
      <c r="O1160" s="17" t="s">
        <v>7235</v>
      </c>
      <c r="P1160" s="14" t="s">
        <v>7236</v>
      </c>
      <c r="Q1160" s="14" t="s">
        <v>7237</v>
      </c>
      <c r="R1160" s="14" t="s">
        <v>7238</v>
      </c>
      <c r="S1160" s="15"/>
      <c r="T1160" s="15"/>
      <c r="U1160" s="15"/>
      <c r="V1160" s="15"/>
    </row>
    <row r="1161" spans="1:22" x14ac:dyDescent="0.25">
      <c r="A1161" s="14" t="s">
        <v>141</v>
      </c>
      <c r="B1161" s="14" t="s">
        <v>3857</v>
      </c>
      <c r="C1161" s="14" t="s">
        <v>7239</v>
      </c>
      <c r="D1161" s="18"/>
      <c r="E1161" s="14">
        <v>2021</v>
      </c>
      <c r="F1161" s="18"/>
      <c r="G1161" s="18"/>
      <c r="H1161" s="14" t="s">
        <v>7240</v>
      </c>
      <c r="I1161" s="18"/>
      <c r="J1161" s="18"/>
      <c r="K1161" s="14" t="s">
        <v>6329</v>
      </c>
      <c r="L1161" s="20">
        <v>44317</v>
      </c>
      <c r="M1161" s="18"/>
      <c r="N1161" s="14" t="s">
        <v>6152</v>
      </c>
      <c r="O1161" s="17" t="s">
        <v>7241</v>
      </c>
      <c r="P1161" s="14" t="s">
        <v>3861</v>
      </c>
      <c r="Q1161" s="14" t="s">
        <v>7242</v>
      </c>
      <c r="R1161" s="14" t="s">
        <v>7243</v>
      </c>
      <c r="S1161" s="15"/>
      <c r="T1161" s="15"/>
      <c r="U1161" s="15"/>
      <c r="V1161" s="15"/>
    </row>
    <row r="1162" spans="1:22" x14ac:dyDescent="0.25">
      <c r="A1162" s="14" t="s">
        <v>141</v>
      </c>
      <c r="B1162" s="14" t="s">
        <v>1455</v>
      </c>
      <c r="C1162" s="14" t="s">
        <v>1456</v>
      </c>
      <c r="D1162" s="18"/>
      <c r="E1162" s="14">
        <v>2022</v>
      </c>
      <c r="F1162" s="18"/>
      <c r="G1162" s="18"/>
      <c r="H1162" s="14" t="s">
        <v>7244</v>
      </c>
      <c r="I1162" s="18"/>
      <c r="J1162" s="18"/>
      <c r="K1162" s="14" t="s">
        <v>7245</v>
      </c>
      <c r="L1162" s="20">
        <v>44682</v>
      </c>
      <c r="M1162" s="18"/>
      <c r="N1162" s="14" t="s">
        <v>6336</v>
      </c>
      <c r="O1162" s="17" t="s">
        <v>7246</v>
      </c>
      <c r="P1162" s="14" t="s">
        <v>1460</v>
      </c>
      <c r="Q1162" s="14" t="s">
        <v>7247</v>
      </c>
      <c r="R1162" s="14" t="s">
        <v>7248</v>
      </c>
      <c r="S1162" s="15"/>
      <c r="T1162" s="15"/>
      <c r="U1162" s="15"/>
      <c r="V1162" s="15"/>
    </row>
    <row r="1163" spans="1:22" x14ac:dyDescent="0.25">
      <c r="A1163" s="14" t="s">
        <v>13</v>
      </c>
      <c r="B1163" s="14" t="s">
        <v>6014</v>
      </c>
      <c r="C1163" s="14" t="s">
        <v>7249</v>
      </c>
      <c r="D1163" s="14" t="s">
        <v>255</v>
      </c>
      <c r="E1163" s="14">
        <v>2018</v>
      </c>
      <c r="F1163" s="14">
        <v>44</v>
      </c>
      <c r="G1163" s="14">
        <v>10</v>
      </c>
      <c r="H1163" s="14" t="s">
        <v>7250</v>
      </c>
      <c r="I1163" s="18"/>
      <c r="J1163" s="18"/>
      <c r="K1163" s="18"/>
      <c r="L1163" s="16">
        <v>43374</v>
      </c>
      <c r="M1163" s="18"/>
      <c r="N1163" s="14" t="s">
        <v>6115</v>
      </c>
      <c r="O1163" s="17" t="s">
        <v>7251</v>
      </c>
      <c r="P1163" s="14" t="s">
        <v>6018</v>
      </c>
      <c r="Q1163" s="14" t="s">
        <v>7252</v>
      </c>
      <c r="R1163" s="14" t="s">
        <v>7253</v>
      </c>
      <c r="S1163" s="15"/>
      <c r="T1163" s="15"/>
      <c r="U1163" s="15"/>
      <c r="V1163" s="15"/>
    </row>
    <row r="1164" spans="1:22" x14ac:dyDescent="0.25">
      <c r="A1164" s="14" t="s">
        <v>141</v>
      </c>
      <c r="B1164" s="14" t="s">
        <v>3049</v>
      </c>
      <c r="C1164" s="14" t="s">
        <v>3050</v>
      </c>
      <c r="D1164" s="18"/>
      <c r="E1164" s="14">
        <v>2021</v>
      </c>
      <c r="F1164" s="18"/>
      <c r="G1164" s="18"/>
      <c r="H1164" s="14" t="s">
        <v>7254</v>
      </c>
      <c r="I1164" s="18"/>
      <c r="J1164" s="18"/>
      <c r="K1164" s="14" t="s">
        <v>7255</v>
      </c>
      <c r="L1164" s="16">
        <v>44501</v>
      </c>
      <c r="M1164" s="18"/>
      <c r="N1164" s="14" t="s">
        <v>7256</v>
      </c>
      <c r="O1164" s="17" t="s">
        <v>7257</v>
      </c>
      <c r="P1164" s="14" t="s">
        <v>3053</v>
      </c>
      <c r="Q1164" s="14" t="s">
        <v>7258</v>
      </c>
      <c r="R1164" s="14" t="s">
        <v>7259</v>
      </c>
      <c r="S1164" s="15"/>
      <c r="T1164" s="15"/>
      <c r="U1164" s="15"/>
      <c r="V1164" s="15"/>
    </row>
    <row r="1165" spans="1:22" x14ac:dyDescent="0.25">
      <c r="A1165" s="14" t="s">
        <v>141</v>
      </c>
      <c r="B1165" s="14" t="s">
        <v>7260</v>
      </c>
      <c r="C1165" s="14" t="s">
        <v>7261</v>
      </c>
      <c r="D1165" s="18"/>
      <c r="E1165" s="14">
        <v>2019</v>
      </c>
      <c r="F1165" s="18"/>
      <c r="G1165" s="18"/>
      <c r="H1165" s="23">
        <v>44936</v>
      </c>
      <c r="I1165" s="18"/>
      <c r="J1165" s="18"/>
      <c r="K1165" s="14" t="s">
        <v>6274</v>
      </c>
      <c r="L1165" s="20">
        <v>43586</v>
      </c>
      <c r="M1165" s="18"/>
      <c r="N1165" s="18"/>
      <c r="O1165" s="17" t="s">
        <v>7262</v>
      </c>
      <c r="P1165" s="14" t="s">
        <v>7263</v>
      </c>
      <c r="Q1165" s="14" t="s">
        <v>7264</v>
      </c>
      <c r="R1165" s="14" t="s">
        <v>7265</v>
      </c>
      <c r="S1165" s="15"/>
      <c r="T1165" s="15"/>
      <c r="U1165" s="15"/>
      <c r="V1165" s="15"/>
    </row>
    <row r="1166" spans="1:22" x14ac:dyDescent="0.25">
      <c r="A1166" s="14" t="s">
        <v>13</v>
      </c>
      <c r="B1166" s="14" t="s">
        <v>7266</v>
      </c>
      <c r="C1166" s="14" t="s">
        <v>7267</v>
      </c>
      <c r="D1166" s="14" t="s">
        <v>7268</v>
      </c>
      <c r="E1166" s="14">
        <v>2022</v>
      </c>
      <c r="F1166" s="14">
        <v>5</v>
      </c>
      <c r="G1166" s="14">
        <v>1</v>
      </c>
      <c r="H1166" s="14" t="s">
        <v>7269</v>
      </c>
      <c r="I1166" s="18"/>
      <c r="J1166" s="18"/>
      <c r="K1166" s="18"/>
      <c r="L1166" s="20">
        <v>44621</v>
      </c>
      <c r="M1166" s="18"/>
      <c r="N1166" s="14" t="s">
        <v>7270</v>
      </c>
      <c r="O1166" s="17" t="s">
        <v>7271</v>
      </c>
      <c r="P1166" s="14" t="s">
        <v>7272</v>
      </c>
      <c r="Q1166" s="14" t="s">
        <v>7273</v>
      </c>
      <c r="R1166" s="14" t="s">
        <v>7274</v>
      </c>
      <c r="S1166" s="15"/>
      <c r="T1166" s="15"/>
      <c r="U1166" s="15"/>
      <c r="V1166" s="15"/>
    </row>
    <row r="1167" spans="1:22" x14ac:dyDescent="0.25">
      <c r="A1167" s="14" t="s">
        <v>141</v>
      </c>
      <c r="B1167" s="14" t="s">
        <v>7275</v>
      </c>
      <c r="C1167" s="14" t="s">
        <v>7276</v>
      </c>
      <c r="D1167" s="18"/>
      <c r="E1167" s="14">
        <v>2021</v>
      </c>
      <c r="F1167" s="18"/>
      <c r="G1167" s="18"/>
      <c r="H1167" s="14" t="s">
        <v>7277</v>
      </c>
      <c r="I1167" s="18"/>
      <c r="J1167" s="18"/>
      <c r="K1167" s="14" t="s">
        <v>7278</v>
      </c>
      <c r="L1167" s="20">
        <v>44256</v>
      </c>
      <c r="M1167" s="18"/>
      <c r="N1167" s="14" t="s">
        <v>6593</v>
      </c>
      <c r="O1167" s="17" t="s">
        <v>7279</v>
      </c>
      <c r="P1167" s="14" t="s">
        <v>7280</v>
      </c>
      <c r="Q1167" s="14" t="s">
        <v>7281</v>
      </c>
      <c r="R1167" s="14" t="s">
        <v>7282</v>
      </c>
      <c r="S1167" s="15"/>
      <c r="T1167" s="15"/>
      <c r="U1167" s="15"/>
      <c r="V1167" s="15"/>
    </row>
    <row r="1168" spans="1:22" x14ac:dyDescent="0.25">
      <c r="A1168" s="14" t="s">
        <v>141</v>
      </c>
      <c r="B1168" s="14" t="s">
        <v>2888</v>
      </c>
      <c r="C1168" s="14" t="s">
        <v>7283</v>
      </c>
      <c r="D1168" s="18"/>
      <c r="E1168" s="14">
        <v>2021</v>
      </c>
      <c r="F1168" s="18"/>
      <c r="G1168" s="18"/>
      <c r="H1168" s="14" t="s">
        <v>7284</v>
      </c>
      <c r="I1168" s="18"/>
      <c r="J1168" s="18"/>
      <c r="K1168" s="14" t="s">
        <v>7285</v>
      </c>
      <c r="L1168" s="20">
        <v>44256</v>
      </c>
      <c r="M1168" s="18"/>
      <c r="N1168" s="18"/>
      <c r="O1168" s="17" t="s">
        <v>7286</v>
      </c>
      <c r="P1168" s="14" t="s">
        <v>2892</v>
      </c>
      <c r="Q1168" s="14" t="s">
        <v>7287</v>
      </c>
      <c r="R1168" s="14" t="s">
        <v>7288</v>
      </c>
      <c r="S1168" s="15"/>
      <c r="T1168" s="15"/>
      <c r="U1168" s="15"/>
      <c r="V1168" s="15"/>
    </row>
    <row r="1169" spans="1:22" x14ac:dyDescent="0.25">
      <c r="A1169" s="14" t="s">
        <v>141</v>
      </c>
      <c r="B1169" s="14" t="s">
        <v>7289</v>
      </c>
      <c r="C1169" s="14" t="s">
        <v>7290</v>
      </c>
      <c r="D1169" s="18"/>
      <c r="E1169" s="14">
        <v>2013</v>
      </c>
      <c r="F1169" s="18"/>
      <c r="G1169" s="18"/>
      <c r="H1169" s="14" t="s">
        <v>7291</v>
      </c>
      <c r="I1169" s="18"/>
      <c r="J1169" s="18"/>
      <c r="K1169" s="14" t="s">
        <v>6745</v>
      </c>
      <c r="L1169" s="20">
        <v>41395</v>
      </c>
      <c r="M1169" s="18"/>
      <c r="N1169" s="14" t="s">
        <v>6336</v>
      </c>
      <c r="O1169" s="17" t="s">
        <v>7292</v>
      </c>
      <c r="P1169" s="14" t="s">
        <v>7293</v>
      </c>
      <c r="Q1169" s="14" t="s">
        <v>7294</v>
      </c>
      <c r="R1169" s="14" t="s">
        <v>7295</v>
      </c>
      <c r="S1169" s="15"/>
      <c r="T1169" s="15"/>
      <c r="U1169" s="15"/>
      <c r="V1169" s="15"/>
    </row>
    <row r="1170" spans="1:22" x14ac:dyDescent="0.25">
      <c r="A1170" s="14" t="s">
        <v>141</v>
      </c>
      <c r="B1170" s="14" t="s">
        <v>7296</v>
      </c>
      <c r="C1170" s="14" t="s">
        <v>1664</v>
      </c>
      <c r="D1170" s="18"/>
      <c r="E1170" s="14">
        <v>2022</v>
      </c>
      <c r="F1170" s="18"/>
      <c r="G1170" s="18"/>
      <c r="H1170" s="14" t="s">
        <v>7297</v>
      </c>
      <c r="I1170" s="18"/>
      <c r="J1170" s="18"/>
      <c r="K1170" s="14" t="s">
        <v>6269</v>
      </c>
      <c r="L1170" s="20">
        <v>44682</v>
      </c>
      <c r="M1170" s="18"/>
      <c r="N1170" s="18"/>
      <c r="O1170" s="17" t="s">
        <v>7298</v>
      </c>
      <c r="P1170" s="14" t="s">
        <v>1667</v>
      </c>
      <c r="Q1170" s="14" t="s">
        <v>7299</v>
      </c>
      <c r="R1170" s="14" t="s">
        <v>7300</v>
      </c>
      <c r="S1170" s="15"/>
      <c r="T1170" s="15"/>
      <c r="U1170" s="15"/>
      <c r="V1170" s="15"/>
    </row>
    <row r="1171" spans="1:22" x14ac:dyDescent="0.25">
      <c r="A1171" s="14" t="s">
        <v>141</v>
      </c>
      <c r="B1171" s="14" t="s">
        <v>7301</v>
      </c>
      <c r="C1171" s="14" t="s">
        <v>7302</v>
      </c>
      <c r="D1171" s="18"/>
      <c r="E1171" s="14">
        <v>2018</v>
      </c>
      <c r="F1171" s="18"/>
      <c r="G1171" s="18"/>
      <c r="H1171" s="14" t="s">
        <v>7303</v>
      </c>
      <c r="I1171" s="18"/>
      <c r="J1171" s="18"/>
      <c r="K1171" s="14" t="s">
        <v>7304</v>
      </c>
      <c r="L1171" s="20">
        <v>43221</v>
      </c>
      <c r="M1171" s="18"/>
      <c r="N1171" s="18"/>
      <c r="O1171" s="18"/>
      <c r="P1171" s="18"/>
      <c r="Q1171" s="14" t="s">
        <v>7305</v>
      </c>
      <c r="R1171" s="14" t="s">
        <v>7306</v>
      </c>
      <c r="S1171" s="15"/>
      <c r="T1171" s="15"/>
      <c r="U1171" s="15"/>
      <c r="V1171" s="15"/>
    </row>
    <row r="1172" spans="1:22" x14ac:dyDescent="0.25">
      <c r="A1172" s="14" t="s">
        <v>141</v>
      </c>
      <c r="B1172" s="14" t="s">
        <v>7307</v>
      </c>
      <c r="C1172" s="14" t="s">
        <v>7308</v>
      </c>
      <c r="D1172" s="18"/>
      <c r="E1172" s="14">
        <v>2016</v>
      </c>
      <c r="F1172" s="18"/>
      <c r="G1172" s="18"/>
      <c r="H1172" s="14" t="s">
        <v>7309</v>
      </c>
      <c r="I1172" s="18"/>
      <c r="J1172" s="18"/>
      <c r="K1172" s="14" t="s">
        <v>7310</v>
      </c>
      <c r="L1172" s="20">
        <v>42491</v>
      </c>
      <c r="M1172" s="18"/>
      <c r="N1172" s="18"/>
      <c r="O1172" s="17" t="s">
        <v>7311</v>
      </c>
      <c r="P1172" s="14" t="s">
        <v>7312</v>
      </c>
      <c r="Q1172" s="14" t="s">
        <v>7313</v>
      </c>
      <c r="R1172" s="14" t="s">
        <v>7314</v>
      </c>
      <c r="S1172" s="15"/>
      <c r="T1172" s="15"/>
      <c r="U1172" s="15"/>
      <c r="V1172" s="15"/>
    </row>
    <row r="1173" spans="1:22" x14ac:dyDescent="0.25">
      <c r="A1173" s="14" t="s">
        <v>141</v>
      </c>
      <c r="B1173" s="14" t="s">
        <v>7315</v>
      </c>
      <c r="C1173" s="14" t="s">
        <v>7316</v>
      </c>
      <c r="D1173" s="18"/>
      <c r="E1173" s="14">
        <v>2022</v>
      </c>
      <c r="F1173" s="18"/>
      <c r="G1173" s="18"/>
      <c r="H1173" s="14" t="s">
        <v>7317</v>
      </c>
      <c r="I1173" s="18"/>
      <c r="J1173" s="18"/>
      <c r="K1173" s="14" t="s">
        <v>6166</v>
      </c>
      <c r="L1173" s="20">
        <v>44774</v>
      </c>
      <c r="M1173" s="18"/>
      <c r="N1173" s="18"/>
      <c r="O1173" s="17" t="s">
        <v>7318</v>
      </c>
      <c r="P1173" s="14" t="s">
        <v>7319</v>
      </c>
      <c r="Q1173" s="14" t="s">
        <v>7320</v>
      </c>
      <c r="R1173" s="14" t="s">
        <v>7321</v>
      </c>
      <c r="S1173" s="15"/>
      <c r="T1173" s="15"/>
      <c r="U1173" s="15"/>
      <c r="V1173" s="15"/>
    </row>
    <row r="1174" spans="1:22" x14ac:dyDescent="0.25">
      <c r="A1174" s="14" t="s">
        <v>141</v>
      </c>
      <c r="B1174" s="14" t="s">
        <v>7322</v>
      </c>
      <c r="C1174" s="14" t="s">
        <v>7323</v>
      </c>
      <c r="D1174" s="18"/>
      <c r="E1174" s="14">
        <v>2020</v>
      </c>
      <c r="F1174" s="18"/>
      <c r="G1174" s="18"/>
      <c r="H1174" s="14" t="s">
        <v>7324</v>
      </c>
      <c r="I1174" s="18"/>
      <c r="J1174" s="18"/>
      <c r="K1174" s="14" t="s">
        <v>7325</v>
      </c>
      <c r="L1174" s="20">
        <v>44013</v>
      </c>
      <c r="M1174" s="18"/>
      <c r="N1174" s="14" t="s">
        <v>7326</v>
      </c>
      <c r="O1174" s="17" t="s">
        <v>7327</v>
      </c>
      <c r="P1174" s="14" t="s">
        <v>7328</v>
      </c>
      <c r="Q1174" s="14" t="s">
        <v>7329</v>
      </c>
      <c r="R1174" s="14" t="s">
        <v>7330</v>
      </c>
      <c r="S1174" s="15"/>
      <c r="T1174" s="15"/>
      <c r="U1174" s="15"/>
      <c r="V1174" s="15"/>
    </row>
    <row r="1175" spans="1:22" x14ac:dyDescent="0.25">
      <c r="A1175" s="14" t="s">
        <v>141</v>
      </c>
      <c r="B1175" s="14" t="s">
        <v>7331</v>
      </c>
      <c r="C1175" s="14" t="s">
        <v>3813</v>
      </c>
      <c r="D1175" s="18"/>
      <c r="E1175" s="14">
        <v>2021</v>
      </c>
      <c r="F1175" s="18"/>
      <c r="G1175" s="18"/>
      <c r="H1175" s="14" t="s">
        <v>7332</v>
      </c>
      <c r="I1175" s="18"/>
      <c r="J1175" s="18"/>
      <c r="K1175" s="14" t="s">
        <v>7186</v>
      </c>
      <c r="L1175" s="16">
        <v>44470</v>
      </c>
      <c r="M1175" s="18"/>
      <c r="N1175" s="18"/>
      <c r="O1175" s="17" t="s">
        <v>7333</v>
      </c>
      <c r="P1175" s="14" t="s">
        <v>3816</v>
      </c>
      <c r="Q1175" s="14" t="s">
        <v>7334</v>
      </c>
      <c r="R1175" s="14" t="s">
        <v>7335</v>
      </c>
      <c r="S1175" s="15"/>
      <c r="T1175" s="15"/>
      <c r="U1175" s="15"/>
      <c r="V1175" s="15"/>
    </row>
    <row r="1176" spans="1:22" x14ac:dyDescent="0.25">
      <c r="A1176" s="14" t="s">
        <v>13</v>
      </c>
      <c r="B1176" s="14" t="s">
        <v>783</v>
      </c>
      <c r="C1176" s="14" t="s">
        <v>7336</v>
      </c>
      <c r="D1176" s="14" t="s">
        <v>255</v>
      </c>
      <c r="E1176" s="14">
        <v>2022</v>
      </c>
      <c r="F1176" s="14">
        <v>48</v>
      </c>
      <c r="G1176" s="14">
        <v>7</v>
      </c>
      <c r="H1176" s="14" t="s">
        <v>7337</v>
      </c>
      <c r="I1176" s="18"/>
      <c r="J1176" s="18"/>
      <c r="K1176" s="18"/>
      <c r="L1176" s="20">
        <v>44743</v>
      </c>
      <c r="M1176" s="18"/>
      <c r="N1176" s="14" t="s">
        <v>6115</v>
      </c>
      <c r="O1176" s="17" t="s">
        <v>7338</v>
      </c>
      <c r="P1176" s="14" t="s">
        <v>787</v>
      </c>
      <c r="Q1176" s="14" t="s">
        <v>7339</v>
      </c>
      <c r="R1176" s="14" t="s">
        <v>7340</v>
      </c>
      <c r="S1176" s="15"/>
      <c r="T1176" s="15"/>
      <c r="U1176" s="15"/>
      <c r="V1176" s="15"/>
    </row>
    <row r="1177" spans="1:22" x14ac:dyDescent="0.25">
      <c r="A1177" s="14" t="s">
        <v>13</v>
      </c>
      <c r="B1177" s="14" t="s">
        <v>1272</v>
      </c>
      <c r="C1177" s="14" t="s">
        <v>1273</v>
      </c>
      <c r="D1177" s="14" t="s">
        <v>255</v>
      </c>
      <c r="E1177" s="14">
        <v>2022</v>
      </c>
      <c r="F1177" s="14">
        <v>48</v>
      </c>
      <c r="G1177" s="14">
        <v>5</v>
      </c>
      <c r="H1177" s="14" t="s">
        <v>7341</v>
      </c>
      <c r="I1177" s="18"/>
      <c r="J1177" s="18"/>
      <c r="K1177" s="18"/>
      <c r="L1177" s="20">
        <v>44682</v>
      </c>
      <c r="M1177" s="18"/>
      <c r="N1177" s="14" t="s">
        <v>6115</v>
      </c>
      <c r="O1177" s="17" t="s">
        <v>7342</v>
      </c>
      <c r="P1177" s="14" t="s">
        <v>1276</v>
      </c>
      <c r="Q1177" s="14" t="s">
        <v>7343</v>
      </c>
      <c r="R1177" s="14" t="s">
        <v>7344</v>
      </c>
      <c r="S1177" s="15"/>
      <c r="T1177" s="15"/>
      <c r="U1177" s="15"/>
      <c r="V1177" s="15"/>
    </row>
    <row r="1178" spans="1:22" x14ac:dyDescent="0.25">
      <c r="A1178" s="14" t="s">
        <v>141</v>
      </c>
      <c r="B1178" s="14" t="s">
        <v>7345</v>
      </c>
      <c r="C1178" s="14" t="s">
        <v>7346</v>
      </c>
      <c r="D1178" s="18"/>
      <c r="E1178" s="14">
        <v>2016</v>
      </c>
      <c r="F1178" s="18"/>
      <c r="G1178" s="18"/>
      <c r="H1178" s="14" t="s">
        <v>7347</v>
      </c>
      <c r="I1178" s="18"/>
      <c r="J1178" s="18"/>
      <c r="K1178" s="14" t="s">
        <v>7348</v>
      </c>
      <c r="L1178" s="20">
        <v>42491</v>
      </c>
      <c r="M1178" s="18"/>
      <c r="N1178" s="18"/>
      <c r="O1178" s="18"/>
      <c r="P1178" s="18"/>
      <c r="Q1178" s="14" t="s">
        <v>7349</v>
      </c>
      <c r="R1178" s="14" t="s">
        <v>7350</v>
      </c>
      <c r="S1178" s="15"/>
      <c r="T1178" s="15"/>
      <c r="U1178" s="15"/>
      <c r="V1178" s="15"/>
    </row>
    <row r="1179" spans="1:22" x14ac:dyDescent="0.25">
      <c r="A1179" s="14" t="s">
        <v>141</v>
      </c>
      <c r="B1179" s="14" t="s">
        <v>7351</v>
      </c>
      <c r="C1179" s="14" t="s">
        <v>7352</v>
      </c>
      <c r="D1179" s="18"/>
      <c r="E1179" s="14">
        <v>2022</v>
      </c>
      <c r="F1179" s="18"/>
      <c r="G1179" s="18"/>
      <c r="H1179" s="14" t="s">
        <v>7353</v>
      </c>
      <c r="I1179" s="18"/>
      <c r="J1179" s="18"/>
      <c r="K1179" s="14" t="s">
        <v>7354</v>
      </c>
      <c r="L1179" s="16">
        <v>44835</v>
      </c>
      <c r="M1179" s="18"/>
      <c r="N1179" s="18"/>
      <c r="O1179" s="17" t="s">
        <v>7355</v>
      </c>
      <c r="P1179" s="14" t="s">
        <v>7356</v>
      </c>
      <c r="Q1179" s="14" t="s">
        <v>7357</v>
      </c>
      <c r="R1179" s="14" t="s">
        <v>7358</v>
      </c>
      <c r="S1179" s="15"/>
      <c r="T1179" s="15"/>
      <c r="U1179" s="15"/>
      <c r="V1179" s="15"/>
    </row>
    <row r="1180" spans="1:22" x14ac:dyDescent="0.25">
      <c r="A1180" s="14" t="s">
        <v>13</v>
      </c>
      <c r="B1180" s="14" t="s">
        <v>7359</v>
      </c>
      <c r="C1180" s="14" t="s">
        <v>7360</v>
      </c>
      <c r="D1180" s="14" t="s">
        <v>668</v>
      </c>
      <c r="E1180" s="14">
        <v>2021</v>
      </c>
      <c r="F1180" s="14">
        <v>9</v>
      </c>
      <c r="G1180" s="18"/>
      <c r="H1180" s="14" t="s">
        <v>7361</v>
      </c>
      <c r="I1180" s="18"/>
      <c r="J1180" s="18"/>
      <c r="K1180" s="18"/>
      <c r="L1180" s="14">
        <v>2021</v>
      </c>
      <c r="M1180" s="18"/>
      <c r="N1180" s="14" t="s">
        <v>670</v>
      </c>
      <c r="O1180" s="17" t="s">
        <v>7362</v>
      </c>
      <c r="P1180" s="14" t="s">
        <v>7363</v>
      </c>
      <c r="Q1180" s="14" t="s">
        <v>7364</v>
      </c>
      <c r="R1180" s="14" t="s">
        <v>7365</v>
      </c>
      <c r="S1180" s="15"/>
      <c r="T1180" s="15"/>
      <c r="U1180" s="15"/>
      <c r="V1180" s="15"/>
    </row>
    <row r="1181" spans="1:22" x14ac:dyDescent="0.25">
      <c r="A1181" s="14" t="s">
        <v>13</v>
      </c>
      <c r="B1181" s="14" t="s">
        <v>7366</v>
      </c>
      <c r="C1181" s="14" t="s">
        <v>7367</v>
      </c>
      <c r="D1181" s="14" t="s">
        <v>255</v>
      </c>
      <c r="E1181" s="14">
        <v>2021</v>
      </c>
      <c r="F1181" s="14">
        <v>47</v>
      </c>
      <c r="G1181" s="14">
        <v>5</v>
      </c>
      <c r="H1181" s="14" t="s">
        <v>7368</v>
      </c>
      <c r="I1181" s="18"/>
      <c r="J1181" s="18"/>
      <c r="K1181" s="18"/>
      <c r="L1181" s="20">
        <v>44317</v>
      </c>
      <c r="M1181" s="18"/>
      <c r="N1181" s="14" t="s">
        <v>6115</v>
      </c>
      <c r="O1181" s="17" t="s">
        <v>7369</v>
      </c>
      <c r="P1181" s="14" t="s">
        <v>7370</v>
      </c>
      <c r="Q1181" s="14" t="s">
        <v>7371</v>
      </c>
      <c r="R1181" s="14" t="s">
        <v>7372</v>
      </c>
      <c r="S1181" s="15"/>
      <c r="T1181" s="15"/>
      <c r="U1181" s="15"/>
      <c r="V1181" s="15"/>
    </row>
    <row r="1182" spans="1:22" x14ac:dyDescent="0.25">
      <c r="A1182" s="14" t="s">
        <v>141</v>
      </c>
      <c r="B1182" s="14" t="s">
        <v>7373</v>
      </c>
      <c r="C1182" s="14" t="s">
        <v>7374</v>
      </c>
      <c r="D1182" s="18"/>
      <c r="E1182" s="14">
        <v>2022</v>
      </c>
      <c r="F1182" s="18"/>
      <c r="G1182" s="18"/>
      <c r="H1182" s="14" t="s">
        <v>7375</v>
      </c>
      <c r="I1182" s="18"/>
      <c r="J1182" s="18"/>
      <c r="K1182" s="14" t="s">
        <v>6269</v>
      </c>
      <c r="L1182" s="20">
        <v>44682</v>
      </c>
      <c r="M1182" s="18"/>
      <c r="N1182" s="18"/>
      <c r="O1182" s="17" t="s">
        <v>7376</v>
      </c>
      <c r="P1182" s="14" t="s">
        <v>7377</v>
      </c>
      <c r="Q1182" s="14" t="s">
        <v>7378</v>
      </c>
      <c r="R1182" s="14" t="s">
        <v>7379</v>
      </c>
      <c r="S1182" s="15"/>
      <c r="T1182" s="15"/>
      <c r="U1182" s="15"/>
      <c r="V1182" s="15"/>
    </row>
    <row r="1183" spans="1:22" x14ac:dyDescent="0.25">
      <c r="A1183" s="14" t="s">
        <v>13</v>
      </c>
      <c r="B1183" s="14" t="s">
        <v>6122</v>
      </c>
      <c r="C1183" s="14" t="s">
        <v>7380</v>
      </c>
      <c r="D1183" s="14" t="s">
        <v>4637</v>
      </c>
      <c r="E1183" s="14">
        <v>2016</v>
      </c>
      <c r="F1183" s="14">
        <v>33</v>
      </c>
      <c r="G1183" s="14">
        <v>6</v>
      </c>
      <c r="H1183" s="14" t="s">
        <v>7381</v>
      </c>
      <c r="I1183" s="18"/>
      <c r="J1183" s="18"/>
      <c r="K1183" s="18"/>
      <c r="L1183" s="16">
        <v>42675</v>
      </c>
      <c r="M1183" s="18"/>
      <c r="N1183" s="14" t="s">
        <v>6207</v>
      </c>
      <c r="O1183" s="17" t="s">
        <v>7382</v>
      </c>
      <c r="P1183" s="14" t="s">
        <v>7383</v>
      </c>
      <c r="Q1183" s="14" t="s">
        <v>7384</v>
      </c>
      <c r="R1183" s="14" t="s">
        <v>7385</v>
      </c>
      <c r="S1183" s="15"/>
      <c r="T1183" s="15"/>
      <c r="U1183" s="15"/>
      <c r="V1183" s="15"/>
    </row>
    <row r="1184" spans="1:22" x14ac:dyDescent="0.25">
      <c r="A1184" s="14" t="s">
        <v>13</v>
      </c>
      <c r="B1184" s="14" t="s">
        <v>2792</v>
      </c>
      <c r="C1184" s="14" t="s">
        <v>2793</v>
      </c>
      <c r="D1184" s="14" t="s">
        <v>255</v>
      </c>
      <c r="E1184" s="14">
        <v>2021</v>
      </c>
      <c r="F1184" s="14">
        <v>47</v>
      </c>
      <c r="G1184" s="14">
        <v>4</v>
      </c>
      <c r="H1184" s="14" t="s">
        <v>7386</v>
      </c>
      <c r="I1184" s="18"/>
      <c r="J1184" s="18"/>
      <c r="K1184" s="18"/>
      <c r="L1184" s="20">
        <v>44287</v>
      </c>
      <c r="M1184" s="18"/>
      <c r="N1184" s="14" t="s">
        <v>6115</v>
      </c>
      <c r="O1184" s="17" t="s">
        <v>7387</v>
      </c>
      <c r="P1184" s="14" t="s">
        <v>2796</v>
      </c>
      <c r="Q1184" s="14" t="s">
        <v>7388</v>
      </c>
      <c r="R1184" s="14" t="s">
        <v>7389</v>
      </c>
      <c r="S1184" s="15"/>
      <c r="T1184" s="15"/>
      <c r="U1184" s="15"/>
      <c r="V1184" s="15"/>
    </row>
    <row r="1185" spans="1:22" x14ac:dyDescent="0.25">
      <c r="A1185" s="14" t="s">
        <v>141</v>
      </c>
      <c r="B1185" s="14" t="s">
        <v>7390</v>
      </c>
      <c r="C1185" s="14" t="s">
        <v>7391</v>
      </c>
      <c r="D1185" s="18"/>
      <c r="E1185" s="14">
        <v>2019</v>
      </c>
      <c r="F1185" s="18"/>
      <c r="G1185" s="18"/>
      <c r="H1185" s="14" t="s">
        <v>7392</v>
      </c>
      <c r="I1185" s="18"/>
      <c r="J1185" s="18"/>
      <c r="K1185" s="14" t="s">
        <v>7393</v>
      </c>
      <c r="L1185" s="20">
        <v>43586</v>
      </c>
      <c r="M1185" s="18"/>
      <c r="N1185" s="18"/>
      <c r="O1185" s="17" t="s">
        <v>7394</v>
      </c>
      <c r="P1185" s="14" t="s">
        <v>7395</v>
      </c>
      <c r="Q1185" s="14" t="s">
        <v>7396</v>
      </c>
      <c r="R1185" s="14" t="s">
        <v>7397</v>
      </c>
      <c r="S1185" s="15"/>
      <c r="T1185" s="15"/>
      <c r="U1185" s="15"/>
      <c r="V1185" s="15"/>
    </row>
    <row r="1186" spans="1:22" x14ac:dyDescent="0.25">
      <c r="A1186" s="14" t="s">
        <v>13</v>
      </c>
      <c r="B1186" s="14" t="s">
        <v>741</v>
      </c>
      <c r="C1186" s="14" t="s">
        <v>742</v>
      </c>
      <c r="D1186" s="14" t="s">
        <v>255</v>
      </c>
      <c r="E1186" s="14">
        <v>2022</v>
      </c>
      <c r="F1186" s="14">
        <v>48</v>
      </c>
      <c r="G1186" s="14">
        <v>3</v>
      </c>
      <c r="H1186" s="14" t="s">
        <v>7398</v>
      </c>
      <c r="I1186" s="18"/>
      <c r="J1186" s="18"/>
      <c r="K1186" s="18"/>
      <c r="L1186" s="20">
        <v>44621</v>
      </c>
      <c r="M1186" s="18"/>
      <c r="N1186" s="14" t="s">
        <v>6115</v>
      </c>
      <c r="O1186" s="17" t="s">
        <v>7399</v>
      </c>
      <c r="P1186" s="14" t="s">
        <v>745</v>
      </c>
      <c r="Q1186" s="14" t="s">
        <v>7400</v>
      </c>
      <c r="R1186" s="14" t="s">
        <v>7401</v>
      </c>
      <c r="S1186" s="15"/>
      <c r="T1186" s="15"/>
      <c r="U1186" s="15"/>
      <c r="V1186" s="15"/>
    </row>
    <row r="1187" spans="1:22" x14ac:dyDescent="0.25">
      <c r="A1187" s="14" t="s">
        <v>141</v>
      </c>
      <c r="B1187" s="14" t="s">
        <v>5667</v>
      </c>
      <c r="C1187" s="14" t="s">
        <v>5668</v>
      </c>
      <c r="D1187" s="18"/>
      <c r="E1187" s="14">
        <v>2018</v>
      </c>
      <c r="F1187" s="18"/>
      <c r="G1187" s="18"/>
      <c r="H1187" s="14" t="s">
        <v>7402</v>
      </c>
      <c r="I1187" s="18"/>
      <c r="J1187" s="18"/>
      <c r="K1187" s="14" t="s">
        <v>7403</v>
      </c>
      <c r="L1187" s="20">
        <v>43282</v>
      </c>
      <c r="M1187" s="18"/>
      <c r="N1187" s="18"/>
      <c r="O1187" s="17" t="s">
        <v>7404</v>
      </c>
      <c r="P1187" s="14" t="s">
        <v>5671</v>
      </c>
      <c r="Q1187" s="14" t="s">
        <v>7405</v>
      </c>
      <c r="R1187" s="14" t="s">
        <v>7406</v>
      </c>
      <c r="S1187" s="15"/>
      <c r="T1187" s="15"/>
      <c r="U1187" s="15"/>
      <c r="V1187" s="15"/>
    </row>
    <row r="1188" spans="1:22" x14ac:dyDescent="0.25">
      <c r="A1188" s="14" t="s">
        <v>13</v>
      </c>
      <c r="B1188" s="14" t="s">
        <v>2313</v>
      </c>
      <c r="C1188" s="14" t="s">
        <v>7407</v>
      </c>
      <c r="D1188" s="14" t="s">
        <v>532</v>
      </c>
      <c r="E1188" s="14">
        <v>2022</v>
      </c>
      <c r="F1188" s="14">
        <v>55</v>
      </c>
      <c r="G1188" s="14">
        <v>3</v>
      </c>
      <c r="H1188" s="14" t="s">
        <v>7408</v>
      </c>
      <c r="I1188" s="18"/>
      <c r="J1188" s="18"/>
      <c r="K1188" s="18"/>
      <c r="L1188" s="20">
        <v>44621</v>
      </c>
      <c r="M1188" s="18"/>
      <c r="N1188" s="14" t="s">
        <v>7409</v>
      </c>
      <c r="O1188" s="17" t="s">
        <v>7410</v>
      </c>
      <c r="P1188" s="14" t="s">
        <v>7411</v>
      </c>
      <c r="Q1188" s="14" t="s">
        <v>7412</v>
      </c>
      <c r="R1188" s="14" t="s">
        <v>7413</v>
      </c>
      <c r="S1188" s="15"/>
      <c r="T1188" s="15"/>
      <c r="U1188" s="15"/>
      <c r="V1188" s="15"/>
    </row>
    <row r="1189" spans="1:22" x14ac:dyDescent="0.25">
      <c r="A1189" s="14" t="s">
        <v>13</v>
      </c>
      <c r="B1189" s="14" t="s">
        <v>7414</v>
      </c>
      <c r="C1189" s="14" t="s">
        <v>7415</v>
      </c>
      <c r="D1189" s="14" t="s">
        <v>255</v>
      </c>
      <c r="E1189" s="14">
        <v>2023</v>
      </c>
      <c r="F1189" s="18"/>
      <c r="G1189" s="18"/>
      <c r="H1189" s="23">
        <v>44945</v>
      </c>
      <c r="I1189" s="18"/>
      <c r="J1189" s="18"/>
      <c r="K1189" s="18"/>
      <c r="L1189" s="14">
        <v>2023</v>
      </c>
      <c r="M1189" s="18"/>
      <c r="N1189" s="14" t="s">
        <v>6115</v>
      </c>
      <c r="O1189" s="17" t="s">
        <v>7416</v>
      </c>
      <c r="P1189" s="14" t="s">
        <v>7417</v>
      </c>
      <c r="Q1189" s="14" t="s">
        <v>7418</v>
      </c>
      <c r="R1189" s="14" t="s">
        <v>7419</v>
      </c>
      <c r="S1189" s="15"/>
      <c r="T1189" s="15"/>
      <c r="U1189" s="15"/>
      <c r="V1189" s="15"/>
    </row>
    <row r="1190" spans="1:22" x14ac:dyDescent="0.25">
      <c r="A1190" s="14" t="s">
        <v>141</v>
      </c>
      <c r="B1190" s="14" t="s">
        <v>7420</v>
      </c>
      <c r="C1190" s="14" t="s">
        <v>7421</v>
      </c>
      <c r="D1190" s="18"/>
      <c r="E1190" s="14">
        <v>2017</v>
      </c>
      <c r="F1190" s="18"/>
      <c r="G1190" s="18"/>
      <c r="H1190" s="23">
        <v>44995</v>
      </c>
      <c r="I1190" s="18"/>
      <c r="J1190" s="18"/>
      <c r="K1190" s="14" t="s">
        <v>7422</v>
      </c>
      <c r="L1190" s="20">
        <v>42826</v>
      </c>
      <c r="M1190" s="18"/>
      <c r="N1190" s="14" t="s">
        <v>7423</v>
      </c>
      <c r="O1190" s="17" t="s">
        <v>7424</v>
      </c>
      <c r="P1190" s="14" t="s">
        <v>7425</v>
      </c>
      <c r="Q1190" s="14" t="s">
        <v>7426</v>
      </c>
      <c r="R1190" s="14" t="s">
        <v>7427</v>
      </c>
      <c r="S1190" s="15"/>
      <c r="T1190" s="15"/>
      <c r="U1190" s="15"/>
      <c r="V1190" s="15"/>
    </row>
    <row r="1191" spans="1:22" x14ac:dyDescent="0.25">
      <c r="A1191" s="14" t="s">
        <v>141</v>
      </c>
      <c r="B1191" s="14" t="s">
        <v>4531</v>
      </c>
      <c r="C1191" s="14" t="s">
        <v>4532</v>
      </c>
      <c r="D1191" s="18"/>
      <c r="E1191" s="14">
        <v>2019</v>
      </c>
      <c r="F1191" s="18"/>
      <c r="G1191" s="18"/>
      <c r="H1191" s="14" t="s">
        <v>7428</v>
      </c>
      <c r="I1191" s="18"/>
      <c r="J1191" s="18"/>
      <c r="K1191" s="14" t="s">
        <v>7429</v>
      </c>
      <c r="L1191" s="20">
        <v>43709</v>
      </c>
      <c r="M1191" s="18"/>
      <c r="N1191" s="14" t="s">
        <v>6818</v>
      </c>
      <c r="O1191" s="17" t="s">
        <v>7430</v>
      </c>
      <c r="P1191" s="14" t="s">
        <v>4535</v>
      </c>
      <c r="Q1191" s="14" t="s">
        <v>7431</v>
      </c>
      <c r="R1191" s="14" t="s">
        <v>7432</v>
      </c>
      <c r="S1191" s="15"/>
      <c r="T1191" s="15"/>
      <c r="U1191" s="15"/>
      <c r="V1191" s="15"/>
    </row>
    <row r="1192" spans="1:22" x14ac:dyDescent="0.25">
      <c r="A1192" s="14" t="s">
        <v>141</v>
      </c>
      <c r="B1192" s="14" t="s">
        <v>7433</v>
      </c>
      <c r="C1192" s="14" t="s">
        <v>7434</v>
      </c>
      <c r="D1192" s="18"/>
      <c r="E1192" s="14">
        <v>2021</v>
      </c>
      <c r="F1192" s="14">
        <v>2</v>
      </c>
      <c r="G1192" s="18"/>
      <c r="H1192" s="14" t="s">
        <v>7435</v>
      </c>
      <c r="I1192" s="18"/>
      <c r="J1192" s="18"/>
      <c r="K1192" s="14" t="s">
        <v>7436</v>
      </c>
      <c r="L1192" s="20">
        <v>44440</v>
      </c>
      <c r="M1192" s="18"/>
      <c r="N1192" s="14" t="s">
        <v>7437</v>
      </c>
      <c r="O1192" s="17" t="s">
        <v>7438</v>
      </c>
      <c r="P1192" s="14" t="s">
        <v>7439</v>
      </c>
      <c r="Q1192" s="14" t="s">
        <v>7440</v>
      </c>
      <c r="R1192" s="14" t="s">
        <v>7441</v>
      </c>
      <c r="S1192" s="15"/>
      <c r="T1192" s="15"/>
      <c r="U1192" s="15"/>
      <c r="V1192" s="15"/>
    </row>
    <row r="1193" spans="1:22" x14ac:dyDescent="0.25">
      <c r="A1193" s="14" t="s">
        <v>141</v>
      </c>
      <c r="B1193" s="14" t="s">
        <v>7442</v>
      </c>
      <c r="C1193" s="14" t="s">
        <v>7443</v>
      </c>
      <c r="D1193" s="18"/>
      <c r="E1193" s="14">
        <v>2016</v>
      </c>
      <c r="F1193" s="18"/>
      <c r="G1193" s="18"/>
      <c r="H1193" s="23">
        <v>44934</v>
      </c>
      <c r="I1193" s="18"/>
      <c r="J1193" s="18"/>
      <c r="K1193" s="14" t="s">
        <v>7444</v>
      </c>
      <c r="L1193" s="16">
        <v>42644</v>
      </c>
      <c r="M1193" s="18"/>
      <c r="N1193" s="18"/>
      <c r="O1193" s="17" t="s">
        <v>7445</v>
      </c>
      <c r="P1193" s="14" t="s">
        <v>7446</v>
      </c>
      <c r="Q1193" s="14" t="s">
        <v>7447</v>
      </c>
      <c r="R1193" s="14" t="s">
        <v>7448</v>
      </c>
      <c r="S1193" s="15"/>
      <c r="T1193" s="15"/>
      <c r="U1193" s="15"/>
      <c r="V1193" s="15"/>
    </row>
    <row r="1194" spans="1:22" x14ac:dyDescent="0.25">
      <c r="A1194" s="14" t="s">
        <v>141</v>
      </c>
      <c r="B1194" s="14" t="s">
        <v>7449</v>
      </c>
      <c r="C1194" s="14" t="s">
        <v>7450</v>
      </c>
      <c r="D1194" s="18"/>
      <c r="E1194" s="14">
        <v>2017</v>
      </c>
      <c r="F1194" s="18"/>
      <c r="G1194" s="18"/>
      <c r="H1194" s="14" t="s">
        <v>7451</v>
      </c>
      <c r="I1194" s="18"/>
      <c r="J1194" s="18"/>
      <c r="K1194" s="14" t="s">
        <v>7452</v>
      </c>
      <c r="L1194" s="20">
        <v>42826</v>
      </c>
      <c r="M1194" s="18"/>
      <c r="N1194" s="18"/>
      <c r="O1194" s="17" t="s">
        <v>7453</v>
      </c>
      <c r="P1194" s="14" t="s">
        <v>7454</v>
      </c>
      <c r="Q1194" s="14" t="s">
        <v>7455</v>
      </c>
      <c r="R1194" s="14" t="s">
        <v>7456</v>
      </c>
      <c r="S1194" s="15"/>
      <c r="T1194" s="15"/>
      <c r="U1194" s="15"/>
      <c r="V1194" s="15"/>
    </row>
    <row r="1195" spans="1:22" x14ac:dyDescent="0.25">
      <c r="A1195" s="14" t="s">
        <v>13</v>
      </c>
      <c r="B1195" s="14" t="s">
        <v>1371</v>
      </c>
      <c r="C1195" s="14" t="s">
        <v>1372</v>
      </c>
      <c r="D1195" s="14" t="s">
        <v>1373</v>
      </c>
      <c r="E1195" s="14">
        <v>2022</v>
      </c>
      <c r="F1195" s="14">
        <v>8</v>
      </c>
      <c r="G1195" s="14">
        <v>1</v>
      </c>
      <c r="H1195" s="14" t="s">
        <v>7457</v>
      </c>
      <c r="I1195" s="18"/>
      <c r="J1195" s="18"/>
      <c r="K1195" s="18"/>
      <c r="L1195" s="20">
        <v>44593</v>
      </c>
      <c r="M1195" s="18"/>
      <c r="N1195" s="14" t="s">
        <v>1375</v>
      </c>
      <c r="O1195" s="17" t="s">
        <v>7458</v>
      </c>
      <c r="P1195" s="14" t="s">
        <v>1377</v>
      </c>
      <c r="Q1195" s="14" t="s">
        <v>7459</v>
      </c>
      <c r="R1195" s="14" t="s">
        <v>7460</v>
      </c>
      <c r="S1195" s="15"/>
      <c r="T1195" s="15"/>
      <c r="U1195" s="15"/>
      <c r="V1195" s="15"/>
    </row>
    <row r="1196" spans="1:22" x14ac:dyDescent="0.25">
      <c r="A1196" s="14" t="s">
        <v>141</v>
      </c>
      <c r="B1196" s="14" t="s">
        <v>7461</v>
      </c>
      <c r="C1196" s="14" t="s">
        <v>7462</v>
      </c>
      <c r="D1196" s="18"/>
      <c r="E1196" s="14">
        <v>2020</v>
      </c>
      <c r="F1196" s="18"/>
      <c r="G1196" s="18"/>
      <c r="H1196" s="14" t="s">
        <v>7463</v>
      </c>
      <c r="I1196" s="18"/>
      <c r="J1196" s="18"/>
      <c r="K1196" s="14" t="s">
        <v>7464</v>
      </c>
      <c r="L1196" s="16">
        <v>44105</v>
      </c>
      <c r="M1196" s="18"/>
      <c r="N1196" s="18"/>
      <c r="O1196" s="17" t="s">
        <v>7465</v>
      </c>
      <c r="P1196" s="14" t="s">
        <v>7466</v>
      </c>
      <c r="Q1196" s="14" t="s">
        <v>7467</v>
      </c>
      <c r="R1196" s="14" t="s">
        <v>7468</v>
      </c>
      <c r="S1196" s="15"/>
      <c r="T1196" s="15"/>
      <c r="U1196" s="15"/>
      <c r="V1196" s="15"/>
    </row>
    <row r="1197" spans="1:22" x14ac:dyDescent="0.25">
      <c r="A1197" s="14" t="s">
        <v>141</v>
      </c>
      <c r="B1197" s="14" t="s">
        <v>7469</v>
      </c>
      <c r="C1197" s="14" t="s">
        <v>7470</v>
      </c>
      <c r="D1197" s="18"/>
      <c r="E1197" s="14">
        <v>2019</v>
      </c>
      <c r="F1197" s="18"/>
      <c r="G1197" s="18"/>
      <c r="H1197" s="14" t="s">
        <v>7471</v>
      </c>
      <c r="I1197" s="18"/>
      <c r="J1197" s="18"/>
      <c r="K1197" s="14" t="s">
        <v>7472</v>
      </c>
      <c r="L1197" s="20">
        <v>43586</v>
      </c>
      <c r="M1197" s="18"/>
      <c r="N1197" s="18"/>
      <c r="O1197" s="17" t="s">
        <v>7473</v>
      </c>
      <c r="P1197" s="14" t="s">
        <v>4558</v>
      </c>
      <c r="Q1197" s="14" t="s">
        <v>7474</v>
      </c>
      <c r="R1197" s="14" t="s">
        <v>7475</v>
      </c>
      <c r="S1197" s="15"/>
      <c r="T1197" s="15"/>
      <c r="U1197" s="15"/>
      <c r="V1197" s="15"/>
    </row>
    <row r="1198" spans="1:22" x14ac:dyDescent="0.25">
      <c r="A1198" s="14" t="s">
        <v>141</v>
      </c>
      <c r="B1198" s="14" t="s">
        <v>7476</v>
      </c>
      <c r="C1198" s="14" t="s">
        <v>7477</v>
      </c>
      <c r="D1198" s="18"/>
      <c r="E1198" s="14">
        <v>2022</v>
      </c>
      <c r="F1198" s="18"/>
      <c r="G1198" s="18"/>
      <c r="H1198" s="23">
        <v>44933</v>
      </c>
      <c r="I1198" s="18"/>
      <c r="J1198" s="18"/>
      <c r="K1198" s="14" t="s">
        <v>7478</v>
      </c>
      <c r="L1198" s="20">
        <v>44621</v>
      </c>
      <c r="M1198" s="18"/>
      <c r="N1198" s="14" t="s">
        <v>2902</v>
      </c>
      <c r="O1198" s="17" t="s">
        <v>7479</v>
      </c>
      <c r="P1198" s="14" t="s">
        <v>7480</v>
      </c>
      <c r="Q1198" s="14" t="s">
        <v>7481</v>
      </c>
      <c r="R1198" s="14" t="s">
        <v>7482</v>
      </c>
      <c r="S1198" s="15"/>
      <c r="T1198" s="15"/>
      <c r="U1198" s="15"/>
      <c r="V1198" s="15"/>
    </row>
    <row r="1199" spans="1:22" x14ac:dyDescent="0.25">
      <c r="A1199" s="14" t="s">
        <v>13</v>
      </c>
      <c r="B1199" s="14" t="s">
        <v>7483</v>
      </c>
      <c r="C1199" s="14" t="s">
        <v>7484</v>
      </c>
      <c r="D1199" s="14" t="s">
        <v>668</v>
      </c>
      <c r="E1199" s="14">
        <v>2020</v>
      </c>
      <c r="F1199" s="14">
        <v>8</v>
      </c>
      <c r="G1199" s="18"/>
      <c r="H1199" s="14" t="s">
        <v>7485</v>
      </c>
      <c r="I1199" s="18"/>
      <c r="J1199" s="18"/>
      <c r="K1199" s="18"/>
      <c r="L1199" s="14">
        <v>2020</v>
      </c>
      <c r="M1199" s="18"/>
      <c r="N1199" s="14" t="s">
        <v>670</v>
      </c>
      <c r="O1199" s="17" t="s">
        <v>7486</v>
      </c>
      <c r="P1199" s="14" t="s">
        <v>7487</v>
      </c>
      <c r="Q1199" s="14" t="s">
        <v>7488</v>
      </c>
      <c r="R1199" s="14" t="s">
        <v>7489</v>
      </c>
      <c r="S1199" s="15"/>
      <c r="T1199" s="15"/>
      <c r="U1199" s="15"/>
      <c r="V1199" s="15"/>
    </row>
    <row r="1200" spans="1:22" x14ac:dyDescent="0.25">
      <c r="A1200" s="14" t="s">
        <v>141</v>
      </c>
      <c r="B1200" s="14" t="s">
        <v>7490</v>
      </c>
      <c r="C1200" s="14" t="s">
        <v>7491</v>
      </c>
      <c r="D1200" s="18"/>
      <c r="E1200" s="14">
        <v>2022</v>
      </c>
      <c r="F1200" s="18"/>
      <c r="G1200" s="18"/>
      <c r="H1200" s="14" t="s">
        <v>7492</v>
      </c>
      <c r="I1200" s="18"/>
      <c r="J1200" s="18"/>
      <c r="K1200" s="14" t="s">
        <v>7493</v>
      </c>
      <c r="L1200" s="16">
        <v>44835</v>
      </c>
      <c r="M1200" s="18"/>
      <c r="N1200" s="18"/>
      <c r="O1200" s="17" t="s">
        <v>7494</v>
      </c>
      <c r="P1200" s="14" t="s">
        <v>7495</v>
      </c>
      <c r="Q1200" s="14" t="s">
        <v>7496</v>
      </c>
      <c r="R1200" s="14" t="s">
        <v>7497</v>
      </c>
      <c r="S1200" s="15"/>
      <c r="T1200" s="15"/>
      <c r="U1200" s="15"/>
      <c r="V1200" s="15"/>
    </row>
    <row r="1201" spans="1:22" x14ac:dyDescent="0.25">
      <c r="A1201" s="14" t="s">
        <v>141</v>
      </c>
      <c r="B1201" s="14" t="s">
        <v>5737</v>
      </c>
      <c r="C1201" s="14" t="s">
        <v>7498</v>
      </c>
      <c r="D1201" s="18"/>
      <c r="E1201" s="14">
        <v>2018</v>
      </c>
      <c r="F1201" s="18"/>
      <c r="G1201" s="18"/>
      <c r="H1201" s="14" t="s">
        <v>7499</v>
      </c>
      <c r="I1201" s="18"/>
      <c r="J1201" s="18"/>
      <c r="K1201" s="14" t="s">
        <v>6151</v>
      </c>
      <c r="L1201" s="20">
        <v>43221</v>
      </c>
      <c r="M1201" s="18"/>
      <c r="N1201" s="14" t="s">
        <v>6152</v>
      </c>
      <c r="O1201" s="18"/>
      <c r="P1201" s="18"/>
      <c r="Q1201" s="14" t="s">
        <v>7500</v>
      </c>
      <c r="R1201" s="14" t="s">
        <v>7501</v>
      </c>
      <c r="S1201" s="15"/>
      <c r="T1201" s="15"/>
      <c r="U1201" s="15"/>
      <c r="V1201" s="15"/>
    </row>
    <row r="1202" spans="1:22" x14ac:dyDescent="0.25">
      <c r="A1202" s="14" t="s">
        <v>141</v>
      </c>
      <c r="B1202" s="14" t="s">
        <v>6219</v>
      </c>
      <c r="C1202" s="14" t="s">
        <v>7502</v>
      </c>
      <c r="D1202" s="18"/>
      <c r="E1202" s="14">
        <v>2017</v>
      </c>
      <c r="F1202" s="18"/>
      <c r="G1202" s="18"/>
      <c r="H1202" s="23">
        <v>44934</v>
      </c>
      <c r="I1202" s="18"/>
      <c r="J1202" s="18"/>
      <c r="K1202" s="14" t="s">
        <v>7503</v>
      </c>
      <c r="L1202" s="20">
        <v>42979</v>
      </c>
      <c r="M1202" s="18"/>
      <c r="N1202" s="18"/>
      <c r="O1202" s="17" t="s">
        <v>7504</v>
      </c>
      <c r="P1202" s="14" t="s">
        <v>7505</v>
      </c>
      <c r="Q1202" s="14" t="s">
        <v>7506</v>
      </c>
      <c r="R1202" s="14" t="s">
        <v>7507</v>
      </c>
      <c r="S1202" s="15"/>
      <c r="T1202" s="15"/>
      <c r="U1202" s="15"/>
      <c r="V1202" s="15"/>
    </row>
    <row r="1203" spans="1:22" x14ac:dyDescent="0.25">
      <c r="A1203" s="14" t="s">
        <v>141</v>
      </c>
      <c r="B1203" s="14" t="s">
        <v>7508</v>
      </c>
      <c r="C1203" s="14" t="s">
        <v>7509</v>
      </c>
      <c r="D1203" s="18"/>
      <c r="E1203" s="14">
        <v>2021</v>
      </c>
      <c r="F1203" s="18"/>
      <c r="G1203" s="18"/>
      <c r="H1203" s="14" t="s">
        <v>7510</v>
      </c>
      <c r="I1203" s="18"/>
      <c r="J1203" s="18"/>
      <c r="K1203" s="14" t="s">
        <v>6179</v>
      </c>
      <c r="L1203" s="20">
        <v>44440</v>
      </c>
      <c r="M1203" s="18"/>
      <c r="N1203" s="18"/>
      <c r="O1203" s="17" t="s">
        <v>7511</v>
      </c>
      <c r="P1203" s="14" t="s">
        <v>7512</v>
      </c>
      <c r="Q1203" s="14" t="s">
        <v>7513</v>
      </c>
      <c r="R1203" s="14" t="s">
        <v>7514</v>
      </c>
      <c r="S1203" s="15"/>
      <c r="T1203" s="15"/>
      <c r="U1203" s="15"/>
      <c r="V1203" s="15"/>
    </row>
    <row r="1204" spans="1:22" x14ac:dyDescent="0.25">
      <c r="A1204" s="14" t="s">
        <v>13</v>
      </c>
      <c r="B1204" s="14" t="s">
        <v>7515</v>
      </c>
      <c r="C1204" s="14" t="s">
        <v>7516</v>
      </c>
      <c r="D1204" s="14" t="s">
        <v>255</v>
      </c>
      <c r="E1204" s="14">
        <v>2022</v>
      </c>
      <c r="F1204" s="18"/>
      <c r="G1204" s="18"/>
      <c r="H1204" s="23">
        <v>44946</v>
      </c>
      <c r="I1204" s="18"/>
      <c r="J1204" s="18"/>
      <c r="K1204" s="18"/>
      <c r="L1204" s="14">
        <v>2022</v>
      </c>
      <c r="M1204" s="18"/>
      <c r="N1204" s="14" t="s">
        <v>6115</v>
      </c>
      <c r="O1204" s="17" t="s">
        <v>7517</v>
      </c>
      <c r="P1204" s="14" t="s">
        <v>7518</v>
      </c>
      <c r="Q1204" s="14" t="s">
        <v>7519</v>
      </c>
      <c r="R1204" s="14" t="s">
        <v>7520</v>
      </c>
      <c r="S1204" s="15"/>
      <c r="T1204" s="15"/>
      <c r="U1204" s="15"/>
      <c r="V1204" s="15"/>
    </row>
    <row r="1205" spans="1:22" x14ac:dyDescent="0.25">
      <c r="A1205" s="14" t="s">
        <v>141</v>
      </c>
      <c r="B1205" s="14" t="s">
        <v>7521</v>
      </c>
      <c r="C1205" s="14" t="s">
        <v>7522</v>
      </c>
      <c r="D1205" s="18"/>
      <c r="E1205" s="14">
        <v>2021</v>
      </c>
      <c r="F1205" s="18"/>
      <c r="G1205" s="18"/>
      <c r="H1205" s="14" t="s">
        <v>7523</v>
      </c>
      <c r="I1205" s="18"/>
      <c r="J1205" s="18"/>
      <c r="K1205" s="14" t="s">
        <v>6335</v>
      </c>
      <c r="L1205" s="20">
        <v>44317</v>
      </c>
      <c r="M1205" s="18"/>
      <c r="N1205" s="14" t="s">
        <v>6336</v>
      </c>
      <c r="O1205" s="17" t="s">
        <v>7524</v>
      </c>
      <c r="P1205" s="14" t="s">
        <v>7525</v>
      </c>
      <c r="Q1205" s="14" t="s">
        <v>7526</v>
      </c>
      <c r="R1205" s="14" t="s">
        <v>7527</v>
      </c>
      <c r="S1205" s="15"/>
      <c r="T1205" s="15"/>
      <c r="U1205" s="15"/>
      <c r="V1205" s="15"/>
    </row>
    <row r="1206" spans="1:22" x14ac:dyDescent="0.25">
      <c r="A1206" s="14" t="s">
        <v>13</v>
      </c>
      <c r="B1206" s="14" t="s">
        <v>7528</v>
      </c>
      <c r="C1206" s="14" t="s">
        <v>7529</v>
      </c>
      <c r="D1206" s="14" t="s">
        <v>255</v>
      </c>
      <c r="E1206" s="14">
        <v>2021</v>
      </c>
      <c r="F1206" s="14">
        <v>47</v>
      </c>
      <c r="G1206" s="14">
        <v>7</v>
      </c>
      <c r="H1206" s="14" t="s">
        <v>7530</v>
      </c>
      <c r="I1206" s="18"/>
      <c r="J1206" s="18"/>
      <c r="K1206" s="18"/>
      <c r="L1206" s="20">
        <v>44378</v>
      </c>
      <c r="M1206" s="18"/>
      <c r="N1206" s="14" t="s">
        <v>6115</v>
      </c>
      <c r="O1206" s="17" t="s">
        <v>7531</v>
      </c>
      <c r="P1206" s="14" t="s">
        <v>7532</v>
      </c>
      <c r="Q1206" s="14" t="s">
        <v>7533</v>
      </c>
      <c r="R1206" s="14" t="s">
        <v>7534</v>
      </c>
      <c r="S1206" s="15"/>
      <c r="T1206" s="15"/>
      <c r="U1206" s="15"/>
      <c r="V1206" s="15"/>
    </row>
    <row r="1207" spans="1:22" x14ac:dyDescent="0.25">
      <c r="A1207" s="14" t="s">
        <v>13</v>
      </c>
      <c r="B1207" s="14" t="s">
        <v>7535</v>
      </c>
      <c r="C1207" s="14" t="s">
        <v>7536</v>
      </c>
      <c r="D1207" s="14" t="s">
        <v>255</v>
      </c>
      <c r="E1207" s="14">
        <v>2022</v>
      </c>
      <c r="F1207" s="14">
        <v>48</v>
      </c>
      <c r="G1207" s="14">
        <v>10</v>
      </c>
      <c r="H1207" s="14" t="s">
        <v>7537</v>
      </c>
      <c r="I1207" s="18"/>
      <c r="J1207" s="18"/>
      <c r="K1207" s="18"/>
      <c r="L1207" s="16">
        <v>44835</v>
      </c>
      <c r="M1207" s="18"/>
      <c r="N1207" s="14" t="s">
        <v>6115</v>
      </c>
      <c r="O1207" s="17" t="s">
        <v>7538</v>
      </c>
      <c r="P1207" s="14" t="s">
        <v>7539</v>
      </c>
      <c r="Q1207" s="14" t="s">
        <v>7540</v>
      </c>
      <c r="R1207" s="14" t="s">
        <v>7541</v>
      </c>
      <c r="S1207" s="15"/>
      <c r="T1207" s="15"/>
      <c r="U1207" s="15"/>
      <c r="V1207" s="15"/>
    </row>
    <row r="1208" spans="1:22" x14ac:dyDescent="0.25">
      <c r="A1208" s="14" t="s">
        <v>141</v>
      </c>
      <c r="B1208" s="14" t="s">
        <v>4481</v>
      </c>
      <c r="C1208" s="14" t="s">
        <v>4482</v>
      </c>
      <c r="D1208" s="18"/>
      <c r="E1208" s="14">
        <v>2019</v>
      </c>
      <c r="F1208" s="18"/>
      <c r="G1208" s="18"/>
      <c r="H1208" s="14" t="s">
        <v>7542</v>
      </c>
      <c r="I1208" s="18"/>
      <c r="J1208" s="18"/>
      <c r="K1208" s="14" t="s">
        <v>6960</v>
      </c>
      <c r="L1208" s="20">
        <v>43525</v>
      </c>
      <c r="M1208" s="18"/>
      <c r="N1208" s="18"/>
      <c r="O1208" s="17" t="s">
        <v>7543</v>
      </c>
      <c r="P1208" s="14" t="s">
        <v>4485</v>
      </c>
      <c r="Q1208" s="14" t="s">
        <v>7544</v>
      </c>
      <c r="R1208" s="14" t="s">
        <v>7545</v>
      </c>
      <c r="S1208" s="15"/>
      <c r="T1208" s="15"/>
      <c r="U1208" s="15"/>
      <c r="V1208" s="15"/>
    </row>
    <row r="1209" spans="1:22" x14ac:dyDescent="0.25">
      <c r="A1209" s="14" t="s">
        <v>141</v>
      </c>
      <c r="B1209" s="14" t="s">
        <v>7546</v>
      </c>
      <c r="C1209" s="14" t="s">
        <v>7547</v>
      </c>
      <c r="D1209" s="18"/>
      <c r="E1209" s="14">
        <v>2017</v>
      </c>
      <c r="F1209" s="18"/>
      <c r="G1209" s="18"/>
      <c r="H1209" s="14" t="s">
        <v>7548</v>
      </c>
      <c r="I1209" s="18"/>
      <c r="J1209" s="18"/>
      <c r="K1209" s="14" t="s">
        <v>7549</v>
      </c>
      <c r="L1209" s="16">
        <v>43040</v>
      </c>
      <c r="M1209" s="18"/>
      <c r="N1209" s="14" t="s">
        <v>7550</v>
      </c>
      <c r="O1209" s="17" t="s">
        <v>7551</v>
      </c>
      <c r="P1209" s="14" t="s">
        <v>7552</v>
      </c>
      <c r="Q1209" s="14" t="s">
        <v>7553</v>
      </c>
      <c r="R1209" s="14" t="s">
        <v>7554</v>
      </c>
      <c r="S1209" s="15"/>
      <c r="T1209" s="15"/>
      <c r="U1209" s="15"/>
      <c r="V1209" s="15"/>
    </row>
    <row r="1210" spans="1:22" x14ac:dyDescent="0.25">
      <c r="A1210" s="14" t="s">
        <v>141</v>
      </c>
      <c r="B1210" s="14" t="s">
        <v>7555</v>
      </c>
      <c r="C1210" s="14" t="s">
        <v>7556</v>
      </c>
      <c r="D1210" s="18"/>
      <c r="E1210" s="14">
        <v>2022</v>
      </c>
      <c r="F1210" s="18"/>
      <c r="G1210" s="18"/>
      <c r="H1210" s="14" t="s">
        <v>7557</v>
      </c>
      <c r="I1210" s="18"/>
      <c r="J1210" s="18"/>
      <c r="K1210" s="14" t="s">
        <v>7558</v>
      </c>
      <c r="L1210" s="16">
        <v>44835</v>
      </c>
      <c r="M1210" s="18"/>
      <c r="N1210" s="14" t="s">
        <v>6449</v>
      </c>
      <c r="O1210" s="17" t="s">
        <v>7559</v>
      </c>
      <c r="P1210" s="14" t="s">
        <v>7560</v>
      </c>
      <c r="Q1210" s="14" t="s">
        <v>7561</v>
      </c>
      <c r="R1210" s="14" t="s">
        <v>7562</v>
      </c>
      <c r="S1210" s="15"/>
      <c r="T1210" s="15"/>
      <c r="U1210" s="15"/>
      <c r="V1210" s="15"/>
    </row>
    <row r="1211" spans="1:22" x14ac:dyDescent="0.25">
      <c r="A1211" s="14" t="s">
        <v>13</v>
      </c>
      <c r="B1211" s="14" t="s">
        <v>7563</v>
      </c>
      <c r="C1211" s="14" t="s">
        <v>7564</v>
      </c>
      <c r="D1211" s="14" t="s">
        <v>4637</v>
      </c>
      <c r="E1211" s="14">
        <v>2021</v>
      </c>
      <c r="F1211" s="14">
        <v>38</v>
      </c>
      <c r="G1211" s="14">
        <v>4</v>
      </c>
      <c r="H1211" s="23">
        <v>45122</v>
      </c>
      <c r="I1211" s="18"/>
      <c r="J1211" s="18"/>
      <c r="K1211" s="18"/>
      <c r="L1211" s="20">
        <v>44378</v>
      </c>
      <c r="M1211" s="18"/>
      <c r="N1211" s="14" t="s">
        <v>6207</v>
      </c>
      <c r="O1211" s="17" t="s">
        <v>7565</v>
      </c>
      <c r="P1211" s="14" t="s">
        <v>7566</v>
      </c>
      <c r="Q1211" s="14" t="s">
        <v>7567</v>
      </c>
      <c r="R1211" s="14" t="s">
        <v>7568</v>
      </c>
      <c r="S1211" s="15"/>
      <c r="T1211" s="15"/>
      <c r="U1211" s="15"/>
      <c r="V1211" s="15"/>
    </row>
    <row r="1212" spans="1:22" x14ac:dyDescent="0.25">
      <c r="A1212" s="14" t="s">
        <v>13</v>
      </c>
      <c r="B1212" s="14" t="s">
        <v>7569</v>
      </c>
      <c r="C1212" s="14" t="s">
        <v>7570</v>
      </c>
      <c r="D1212" s="14" t="s">
        <v>255</v>
      </c>
      <c r="E1212" s="14">
        <v>2021</v>
      </c>
      <c r="F1212" s="14">
        <v>47</v>
      </c>
      <c r="G1212" s="14">
        <v>5</v>
      </c>
      <c r="H1212" s="14" t="s">
        <v>7571</v>
      </c>
      <c r="I1212" s="18"/>
      <c r="J1212" s="18"/>
      <c r="K1212" s="18"/>
      <c r="L1212" s="20">
        <v>44317</v>
      </c>
      <c r="M1212" s="18"/>
      <c r="N1212" s="14" t="s">
        <v>6115</v>
      </c>
      <c r="O1212" s="17" t="s">
        <v>7572</v>
      </c>
      <c r="P1212" s="14" t="s">
        <v>7573</v>
      </c>
      <c r="Q1212" s="14" t="s">
        <v>7574</v>
      </c>
      <c r="R1212" s="14" t="s">
        <v>7575</v>
      </c>
      <c r="S1212" s="15"/>
      <c r="T1212" s="15"/>
      <c r="U1212" s="15"/>
      <c r="V1212" s="15"/>
    </row>
    <row r="1213" spans="1:22" x14ac:dyDescent="0.25">
      <c r="A1213" s="14" t="s">
        <v>141</v>
      </c>
      <c r="B1213" s="14" t="s">
        <v>7576</v>
      </c>
      <c r="C1213" s="14" t="s">
        <v>7577</v>
      </c>
      <c r="D1213" s="18"/>
      <c r="E1213" s="14">
        <v>2022</v>
      </c>
      <c r="F1213" s="18"/>
      <c r="G1213" s="18"/>
      <c r="H1213" s="23">
        <v>44935</v>
      </c>
      <c r="I1213" s="18"/>
      <c r="J1213" s="18"/>
      <c r="K1213" s="14" t="s">
        <v>6269</v>
      </c>
      <c r="L1213" s="20">
        <v>44682</v>
      </c>
      <c r="M1213" s="18"/>
      <c r="N1213" s="18"/>
      <c r="O1213" s="17" t="s">
        <v>7578</v>
      </c>
      <c r="P1213" s="14" t="s">
        <v>7579</v>
      </c>
      <c r="Q1213" s="14" t="s">
        <v>7580</v>
      </c>
      <c r="R1213" s="14" t="s">
        <v>7581</v>
      </c>
      <c r="S1213" s="15"/>
      <c r="T1213" s="15"/>
      <c r="U1213" s="15"/>
      <c r="V1213" s="15"/>
    </row>
    <row r="1214" spans="1:22" x14ac:dyDescent="0.25">
      <c r="A1214" s="14" t="s">
        <v>141</v>
      </c>
      <c r="B1214" s="14" t="s">
        <v>5829</v>
      </c>
      <c r="C1214" s="14" t="s">
        <v>5830</v>
      </c>
      <c r="D1214" s="18"/>
      <c r="E1214" s="14">
        <v>2017</v>
      </c>
      <c r="F1214" s="18"/>
      <c r="G1214" s="18"/>
      <c r="H1214" s="14" t="s">
        <v>7582</v>
      </c>
      <c r="I1214" s="18"/>
      <c r="J1214" s="18"/>
      <c r="K1214" s="14" t="s">
        <v>7154</v>
      </c>
      <c r="L1214" s="16">
        <v>43040</v>
      </c>
      <c r="M1214" s="18"/>
      <c r="N1214" s="18"/>
      <c r="O1214" s="17" t="s">
        <v>7583</v>
      </c>
      <c r="P1214" s="14" t="s">
        <v>5833</v>
      </c>
      <c r="Q1214" s="14" t="s">
        <v>7584</v>
      </c>
      <c r="R1214" s="14" t="s">
        <v>7585</v>
      </c>
      <c r="S1214" s="15"/>
      <c r="T1214" s="15"/>
      <c r="U1214" s="15"/>
      <c r="V1214" s="15"/>
    </row>
    <row r="1215" spans="1:22" x14ac:dyDescent="0.25">
      <c r="A1215" s="14" t="s">
        <v>141</v>
      </c>
      <c r="B1215" s="14" t="s">
        <v>7586</v>
      </c>
      <c r="C1215" s="14" t="s">
        <v>7587</v>
      </c>
      <c r="D1215" s="18"/>
      <c r="E1215" s="14">
        <v>2022</v>
      </c>
      <c r="F1215" s="18"/>
      <c r="G1215" s="18"/>
      <c r="H1215" s="14" t="s">
        <v>7588</v>
      </c>
      <c r="I1215" s="18"/>
      <c r="J1215" s="18"/>
      <c r="K1215" s="14" t="s">
        <v>7589</v>
      </c>
      <c r="L1215" s="16">
        <v>44835</v>
      </c>
      <c r="M1215" s="18"/>
      <c r="N1215" s="14" t="s">
        <v>7590</v>
      </c>
      <c r="O1215" s="17" t="s">
        <v>7591</v>
      </c>
      <c r="P1215" s="14" t="s">
        <v>7592</v>
      </c>
      <c r="Q1215" s="14" t="s">
        <v>7593</v>
      </c>
      <c r="R1215" s="14" t="s">
        <v>7594</v>
      </c>
      <c r="S1215" s="15"/>
      <c r="T1215" s="15"/>
      <c r="U1215" s="15"/>
      <c r="V1215" s="15"/>
    </row>
    <row r="1216" spans="1:22" x14ac:dyDescent="0.25">
      <c r="A1216" s="14" t="s">
        <v>13</v>
      </c>
      <c r="B1216" s="14" t="s">
        <v>7595</v>
      </c>
      <c r="C1216" s="14" t="s">
        <v>7596</v>
      </c>
      <c r="D1216" s="14" t="s">
        <v>255</v>
      </c>
      <c r="E1216" s="14">
        <v>2022</v>
      </c>
      <c r="F1216" s="18"/>
      <c r="G1216" s="18"/>
      <c r="H1216" s="23">
        <v>44950</v>
      </c>
      <c r="I1216" s="18"/>
      <c r="J1216" s="18"/>
      <c r="K1216" s="18"/>
      <c r="L1216" s="14">
        <v>2022</v>
      </c>
      <c r="M1216" s="18"/>
      <c r="N1216" s="14" t="s">
        <v>6115</v>
      </c>
      <c r="O1216" s="17" t="s">
        <v>7597</v>
      </c>
      <c r="P1216" s="14" t="s">
        <v>7598</v>
      </c>
      <c r="Q1216" s="14" t="s">
        <v>7599</v>
      </c>
      <c r="R1216" s="14" t="s">
        <v>7600</v>
      </c>
      <c r="S1216" s="15"/>
      <c r="T1216" s="15"/>
      <c r="U1216" s="15"/>
      <c r="V1216" s="15"/>
    </row>
    <row r="1217" spans="1:22" x14ac:dyDescent="0.25">
      <c r="A1217" s="14" t="s">
        <v>141</v>
      </c>
      <c r="B1217" s="14" t="s">
        <v>7601</v>
      </c>
      <c r="C1217" s="14" t="s">
        <v>7602</v>
      </c>
      <c r="D1217" s="18"/>
      <c r="E1217" s="14">
        <v>2021</v>
      </c>
      <c r="F1217" s="18"/>
      <c r="G1217" s="18"/>
      <c r="H1217" s="14" t="s">
        <v>7603</v>
      </c>
      <c r="I1217" s="18"/>
      <c r="J1217" s="18"/>
      <c r="K1217" s="14" t="s">
        <v>6335</v>
      </c>
      <c r="L1217" s="20">
        <v>44317</v>
      </c>
      <c r="M1217" s="18"/>
      <c r="N1217" s="14" t="s">
        <v>6336</v>
      </c>
      <c r="O1217" s="17" t="s">
        <v>7604</v>
      </c>
      <c r="P1217" s="14" t="s">
        <v>7605</v>
      </c>
      <c r="Q1217" s="14" t="s">
        <v>7606</v>
      </c>
      <c r="R1217" s="14" t="s">
        <v>7607</v>
      </c>
      <c r="S1217" s="15"/>
      <c r="T1217" s="15"/>
      <c r="U1217" s="15"/>
      <c r="V1217" s="15"/>
    </row>
    <row r="1218" spans="1:22" x14ac:dyDescent="0.25">
      <c r="A1218" s="14" t="s">
        <v>141</v>
      </c>
      <c r="B1218" s="14" t="s">
        <v>7608</v>
      </c>
      <c r="C1218" s="14" t="s">
        <v>7609</v>
      </c>
      <c r="D1218" s="18"/>
      <c r="E1218" s="14">
        <v>2021</v>
      </c>
      <c r="F1218" s="18"/>
      <c r="G1218" s="18"/>
      <c r="H1218" s="14" t="s">
        <v>7610</v>
      </c>
      <c r="I1218" s="18"/>
      <c r="J1218" s="18"/>
      <c r="K1218" s="14" t="s">
        <v>7611</v>
      </c>
      <c r="L1218" s="20">
        <v>44440</v>
      </c>
      <c r="M1218" s="18"/>
      <c r="N1218" s="14" t="s">
        <v>7612</v>
      </c>
      <c r="O1218" s="17" t="s">
        <v>7613</v>
      </c>
      <c r="P1218" s="14" t="s">
        <v>7614</v>
      </c>
      <c r="Q1218" s="14" t="s">
        <v>7615</v>
      </c>
      <c r="R1218" s="14" t="s">
        <v>7616</v>
      </c>
      <c r="S1218" s="15"/>
      <c r="T1218" s="15"/>
      <c r="U1218" s="15"/>
      <c r="V1218" s="15"/>
    </row>
    <row r="1219" spans="1:22" x14ac:dyDescent="0.25">
      <c r="A1219" s="14" t="s">
        <v>13</v>
      </c>
      <c r="B1219" s="14" t="s">
        <v>7617</v>
      </c>
      <c r="C1219" s="14" t="s">
        <v>7618</v>
      </c>
      <c r="D1219" s="14" t="s">
        <v>4637</v>
      </c>
      <c r="E1219" s="14">
        <v>2017</v>
      </c>
      <c r="F1219" s="14">
        <v>34</v>
      </c>
      <c r="G1219" s="14">
        <v>2</v>
      </c>
      <c r="H1219" s="14" t="s">
        <v>7619</v>
      </c>
      <c r="I1219" s="18"/>
      <c r="J1219" s="18"/>
      <c r="K1219" s="18"/>
      <c r="L1219" s="20">
        <v>42795</v>
      </c>
      <c r="M1219" s="18"/>
      <c r="N1219" s="14" t="s">
        <v>6207</v>
      </c>
      <c r="O1219" s="17" t="s">
        <v>7620</v>
      </c>
      <c r="P1219" s="14" t="s">
        <v>7621</v>
      </c>
      <c r="Q1219" s="14" t="s">
        <v>7622</v>
      </c>
      <c r="R1219" s="14" t="s">
        <v>7623</v>
      </c>
      <c r="S1219" s="15"/>
      <c r="T1219" s="15"/>
      <c r="U1219" s="15"/>
      <c r="V1219" s="15"/>
    </row>
    <row r="1220" spans="1:22" x14ac:dyDescent="0.25">
      <c r="A1220" s="14" t="s">
        <v>141</v>
      </c>
      <c r="B1220" s="14" t="s">
        <v>2630</v>
      </c>
      <c r="C1220" s="14" t="s">
        <v>2631</v>
      </c>
      <c r="D1220" s="18"/>
      <c r="E1220" s="14">
        <v>2022</v>
      </c>
      <c r="F1220" s="18"/>
      <c r="G1220" s="18"/>
      <c r="H1220" s="14" t="s">
        <v>7624</v>
      </c>
      <c r="I1220" s="18"/>
      <c r="J1220" s="18"/>
      <c r="K1220" s="14" t="s">
        <v>7245</v>
      </c>
      <c r="L1220" s="20">
        <v>44682</v>
      </c>
      <c r="M1220" s="18"/>
      <c r="N1220" s="14" t="s">
        <v>6336</v>
      </c>
      <c r="O1220" s="17" t="s">
        <v>7625</v>
      </c>
      <c r="P1220" s="14" t="s">
        <v>2634</v>
      </c>
      <c r="Q1220" s="14" t="s">
        <v>7626</v>
      </c>
      <c r="R1220" s="14" t="s">
        <v>7627</v>
      </c>
      <c r="S1220" s="15"/>
      <c r="T1220" s="15"/>
      <c r="U1220" s="15"/>
      <c r="V1220" s="15"/>
    </row>
    <row r="1221" spans="1:22" x14ac:dyDescent="0.25">
      <c r="A1221" s="14" t="s">
        <v>141</v>
      </c>
      <c r="B1221" s="14" t="s">
        <v>7628</v>
      </c>
      <c r="C1221" s="14" t="s">
        <v>7629</v>
      </c>
      <c r="D1221" s="18"/>
      <c r="E1221" s="14">
        <v>2019</v>
      </c>
      <c r="F1221" s="18"/>
      <c r="G1221" s="18"/>
      <c r="H1221" s="14" t="s">
        <v>7630</v>
      </c>
      <c r="I1221" s="18"/>
      <c r="J1221" s="18"/>
      <c r="K1221" s="14" t="s">
        <v>7631</v>
      </c>
      <c r="L1221" s="20">
        <v>43586</v>
      </c>
      <c r="M1221" s="18"/>
      <c r="N1221" s="18"/>
      <c r="O1221" s="17" t="s">
        <v>7632</v>
      </c>
      <c r="P1221" s="14" t="s">
        <v>7633</v>
      </c>
      <c r="Q1221" s="14" t="s">
        <v>7634</v>
      </c>
      <c r="R1221" s="14" t="s">
        <v>7635</v>
      </c>
      <c r="S1221" s="15"/>
      <c r="T1221" s="15"/>
      <c r="U1221" s="15"/>
      <c r="V1221" s="15"/>
    </row>
    <row r="1222" spans="1:22" x14ac:dyDescent="0.25">
      <c r="A1222" s="14" t="s">
        <v>13</v>
      </c>
      <c r="B1222" s="14" t="s">
        <v>7636</v>
      </c>
      <c r="C1222" s="14" t="s">
        <v>7637</v>
      </c>
      <c r="D1222" s="14" t="s">
        <v>255</v>
      </c>
      <c r="E1222" s="14">
        <v>2020</v>
      </c>
      <c r="F1222" s="14">
        <v>46</v>
      </c>
      <c r="G1222" s="14">
        <v>10</v>
      </c>
      <c r="H1222" s="14" t="s">
        <v>7638</v>
      </c>
      <c r="I1222" s="18"/>
      <c r="J1222" s="18"/>
      <c r="K1222" s="18"/>
      <c r="L1222" s="16">
        <v>44105</v>
      </c>
      <c r="M1222" s="18"/>
      <c r="N1222" s="14" t="s">
        <v>6115</v>
      </c>
      <c r="O1222" s="17" t="s">
        <v>7639</v>
      </c>
      <c r="P1222" s="14" t="s">
        <v>7640</v>
      </c>
      <c r="Q1222" s="14" t="s">
        <v>7641</v>
      </c>
      <c r="R1222" s="14" t="s">
        <v>7642</v>
      </c>
      <c r="S1222" s="15"/>
      <c r="T1222" s="15"/>
      <c r="U1222" s="15"/>
      <c r="V1222" s="15"/>
    </row>
    <row r="1223" spans="1:22" x14ac:dyDescent="0.25">
      <c r="A1223" s="14" t="s">
        <v>141</v>
      </c>
      <c r="B1223" s="14" t="s">
        <v>4257</v>
      </c>
      <c r="C1223" s="14" t="s">
        <v>7643</v>
      </c>
      <c r="D1223" s="18"/>
      <c r="E1223" s="14">
        <v>2017</v>
      </c>
      <c r="F1223" s="18"/>
      <c r="G1223" s="18"/>
      <c r="H1223" s="14" t="s">
        <v>7644</v>
      </c>
      <c r="I1223" s="18"/>
      <c r="J1223" s="18"/>
      <c r="K1223" s="14" t="s">
        <v>7645</v>
      </c>
      <c r="L1223" s="20">
        <v>42948</v>
      </c>
      <c r="M1223" s="18"/>
      <c r="N1223" s="18"/>
      <c r="O1223" s="17" t="s">
        <v>7646</v>
      </c>
      <c r="P1223" s="14" t="s">
        <v>5846</v>
      </c>
      <c r="Q1223" s="14" t="s">
        <v>7647</v>
      </c>
      <c r="R1223" s="14" t="s">
        <v>7648</v>
      </c>
      <c r="S1223" s="15"/>
      <c r="T1223" s="15"/>
      <c r="U1223" s="15"/>
      <c r="V1223" s="15"/>
    </row>
    <row r="1224" spans="1:22" x14ac:dyDescent="0.25">
      <c r="A1224" s="14" t="s">
        <v>141</v>
      </c>
      <c r="B1224" s="14" t="s">
        <v>96</v>
      </c>
      <c r="C1224" s="14" t="s">
        <v>3363</v>
      </c>
      <c r="D1224" s="18"/>
      <c r="E1224" s="14">
        <v>2021</v>
      </c>
      <c r="F1224" s="18"/>
      <c r="G1224" s="18"/>
      <c r="H1224" s="14" t="s">
        <v>7649</v>
      </c>
      <c r="I1224" s="18"/>
      <c r="J1224" s="18"/>
      <c r="K1224" s="14" t="s">
        <v>6189</v>
      </c>
      <c r="L1224" s="16">
        <v>44501</v>
      </c>
      <c r="M1224" s="18"/>
      <c r="N1224" s="14" t="s">
        <v>6190</v>
      </c>
      <c r="O1224" s="17" t="s">
        <v>7650</v>
      </c>
      <c r="P1224" s="14" t="s">
        <v>3366</v>
      </c>
      <c r="Q1224" s="14" t="s">
        <v>7651</v>
      </c>
      <c r="R1224" s="14" t="s">
        <v>7652</v>
      </c>
      <c r="S1224" s="15"/>
      <c r="T1224" s="15"/>
      <c r="U1224" s="15"/>
      <c r="V1224" s="15"/>
    </row>
    <row r="1225" spans="1:22" x14ac:dyDescent="0.25">
      <c r="A1225" s="14" t="s">
        <v>141</v>
      </c>
      <c r="B1225" s="14" t="s">
        <v>7653</v>
      </c>
      <c r="C1225" s="14" t="s">
        <v>7654</v>
      </c>
      <c r="D1225" s="18"/>
      <c r="E1225" s="14">
        <v>2018</v>
      </c>
      <c r="F1225" s="18"/>
      <c r="G1225" s="18"/>
      <c r="H1225" s="14" t="s">
        <v>7655</v>
      </c>
      <c r="I1225" s="18"/>
      <c r="J1225" s="18"/>
      <c r="K1225" s="14" t="s">
        <v>7656</v>
      </c>
      <c r="L1225" s="20">
        <v>43221</v>
      </c>
      <c r="M1225" s="18"/>
      <c r="N1225" s="14" t="s">
        <v>6226</v>
      </c>
      <c r="O1225" s="18"/>
      <c r="P1225" s="18"/>
      <c r="Q1225" s="14" t="s">
        <v>7657</v>
      </c>
      <c r="R1225" s="14" t="s">
        <v>7658</v>
      </c>
      <c r="S1225" s="15"/>
      <c r="T1225" s="15"/>
      <c r="U1225" s="15"/>
      <c r="V1225" s="15"/>
    </row>
    <row r="1226" spans="1:22" x14ac:dyDescent="0.25">
      <c r="A1226" s="14" t="s">
        <v>141</v>
      </c>
      <c r="B1226" s="14" t="s">
        <v>7659</v>
      </c>
      <c r="C1226" s="14" t="s">
        <v>7660</v>
      </c>
      <c r="D1226" s="18"/>
      <c r="E1226" s="14">
        <v>2021</v>
      </c>
      <c r="F1226" s="18"/>
      <c r="G1226" s="18"/>
      <c r="H1226" s="14" t="s">
        <v>7661</v>
      </c>
      <c r="I1226" s="18"/>
      <c r="J1226" s="18"/>
      <c r="K1226" s="14" t="s">
        <v>7662</v>
      </c>
      <c r="L1226" s="16">
        <v>44501</v>
      </c>
      <c r="M1226" s="18"/>
      <c r="N1226" s="18"/>
      <c r="O1226" s="17" t="s">
        <v>7663</v>
      </c>
      <c r="P1226" s="14" t="s">
        <v>7664</v>
      </c>
      <c r="Q1226" s="14" t="s">
        <v>7665</v>
      </c>
      <c r="R1226" s="14" t="s">
        <v>7666</v>
      </c>
      <c r="S1226" s="15"/>
      <c r="T1226" s="15"/>
      <c r="U1226" s="15"/>
      <c r="V1226" s="15"/>
    </row>
    <row r="1227" spans="1:22" x14ac:dyDescent="0.25">
      <c r="A1227" s="14" t="s">
        <v>13</v>
      </c>
      <c r="B1227" s="14" t="s">
        <v>7667</v>
      </c>
      <c r="C1227" s="14" t="s">
        <v>7668</v>
      </c>
      <c r="D1227" s="14" t="s">
        <v>255</v>
      </c>
      <c r="E1227" s="14">
        <v>2020</v>
      </c>
      <c r="F1227" s="14">
        <v>46</v>
      </c>
      <c r="G1227" s="14">
        <v>6</v>
      </c>
      <c r="H1227" s="14" t="s">
        <v>7669</v>
      </c>
      <c r="I1227" s="18"/>
      <c r="J1227" s="18"/>
      <c r="K1227" s="18"/>
      <c r="L1227" s="20">
        <v>43983</v>
      </c>
      <c r="M1227" s="18"/>
      <c r="N1227" s="14" t="s">
        <v>6115</v>
      </c>
      <c r="O1227" s="17" t="s">
        <v>7670</v>
      </c>
      <c r="P1227" s="14" t="s">
        <v>7671</v>
      </c>
      <c r="Q1227" s="14" t="s">
        <v>7672</v>
      </c>
      <c r="R1227" s="14" t="s">
        <v>7673</v>
      </c>
      <c r="S1227" s="15"/>
      <c r="T1227" s="15"/>
      <c r="U1227" s="15"/>
      <c r="V1227" s="15"/>
    </row>
    <row r="1228" spans="1:22" x14ac:dyDescent="0.25">
      <c r="A1228" s="14" t="s">
        <v>141</v>
      </c>
      <c r="B1228" s="14" t="s">
        <v>1371</v>
      </c>
      <c r="C1228" s="14" t="s">
        <v>7674</v>
      </c>
      <c r="D1228" s="18"/>
      <c r="E1228" s="14">
        <v>2018</v>
      </c>
      <c r="F1228" s="18"/>
      <c r="G1228" s="18"/>
      <c r="H1228" s="14" t="s">
        <v>7675</v>
      </c>
      <c r="I1228" s="18"/>
      <c r="J1228" s="18"/>
      <c r="K1228" s="14" t="s">
        <v>7403</v>
      </c>
      <c r="L1228" s="20">
        <v>43282</v>
      </c>
      <c r="M1228" s="18"/>
      <c r="N1228" s="18"/>
      <c r="O1228" s="17" t="s">
        <v>7676</v>
      </c>
      <c r="P1228" s="14" t="s">
        <v>7677</v>
      </c>
      <c r="Q1228" s="14" t="s">
        <v>7678</v>
      </c>
      <c r="R1228" s="14" t="s">
        <v>7679</v>
      </c>
      <c r="S1228" s="15"/>
      <c r="T1228" s="15"/>
      <c r="U1228" s="15"/>
      <c r="V1228" s="15"/>
    </row>
    <row r="1229" spans="1:22" x14ac:dyDescent="0.25">
      <c r="A1229" s="14" t="s">
        <v>13</v>
      </c>
      <c r="B1229" s="18"/>
      <c r="C1229" s="14" t="s">
        <v>7680</v>
      </c>
      <c r="D1229" s="14" t="s">
        <v>7681</v>
      </c>
      <c r="E1229" s="14">
        <v>2020</v>
      </c>
      <c r="F1229" s="18"/>
      <c r="G1229" s="18"/>
      <c r="H1229" s="14" t="s">
        <v>7682</v>
      </c>
      <c r="I1229" s="18"/>
      <c r="J1229" s="18"/>
      <c r="K1229" s="18"/>
      <c r="L1229" s="20">
        <v>44044</v>
      </c>
      <c r="M1229" s="18"/>
      <c r="N1229" s="18"/>
      <c r="O1229" s="18"/>
      <c r="P1229" s="18"/>
      <c r="Q1229" s="14" t="s">
        <v>7683</v>
      </c>
      <c r="R1229" s="14" t="s">
        <v>7684</v>
      </c>
      <c r="S1229" s="15"/>
      <c r="T1229" s="15"/>
      <c r="U1229" s="15"/>
      <c r="V1229" s="15"/>
    </row>
    <row r="1230" spans="1:22" x14ac:dyDescent="0.25">
      <c r="A1230" s="14" t="s">
        <v>141</v>
      </c>
      <c r="B1230" s="14" t="s">
        <v>6842</v>
      </c>
      <c r="C1230" s="14" t="s">
        <v>7685</v>
      </c>
      <c r="D1230" s="18"/>
      <c r="E1230" s="14">
        <v>2019</v>
      </c>
      <c r="F1230" s="18"/>
      <c r="G1230" s="18"/>
      <c r="H1230" s="14" t="s">
        <v>7686</v>
      </c>
      <c r="I1230" s="18"/>
      <c r="J1230" s="18"/>
      <c r="K1230" s="14" t="s">
        <v>7687</v>
      </c>
      <c r="L1230" s="16">
        <v>43770</v>
      </c>
      <c r="M1230" s="18"/>
      <c r="N1230" s="14" t="s">
        <v>6190</v>
      </c>
      <c r="O1230" s="17" t="s">
        <v>7688</v>
      </c>
      <c r="P1230" s="14" t="s">
        <v>5018</v>
      </c>
      <c r="Q1230" s="14" t="s">
        <v>7689</v>
      </c>
      <c r="R1230" s="14" t="s">
        <v>7690</v>
      </c>
      <c r="S1230" s="15"/>
      <c r="T1230" s="15"/>
      <c r="U1230" s="15"/>
      <c r="V1230" s="15"/>
    </row>
    <row r="1231" spans="1:22" x14ac:dyDescent="0.25">
      <c r="A1231" s="14" t="s">
        <v>13</v>
      </c>
      <c r="B1231" s="14" t="s">
        <v>7691</v>
      </c>
      <c r="C1231" s="14" t="s">
        <v>7692</v>
      </c>
      <c r="D1231" s="14" t="s">
        <v>255</v>
      </c>
      <c r="E1231" s="14">
        <v>2022</v>
      </c>
      <c r="F1231" s="18"/>
      <c r="G1231" s="18"/>
      <c r="H1231" s="23">
        <v>44945</v>
      </c>
      <c r="I1231" s="18"/>
      <c r="J1231" s="18"/>
      <c r="K1231" s="18"/>
      <c r="L1231" s="14">
        <v>2022</v>
      </c>
      <c r="M1231" s="18"/>
      <c r="N1231" s="14" t="s">
        <v>6115</v>
      </c>
      <c r="O1231" s="17" t="s">
        <v>7693</v>
      </c>
      <c r="P1231" s="14" t="s">
        <v>7694</v>
      </c>
      <c r="Q1231" s="14" t="s">
        <v>7695</v>
      </c>
      <c r="R1231" s="14" t="s">
        <v>7696</v>
      </c>
      <c r="S1231" s="15"/>
      <c r="T1231" s="15"/>
      <c r="U1231" s="15"/>
      <c r="V1231" s="15"/>
    </row>
    <row r="1232" spans="1:22" x14ac:dyDescent="0.25">
      <c r="A1232" s="14" t="s">
        <v>13</v>
      </c>
      <c r="B1232" s="14" t="s">
        <v>7697</v>
      </c>
      <c r="C1232" s="14" t="s">
        <v>7698</v>
      </c>
      <c r="D1232" s="14" t="s">
        <v>7699</v>
      </c>
      <c r="E1232" s="14">
        <v>2019</v>
      </c>
      <c r="F1232" s="14">
        <v>36</v>
      </c>
      <c r="G1232" s="14">
        <v>1</v>
      </c>
      <c r="H1232" s="14" t="s">
        <v>7700</v>
      </c>
      <c r="I1232" s="18"/>
      <c r="J1232" s="18"/>
      <c r="K1232" s="18"/>
      <c r="L1232" s="20">
        <v>43466</v>
      </c>
      <c r="M1232" s="18"/>
      <c r="N1232" s="14" t="s">
        <v>7701</v>
      </c>
      <c r="O1232" s="17" t="s">
        <v>7702</v>
      </c>
      <c r="P1232" s="14" t="s">
        <v>7703</v>
      </c>
      <c r="Q1232" s="14" t="s">
        <v>7704</v>
      </c>
      <c r="R1232" s="14" t="s">
        <v>7705</v>
      </c>
      <c r="S1232" s="15"/>
      <c r="T1232" s="15"/>
      <c r="U1232" s="15"/>
      <c r="V1232" s="15"/>
    </row>
    <row r="1233" spans="1:22" x14ac:dyDescent="0.25">
      <c r="A1233" s="14" t="s">
        <v>13</v>
      </c>
      <c r="B1233" s="14" t="s">
        <v>7706</v>
      </c>
      <c r="C1233" s="14" t="s">
        <v>7707</v>
      </c>
      <c r="D1233" s="14" t="s">
        <v>668</v>
      </c>
      <c r="E1233" s="14">
        <v>2022</v>
      </c>
      <c r="F1233" s="14">
        <v>10</v>
      </c>
      <c r="G1233" s="18"/>
      <c r="H1233" s="14" t="s">
        <v>7708</v>
      </c>
      <c r="I1233" s="18"/>
      <c r="J1233" s="18"/>
      <c r="K1233" s="18"/>
      <c r="L1233" s="14">
        <v>2022</v>
      </c>
      <c r="M1233" s="18"/>
      <c r="N1233" s="14" t="s">
        <v>670</v>
      </c>
      <c r="O1233" s="17" t="s">
        <v>7709</v>
      </c>
      <c r="P1233" s="14" t="s">
        <v>7710</v>
      </c>
      <c r="Q1233" s="14" t="s">
        <v>7711</v>
      </c>
      <c r="R1233" s="14" t="s">
        <v>7712</v>
      </c>
      <c r="S1233" s="15"/>
      <c r="T1233" s="15"/>
      <c r="U1233" s="15"/>
      <c r="V1233" s="15"/>
    </row>
    <row r="1234" spans="1:22" x14ac:dyDescent="0.25">
      <c r="A1234" s="14" t="s">
        <v>141</v>
      </c>
      <c r="B1234" s="14" t="s">
        <v>7713</v>
      </c>
      <c r="C1234" s="14" t="s">
        <v>7714</v>
      </c>
      <c r="D1234" s="18"/>
      <c r="E1234" s="14">
        <v>2022</v>
      </c>
      <c r="F1234" s="18"/>
      <c r="G1234" s="18"/>
      <c r="H1234" s="14" t="s">
        <v>7715</v>
      </c>
      <c r="I1234" s="18"/>
      <c r="J1234" s="18"/>
      <c r="K1234" s="14" t="s">
        <v>7716</v>
      </c>
      <c r="L1234" s="20">
        <v>44682</v>
      </c>
      <c r="M1234" s="18"/>
      <c r="N1234" s="18"/>
      <c r="O1234" s="17" t="s">
        <v>7717</v>
      </c>
      <c r="P1234" s="14" t="s">
        <v>7718</v>
      </c>
      <c r="Q1234" s="14" t="s">
        <v>7719</v>
      </c>
      <c r="R1234" s="14" t="s">
        <v>7720</v>
      </c>
      <c r="S1234" s="15"/>
      <c r="T1234" s="15"/>
      <c r="U1234" s="15"/>
      <c r="V1234" s="15"/>
    </row>
    <row r="1235" spans="1:22" x14ac:dyDescent="0.25">
      <c r="A1235" s="14" t="s">
        <v>141</v>
      </c>
      <c r="B1235" s="14" t="s">
        <v>2220</v>
      </c>
      <c r="C1235" s="14" t="s">
        <v>2221</v>
      </c>
      <c r="D1235" s="18"/>
      <c r="E1235" s="14">
        <v>2022</v>
      </c>
      <c r="F1235" s="18"/>
      <c r="G1235" s="18"/>
      <c r="H1235" s="14" t="s">
        <v>7721</v>
      </c>
      <c r="I1235" s="18"/>
      <c r="J1235" s="18"/>
      <c r="K1235" s="14" t="s">
        <v>6592</v>
      </c>
      <c r="L1235" s="20">
        <v>44621</v>
      </c>
      <c r="M1235" s="18"/>
      <c r="N1235" s="14" t="s">
        <v>6593</v>
      </c>
      <c r="O1235" s="17" t="s">
        <v>7722</v>
      </c>
      <c r="P1235" s="14" t="s">
        <v>2224</v>
      </c>
      <c r="Q1235" s="14" t="s">
        <v>7723</v>
      </c>
      <c r="R1235" s="14" t="s">
        <v>7724</v>
      </c>
      <c r="S1235" s="15"/>
      <c r="T1235" s="15"/>
      <c r="U1235" s="15"/>
      <c r="V1235" s="15"/>
    </row>
    <row r="1236" spans="1:22" x14ac:dyDescent="0.25">
      <c r="A1236" s="14" t="s">
        <v>13</v>
      </c>
      <c r="B1236" s="14" t="s">
        <v>7725</v>
      </c>
      <c r="C1236" s="14" t="s">
        <v>7726</v>
      </c>
      <c r="D1236" s="14" t="s">
        <v>255</v>
      </c>
      <c r="E1236" s="14">
        <v>2022</v>
      </c>
      <c r="F1236" s="18"/>
      <c r="G1236" s="18"/>
      <c r="H1236" s="23">
        <v>44939</v>
      </c>
      <c r="I1236" s="18"/>
      <c r="J1236" s="18"/>
      <c r="K1236" s="18"/>
      <c r="L1236" s="14">
        <v>2022</v>
      </c>
      <c r="M1236" s="18"/>
      <c r="N1236" s="14" t="s">
        <v>6115</v>
      </c>
      <c r="O1236" s="17" t="s">
        <v>7727</v>
      </c>
      <c r="P1236" s="14" t="s">
        <v>7728</v>
      </c>
      <c r="Q1236" s="14" t="s">
        <v>7729</v>
      </c>
      <c r="R1236" s="14" t="s">
        <v>7730</v>
      </c>
      <c r="S1236" s="15"/>
      <c r="T1236" s="15"/>
      <c r="U1236" s="15"/>
      <c r="V1236" s="15"/>
    </row>
    <row r="1237" spans="1:22" x14ac:dyDescent="0.25">
      <c r="A1237" s="14" t="s">
        <v>141</v>
      </c>
      <c r="B1237" s="14" t="s">
        <v>1130</v>
      </c>
      <c r="C1237" s="14" t="s">
        <v>3482</v>
      </c>
      <c r="D1237" s="18"/>
      <c r="E1237" s="14">
        <v>2021</v>
      </c>
      <c r="F1237" s="18"/>
      <c r="G1237" s="18"/>
      <c r="H1237" s="14" t="s">
        <v>7731</v>
      </c>
      <c r="I1237" s="18"/>
      <c r="J1237" s="18"/>
      <c r="K1237" s="14" t="s">
        <v>6225</v>
      </c>
      <c r="L1237" s="20">
        <v>44317</v>
      </c>
      <c r="M1237" s="18"/>
      <c r="N1237" s="14" t="s">
        <v>6226</v>
      </c>
      <c r="O1237" s="17" t="s">
        <v>7732</v>
      </c>
      <c r="P1237" s="14" t="s">
        <v>3485</v>
      </c>
      <c r="Q1237" s="14" t="s">
        <v>7733</v>
      </c>
      <c r="R1237" s="14" t="s">
        <v>7734</v>
      </c>
      <c r="S1237" s="15"/>
      <c r="T1237" s="15"/>
      <c r="U1237" s="15"/>
      <c r="V1237" s="15"/>
    </row>
    <row r="1238" spans="1:22" x14ac:dyDescent="0.25">
      <c r="A1238" s="14" t="s">
        <v>13</v>
      </c>
      <c r="B1238" s="14" t="s">
        <v>7735</v>
      </c>
      <c r="C1238" s="14" t="s">
        <v>7736</v>
      </c>
      <c r="D1238" s="14" t="s">
        <v>255</v>
      </c>
      <c r="E1238" s="14">
        <v>2023</v>
      </c>
      <c r="F1238" s="18"/>
      <c r="G1238" s="18"/>
      <c r="H1238" s="23">
        <v>44943</v>
      </c>
      <c r="I1238" s="18"/>
      <c r="J1238" s="18"/>
      <c r="K1238" s="18"/>
      <c r="L1238" s="14">
        <v>2023</v>
      </c>
      <c r="M1238" s="18"/>
      <c r="N1238" s="14" t="s">
        <v>6115</v>
      </c>
      <c r="O1238" s="17" t="s">
        <v>7737</v>
      </c>
      <c r="P1238" s="14" t="s">
        <v>7738</v>
      </c>
      <c r="Q1238" s="14" t="s">
        <v>7739</v>
      </c>
      <c r="R1238" s="14" t="s">
        <v>7740</v>
      </c>
      <c r="S1238" s="15"/>
      <c r="T1238" s="15"/>
      <c r="U1238" s="15"/>
      <c r="V1238" s="15"/>
    </row>
    <row r="1239" spans="1:22" x14ac:dyDescent="0.25">
      <c r="A1239" s="14" t="s">
        <v>141</v>
      </c>
      <c r="B1239" s="14" t="s">
        <v>7741</v>
      </c>
      <c r="C1239" s="14" t="s">
        <v>7742</v>
      </c>
      <c r="D1239" s="18"/>
      <c r="E1239" s="14">
        <v>2021</v>
      </c>
      <c r="F1239" s="18"/>
      <c r="G1239" s="18"/>
      <c r="H1239" s="14" t="s">
        <v>7743</v>
      </c>
      <c r="I1239" s="18"/>
      <c r="J1239" s="18"/>
      <c r="K1239" s="14" t="s">
        <v>7744</v>
      </c>
      <c r="L1239" s="16">
        <v>44531</v>
      </c>
      <c r="M1239" s="18"/>
      <c r="N1239" s="18"/>
      <c r="O1239" s="17" t="s">
        <v>7745</v>
      </c>
      <c r="P1239" s="14" t="s">
        <v>7746</v>
      </c>
      <c r="Q1239" s="14" t="s">
        <v>7747</v>
      </c>
      <c r="R1239" s="14" t="s">
        <v>7748</v>
      </c>
      <c r="S1239" s="15"/>
      <c r="T1239" s="15"/>
      <c r="U1239" s="15"/>
      <c r="V1239" s="15"/>
    </row>
    <row r="1240" spans="1:22" x14ac:dyDescent="0.25">
      <c r="A1240" s="14" t="s">
        <v>13</v>
      </c>
      <c r="B1240" s="14" t="s">
        <v>7749</v>
      </c>
      <c r="C1240" s="14" t="s">
        <v>7750</v>
      </c>
      <c r="D1240" s="14" t="s">
        <v>7751</v>
      </c>
      <c r="E1240" s="14">
        <v>2021</v>
      </c>
      <c r="F1240" s="14">
        <v>19</v>
      </c>
      <c r="G1240" s="14">
        <v>3</v>
      </c>
      <c r="H1240" s="14" t="s">
        <v>7752</v>
      </c>
      <c r="I1240" s="18"/>
      <c r="J1240" s="18"/>
      <c r="K1240" s="18"/>
      <c r="L1240" s="20">
        <v>44256</v>
      </c>
      <c r="M1240" s="18"/>
      <c r="N1240" s="14" t="s">
        <v>5140</v>
      </c>
      <c r="O1240" s="17" t="s">
        <v>7753</v>
      </c>
      <c r="P1240" s="14" t="s">
        <v>7754</v>
      </c>
      <c r="Q1240" s="14" t="s">
        <v>7755</v>
      </c>
      <c r="R1240" s="14" t="s">
        <v>7756</v>
      </c>
      <c r="S1240" s="15"/>
      <c r="T1240" s="15"/>
      <c r="U1240" s="15"/>
      <c r="V1240" s="15"/>
    </row>
    <row r="1241" spans="1:22" x14ac:dyDescent="0.25">
      <c r="A1241" s="14" t="s">
        <v>141</v>
      </c>
      <c r="B1241" s="14" t="s">
        <v>7757</v>
      </c>
      <c r="C1241" s="14" t="s">
        <v>7758</v>
      </c>
      <c r="D1241" s="18"/>
      <c r="E1241" s="14">
        <v>2022</v>
      </c>
      <c r="F1241" s="18"/>
      <c r="G1241" s="18"/>
      <c r="H1241" s="14" t="s">
        <v>7759</v>
      </c>
      <c r="I1241" s="18"/>
      <c r="J1241" s="18"/>
      <c r="K1241" s="14" t="s">
        <v>7760</v>
      </c>
      <c r="L1241" s="16">
        <v>44835</v>
      </c>
      <c r="M1241" s="18"/>
      <c r="N1241" s="18"/>
      <c r="O1241" s="17" t="s">
        <v>7761</v>
      </c>
      <c r="P1241" s="14" t="s">
        <v>7762</v>
      </c>
      <c r="Q1241" s="14" t="s">
        <v>7763</v>
      </c>
      <c r="R1241" s="14" t="s">
        <v>7764</v>
      </c>
      <c r="S1241" s="15"/>
      <c r="T1241" s="15"/>
      <c r="U1241" s="15"/>
      <c r="V1241" s="15"/>
    </row>
    <row r="1242" spans="1:22" x14ac:dyDescent="0.25">
      <c r="A1242" s="14" t="s">
        <v>13</v>
      </c>
      <c r="B1242" s="14" t="s">
        <v>7765</v>
      </c>
      <c r="C1242" s="14" t="s">
        <v>7766</v>
      </c>
      <c r="D1242" s="14" t="s">
        <v>255</v>
      </c>
      <c r="E1242" s="14">
        <v>2022</v>
      </c>
      <c r="F1242" s="14">
        <v>48</v>
      </c>
      <c r="G1242" s="14">
        <v>12</v>
      </c>
      <c r="H1242" s="14" t="s">
        <v>7767</v>
      </c>
      <c r="I1242" s="18"/>
      <c r="J1242" s="18"/>
      <c r="K1242" s="18"/>
      <c r="L1242" s="16">
        <v>44896</v>
      </c>
      <c r="M1242" s="18"/>
      <c r="N1242" s="14" t="s">
        <v>6115</v>
      </c>
      <c r="O1242" s="17" t="s">
        <v>7768</v>
      </c>
      <c r="P1242" s="14" t="s">
        <v>7769</v>
      </c>
      <c r="Q1242" s="14" t="s">
        <v>7770</v>
      </c>
      <c r="R1242" s="14" t="s">
        <v>7771</v>
      </c>
      <c r="S1242" s="15"/>
      <c r="T1242" s="15"/>
      <c r="U1242" s="15"/>
      <c r="V1242" s="15"/>
    </row>
    <row r="1243" spans="1:22" x14ac:dyDescent="0.25">
      <c r="A1243" s="14" t="s">
        <v>141</v>
      </c>
      <c r="B1243" s="14" t="s">
        <v>7772</v>
      </c>
      <c r="C1243" s="14" t="s">
        <v>7773</v>
      </c>
      <c r="D1243" s="18"/>
      <c r="E1243" s="14">
        <v>2018</v>
      </c>
      <c r="F1243" s="18"/>
      <c r="G1243" s="18"/>
      <c r="H1243" s="14" t="s">
        <v>7774</v>
      </c>
      <c r="I1243" s="18"/>
      <c r="J1243" s="18"/>
      <c r="K1243" s="14" t="s">
        <v>7775</v>
      </c>
      <c r="L1243" s="20">
        <v>43344</v>
      </c>
      <c r="M1243" s="18"/>
      <c r="N1243" s="14" t="s">
        <v>6190</v>
      </c>
      <c r="O1243" s="17" t="s">
        <v>7776</v>
      </c>
      <c r="P1243" s="14" t="s">
        <v>7777</v>
      </c>
      <c r="Q1243" s="14" t="s">
        <v>7778</v>
      </c>
      <c r="R1243" s="14" t="s">
        <v>7779</v>
      </c>
      <c r="S1243" s="15"/>
      <c r="T1243" s="15"/>
      <c r="U1243" s="15"/>
      <c r="V1243" s="15"/>
    </row>
    <row r="1244" spans="1:22" x14ac:dyDescent="0.25">
      <c r="A1244" s="14" t="s">
        <v>141</v>
      </c>
      <c r="B1244" s="14" t="s">
        <v>7780</v>
      </c>
      <c r="C1244" s="14" t="s">
        <v>7781</v>
      </c>
      <c r="D1244" s="18"/>
      <c r="E1244" s="14">
        <v>2020</v>
      </c>
      <c r="F1244" s="18"/>
      <c r="G1244" s="18"/>
      <c r="H1244" s="23">
        <v>44938</v>
      </c>
      <c r="I1244" s="18"/>
      <c r="J1244" s="18"/>
      <c r="K1244" s="14" t="s">
        <v>7782</v>
      </c>
      <c r="L1244" s="20">
        <v>43891</v>
      </c>
      <c r="M1244" s="18"/>
      <c r="N1244" s="14" t="s">
        <v>2902</v>
      </c>
      <c r="O1244" s="17" t="s">
        <v>7783</v>
      </c>
      <c r="P1244" s="14" t="s">
        <v>7784</v>
      </c>
      <c r="Q1244" s="14" t="s">
        <v>7785</v>
      </c>
      <c r="R1244" s="14" t="s">
        <v>7786</v>
      </c>
      <c r="S1244" s="15"/>
      <c r="T1244" s="15"/>
      <c r="U1244" s="15"/>
      <c r="V1244" s="15"/>
    </row>
    <row r="1245" spans="1:22" x14ac:dyDescent="0.25">
      <c r="A1245" s="14" t="s">
        <v>13</v>
      </c>
      <c r="B1245" s="14" t="s">
        <v>1441</v>
      </c>
      <c r="C1245" s="14" t="s">
        <v>1442</v>
      </c>
      <c r="D1245" s="14" t="s">
        <v>1443</v>
      </c>
      <c r="E1245" s="14">
        <v>2021</v>
      </c>
      <c r="F1245" s="14">
        <v>2</v>
      </c>
      <c r="G1245" s="14">
        <v>4</v>
      </c>
      <c r="H1245" s="14" t="s">
        <v>7787</v>
      </c>
      <c r="I1245" s="18"/>
      <c r="J1245" s="18"/>
      <c r="K1245" s="18"/>
      <c r="L1245" s="16">
        <v>44531</v>
      </c>
      <c r="M1245" s="18"/>
      <c r="N1245" s="14" t="s">
        <v>1445</v>
      </c>
      <c r="O1245" s="17" t="s">
        <v>7788</v>
      </c>
      <c r="P1245" s="14" t="s">
        <v>1447</v>
      </c>
      <c r="Q1245" s="14" t="s">
        <v>7789</v>
      </c>
      <c r="R1245" s="14" t="s">
        <v>7790</v>
      </c>
      <c r="S1245" s="15"/>
      <c r="T1245" s="15"/>
      <c r="U1245" s="15"/>
      <c r="V1245" s="15"/>
    </row>
    <row r="1246" spans="1:22" x14ac:dyDescent="0.25">
      <c r="A1246" s="14" t="s">
        <v>141</v>
      </c>
      <c r="B1246" s="14" t="s">
        <v>7791</v>
      </c>
      <c r="C1246" s="14" t="s">
        <v>7792</v>
      </c>
      <c r="D1246" s="18"/>
      <c r="E1246" s="14">
        <v>2018</v>
      </c>
      <c r="F1246" s="18"/>
      <c r="G1246" s="18"/>
      <c r="H1246" s="23">
        <v>44937</v>
      </c>
      <c r="I1246" s="18"/>
      <c r="J1246" s="18"/>
      <c r="K1246" s="14" t="s">
        <v>7793</v>
      </c>
      <c r="L1246" s="20">
        <v>43344</v>
      </c>
      <c r="M1246" s="18"/>
      <c r="N1246" s="18"/>
      <c r="O1246" s="17" t="s">
        <v>7794</v>
      </c>
      <c r="P1246" s="14" t="s">
        <v>7795</v>
      </c>
      <c r="Q1246" s="14" t="s">
        <v>7796</v>
      </c>
      <c r="R1246" s="14" t="s">
        <v>7797</v>
      </c>
      <c r="S1246" s="15"/>
      <c r="T1246" s="15"/>
      <c r="U1246" s="15"/>
      <c r="V1246" s="15"/>
    </row>
    <row r="1247" spans="1:22" x14ac:dyDescent="0.25">
      <c r="A1247" s="14" t="s">
        <v>141</v>
      </c>
      <c r="B1247" s="14" t="s">
        <v>7798</v>
      </c>
      <c r="C1247" s="14" t="s">
        <v>7799</v>
      </c>
      <c r="D1247" s="18"/>
      <c r="E1247" s="14">
        <v>2021</v>
      </c>
      <c r="F1247" s="18"/>
      <c r="G1247" s="18"/>
      <c r="H1247" s="14" t="s">
        <v>7800</v>
      </c>
      <c r="I1247" s="18"/>
      <c r="J1247" s="18"/>
      <c r="K1247" s="14" t="s">
        <v>6329</v>
      </c>
      <c r="L1247" s="20">
        <v>44317</v>
      </c>
      <c r="M1247" s="18"/>
      <c r="N1247" s="14" t="s">
        <v>6152</v>
      </c>
      <c r="O1247" s="17" t="s">
        <v>7801</v>
      </c>
      <c r="P1247" s="14" t="s">
        <v>7802</v>
      </c>
      <c r="Q1247" s="14" t="s">
        <v>7803</v>
      </c>
      <c r="R1247" s="14" t="s">
        <v>7804</v>
      </c>
      <c r="S1247" s="15"/>
      <c r="T1247" s="15"/>
      <c r="U1247" s="15"/>
      <c r="V1247" s="15"/>
    </row>
    <row r="1248" spans="1:22" x14ac:dyDescent="0.25">
      <c r="A1248" s="14" t="s">
        <v>13</v>
      </c>
      <c r="B1248" s="14" t="s">
        <v>2991</v>
      </c>
      <c r="C1248" s="14" t="s">
        <v>7805</v>
      </c>
      <c r="D1248" s="14" t="s">
        <v>255</v>
      </c>
      <c r="E1248" s="14">
        <v>2021</v>
      </c>
      <c r="F1248" s="14">
        <v>47</v>
      </c>
      <c r="G1248" s="14">
        <v>1</v>
      </c>
      <c r="H1248" s="14" t="s">
        <v>7806</v>
      </c>
      <c r="I1248" s="18"/>
      <c r="J1248" s="18"/>
      <c r="K1248" s="18"/>
      <c r="L1248" s="20">
        <v>44197</v>
      </c>
      <c r="M1248" s="18"/>
      <c r="N1248" s="14" t="s">
        <v>6115</v>
      </c>
      <c r="O1248" s="17" t="s">
        <v>7807</v>
      </c>
      <c r="P1248" s="14" t="s">
        <v>2995</v>
      </c>
      <c r="Q1248" s="14" t="s">
        <v>7808</v>
      </c>
      <c r="R1248" s="14" t="s">
        <v>7809</v>
      </c>
      <c r="S1248" s="15"/>
      <c r="T1248" s="15"/>
      <c r="U1248" s="15"/>
      <c r="V1248" s="15"/>
    </row>
    <row r="1249" spans="1:22" x14ac:dyDescent="0.25">
      <c r="A1249" s="14" t="s">
        <v>141</v>
      </c>
      <c r="B1249" s="14" t="s">
        <v>7810</v>
      </c>
      <c r="C1249" s="14" t="s">
        <v>7811</v>
      </c>
      <c r="D1249" s="18"/>
      <c r="E1249" s="14">
        <v>2020</v>
      </c>
      <c r="F1249" s="18"/>
      <c r="G1249" s="18"/>
      <c r="H1249" s="14" t="s">
        <v>7812</v>
      </c>
      <c r="I1249" s="18"/>
      <c r="J1249" s="18"/>
      <c r="K1249" s="14" t="s">
        <v>6322</v>
      </c>
      <c r="L1249" s="20">
        <v>44044</v>
      </c>
      <c r="M1249" s="18"/>
      <c r="N1249" s="18"/>
      <c r="O1249" s="17" t="s">
        <v>7813</v>
      </c>
      <c r="P1249" s="14" t="s">
        <v>7814</v>
      </c>
      <c r="Q1249" s="14" t="s">
        <v>7815</v>
      </c>
      <c r="R1249" s="14" t="s">
        <v>7816</v>
      </c>
      <c r="S1249" s="15"/>
      <c r="T1249" s="15"/>
      <c r="U1249" s="15"/>
      <c r="V1249" s="15"/>
    </row>
    <row r="1250" spans="1:22" x14ac:dyDescent="0.25">
      <c r="A1250" s="14" t="s">
        <v>141</v>
      </c>
      <c r="B1250" s="14" t="s">
        <v>7569</v>
      </c>
      <c r="C1250" s="14" t="s">
        <v>7817</v>
      </c>
      <c r="D1250" s="18"/>
      <c r="E1250" s="14">
        <v>2016</v>
      </c>
      <c r="F1250" s="18"/>
      <c r="G1250" s="18"/>
      <c r="H1250" s="14" t="s">
        <v>7818</v>
      </c>
      <c r="I1250" s="18"/>
      <c r="J1250" s="18"/>
      <c r="K1250" s="14" t="s">
        <v>7819</v>
      </c>
      <c r="L1250" s="20">
        <v>42491</v>
      </c>
      <c r="M1250" s="18"/>
      <c r="N1250" s="14" t="s">
        <v>6336</v>
      </c>
      <c r="O1250" s="17" t="s">
        <v>7820</v>
      </c>
      <c r="P1250" s="14" t="s">
        <v>7821</v>
      </c>
      <c r="Q1250" s="14" t="s">
        <v>7822</v>
      </c>
      <c r="R1250" s="14" t="s">
        <v>7823</v>
      </c>
      <c r="S1250" s="15"/>
      <c r="T1250" s="15"/>
      <c r="U1250" s="15"/>
      <c r="V1250" s="15"/>
    </row>
    <row r="1251" spans="1:22" x14ac:dyDescent="0.25">
      <c r="A1251" s="14" t="s">
        <v>141</v>
      </c>
      <c r="B1251" s="14" t="s">
        <v>7824</v>
      </c>
      <c r="C1251" s="14" t="s">
        <v>7825</v>
      </c>
      <c r="D1251" s="18"/>
      <c r="E1251" s="14">
        <v>2019</v>
      </c>
      <c r="F1251" s="18"/>
      <c r="G1251" s="18"/>
      <c r="H1251" s="14" t="s">
        <v>7826</v>
      </c>
      <c r="I1251" s="18"/>
      <c r="J1251" s="18"/>
      <c r="K1251" s="14" t="s">
        <v>6986</v>
      </c>
      <c r="L1251" s="20">
        <v>43586</v>
      </c>
      <c r="M1251" s="18"/>
      <c r="N1251" s="14" t="s">
        <v>6336</v>
      </c>
      <c r="O1251" s="17" t="s">
        <v>7827</v>
      </c>
      <c r="P1251" s="14" t="s">
        <v>7828</v>
      </c>
      <c r="Q1251" s="14" t="s">
        <v>7829</v>
      </c>
      <c r="R1251" s="14" t="s">
        <v>7830</v>
      </c>
      <c r="S1251" s="15"/>
      <c r="T1251" s="15"/>
      <c r="U1251" s="15"/>
      <c r="V1251" s="15"/>
    </row>
    <row r="1252" spans="1:22" x14ac:dyDescent="0.25">
      <c r="A1252" s="14" t="s">
        <v>141</v>
      </c>
      <c r="B1252" s="14" t="s">
        <v>7831</v>
      </c>
      <c r="C1252" s="14" t="s">
        <v>7832</v>
      </c>
      <c r="D1252" s="18"/>
      <c r="E1252" s="14">
        <v>2021</v>
      </c>
      <c r="F1252" s="18"/>
      <c r="G1252" s="18"/>
      <c r="H1252" s="14" t="s">
        <v>7833</v>
      </c>
      <c r="I1252" s="18"/>
      <c r="J1252" s="18"/>
      <c r="K1252" s="14" t="s">
        <v>7834</v>
      </c>
      <c r="L1252" s="20">
        <v>44317</v>
      </c>
      <c r="M1252" s="18"/>
      <c r="N1252" s="18"/>
      <c r="O1252" s="17" t="s">
        <v>7835</v>
      </c>
      <c r="P1252" s="14" t="s">
        <v>7836</v>
      </c>
      <c r="Q1252" s="14" t="s">
        <v>7837</v>
      </c>
      <c r="R1252" s="14" t="s">
        <v>7838</v>
      </c>
      <c r="S1252" s="15"/>
      <c r="T1252" s="15"/>
      <c r="U1252" s="15"/>
      <c r="V1252" s="15"/>
    </row>
    <row r="1253" spans="1:22" x14ac:dyDescent="0.25">
      <c r="A1253" s="14" t="s">
        <v>141</v>
      </c>
      <c r="B1253" s="14" t="s">
        <v>7839</v>
      </c>
      <c r="C1253" s="14" t="s">
        <v>7840</v>
      </c>
      <c r="D1253" s="18"/>
      <c r="E1253" s="14">
        <v>2022</v>
      </c>
      <c r="F1253" s="18"/>
      <c r="G1253" s="18"/>
      <c r="H1253" s="14" t="s">
        <v>7841</v>
      </c>
      <c r="I1253" s="18"/>
      <c r="J1253" s="18"/>
      <c r="K1253" s="14" t="s">
        <v>6166</v>
      </c>
      <c r="L1253" s="20">
        <v>44774</v>
      </c>
      <c r="M1253" s="18"/>
      <c r="N1253" s="18"/>
      <c r="O1253" s="17" t="s">
        <v>7842</v>
      </c>
      <c r="P1253" s="14" t="s">
        <v>7843</v>
      </c>
      <c r="Q1253" s="14" t="s">
        <v>7844</v>
      </c>
      <c r="R1253" s="14" t="s">
        <v>7845</v>
      </c>
      <c r="S1253" s="15"/>
      <c r="T1253" s="15"/>
      <c r="U1253" s="15"/>
      <c r="V1253" s="15"/>
    </row>
    <row r="1254" spans="1:22" x14ac:dyDescent="0.25">
      <c r="A1254" s="14" t="s">
        <v>141</v>
      </c>
      <c r="B1254" s="14" t="s">
        <v>7846</v>
      </c>
      <c r="C1254" s="14" t="s">
        <v>7847</v>
      </c>
      <c r="D1254" s="18"/>
      <c r="E1254" s="14">
        <v>2019</v>
      </c>
      <c r="F1254" s="18"/>
      <c r="G1254" s="18"/>
      <c r="H1254" s="14" t="s">
        <v>7848</v>
      </c>
      <c r="I1254" s="18"/>
      <c r="J1254" s="18"/>
      <c r="K1254" s="14" t="s">
        <v>7849</v>
      </c>
      <c r="L1254" s="20">
        <v>43709</v>
      </c>
      <c r="M1254" s="18"/>
      <c r="N1254" s="14" t="s">
        <v>6449</v>
      </c>
      <c r="O1254" s="17" t="s">
        <v>7850</v>
      </c>
      <c r="P1254" s="14" t="s">
        <v>7851</v>
      </c>
      <c r="Q1254" s="14" t="s">
        <v>7852</v>
      </c>
      <c r="R1254" s="14" t="s">
        <v>7853</v>
      </c>
      <c r="S1254" s="15"/>
      <c r="T1254" s="15"/>
      <c r="U1254" s="15"/>
      <c r="V1254" s="15"/>
    </row>
    <row r="1255" spans="1:22" x14ac:dyDescent="0.25">
      <c r="A1255" s="14" t="s">
        <v>141</v>
      </c>
      <c r="B1255" s="14" t="s">
        <v>7854</v>
      </c>
      <c r="C1255" s="14" t="s">
        <v>7855</v>
      </c>
      <c r="D1255" s="18"/>
      <c r="E1255" s="14">
        <v>2018</v>
      </c>
      <c r="F1255" s="18"/>
      <c r="G1255" s="18"/>
      <c r="H1255" s="23">
        <v>44930</v>
      </c>
      <c r="I1255" s="18"/>
      <c r="J1255" s="18"/>
      <c r="K1255" s="14" t="s">
        <v>7856</v>
      </c>
      <c r="L1255" s="20">
        <v>43221</v>
      </c>
      <c r="M1255" s="18"/>
      <c r="N1255" s="18"/>
      <c r="O1255" s="18"/>
      <c r="P1255" s="18"/>
      <c r="Q1255" s="14" t="s">
        <v>7857</v>
      </c>
      <c r="R1255" s="14" t="s">
        <v>7858</v>
      </c>
      <c r="S1255" s="15"/>
      <c r="T1255" s="15"/>
      <c r="U1255" s="15"/>
      <c r="V1255" s="15"/>
    </row>
    <row r="1256" spans="1:22" x14ac:dyDescent="0.25">
      <c r="A1256" s="14" t="s">
        <v>141</v>
      </c>
      <c r="B1256" s="14" t="s">
        <v>7859</v>
      </c>
      <c r="C1256" s="14" t="s">
        <v>7860</v>
      </c>
      <c r="D1256" s="18"/>
      <c r="E1256" s="14">
        <v>2022</v>
      </c>
      <c r="F1256" s="18"/>
      <c r="G1256" s="18"/>
      <c r="H1256" s="14" t="s">
        <v>7861</v>
      </c>
      <c r="I1256" s="18"/>
      <c r="J1256" s="18"/>
      <c r="K1256" s="14" t="s">
        <v>7862</v>
      </c>
      <c r="L1256" s="20">
        <v>44621</v>
      </c>
      <c r="M1256" s="18"/>
      <c r="N1256" s="14" t="s">
        <v>7863</v>
      </c>
      <c r="O1256" s="17" t="s">
        <v>7864</v>
      </c>
      <c r="P1256" s="14" t="s">
        <v>7865</v>
      </c>
      <c r="Q1256" s="14" t="s">
        <v>7866</v>
      </c>
      <c r="R1256" s="14" t="s">
        <v>7867</v>
      </c>
      <c r="S1256" s="15"/>
      <c r="T1256" s="15"/>
      <c r="U1256" s="15"/>
      <c r="V1256" s="15"/>
    </row>
    <row r="1257" spans="1:22" x14ac:dyDescent="0.25">
      <c r="A1257" s="14" t="s">
        <v>141</v>
      </c>
      <c r="B1257" s="14" t="s">
        <v>2647</v>
      </c>
      <c r="C1257" s="14" t="s">
        <v>2648</v>
      </c>
      <c r="D1257" s="18"/>
      <c r="E1257" s="14">
        <v>2021</v>
      </c>
      <c r="F1257" s="18"/>
      <c r="G1257" s="18"/>
      <c r="H1257" s="14" t="s">
        <v>7868</v>
      </c>
      <c r="I1257" s="18"/>
      <c r="J1257" s="18"/>
      <c r="K1257" s="14" t="s">
        <v>7869</v>
      </c>
      <c r="L1257" s="20">
        <v>44348</v>
      </c>
      <c r="M1257" s="18"/>
      <c r="N1257" s="14" t="s">
        <v>7870</v>
      </c>
      <c r="O1257" s="17" t="s">
        <v>7871</v>
      </c>
      <c r="P1257" s="14" t="s">
        <v>2651</v>
      </c>
      <c r="Q1257" s="14" t="s">
        <v>7872</v>
      </c>
      <c r="R1257" s="14" t="s">
        <v>7873</v>
      </c>
      <c r="S1257" s="15"/>
      <c r="T1257" s="15"/>
      <c r="U1257" s="15"/>
      <c r="V1257" s="15"/>
    </row>
    <row r="1258" spans="1:22" x14ac:dyDescent="0.25">
      <c r="A1258" s="14" t="s">
        <v>141</v>
      </c>
      <c r="B1258" s="14" t="s">
        <v>4628</v>
      </c>
      <c r="C1258" s="14" t="s">
        <v>4629</v>
      </c>
      <c r="D1258" s="18"/>
      <c r="E1258" s="14">
        <v>2018</v>
      </c>
      <c r="F1258" s="18"/>
      <c r="G1258" s="18"/>
      <c r="H1258" s="14" t="s">
        <v>7874</v>
      </c>
      <c r="I1258" s="18"/>
      <c r="J1258" s="18"/>
      <c r="K1258" s="14" t="s">
        <v>7875</v>
      </c>
      <c r="L1258" s="16">
        <v>43435</v>
      </c>
      <c r="M1258" s="18"/>
      <c r="N1258" s="18"/>
      <c r="O1258" s="17" t="s">
        <v>7876</v>
      </c>
      <c r="P1258" s="14" t="s">
        <v>4632</v>
      </c>
      <c r="Q1258" s="14" t="s">
        <v>7877</v>
      </c>
      <c r="R1258" s="14" t="s">
        <v>7878</v>
      </c>
      <c r="S1258" s="15"/>
      <c r="T1258" s="15"/>
      <c r="U1258" s="15"/>
      <c r="V1258" s="15"/>
    </row>
    <row r="1259" spans="1:22" x14ac:dyDescent="0.25">
      <c r="A1259" s="14" t="s">
        <v>141</v>
      </c>
      <c r="B1259" s="14" t="s">
        <v>7879</v>
      </c>
      <c r="C1259" s="14" t="s">
        <v>7880</v>
      </c>
      <c r="D1259" s="18"/>
      <c r="E1259" s="14">
        <v>2020</v>
      </c>
      <c r="F1259" s="18"/>
      <c r="G1259" s="18"/>
      <c r="H1259" s="23">
        <v>44932</v>
      </c>
      <c r="I1259" s="18"/>
      <c r="J1259" s="18"/>
      <c r="K1259" s="14" t="s">
        <v>7881</v>
      </c>
      <c r="L1259" s="20">
        <v>43983</v>
      </c>
      <c r="M1259" s="18"/>
      <c r="N1259" s="18"/>
      <c r="O1259" s="17" t="s">
        <v>7882</v>
      </c>
      <c r="P1259" s="14" t="s">
        <v>7883</v>
      </c>
      <c r="Q1259" s="14" t="s">
        <v>7884</v>
      </c>
      <c r="R1259" s="14" t="s">
        <v>7885</v>
      </c>
      <c r="S1259" s="15"/>
      <c r="T1259" s="15"/>
      <c r="U1259" s="15"/>
      <c r="V1259" s="15"/>
    </row>
    <row r="1260" spans="1:22" x14ac:dyDescent="0.25">
      <c r="A1260" s="14" t="s">
        <v>141</v>
      </c>
      <c r="B1260" s="14" t="s">
        <v>7886</v>
      </c>
      <c r="C1260" s="14" t="s">
        <v>7887</v>
      </c>
      <c r="D1260" s="18"/>
      <c r="E1260" s="14">
        <v>2022</v>
      </c>
      <c r="F1260" s="14">
        <v>1</v>
      </c>
      <c r="G1260" s="18"/>
      <c r="H1260" s="14" t="s">
        <v>7888</v>
      </c>
      <c r="I1260" s="18"/>
      <c r="J1260" s="18"/>
      <c r="K1260" s="14" t="s">
        <v>7889</v>
      </c>
      <c r="L1260" s="20">
        <v>44621</v>
      </c>
      <c r="M1260" s="18"/>
      <c r="N1260" s="14" t="s">
        <v>7890</v>
      </c>
      <c r="O1260" s="17" t="s">
        <v>7891</v>
      </c>
      <c r="P1260" s="14" t="s">
        <v>7892</v>
      </c>
      <c r="Q1260" s="14" t="s">
        <v>7893</v>
      </c>
      <c r="R1260" s="14" t="s">
        <v>7894</v>
      </c>
      <c r="S1260" s="15"/>
      <c r="T1260" s="15"/>
      <c r="U1260" s="15"/>
      <c r="V1260" s="15"/>
    </row>
    <row r="1261" spans="1:22" x14ac:dyDescent="0.25">
      <c r="A1261" s="14" t="s">
        <v>141</v>
      </c>
      <c r="B1261" s="14" t="s">
        <v>7895</v>
      </c>
      <c r="C1261" s="14" t="s">
        <v>3161</v>
      </c>
      <c r="D1261" s="18"/>
      <c r="E1261" s="14">
        <v>2021</v>
      </c>
      <c r="F1261" s="18"/>
      <c r="G1261" s="18"/>
      <c r="H1261" s="14" t="s">
        <v>7896</v>
      </c>
      <c r="I1261" s="18"/>
      <c r="J1261" s="18"/>
      <c r="K1261" s="14" t="s">
        <v>7285</v>
      </c>
      <c r="L1261" s="20">
        <v>44256</v>
      </c>
      <c r="M1261" s="18"/>
      <c r="N1261" s="18"/>
      <c r="O1261" s="17" t="s">
        <v>7897</v>
      </c>
      <c r="P1261" s="14" t="s">
        <v>3164</v>
      </c>
      <c r="Q1261" s="14" t="s">
        <v>7898</v>
      </c>
      <c r="R1261" s="14" t="s">
        <v>7899</v>
      </c>
      <c r="S1261" s="15"/>
      <c r="T1261" s="15"/>
      <c r="U1261" s="15"/>
      <c r="V1261" s="15"/>
    </row>
    <row r="1262" spans="1:22" x14ac:dyDescent="0.25">
      <c r="A1262" s="14" t="s">
        <v>13</v>
      </c>
      <c r="B1262" s="14" t="s">
        <v>7900</v>
      </c>
      <c r="C1262" s="14" t="s">
        <v>3314</v>
      </c>
      <c r="D1262" s="14" t="s">
        <v>668</v>
      </c>
      <c r="E1262" s="14">
        <v>2021</v>
      </c>
      <c r="F1262" s="14">
        <v>9</v>
      </c>
      <c r="G1262" s="18"/>
      <c r="H1262" s="14" t="s">
        <v>7901</v>
      </c>
      <c r="I1262" s="18"/>
      <c r="J1262" s="18"/>
      <c r="K1262" s="18"/>
      <c r="L1262" s="14">
        <v>2021</v>
      </c>
      <c r="M1262" s="18"/>
      <c r="N1262" s="14" t="s">
        <v>670</v>
      </c>
      <c r="O1262" s="17" t="s">
        <v>7902</v>
      </c>
      <c r="P1262" s="14" t="s">
        <v>3317</v>
      </c>
      <c r="Q1262" s="14" t="s">
        <v>7903</v>
      </c>
      <c r="R1262" s="14" t="s">
        <v>7904</v>
      </c>
      <c r="S1262" s="15"/>
      <c r="T1262" s="15"/>
      <c r="U1262" s="15"/>
      <c r="V1262" s="15"/>
    </row>
    <row r="1263" spans="1:22" x14ac:dyDescent="0.25">
      <c r="A1263" s="14" t="s">
        <v>141</v>
      </c>
      <c r="B1263" s="14" t="s">
        <v>7905</v>
      </c>
      <c r="C1263" s="14" t="s">
        <v>7906</v>
      </c>
      <c r="D1263" s="18"/>
      <c r="E1263" s="14">
        <v>2013</v>
      </c>
      <c r="F1263" s="18"/>
      <c r="G1263" s="18"/>
      <c r="H1263" s="14" t="s">
        <v>7907</v>
      </c>
      <c r="I1263" s="18"/>
      <c r="J1263" s="18"/>
      <c r="K1263" s="14" t="s">
        <v>7908</v>
      </c>
      <c r="L1263" s="20">
        <v>41518</v>
      </c>
      <c r="M1263" s="18"/>
      <c r="N1263" s="14" t="s">
        <v>6508</v>
      </c>
      <c r="O1263" s="17" t="s">
        <v>7909</v>
      </c>
      <c r="P1263" s="14" t="s">
        <v>7910</v>
      </c>
      <c r="Q1263" s="14" t="s">
        <v>7911</v>
      </c>
      <c r="R1263" s="14" t="s">
        <v>7912</v>
      </c>
      <c r="S1263" s="15"/>
      <c r="T1263" s="15"/>
      <c r="U1263" s="15"/>
      <c r="V1263" s="15"/>
    </row>
    <row r="1264" spans="1:22" x14ac:dyDescent="0.25">
      <c r="A1264" s="14" t="s">
        <v>141</v>
      </c>
      <c r="B1264" s="14" t="s">
        <v>7913</v>
      </c>
      <c r="C1264" s="14" t="s">
        <v>2245</v>
      </c>
      <c r="D1264" s="18"/>
      <c r="E1264" s="14">
        <v>2022</v>
      </c>
      <c r="F1264" s="18"/>
      <c r="G1264" s="18"/>
      <c r="H1264" s="14" t="s">
        <v>7914</v>
      </c>
      <c r="I1264" s="18"/>
      <c r="J1264" s="18"/>
      <c r="K1264" s="14" t="s">
        <v>7915</v>
      </c>
      <c r="L1264" s="20">
        <v>44621</v>
      </c>
      <c r="M1264" s="18"/>
      <c r="N1264" s="14" t="s">
        <v>7916</v>
      </c>
      <c r="O1264" s="17" t="s">
        <v>7917</v>
      </c>
      <c r="P1264" s="14" t="s">
        <v>2248</v>
      </c>
      <c r="Q1264" s="14" t="s">
        <v>7918</v>
      </c>
      <c r="R1264" s="14" t="s">
        <v>7919</v>
      </c>
      <c r="S1264" s="15"/>
      <c r="T1264" s="15"/>
      <c r="U1264" s="15"/>
      <c r="V1264" s="15"/>
    </row>
    <row r="1265" spans="1:22" x14ac:dyDescent="0.25">
      <c r="A1265" s="14" t="s">
        <v>141</v>
      </c>
      <c r="B1265" s="14" t="s">
        <v>7920</v>
      </c>
      <c r="C1265" s="14" t="s">
        <v>7921</v>
      </c>
      <c r="D1265" s="18"/>
      <c r="E1265" s="14">
        <v>2019</v>
      </c>
      <c r="F1265" s="18"/>
      <c r="G1265" s="18"/>
      <c r="H1265" s="14" t="s">
        <v>6506</v>
      </c>
      <c r="I1265" s="18"/>
      <c r="J1265" s="18"/>
      <c r="K1265" s="14" t="s">
        <v>7922</v>
      </c>
      <c r="L1265" s="20">
        <v>43525</v>
      </c>
      <c r="M1265" s="18"/>
      <c r="N1265" s="18"/>
      <c r="O1265" s="17" t="s">
        <v>7923</v>
      </c>
      <c r="P1265" s="14" t="s">
        <v>7924</v>
      </c>
      <c r="Q1265" s="14" t="s">
        <v>7925</v>
      </c>
      <c r="R1265" s="14" t="s">
        <v>7926</v>
      </c>
      <c r="S1265" s="15"/>
      <c r="T1265" s="15"/>
      <c r="U1265" s="15"/>
      <c r="V1265" s="15"/>
    </row>
    <row r="1266" spans="1:22" x14ac:dyDescent="0.25">
      <c r="A1266" s="14" t="s">
        <v>141</v>
      </c>
      <c r="B1266" s="14" t="s">
        <v>7927</v>
      </c>
      <c r="C1266" s="14" t="s">
        <v>7928</v>
      </c>
      <c r="D1266" s="18"/>
      <c r="E1266" s="14">
        <v>2017</v>
      </c>
      <c r="F1266" s="18"/>
      <c r="G1266" s="18"/>
      <c r="H1266" s="14" t="s">
        <v>7929</v>
      </c>
      <c r="I1266" s="18"/>
      <c r="J1266" s="18"/>
      <c r="K1266" s="14" t="s">
        <v>6518</v>
      </c>
      <c r="L1266" s="16">
        <v>43070</v>
      </c>
      <c r="M1266" s="18"/>
      <c r="N1266" s="18"/>
      <c r="O1266" s="17" t="s">
        <v>7930</v>
      </c>
      <c r="P1266" s="14" t="s">
        <v>7931</v>
      </c>
      <c r="Q1266" s="14" t="s">
        <v>7932</v>
      </c>
      <c r="R1266" s="14" t="s">
        <v>7933</v>
      </c>
      <c r="S1266" s="15"/>
      <c r="T1266" s="15"/>
      <c r="U1266" s="15"/>
      <c r="V1266" s="15"/>
    </row>
    <row r="1267" spans="1:22" x14ac:dyDescent="0.25">
      <c r="A1267" s="14" t="s">
        <v>13</v>
      </c>
      <c r="B1267" s="18"/>
      <c r="C1267" s="14" t="s">
        <v>7934</v>
      </c>
      <c r="D1267" s="14" t="s">
        <v>7935</v>
      </c>
      <c r="E1267" s="14">
        <v>2021</v>
      </c>
      <c r="F1267" s="18"/>
      <c r="G1267" s="18"/>
      <c r="H1267" s="14" t="s">
        <v>7936</v>
      </c>
      <c r="I1267" s="18"/>
      <c r="J1267" s="18"/>
      <c r="K1267" s="18"/>
      <c r="L1267" s="20">
        <v>44287</v>
      </c>
      <c r="M1267" s="18"/>
      <c r="N1267" s="18"/>
      <c r="O1267" s="17" t="s">
        <v>7937</v>
      </c>
      <c r="P1267" s="14" t="s">
        <v>7938</v>
      </c>
      <c r="Q1267" s="14" t="s">
        <v>7683</v>
      </c>
      <c r="R1267" s="14" t="s">
        <v>7939</v>
      </c>
      <c r="S1267" s="15"/>
      <c r="T1267" s="15"/>
      <c r="U1267" s="15"/>
      <c r="V1267" s="15"/>
    </row>
    <row r="1268" spans="1:22" x14ac:dyDescent="0.25">
      <c r="A1268" s="14" t="s">
        <v>13</v>
      </c>
      <c r="B1268" s="14" t="s">
        <v>7940</v>
      </c>
      <c r="C1268" s="14" t="s">
        <v>7941</v>
      </c>
      <c r="D1268" s="14" t="s">
        <v>4805</v>
      </c>
      <c r="E1268" s="14">
        <v>2022</v>
      </c>
      <c r="F1268" s="18"/>
      <c r="G1268" s="18"/>
      <c r="H1268" s="23">
        <v>44952</v>
      </c>
      <c r="I1268" s="18"/>
      <c r="J1268" s="18"/>
      <c r="K1268" s="18"/>
      <c r="L1268" s="14">
        <v>2022</v>
      </c>
      <c r="M1268" s="18"/>
      <c r="N1268" s="14" t="s">
        <v>7942</v>
      </c>
      <c r="O1268" s="17" t="s">
        <v>7943</v>
      </c>
      <c r="P1268" s="14" t="s">
        <v>7944</v>
      </c>
      <c r="Q1268" s="14" t="s">
        <v>7945</v>
      </c>
      <c r="R1268" s="14" t="s">
        <v>7946</v>
      </c>
      <c r="S1268" s="15"/>
      <c r="T1268" s="15"/>
      <c r="U1268" s="15"/>
      <c r="V1268" s="15"/>
    </row>
    <row r="1269" spans="1:22" x14ac:dyDescent="0.25">
      <c r="A1269" s="14" t="s">
        <v>141</v>
      </c>
      <c r="B1269" s="14" t="s">
        <v>4766</v>
      </c>
      <c r="C1269" s="14" t="s">
        <v>4767</v>
      </c>
      <c r="D1269" s="18"/>
      <c r="E1269" s="14">
        <v>2019</v>
      </c>
      <c r="F1269" s="18"/>
      <c r="G1269" s="18"/>
      <c r="H1269" s="14" t="s">
        <v>7947</v>
      </c>
      <c r="I1269" s="18"/>
      <c r="J1269" s="18"/>
      <c r="K1269" s="14" t="s">
        <v>7111</v>
      </c>
      <c r="L1269" s="20">
        <v>43647</v>
      </c>
      <c r="M1269" s="18"/>
      <c r="N1269" s="18"/>
      <c r="O1269" s="17" t="s">
        <v>7948</v>
      </c>
      <c r="P1269" s="14" t="s">
        <v>4770</v>
      </c>
      <c r="Q1269" s="14" t="s">
        <v>7949</v>
      </c>
      <c r="R1269" s="14" t="s">
        <v>7950</v>
      </c>
      <c r="S1269" s="15"/>
      <c r="T1269" s="15"/>
      <c r="U1269" s="15"/>
      <c r="V1269" s="15"/>
    </row>
    <row r="1270" spans="1:22" x14ac:dyDescent="0.25">
      <c r="A1270" s="14" t="s">
        <v>141</v>
      </c>
      <c r="B1270" s="14" t="s">
        <v>7951</v>
      </c>
      <c r="C1270" s="14" t="s">
        <v>7952</v>
      </c>
      <c r="D1270" s="18"/>
      <c r="E1270" s="14">
        <v>2021</v>
      </c>
      <c r="F1270" s="18"/>
      <c r="G1270" s="18"/>
      <c r="H1270" s="14" t="s">
        <v>7953</v>
      </c>
      <c r="I1270" s="18"/>
      <c r="J1270" s="18"/>
      <c r="K1270" s="14" t="s">
        <v>7954</v>
      </c>
      <c r="L1270" s="20">
        <v>44256</v>
      </c>
      <c r="M1270" s="18"/>
      <c r="N1270" s="18"/>
      <c r="O1270" s="17" t="s">
        <v>7955</v>
      </c>
      <c r="P1270" s="14" t="s">
        <v>7956</v>
      </c>
      <c r="Q1270" s="14" t="s">
        <v>7957</v>
      </c>
      <c r="R1270" s="14" t="s">
        <v>7958</v>
      </c>
      <c r="S1270" s="15"/>
      <c r="T1270" s="15"/>
      <c r="U1270" s="15"/>
      <c r="V1270" s="15"/>
    </row>
    <row r="1271" spans="1:22" x14ac:dyDescent="0.25">
      <c r="A1271" s="14" t="s">
        <v>13</v>
      </c>
      <c r="B1271" s="14" t="s">
        <v>7959</v>
      </c>
      <c r="C1271" s="14" t="s">
        <v>7960</v>
      </c>
      <c r="D1271" s="14" t="s">
        <v>668</v>
      </c>
      <c r="E1271" s="14">
        <v>2021</v>
      </c>
      <c r="F1271" s="14">
        <v>9</v>
      </c>
      <c r="G1271" s="18"/>
      <c r="H1271" s="14" t="s">
        <v>7961</v>
      </c>
      <c r="I1271" s="18"/>
      <c r="J1271" s="18"/>
      <c r="K1271" s="18"/>
      <c r="L1271" s="14">
        <v>2021</v>
      </c>
      <c r="M1271" s="18"/>
      <c r="N1271" s="14" t="s">
        <v>670</v>
      </c>
      <c r="O1271" s="17" t="s">
        <v>7962</v>
      </c>
      <c r="P1271" s="14" t="s">
        <v>7963</v>
      </c>
      <c r="Q1271" s="14" t="s">
        <v>7964</v>
      </c>
      <c r="R1271" s="14" t="s">
        <v>7965</v>
      </c>
      <c r="S1271" s="15"/>
      <c r="T1271" s="15"/>
      <c r="U1271" s="15"/>
      <c r="V1271" s="15"/>
    </row>
    <row r="1272" spans="1:22" x14ac:dyDescent="0.25">
      <c r="A1272" s="14" t="s">
        <v>141</v>
      </c>
      <c r="B1272" s="14" t="s">
        <v>7966</v>
      </c>
      <c r="C1272" s="14" t="s">
        <v>1490</v>
      </c>
      <c r="D1272" s="18"/>
      <c r="E1272" s="14">
        <v>2022</v>
      </c>
      <c r="F1272" s="18"/>
      <c r="G1272" s="18"/>
      <c r="H1272" s="14" t="s">
        <v>7967</v>
      </c>
      <c r="I1272" s="18"/>
      <c r="J1272" s="18"/>
      <c r="K1272" s="14" t="s">
        <v>7968</v>
      </c>
      <c r="L1272" s="20">
        <v>44652</v>
      </c>
      <c r="M1272" s="18"/>
      <c r="N1272" s="18"/>
      <c r="O1272" s="17" t="s">
        <v>7969</v>
      </c>
      <c r="P1272" s="14" t="s">
        <v>1493</v>
      </c>
      <c r="Q1272" s="14" t="s">
        <v>7970</v>
      </c>
      <c r="R1272" s="14" t="s">
        <v>7971</v>
      </c>
      <c r="S1272" s="15"/>
      <c r="T1272" s="15"/>
      <c r="U1272" s="15"/>
      <c r="V1272" s="15"/>
    </row>
    <row r="1273" spans="1:22" x14ac:dyDescent="0.25">
      <c r="A1273" s="14" t="s">
        <v>7972</v>
      </c>
      <c r="B1273" s="14" t="s">
        <v>7973</v>
      </c>
      <c r="C1273" s="14" t="s">
        <v>7974</v>
      </c>
      <c r="D1273" s="18"/>
      <c r="E1273" s="14">
        <v>2022</v>
      </c>
      <c r="F1273" s="18"/>
      <c r="G1273" s="18"/>
      <c r="H1273" s="14" t="s">
        <v>7975</v>
      </c>
      <c r="I1273" s="14" t="s">
        <v>7976</v>
      </c>
      <c r="J1273" s="14" t="s">
        <v>7977</v>
      </c>
      <c r="K1273" s="18"/>
      <c r="L1273" s="14">
        <v>2022</v>
      </c>
      <c r="M1273" s="14">
        <v>9781119854333</v>
      </c>
      <c r="N1273" s="18"/>
      <c r="O1273" s="17" t="s">
        <v>7978</v>
      </c>
      <c r="P1273" s="18"/>
      <c r="Q1273" s="14" t="s">
        <v>7979</v>
      </c>
      <c r="R1273" s="14" t="s">
        <v>7980</v>
      </c>
      <c r="S1273" s="15"/>
      <c r="T1273" s="15"/>
      <c r="U1273" s="15"/>
      <c r="V1273" s="15"/>
    </row>
    <row r="1274" spans="1:22" x14ac:dyDescent="0.25">
      <c r="A1274" s="14" t="s">
        <v>141</v>
      </c>
      <c r="B1274" s="14" t="s">
        <v>7981</v>
      </c>
      <c r="C1274" s="14" t="s">
        <v>7982</v>
      </c>
      <c r="D1274" s="18"/>
      <c r="E1274" s="14">
        <v>2020</v>
      </c>
      <c r="F1274" s="18"/>
      <c r="G1274" s="18"/>
      <c r="H1274" s="14" t="s">
        <v>7983</v>
      </c>
      <c r="I1274" s="18"/>
      <c r="J1274" s="18"/>
      <c r="K1274" s="14" t="s">
        <v>7984</v>
      </c>
      <c r="L1274" s="20">
        <v>43922</v>
      </c>
      <c r="M1274" s="18"/>
      <c r="N1274" s="18"/>
      <c r="O1274" s="17" t="s">
        <v>7985</v>
      </c>
      <c r="P1274" s="14" t="s">
        <v>7986</v>
      </c>
      <c r="Q1274" s="14" t="s">
        <v>7987</v>
      </c>
      <c r="R1274" s="14" t="s">
        <v>7988</v>
      </c>
      <c r="S1274" s="15"/>
      <c r="T1274" s="15"/>
      <c r="U1274" s="15"/>
      <c r="V1274" s="15"/>
    </row>
    <row r="1275" spans="1:22" x14ac:dyDescent="0.25">
      <c r="A1275" s="14" t="s">
        <v>141</v>
      </c>
      <c r="B1275" s="14" t="s">
        <v>7989</v>
      </c>
      <c r="C1275" s="14" t="s">
        <v>7990</v>
      </c>
      <c r="D1275" s="18"/>
      <c r="E1275" s="14">
        <v>2020</v>
      </c>
      <c r="F1275" s="18"/>
      <c r="G1275" s="18"/>
      <c r="H1275" s="23">
        <v>44935</v>
      </c>
      <c r="I1275" s="18"/>
      <c r="J1275" s="18"/>
      <c r="K1275" s="14" t="s">
        <v>7991</v>
      </c>
      <c r="L1275" s="20">
        <v>44044</v>
      </c>
      <c r="M1275" s="18"/>
      <c r="N1275" s="14" t="s">
        <v>7219</v>
      </c>
      <c r="O1275" s="17" t="s">
        <v>7992</v>
      </c>
      <c r="P1275" s="14" t="s">
        <v>7993</v>
      </c>
      <c r="Q1275" s="14" t="s">
        <v>7994</v>
      </c>
      <c r="R1275" s="14" t="s">
        <v>7995</v>
      </c>
      <c r="S1275" s="15"/>
      <c r="T1275" s="15"/>
      <c r="U1275" s="15"/>
      <c r="V1275" s="15"/>
    </row>
    <row r="1276" spans="1:22" x14ac:dyDescent="0.25">
      <c r="A1276" s="14" t="s">
        <v>141</v>
      </c>
      <c r="B1276" s="14" t="s">
        <v>7996</v>
      </c>
      <c r="C1276" s="14" t="s">
        <v>7997</v>
      </c>
      <c r="D1276" s="18"/>
      <c r="E1276" s="14">
        <v>2020</v>
      </c>
      <c r="F1276" s="18"/>
      <c r="G1276" s="18"/>
      <c r="H1276" s="14" t="s">
        <v>7998</v>
      </c>
      <c r="I1276" s="18"/>
      <c r="J1276" s="18"/>
      <c r="K1276" s="14" t="s">
        <v>7999</v>
      </c>
      <c r="L1276" s="16">
        <v>44105</v>
      </c>
      <c r="M1276" s="18"/>
      <c r="N1276" s="18"/>
      <c r="O1276" s="17" t="s">
        <v>8000</v>
      </c>
      <c r="P1276" s="14" t="s">
        <v>8001</v>
      </c>
      <c r="Q1276" s="14" t="s">
        <v>8002</v>
      </c>
      <c r="R1276" s="14" t="s">
        <v>8003</v>
      </c>
      <c r="S1276" s="15"/>
      <c r="T1276" s="15"/>
      <c r="U1276" s="15"/>
      <c r="V1276" s="15"/>
    </row>
    <row r="1277" spans="1:22" x14ac:dyDescent="0.25">
      <c r="A1277" s="14" t="s">
        <v>141</v>
      </c>
      <c r="B1277" s="14" t="s">
        <v>8004</v>
      </c>
      <c r="C1277" s="14" t="s">
        <v>8005</v>
      </c>
      <c r="D1277" s="18"/>
      <c r="E1277" s="14">
        <v>2011</v>
      </c>
      <c r="F1277" s="18"/>
      <c r="G1277" s="18"/>
      <c r="H1277" s="14" t="s">
        <v>8006</v>
      </c>
      <c r="I1277" s="18"/>
      <c r="J1277" s="18"/>
      <c r="K1277" s="14" t="s">
        <v>8007</v>
      </c>
      <c r="L1277" s="16">
        <v>40848</v>
      </c>
      <c r="M1277" s="18"/>
      <c r="N1277" s="18"/>
      <c r="O1277" s="17" t="s">
        <v>8008</v>
      </c>
      <c r="P1277" s="14" t="s">
        <v>8009</v>
      </c>
      <c r="Q1277" s="14" t="s">
        <v>8010</v>
      </c>
      <c r="R1277" s="14" t="s">
        <v>8011</v>
      </c>
      <c r="S1277" s="15"/>
      <c r="T1277" s="15"/>
      <c r="U1277" s="15"/>
      <c r="V1277" s="15"/>
    </row>
    <row r="1278" spans="1:22" x14ac:dyDescent="0.25">
      <c r="A1278" s="14" t="s">
        <v>141</v>
      </c>
      <c r="B1278" s="14" t="s">
        <v>8012</v>
      </c>
      <c r="C1278" s="14" t="s">
        <v>8013</v>
      </c>
      <c r="D1278" s="18"/>
      <c r="E1278" s="14">
        <v>2021</v>
      </c>
      <c r="F1278" s="18"/>
      <c r="G1278" s="18"/>
      <c r="H1278" s="14" t="s">
        <v>8014</v>
      </c>
      <c r="I1278" s="18"/>
      <c r="J1278" s="18"/>
      <c r="K1278" s="14" t="s">
        <v>7278</v>
      </c>
      <c r="L1278" s="20">
        <v>44256</v>
      </c>
      <c r="M1278" s="18"/>
      <c r="N1278" s="14" t="s">
        <v>6593</v>
      </c>
      <c r="O1278" s="17" t="s">
        <v>8015</v>
      </c>
      <c r="P1278" s="14" t="s">
        <v>8016</v>
      </c>
      <c r="Q1278" s="14" t="s">
        <v>8017</v>
      </c>
      <c r="R1278" s="14" t="s">
        <v>8018</v>
      </c>
      <c r="S1278" s="15"/>
      <c r="T1278" s="15"/>
      <c r="U1278" s="15"/>
      <c r="V1278" s="15"/>
    </row>
    <row r="1279" spans="1:22" x14ac:dyDescent="0.25">
      <c r="A1279" s="14" t="s">
        <v>13</v>
      </c>
      <c r="B1279" s="14" t="s">
        <v>8019</v>
      </c>
      <c r="C1279" s="14" t="s">
        <v>8020</v>
      </c>
      <c r="D1279" s="14" t="s">
        <v>668</v>
      </c>
      <c r="E1279" s="14">
        <v>2022</v>
      </c>
      <c r="F1279" s="14">
        <v>10</v>
      </c>
      <c r="G1279" s="18"/>
      <c r="H1279" s="14" t="s">
        <v>8021</v>
      </c>
      <c r="I1279" s="18"/>
      <c r="J1279" s="18"/>
      <c r="K1279" s="18"/>
      <c r="L1279" s="14">
        <v>2022</v>
      </c>
      <c r="M1279" s="18"/>
      <c r="N1279" s="14" t="s">
        <v>670</v>
      </c>
      <c r="O1279" s="17" t="s">
        <v>8022</v>
      </c>
      <c r="P1279" s="14" t="s">
        <v>8023</v>
      </c>
      <c r="Q1279" s="14" t="s">
        <v>8024</v>
      </c>
      <c r="R1279" s="14" t="s">
        <v>8025</v>
      </c>
      <c r="S1279" s="15"/>
      <c r="T1279" s="15"/>
      <c r="U1279" s="15"/>
      <c r="V1279" s="15"/>
    </row>
    <row r="1280" spans="1:22" x14ac:dyDescent="0.25">
      <c r="A1280" s="14" t="s">
        <v>141</v>
      </c>
      <c r="B1280" s="14" t="s">
        <v>8026</v>
      </c>
      <c r="C1280" s="14" t="s">
        <v>8027</v>
      </c>
      <c r="D1280" s="18"/>
      <c r="E1280" s="14">
        <v>2022</v>
      </c>
      <c r="F1280" s="18"/>
      <c r="G1280" s="18"/>
      <c r="H1280" s="23">
        <v>44934</v>
      </c>
      <c r="I1280" s="18"/>
      <c r="J1280" s="18"/>
      <c r="K1280" s="14" t="s">
        <v>8028</v>
      </c>
      <c r="L1280" s="20">
        <v>44805</v>
      </c>
      <c r="M1280" s="18"/>
      <c r="N1280" s="18"/>
      <c r="O1280" s="17" t="s">
        <v>8029</v>
      </c>
      <c r="P1280" s="14" t="s">
        <v>8030</v>
      </c>
      <c r="Q1280" s="14" t="s">
        <v>8031</v>
      </c>
      <c r="R1280" s="14" t="s">
        <v>8032</v>
      </c>
      <c r="S1280" s="15"/>
      <c r="T1280" s="15"/>
      <c r="U1280" s="15"/>
      <c r="V1280" s="15"/>
    </row>
    <row r="1281" spans="1:22" x14ac:dyDescent="0.25">
      <c r="A1281" s="14" t="s">
        <v>141</v>
      </c>
      <c r="B1281" s="14" t="s">
        <v>8033</v>
      </c>
      <c r="C1281" s="14" t="s">
        <v>8034</v>
      </c>
      <c r="D1281" s="18"/>
      <c r="E1281" s="14">
        <v>2022</v>
      </c>
      <c r="F1281" s="18"/>
      <c r="G1281" s="18"/>
      <c r="H1281" s="14" t="s">
        <v>8035</v>
      </c>
      <c r="I1281" s="18"/>
      <c r="J1281" s="18"/>
      <c r="K1281" s="14" t="s">
        <v>7558</v>
      </c>
      <c r="L1281" s="16">
        <v>44835</v>
      </c>
      <c r="M1281" s="18"/>
      <c r="N1281" s="14" t="s">
        <v>6449</v>
      </c>
      <c r="O1281" s="17" t="s">
        <v>8036</v>
      </c>
      <c r="P1281" s="14" t="s">
        <v>8037</v>
      </c>
      <c r="Q1281" s="14" t="s">
        <v>8038</v>
      </c>
      <c r="R1281" s="14" t="s">
        <v>8039</v>
      </c>
      <c r="S1281" s="15"/>
      <c r="T1281" s="15"/>
      <c r="U1281" s="15"/>
      <c r="V1281" s="15"/>
    </row>
    <row r="1282" spans="1:22" x14ac:dyDescent="0.25">
      <c r="A1282" s="14" t="s">
        <v>141</v>
      </c>
      <c r="B1282" s="14" t="s">
        <v>8040</v>
      </c>
      <c r="C1282" s="14" t="s">
        <v>8041</v>
      </c>
      <c r="D1282" s="18"/>
      <c r="E1282" s="14">
        <v>2014</v>
      </c>
      <c r="F1282" s="18"/>
      <c r="G1282" s="18"/>
      <c r="H1282" s="14" t="s">
        <v>8042</v>
      </c>
      <c r="I1282" s="18"/>
      <c r="J1282" s="18"/>
      <c r="K1282" s="14" t="s">
        <v>8043</v>
      </c>
      <c r="L1282" s="20">
        <v>41671</v>
      </c>
      <c r="M1282" s="18"/>
      <c r="N1282" s="18"/>
      <c r="O1282" s="17" t="s">
        <v>8044</v>
      </c>
      <c r="P1282" s="14" t="s">
        <v>8045</v>
      </c>
      <c r="Q1282" s="14" t="s">
        <v>8046</v>
      </c>
      <c r="R1282" s="14" t="s">
        <v>8047</v>
      </c>
      <c r="S1282" s="15"/>
      <c r="T1282" s="15"/>
      <c r="U1282" s="15"/>
      <c r="V1282" s="15"/>
    </row>
    <row r="1283" spans="1:22" x14ac:dyDescent="0.25">
      <c r="A1283" s="14" t="s">
        <v>141</v>
      </c>
      <c r="B1283" s="14" t="s">
        <v>8048</v>
      </c>
      <c r="C1283" s="14" t="s">
        <v>8049</v>
      </c>
      <c r="D1283" s="18"/>
      <c r="E1283" s="14">
        <v>2019</v>
      </c>
      <c r="F1283" s="18"/>
      <c r="G1283" s="18"/>
      <c r="H1283" s="14" t="s">
        <v>8050</v>
      </c>
      <c r="I1283" s="18"/>
      <c r="J1283" s="18"/>
      <c r="K1283" s="14" t="s">
        <v>8051</v>
      </c>
      <c r="L1283" s="20">
        <v>43617</v>
      </c>
      <c r="M1283" s="18"/>
      <c r="N1283" s="18"/>
      <c r="O1283" s="17" t="s">
        <v>8052</v>
      </c>
      <c r="P1283" s="14" t="s">
        <v>8053</v>
      </c>
      <c r="Q1283" s="14" t="s">
        <v>8054</v>
      </c>
      <c r="R1283" s="14" t="s">
        <v>8055</v>
      </c>
      <c r="S1283" s="15"/>
      <c r="T1283" s="15"/>
      <c r="U1283" s="15"/>
      <c r="V1283" s="15"/>
    </row>
    <row r="1284" spans="1:22" x14ac:dyDescent="0.25">
      <c r="A1284" s="14" t="s">
        <v>141</v>
      </c>
      <c r="B1284" s="14" t="s">
        <v>8056</v>
      </c>
      <c r="C1284" s="14" t="s">
        <v>8057</v>
      </c>
      <c r="D1284" s="18"/>
      <c r="E1284" s="14">
        <v>2020</v>
      </c>
      <c r="F1284" s="18"/>
      <c r="G1284" s="18"/>
      <c r="H1284" s="14" t="s">
        <v>8058</v>
      </c>
      <c r="I1284" s="18"/>
      <c r="J1284" s="18"/>
      <c r="K1284" s="14" t="s">
        <v>8059</v>
      </c>
      <c r="L1284" s="20">
        <v>43891</v>
      </c>
      <c r="M1284" s="18"/>
      <c r="N1284" s="18"/>
      <c r="O1284" s="17" t="s">
        <v>8060</v>
      </c>
      <c r="P1284" s="14" t="s">
        <v>8061</v>
      </c>
      <c r="Q1284" s="14" t="s">
        <v>8062</v>
      </c>
      <c r="R1284" s="14" t="s">
        <v>8063</v>
      </c>
      <c r="S1284" s="15"/>
      <c r="T1284" s="15"/>
      <c r="U1284" s="15"/>
      <c r="V1284" s="15"/>
    </row>
    <row r="1285" spans="1:22" x14ac:dyDescent="0.25">
      <c r="A1285" s="14" t="s">
        <v>141</v>
      </c>
      <c r="B1285" s="14" t="s">
        <v>8064</v>
      </c>
      <c r="C1285" s="14" t="s">
        <v>3410</v>
      </c>
      <c r="D1285" s="18"/>
      <c r="E1285" s="14">
        <v>2021</v>
      </c>
      <c r="F1285" s="18"/>
      <c r="G1285" s="18"/>
      <c r="H1285" s="14" t="s">
        <v>8065</v>
      </c>
      <c r="I1285" s="18"/>
      <c r="J1285" s="18"/>
      <c r="K1285" s="14" t="s">
        <v>6225</v>
      </c>
      <c r="L1285" s="20">
        <v>44317</v>
      </c>
      <c r="M1285" s="18"/>
      <c r="N1285" s="14" t="s">
        <v>6226</v>
      </c>
      <c r="O1285" s="17" t="s">
        <v>8066</v>
      </c>
      <c r="P1285" s="14" t="s">
        <v>3413</v>
      </c>
      <c r="Q1285" s="14" t="s">
        <v>8067</v>
      </c>
      <c r="R1285" s="14" t="s">
        <v>8068</v>
      </c>
      <c r="S1285" s="15"/>
      <c r="T1285" s="15"/>
      <c r="U1285" s="15"/>
      <c r="V1285" s="15"/>
    </row>
    <row r="1286" spans="1:22" x14ac:dyDescent="0.25">
      <c r="A1286" s="14" t="s">
        <v>13</v>
      </c>
      <c r="B1286" s="14" t="s">
        <v>4803</v>
      </c>
      <c r="C1286" s="14" t="s">
        <v>8069</v>
      </c>
      <c r="D1286" s="14" t="s">
        <v>4805</v>
      </c>
      <c r="E1286" s="14">
        <v>2020</v>
      </c>
      <c r="F1286" s="14">
        <v>108</v>
      </c>
      <c r="G1286" s="14">
        <v>7</v>
      </c>
      <c r="H1286" s="14" t="s">
        <v>8070</v>
      </c>
      <c r="I1286" s="18"/>
      <c r="J1286" s="18"/>
      <c r="K1286" s="18"/>
      <c r="L1286" s="20">
        <v>44013</v>
      </c>
      <c r="M1286" s="18"/>
      <c r="N1286" s="14" t="s">
        <v>7942</v>
      </c>
      <c r="O1286" s="17" t="s">
        <v>8071</v>
      </c>
      <c r="P1286" s="14" t="s">
        <v>4809</v>
      </c>
      <c r="Q1286" s="14" t="s">
        <v>8072</v>
      </c>
      <c r="R1286" s="14" t="s">
        <v>8073</v>
      </c>
      <c r="S1286" s="15"/>
      <c r="T1286" s="15"/>
      <c r="U1286" s="15"/>
      <c r="V1286" s="15"/>
    </row>
    <row r="1287" spans="1:22" x14ac:dyDescent="0.25">
      <c r="A1287" s="14" t="s">
        <v>13</v>
      </c>
      <c r="B1287" s="14" t="s">
        <v>6305</v>
      </c>
      <c r="C1287" s="14" t="s">
        <v>8074</v>
      </c>
      <c r="D1287" s="14" t="s">
        <v>6307</v>
      </c>
      <c r="E1287" s="14">
        <v>2019</v>
      </c>
      <c r="F1287" s="14">
        <v>21</v>
      </c>
      <c r="G1287" s="14">
        <v>3</v>
      </c>
      <c r="H1287" s="14" t="s">
        <v>8075</v>
      </c>
      <c r="I1287" s="18"/>
      <c r="J1287" s="18"/>
      <c r="K1287" s="18"/>
      <c r="L1287" s="20">
        <v>43586</v>
      </c>
      <c r="M1287" s="18"/>
      <c r="N1287" s="14" t="s">
        <v>6309</v>
      </c>
      <c r="O1287" s="17" t="s">
        <v>8076</v>
      </c>
      <c r="P1287" s="14" t="s">
        <v>8077</v>
      </c>
      <c r="Q1287" s="14" t="s">
        <v>8078</v>
      </c>
      <c r="R1287" s="14" t="s">
        <v>8079</v>
      </c>
      <c r="S1287" s="15"/>
      <c r="T1287" s="15"/>
      <c r="U1287" s="15"/>
      <c r="V1287" s="15"/>
    </row>
    <row r="1288" spans="1:22" x14ac:dyDescent="0.25">
      <c r="A1288" s="14" t="s">
        <v>141</v>
      </c>
      <c r="B1288" s="14" t="s">
        <v>8080</v>
      </c>
      <c r="C1288" s="14" t="s">
        <v>8081</v>
      </c>
      <c r="D1288" s="18"/>
      <c r="E1288" s="14">
        <v>2017</v>
      </c>
      <c r="F1288" s="18"/>
      <c r="G1288" s="18"/>
      <c r="H1288" s="23">
        <v>45184</v>
      </c>
      <c r="I1288" s="18"/>
      <c r="J1288" s="18"/>
      <c r="K1288" s="14" t="s">
        <v>8082</v>
      </c>
      <c r="L1288" s="20">
        <v>42856</v>
      </c>
      <c r="M1288" s="18"/>
      <c r="N1288" s="18"/>
      <c r="O1288" s="17" t="s">
        <v>8083</v>
      </c>
      <c r="P1288" s="14" t="s">
        <v>8084</v>
      </c>
      <c r="Q1288" s="14" t="s">
        <v>8085</v>
      </c>
      <c r="R1288" s="14" t="s">
        <v>8086</v>
      </c>
      <c r="S1288" s="15"/>
      <c r="T1288" s="15"/>
      <c r="U1288" s="15"/>
      <c r="V1288" s="15"/>
    </row>
    <row r="1289" spans="1:22" x14ac:dyDescent="0.25">
      <c r="A1289" s="14" t="s">
        <v>13</v>
      </c>
      <c r="B1289" s="14" t="s">
        <v>1684</v>
      </c>
      <c r="C1289" s="14" t="s">
        <v>1685</v>
      </c>
      <c r="D1289" s="14" t="s">
        <v>1686</v>
      </c>
      <c r="E1289" s="14">
        <v>2021</v>
      </c>
      <c r="F1289" s="14">
        <v>8</v>
      </c>
      <c r="G1289" s="14">
        <v>22</v>
      </c>
      <c r="H1289" s="14" t="s">
        <v>8087</v>
      </c>
      <c r="I1289" s="18"/>
      <c r="J1289" s="18"/>
      <c r="K1289" s="18"/>
      <c r="L1289" s="16">
        <v>44501</v>
      </c>
      <c r="M1289" s="18"/>
      <c r="N1289" s="14" t="s">
        <v>1688</v>
      </c>
      <c r="O1289" s="17" t="s">
        <v>8088</v>
      </c>
      <c r="P1289" s="14" t="s">
        <v>1690</v>
      </c>
      <c r="Q1289" s="14" t="s">
        <v>8089</v>
      </c>
      <c r="R1289" s="14" t="s">
        <v>8090</v>
      </c>
      <c r="S1289" s="15"/>
      <c r="T1289" s="15"/>
      <c r="U1289" s="15"/>
      <c r="V1289" s="15"/>
    </row>
    <row r="1290" spans="1:22" x14ac:dyDescent="0.25">
      <c r="A1290" s="14" t="s">
        <v>13</v>
      </c>
      <c r="B1290" s="14" t="s">
        <v>8091</v>
      </c>
      <c r="C1290" s="14" t="s">
        <v>8092</v>
      </c>
      <c r="D1290" s="14" t="s">
        <v>4637</v>
      </c>
      <c r="E1290" s="14">
        <v>2019</v>
      </c>
      <c r="F1290" s="14">
        <v>36</v>
      </c>
      <c r="G1290" s="14">
        <v>6</v>
      </c>
      <c r="H1290" s="23">
        <v>45118</v>
      </c>
      <c r="I1290" s="18"/>
      <c r="J1290" s="18"/>
      <c r="K1290" s="18"/>
      <c r="L1290" s="16">
        <v>43770</v>
      </c>
      <c r="M1290" s="18"/>
      <c r="N1290" s="14" t="s">
        <v>6207</v>
      </c>
      <c r="O1290" s="17" t="s">
        <v>8093</v>
      </c>
      <c r="P1290" s="14" t="s">
        <v>8094</v>
      </c>
      <c r="Q1290" s="14" t="s">
        <v>8095</v>
      </c>
      <c r="R1290" s="14" t="s">
        <v>8096</v>
      </c>
      <c r="S1290" s="15"/>
      <c r="T1290" s="15"/>
      <c r="U1290" s="15"/>
      <c r="V1290" s="15"/>
    </row>
    <row r="1291" spans="1:22" x14ac:dyDescent="0.25">
      <c r="A1291" s="14" t="s">
        <v>141</v>
      </c>
      <c r="B1291" s="14" t="s">
        <v>8097</v>
      </c>
      <c r="C1291" s="14" t="s">
        <v>8098</v>
      </c>
      <c r="D1291" s="18"/>
      <c r="E1291" s="14">
        <v>2020</v>
      </c>
      <c r="F1291" s="18"/>
      <c r="G1291" s="18"/>
      <c r="H1291" s="14" t="s">
        <v>8099</v>
      </c>
      <c r="I1291" s="18"/>
      <c r="J1291" s="18"/>
      <c r="K1291" s="14" t="s">
        <v>8100</v>
      </c>
      <c r="L1291" s="20">
        <v>43922</v>
      </c>
      <c r="M1291" s="18"/>
      <c r="N1291" s="14" t="s">
        <v>8101</v>
      </c>
      <c r="O1291" s="17" t="s">
        <v>8102</v>
      </c>
      <c r="P1291" s="14" t="s">
        <v>8103</v>
      </c>
      <c r="Q1291" s="14" t="s">
        <v>8104</v>
      </c>
      <c r="R1291" s="14" t="s">
        <v>8105</v>
      </c>
      <c r="S1291" s="15"/>
      <c r="T1291" s="15"/>
      <c r="U1291" s="15"/>
      <c r="V1291" s="15"/>
    </row>
    <row r="1292" spans="1:22" x14ac:dyDescent="0.25">
      <c r="A1292" s="14" t="s">
        <v>13</v>
      </c>
      <c r="B1292" s="14" t="s">
        <v>8106</v>
      </c>
      <c r="C1292" s="14" t="s">
        <v>8107</v>
      </c>
      <c r="D1292" s="14" t="s">
        <v>4637</v>
      </c>
      <c r="E1292" s="14">
        <v>2022</v>
      </c>
      <c r="F1292" s="14">
        <v>39</v>
      </c>
      <c r="G1292" s="14">
        <v>3</v>
      </c>
      <c r="H1292" s="23">
        <v>45280</v>
      </c>
      <c r="I1292" s="18"/>
      <c r="J1292" s="18"/>
      <c r="K1292" s="18"/>
      <c r="L1292" s="20">
        <v>44682</v>
      </c>
      <c r="M1292" s="18"/>
      <c r="N1292" s="14" t="s">
        <v>6207</v>
      </c>
      <c r="O1292" s="17" t="s">
        <v>8108</v>
      </c>
      <c r="P1292" s="14" t="s">
        <v>8109</v>
      </c>
      <c r="Q1292" s="14" t="s">
        <v>8110</v>
      </c>
      <c r="R1292" s="14" t="s">
        <v>8111</v>
      </c>
      <c r="S1292" s="15"/>
      <c r="T1292" s="15"/>
      <c r="U1292" s="15"/>
      <c r="V1292" s="15"/>
    </row>
    <row r="1293" spans="1:22" x14ac:dyDescent="0.25">
      <c r="A1293" s="14" t="s">
        <v>13</v>
      </c>
      <c r="B1293" s="14" t="s">
        <v>8112</v>
      </c>
      <c r="C1293" s="14" t="s">
        <v>8113</v>
      </c>
      <c r="D1293" s="14" t="s">
        <v>8114</v>
      </c>
      <c r="E1293" s="14">
        <v>2020</v>
      </c>
      <c r="F1293" s="14">
        <v>64</v>
      </c>
      <c r="G1293" s="25">
        <v>44989</v>
      </c>
      <c r="H1293" s="14" t="s">
        <v>8115</v>
      </c>
      <c r="I1293" s="18"/>
      <c r="J1293" s="18"/>
      <c r="K1293" s="18"/>
      <c r="L1293" s="20">
        <v>43952</v>
      </c>
      <c r="M1293" s="18"/>
      <c r="N1293" s="14" t="s">
        <v>8116</v>
      </c>
      <c r="O1293" s="17" t="s">
        <v>8117</v>
      </c>
      <c r="P1293" s="14" t="s">
        <v>8118</v>
      </c>
      <c r="Q1293" s="14" t="s">
        <v>8119</v>
      </c>
      <c r="R1293" s="14" t="s">
        <v>8120</v>
      </c>
      <c r="S1293" s="15"/>
      <c r="T1293" s="15"/>
      <c r="U1293" s="15"/>
      <c r="V1293" s="15"/>
    </row>
    <row r="1294" spans="1:22" x14ac:dyDescent="0.25">
      <c r="A1294" s="14" t="s">
        <v>141</v>
      </c>
      <c r="B1294" s="14" t="s">
        <v>8121</v>
      </c>
      <c r="C1294" s="14" t="s">
        <v>8122</v>
      </c>
      <c r="D1294" s="18"/>
      <c r="E1294" s="14">
        <v>2019</v>
      </c>
      <c r="F1294" s="18"/>
      <c r="G1294" s="18"/>
      <c r="H1294" s="14" t="s">
        <v>8123</v>
      </c>
      <c r="I1294" s="18"/>
      <c r="J1294" s="18"/>
      <c r="K1294" s="14" t="s">
        <v>8124</v>
      </c>
      <c r="L1294" s="16">
        <v>43800</v>
      </c>
      <c r="M1294" s="18"/>
      <c r="N1294" s="18"/>
      <c r="O1294" s="17" t="s">
        <v>8125</v>
      </c>
      <c r="P1294" s="14" t="s">
        <v>8126</v>
      </c>
      <c r="Q1294" s="14" t="s">
        <v>8127</v>
      </c>
      <c r="R1294" s="14" t="s">
        <v>8128</v>
      </c>
      <c r="S1294" s="15"/>
      <c r="T1294" s="15"/>
      <c r="U1294" s="15"/>
      <c r="V1294" s="15"/>
    </row>
    <row r="1295" spans="1:22" x14ac:dyDescent="0.25">
      <c r="A1295" s="14" t="s">
        <v>141</v>
      </c>
      <c r="B1295" s="14" t="s">
        <v>8129</v>
      </c>
      <c r="C1295" s="14" t="s">
        <v>2112</v>
      </c>
      <c r="D1295" s="18"/>
      <c r="E1295" s="14">
        <v>2022</v>
      </c>
      <c r="F1295" s="18"/>
      <c r="G1295" s="18"/>
      <c r="H1295" s="14" t="s">
        <v>8130</v>
      </c>
      <c r="I1295" s="18"/>
      <c r="J1295" s="18"/>
      <c r="K1295" s="14" t="s">
        <v>6469</v>
      </c>
      <c r="L1295" s="20">
        <v>44682</v>
      </c>
      <c r="M1295" s="18"/>
      <c r="N1295" s="14" t="s">
        <v>6152</v>
      </c>
      <c r="O1295" s="17" t="s">
        <v>8131</v>
      </c>
      <c r="P1295" s="14" t="s">
        <v>2115</v>
      </c>
      <c r="Q1295" s="14" t="s">
        <v>8132</v>
      </c>
      <c r="R1295" s="14" t="s">
        <v>8133</v>
      </c>
      <c r="S1295" s="15"/>
      <c r="T1295" s="15"/>
      <c r="U1295" s="15"/>
      <c r="V1295" s="15"/>
    </row>
    <row r="1296" spans="1:22" x14ac:dyDescent="0.25">
      <c r="A1296" s="14" t="s">
        <v>7972</v>
      </c>
      <c r="B1296" s="14" t="s">
        <v>8134</v>
      </c>
      <c r="C1296" s="14" t="s">
        <v>8135</v>
      </c>
      <c r="D1296" s="18"/>
      <c r="E1296" s="14">
        <v>2020</v>
      </c>
      <c r="F1296" s="18"/>
      <c r="G1296" s="18"/>
      <c r="H1296" s="14" t="s">
        <v>8136</v>
      </c>
      <c r="I1296" s="14" t="s">
        <v>7976</v>
      </c>
      <c r="J1296" s="14" t="s">
        <v>8137</v>
      </c>
      <c r="K1296" s="18"/>
      <c r="L1296" s="14">
        <v>2020</v>
      </c>
      <c r="M1296" s="14">
        <v>9781119642831</v>
      </c>
      <c r="N1296" s="18"/>
      <c r="O1296" s="17" t="s">
        <v>8138</v>
      </c>
      <c r="P1296" s="14" t="s">
        <v>8139</v>
      </c>
      <c r="Q1296" s="14" t="s">
        <v>8140</v>
      </c>
      <c r="R1296" s="14" t="s">
        <v>8141</v>
      </c>
      <c r="S1296" s="15"/>
      <c r="T1296" s="15"/>
      <c r="U1296" s="15"/>
      <c r="V1296" s="15"/>
    </row>
    <row r="1297" spans="1:22" x14ac:dyDescent="0.25">
      <c r="A1297" s="14" t="s">
        <v>141</v>
      </c>
      <c r="B1297" s="14" t="s">
        <v>8142</v>
      </c>
      <c r="C1297" s="14" t="s">
        <v>8143</v>
      </c>
      <c r="D1297" s="18"/>
      <c r="E1297" s="14">
        <v>2022</v>
      </c>
      <c r="F1297" s="18"/>
      <c r="G1297" s="18"/>
      <c r="H1297" s="14" t="s">
        <v>8144</v>
      </c>
      <c r="I1297" s="18"/>
      <c r="J1297" s="18"/>
      <c r="K1297" s="14" t="s">
        <v>7760</v>
      </c>
      <c r="L1297" s="16">
        <v>44835</v>
      </c>
      <c r="M1297" s="18"/>
      <c r="N1297" s="18"/>
      <c r="O1297" s="17" t="s">
        <v>8145</v>
      </c>
      <c r="P1297" s="14" t="s">
        <v>8146</v>
      </c>
      <c r="Q1297" s="14" t="s">
        <v>8147</v>
      </c>
      <c r="R1297" s="14" t="s">
        <v>8148</v>
      </c>
      <c r="S1297" s="15"/>
      <c r="T1297" s="15"/>
      <c r="U1297" s="15"/>
      <c r="V1297" s="15"/>
    </row>
    <row r="1298" spans="1:22" x14ac:dyDescent="0.25">
      <c r="A1298" s="14" t="s">
        <v>7972</v>
      </c>
      <c r="B1298" s="14" t="s">
        <v>8134</v>
      </c>
      <c r="C1298" s="14" t="s">
        <v>8149</v>
      </c>
      <c r="D1298" s="18"/>
      <c r="E1298" s="14">
        <v>2020</v>
      </c>
      <c r="F1298" s="18"/>
      <c r="G1298" s="18"/>
      <c r="H1298" s="14" t="s">
        <v>8150</v>
      </c>
      <c r="I1298" s="14" t="s">
        <v>7976</v>
      </c>
      <c r="J1298" s="14" t="s">
        <v>8137</v>
      </c>
      <c r="K1298" s="18"/>
      <c r="L1298" s="14">
        <v>2020</v>
      </c>
      <c r="M1298" s="14">
        <v>9781119642831</v>
      </c>
      <c r="N1298" s="18"/>
      <c r="O1298" s="17" t="s">
        <v>8151</v>
      </c>
      <c r="P1298" s="14" t="s">
        <v>8152</v>
      </c>
      <c r="Q1298" s="14" t="s">
        <v>8153</v>
      </c>
      <c r="R1298" s="14" t="s">
        <v>8154</v>
      </c>
      <c r="S1298" s="15"/>
      <c r="T1298" s="15"/>
      <c r="U1298" s="15"/>
      <c r="V1298" s="15"/>
    </row>
    <row r="1299" spans="1:22" x14ac:dyDescent="0.25">
      <c r="A1299" s="14" t="s">
        <v>141</v>
      </c>
      <c r="B1299" s="14" t="s">
        <v>1422</v>
      </c>
      <c r="C1299" s="14" t="s">
        <v>1423</v>
      </c>
      <c r="D1299" s="18"/>
      <c r="E1299" s="14">
        <v>2022</v>
      </c>
      <c r="F1299" s="18"/>
      <c r="G1299" s="18"/>
      <c r="H1299" s="14" t="s">
        <v>8155</v>
      </c>
      <c r="I1299" s="18"/>
      <c r="J1299" s="18"/>
      <c r="K1299" s="14" t="s">
        <v>6722</v>
      </c>
      <c r="L1299" s="20">
        <v>44682</v>
      </c>
      <c r="M1299" s="18"/>
      <c r="N1299" s="14" t="s">
        <v>6226</v>
      </c>
      <c r="O1299" s="17" t="s">
        <v>8156</v>
      </c>
      <c r="P1299" s="14" t="s">
        <v>1426</v>
      </c>
      <c r="Q1299" s="14" t="s">
        <v>8157</v>
      </c>
      <c r="R1299" s="14" t="s">
        <v>8158</v>
      </c>
      <c r="S1299" s="15"/>
      <c r="T1299" s="15"/>
      <c r="U1299" s="15"/>
      <c r="V1299" s="15"/>
    </row>
    <row r="1300" spans="1:22" x14ac:dyDescent="0.25">
      <c r="A1300" s="14" t="s">
        <v>141</v>
      </c>
      <c r="B1300" s="14" t="s">
        <v>8159</v>
      </c>
      <c r="C1300" s="14" t="s">
        <v>2551</v>
      </c>
      <c r="D1300" s="18"/>
      <c r="E1300" s="14">
        <v>2022</v>
      </c>
      <c r="F1300" s="18"/>
      <c r="G1300" s="18"/>
      <c r="H1300" s="14" t="s">
        <v>8160</v>
      </c>
      <c r="I1300" s="18"/>
      <c r="J1300" s="18"/>
      <c r="K1300" s="14" t="s">
        <v>6469</v>
      </c>
      <c r="L1300" s="20">
        <v>44682</v>
      </c>
      <c r="M1300" s="18"/>
      <c r="N1300" s="14" t="s">
        <v>6152</v>
      </c>
      <c r="O1300" s="17" t="s">
        <v>8161</v>
      </c>
      <c r="P1300" s="14" t="s">
        <v>2554</v>
      </c>
      <c r="Q1300" s="14" t="s">
        <v>8162</v>
      </c>
      <c r="R1300" s="14" t="s">
        <v>8163</v>
      </c>
      <c r="S1300" s="15"/>
      <c r="T1300" s="15"/>
      <c r="U1300" s="15"/>
      <c r="V1300" s="15"/>
    </row>
    <row r="1301" spans="1:22" x14ac:dyDescent="0.25">
      <c r="A1301" s="14" t="s">
        <v>7972</v>
      </c>
      <c r="B1301" s="14" t="s">
        <v>8134</v>
      </c>
      <c r="C1301" s="14" t="s">
        <v>8164</v>
      </c>
      <c r="D1301" s="18"/>
      <c r="E1301" s="14">
        <v>2020</v>
      </c>
      <c r="F1301" s="18"/>
      <c r="G1301" s="18"/>
      <c r="H1301" s="14" t="s">
        <v>8165</v>
      </c>
      <c r="I1301" s="14" t="s">
        <v>7976</v>
      </c>
      <c r="J1301" s="14" t="s">
        <v>8137</v>
      </c>
      <c r="K1301" s="18"/>
      <c r="L1301" s="14">
        <v>2020</v>
      </c>
      <c r="M1301" s="14">
        <v>9781119642831</v>
      </c>
      <c r="N1301" s="18"/>
      <c r="O1301" s="17" t="s">
        <v>8166</v>
      </c>
      <c r="P1301" s="14" t="s">
        <v>8167</v>
      </c>
      <c r="Q1301" s="18"/>
      <c r="R1301" s="18"/>
      <c r="S1301" s="15"/>
      <c r="T1301" s="15"/>
      <c r="U1301" s="15"/>
      <c r="V1301" s="15"/>
    </row>
    <row r="1302" spans="1:22" x14ac:dyDescent="0.25">
      <c r="A1302" s="14" t="s">
        <v>7972</v>
      </c>
      <c r="B1302" s="18"/>
      <c r="C1302" s="14" t="s">
        <v>8168</v>
      </c>
      <c r="D1302" s="18"/>
      <c r="E1302" s="14">
        <v>2020</v>
      </c>
      <c r="F1302" s="18"/>
      <c r="G1302" s="18"/>
      <c r="H1302" s="14" t="s">
        <v>6844</v>
      </c>
      <c r="I1302" s="14" t="s">
        <v>7976</v>
      </c>
      <c r="J1302" s="14" t="s">
        <v>8169</v>
      </c>
      <c r="K1302" s="18"/>
      <c r="L1302" s="14">
        <v>2020</v>
      </c>
      <c r="M1302" s="14">
        <v>9781119513940</v>
      </c>
      <c r="N1302" s="18"/>
      <c r="O1302" s="17" t="s">
        <v>8170</v>
      </c>
      <c r="P1302" s="14" t="s">
        <v>8171</v>
      </c>
      <c r="Q1302" s="18"/>
      <c r="R1302" s="18"/>
      <c r="S1302" s="15"/>
      <c r="T1302" s="15"/>
      <c r="U1302" s="15"/>
      <c r="V1302" s="15"/>
    </row>
    <row r="1303" spans="1:22" x14ac:dyDescent="0.25">
      <c r="A1303" s="14" t="s">
        <v>13</v>
      </c>
      <c r="B1303" s="14" t="s">
        <v>8172</v>
      </c>
      <c r="C1303" s="14" t="s">
        <v>8173</v>
      </c>
      <c r="D1303" s="14" t="s">
        <v>8174</v>
      </c>
      <c r="E1303" s="14">
        <v>2022</v>
      </c>
      <c r="F1303" s="14">
        <v>20</v>
      </c>
      <c r="G1303" s="14">
        <v>1</v>
      </c>
      <c r="H1303" s="14" t="s">
        <v>8175</v>
      </c>
      <c r="I1303" s="18"/>
      <c r="J1303" s="18"/>
      <c r="K1303" s="18"/>
      <c r="L1303" s="20">
        <v>44562</v>
      </c>
      <c r="M1303" s="18"/>
      <c r="N1303" s="14" t="s">
        <v>8176</v>
      </c>
      <c r="O1303" s="17" t="s">
        <v>8177</v>
      </c>
      <c r="P1303" s="14" t="s">
        <v>8178</v>
      </c>
      <c r="Q1303" s="14" t="s">
        <v>8179</v>
      </c>
      <c r="R1303" s="14" t="s">
        <v>8180</v>
      </c>
      <c r="S1303" s="15"/>
      <c r="T1303" s="15"/>
      <c r="U1303" s="15"/>
      <c r="V1303" s="15"/>
    </row>
    <row r="1304" spans="1:22" x14ac:dyDescent="0.25">
      <c r="A1304" s="14" t="s">
        <v>539</v>
      </c>
      <c r="B1304" s="14" t="s">
        <v>8181</v>
      </c>
      <c r="C1304" s="18"/>
      <c r="D1304" s="18"/>
      <c r="E1304" s="14">
        <v>2021</v>
      </c>
      <c r="F1304" s="18"/>
      <c r="G1304" s="18"/>
      <c r="H1304" s="18"/>
      <c r="I1304" s="14" t="s">
        <v>8182</v>
      </c>
      <c r="J1304" s="18"/>
      <c r="K1304" s="18"/>
      <c r="L1304" s="14">
        <v>2021</v>
      </c>
      <c r="M1304" s="14">
        <v>9781630817947</v>
      </c>
      <c r="N1304" s="18"/>
      <c r="O1304" s="17" t="s">
        <v>8183</v>
      </c>
      <c r="P1304" s="18"/>
      <c r="Q1304" s="14" t="s">
        <v>8184</v>
      </c>
      <c r="R1304" s="18"/>
      <c r="S1304" s="15"/>
      <c r="T1304" s="15"/>
      <c r="U1304" s="15"/>
      <c r="V1304" s="15"/>
    </row>
    <row r="1305" spans="1:22" x14ac:dyDescent="0.25">
      <c r="A1305" s="14" t="s">
        <v>141</v>
      </c>
      <c r="B1305" s="14" t="s">
        <v>8185</v>
      </c>
      <c r="C1305" s="14" t="s">
        <v>8186</v>
      </c>
      <c r="D1305" s="18"/>
      <c r="E1305" s="14">
        <v>2018</v>
      </c>
      <c r="F1305" s="18"/>
      <c r="G1305" s="18"/>
      <c r="H1305" s="14" t="s">
        <v>8187</v>
      </c>
      <c r="I1305" s="18"/>
      <c r="J1305" s="18"/>
      <c r="K1305" s="14" t="s">
        <v>6151</v>
      </c>
      <c r="L1305" s="20">
        <v>43221</v>
      </c>
      <c r="M1305" s="18"/>
      <c r="N1305" s="14" t="s">
        <v>6152</v>
      </c>
      <c r="O1305" s="18"/>
      <c r="P1305" s="18"/>
      <c r="Q1305" s="14" t="s">
        <v>8188</v>
      </c>
      <c r="R1305" s="14" t="s">
        <v>8189</v>
      </c>
      <c r="S1305" s="15"/>
      <c r="T1305" s="15"/>
      <c r="U1305" s="15"/>
      <c r="V1305" s="15"/>
    </row>
    <row r="1306" spans="1:22" x14ac:dyDescent="0.25">
      <c r="A1306" s="14" t="s">
        <v>7972</v>
      </c>
      <c r="B1306" s="18"/>
      <c r="C1306" s="14" t="s">
        <v>8190</v>
      </c>
      <c r="D1306" s="18"/>
      <c r="E1306" s="14">
        <v>2020</v>
      </c>
      <c r="F1306" s="18"/>
      <c r="G1306" s="18"/>
      <c r="H1306" s="14" t="s">
        <v>8191</v>
      </c>
      <c r="I1306" s="14" t="s">
        <v>7976</v>
      </c>
      <c r="J1306" s="14" t="s">
        <v>8169</v>
      </c>
      <c r="K1306" s="18"/>
      <c r="L1306" s="14">
        <v>2020</v>
      </c>
      <c r="M1306" s="14">
        <v>9781119513940</v>
      </c>
      <c r="N1306" s="18"/>
      <c r="O1306" s="17" t="s">
        <v>8192</v>
      </c>
      <c r="P1306" s="14" t="s">
        <v>8193</v>
      </c>
      <c r="Q1306" s="18"/>
      <c r="R1306" s="18"/>
      <c r="S1306" s="15"/>
      <c r="T1306" s="15"/>
      <c r="U1306" s="15"/>
      <c r="V1306" s="15"/>
    </row>
    <row r="1307" spans="1:22" x14ac:dyDescent="0.25">
      <c r="A1307" s="14" t="s">
        <v>539</v>
      </c>
      <c r="B1307" s="14" t="s">
        <v>8194</v>
      </c>
      <c r="C1307" s="18"/>
      <c r="D1307" s="18"/>
      <c r="E1307" s="14">
        <v>2021</v>
      </c>
      <c r="F1307" s="18"/>
      <c r="G1307" s="18"/>
      <c r="H1307" s="18"/>
      <c r="I1307" s="14" t="s">
        <v>8195</v>
      </c>
      <c r="J1307" s="18"/>
      <c r="K1307" s="18"/>
      <c r="L1307" s="14">
        <v>2021</v>
      </c>
      <c r="M1307" s="14">
        <v>9780691226750</v>
      </c>
      <c r="N1307" s="18"/>
      <c r="O1307" s="17" t="s">
        <v>8196</v>
      </c>
      <c r="P1307" s="18"/>
      <c r="Q1307" s="14" t="s">
        <v>8197</v>
      </c>
      <c r="R1307" s="18"/>
      <c r="S1307" s="15"/>
      <c r="T1307" s="15"/>
      <c r="U1307" s="15"/>
      <c r="V1307" s="15"/>
    </row>
    <row r="1308" spans="1:22" x14ac:dyDescent="0.25">
      <c r="A1308" s="14" t="s">
        <v>141</v>
      </c>
      <c r="B1308" s="14" t="s">
        <v>8198</v>
      </c>
      <c r="C1308" s="14" t="s">
        <v>8199</v>
      </c>
      <c r="D1308" s="18"/>
      <c r="E1308" s="14">
        <v>2020</v>
      </c>
      <c r="F1308" s="18"/>
      <c r="G1308" s="18"/>
      <c r="H1308" s="14" t="s">
        <v>8200</v>
      </c>
      <c r="I1308" s="18"/>
      <c r="J1308" s="18"/>
      <c r="K1308" s="14" t="s">
        <v>8201</v>
      </c>
      <c r="L1308" s="16">
        <v>44136</v>
      </c>
      <c r="M1308" s="18"/>
      <c r="N1308" s="14" t="s">
        <v>8202</v>
      </c>
      <c r="O1308" s="17" t="s">
        <v>8203</v>
      </c>
      <c r="P1308" s="14" t="s">
        <v>8204</v>
      </c>
      <c r="Q1308" s="14" t="s">
        <v>8205</v>
      </c>
      <c r="R1308" s="14" t="s">
        <v>8206</v>
      </c>
      <c r="S1308" s="15"/>
      <c r="T1308" s="15"/>
      <c r="U1308" s="15"/>
      <c r="V1308" s="15"/>
    </row>
    <row r="1309" spans="1:22" x14ac:dyDescent="0.25">
      <c r="A1309" s="14" t="s">
        <v>141</v>
      </c>
      <c r="B1309" s="14" t="s">
        <v>8207</v>
      </c>
      <c r="C1309" s="14" t="s">
        <v>8208</v>
      </c>
      <c r="D1309" s="18"/>
      <c r="E1309" s="14">
        <v>2021</v>
      </c>
      <c r="F1309" s="18"/>
      <c r="G1309" s="18"/>
      <c r="H1309" s="14" t="s">
        <v>8209</v>
      </c>
      <c r="I1309" s="18"/>
      <c r="J1309" s="18"/>
      <c r="K1309" s="14" t="s">
        <v>8210</v>
      </c>
      <c r="L1309" s="20">
        <v>44440</v>
      </c>
      <c r="M1309" s="18"/>
      <c r="N1309" s="18"/>
      <c r="O1309" s="17" t="s">
        <v>8211</v>
      </c>
      <c r="P1309" s="14" t="s">
        <v>8212</v>
      </c>
      <c r="Q1309" s="14" t="s">
        <v>8213</v>
      </c>
      <c r="R1309" s="14" t="s">
        <v>8214</v>
      </c>
      <c r="S1309" s="15"/>
      <c r="T1309" s="15"/>
      <c r="U1309" s="15"/>
      <c r="V1309" s="15"/>
    </row>
    <row r="1310" spans="1:22" x14ac:dyDescent="0.25">
      <c r="A1310" s="14" t="s">
        <v>7972</v>
      </c>
      <c r="B1310" s="14" t="s">
        <v>8215</v>
      </c>
      <c r="C1310" s="14" t="s">
        <v>8216</v>
      </c>
      <c r="D1310" s="18"/>
      <c r="E1310" s="14">
        <v>2021</v>
      </c>
      <c r="F1310" s="18"/>
      <c r="G1310" s="18"/>
      <c r="H1310" s="14" t="s">
        <v>8217</v>
      </c>
      <c r="I1310" s="14" t="s">
        <v>7976</v>
      </c>
      <c r="J1310" s="14" t="s">
        <v>8218</v>
      </c>
      <c r="K1310" s="18"/>
      <c r="L1310" s="14">
        <v>2021</v>
      </c>
      <c r="M1310" s="14">
        <v>9781119735427</v>
      </c>
      <c r="N1310" s="18"/>
      <c r="O1310" s="17" t="s">
        <v>8219</v>
      </c>
      <c r="P1310" s="18"/>
      <c r="Q1310" s="14" t="s">
        <v>8220</v>
      </c>
      <c r="R1310" s="14" t="s">
        <v>8221</v>
      </c>
      <c r="S1310" s="15"/>
      <c r="T1310" s="15"/>
      <c r="U1310" s="15"/>
      <c r="V1310" s="15"/>
    </row>
    <row r="1311" spans="1:22" x14ac:dyDescent="0.25">
      <c r="A1311" s="14" t="s">
        <v>13</v>
      </c>
      <c r="B1311" s="14" t="s">
        <v>8222</v>
      </c>
      <c r="C1311" s="14" t="s">
        <v>8223</v>
      </c>
      <c r="D1311" s="14" t="s">
        <v>8223</v>
      </c>
      <c r="E1311" s="14">
        <v>2022</v>
      </c>
      <c r="F1311" s="18"/>
      <c r="G1311" s="18"/>
      <c r="H1311" s="14" t="s">
        <v>8224</v>
      </c>
      <c r="I1311" s="18"/>
      <c r="J1311" s="18"/>
      <c r="K1311" s="18"/>
      <c r="L1311" s="16">
        <v>44866</v>
      </c>
      <c r="M1311" s="18"/>
      <c r="N1311" s="18"/>
      <c r="O1311" s="18"/>
      <c r="P1311" s="18"/>
      <c r="Q1311" s="14" t="s">
        <v>8225</v>
      </c>
      <c r="R1311" s="14" t="s">
        <v>8226</v>
      </c>
      <c r="S1311" s="15"/>
      <c r="T1311" s="15"/>
      <c r="U1311" s="15"/>
      <c r="V1311" s="15"/>
    </row>
    <row r="1312" spans="1:22" x14ac:dyDescent="0.25">
      <c r="A1312" s="14" t="s">
        <v>141</v>
      </c>
      <c r="B1312" s="14" t="s">
        <v>8227</v>
      </c>
      <c r="C1312" s="14" t="s">
        <v>8228</v>
      </c>
      <c r="D1312" s="18"/>
      <c r="E1312" s="14">
        <v>2021</v>
      </c>
      <c r="F1312" s="18"/>
      <c r="G1312" s="18"/>
      <c r="H1312" s="14" t="s">
        <v>8229</v>
      </c>
      <c r="I1312" s="18"/>
      <c r="J1312" s="18"/>
      <c r="K1312" s="14" t="s">
        <v>8230</v>
      </c>
      <c r="L1312" s="16">
        <v>44531</v>
      </c>
      <c r="M1312" s="18"/>
      <c r="N1312" s="14" t="s">
        <v>8231</v>
      </c>
      <c r="O1312" s="17" t="s">
        <v>8232</v>
      </c>
      <c r="P1312" s="14" t="s">
        <v>8233</v>
      </c>
      <c r="Q1312" s="14" t="s">
        <v>8234</v>
      </c>
      <c r="R1312" s="14" t="s">
        <v>8235</v>
      </c>
      <c r="S1312" s="15"/>
      <c r="T1312" s="15"/>
      <c r="U1312" s="15"/>
      <c r="V1312" s="15"/>
    </row>
    <row r="1313" spans="1:22" x14ac:dyDescent="0.25">
      <c r="A1313" s="14" t="s">
        <v>141</v>
      </c>
      <c r="B1313" s="14" t="s">
        <v>8236</v>
      </c>
      <c r="C1313" s="14" t="s">
        <v>8237</v>
      </c>
      <c r="D1313" s="18"/>
      <c r="E1313" s="14">
        <v>2022</v>
      </c>
      <c r="F1313" s="18"/>
      <c r="G1313" s="18"/>
      <c r="H1313" s="23">
        <v>44934</v>
      </c>
      <c r="I1313" s="18"/>
      <c r="J1313" s="18"/>
      <c r="K1313" s="14" t="s">
        <v>8238</v>
      </c>
      <c r="L1313" s="20">
        <v>44805</v>
      </c>
      <c r="M1313" s="18"/>
      <c r="N1313" s="18"/>
      <c r="O1313" s="17" t="s">
        <v>8239</v>
      </c>
      <c r="P1313" s="14" t="s">
        <v>8240</v>
      </c>
      <c r="Q1313" s="14" t="s">
        <v>8241</v>
      </c>
      <c r="R1313" s="14" t="s">
        <v>8242</v>
      </c>
      <c r="S1313" s="15"/>
      <c r="T1313" s="15"/>
      <c r="U1313" s="15"/>
      <c r="V1313" s="15"/>
    </row>
    <row r="1314" spans="1:22" x14ac:dyDescent="0.25">
      <c r="A1314" s="14" t="s">
        <v>141</v>
      </c>
      <c r="B1314" s="18"/>
      <c r="C1314" s="14" t="s">
        <v>8243</v>
      </c>
      <c r="D1314" s="18"/>
      <c r="E1314" s="14">
        <v>2020</v>
      </c>
      <c r="F1314" s="18"/>
      <c r="G1314" s="18"/>
      <c r="H1314" s="14" t="s">
        <v>8244</v>
      </c>
      <c r="I1314" s="18"/>
      <c r="J1314" s="18"/>
      <c r="K1314" s="14" t="s">
        <v>7782</v>
      </c>
      <c r="L1314" s="20">
        <v>43891</v>
      </c>
      <c r="M1314" s="18"/>
      <c r="N1314" s="14" t="s">
        <v>2902</v>
      </c>
      <c r="O1314" s="17" t="s">
        <v>8245</v>
      </c>
      <c r="P1314" s="14" t="s">
        <v>8246</v>
      </c>
      <c r="Q1314" s="14" t="s">
        <v>8247</v>
      </c>
      <c r="R1314" s="14" t="s">
        <v>8248</v>
      </c>
      <c r="S1314" s="15"/>
      <c r="T1314" s="15"/>
      <c r="U1314" s="15"/>
      <c r="V1314" s="15"/>
    </row>
    <row r="1315" spans="1:22" x14ac:dyDescent="0.25">
      <c r="A1315" s="14" t="s">
        <v>141</v>
      </c>
      <c r="B1315" s="14" t="s">
        <v>8249</v>
      </c>
      <c r="C1315" s="14" t="s">
        <v>8250</v>
      </c>
      <c r="D1315" s="18"/>
      <c r="E1315" s="14">
        <v>2022</v>
      </c>
      <c r="F1315" s="18"/>
      <c r="G1315" s="18"/>
      <c r="H1315" s="14" t="s">
        <v>8251</v>
      </c>
      <c r="I1315" s="18"/>
      <c r="J1315" s="18"/>
      <c r="K1315" s="14" t="s">
        <v>6469</v>
      </c>
      <c r="L1315" s="20">
        <v>44682</v>
      </c>
      <c r="M1315" s="18"/>
      <c r="N1315" s="14" t="s">
        <v>6152</v>
      </c>
      <c r="O1315" s="17" t="s">
        <v>8252</v>
      </c>
      <c r="P1315" s="14" t="s">
        <v>8253</v>
      </c>
      <c r="Q1315" s="14" t="s">
        <v>8254</v>
      </c>
      <c r="R1315" s="14" t="s">
        <v>8255</v>
      </c>
      <c r="S1315" s="15"/>
      <c r="T1315" s="15"/>
      <c r="U1315" s="15"/>
      <c r="V1315" s="15"/>
    </row>
    <row r="1316" spans="1:22" x14ac:dyDescent="0.25">
      <c r="A1316" s="14" t="s">
        <v>7972</v>
      </c>
      <c r="B1316" s="14" t="s">
        <v>8134</v>
      </c>
      <c r="C1316" s="14" t="s">
        <v>8168</v>
      </c>
      <c r="D1316" s="18"/>
      <c r="E1316" s="14">
        <v>2020</v>
      </c>
      <c r="F1316" s="18"/>
      <c r="G1316" s="18"/>
      <c r="H1316" s="14" t="s">
        <v>8256</v>
      </c>
      <c r="I1316" s="14" t="s">
        <v>7976</v>
      </c>
      <c r="J1316" s="14" t="s">
        <v>8137</v>
      </c>
      <c r="K1316" s="18"/>
      <c r="L1316" s="14">
        <v>2020</v>
      </c>
      <c r="M1316" s="14">
        <v>9781119642831</v>
      </c>
      <c r="N1316" s="18"/>
      <c r="O1316" s="17" t="s">
        <v>8257</v>
      </c>
      <c r="P1316" s="14" t="s">
        <v>8258</v>
      </c>
      <c r="Q1316" s="18"/>
      <c r="R1316" s="18"/>
      <c r="S1316" s="15"/>
      <c r="T1316" s="15"/>
      <c r="U1316" s="15"/>
      <c r="V1316" s="15"/>
    </row>
    <row r="1317" spans="1:22" x14ac:dyDescent="0.25">
      <c r="A1317" s="14" t="s">
        <v>7972</v>
      </c>
      <c r="B1317" s="14" t="s">
        <v>8259</v>
      </c>
      <c r="C1317" s="14" t="s">
        <v>8260</v>
      </c>
      <c r="D1317" s="18"/>
      <c r="E1317" s="14">
        <v>2020</v>
      </c>
      <c r="F1317" s="18"/>
      <c r="G1317" s="18"/>
      <c r="H1317" s="14" t="s">
        <v>8261</v>
      </c>
      <c r="I1317" s="14" t="s">
        <v>7976</v>
      </c>
      <c r="J1317" s="14" t="s">
        <v>8262</v>
      </c>
      <c r="K1317" s="18"/>
      <c r="L1317" s="14">
        <v>2020</v>
      </c>
      <c r="M1317" s="14">
        <v>9781119602507</v>
      </c>
      <c r="N1317" s="18"/>
      <c r="O1317" s="17" t="s">
        <v>8263</v>
      </c>
      <c r="P1317" s="14" t="s">
        <v>8264</v>
      </c>
      <c r="Q1317" s="14" t="s">
        <v>8265</v>
      </c>
      <c r="R1317" s="18"/>
      <c r="S1317" s="15"/>
      <c r="T1317" s="15"/>
      <c r="U1317" s="15"/>
      <c r="V1317" s="15"/>
    </row>
    <row r="1318" spans="1:22" x14ac:dyDescent="0.25">
      <c r="A1318" s="14" t="s">
        <v>13</v>
      </c>
      <c r="B1318" s="14" t="s">
        <v>8266</v>
      </c>
      <c r="C1318" s="14" t="s">
        <v>8267</v>
      </c>
      <c r="D1318" s="14" t="s">
        <v>8267</v>
      </c>
      <c r="E1318" s="14">
        <v>2022</v>
      </c>
      <c r="F1318" s="18"/>
      <c r="G1318" s="18"/>
      <c r="H1318" s="23">
        <v>44938</v>
      </c>
      <c r="I1318" s="18"/>
      <c r="J1318" s="18"/>
      <c r="K1318" s="18"/>
      <c r="L1318" s="20">
        <v>44774</v>
      </c>
      <c r="M1318" s="18"/>
      <c r="N1318" s="18"/>
      <c r="O1318" s="18"/>
      <c r="P1318" s="18"/>
      <c r="Q1318" s="14" t="s">
        <v>8268</v>
      </c>
      <c r="R1318" s="14" t="s">
        <v>8269</v>
      </c>
      <c r="S1318" s="15"/>
      <c r="T1318" s="15"/>
      <c r="U1318" s="15"/>
      <c r="V1318" s="15"/>
    </row>
    <row r="1319" spans="1:22" x14ac:dyDescent="0.25">
      <c r="A1319" s="14" t="s">
        <v>7972</v>
      </c>
      <c r="B1319" s="18"/>
      <c r="C1319" s="14" t="s">
        <v>8270</v>
      </c>
      <c r="D1319" s="18"/>
      <c r="E1319" s="14">
        <v>2020</v>
      </c>
      <c r="F1319" s="18"/>
      <c r="G1319" s="18"/>
      <c r="H1319" s="14" t="s">
        <v>8271</v>
      </c>
      <c r="I1319" s="14" t="s">
        <v>7976</v>
      </c>
      <c r="J1319" s="14" t="s">
        <v>8169</v>
      </c>
      <c r="K1319" s="18"/>
      <c r="L1319" s="14">
        <v>2020</v>
      </c>
      <c r="M1319" s="14">
        <v>9781119513940</v>
      </c>
      <c r="N1319" s="18"/>
      <c r="O1319" s="17" t="s">
        <v>8272</v>
      </c>
      <c r="P1319" s="14" t="s">
        <v>8273</v>
      </c>
      <c r="Q1319" s="14" t="s">
        <v>8274</v>
      </c>
      <c r="R1319" s="18"/>
      <c r="S1319" s="15"/>
      <c r="T1319" s="15"/>
      <c r="U1319" s="15"/>
      <c r="V1319" s="15"/>
    </row>
    <row r="1320" spans="1:22" x14ac:dyDescent="0.25">
      <c r="A1320" s="14" t="s">
        <v>7972</v>
      </c>
      <c r="B1320" s="14" t="s">
        <v>8259</v>
      </c>
      <c r="C1320" s="14" t="s">
        <v>8270</v>
      </c>
      <c r="D1320" s="18"/>
      <c r="E1320" s="14">
        <v>2020</v>
      </c>
      <c r="F1320" s="18"/>
      <c r="G1320" s="18"/>
      <c r="H1320" s="14" t="s">
        <v>8275</v>
      </c>
      <c r="I1320" s="14" t="s">
        <v>7976</v>
      </c>
      <c r="J1320" s="14" t="s">
        <v>8262</v>
      </c>
      <c r="K1320" s="18"/>
      <c r="L1320" s="14">
        <v>2020</v>
      </c>
      <c r="M1320" s="14">
        <v>9781119602507</v>
      </c>
      <c r="N1320" s="18"/>
      <c r="O1320" s="17" t="s">
        <v>8276</v>
      </c>
      <c r="P1320" s="14" t="s">
        <v>8277</v>
      </c>
      <c r="Q1320" s="14" t="s">
        <v>8278</v>
      </c>
      <c r="R1320" s="18"/>
      <c r="S1320" s="15"/>
      <c r="T1320" s="15"/>
      <c r="U1320" s="15"/>
      <c r="V1320" s="15"/>
    </row>
    <row r="1321" spans="1:22" x14ac:dyDescent="0.25">
      <c r="A1321" s="14" t="s">
        <v>141</v>
      </c>
      <c r="B1321" s="14" t="s">
        <v>8279</v>
      </c>
      <c r="C1321" s="14" t="s">
        <v>8280</v>
      </c>
      <c r="D1321" s="18"/>
      <c r="E1321" s="14">
        <v>2019</v>
      </c>
      <c r="F1321" s="18"/>
      <c r="G1321" s="18"/>
      <c r="H1321" s="23">
        <v>44928</v>
      </c>
      <c r="I1321" s="18"/>
      <c r="J1321" s="18"/>
      <c r="K1321" s="14" t="s">
        <v>6960</v>
      </c>
      <c r="L1321" s="20">
        <v>43525</v>
      </c>
      <c r="M1321" s="18"/>
      <c r="N1321" s="18"/>
      <c r="O1321" s="17" t="s">
        <v>8281</v>
      </c>
      <c r="P1321" s="14" t="s">
        <v>8282</v>
      </c>
      <c r="Q1321" s="14" t="s">
        <v>8283</v>
      </c>
      <c r="R1321" s="14" t="s">
        <v>8284</v>
      </c>
      <c r="S1321" s="15"/>
      <c r="T1321" s="15"/>
      <c r="U1321" s="15"/>
      <c r="V1321" s="15"/>
    </row>
    <row r="1322" spans="1:22" x14ac:dyDescent="0.25">
      <c r="A1322" s="14" t="s">
        <v>141</v>
      </c>
      <c r="B1322" s="14" t="s">
        <v>8285</v>
      </c>
      <c r="C1322" s="14" t="s">
        <v>8286</v>
      </c>
      <c r="D1322" s="18"/>
      <c r="E1322" s="14">
        <v>2020</v>
      </c>
      <c r="F1322" s="18"/>
      <c r="G1322" s="18"/>
      <c r="H1322" s="23">
        <v>44934</v>
      </c>
      <c r="I1322" s="18"/>
      <c r="J1322" s="18"/>
      <c r="K1322" s="14" t="s">
        <v>8287</v>
      </c>
      <c r="L1322" s="16">
        <v>44136</v>
      </c>
      <c r="M1322" s="18"/>
      <c r="N1322" s="14" t="s">
        <v>8288</v>
      </c>
      <c r="O1322" s="18"/>
      <c r="P1322" s="18"/>
      <c r="Q1322" s="14" t="s">
        <v>8289</v>
      </c>
      <c r="R1322" s="14" t="s">
        <v>8290</v>
      </c>
      <c r="S1322" s="15"/>
      <c r="T1322" s="15"/>
      <c r="U1322" s="15"/>
      <c r="V1322" s="15"/>
    </row>
    <row r="1323" spans="1:22" x14ac:dyDescent="0.25">
      <c r="A1323" s="14" t="s">
        <v>7972</v>
      </c>
      <c r="B1323" s="14" t="s">
        <v>8134</v>
      </c>
      <c r="C1323" s="14" t="s">
        <v>8291</v>
      </c>
      <c r="D1323" s="18"/>
      <c r="E1323" s="14">
        <v>2020</v>
      </c>
      <c r="F1323" s="18"/>
      <c r="G1323" s="18"/>
      <c r="H1323" s="14" t="s">
        <v>8292</v>
      </c>
      <c r="I1323" s="14" t="s">
        <v>7976</v>
      </c>
      <c r="J1323" s="14" t="s">
        <v>8137</v>
      </c>
      <c r="K1323" s="18"/>
      <c r="L1323" s="14">
        <v>2020</v>
      </c>
      <c r="M1323" s="14">
        <v>9781119642831</v>
      </c>
      <c r="N1323" s="18"/>
      <c r="O1323" s="17" t="s">
        <v>8293</v>
      </c>
      <c r="P1323" s="14" t="s">
        <v>8294</v>
      </c>
      <c r="Q1323" s="14" t="s">
        <v>8295</v>
      </c>
      <c r="R1323" s="14" t="s">
        <v>8296</v>
      </c>
      <c r="S1323" s="15"/>
      <c r="T1323" s="15"/>
      <c r="U1323" s="15"/>
      <c r="V1323" s="15"/>
    </row>
    <row r="1324" spans="1:22" x14ac:dyDescent="0.25">
      <c r="A1324" s="14" t="s">
        <v>13</v>
      </c>
      <c r="B1324" s="14" t="s">
        <v>8297</v>
      </c>
      <c r="C1324" s="14" t="s">
        <v>8298</v>
      </c>
      <c r="D1324" s="14" t="s">
        <v>4637</v>
      </c>
      <c r="E1324" s="14">
        <v>2022</v>
      </c>
      <c r="F1324" s="14">
        <v>39</v>
      </c>
      <c r="G1324" s="14">
        <v>6</v>
      </c>
      <c r="H1324" s="14" t="s">
        <v>8299</v>
      </c>
      <c r="I1324" s="18"/>
      <c r="J1324" s="18"/>
      <c r="K1324" s="18"/>
      <c r="L1324" s="16">
        <v>44866</v>
      </c>
      <c r="M1324" s="18"/>
      <c r="N1324" s="14" t="s">
        <v>6207</v>
      </c>
      <c r="O1324" s="17" t="s">
        <v>8300</v>
      </c>
      <c r="P1324" s="14" t="s">
        <v>8301</v>
      </c>
      <c r="Q1324" s="14" t="s">
        <v>8302</v>
      </c>
      <c r="R1324" s="14" t="s">
        <v>8303</v>
      </c>
      <c r="S1324" s="15"/>
      <c r="T1324" s="15"/>
      <c r="U1324" s="15"/>
      <c r="V1324" s="15"/>
    </row>
    <row r="1325" spans="1:22" x14ac:dyDescent="0.25">
      <c r="A1325" s="14" t="s">
        <v>13</v>
      </c>
      <c r="B1325" s="14" t="s">
        <v>8304</v>
      </c>
      <c r="C1325" s="14" t="s">
        <v>8305</v>
      </c>
      <c r="D1325" s="14" t="s">
        <v>4637</v>
      </c>
      <c r="E1325" s="14">
        <v>2021</v>
      </c>
      <c r="F1325" s="14">
        <v>38</v>
      </c>
      <c r="G1325" s="14">
        <v>6</v>
      </c>
      <c r="H1325" s="14" t="s">
        <v>8306</v>
      </c>
      <c r="I1325" s="18"/>
      <c r="J1325" s="18"/>
      <c r="K1325" s="18"/>
      <c r="L1325" s="16">
        <v>44501</v>
      </c>
      <c r="M1325" s="18"/>
      <c r="N1325" s="14" t="s">
        <v>6207</v>
      </c>
      <c r="O1325" s="17" t="s">
        <v>8307</v>
      </c>
      <c r="P1325" s="14" t="s">
        <v>8308</v>
      </c>
      <c r="Q1325" s="14" t="s">
        <v>8309</v>
      </c>
      <c r="R1325" s="14" t="s">
        <v>8310</v>
      </c>
      <c r="S1325" s="15"/>
      <c r="T1325" s="15"/>
      <c r="U1325" s="15"/>
      <c r="V1325" s="15"/>
    </row>
    <row r="1326" spans="1:22" x14ac:dyDescent="0.25">
      <c r="A1326" s="14" t="s">
        <v>13</v>
      </c>
      <c r="B1326" s="14" t="s">
        <v>8311</v>
      </c>
      <c r="C1326" s="14" t="s">
        <v>8312</v>
      </c>
      <c r="D1326" s="14" t="s">
        <v>4637</v>
      </c>
      <c r="E1326" s="14">
        <v>2022</v>
      </c>
      <c r="F1326" s="14">
        <v>39</v>
      </c>
      <c r="G1326" s="14">
        <v>6</v>
      </c>
      <c r="H1326" s="14" t="s">
        <v>8313</v>
      </c>
      <c r="I1326" s="18"/>
      <c r="J1326" s="18"/>
      <c r="K1326" s="18"/>
      <c r="L1326" s="16">
        <v>44866</v>
      </c>
      <c r="M1326" s="18"/>
      <c r="N1326" s="14" t="s">
        <v>6207</v>
      </c>
      <c r="O1326" s="17" t="s">
        <v>8314</v>
      </c>
      <c r="P1326" s="14" t="s">
        <v>8315</v>
      </c>
      <c r="Q1326" s="14" t="s">
        <v>8316</v>
      </c>
      <c r="R1326" s="18"/>
      <c r="S1326" s="15"/>
      <c r="T1326" s="15"/>
      <c r="U1326" s="15"/>
      <c r="V1326" s="15"/>
    </row>
    <row r="1327" spans="1:22" x14ac:dyDescent="0.25">
      <c r="A1327" s="14" t="s">
        <v>141</v>
      </c>
      <c r="B1327" s="14" t="s">
        <v>8317</v>
      </c>
      <c r="C1327" s="14" t="s">
        <v>8318</v>
      </c>
      <c r="D1327" s="18"/>
      <c r="E1327" s="14">
        <v>2012</v>
      </c>
      <c r="F1327" s="18"/>
      <c r="G1327" s="18"/>
      <c r="H1327" s="14" t="s">
        <v>8319</v>
      </c>
      <c r="I1327" s="18"/>
      <c r="J1327" s="18"/>
      <c r="K1327" s="14" t="s">
        <v>8320</v>
      </c>
      <c r="L1327" s="20">
        <v>41061</v>
      </c>
      <c r="M1327" s="18"/>
      <c r="N1327" s="14" t="s">
        <v>6336</v>
      </c>
      <c r="O1327" s="17" t="s">
        <v>8321</v>
      </c>
      <c r="P1327" s="14" t="s">
        <v>8322</v>
      </c>
      <c r="Q1327" s="14" t="s">
        <v>8323</v>
      </c>
      <c r="R1327" s="14" t="s">
        <v>8324</v>
      </c>
      <c r="S1327" s="15"/>
      <c r="T1327" s="15"/>
      <c r="U1327" s="15"/>
      <c r="V1327" s="15"/>
    </row>
    <row r="1328" spans="1:22" x14ac:dyDescent="0.25">
      <c r="A1328" s="14" t="s">
        <v>13</v>
      </c>
      <c r="B1328" s="14" t="s">
        <v>8325</v>
      </c>
      <c r="C1328" s="14" t="s">
        <v>8326</v>
      </c>
      <c r="D1328" s="14" t="s">
        <v>4637</v>
      </c>
      <c r="E1328" s="14">
        <v>2020</v>
      </c>
      <c r="F1328" s="14">
        <v>37</v>
      </c>
      <c r="G1328" s="14">
        <v>4</v>
      </c>
      <c r="H1328" s="23">
        <v>44991</v>
      </c>
      <c r="I1328" s="18"/>
      <c r="J1328" s="18"/>
      <c r="K1328" s="18"/>
      <c r="L1328" s="20">
        <v>44013</v>
      </c>
      <c r="M1328" s="18"/>
      <c r="N1328" s="14" t="s">
        <v>6207</v>
      </c>
      <c r="O1328" s="17" t="s">
        <v>8327</v>
      </c>
      <c r="P1328" s="14" t="s">
        <v>8328</v>
      </c>
      <c r="Q1328" s="14" t="s">
        <v>8329</v>
      </c>
      <c r="R1328" s="18"/>
      <c r="S1328" s="15"/>
      <c r="T1328" s="15"/>
      <c r="U1328" s="15"/>
      <c r="V1328" s="15"/>
    </row>
    <row r="1329" spans="1:22" x14ac:dyDescent="0.25">
      <c r="A1329" s="14" t="s">
        <v>13</v>
      </c>
      <c r="B1329" s="14" t="s">
        <v>8330</v>
      </c>
      <c r="C1329" s="14" t="s">
        <v>8331</v>
      </c>
      <c r="D1329" s="14" t="s">
        <v>4637</v>
      </c>
      <c r="E1329" s="14">
        <v>2022</v>
      </c>
      <c r="F1329" s="14">
        <v>39</v>
      </c>
      <c r="G1329" s="14">
        <v>1</v>
      </c>
      <c r="H1329" s="14" t="s">
        <v>8332</v>
      </c>
      <c r="I1329" s="18"/>
      <c r="J1329" s="18"/>
      <c r="K1329" s="18"/>
      <c r="L1329" s="20">
        <v>44562</v>
      </c>
      <c r="M1329" s="18"/>
      <c r="N1329" s="14" t="s">
        <v>6207</v>
      </c>
      <c r="O1329" s="17" t="s">
        <v>8333</v>
      </c>
      <c r="P1329" s="14" t="s">
        <v>8334</v>
      </c>
      <c r="Q1329" s="14" t="s">
        <v>8335</v>
      </c>
      <c r="R1329" s="18"/>
      <c r="S1329" s="15"/>
      <c r="T1329" s="15"/>
      <c r="U1329" s="15"/>
      <c r="V1329" s="15"/>
    </row>
    <row r="1330" spans="1:22" x14ac:dyDescent="0.25">
      <c r="A1330" s="14" t="s">
        <v>13</v>
      </c>
      <c r="B1330" s="18"/>
      <c r="C1330" s="14" t="s">
        <v>8336</v>
      </c>
      <c r="D1330" s="14" t="s">
        <v>532</v>
      </c>
      <c r="E1330" s="14">
        <v>2021</v>
      </c>
      <c r="F1330" s="14">
        <v>54</v>
      </c>
      <c r="G1330" s="14">
        <v>9</v>
      </c>
      <c r="H1330" s="14" t="s">
        <v>8337</v>
      </c>
      <c r="I1330" s="18"/>
      <c r="J1330" s="18"/>
      <c r="K1330" s="18"/>
      <c r="L1330" s="20">
        <v>44440</v>
      </c>
      <c r="M1330" s="18"/>
      <c r="N1330" s="14" t="s">
        <v>7409</v>
      </c>
      <c r="O1330" s="17" t="s">
        <v>8338</v>
      </c>
      <c r="P1330" s="14" t="s">
        <v>8339</v>
      </c>
      <c r="Q1330" s="14" t="s">
        <v>8340</v>
      </c>
      <c r="R1330" s="18"/>
      <c r="S1330" s="15"/>
      <c r="T1330" s="15"/>
      <c r="U1330" s="15"/>
      <c r="V1330" s="15"/>
    </row>
    <row r="1331" spans="1:22" x14ac:dyDescent="0.25">
      <c r="A1331" s="14" t="s">
        <v>13</v>
      </c>
      <c r="B1331" s="18"/>
      <c r="C1331" s="14" t="s">
        <v>8336</v>
      </c>
      <c r="D1331" s="14" t="s">
        <v>532</v>
      </c>
      <c r="E1331" s="14">
        <v>2022</v>
      </c>
      <c r="F1331" s="14">
        <v>55</v>
      </c>
      <c r="G1331" s="14">
        <v>8</v>
      </c>
      <c r="H1331" s="14" t="s">
        <v>8341</v>
      </c>
      <c r="I1331" s="18"/>
      <c r="J1331" s="18"/>
      <c r="K1331" s="18"/>
      <c r="L1331" s="20">
        <v>44774</v>
      </c>
      <c r="M1331" s="18"/>
      <c r="N1331" s="14" t="s">
        <v>7409</v>
      </c>
      <c r="O1331" s="17" t="s">
        <v>8342</v>
      </c>
      <c r="P1331" s="14" t="s">
        <v>8343</v>
      </c>
      <c r="Q1331" s="14" t="s">
        <v>8344</v>
      </c>
      <c r="R1331" s="18"/>
      <c r="S1331" s="15"/>
      <c r="T1331" s="15"/>
      <c r="U1331" s="15"/>
      <c r="V1331" s="15"/>
    </row>
    <row r="1332" spans="1:22" x14ac:dyDescent="0.25">
      <c r="A1332" s="14" t="s">
        <v>13</v>
      </c>
      <c r="B1332" s="14" t="s">
        <v>8325</v>
      </c>
      <c r="C1332" s="14" t="s">
        <v>8345</v>
      </c>
      <c r="D1332" s="14" t="s">
        <v>4637</v>
      </c>
      <c r="E1332" s="14">
        <v>2021</v>
      </c>
      <c r="F1332" s="14">
        <v>38</v>
      </c>
      <c r="G1332" s="14">
        <v>3</v>
      </c>
      <c r="H1332" s="23">
        <v>44991</v>
      </c>
      <c r="I1332" s="18"/>
      <c r="J1332" s="18"/>
      <c r="K1332" s="18"/>
      <c r="L1332" s="20">
        <v>44317</v>
      </c>
      <c r="M1332" s="18"/>
      <c r="N1332" s="14" t="s">
        <v>6207</v>
      </c>
      <c r="O1332" s="17" t="s">
        <v>8346</v>
      </c>
      <c r="P1332" s="14" t="s">
        <v>8347</v>
      </c>
      <c r="Q1332" s="14" t="s">
        <v>8348</v>
      </c>
      <c r="R1332" s="18"/>
      <c r="S1332" s="15"/>
      <c r="T1332" s="15"/>
      <c r="U1332" s="15"/>
      <c r="V1332" s="15"/>
    </row>
    <row r="1333" spans="1:22" x14ac:dyDescent="0.25">
      <c r="A1333" s="14" t="s">
        <v>13</v>
      </c>
      <c r="B1333" s="18"/>
      <c r="C1333" s="14" t="s">
        <v>8349</v>
      </c>
      <c r="D1333" s="14" t="s">
        <v>255</v>
      </c>
      <c r="E1333" s="14">
        <v>2020</v>
      </c>
      <c r="F1333" s="14">
        <v>46</v>
      </c>
      <c r="G1333" s="14">
        <v>1</v>
      </c>
      <c r="H1333" s="23">
        <v>44935</v>
      </c>
      <c r="I1333" s="18"/>
      <c r="J1333" s="18"/>
      <c r="K1333" s="18"/>
      <c r="L1333" s="20">
        <v>43831</v>
      </c>
      <c r="M1333" s="18"/>
      <c r="N1333" s="14" t="s">
        <v>6115</v>
      </c>
      <c r="O1333" s="17" t="s">
        <v>8350</v>
      </c>
      <c r="P1333" s="14" t="s">
        <v>8351</v>
      </c>
      <c r="Q1333" s="14" t="s">
        <v>8352</v>
      </c>
      <c r="R1333" s="18"/>
      <c r="S1333" s="15"/>
      <c r="T1333" s="15"/>
      <c r="U1333" s="15"/>
      <c r="V1333" s="15"/>
    </row>
    <row r="1334" spans="1:22" x14ac:dyDescent="0.25">
      <c r="A1334" s="14" t="s">
        <v>141</v>
      </c>
      <c r="B1334" s="18"/>
      <c r="C1334" s="14" t="s">
        <v>8353</v>
      </c>
      <c r="D1334" s="18"/>
      <c r="E1334" s="14">
        <v>2021</v>
      </c>
      <c r="F1334" s="18"/>
      <c r="G1334" s="18"/>
      <c r="H1334" s="23">
        <v>45057</v>
      </c>
      <c r="I1334" s="18"/>
      <c r="J1334" s="18"/>
      <c r="K1334" s="14" t="s">
        <v>8354</v>
      </c>
      <c r="L1334" s="20">
        <v>44317</v>
      </c>
      <c r="M1334" s="18"/>
      <c r="N1334" s="18"/>
      <c r="O1334" s="17" t="s">
        <v>8355</v>
      </c>
      <c r="P1334" s="14" t="s">
        <v>8356</v>
      </c>
      <c r="Q1334" s="14" t="s">
        <v>8357</v>
      </c>
      <c r="R1334" s="18"/>
      <c r="S1334" s="15"/>
      <c r="T1334" s="15"/>
      <c r="U1334" s="15"/>
      <c r="V1334" s="15"/>
    </row>
    <row r="1335" spans="1:22" x14ac:dyDescent="0.25">
      <c r="A1335" s="14" t="s">
        <v>141</v>
      </c>
      <c r="B1335" s="18"/>
      <c r="C1335" s="14" t="s">
        <v>8353</v>
      </c>
      <c r="D1335" s="18"/>
      <c r="E1335" s="14">
        <v>2018</v>
      </c>
      <c r="F1335" s="18"/>
      <c r="G1335" s="18"/>
      <c r="H1335" s="23">
        <v>45055</v>
      </c>
      <c r="I1335" s="18"/>
      <c r="J1335" s="18"/>
      <c r="K1335" s="14" t="s">
        <v>7304</v>
      </c>
      <c r="L1335" s="20">
        <v>43221</v>
      </c>
      <c r="M1335" s="18"/>
      <c r="N1335" s="18"/>
      <c r="O1335" s="18"/>
      <c r="P1335" s="18"/>
      <c r="Q1335" s="14" t="s">
        <v>8357</v>
      </c>
      <c r="R1335" s="18"/>
      <c r="S1335" s="15"/>
      <c r="T1335" s="15"/>
      <c r="U1335" s="15"/>
      <c r="V1335" s="15"/>
    </row>
    <row r="1336" spans="1:22" x14ac:dyDescent="0.25">
      <c r="A1336" s="14" t="s">
        <v>141</v>
      </c>
      <c r="B1336" s="18"/>
      <c r="C1336" s="14" t="s">
        <v>8358</v>
      </c>
      <c r="D1336" s="18"/>
      <c r="E1336" s="14">
        <v>2019</v>
      </c>
      <c r="F1336" s="18"/>
      <c r="G1336" s="18"/>
      <c r="H1336" s="14" t="s">
        <v>8359</v>
      </c>
      <c r="I1336" s="18"/>
      <c r="J1336" s="18"/>
      <c r="K1336" s="14" t="s">
        <v>6943</v>
      </c>
      <c r="L1336" s="20">
        <v>43709</v>
      </c>
      <c r="M1336" s="18"/>
      <c r="N1336" s="14" t="s">
        <v>6944</v>
      </c>
      <c r="O1336" s="17" t="s">
        <v>8360</v>
      </c>
      <c r="P1336" s="14" t="s">
        <v>8361</v>
      </c>
      <c r="Q1336" s="14" t="s">
        <v>8357</v>
      </c>
      <c r="R1336" s="18"/>
      <c r="S1336" s="15"/>
      <c r="T1336" s="15"/>
      <c r="U1336" s="15"/>
      <c r="V1336" s="15"/>
    </row>
    <row r="1337" spans="1:22" x14ac:dyDescent="0.25">
      <c r="A1337" s="14" t="s">
        <v>141</v>
      </c>
      <c r="B1337" s="18"/>
      <c r="C1337" s="14" t="s">
        <v>8362</v>
      </c>
      <c r="D1337" s="18"/>
      <c r="E1337" s="14">
        <v>2020</v>
      </c>
      <c r="F1337" s="18"/>
      <c r="G1337" s="18"/>
      <c r="H1337" s="23">
        <v>45055</v>
      </c>
      <c r="I1337" s="18"/>
      <c r="J1337" s="18"/>
      <c r="K1337" s="14" t="s">
        <v>8363</v>
      </c>
      <c r="L1337" s="16">
        <v>44136</v>
      </c>
      <c r="M1337" s="18"/>
      <c r="N1337" s="18"/>
      <c r="O1337" s="17" t="s">
        <v>8364</v>
      </c>
      <c r="P1337" s="14" t="s">
        <v>8365</v>
      </c>
      <c r="Q1337" s="14" t="s">
        <v>8357</v>
      </c>
      <c r="R1337" s="18"/>
      <c r="S1337" s="15"/>
      <c r="T1337" s="15"/>
      <c r="U1337" s="15"/>
      <c r="V1337" s="15"/>
    </row>
    <row r="1338" spans="1:22" x14ac:dyDescent="0.25">
      <c r="A1338" s="14" t="s">
        <v>141</v>
      </c>
      <c r="B1338" s="18"/>
      <c r="C1338" s="14" t="s">
        <v>8362</v>
      </c>
      <c r="D1338" s="18"/>
      <c r="E1338" s="14">
        <v>2019</v>
      </c>
      <c r="F1338" s="18"/>
      <c r="G1338" s="18"/>
      <c r="H1338" s="23">
        <v>45058</v>
      </c>
      <c r="I1338" s="18"/>
      <c r="J1338" s="18"/>
      <c r="K1338" s="14" t="s">
        <v>6399</v>
      </c>
      <c r="L1338" s="20">
        <v>43678</v>
      </c>
      <c r="M1338" s="18"/>
      <c r="N1338" s="18"/>
      <c r="O1338" s="17" t="s">
        <v>8366</v>
      </c>
      <c r="P1338" s="14" t="s">
        <v>8367</v>
      </c>
      <c r="Q1338" s="14" t="s">
        <v>8357</v>
      </c>
      <c r="R1338" s="18"/>
      <c r="S1338" s="15"/>
      <c r="T1338" s="15"/>
      <c r="U1338" s="15"/>
      <c r="V1338" s="15"/>
    </row>
    <row r="1339" spans="1:22" x14ac:dyDescent="0.25">
      <c r="A1339" s="14" t="s">
        <v>141</v>
      </c>
      <c r="B1339" s="18"/>
      <c r="C1339" s="14" t="s">
        <v>8353</v>
      </c>
      <c r="D1339" s="18"/>
      <c r="E1339" s="14">
        <v>2020</v>
      </c>
      <c r="F1339" s="18"/>
      <c r="G1339" s="18"/>
      <c r="H1339" s="23">
        <v>45061</v>
      </c>
      <c r="I1339" s="18"/>
      <c r="J1339" s="18"/>
      <c r="K1339" s="14" t="s">
        <v>6111</v>
      </c>
      <c r="L1339" s="16">
        <v>44105</v>
      </c>
      <c r="M1339" s="18"/>
      <c r="N1339" s="14" t="s">
        <v>6112</v>
      </c>
      <c r="O1339" s="18"/>
      <c r="P1339" s="18"/>
      <c r="Q1339" s="14" t="s">
        <v>8357</v>
      </c>
      <c r="R1339" s="18"/>
      <c r="S1339" s="15"/>
      <c r="T1339" s="15"/>
      <c r="U1339" s="15"/>
      <c r="V1339" s="15"/>
    </row>
    <row r="1340" spans="1:22" x14ac:dyDescent="0.25">
      <c r="A1340" s="14" t="s">
        <v>141</v>
      </c>
      <c r="B1340" s="18"/>
      <c r="C1340" s="14" t="s">
        <v>8353</v>
      </c>
      <c r="D1340" s="18"/>
      <c r="E1340" s="14">
        <v>2020</v>
      </c>
      <c r="F1340" s="18"/>
      <c r="G1340" s="18"/>
      <c r="H1340" s="14" t="s">
        <v>8368</v>
      </c>
      <c r="I1340" s="18"/>
      <c r="J1340" s="18"/>
      <c r="K1340" s="14" t="s">
        <v>6322</v>
      </c>
      <c r="L1340" s="20">
        <v>44044</v>
      </c>
      <c r="M1340" s="18"/>
      <c r="N1340" s="18"/>
      <c r="O1340" s="17" t="s">
        <v>8369</v>
      </c>
      <c r="P1340" s="14" t="s">
        <v>8370</v>
      </c>
      <c r="Q1340" s="14" t="s">
        <v>8357</v>
      </c>
      <c r="R1340" s="18"/>
      <c r="S1340" s="15"/>
      <c r="T1340" s="15"/>
      <c r="U1340" s="15"/>
      <c r="V1340" s="15"/>
    </row>
    <row r="1341" spans="1:22" x14ac:dyDescent="0.25">
      <c r="A1341" s="14" t="s">
        <v>141</v>
      </c>
      <c r="B1341" s="18"/>
      <c r="C1341" s="14" t="s">
        <v>8353</v>
      </c>
      <c r="D1341" s="18"/>
      <c r="E1341" s="14">
        <v>2022</v>
      </c>
      <c r="F1341" s="18"/>
      <c r="G1341" s="18"/>
      <c r="H1341" s="23">
        <v>45060</v>
      </c>
      <c r="I1341" s="18"/>
      <c r="J1341" s="18"/>
      <c r="K1341" s="14" t="s">
        <v>6166</v>
      </c>
      <c r="L1341" s="20">
        <v>44774</v>
      </c>
      <c r="M1341" s="18"/>
      <c r="N1341" s="18"/>
      <c r="O1341" s="17" t="s">
        <v>8371</v>
      </c>
      <c r="P1341" s="14" t="s">
        <v>8372</v>
      </c>
      <c r="Q1341" s="14" t="s">
        <v>8373</v>
      </c>
      <c r="R1341" s="18"/>
      <c r="S1341" s="15"/>
      <c r="T1341" s="15"/>
      <c r="U1341" s="15"/>
      <c r="V1341" s="15"/>
    </row>
    <row r="1342" spans="1:22" x14ac:dyDescent="0.25">
      <c r="A1342" s="14" t="s">
        <v>141</v>
      </c>
      <c r="B1342" s="18"/>
      <c r="C1342" s="14" t="s">
        <v>8362</v>
      </c>
      <c r="D1342" s="18"/>
      <c r="E1342" s="14">
        <v>2018</v>
      </c>
      <c r="F1342" s="18"/>
      <c r="G1342" s="18"/>
      <c r="H1342" s="23">
        <v>45072</v>
      </c>
      <c r="I1342" s="18"/>
      <c r="J1342" s="18"/>
      <c r="K1342" s="14" t="s">
        <v>6238</v>
      </c>
      <c r="L1342" s="20">
        <v>43221</v>
      </c>
      <c r="M1342" s="18"/>
      <c r="N1342" s="14" t="s">
        <v>6239</v>
      </c>
      <c r="O1342" s="18"/>
      <c r="P1342" s="18"/>
      <c r="Q1342" s="14" t="s">
        <v>8357</v>
      </c>
      <c r="R1342" s="18"/>
      <c r="S1342" s="15"/>
      <c r="T1342" s="15"/>
      <c r="U1342" s="15"/>
      <c r="V1342" s="15"/>
    </row>
    <row r="1343" spans="1:22" x14ac:dyDescent="0.25">
      <c r="A1343" s="14" t="s">
        <v>141</v>
      </c>
      <c r="B1343" s="18"/>
      <c r="C1343" s="14" t="s">
        <v>8353</v>
      </c>
      <c r="D1343" s="18"/>
      <c r="E1343" s="14">
        <v>2022</v>
      </c>
      <c r="F1343" s="18"/>
      <c r="G1343" s="18"/>
      <c r="H1343" s="14" t="s">
        <v>8374</v>
      </c>
      <c r="I1343" s="18"/>
      <c r="J1343" s="18"/>
      <c r="K1343" s="14" t="s">
        <v>6592</v>
      </c>
      <c r="L1343" s="20">
        <v>44621</v>
      </c>
      <c r="M1343" s="18"/>
      <c r="N1343" s="14" t="s">
        <v>6593</v>
      </c>
      <c r="O1343" s="17" t="s">
        <v>8375</v>
      </c>
      <c r="P1343" s="14" t="s">
        <v>8376</v>
      </c>
      <c r="Q1343" s="14" t="s">
        <v>8357</v>
      </c>
      <c r="R1343" s="18"/>
      <c r="S1343" s="15"/>
      <c r="T1343" s="15"/>
      <c r="U1343" s="15"/>
      <c r="V1343" s="15"/>
    </row>
    <row r="1344" spans="1:22" x14ac:dyDescent="0.25">
      <c r="A1344" s="14" t="s">
        <v>141</v>
      </c>
      <c r="B1344" s="18"/>
      <c r="C1344" s="14" t="s">
        <v>8353</v>
      </c>
      <c r="D1344" s="18"/>
      <c r="E1344" s="14">
        <v>2021</v>
      </c>
      <c r="F1344" s="18"/>
      <c r="G1344" s="18"/>
      <c r="H1344" s="23">
        <v>45059</v>
      </c>
      <c r="I1344" s="18"/>
      <c r="J1344" s="18"/>
      <c r="K1344" s="14" t="s">
        <v>6329</v>
      </c>
      <c r="L1344" s="20">
        <v>44317</v>
      </c>
      <c r="M1344" s="18"/>
      <c r="N1344" s="14" t="s">
        <v>6152</v>
      </c>
      <c r="O1344" s="17" t="s">
        <v>8377</v>
      </c>
      <c r="P1344" s="14" t="s">
        <v>8378</v>
      </c>
      <c r="Q1344" s="14" t="s">
        <v>8357</v>
      </c>
      <c r="R1344" s="18"/>
      <c r="S1344" s="15"/>
      <c r="T1344" s="15"/>
      <c r="U1344" s="15"/>
      <c r="V1344" s="15"/>
    </row>
    <row r="1345" spans="1:22" x14ac:dyDescent="0.25">
      <c r="A1345" s="14" t="s">
        <v>13</v>
      </c>
      <c r="B1345" s="18"/>
      <c r="C1345" s="14" t="s">
        <v>8353</v>
      </c>
      <c r="D1345" s="14" t="s">
        <v>4637</v>
      </c>
      <c r="E1345" s="14">
        <v>2021</v>
      </c>
      <c r="F1345" s="14">
        <v>38</v>
      </c>
      <c r="G1345" s="14">
        <v>1</v>
      </c>
      <c r="H1345" s="23">
        <v>44928</v>
      </c>
      <c r="I1345" s="18"/>
      <c r="J1345" s="18"/>
      <c r="K1345" s="18"/>
      <c r="L1345" s="20">
        <v>44197</v>
      </c>
      <c r="M1345" s="18"/>
      <c r="N1345" s="14" t="s">
        <v>6207</v>
      </c>
      <c r="O1345" s="17" t="s">
        <v>8379</v>
      </c>
      <c r="P1345" s="14" t="s">
        <v>8380</v>
      </c>
      <c r="Q1345" s="14" t="s">
        <v>8381</v>
      </c>
      <c r="R1345" s="18"/>
      <c r="S1345" s="15"/>
      <c r="T1345" s="15"/>
      <c r="U1345" s="15"/>
      <c r="V1345" s="15"/>
    </row>
    <row r="1346" spans="1:22" x14ac:dyDescent="0.25">
      <c r="A1346" s="14" t="s">
        <v>141</v>
      </c>
      <c r="B1346" s="18"/>
      <c r="C1346" s="14" t="s">
        <v>8362</v>
      </c>
      <c r="D1346" s="18"/>
      <c r="E1346" s="14">
        <v>2020</v>
      </c>
      <c r="F1346" s="18"/>
      <c r="G1346" s="18"/>
      <c r="H1346" s="23">
        <v>45062</v>
      </c>
      <c r="I1346" s="18"/>
      <c r="J1346" s="18"/>
      <c r="K1346" s="14" t="s">
        <v>6980</v>
      </c>
      <c r="L1346" s="20">
        <v>44075</v>
      </c>
      <c r="M1346" s="18"/>
      <c r="N1346" s="14" t="s">
        <v>6818</v>
      </c>
      <c r="O1346" s="17" t="s">
        <v>8382</v>
      </c>
      <c r="P1346" s="14" t="s">
        <v>8383</v>
      </c>
      <c r="Q1346" s="14" t="s">
        <v>8357</v>
      </c>
      <c r="R1346" s="18"/>
      <c r="S1346" s="15"/>
      <c r="T1346" s="15"/>
      <c r="U1346" s="15"/>
      <c r="V1346" s="15"/>
    </row>
    <row r="1347" spans="1:22" x14ac:dyDescent="0.25">
      <c r="A1347" s="14" t="s">
        <v>141</v>
      </c>
      <c r="B1347" s="18"/>
      <c r="C1347" s="14" t="s">
        <v>8384</v>
      </c>
      <c r="D1347" s="18"/>
      <c r="E1347" s="14">
        <v>2020</v>
      </c>
      <c r="F1347" s="18"/>
      <c r="G1347" s="18"/>
      <c r="H1347" s="14" t="s">
        <v>8385</v>
      </c>
      <c r="I1347" s="18"/>
      <c r="J1347" s="18"/>
      <c r="K1347" s="14" t="s">
        <v>6715</v>
      </c>
      <c r="L1347" s="20">
        <v>43862</v>
      </c>
      <c r="M1347" s="18"/>
      <c r="N1347" s="14" t="s">
        <v>6593</v>
      </c>
      <c r="O1347" s="17" t="s">
        <v>8386</v>
      </c>
      <c r="P1347" s="14" t="s">
        <v>8387</v>
      </c>
      <c r="Q1347" s="14" t="s">
        <v>8357</v>
      </c>
      <c r="R1347" s="18"/>
      <c r="S1347" s="15"/>
      <c r="T1347" s="15"/>
      <c r="U1347" s="15"/>
      <c r="V1347" s="15"/>
    </row>
    <row r="1348" spans="1:22" x14ac:dyDescent="0.25">
      <c r="A1348" s="14" t="s">
        <v>141</v>
      </c>
      <c r="B1348" s="18"/>
      <c r="C1348" s="14" t="s">
        <v>8362</v>
      </c>
      <c r="D1348" s="18"/>
      <c r="E1348" s="14">
        <v>2018</v>
      </c>
      <c r="F1348" s="18"/>
      <c r="G1348" s="18"/>
      <c r="H1348" s="23">
        <v>45058</v>
      </c>
      <c r="I1348" s="18"/>
      <c r="J1348" s="18"/>
      <c r="K1348" s="14" t="s">
        <v>8388</v>
      </c>
      <c r="L1348" s="20">
        <v>43344</v>
      </c>
      <c r="M1348" s="18"/>
      <c r="N1348" s="14" t="s">
        <v>6818</v>
      </c>
      <c r="O1348" s="17" t="s">
        <v>8389</v>
      </c>
      <c r="P1348" s="14" t="s">
        <v>8390</v>
      </c>
      <c r="Q1348" s="14" t="s">
        <v>8357</v>
      </c>
      <c r="R1348" s="18"/>
      <c r="S1348" s="15"/>
      <c r="T1348" s="15"/>
      <c r="U1348" s="15"/>
      <c r="V1348" s="15"/>
    </row>
    <row r="1349" spans="1:22" x14ac:dyDescent="0.25">
      <c r="A1349" s="14" t="s">
        <v>13</v>
      </c>
      <c r="B1349" s="14" t="s">
        <v>8391</v>
      </c>
      <c r="C1349" s="14" t="s">
        <v>8392</v>
      </c>
      <c r="D1349" s="14" t="s">
        <v>8393</v>
      </c>
      <c r="E1349" s="14">
        <v>2022</v>
      </c>
      <c r="F1349" s="14">
        <v>17</v>
      </c>
      <c r="G1349" s="14">
        <v>5</v>
      </c>
      <c r="H1349" s="14" t="s">
        <v>8394</v>
      </c>
      <c r="I1349" s="18"/>
      <c r="J1349" s="18"/>
      <c r="K1349" s="18"/>
      <c r="L1349" s="20">
        <v>44713</v>
      </c>
      <c r="M1349" s="18"/>
      <c r="N1349" s="14" t="s">
        <v>8395</v>
      </c>
      <c r="O1349" s="17" t="s">
        <v>8396</v>
      </c>
      <c r="P1349" s="14" t="s">
        <v>8397</v>
      </c>
      <c r="Q1349" s="14" t="s">
        <v>8398</v>
      </c>
      <c r="R1349" s="18"/>
      <c r="S1349" s="15"/>
      <c r="T1349" s="15"/>
      <c r="U1349" s="15"/>
      <c r="V1349" s="15"/>
    </row>
    <row r="1350" spans="1:22" x14ac:dyDescent="0.25">
      <c r="A1350" s="14" t="s">
        <v>141</v>
      </c>
      <c r="B1350" s="18"/>
      <c r="C1350" s="14" t="s">
        <v>8353</v>
      </c>
      <c r="D1350" s="18"/>
      <c r="E1350" s="14">
        <v>2022</v>
      </c>
      <c r="F1350" s="18"/>
      <c r="G1350" s="18"/>
      <c r="H1350" s="14" t="s">
        <v>8399</v>
      </c>
      <c r="I1350" s="18"/>
      <c r="J1350" s="18"/>
      <c r="K1350" s="14" t="s">
        <v>6469</v>
      </c>
      <c r="L1350" s="20">
        <v>44682</v>
      </c>
      <c r="M1350" s="18"/>
      <c r="N1350" s="14" t="s">
        <v>6152</v>
      </c>
      <c r="O1350" s="18"/>
      <c r="P1350" s="18"/>
      <c r="Q1350" s="14" t="s">
        <v>8357</v>
      </c>
      <c r="R1350" s="18"/>
      <c r="S1350" s="15"/>
      <c r="T1350" s="15"/>
      <c r="U1350" s="15"/>
      <c r="V1350" s="15"/>
    </row>
    <row r="1351" spans="1:22" x14ac:dyDescent="0.25">
      <c r="A1351" s="14" t="s">
        <v>141</v>
      </c>
      <c r="B1351" s="18"/>
      <c r="C1351" s="14" t="s">
        <v>8400</v>
      </c>
      <c r="D1351" s="18"/>
      <c r="E1351" s="14">
        <v>2019</v>
      </c>
      <c r="F1351" s="18"/>
      <c r="G1351" s="18"/>
      <c r="H1351" s="23">
        <v>44939</v>
      </c>
      <c r="I1351" s="18"/>
      <c r="J1351" s="18"/>
      <c r="K1351" s="14" t="s">
        <v>8400</v>
      </c>
      <c r="L1351" s="20">
        <v>43617</v>
      </c>
      <c r="M1351" s="18"/>
      <c r="N1351" s="18"/>
      <c r="O1351" s="17" t="s">
        <v>8401</v>
      </c>
      <c r="P1351" s="14" t="s">
        <v>8402</v>
      </c>
      <c r="Q1351" s="14" t="s">
        <v>8403</v>
      </c>
      <c r="R1351" s="18"/>
      <c r="S1351" s="15"/>
      <c r="T1351" s="15"/>
      <c r="U1351" s="15"/>
      <c r="V1351" s="15"/>
    </row>
    <row r="1352" spans="1:22" x14ac:dyDescent="0.25">
      <c r="A1352" s="14" t="s">
        <v>141</v>
      </c>
      <c r="B1352" s="18"/>
      <c r="C1352" s="14" t="s">
        <v>8353</v>
      </c>
      <c r="D1352" s="18"/>
      <c r="E1352" s="14">
        <v>2021</v>
      </c>
      <c r="F1352" s="18"/>
      <c r="G1352" s="18"/>
      <c r="H1352" s="23">
        <v>45060</v>
      </c>
      <c r="I1352" s="18"/>
      <c r="J1352" s="18"/>
      <c r="K1352" s="14" t="s">
        <v>7278</v>
      </c>
      <c r="L1352" s="20">
        <v>44256</v>
      </c>
      <c r="M1352" s="18"/>
      <c r="N1352" s="14" t="s">
        <v>6593</v>
      </c>
      <c r="O1352" s="17" t="s">
        <v>8404</v>
      </c>
      <c r="P1352" s="14" t="s">
        <v>8405</v>
      </c>
      <c r="Q1352" s="14" t="s">
        <v>8357</v>
      </c>
      <c r="R1352" s="18"/>
      <c r="S1352" s="15"/>
      <c r="T1352" s="15"/>
      <c r="U1352" s="15"/>
      <c r="V1352" s="15"/>
    </row>
    <row r="1353" spans="1:22" x14ac:dyDescent="0.25">
      <c r="A1353" s="14" t="s">
        <v>141</v>
      </c>
      <c r="B1353" s="18"/>
      <c r="C1353" s="14" t="s">
        <v>8362</v>
      </c>
      <c r="D1353" s="18"/>
      <c r="E1353" s="14">
        <v>2018</v>
      </c>
      <c r="F1353" s="18"/>
      <c r="G1353" s="18"/>
      <c r="H1353" s="23">
        <v>45059</v>
      </c>
      <c r="I1353" s="18"/>
      <c r="J1353" s="18"/>
      <c r="K1353" s="14" t="s">
        <v>6151</v>
      </c>
      <c r="L1353" s="20">
        <v>43221</v>
      </c>
      <c r="M1353" s="18"/>
      <c r="N1353" s="14" t="s">
        <v>6152</v>
      </c>
      <c r="O1353" s="18"/>
      <c r="P1353" s="18"/>
      <c r="Q1353" s="14" t="s">
        <v>8357</v>
      </c>
      <c r="R1353" s="18"/>
      <c r="S1353" s="15"/>
      <c r="T1353" s="15"/>
      <c r="U1353" s="15"/>
      <c r="V1353" s="15"/>
    </row>
    <row r="1354" spans="1:22" x14ac:dyDescent="0.25">
      <c r="A1354" s="14" t="s">
        <v>141</v>
      </c>
      <c r="B1354" s="18"/>
      <c r="C1354" s="14" t="s">
        <v>8362</v>
      </c>
      <c r="D1354" s="18"/>
      <c r="E1354" s="14">
        <v>2018</v>
      </c>
      <c r="F1354" s="18"/>
      <c r="G1354" s="18"/>
      <c r="H1354" s="23">
        <v>45056</v>
      </c>
      <c r="I1354" s="18"/>
      <c r="J1354" s="18"/>
      <c r="K1354" s="14" t="s">
        <v>6619</v>
      </c>
      <c r="L1354" s="20">
        <v>43191</v>
      </c>
      <c r="M1354" s="18"/>
      <c r="N1354" s="18"/>
      <c r="O1354" s="17" t="s">
        <v>8406</v>
      </c>
      <c r="P1354" s="14" t="s">
        <v>8407</v>
      </c>
      <c r="Q1354" s="14" t="s">
        <v>8357</v>
      </c>
      <c r="R1354" s="18"/>
      <c r="S1354" s="15"/>
      <c r="T1354" s="15"/>
      <c r="U1354" s="15"/>
      <c r="V1354" s="15"/>
    </row>
    <row r="1355" spans="1:22" x14ac:dyDescent="0.25">
      <c r="A1355" s="14" t="s">
        <v>141</v>
      </c>
      <c r="B1355" s="14" t="s">
        <v>3101</v>
      </c>
      <c r="C1355" s="14" t="s">
        <v>3102</v>
      </c>
      <c r="D1355" s="18"/>
      <c r="E1355" s="14">
        <v>2020</v>
      </c>
      <c r="F1355" s="18"/>
      <c r="G1355" s="18"/>
      <c r="H1355" s="14" t="s">
        <v>11043</v>
      </c>
      <c r="I1355" s="14" t="s">
        <v>145</v>
      </c>
      <c r="J1355" s="14" t="s">
        <v>11044</v>
      </c>
      <c r="K1355" s="14" t="s">
        <v>11045</v>
      </c>
      <c r="L1355" s="14" t="s">
        <v>11046</v>
      </c>
      <c r="M1355" s="14">
        <v>2020</v>
      </c>
      <c r="N1355" s="14">
        <v>9781450371223</v>
      </c>
      <c r="O1355" s="26"/>
      <c r="P1355" s="17" t="s">
        <v>11047</v>
      </c>
      <c r="Q1355" s="14" t="s">
        <v>3105</v>
      </c>
      <c r="R1355" s="14" t="s">
        <v>11048</v>
      </c>
      <c r="S1355" s="14" t="s">
        <v>11049</v>
      </c>
      <c r="T1355" s="18"/>
      <c r="U1355" s="18"/>
      <c r="V1355" s="14" t="s">
        <v>11050</v>
      </c>
    </row>
    <row r="1356" spans="1:22" x14ac:dyDescent="0.25">
      <c r="A1356" s="14" t="s">
        <v>141</v>
      </c>
      <c r="B1356" s="14" t="s">
        <v>1856</v>
      </c>
      <c r="C1356" s="14" t="s">
        <v>11051</v>
      </c>
      <c r="D1356" s="18"/>
      <c r="E1356" s="14">
        <v>2021</v>
      </c>
      <c r="F1356" s="18"/>
      <c r="G1356" s="18"/>
      <c r="H1356" s="14" t="s">
        <v>11052</v>
      </c>
      <c r="I1356" s="14" t="s">
        <v>145</v>
      </c>
      <c r="J1356" s="14" t="s">
        <v>11044</v>
      </c>
      <c r="K1356" s="14" t="s">
        <v>11053</v>
      </c>
      <c r="L1356" s="14" t="s">
        <v>11054</v>
      </c>
      <c r="M1356" s="14">
        <v>2021</v>
      </c>
      <c r="N1356" s="14">
        <v>9781450390538</v>
      </c>
      <c r="O1356" s="26"/>
      <c r="P1356" s="17" t="s">
        <v>11055</v>
      </c>
      <c r="Q1356" s="14" t="s">
        <v>1860</v>
      </c>
      <c r="R1356" s="14" t="s">
        <v>11056</v>
      </c>
      <c r="S1356" s="14" t="s">
        <v>11057</v>
      </c>
      <c r="T1356" s="18"/>
      <c r="U1356" s="18"/>
      <c r="V1356" s="14" t="s">
        <v>11058</v>
      </c>
    </row>
    <row r="1357" spans="1:22" x14ac:dyDescent="0.25">
      <c r="A1357" s="14" t="s">
        <v>13</v>
      </c>
      <c r="B1357" s="14" t="s">
        <v>11059</v>
      </c>
      <c r="C1357" s="14" t="s">
        <v>11060</v>
      </c>
      <c r="D1357" s="14" t="s">
        <v>11061</v>
      </c>
      <c r="E1357" s="14">
        <v>2017</v>
      </c>
      <c r="F1357" s="14">
        <v>42</v>
      </c>
      <c r="G1357" s="14">
        <v>1</v>
      </c>
      <c r="H1357" s="14" t="s">
        <v>11062</v>
      </c>
      <c r="I1357" s="14" t="s">
        <v>145</v>
      </c>
      <c r="J1357" s="14" t="s">
        <v>11044</v>
      </c>
      <c r="K1357" s="26"/>
      <c r="L1357" s="27"/>
      <c r="M1357" s="20">
        <v>42795</v>
      </c>
      <c r="N1357" s="18"/>
      <c r="O1357" s="14" t="s">
        <v>11063</v>
      </c>
      <c r="P1357" s="17" t="s">
        <v>11064</v>
      </c>
      <c r="Q1357" s="14" t="s">
        <v>11065</v>
      </c>
      <c r="R1357" s="14" t="s">
        <v>11066</v>
      </c>
      <c r="S1357" s="14" t="s">
        <v>11067</v>
      </c>
      <c r="T1357" s="18"/>
      <c r="U1357" s="18"/>
      <c r="V1357" s="18"/>
    </row>
    <row r="1358" spans="1:22" x14ac:dyDescent="0.25">
      <c r="A1358" s="14" t="s">
        <v>141</v>
      </c>
      <c r="B1358" s="14" t="s">
        <v>6198</v>
      </c>
      <c r="C1358" s="14" t="s">
        <v>6199</v>
      </c>
      <c r="D1358" s="18"/>
      <c r="E1358" s="14">
        <v>2016</v>
      </c>
      <c r="F1358" s="18"/>
      <c r="G1358" s="18"/>
      <c r="H1358" s="14" t="s">
        <v>11068</v>
      </c>
      <c r="I1358" s="14" t="s">
        <v>145</v>
      </c>
      <c r="J1358" s="14" t="s">
        <v>11044</v>
      </c>
      <c r="K1358" s="14" t="s">
        <v>11069</v>
      </c>
      <c r="L1358" s="14" t="s">
        <v>11070</v>
      </c>
      <c r="M1358" s="14">
        <v>2016</v>
      </c>
      <c r="N1358" s="14">
        <v>9781450341868</v>
      </c>
      <c r="O1358" s="26"/>
      <c r="P1358" s="17" t="s">
        <v>11071</v>
      </c>
      <c r="Q1358" s="14" t="s">
        <v>11072</v>
      </c>
      <c r="R1358" s="14" t="s">
        <v>6202</v>
      </c>
      <c r="S1358" s="14" t="s">
        <v>11073</v>
      </c>
      <c r="T1358" s="18"/>
      <c r="U1358" s="18"/>
      <c r="V1358" s="14" t="s">
        <v>11074</v>
      </c>
    </row>
    <row r="1359" spans="1:22" x14ac:dyDescent="0.25">
      <c r="A1359" s="14" t="s">
        <v>141</v>
      </c>
      <c r="B1359" s="14" t="s">
        <v>6230</v>
      </c>
      <c r="C1359" s="14" t="s">
        <v>6231</v>
      </c>
      <c r="D1359" s="18"/>
      <c r="E1359" s="14">
        <v>2022</v>
      </c>
      <c r="F1359" s="18"/>
      <c r="G1359" s="18"/>
      <c r="H1359" s="14" t="s">
        <v>11075</v>
      </c>
      <c r="I1359" s="14" t="s">
        <v>145</v>
      </c>
      <c r="J1359" s="14" t="s">
        <v>11044</v>
      </c>
      <c r="K1359" s="14" t="s">
        <v>11076</v>
      </c>
      <c r="L1359" s="14" t="s">
        <v>11077</v>
      </c>
      <c r="M1359" s="14">
        <v>2022</v>
      </c>
      <c r="N1359" s="14">
        <v>9781450393041</v>
      </c>
      <c r="O1359" s="26"/>
      <c r="P1359" s="17" t="s">
        <v>11078</v>
      </c>
      <c r="Q1359" s="14" t="s">
        <v>6234</v>
      </c>
      <c r="R1359" s="14" t="s">
        <v>11079</v>
      </c>
      <c r="S1359" s="14" t="s">
        <v>11080</v>
      </c>
      <c r="T1359" s="18"/>
      <c r="U1359" s="18"/>
      <c r="V1359" s="14" t="s">
        <v>11081</v>
      </c>
    </row>
    <row r="1360" spans="1:22" x14ac:dyDescent="0.25">
      <c r="A1360" s="14" t="s">
        <v>141</v>
      </c>
      <c r="B1360" s="14" t="s">
        <v>3166</v>
      </c>
      <c r="C1360" s="14" t="s">
        <v>6333</v>
      </c>
      <c r="D1360" s="18"/>
      <c r="E1360" s="14">
        <v>2021</v>
      </c>
      <c r="F1360" s="18"/>
      <c r="G1360" s="18"/>
      <c r="H1360" s="14" t="s">
        <v>11082</v>
      </c>
      <c r="I1360" s="14" t="s">
        <v>11083</v>
      </c>
      <c r="J1360" s="14" t="s">
        <v>11084</v>
      </c>
      <c r="K1360" s="14" t="s">
        <v>11085</v>
      </c>
      <c r="L1360" s="27"/>
      <c r="M1360" s="14">
        <v>2021</v>
      </c>
      <c r="N1360" s="14">
        <v>9781450390859</v>
      </c>
      <c r="O1360" s="26"/>
      <c r="P1360" s="17" t="s">
        <v>11086</v>
      </c>
      <c r="Q1360" s="14" t="s">
        <v>3170</v>
      </c>
      <c r="R1360" s="14" t="s">
        <v>11087</v>
      </c>
      <c r="S1360" s="14" t="s">
        <v>11088</v>
      </c>
      <c r="T1360" s="18"/>
      <c r="U1360" s="18"/>
      <c r="V1360" s="14" t="s">
        <v>11089</v>
      </c>
    </row>
    <row r="1361" spans="1:22" x14ac:dyDescent="0.25">
      <c r="A1361" s="14" t="s">
        <v>13</v>
      </c>
      <c r="B1361" s="14" t="s">
        <v>11090</v>
      </c>
      <c r="C1361" s="14" t="s">
        <v>11091</v>
      </c>
      <c r="D1361" s="14" t="s">
        <v>11061</v>
      </c>
      <c r="E1361" s="14">
        <v>2017</v>
      </c>
      <c r="F1361" s="14">
        <v>42</v>
      </c>
      <c r="G1361" s="14">
        <v>3</v>
      </c>
      <c r="H1361" s="14" t="s">
        <v>11092</v>
      </c>
      <c r="I1361" s="14" t="s">
        <v>145</v>
      </c>
      <c r="J1361" s="14" t="s">
        <v>11044</v>
      </c>
      <c r="K1361" s="26"/>
      <c r="L1361" s="27"/>
      <c r="M1361" s="20">
        <v>42979</v>
      </c>
      <c r="N1361" s="18"/>
      <c r="O1361" s="14" t="s">
        <v>11063</v>
      </c>
      <c r="P1361" s="17" t="s">
        <v>11093</v>
      </c>
      <c r="Q1361" s="14" t="s">
        <v>11094</v>
      </c>
      <c r="R1361" s="14" t="s">
        <v>11095</v>
      </c>
      <c r="S1361" s="14" t="s">
        <v>11096</v>
      </c>
      <c r="T1361" s="18"/>
      <c r="U1361" s="18"/>
      <c r="V1361" s="18"/>
    </row>
    <row r="1362" spans="1:22" x14ac:dyDescent="0.25">
      <c r="A1362" s="14" t="s">
        <v>13</v>
      </c>
      <c r="B1362" s="14" t="s">
        <v>11097</v>
      </c>
      <c r="C1362" s="14" t="s">
        <v>11098</v>
      </c>
      <c r="D1362" s="14" t="s">
        <v>11061</v>
      </c>
      <c r="E1362" s="14">
        <v>2016</v>
      </c>
      <c r="F1362" s="14">
        <v>41</v>
      </c>
      <c r="G1362" s="14">
        <v>2</v>
      </c>
      <c r="H1362" s="14" t="s">
        <v>11099</v>
      </c>
      <c r="I1362" s="14" t="s">
        <v>145</v>
      </c>
      <c r="J1362" s="14" t="s">
        <v>11044</v>
      </c>
      <c r="K1362" s="26"/>
      <c r="L1362" s="27"/>
      <c r="M1362" s="20">
        <v>42491</v>
      </c>
      <c r="N1362" s="18"/>
      <c r="O1362" s="14" t="s">
        <v>11063</v>
      </c>
      <c r="P1362" s="17" t="s">
        <v>11100</v>
      </c>
      <c r="Q1362" s="14" t="s">
        <v>11101</v>
      </c>
      <c r="R1362" s="14" t="s">
        <v>11102</v>
      </c>
      <c r="S1362" s="18"/>
      <c r="T1362" s="18"/>
      <c r="U1362" s="18"/>
      <c r="V1362" s="18"/>
    </row>
    <row r="1363" spans="1:22" x14ac:dyDescent="0.25">
      <c r="A1363" s="14" t="s">
        <v>141</v>
      </c>
      <c r="B1363" s="14" t="s">
        <v>2972</v>
      </c>
      <c r="C1363" s="14" t="s">
        <v>6443</v>
      </c>
      <c r="D1363" s="18"/>
      <c r="E1363" s="14">
        <v>2018</v>
      </c>
      <c r="F1363" s="18"/>
      <c r="G1363" s="18"/>
      <c r="H1363" s="14" t="s">
        <v>11103</v>
      </c>
      <c r="I1363" s="14" t="s">
        <v>145</v>
      </c>
      <c r="J1363" s="14" t="s">
        <v>11044</v>
      </c>
      <c r="K1363" s="14" t="s">
        <v>11104</v>
      </c>
      <c r="L1363" s="14" t="s">
        <v>11105</v>
      </c>
      <c r="M1363" s="14">
        <v>2018</v>
      </c>
      <c r="N1363" s="14">
        <v>9781450357135</v>
      </c>
      <c r="O1363" s="26"/>
      <c r="P1363" s="17" t="s">
        <v>11106</v>
      </c>
      <c r="Q1363" s="14" t="s">
        <v>5509</v>
      </c>
      <c r="R1363" s="14" t="s">
        <v>11107</v>
      </c>
      <c r="S1363" s="14" t="s">
        <v>11108</v>
      </c>
      <c r="T1363" s="18"/>
      <c r="U1363" s="18"/>
      <c r="V1363" s="14" t="s">
        <v>11109</v>
      </c>
    </row>
    <row r="1364" spans="1:22" x14ac:dyDescent="0.25">
      <c r="A1364" s="14" t="s">
        <v>141</v>
      </c>
      <c r="B1364" s="14" t="s">
        <v>11110</v>
      </c>
      <c r="C1364" s="14" t="s">
        <v>11111</v>
      </c>
      <c r="D1364" s="18"/>
      <c r="E1364" s="14">
        <v>2022</v>
      </c>
      <c r="F1364" s="18"/>
      <c r="G1364" s="18"/>
      <c r="H1364" s="14" t="s">
        <v>11112</v>
      </c>
      <c r="I1364" s="14" t="s">
        <v>145</v>
      </c>
      <c r="J1364" s="14" t="s">
        <v>11044</v>
      </c>
      <c r="K1364" s="14" t="s">
        <v>11113</v>
      </c>
      <c r="L1364" s="14" t="s">
        <v>11114</v>
      </c>
      <c r="M1364" s="14">
        <v>2022</v>
      </c>
      <c r="N1364" s="14">
        <v>9781450394130</v>
      </c>
      <c r="O1364" s="26"/>
      <c r="P1364" s="17" t="s">
        <v>11115</v>
      </c>
      <c r="Q1364" s="14" t="s">
        <v>566</v>
      </c>
      <c r="R1364" s="14" t="s">
        <v>11116</v>
      </c>
      <c r="S1364" s="14" t="s">
        <v>11117</v>
      </c>
      <c r="T1364" s="18"/>
      <c r="U1364" s="18"/>
      <c r="V1364" s="14" t="s">
        <v>11118</v>
      </c>
    </row>
    <row r="1365" spans="1:22" x14ac:dyDescent="0.25">
      <c r="A1365" s="14" t="s">
        <v>141</v>
      </c>
      <c r="B1365" s="14" t="s">
        <v>11119</v>
      </c>
      <c r="C1365" s="14" t="s">
        <v>11120</v>
      </c>
      <c r="D1365" s="18"/>
      <c r="E1365" s="14">
        <v>2012</v>
      </c>
      <c r="F1365" s="18"/>
      <c r="G1365" s="18"/>
      <c r="H1365" s="14" t="s">
        <v>11121</v>
      </c>
      <c r="I1365" s="14" t="s">
        <v>11083</v>
      </c>
      <c r="J1365" s="14" t="s">
        <v>11122</v>
      </c>
      <c r="K1365" s="14" t="s">
        <v>11123</v>
      </c>
      <c r="L1365" s="27"/>
      <c r="M1365" s="14">
        <v>2012</v>
      </c>
      <c r="N1365" s="14">
        <v>9781467317498</v>
      </c>
      <c r="O1365" s="26"/>
      <c r="P1365" s="26"/>
      <c r="Q1365" s="26"/>
      <c r="R1365" s="14" t="s">
        <v>11124</v>
      </c>
      <c r="S1365" s="14" t="s">
        <v>11125</v>
      </c>
      <c r="T1365" s="18"/>
      <c r="U1365" s="18"/>
      <c r="V1365" s="14" t="s">
        <v>11126</v>
      </c>
    </row>
    <row r="1366" spans="1:22" x14ac:dyDescent="0.25">
      <c r="A1366" s="14" t="s">
        <v>141</v>
      </c>
      <c r="B1366" s="14" t="s">
        <v>3189</v>
      </c>
      <c r="C1366" s="14" t="s">
        <v>11127</v>
      </c>
      <c r="D1366" s="18"/>
      <c r="E1366" s="14">
        <v>2019</v>
      </c>
      <c r="F1366" s="18"/>
      <c r="G1366" s="18"/>
      <c r="H1366" s="14" t="s">
        <v>11128</v>
      </c>
      <c r="I1366" s="14" t="s">
        <v>145</v>
      </c>
      <c r="J1366" s="14" t="s">
        <v>11044</v>
      </c>
      <c r="K1366" s="14" t="s">
        <v>11129</v>
      </c>
      <c r="L1366" s="14" t="s">
        <v>11130</v>
      </c>
      <c r="M1366" s="14">
        <v>2019</v>
      </c>
      <c r="N1366" s="14">
        <v>9781450372336</v>
      </c>
      <c r="O1366" s="26"/>
      <c r="P1366" s="17" t="s">
        <v>11131</v>
      </c>
      <c r="Q1366" s="14" t="s">
        <v>4952</v>
      </c>
      <c r="R1366" s="14" t="s">
        <v>11132</v>
      </c>
      <c r="S1366" s="14" t="s">
        <v>11133</v>
      </c>
      <c r="T1366" s="18"/>
      <c r="U1366" s="18"/>
      <c r="V1366" s="14" t="s">
        <v>11134</v>
      </c>
    </row>
    <row r="1367" spans="1:22" x14ac:dyDescent="0.25">
      <c r="A1367" s="14" t="s">
        <v>141</v>
      </c>
      <c r="B1367" s="14" t="s">
        <v>2494</v>
      </c>
      <c r="C1367" s="14" t="s">
        <v>2495</v>
      </c>
      <c r="D1367" s="18"/>
      <c r="E1367" s="14">
        <v>2022</v>
      </c>
      <c r="F1367" s="18"/>
      <c r="G1367" s="18"/>
      <c r="H1367" s="14" t="s">
        <v>11103</v>
      </c>
      <c r="I1367" s="14" t="s">
        <v>145</v>
      </c>
      <c r="J1367" s="14" t="s">
        <v>11044</v>
      </c>
      <c r="K1367" s="14" t="s">
        <v>11076</v>
      </c>
      <c r="L1367" s="14" t="s">
        <v>11077</v>
      </c>
      <c r="M1367" s="14">
        <v>2022</v>
      </c>
      <c r="N1367" s="14">
        <v>9781450393041</v>
      </c>
      <c r="O1367" s="26"/>
      <c r="P1367" s="17" t="s">
        <v>11135</v>
      </c>
      <c r="Q1367" s="14" t="s">
        <v>2498</v>
      </c>
      <c r="R1367" s="14" t="s">
        <v>11136</v>
      </c>
      <c r="S1367" s="14" t="s">
        <v>11137</v>
      </c>
      <c r="T1367" s="18"/>
      <c r="U1367" s="18"/>
      <c r="V1367" s="14" t="s">
        <v>11081</v>
      </c>
    </row>
    <row r="1368" spans="1:22" x14ac:dyDescent="0.25">
      <c r="A1368" s="14" t="s">
        <v>141</v>
      </c>
      <c r="B1368" s="14" t="s">
        <v>11138</v>
      </c>
      <c r="C1368" s="14" t="s">
        <v>11139</v>
      </c>
      <c r="D1368" s="18"/>
      <c r="E1368" s="14">
        <v>2022</v>
      </c>
      <c r="F1368" s="18"/>
      <c r="G1368" s="18"/>
      <c r="H1368" s="14" t="s">
        <v>11140</v>
      </c>
      <c r="I1368" s="14" t="s">
        <v>145</v>
      </c>
      <c r="J1368" s="14" t="s">
        <v>11044</v>
      </c>
      <c r="K1368" s="14" t="s">
        <v>11141</v>
      </c>
      <c r="L1368" s="14" t="s">
        <v>11142</v>
      </c>
      <c r="M1368" s="14">
        <v>2022</v>
      </c>
      <c r="N1368" s="14">
        <v>9781450394277</v>
      </c>
      <c r="O1368" s="26"/>
      <c r="P1368" s="17" t="s">
        <v>11143</v>
      </c>
      <c r="Q1368" s="14" t="s">
        <v>1364</v>
      </c>
      <c r="R1368" s="14" t="s">
        <v>11144</v>
      </c>
      <c r="S1368" s="18"/>
      <c r="T1368" s="18"/>
      <c r="U1368" s="18"/>
      <c r="V1368" s="14" t="s">
        <v>11145</v>
      </c>
    </row>
    <row r="1369" spans="1:22" x14ac:dyDescent="0.25">
      <c r="A1369" s="14" t="s">
        <v>141</v>
      </c>
      <c r="B1369" s="14" t="s">
        <v>4924</v>
      </c>
      <c r="C1369" s="14" t="s">
        <v>4925</v>
      </c>
      <c r="D1369" s="18"/>
      <c r="E1369" s="14">
        <v>2019</v>
      </c>
      <c r="F1369" s="18"/>
      <c r="G1369" s="18"/>
      <c r="H1369" s="14" t="s">
        <v>11146</v>
      </c>
      <c r="I1369" s="14" t="s">
        <v>11083</v>
      </c>
      <c r="J1369" s="14" t="s">
        <v>11147</v>
      </c>
      <c r="K1369" s="14" t="s">
        <v>11148</v>
      </c>
      <c r="L1369" s="27"/>
      <c r="M1369" s="14">
        <v>2019</v>
      </c>
      <c r="N1369" s="18"/>
      <c r="O1369" s="26"/>
      <c r="P1369" s="17" t="s">
        <v>11149</v>
      </c>
      <c r="Q1369" s="14" t="s">
        <v>4928</v>
      </c>
      <c r="R1369" s="14" t="s">
        <v>11150</v>
      </c>
      <c r="S1369" s="14" t="s">
        <v>11151</v>
      </c>
      <c r="T1369" s="18"/>
      <c r="U1369" s="18"/>
      <c r="V1369" s="14" t="s">
        <v>11152</v>
      </c>
    </row>
    <row r="1370" spans="1:22" x14ac:dyDescent="0.25">
      <c r="A1370" s="14" t="s">
        <v>141</v>
      </c>
      <c r="B1370" s="14" t="s">
        <v>11153</v>
      </c>
      <c r="C1370" s="14" t="s">
        <v>11154</v>
      </c>
      <c r="D1370" s="18"/>
      <c r="E1370" s="14">
        <v>2020</v>
      </c>
      <c r="F1370" s="18"/>
      <c r="G1370" s="18"/>
      <c r="H1370" s="14" t="s">
        <v>11155</v>
      </c>
      <c r="I1370" s="14" t="s">
        <v>145</v>
      </c>
      <c r="J1370" s="14" t="s">
        <v>11044</v>
      </c>
      <c r="K1370" s="14" t="s">
        <v>11156</v>
      </c>
      <c r="L1370" s="14" t="s">
        <v>11157</v>
      </c>
      <c r="M1370" s="14">
        <v>2020</v>
      </c>
      <c r="N1370" s="14">
        <v>9781450379601</v>
      </c>
      <c r="O1370" s="26"/>
      <c r="P1370" s="17" t="s">
        <v>11158</v>
      </c>
      <c r="Q1370" s="14" t="s">
        <v>11159</v>
      </c>
      <c r="R1370" s="14" t="s">
        <v>11160</v>
      </c>
      <c r="S1370" s="14" t="s">
        <v>11161</v>
      </c>
      <c r="T1370" s="18"/>
      <c r="U1370" s="18"/>
      <c r="V1370" s="14" t="s">
        <v>11162</v>
      </c>
    </row>
    <row r="1371" spans="1:22" x14ac:dyDescent="0.25">
      <c r="A1371" s="14" t="s">
        <v>141</v>
      </c>
      <c r="B1371" s="14" t="s">
        <v>11163</v>
      </c>
      <c r="C1371" s="14" t="s">
        <v>11164</v>
      </c>
      <c r="D1371" s="18"/>
      <c r="E1371" s="14">
        <v>2019</v>
      </c>
      <c r="F1371" s="18"/>
      <c r="G1371" s="18"/>
      <c r="H1371" s="14" t="s">
        <v>11165</v>
      </c>
      <c r="I1371" s="14" t="s">
        <v>11083</v>
      </c>
      <c r="J1371" s="14" t="s">
        <v>11147</v>
      </c>
      <c r="K1371" s="14" t="s">
        <v>11166</v>
      </c>
      <c r="L1371" s="27"/>
      <c r="M1371" s="14">
        <v>2019</v>
      </c>
      <c r="N1371" s="18"/>
      <c r="O1371" s="26"/>
      <c r="P1371" s="17" t="s">
        <v>11167</v>
      </c>
      <c r="Q1371" s="14" t="s">
        <v>4255</v>
      </c>
      <c r="R1371" s="14" t="s">
        <v>11168</v>
      </c>
      <c r="S1371" s="14" t="s">
        <v>11169</v>
      </c>
      <c r="T1371" s="18"/>
      <c r="U1371" s="18"/>
      <c r="V1371" s="14" t="s">
        <v>11170</v>
      </c>
    </row>
    <row r="1372" spans="1:22" x14ac:dyDescent="0.25">
      <c r="A1372" s="14" t="s">
        <v>141</v>
      </c>
      <c r="B1372" s="14" t="s">
        <v>11171</v>
      </c>
      <c r="C1372" s="14" t="s">
        <v>11172</v>
      </c>
      <c r="D1372" s="18"/>
      <c r="E1372" s="14">
        <v>2012</v>
      </c>
      <c r="F1372" s="18"/>
      <c r="G1372" s="18"/>
      <c r="H1372" s="14" t="s">
        <v>11173</v>
      </c>
      <c r="I1372" s="14" t="s">
        <v>11083</v>
      </c>
      <c r="J1372" s="14" t="s">
        <v>11122</v>
      </c>
      <c r="K1372" s="14" t="s">
        <v>11123</v>
      </c>
      <c r="L1372" s="27"/>
      <c r="M1372" s="14">
        <v>2012</v>
      </c>
      <c r="N1372" s="14">
        <v>9781467317498</v>
      </c>
      <c r="O1372" s="26"/>
      <c r="P1372" s="26"/>
      <c r="Q1372" s="26"/>
      <c r="R1372" s="14" t="s">
        <v>11174</v>
      </c>
      <c r="S1372" s="14" t="s">
        <v>11175</v>
      </c>
      <c r="T1372" s="18"/>
      <c r="U1372" s="18"/>
      <c r="V1372" s="14" t="s">
        <v>11126</v>
      </c>
    </row>
    <row r="1373" spans="1:22" x14ac:dyDescent="0.25">
      <c r="A1373" s="14" t="s">
        <v>141</v>
      </c>
      <c r="B1373" s="14" t="s">
        <v>3177</v>
      </c>
      <c r="C1373" s="14" t="s">
        <v>3178</v>
      </c>
      <c r="D1373" s="18"/>
      <c r="E1373" s="14">
        <v>2020</v>
      </c>
      <c r="F1373" s="18"/>
      <c r="G1373" s="18"/>
      <c r="H1373" s="14" t="s">
        <v>11176</v>
      </c>
      <c r="I1373" s="14" t="s">
        <v>145</v>
      </c>
      <c r="J1373" s="14" t="s">
        <v>11044</v>
      </c>
      <c r="K1373" s="14" t="s">
        <v>11045</v>
      </c>
      <c r="L1373" s="14" t="s">
        <v>11046</v>
      </c>
      <c r="M1373" s="14">
        <v>2020</v>
      </c>
      <c r="N1373" s="14">
        <v>9781450371223</v>
      </c>
      <c r="O1373" s="26"/>
      <c r="P1373" s="17" t="s">
        <v>11177</v>
      </c>
      <c r="Q1373" s="14" t="s">
        <v>3181</v>
      </c>
      <c r="R1373" s="14" t="s">
        <v>6244</v>
      </c>
      <c r="S1373" s="14" t="s">
        <v>11178</v>
      </c>
      <c r="T1373" s="18"/>
      <c r="U1373" s="18"/>
      <c r="V1373" s="14" t="s">
        <v>11050</v>
      </c>
    </row>
    <row r="1374" spans="1:22" x14ac:dyDescent="0.25">
      <c r="A1374" s="14" t="s">
        <v>141</v>
      </c>
      <c r="B1374" s="14" t="s">
        <v>4991</v>
      </c>
      <c r="C1374" s="14" t="s">
        <v>11179</v>
      </c>
      <c r="D1374" s="18"/>
      <c r="E1374" s="14">
        <v>2019</v>
      </c>
      <c r="F1374" s="18"/>
      <c r="G1374" s="18"/>
      <c r="H1374" s="14" t="s">
        <v>11180</v>
      </c>
      <c r="I1374" s="14" t="s">
        <v>11083</v>
      </c>
      <c r="J1374" s="14" t="s">
        <v>11147</v>
      </c>
      <c r="K1374" s="14" t="s">
        <v>11166</v>
      </c>
      <c r="L1374" s="27"/>
      <c r="M1374" s="14">
        <v>2019</v>
      </c>
      <c r="N1374" s="18"/>
      <c r="O1374" s="26"/>
      <c r="P1374" s="17" t="s">
        <v>11181</v>
      </c>
      <c r="Q1374" s="14" t="s">
        <v>4995</v>
      </c>
      <c r="R1374" s="14" t="s">
        <v>11182</v>
      </c>
      <c r="S1374" s="14" t="s">
        <v>11183</v>
      </c>
      <c r="T1374" s="18"/>
      <c r="U1374" s="18"/>
      <c r="V1374" s="14" t="s">
        <v>11170</v>
      </c>
    </row>
    <row r="1375" spans="1:22" x14ac:dyDescent="0.25">
      <c r="A1375" s="14" t="s">
        <v>141</v>
      </c>
      <c r="B1375" s="14" t="s">
        <v>4885</v>
      </c>
      <c r="C1375" s="14" t="s">
        <v>11184</v>
      </c>
      <c r="D1375" s="18"/>
      <c r="E1375" s="14">
        <v>2019</v>
      </c>
      <c r="F1375" s="18"/>
      <c r="G1375" s="18"/>
      <c r="H1375" s="14" t="s">
        <v>11185</v>
      </c>
      <c r="I1375" s="14" t="s">
        <v>145</v>
      </c>
      <c r="J1375" s="14" t="s">
        <v>11044</v>
      </c>
      <c r="K1375" s="14" t="s">
        <v>11186</v>
      </c>
      <c r="L1375" s="14" t="s">
        <v>11187</v>
      </c>
      <c r="M1375" s="14">
        <v>2019</v>
      </c>
      <c r="N1375" s="14">
        <v>9781450368551</v>
      </c>
      <c r="O1375" s="26"/>
      <c r="P1375" s="17" t="s">
        <v>11188</v>
      </c>
      <c r="Q1375" s="14" t="s">
        <v>4889</v>
      </c>
      <c r="R1375" s="14" t="s">
        <v>11189</v>
      </c>
      <c r="S1375" s="14" t="s">
        <v>11190</v>
      </c>
      <c r="T1375" s="18"/>
      <c r="U1375" s="18"/>
      <c r="V1375" s="14" t="s">
        <v>11191</v>
      </c>
    </row>
    <row r="1376" spans="1:22" x14ac:dyDescent="0.25">
      <c r="A1376" s="14" t="s">
        <v>141</v>
      </c>
      <c r="B1376" s="14" t="s">
        <v>6219</v>
      </c>
      <c r="C1376" s="14" t="s">
        <v>6220</v>
      </c>
      <c r="D1376" s="18"/>
      <c r="E1376" s="14">
        <v>2018</v>
      </c>
      <c r="F1376" s="18"/>
      <c r="G1376" s="18"/>
      <c r="H1376" s="14" t="s">
        <v>11155</v>
      </c>
      <c r="I1376" s="14" t="s">
        <v>145</v>
      </c>
      <c r="J1376" s="14" t="s">
        <v>11044</v>
      </c>
      <c r="K1376" s="14" t="s">
        <v>11104</v>
      </c>
      <c r="L1376" s="14" t="s">
        <v>11105</v>
      </c>
      <c r="M1376" s="14">
        <v>2018</v>
      </c>
      <c r="N1376" s="14">
        <v>9781450357135</v>
      </c>
      <c r="O1376" s="26"/>
      <c r="P1376" s="17" t="s">
        <v>11192</v>
      </c>
      <c r="Q1376" s="14" t="s">
        <v>11193</v>
      </c>
      <c r="R1376" s="14" t="s">
        <v>6221</v>
      </c>
      <c r="S1376" s="14" t="s">
        <v>11194</v>
      </c>
      <c r="T1376" s="18"/>
      <c r="U1376" s="18"/>
      <c r="V1376" s="14" t="s">
        <v>11109</v>
      </c>
    </row>
    <row r="1377" spans="1:22" x14ac:dyDescent="0.25">
      <c r="A1377" s="14" t="s">
        <v>141</v>
      </c>
      <c r="B1377" s="14" t="s">
        <v>6122</v>
      </c>
      <c r="C1377" s="14" t="s">
        <v>6123</v>
      </c>
      <c r="D1377" s="18"/>
      <c r="E1377" s="14">
        <v>2018</v>
      </c>
      <c r="F1377" s="18"/>
      <c r="G1377" s="18"/>
      <c r="H1377" s="14">
        <v>61</v>
      </c>
      <c r="I1377" s="14" t="s">
        <v>145</v>
      </c>
      <c r="J1377" s="14" t="s">
        <v>11044</v>
      </c>
      <c r="K1377" s="14" t="s">
        <v>11104</v>
      </c>
      <c r="L1377" s="14" t="s">
        <v>11105</v>
      </c>
      <c r="M1377" s="14">
        <v>2018</v>
      </c>
      <c r="N1377" s="14">
        <v>9781450357135</v>
      </c>
      <c r="O1377" s="26"/>
      <c r="P1377" s="17" t="s">
        <v>11195</v>
      </c>
      <c r="Q1377" s="14" t="s">
        <v>11196</v>
      </c>
      <c r="R1377" s="14" t="s">
        <v>11197</v>
      </c>
      <c r="S1377" s="18"/>
      <c r="T1377" s="18"/>
      <c r="U1377" s="18"/>
      <c r="V1377" s="14" t="s">
        <v>11109</v>
      </c>
    </row>
    <row r="1378" spans="1:22" x14ac:dyDescent="0.25">
      <c r="A1378" s="14" t="s">
        <v>141</v>
      </c>
      <c r="B1378" s="14" t="s">
        <v>5662</v>
      </c>
      <c r="C1378" s="14" t="s">
        <v>11198</v>
      </c>
      <c r="D1378" s="18"/>
      <c r="E1378" s="14">
        <v>2018</v>
      </c>
      <c r="F1378" s="18"/>
      <c r="G1378" s="18"/>
      <c r="H1378" s="14" t="s">
        <v>11199</v>
      </c>
      <c r="I1378" s="14" t="s">
        <v>145</v>
      </c>
      <c r="J1378" s="14" t="s">
        <v>11044</v>
      </c>
      <c r="K1378" s="14" t="s">
        <v>11104</v>
      </c>
      <c r="L1378" s="14" t="s">
        <v>11105</v>
      </c>
      <c r="M1378" s="14">
        <v>2018</v>
      </c>
      <c r="N1378" s="14">
        <v>9781450357135</v>
      </c>
      <c r="O1378" s="26"/>
      <c r="P1378" s="17" t="s">
        <v>11200</v>
      </c>
      <c r="Q1378" s="14" t="s">
        <v>11201</v>
      </c>
      <c r="R1378" s="14" t="s">
        <v>11202</v>
      </c>
      <c r="S1378" s="18"/>
      <c r="T1378" s="18"/>
      <c r="U1378" s="18"/>
      <c r="V1378" s="14" t="s">
        <v>11109</v>
      </c>
    </row>
    <row r="1379" spans="1:22" x14ac:dyDescent="0.25">
      <c r="A1379" s="14" t="s">
        <v>141</v>
      </c>
      <c r="B1379" s="14" t="s">
        <v>11203</v>
      </c>
      <c r="C1379" s="14" t="s">
        <v>11204</v>
      </c>
      <c r="D1379" s="18"/>
      <c r="E1379" s="14">
        <v>2020</v>
      </c>
      <c r="F1379" s="18"/>
      <c r="G1379" s="18"/>
      <c r="H1379" s="28"/>
      <c r="I1379" s="14" t="s">
        <v>145</v>
      </c>
      <c r="J1379" s="14" t="s">
        <v>11044</v>
      </c>
      <c r="K1379" s="14" t="s">
        <v>11205</v>
      </c>
      <c r="L1379" s="14" t="s">
        <v>11206</v>
      </c>
      <c r="M1379" s="14">
        <v>2020</v>
      </c>
      <c r="N1379" s="14">
        <v>9781450375801</v>
      </c>
      <c r="O1379" s="26"/>
      <c r="P1379" s="17" t="s">
        <v>11207</v>
      </c>
      <c r="Q1379" s="14" t="s">
        <v>11208</v>
      </c>
      <c r="R1379" s="14" t="s">
        <v>11209</v>
      </c>
      <c r="S1379" s="14" t="s">
        <v>11210</v>
      </c>
      <c r="T1379" s="18"/>
      <c r="U1379" s="18"/>
      <c r="V1379" s="14" t="s">
        <v>11211</v>
      </c>
    </row>
    <row r="1380" spans="1:22" x14ac:dyDescent="0.25">
      <c r="A1380" s="14" t="s">
        <v>13</v>
      </c>
      <c r="B1380" s="14" t="s">
        <v>11212</v>
      </c>
      <c r="C1380" s="14" t="s">
        <v>11213</v>
      </c>
      <c r="D1380" s="14" t="s">
        <v>11214</v>
      </c>
      <c r="E1380" s="14">
        <v>2023</v>
      </c>
      <c r="F1380" s="14">
        <v>66</v>
      </c>
      <c r="G1380" s="14">
        <v>2</v>
      </c>
      <c r="H1380" s="14" t="s">
        <v>11215</v>
      </c>
      <c r="I1380" s="14" t="s">
        <v>145</v>
      </c>
      <c r="J1380" s="14" t="s">
        <v>11044</v>
      </c>
      <c r="K1380" s="26"/>
      <c r="L1380" s="27"/>
      <c r="M1380" s="20">
        <v>44927</v>
      </c>
      <c r="N1380" s="18"/>
      <c r="O1380" s="14" t="s">
        <v>11216</v>
      </c>
      <c r="P1380" s="17" t="s">
        <v>11217</v>
      </c>
      <c r="Q1380" s="14" t="s">
        <v>11218</v>
      </c>
      <c r="R1380" s="14" t="s">
        <v>11219</v>
      </c>
      <c r="S1380" s="18"/>
      <c r="T1380" s="18"/>
      <c r="U1380" s="18"/>
      <c r="V1380" s="18"/>
    </row>
    <row r="1381" spans="1:22" x14ac:dyDescent="0.25">
      <c r="A1381" s="14" t="s">
        <v>141</v>
      </c>
      <c r="B1381" s="14" t="s">
        <v>11220</v>
      </c>
      <c r="C1381" s="14" t="s">
        <v>11221</v>
      </c>
      <c r="D1381" s="18"/>
      <c r="E1381" s="14">
        <v>2019</v>
      </c>
      <c r="F1381" s="18"/>
      <c r="G1381" s="18"/>
      <c r="H1381" s="14" t="s">
        <v>11222</v>
      </c>
      <c r="I1381" s="14" t="s">
        <v>11083</v>
      </c>
      <c r="J1381" s="14" t="s">
        <v>11147</v>
      </c>
      <c r="K1381" s="14" t="s">
        <v>11166</v>
      </c>
      <c r="L1381" s="27"/>
      <c r="M1381" s="14">
        <v>2019</v>
      </c>
      <c r="N1381" s="18"/>
      <c r="O1381" s="26"/>
      <c r="P1381" s="17" t="s">
        <v>11223</v>
      </c>
      <c r="Q1381" s="14" t="s">
        <v>11224</v>
      </c>
      <c r="R1381" s="14" t="s">
        <v>11225</v>
      </c>
      <c r="S1381" s="14" t="s">
        <v>11226</v>
      </c>
      <c r="T1381" s="18"/>
      <c r="U1381" s="18"/>
      <c r="V1381" s="14" t="s">
        <v>11170</v>
      </c>
    </row>
    <row r="1382" spans="1:22" x14ac:dyDescent="0.25">
      <c r="A1382" s="14" t="s">
        <v>13</v>
      </c>
      <c r="B1382" s="14" t="s">
        <v>11227</v>
      </c>
      <c r="C1382" s="14" t="s">
        <v>11228</v>
      </c>
      <c r="D1382" s="14" t="s">
        <v>11229</v>
      </c>
      <c r="E1382" s="14">
        <v>2022</v>
      </c>
      <c r="F1382" s="14">
        <v>21</v>
      </c>
      <c r="G1382" s="14">
        <v>4</v>
      </c>
      <c r="H1382" s="14" t="s">
        <v>11230</v>
      </c>
      <c r="I1382" s="14" t="s">
        <v>145</v>
      </c>
      <c r="J1382" s="14" t="s">
        <v>11044</v>
      </c>
      <c r="K1382" s="26"/>
      <c r="L1382" s="27"/>
      <c r="M1382" s="20">
        <v>44562</v>
      </c>
      <c r="N1382" s="18"/>
      <c r="O1382" s="14" t="s">
        <v>11231</v>
      </c>
      <c r="P1382" s="17" t="s">
        <v>11232</v>
      </c>
      <c r="Q1382" s="14" t="s">
        <v>11233</v>
      </c>
      <c r="R1382" s="14" t="s">
        <v>11234</v>
      </c>
      <c r="S1382" s="14" t="s">
        <v>11235</v>
      </c>
      <c r="T1382" s="18"/>
      <c r="U1382" s="18"/>
      <c r="V1382" s="18"/>
    </row>
    <row r="1383" spans="1:22" x14ac:dyDescent="0.25">
      <c r="A1383" s="14" t="s">
        <v>141</v>
      </c>
      <c r="B1383" s="14" t="s">
        <v>193</v>
      </c>
      <c r="C1383" s="14" t="s">
        <v>194</v>
      </c>
      <c r="D1383" s="18"/>
      <c r="E1383" s="14">
        <v>2022</v>
      </c>
      <c r="F1383" s="18"/>
      <c r="G1383" s="18"/>
      <c r="H1383" s="14" t="s">
        <v>11236</v>
      </c>
      <c r="I1383" s="14" t="s">
        <v>145</v>
      </c>
      <c r="J1383" s="14" t="s">
        <v>11044</v>
      </c>
      <c r="K1383" s="14" t="s">
        <v>11141</v>
      </c>
      <c r="L1383" s="14" t="s">
        <v>11142</v>
      </c>
      <c r="M1383" s="14">
        <v>2022</v>
      </c>
      <c r="N1383" s="14">
        <v>9781450394277</v>
      </c>
      <c r="O1383" s="26"/>
      <c r="P1383" s="17" t="s">
        <v>11237</v>
      </c>
      <c r="Q1383" s="14" t="s">
        <v>199</v>
      </c>
      <c r="R1383" s="14" t="s">
        <v>11238</v>
      </c>
      <c r="S1383" s="14" t="s">
        <v>11239</v>
      </c>
      <c r="T1383" s="18"/>
      <c r="U1383" s="18"/>
      <c r="V1383" s="14" t="s">
        <v>11145</v>
      </c>
    </row>
    <row r="1384" spans="1:22" x14ac:dyDescent="0.25">
      <c r="A1384" s="14" t="s">
        <v>141</v>
      </c>
      <c r="B1384" s="14" t="s">
        <v>11240</v>
      </c>
      <c r="C1384" s="14" t="s">
        <v>11241</v>
      </c>
      <c r="D1384" s="18"/>
      <c r="E1384" s="14">
        <v>2020</v>
      </c>
      <c r="F1384" s="18"/>
      <c r="G1384" s="18"/>
      <c r="H1384" s="28"/>
      <c r="I1384" s="14" t="s">
        <v>145</v>
      </c>
      <c r="J1384" s="14" t="s">
        <v>11044</v>
      </c>
      <c r="K1384" s="14" t="s">
        <v>11205</v>
      </c>
      <c r="L1384" s="14" t="s">
        <v>11206</v>
      </c>
      <c r="M1384" s="14">
        <v>2020</v>
      </c>
      <c r="N1384" s="14">
        <v>9781450375801</v>
      </c>
      <c r="O1384" s="26"/>
      <c r="P1384" s="17" t="s">
        <v>11242</v>
      </c>
      <c r="Q1384" s="14" t="s">
        <v>3321</v>
      </c>
      <c r="R1384" s="14" t="s">
        <v>11243</v>
      </c>
      <c r="S1384" s="14" t="s">
        <v>11244</v>
      </c>
      <c r="T1384" s="18"/>
      <c r="U1384" s="18"/>
      <c r="V1384" s="14" t="s">
        <v>11211</v>
      </c>
    </row>
    <row r="1385" spans="1:22" x14ac:dyDescent="0.25">
      <c r="A1385" s="14" t="s">
        <v>13</v>
      </c>
      <c r="B1385" s="14" t="s">
        <v>4306</v>
      </c>
      <c r="C1385" s="14" t="s">
        <v>11245</v>
      </c>
      <c r="D1385" s="14" t="s">
        <v>11246</v>
      </c>
      <c r="E1385" s="14">
        <v>2019</v>
      </c>
      <c r="F1385" s="14">
        <v>28</v>
      </c>
      <c r="G1385" s="14">
        <v>3</v>
      </c>
      <c r="H1385" s="28"/>
      <c r="I1385" s="14" t="s">
        <v>145</v>
      </c>
      <c r="J1385" s="14" t="s">
        <v>11044</v>
      </c>
      <c r="K1385" s="26"/>
      <c r="L1385" s="27"/>
      <c r="M1385" s="20">
        <v>43647</v>
      </c>
      <c r="N1385" s="18"/>
      <c r="O1385" s="14" t="s">
        <v>329</v>
      </c>
      <c r="P1385" s="17" t="s">
        <v>11247</v>
      </c>
      <c r="Q1385" s="14" t="s">
        <v>4309</v>
      </c>
      <c r="R1385" s="14" t="s">
        <v>11248</v>
      </c>
      <c r="S1385" s="14" t="s">
        <v>11249</v>
      </c>
      <c r="T1385" s="18"/>
      <c r="U1385" s="18"/>
      <c r="V1385" s="18"/>
    </row>
    <row r="1386" spans="1:22" x14ac:dyDescent="0.25">
      <c r="A1386" s="14" t="s">
        <v>141</v>
      </c>
      <c r="B1386" s="14" t="s">
        <v>5651</v>
      </c>
      <c r="C1386" s="14" t="s">
        <v>5652</v>
      </c>
      <c r="D1386" s="18"/>
      <c r="E1386" s="14">
        <v>2017</v>
      </c>
      <c r="F1386" s="18"/>
      <c r="G1386" s="18"/>
      <c r="H1386" s="14" t="s">
        <v>11250</v>
      </c>
      <c r="I1386" s="14" t="s">
        <v>145</v>
      </c>
      <c r="J1386" s="14" t="s">
        <v>11044</v>
      </c>
      <c r="K1386" s="14" t="s">
        <v>11251</v>
      </c>
      <c r="L1386" s="14" t="s">
        <v>11252</v>
      </c>
      <c r="M1386" s="14">
        <v>2017</v>
      </c>
      <c r="N1386" s="14">
        <v>9781450353267</v>
      </c>
      <c r="O1386" s="26"/>
      <c r="P1386" s="17" t="s">
        <v>11253</v>
      </c>
      <c r="Q1386" s="14" t="s">
        <v>5654</v>
      </c>
      <c r="R1386" s="14" t="s">
        <v>11254</v>
      </c>
      <c r="S1386" s="14" t="s">
        <v>11255</v>
      </c>
      <c r="T1386" s="18"/>
      <c r="U1386" s="18"/>
      <c r="V1386" s="14" t="s">
        <v>11256</v>
      </c>
    </row>
    <row r="1387" spans="1:22" x14ac:dyDescent="0.25">
      <c r="A1387" s="14" t="s">
        <v>141</v>
      </c>
      <c r="B1387" s="14" t="s">
        <v>11257</v>
      </c>
      <c r="C1387" s="14" t="s">
        <v>11258</v>
      </c>
      <c r="D1387" s="18"/>
      <c r="E1387" s="14">
        <v>2020</v>
      </c>
      <c r="F1387" s="18"/>
      <c r="G1387" s="18"/>
      <c r="H1387" s="14" t="s">
        <v>11259</v>
      </c>
      <c r="I1387" s="14" t="s">
        <v>145</v>
      </c>
      <c r="J1387" s="14" t="s">
        <v>11044</v>
      </c>
      <c r="K1387" s="14" t="s">
        <v>11156</v>
      </c>
      <c r="L1387" s="14" t="s">
        <v>11157</v>
      </c>
      <c r="M1387" s="14">
        <v>2020</v>
      </c>
      <c r="N1387" s="14">
        <v>9781450379601</v>
      </c>
      <c r="O1387" s="26"/>
      <c r="P1387" s="17" t="s">
        <v>11260</v>
      </c>
      <c r="Q1387" s="14" t="s">
        <v>11261</v>
      </c>
      <c r="R1387" s="14" t="s">
        <v>11262</v>
      </c>
      <c r="S1387" s="18"/>
      <c r="T1387" s="18"/>
      <c r="U1387" s="18"/>
      <c r="V1387" s="14" t="s">
        <v>11162</v>
      </c>
    </row>
    <row r="1388" spans="1:22" x14ac:dyDescent="0.25">
      <c r="A1388" s="14" t="s">
        <v>141</v>
      </c>
      <c r="B1388" s="14" t="s">
        <v>6719</v>
      </c>
      <c r="C1388" s="14" t="s">
        <v>11263</v>
      </c>
      <c r="D1388" s="18"/>
      <c r="E1388" s="14">
        <v>2022</v>
      </c>
      <c r="F1388" s="18"/>
      <c r="G1388" s="18"/>
      <c r="H1388" s="14" t="s">
        <v>11264</v>
      </c>
      <c r="I1388" s="14" t="s">
        <v>145</v>
      </c>
      <c r="J1388" s="14" t="s">
        <v>11044</v>
      </c>
      <c r="K1388" s="14" t="s">
        <v>11265</v>
      </c>
      <c r="L1388" s="14" t="s">
        <v>11266</v>
      </c>
      <c r="M1388" s="14">
        <v>2022</v>
      </c>
      <c r="N1388" s="14">
        <v>9781450392983</v>
      </c>
      <c r="O1388" s="26"/>
      <c r="P1388" s="17" t="s">
        <v>11267</v>
      </c>
      <c r="Q1388" s="14" t="s">
        <v>6724</v>
      </c>
      <c r="R1388" s="14" t="s">
        <v>11268</v>
      </c>
      <c r="S1388" s="14" t="s">
        <v>11269</v>
      </c>
      <c r="T1388" s="18"/>
      <c r="U1388" s="18"/>
      <c r="V1388" s="14" t="s">
        <v>11270</v>
      </c>
    </row>
    <row r="1389" spans="1:22" x14ac:dyDescent="0.25">
      <c r="A1389" s="14" t="s">
        <v>141</v>
      </c>
      <c r="B1389" s="14" t="s">
        <v>2307</v>
      </c>
      <c r="C1389" s="14" t="s">
        <v>2308</v>
      </c>
      <c r="D1389" s="18"/>
      <c r="E1389" s="14">
        <v>2022</v>
      </c>
      <c r="F1389" s="18"/>
      <c r="G1389" s="18"/>
      <c r="H1389" s="14" t="s">
        <v>11271</v>
      </c>
      <c r="I1389" s="14" t="s">
        <v>145</v>
      </c>
      <c r="J1389" s="14" t="s">
        <v>11044</v>
      </c>
      <c r="K1389" s="14" t="s">
        <v>11076</v>
      </c>
      <c r="L1389" s="14" t="s">
        <v>11077</v>
      </c>
      <c r="M1389" s="14">
        <v>2022</v>
      </c>
      <c r="N1389" s="14">
        <v>9781450393041</v>
      </c>
      <c r="O1389" s="26"/>
      <c r="P1389" s="17" t="s">
        <v>11272</v>
      </c>
      <c r="Q1389" s="14" t="s">
        <v>2311</v>
      </c>
      <c r="R1389" s="14" t="s">
        <v>11273</v>
      </c>
      <c r="S1389" s="14" t="s">
        <v>11274</v>
      </c>
      <c r="T1389" s="18"/>
      <c r="U1389" s="18"/>
      <c r="V1389" s="14" t="s">
        <v>11081</v>
      </c>
    </row>
    <row r="1390" spans="1:22" x14ac:dyDescent="0.25">
      <c r="A1390" s="14" t="s">
        <v>141</v>
      </c>
      <c r="B1390" s="14" t="s">
        <v>2031</v>
      </c>
      <c r="C1390" s="14" t="s">
        <v>2032</v>
      </c>
      <c r="D1390" s="18"/>
      <c r="E1390" s="14">
        <v>2022</v>
      </c>
      <c r="F1390" s="18"/>
      <c r="G1390" s="18"/>
      <c r="H1390" s="14" t="s">
        <v>11275</v>
      </c>
      <c r="I1390" s="14" t="s">
        <v>145</v>
      </c>
      <c r="J1390" s="14" t="s">
        <v>11044</v>
      </c>
      <c r="K1390" s="14" t="s">
        <v>11076</v>
      </c>
      <c r="L1390" s="14" t="s">
        <v>11077</v>
      </c>
      <c r="M1390" s="14">
        <v>2022</v>
      </c>
      <c r="N1390" s="14">
        <v>9781450393041</v>
      </c>
      <c r="O1390" s="26"/>
      <c r="P1390" s="17" t="s">
        <v>11276</v>
      </c>
      <c r="Q1390" s="14" t="s">
        <v>2035</v>
      </c>
      <c r="R1390" s="14" t="s">
        <v>11277</v>
      </c>
      <c r="S1390" s="14" t="s">
        <v>11278</v>
      </c>
      <c r="T1390" s="18"/>
      <c r="U1390" s="18"/>
      <c r="V1390" s="14" t="s">
        <v>11081</v>
      </c>
    </row>
    <row r="1391" spans="1:22" x14ac:dyDescent="0.25">
      <c r="A1391" s="14" t="s">
        <v>141</v>
      </c>
      <c r="B1391" s="14" t="s">
        <v>5806</v>
      </c>
      <c r="C1391" s="14" t="s">
        <v>11279</v>
      </c>
      <c r="D1391" s="18"/>
      <c r="E1391" s="14">
        <v>2018</v>
      </c>
      <c r="F1391" s="18"/>
      <c r="G1391" s="18"/>
      <c r="H1391" s="14" t="s">
        <v>11280</v>
      </c>
      <c r="I1391" s="14" t="s">
        <v>145</v>
      </c>
      <c r="J1391" s="14" t="s">
        <v>11044</v>
      </c>
      <c r="K1391" s="14" t="s">
        <v>11281</v>
      </c>
      <c r="L1391" s="14" t="s">
        <v>11105</v>
      </c>
      <c r="M1391" s="14">
        <v>2018</v>
      </c>
      <c r="N1391" s="14">
        <v>9781450357166</v>
      </c>
      <c r="O1391" s="26"/>
      <c r="P1391" s="17" t="s">
        <v>11282</v>
      </c>
      <c r="Q1391" s="14" t="s">
        <v>5810</v>
      </c>
      <c r="R1391" s="14" t="s">
        <v>6603</v>
      </c>
      <c r="S1391" s="18"/>
      <c r="T1391" s="18"/>
      <c r="U1391" s="18"/>
      <c r="V1391" s="14" t="s">
        <v>11283</v>
      </c>
    </row>
    <row r="1392" spans="1:22" x14ac:dyDescent="0.25">
      <c r="A1392" s="14" t="s">
        <v>141</v>
      </c>
      <c r="B1392" s="14" t="s">
        <v>11284</v>
      </c>
      <c r="C1392" s="14" t="s">
        <v>11285</v>
      </c>
      <c r="D1392" s="18"/>
      <c r="E1392" s="14">
        <v>2012</v>
      </c>
      <c r="F1392" s="18"/>
      <c r="G1392" s="18"/>
      <c r="H1392" s="14" t="s">
        <v>11286</v>
      </c>
      <c r="I1392" s="14" t="s">
        <v>11083</v>
      </c>
      <c r="J1392" s="14" t="s">
        <v>11122</v>
      </c>
      <c r="K1392" s="14" t="s">
        <v>11123</v>
      </c>
      <c r="L1392" s="27"/>
      <c r="M1392" s="14">
        <v>2012</v>
      </c>
      <c r="N1392" s="14">
        <v>9781467317498</v>
      </c>
      <c r="O1392" s="26"/>
      <c r="P1392" s="26"/>
      <c r="Q1392" s="26"/>
      <c r="R1392" s="14" t="s">
        <v>11287</v>
      </c>
      <c r="S1392" s="14" t="s">
        <v>11288</v>
      </c>
      <c r="T1392" s="18"/>
      <c r="U1392" s="18"/>
      <c r="V1392" s="14" t="s">
        <v>11126</v>
      </c>
    </row>
    <row r="1393" spans="1:22" x14ac:dyDescent="0.25">
      <c r="A1393" s="14" t="s">
        <v>141</v>
      </c>
      <c r="B1393" s="14" t="s">
        <v>6128</v>
      </c>
      <c r="C1393" s="14" t="s">
        <v>6129</v>
      </c>
      <c r="D1393" s="18"/>
      <c r="E1393" s="14">
        <v>2019</v>
      </c>
      <c r="F1393" s="18"/>
      <c r="G1393" s="18"/>
      <c r="H1393" s="14" t="s">
        <v>11199</v>
      </c>
      <c r="I1393" s="14" t="s">
        <v>11083</v>
      </c>
      <c r="J1393" s="14" t="s">
        <v>11147</v>
      </c>
      <c r="K1393" s="14" t="s">
        <v>11166</v>
      </c>
      <c r="L1393" s="27"/>
      <c r="M1393" s="14">
        <v>2019</v>
      </c>
      <c r="N1393" s="18"/>
      <c r="O1393" s="26"/>
      <c r="P1393" s="17" t="s">
        <v>11289</v>
      </c>
      <c r="Q1393" s="14" t="s">
        <v>6133</v>
      </c>
      <c r="R1393" s="14" t="s">
        <v>11290</v>
      </c>
      <c r="S1393" s="14" t="s">
        <v>11291</v>
      </c>
      <c r="T1393" s="18"/>
      <c r="U1393" s="18"/>
      <c r="V1393" s="14" t="s">
        <v>11170</v>
      </c>
    </row>
    <row r="1394" spans="1:22" x14ac:dyDescent="0.25">
      <c r="A1394" s="14" t="s">
        <v>141</v>
      </c>
      <c r="B1394" s="14" t="s">
        <v>5917</v>
      </c>
      <c r="C1394" s="14" t="s">
        <v>6149</v>
      </c>
      <c r="D1394" s="18"/>
      <c r="E1394" s="14">
        <v>2018</v>
      </c>
      <c r="F1394" s="18"/>
      <c r="G1394" s="18"/>
      <c r="H1394" s="14" t="s">
        <v>11099</v>
      </c>
      <c r="I1394" s="14" t="s">
        <v>145</v>
      </c>
      <c r="J1394" s="14" t="s">
        <v>11044</v>
      </c>
      <c r="K1394" s="14" t="s">
        <v>11281</v>
      </c>
      <c r="L1394" s="14" t="s">
        <v>11105</v>
      </c>
      <c r="M1394" s="14">
        <v>2018</v>
      </c>
      <c r="N1394" s="14">
        <v>9781450357166</v>
      </c>
      <c r="O1394" s="26"/>
      <c r="P1394" s="17" t="s">
        <v>11292</v>
      </c>
      <c r="Q1394" s="14" t="s">
        <v>5921</v>
      </c>
      <c r="R1394" s="14" t="s">
        <v>11293</v>
      </c>
      <c r="S1394" s="14" t="s">
        <v>11294</v>
      </c>
      <c r="T1394" s="18"/>
      <c r="U1394" s="18"/>
      <c r="V1394" s="14" t="s">
        <v>11283</v>
      </c>
    </row>
    <row r="1395" spans="1:22" x14ac:dyDescent="0.25">
      <c r="A1395" s="14" t="s">
        <v>141</v>
      </c>
      <c r="B1395" s="14" t="s">
        <v>3596</v>
      </c>
      <c r="C1395" s="14" t="s">
        <v>11295</v>
      </c>
      <c r="D1395" s="18"/>
      <c r="E1395" s="14">
        <v>2021</v>
      </c>
      <c r="F1395" s="18"/>
      <c r="G1395" s="18"/>
      <c r="H1395" s="14" t="s">
        <v>11296</v>
      </c>
      <c r="I1395" s="14" t="s">
        <v>145</v>
      </c>
      <c r="J1395" s="14" t="s">
        <v>11044</v>
      </c>
      <c r="K1395" s="14" t="s">
        <v>11297</v>
      </c>
      <c r="L1395" s="14" t="s">
        <v>11298</v>
      </c>
      <c r="M1395" s="14">
        <v>2021</v>
      </c>
      <c r="N1395" s="14">
        <v>9781450383097</v>
      </c>
      <c r="O1395" s="26"/>
      <c r="P1395" s="17" t="s">
        <v>11299</v>
      </c>
      <c r="Q1395" s="14" t="s">
        <v>3600</v>
      </c>
      <c r="R1395" s="14" t="s">
        <v>11300</v>
      </c>
      <c r="S1395" s="14" t="s">
        <v>11301</v>
      </c>
      <c r="T1395" s="18"/>
      <c r="U1395" s="18"/>
      <c r="V1395" s="14" t="s">
        <v>11302</v>
      </c>
    </row>
    <row r="1396" spans="1:22" x14ac:dyDescent="0.25">
      <c r="A1396" s="14" t="s">
        <v>13</v>
      </c>
      <c r="B1396" s="14" t="s">
        <v>448</v>
      </c>
      <c r="C1396" s="14" t="s">
        <v>449</v>
      </c>
      <c r="D1396" s="14" t="s">
        <v>11246</v>
      </c>
      <c r="E1396" s="14">
        <v>2022</v>
      </c>
      <c r="F1396" s="14">
        <v>31</v>
      </c>
      <c r="G1396" s="14">
        <v>3</v>
      </c>
      <c r="H1396" s="28"/>
      <c r="I1396" s="14" t="s">
        <v>145</v>
      </c>
      <c r="J1396" s="14" t="s">
        <v>11044</v>
      </c>
      <c r="K1396" s="26"/>
      <c r="L1396" s="27"/>
      <c r="M1396" s="20">
        <v>44652</v>
      </c>
      <c r="N1396" s="18"/>
      <c r="O1396" s="14" t="s">
        <v>329</v>
      </c>
      <c r="P1396" s="17" t="s">
        <v>11303</v>
      </c>
      <c r="Q1396" s="14" t="s">
        <v>451</v>
      </c>
      <c r="R1396" s="14" t="s">
        <v>11304</v>
      </c>
      <c r="S1396" s="14" t="s">
        <v>11305</v>
      </c>
      <c r="T1396" s="18"/>
      <c r="U1396" s="18"/>
      <c r="V1396" s="18"/>
    </row>
    <row r="1397" spans="1:22" x14ac:dyDescent="0.25">
      <c r="A1397" s="14" t="s">
        <v>141</v>
      </c>
      <c r="B1397" s="14" t="s">
        <v>11306</v>
      </c>
      <c r="C1397" s="14" t="s">
        <v>11307</v>
      </c>
      <c r="D1397" s="18"/>
      <c r="E1397" s="14">
        <v>2022</v>
      </c>
      <c r="F1397" s="18"/>
      <c r="G1397" s="18"/>
      <c r="H1397" s="14" t="s">
        <v>11308</v>
      </c>
      <c r="I1397" s="14" t="s">
        <v>145</v>
      </c>
      <c r="J1397" s="14" t="s">
        <v>11044</v>
      </c>
      <c r="K1397" s="14" t="s">
        <v>11113</v>
      </c>
      <c r="L1397" s="14" t="s">
        <v>11114</v>
      </c>
      <c r="M1397" s="14">
        <v>2022</v>
      </c>
      <c r="N1397" s="14">
        <v>9781450394130</v>
      </c>
      <c r="O1397" s="26"/>
      <c r="P1397" s="17" t="s">
        <v>11309</v>
      </c>
      <c r="Q1397" s="14" t="s">
        <v>11310</v>
      </c>
      <c r="R1397" s="14" t="s">
        <v>11311</v>
      </c>
      <c r="S1397" s="14" t="s">
        <v>11312</v>
      </c>
      <c r="T1397" s="18"/>
      <c r="U1397" s="18"/>
      <c r="V1397" s="14" t="s">
        <v>11118</v>
      </c>
    </row>
    <row r="1398" spans="1:22" x14ac:dyDescent="0.25">
      <c r="A1398" s="14" t="s">
        <v>141</v>
      </c>
      <c r="B1398" s="14" t="s">
        <v>2068</v>
      </c>
      <c r="C1398" s="14" t="s">
        <v>11313</v>
      </c>
      <c r="D1398" s="18"/>
      <c r="E1398" s="14">
        <v>2022</v>
      </c>
      <c r="F1398" s="18"/>
      <c r="G1398" s="18"/>
      <c r="H1398" s="14" t="s">
        <v>11314</v>
      </c>
      <c r="I1398" s="14" t="s">
        <v>145</v>
      </c>
      <c r="J1398" s="14" t="s">
        <v>11044</v>
      </c>
      <c r="K1398" s="14" t="s">
        <v>11076</v>
      </c>
      <c r="L1398" s="14" t="s">
        <v>11077</v>
      </c>
      <c r="M1398" s="14">
        <v>2022</v>
      </c>
      <c r="N1398" s="14">
        <v>9781450393041</v>
      </c>
      <c r="O1398" s="26"/>
      <c r="P1398" s="17" t="s">
        <v>11315</v>
      </c>
      <c r="Q1398" s="14" t="s">
        <v>2072</v>
      </c>
      <c r="R1398" s="14" t="s">
        <v>11316</v>
      </c>
      <c r="S1398" s="14" t="s">
        <v>11317</v>
      </c>
      <c r="T1398" s="18"/>
      <c r="U1398" s="18"/>
      <c r="V1398" s="14" t="s">
        <v>11081</v>
      </c>
    </row>
    <row r="1399" spans="1:22" x14ac:dyDescent="0.25">
      <c r="A1399" s="14" t="s">
        <v>141</v>
      </c>
      <c r="B1399" s="14" t="s">
        <v>6267</v>
      </c>
      <c r="C1399" s="14" t="s">
        <v>2654</v>
      </c>
      <c r="D1399" s="18"/>
      <c r="E1399" s="14">
        <v>2022</v>
      </c>
      <c r="F1399" s="18"/>
      <c r="G1399" s="18"/>
      <c r="H1399" s="14" t="s">
        <v>11318</v>
      </c>
      <c r="I1399" s="14" t="s">
        <v>145</v>
      </c>
      <c r="J1399" s="14" t="s">
        <v>11044</v>
      </c>
      <c r="K1399" s="14" t="s">
        <v>11319</v>
      </c>
      <c r="L1399" s="14" t="s">
        <v>11077</v>
      </c>
      <c r="M1399" s="14">
        <v>2022</v>
      </c>
      <c r="N1399" s="14">
        <v>9781450392754</v>
      </c>
      <c r="O1399" s="26"/>
      <c r="P1399" s="17" t="s">
        <v>11320</v>
      </c>
      <c r="Q1399" s="14" t="s">
        <v>2657</v>
      </c>
      <c r="R1399" s="14" t="s">
        <v>11321</v>
      </c>
      <c r="S1399" s="14" t="s">
        <v>11322</v>
      </c>
      <c r="T1399" s="18"/>
      <c r="U1399" s="18"/>
      <c r="V1399" s="14" t="s">
        <v>11323</v>
      </c>
    </row>
    <row r="1400" spans="1:22" x14ac:dyDescent="0.25">
      <c r="A1400" s="14" t="s">
        <v>141</v>
      </c>
      <c r="B1400" s="14" t="s">
        <v>6466</v>
      </c>
      <c r="C1400" s="14" t="s">
        <v>11324</v>
      </c>
      <c r="D1400" s="18"/>
      <c r="E1400" s="14">
        <v>2022</v>
      </c>
      <c r="F1400" s="18"/>
      <c r="G1400" s="18"/>
      <c r="H1400" s="14" t="s">
        <v>11325</v>
      </c>
      <c r="I1400" s="14" t="s">
        <v>145</v>
      </c>
      <c r="J1400" s="14" t="s">
        <v>11044</v>
      </c>
      <c r="K1400" s="14" t="s">
        <v>11326</v>
      </c>
      <c r="L1400" s="14" t="s">
        <v>11077</v>
      </c>
      <c r="M1400" s="14">
        <v>2022</v>
      </c>
      <c r="N1400" s="14">
        <v>9781450393034</v>
      </c>
      <c r="O1400" s="26"/>
      <c r="P1400" s="17" t="s">
        <v>11327</v>
      </c>
      <c r="Q1400" s="14" t="s">
        <v>6471</v>
      </c>
      <c r="R1400" s="14" t="s">
        <v>6472</v>
      </c>
      <c r="S1400" s="14" t="s">
        <v>11328</v>
      </c>
      <c r="T1400" s="18"/>
      <c r="U1400" s="18"/>
      <c r="V1400" s="14" t="s">
        <v>11329</v>
      </c>
    </row>
    <row r="1401" spans="1:22" x14ac:dyDescent="0.25">
      <c r="A1401" s="14" t="s">
        <v>13</v>
      </c>
      <c r="B1401" s="14" t="s">
        <v>11330</v>
      </c>
      <c r="C1401" s="14" t="s">
        <v>11331</v>
      </c>
      <c r="D1401" s="14" t="s">
        <v>11332</v>
      </c>
      <c r="E1401" s="14">
        <v>2022</v>
      </c>
      <c r="F1401" s="14">
        <v>54</v>
      </c>
      <c r="G1401" s="14" t="s">
        <v>11333</v>
      </c>
      <c r="H1401" s="28"/>
      <c r="I1401" s="14" t="s">
        <v>145</v>
      </c>
      <c r="J1401" s="14" t="s">
        <v>11044</v>
      </c>
      <c r="K1401" s="26"/>
      <c r="L1401" s="27"/>
      <c r="M1401" s="20">
        <v>44805</v>
      </c>
      <c r="N1401" s="18"/>
      <c r="O1401" s="14" t="s">
        <v>5367</v>
      </c>
      <c r="P1401" s="17" t="s">
        <v>11334</v>
      </c>
      <c r="Q1401" s="14" t="s">
        <v>11335</v>
      </c>
      <c r="R1401" s="14" t="s">
        <v>11336</v>
      </c>
      <c r="S1401" s="14" t="s">
        <v>11337</v>
      </c>
      <c r="T1401" s="18"/>
      <c r="U1401" s="18"/>
      <c r="V1401" s="18"/>
    </row>
    <row r="1402" spans="1:22" x14ac:dyDescent="0.25">
      <c r="A1402" s="14" t="s">
        <v>141</v>
      </c>
      <c r="B1402" s="14" t="s">
        <v>11338</v>
      </c>
      <c r="C1402" s="14" t="s">
        <v>11339</v>
      </c>
      <c r="D1402" s="18"/>
      <c r="E1402" s="14">
        <v>2018</v>
      </c>
      <c r="F1402" s="18"/>
      <c r="G1402" s="18"/>
      <c r="H1402" s="14" t="s">
        <v>11103</v>
      </c>
      <c r="I1402" s="14" t="s">
        <v>145</v>
      </c>
      <c r="J1402" s="14" t="s">
        <v>11044</v>
      </c>
      <c r="K1402" s="14" t="s">
        <v>11340</v>
      </c>
      <c r="L1402" s="14" t="s">
        <v>11341</v>
      </c>
      <c r="M1402" s="14">
        <v>2018</v>
      </c>
      <c r="N1402" s="14">
        <v>9781450365659</v>
      </c>
      <c r="O1402" s="26"/>
      <c r="P1402" s="17" t="s">
        <v>11342</v>
      </c>
      <c r="Q1402" s="14" t="s">
        <v>5153</v>
      </c>
      <c r="R1402" s="14" t="s">
        <v>11343</v>
      </c>
      <c r="S1402" s="14" t="s">
        <v>11344</v>
      </c>
      <c r="T1402" s="18"/>
      <c r="U1402" s="18"/>
      <c r="V1402" s="14" t="s">
        <v>11345</v>
      </c>
    </row>
    <row r="1403" spans="1:22" x14ac:dyDescent="0.25">
      <c r="A1403" s="14" t="s">
        <v>141</v>
      </c>
      <c r="B1403" s="14" t="s">
        <v>3984</v>
      </c>
      <c r="C1403" s="14" t="s">
        <v>11346</v>
      </c>
      <c r="D1403" s="18"/>
      <c r="E1403" s="14">
        <v>2020</v>
      </c>
      <c r="F1403" s="18"/>
      <c r="G1403" s="18"/>
      <c r="H1403" s="14" t="s">
        <v>11347</v>
      </c>
      <c r="I1403" s="14" t="s">
        <v>145</v>
      </c>
      <c r="J1403" s="14" t="s">
        <v>11044</v>
      </c>
      <c r="K1403" s="14" t="s">
        <v>11156</v>
      </c>
      <c r="L1403" s="14" t="s">
        <v>11157</v>
      </c>
      <c r="M1403" s="14">
        <v>2020</v>
      </c>
      <c r="N1403" s="14">
        <v>9781450379601</v>
      </c>
      <c r="O1403" s="26"/>
      <c r="P1403" s="17" t="s">
        <v>11348</v>
      </c>
      <c r="Q1403" s="14" t="s">
        <v>3988</v>
      </c>
      <c r="R1403" s="14" t="s">
        <v>11349</v>
      </c>
      <c r="S1403" s="14" t="s">
        <v>11350</v>
      </c>
      <c r="T1403" s="18"/>
      <c r="U1403" s="18"/>
      <c r="V1403" s="14" t="s">
        <v>11162</v>
      </c>
    </row>
    <row r="1404" spans="1:22" x14ac:dyDescent="0.25">
      <c r="A1404" s="14" t="s">
        <v>13</v>
      </c>
      <c r="B1404" s="14" t="s">
        <v>1089</v>
      </c>
      <c r="C1404" s="14" t="s">
        <v>1090</v>
      </c>
      <c r="D1404" s="14" t="s">
        <v>11246</v>
      </c>
      <c r="E1404" s="14">
        <v>2022</v>
      </c>
      <c r="F1404" s="14">
        <v>31</v>
      </c>
      <c r="G1404" s="14">
        <v>2</v>
      </c>
      <c r="H1404" s="28"/>
      <c r="I1404" s="14" t="s">
        <v>145</v>
      </c>
      <c r="J1404" s="14" t="s">
        <v>11044</v>
      </c>
      <c r="K1404" s="26"/>
      <c r="L1404" s="27"/>
      <c r="M1404" s="20">
        <v>44652</v>
      </c>
      <c r="N1404" s="18"/>
      <c r="O1404" s="14" t="s">
        <v>329</v>
      </c>
      <c r="P1404" s="17" t="s">
        <v>11351</v>
      </c>
      <c r="Q1404" s="14" t="s">
        <v>1092</v>
      </c>
      <c r="R1404" s="14" t="s">
        <v>11352</v>
      </c>
      <c r="S1404" s="14" t="s">
        <v>11353</v>
      </c>
      <c r="T1404" s="18"/>
      <c r="U1404" s="18"/>
      <c r="V1404" s="18"/>
    </row>
    <row r="1405" spans="1:22" x14ac:dyDescent="0.25">
      <c r="A1405" s="14" t="s">
        <v>141</v>
      </c>
      <c r="B1405" s="14" t="s">
        <v>5788</v>
      </c>
      <c r="C1405" s="14" t="s">
        <v>6237</v>
      </c>
      <c r="D1405" s="18"/>
      <c r="E1405" s="14">
        <v>2018</v>
      </c>
      <c r="F1405" s="18"/>
      <c r="G1405" s="18"/>
      <c r="H1405" s="14" t="s">
        <v>11354</v>
      </c>
      <c r="I1405" s="14" t="s">
        <v>145</v>
      </c>
      <c r="J1405" s="14" t="s">
        <v>11044</v>
      </c>
      <c r="K1405" s="14" t="s">
        <v>11355</v>
      </c>
      <c r="L1405" s="14" t="s">
        <v>11105</v>
      </c>
      <c r="M1405" s="14">
        <v>2018</v>
      </c>
      <c r="N1405" s="14">
        <v>9781450356633</v>
      </c>
      <c r="O1405" s="26"/>
      <c r="P1405" s="17" t="s">
        <v>11356</v>
      </c>
      <c r="Q1405" s="14" t="s">
        <v>5792</v>
      </c>
      <c r="R1405" s="14" t="s">
        <v>11357</v>
      </c>
      <c r="S1405" s="14" t="s">
        <v>11358</v>
      </c>
      <c r="T1405" s="18"/>
      <c r="U1405" s="18"/>
      <c r="V1405" s="14" t="s">
        <v>11359</v>
      </c>
    </row>
    <row r="1406" spans="1:22" x14ac:dyDescent="0.25">
      <c r="A1406" s="14" t="s">
        <v>141</v>
      </c>
      <c r="B1406" s="14" t="s">
        <v>1025</v>
      </c>
      <c r="C1406" s="14" t="s">
        <v>11360</v>
      </c>
      <c r="D1406" s="18"/>
      <c r="E1406" s="14">
        <v>2022</v>
      </c>
      <c r="F1406" s="18"/>
      <c r="G1406" s="18"/>
      <c r="H1406" s="14" t="s">
        <v>11361</v>
      </c>
      <c r="I1406" s="14" t="s">
        <v>145</v>
      </c>
      <c r="J1406" s="14" t="s">
        <v>11044</v>
      </c>
      <c r="K1406" s="14" t="s">
        <v>11362</v>
      </c>
      <c r="L1406" s="14" t="s">
        <v>11114</v>
      </c>
      <c r="M1406" s="14">
        <v>2022</v>
      </c>
      <c r="N1406" s="14">
        <v>9781450394567</v>
      </c>
      <c r="O1406" s="26"/>
      <c r="P1406" s="17" t="s">
        <v>11363</v>
      </c>
      <c r="Q1406" s="14" t="s">
        <v>1029</v>
      </c>
      <c r="R1406" s="14" t="s">
        <v>11364</v>
      </c>
      <c r="S1406" s="14" t="s">
        <v>11365</v>
      </c>
      <c r="T1406" s="18"/>
      <c r="U1406" s="18"/>
      <c r="V1406" s="14" t="s">
        <v>11366</v>
      </c>
    </row>
    <row r="1407" spans="1:22" x14ac:dyDescent="0.25">
      <c r="A1407" s="14" t="s">
        <v>141</v>
      </c>
      <c r="B1407" s="14" t="s">
        <v>11367</v>
      </c>
      <c r="C1407" s="14" t="s">
        <v>11368</v>
      </c>
      <c r="D1407" s="18"/>
      <c r="E1407" s="14">
        <v>2019</v>
      </c>
      <c r="F1407" s="18"/>
      <c r="G1407" s="18"/>
      <c r="H1407" s="14" t="s">
        <v>11369</v>
      </c>
      <c r="I1407" s="14" t="s">
        <v>145</v>
      </c>
      <c r="J1407" s="14" t="s">
        <v>11044</v>
      </c>
      <c r="K1407" s="14" t="s">
        <v>11370</v>
      </c>
      <c r="L1407" s="14" t="s">
        <v>11187</v>
      </c>
      <c r="M1407" s="14">
        <v>2019</v>
      </c>
      <c r="N1407" s="14">
        <v>9781450368520</v>
      </c>
      <c r="O1407" s="26"/>
      <c r="P1407" s="17" t="s">
        <v>11371</v>
      </c>
      <c r="Q1407" s="14" t="s">
        <v>11372</v>
      </c>
      <c r="R1407" s="14" t="s">
        <v>11373</v>
      </c>
      <c r="S1407" s="14" t="s">
        <v>11374</v>
      </c>
      <c r="T1407" s="18"/>
      <c r="U1407" s="18"/>
      <c r="V1407" s="14" t="s">
        <v>11375</v>
      </c>
    </row>
    <row r="1408" spans="1:22" x14ac:dyDescent="0.25">
      <c r="A1408" s="14" t="s">
        <v>141</v>
      </c>
      <c r="B1408" s="14" t="s">
        <v>5625</v>
      </c>
      <c r="C1408" s="14" t="s">
        <v>11376</v>
      </c>
      <c r="D1408" s="18"/>
      <c r="E1408" s="14">
        <v>2018</v>
      </c>
      <c r="F1408" s="18"/>
      <c r="G1408" s="18"/>
      <c r="H1408" s="14" t="s">
        <v>11377</v>
      </c>
      <c r="I1408" s="14" t="s">
        <v>145</v>
      </c>
      <c r="J1408" s="14" t="s">
        <v>11044</v>
      </c>
      <c r="K1408" s="14" t="s">
        <v>11378</v>
      </c>
      <c r="L1408" s="14" t="s">
        <v>11379</v>
      </c>
      <c r="M1408" s="14">
        <v>2018</v>
      </c>
      <c r="N1408" s="14">
        <v>9781450350952</v>
      </c>
      <c r="O1408" s="26"/>
      <c r="P1408" s="17" t="s">
        <v>11380</v>
      </c>
      <c r="Q1408" s="14" t="s">
        <v>5629</v>
      </c>
      <c r="R1408" s="14" t="s">
        <v>11381</v>
      </c>
      <c r="S1408" s="14" t="s">
        <v>11382</v>
      </c>
      <c r="T1408" s="18"/>
      <c r="U1408" s="18"/>
      <c r="V1408" s="14" t="s">
        <v>11383</v>
      </c>
    </row>
    <row r="1409" spans="1:22" x14ac:dyDescent="0.25">
      <c r="A1409" s="14" t="s">
        <v>141</v>
      </c>
      <c r="B1409" s="14" t="s">
        <v>3344</v>
      </c>
      <c r="C1409" s="14" t="s">
        <v>3698</v>
      </c>
      <c r="D1409" s="18"/>
      <c r="E1409" s="14">
        <v>2020</v>
      </c>
      <c r="F1409" s="18"/>
      <c r="G1409" s="18"/>
      <c r="H1409" s="14" t="s">
        <v>11155</v>
      </c>
      <c r="I1409" s="14" t="s">
        <v>145</v>
      </c>
      <c r="J1409" s="14" t="s">
        <v>11044</v>
      </c>
      <c r="K1409" s="14" t="s">
        <v>11384</v>
      </c>
      <c r="L1409" s="14" t="s">
        <v>11046</v>
      </c>
      <c r="M1409" s="14">
        <v>2020</v>
      </c>
      <c r="N1409" s="14">
        <v>9781450371254</v>
      </c>
      <c r="O1409" s="26"/>
      <c r="P1409" s="17" t="s">
        <v>11385</v>
      </c>
      <c r="Q1409" s="14" t="s">
        <v>4359</v>
      </c>
      <c r="R1409" s="14" t="s">
        <v>6394</v>
      </c>
      <c r="S1409" s="14" t="s">
        <v>11386</v>
      </c>
      <c r="T1409" s="18"/>
      <c r="U1409" s="18"/>
      <c r="V1409" s="14" t="s">
        <v>11387</v>
      </c>
    </row>
    <row r="1410" spans="1:22" x14ac:dyDescent="0.25">
      <c r="A1410" s="14" t="s">
        <v>141</v>
      </c>
      <c r="B1410" s="14" t="s">
        <v>11388</v>
      </c>
      <c r="C1410" s="14" t="s">
        <v>11389</v>
      </c>
      <c r="D1410" s="18"/>
      <c r="E1410" s="14">
        <v>2022</v>
      </c>
      <c r="F1410" s="18"/>
      <c r="G1410" s="18"/>
      <c r="H1410" s="14" t="s">
        <v>11390</v>
      </c>
      <c r="I1410" s="14" t="s">
        <v>145</v>
      </c>
      <c r="J1410" s="14" t="s">
        <v>11044</v>
      </c>
      <c r="K1410" s="14" t="s">
        <v>11391</v>
      </c>
      <c r="L1410" s="14" t="s">
        <v>11392</v>
      </c>
      <c r="M1410" s="14">
        <v>2022</v>
      </c>
      <c r="N1410" s="14">
        <v>9781450398787</v>
      </c>
      <c r="O1410" s="26"/>
      <c r="P1410" s="17" t="s">
        <v>11393</v>
      </c>
      <c r="Q1410" s="14" t="s">
        <v>11394</v>
      </c>
      <c r="R1410" s="14" t="s">
        <v>11395</v>
      </c>
      <c r="S1410" s="14" t="s">
        <v>11396</v>
      </c>
      <c r="T1410" s="18"/>
      <c r="U1410" s="18"/>
      <c r="V1410" s="14" t="s">
        <v>11397</v>
      </c>
    </row>
    <row r="1411" spans="1:22" x14ac:dyDescent="0.25">
      <c r="A1411" s="14" t="s">
        <v>141</v>
      </c>
      <c r="B1411" s="14" t="s">
        <v>4537</v>
      </c>
      <c r="C1411" s="14" t="s">
        <v>11398</v>
      </c>
      <c r="D1411" s="18"/>
      <c r="E1411" s="14">
        <v>2020</v>
      </c>
      <c r="F1411" s="18"/>
      <c r="G1411" s="18"/>
      <c r="H1411" s="14" t="s">
        <v>11173</v>
      </c>
      <c r="I1411" s="14" t="s">
        <v>145</v>
      </c>
      <c r="J1411" s="14" t="s">
        <v>11044</v>
      </c>
      <c r="K1411" s="14" t="s">
        <v>11399</v>
      </c>
      <c r="L1411" s="14" t="s">
        <v>11046</v>
      </c>
      <c r="M1411" s="14">
        <v>2020</v>
      </c>
      <c r="N1411" s="14">
        <v>9781450371247</v>
      </c>
      <c r="O1411" s="26"/>
      <c r="P1411" s="17" t="s">
        <v>11400</v>
      </c>
      <c r="Q1411" s="14" t="s">
        <v>4541</v>
      </c>
      <c r="R1411" s="14" t="s">
        <v>6376</v>
      </c>
      <c r="S1411" s="18"/>
      <c r="T1411" s="18"/>
      <c r="U1411" s="18"/>
      <c r="V1411" s="14" t="s">
        <v>11401</v>
      </c>
    </row>
    <row r="1412" spans="1:22" x14ac:dyDescent="0.25">
      <c r="A1412" s="14" t="s">
        <v>141</v>
      </c>
      <c r="B1412" s="14" t="s">
        <v>6155</v>
      </c>
      <c r="C1412" s="14" t="s">
        <v>6156</v>
      </c>
      <c r="D1412" s="18"/>
      <c r="E1412" s="14">
        <v>2017</v>
      </c>
      <c r="F1412" s="18"/>
      <c r="G1412" s="18"/>
      <c r="H1412" s="14" t="s">
        <v>11402</v>
      </c>
      <c r="I1412" s="14" t="s">
        <v>11083</v>
      </c>
      <c r="J1412" s="14" t="s">
        <v>11403</v>
      </c>
      <c r="K1412" s="14" t="s">
        <v>11404</v>
      </c>
      <c r="L1412" s="27"/>
      <c r="M1412" s="14">
        <v>2017</v>
      </c>
      <c r="N1412" s="14">
        <v>9781538627976</v>
      </c>
      <c r="O1412" s="26"/>
      <c r="P1412" s="17" t="s">
        <v>11405</v>
      </c>
      <c r="Q1412" s="14" t="s">
        <v>6160</v>
      </c>
      <c r="R1412" s="14" t="s">
        <v>11406</v>
      </c>
      <c r="S1412" s="14" t="s">
        <v>11407</v>
      </c>
      <c r="T1412" s="18"/>
      <c r="U1412" s="18"/>
      <c r="V1412" s="14" t="s">
        <v>11408</v>
      </c>
    </row>
    <row r="1413" spans="1:22" x14ac:dyDescent="0.25">
      <c r="A1413" s="14" t="s">
        <v>141</v>
      </c>
      <c r="B1413" s="14" t="s">
        <v>6297</v>
      </c>
      <c r="C1413" s="14" t="s">
        <v>6298</v>
      </c>
      <c r="D1413" s="18"/>
      <c r="E1413" s="14">
        <v>2021</v>
      </c>
      <c r="F1413" s="18"/>
      <c r="G1413" s="18"/>
      <c r="H1413" s="14" t="s">
        <v>11409</v>
      </c>
      <c r="I1413" s="14" t="s">
        <v>11083</v>
      </c>
      <c r="J1413" s="14" t="s">
        <v>11410</v>
      </c>
      <c r="K1413" s="14" t="s">
        <v>11411</v>
      </c>
      <c r="L1413" s="27"/>
      <c r="M1413" s="14">
        <v>2021</v>
      </c>
      <c r="N1413" s="18"/>
      <c r="O1413" s="26"/>
      <c r="P1413" s="17" t="s">
        <v>11412</v>
      </c>
      <c r="Q1413" s="14" t="s">
        <v>6302</v>
      </c>
      <c r="R1413" s="14" t="s">
        <v>6303</v>
      </c>
      <c r="S1413" s="14" t="s">
        <v>11413</v>
      </c>
      <c r="T1413" s="18"/>
      <c r="U1413" s="18"/>
      <c r="V1413" s="14" t="s">
        <v>11089</v>
      </c>
    </row>
    <row r="1414" spans="1:22" x14ac:dyDescent="0.25">
      <c r="A1414" s="14" t="s">
        <v>141</v>
      </c>
      <c r="B1414" s="14" t="s">
        <v>11414</v>
      </c>
      <c r="C1414" s="14" t="s">
        <v>11415</v>
      </c>
      <c r="D1414" s="18"/>
      <c r="E1414" s="14">
        <v>2014</v>
      </c>
      <c r="F1414" s="18"/>
      <c r="G1414" s="18"/>
      <c r="H1414" s="14" t="s">
        <v>11416</v>
      </c>
      <c r="I1414" s="14" t="s">
        <v>145</v>
      </c>
      <c r="J1414" s="14" t="s">
        <v>11044</v>
      </c>
      <c r="K1414" s="14" t="s">
        <v>11417</v>
      </c>
      <c r="L1414" s="14" t="s">
        <v>11418</v>
      </c>
      <c r="M1414" s="14">
        <v>2014</v>
      </c>
      <c r="N1414" s="14">
        <v>9781450332262</v>
      </c>
      <c r="O1414" s="26"/>
      <c r="P1414" s="17" t="s">
        <v>11419</v>
      </c>
      <c r="Q1414" s="14" t="s">
        <v>11420</v>
      </c>
      <c r="R1414" s="14" t="s">
        <v>11421</v>
      </c>
      <c r="S1414" s="14" t="s">
        <v>11422</v>
      </c>
      <c r="T1414" s="18"/>
      <c r="U1414" s="18"/>
      <c r="V1414" s="14" t="s">
        <v>11423</v>
      </c>
    </row>
    <row r="1415" spans="1:22" x14ac:dyDescent="0.25">
      <c r="A1415" s="14" t="s">
        <v>141</v>
      </c>
      <c r="B1415" s="14" t="s">
        <v>2937</v>
      </c>
      <c r="C1415" s="14" t="s">
        <v>11424</v>
      </c>
      <c r="D1415" s="18"/>
      <c r="E1415" s="14">
        <v>2019</v>
      </c>
      <c r="F1415" s="18"/>
      <c r="G1415" s="18"/>
      <c r="H1415" s="14" t="s">
        <v>11425</v>
      </c>
      <c r="I1415" s="14" t="s">
        <v>145</v>
      </c>
      <c r="J1415" s="14" t="s">
        <v>11044</v>
      </c>
      <c r="K1415" s="14" t="s">
        <v>11186</v>
      </c>
      <c r="L1415" s="14" t="s">
        <v>11187</v>
      </c>
      <c r="M1415" s="14">
        <v>2019</v>
      </c>
      <c r="N1415" s="14">
        <v>9781450368551</v>
      </c>
      <c r="O1415" s="26"/>
      <c r="P1415" s="17" t="s">
        <v>11426</v>
      </c>
      <c r="Q1415" s="14" t="s">
        <v>4592</v>
      </c>
      <c r="R1415" s="14" t="s">
        <v>11427</v>
      </c>
      <c r="S1415" s="14" t="s">
        <v>11428</v>
      </c>
      <c r="T1415" s="18"/>
      <c r="U1415" s="18"/>
      <c r="V1415" s="14" t="s">
        <v>11191</v>
      </c>
    </row>
    <row r="1416" spans="1:22" x14ac:dyDescent="0.25">
      <c r="A1416" s="14" t="s">
        <v>141</v>
      </c>
      <c r="B1416" s="14" t="s">
        <v>11429</v>
      </c>
      <c r="C1416" s="14" t="s">
        <v>11430</v>
      </c>
      <c r="D1416" s="18"/>
      <c r="E1416" s="14">
        <v>2020</v>
      </c>
      <c r="F1416" s="18"/>
      <c r="G1416" s="18"/>
      <c r="H1416" s="28"/>
      <c r="I1416" s="14" t="s">
        <v>145</v>
      </c>
      <c r="J1416" s="14" t="s">
        <v>11044</v>
      </c>
      <c r="K1416" s="14" t="s">
        <v>11431</v>
      </c>
      <c r="L1416" s="14" t="s">
        <v>11432</v>
      </c>
      <c r="M1416" s="14">
        <v>2020</v>
      </c>
      <c r="N1416" s="14">
        <v>9781450377362</v>
      </c>
      <c r="O1416" s="26"/>
      <c r="P1416" s="17" t="s">
        <v>11433</v>
      </c>
      <c r="Q1416" s="14" t="s">
        <v>3197</v>
      </c>
      <c r="R1416" s="14" t="s">
        <v>11434</v>
      </c>
      <c r="S1416" s="14" t="s">
        <v>11435</v>
      </c>
      <c r="T1416" s="18"/>
      <c r="U1416" s="18"/>
      <c r="V1416" s="14" t="s">
        <v>11436</v>
      </c>
    </row>
    <row r="1417" spans="1:22" x14ac:dyDescent="0.25">
      <c r="A1417" s="14" t="s">
        <v>13</v>
      </c>
      <c r="B1417" s="14" t="s">
        <v>11437</v>
      </c>
      <c r="C1417" s="14" t="s">
        <v>11438</v>
      </c>
      <c r="D1417" s="14" t="s">
        <v>11214</v>
      </c>
      <c r="E1417" s="14">
        <v>2021</v>
      </c>
      <c r="F1417" s="14">
        <v>65</v>
      </c>
      <c r="G1417" s="14">
        <v>1</v>
      </c>
      <c r="H1417" s="14" t="s">
        <v>11439</v>
      </c>
      <c r="I1417" s="14" t="s">
        <v>145</v>
      </c>
      <c r="J1417" s="14" t="s">
        <v>11044</v>
      </c>
      <c r="K1417" s="26"/>
      <c r="L1417" s="27"/>
      <c r="M1417" s="16">
        <v>44531</v>
      </c>
      <c r="N1417" s="18"/>
      <c r="O1417" s="14" t="s">
        <v>11216</v>
      </c>
      <c r="P1417" s="17" t="s">
        <v>11440</v>
      </c>
      <c r="Q1417" s="14" t="s">
        <v>11441</v>
      </c>
      <c r="R1417" s="14" t="s">
        <v>11442</v>
      </c>
      <c r="S1417" s="18"/>
      <c r="T1417" s="18"/>
      <c r="U1417" s="18"/>
      <c r="V1417" s="18"/>
    </row>
    <row r="1418" spans="1:22" x14ac:dyDescent="0.25">
      <c r="A1418" s="14" t="s">
        <v>141</v>
      </c>
      <c r="B1418" s="14" t="s">
        <v>11443</v>
      </c>
      <c r="C1418" s="14" t="s">
        <v>6624</v>
      </c>
      <c r="D1418" s="18"/>
      <c r="E1418" s="14">
        <v>2022</v>
      </c>
      <c r="F1418" s="18"/>
      <c r="G1418" s="18"/>
      <c r="H1418" s="14" t="s">
        <v>11444</v>
      </c>
      <c r="I1418" s="14" t="s">
        <v>145</v>
      </c>
      <c r="J1418" s="14" t="s">
        <v>11044</v>
      </c>
      <c r="K1418" s="14" t="s">
        <v>11445</v>
      </c>
      <c r="L1418" s="14" t="s">
        <v>11077</v>
      </c>
      <c r="M1418" s="14">
        <v>2022</v>
      </c>
      <c r="N1418" s="14">
        <v>9781450392266</v>
      </c>
      <c r="O1418" s="26"/>
      <c r="P1418" s="17" t="s">
        <v>11446</v>
      </c>
      <c r="Q1418" s="14" t="s">
        <v>6628</v>
      </c>
      <c r="R1418" s="14" t="s">
        <v>11447</v>
      </c>
      <c r="S1418" s="14" t="s">
        <v>11448</v>
      </c>
      <c r="T1418" s="18"/>
      <c r="U1418" s="18"/>
      <c r="V1418" s="14" t="s">
        <v>11449</v>
      </c>
    </row>
    <row r="1419" spans="1:22" x14ac:dyDescent="0.25">
      <c r="A1419" s="14" t="s">
        <v>141</v>
      </c>
      <c r="B1419" s="14" t="s">
        <v>4134</v>
      </c>
      <c r="C1419" s="14" t="s">
        <v>11450</v>
      </c>
      <c r="D1419" s="18"/>
      <c r="E1419" s="14">
        <v>2020</v>
      </c>
      <c r="F1419" s="18"/>
      <c r="G1419" s="18"/>
      <c r="H1419" s="14" t="s">
        <v>11451</v>
      </c>
      <c r="I1419" s="14" t="s">
        <v>145</v>
      </c>
      <c r="J1419" s="14" t="s">
        <v>11044</v>
      </c>
      <c r="K1419" s="14" t="s">
        <v>11452</v>
      </c>
      <c r="L1419" s="14" t="s">
        <v>11157</v>
      </c>
      <c r="M1419" s="14">
        <v>2020</v>
      </c>
      <c r="N1419" s="14">
        <v>9781450375122</v>
      </c>
      <c r="O1419" s="26"/>
      <c r="P1419" s="17" t="s">
        <v>11453</v>
      </c>
      <c r="Q1419" s="14" t="s">
        <v>4138</v>
      </c>
      <c r="R1419" s="14" t="s">
        <v>11454</v>
      </c>
      <c r="S1419" s="14" t="s">
        <v>11455</v>
      </c>
      <c r="T1419" s="18"/>
      <c r="U1419" s="18"/>
      <c r="V1419" s="14" t="s">
        <v>11456</v>
      </c>
    </row>
    <row r="1420" spans="1:22" x14ac:dyDescent="0.25">
      <c r="A1420" s="14" t="s">
        <v>539</v>
      </c>
      <c r="B1420" s="18"/>
      <c r="C1420" s="14" t="s">
        <v>11457</v>
      </c>
      <c r="D1420" s="18"/>
      <c r="E1420" s="14">
        <v>2022</v>
      </c>
      <c r="F1420" s="18"/>
      <c r="G1420" s="18"/>
      <c r="H1420" s="28"/>
      <c r="I1420" s="14" t="s">
        <v>145</v>
      </c>
      <c r="J1420" s="14" t="s">
        <v>11044</v>
      </c>
      <c r="K1420" s="26"/>
      <c r="L1420" s="14" t="s">
        <v>11114</v>
      </c>
      <c r="M1420" s="14">
        <v>2022</v>
      </c>
      <c r="N1420" s="14">
        <v>9781450394130</v>
      </c>
      <c r="O1420" s="26"/>
      <c r="P1420" s="26"/>
      <c r="Q1420" s="26"/>
      <c r="R1420" s="14" t="s">
        <v>11458</v>
      </c>
      <c r="S1420" s="18"/>
      <c r="T1420" s="18"/>
      <c r="U1420" s="14" t="s">
        <v>10544</v>
      </c>
      <c r="V1420" s="18"/>
    </row>
    <row r="1421" spans="1:22" x14ac:dyDescent="0.25">
      <c r="A1421" s="14" t="s">
        <v>141</v>
      </c>
      <c r="B1421" s="14" t="s">
        <v>4273</v>
      </c>
      <c r="C1421" s="14" t="s">
        <v>6823</v>
      </c>
      <c r="D1421" s="18"/>
      <c r="E1421" s="14">
        <v>2019</v>
      </c>
      <c r="F1421" s="18"/>
      <c r="G1421" s="18"/>
      <c r="H1421" s="14" t="s">
        <v>11459</v>
      </c>
      <c r="I1421" s="14" t="s">
        <v>11083</v>
      </c>
      <c r="J1421" s="14" t="s">
        <v>11147</v>
      </c>
      <c r="K1421" s="14" t="s">
        <v>11460</v>
      </c>
      <c r="L1421" s="27"/>
      <c r="M1421" s="14">
        <v>2019</v>
      </c>
      <c r="N1421" s="18"/>
      <c r="O1421" s="26"/>
      <c r="P1421" s="17" t="s">
        <v>11461</v>
      </c>
      <c r="Q1421" s="14" t="s">
        <v>4277</v>
      </c>
      <c r="R1421" s="14" t="s">
        <v>11462</v>
      </c>
      <c r="S1421" s="14" t="s">
        <v>11463</v>
      </c>
      <c r="T1421" s="18"/>
      <c r="U1421" s="18"/>
      <c r="V1421" s="14" t="s">
        <v>11464</v>
      </c>
    </row>
    <row r="1422" spans="1:22" x14ac:dyDescent="0.25">
      <c r="A1422" s="14" t="s">
        <v>141</v>
      </c>
      <c r="B1422" s="14" t="s">
        <v>4854</v>
      </c>
      <c r="C1422" s="14" t="s">
        <v>11465</v>
      </c>
      <c r="D1422" s="18"/>
      <c r="E1422" s="14">
        <v>2020</v>
      </c>
      <c r="F1422" s="18"/>
      <c r="G1422" s="18"/>
      <c r="H1422" s="14" t="s">
        <v>11466</v>
      </c>
      <c r="I1422" s="14" t="s">
        <v>145</v>
      </c>
      <c r="J1422" s="14" t="s">
        <v>11044</v>
      </c>
      <c r="K1422" s="14" t="s">
        <v>11467</v>
      </c>
      <c r="L1422" s="14" t="s">
        <v>11468</v>
      </c>
      <c r="M1422" s="14">
        <v>2020</v>
      </c>
      <c r="N1422" s="14">
        <v>9781450368667</v>
      </c>
      <c r="O1422" s="26"/>
      <c r="P1422" s="17" t="s">
        <v>11469</v>
      </c>
      <c r="Q1422" s="14" t="s">
        <v>4858</v>
      </c>
      <c r="R1422" s="14" t="s">
        <v>11470</v>
      </c>
      <c r="S1422" s="14" t="s">
        <v>11471</v>
      </c>
      <c r="T1422" s="18"/>
      <c r="U1422" s="18"/>
      <c r="V1422" s="14" t="s">
        <v>11472</v>
      </c>
    </row>
    <row r="1423" spans="1:22" x14ac:dyDescent="0.25">
      <c r="A1423" s="14" t="s">
        <v>141</v>
      </c>
      <c r="B1423" s="14" t="s">
        <v>6021</v>
      </c>
      <c r="C1423" s="14" t="s">
        <v>11473</v>
      </c>
      <c r="D1423" s="18"/>
      <c r="E1423" s="14">
        <v>2018</v>
      </c>
      <c r="F1423" s="18"/>
      <c r="G1423" s="18"/>
      <c r="H1423" s="14" t="s">
        <v>11474</v>
      </c>
      <c r="I1423" s="14" t="s">
        <v>145</v>
      </c>
      <c r="J1423" s="14" t="s">
        <v>11044</v>
      </c>
      <c r="K1423" s="14" t="s">
        <v>11475</v>
      </c>
      <c r="L1423" s="14" t="s">
        <v>11105</v>
      </c>
      <c r="M1423" s="14">
        <v>2018</v>
      </c>
      <c r="N1423" s="14">
        <v>9781450357173</v>
      </c>
      <c r="O1423" s="26"/>
      <c r="P1423" s="17" t="s">
        <v>11476</v>
      </c>
      <c r="Q1423" s="14" t="s">
        <v>6025</v>
      </c>
      <c r="R1423" s="14" t="s">
        <v>11477</v>
      </c>
      <c r="S1423" s="14" t="s">
        <v>11478</v>
      </c>
      <c r="T1423" s="18"/>
      <c r="U1423" s="18"/>
      <c r="V1423" s="14" t="s">
        <v>11479</v>
      </c>
    </row>
    <row r="1424" spans="1:22" x14ac:dyDescent="0.25">
      <c r="A1424" s="14" t="s">
        <v>141</v>
      </c>
      <c r="B1424" s="14" t="s">
        <v>1955</v>
      </c>
      <c r="C1424" s="14" t="s">
        <v>11480</v>
      </c>
      <c r="D1424" s="18"/>
      <c r="E1424" s="14">
        <v>2021</v>
      </c>
      <c r="F1424" s="18"/>
      <c r="G1424" s="18"/>
      <c r="H1424" s="14" t="s">
        <v>11481</v>
      </c>
      <c r="I1424" s="14" t="s">
        <v>145</v>
      </c>
      <c r="J1424" s="14" t="s">
        <v>11044</v>
      </c>
      <c r="K1424" s="14" t="s">
        <v>11482</v>
      </c>
      <c r="L1424" s="14" t="s">
        <v>11483</v>
      </c>
      <c r="M1424" s="14">
        <v>2021</v>
      </c>
      <c r="N1424" s="14">
        <v>9781450386258</v>
      </c>
      <c r="O1424" s="26"/>
      <c r="P1424" s="17" t="s">
        <v>11484</v>
      </c>
      <c r="Q1424" s="14" t="s">
        <v>1958</v>
      </c>
      <c r="R1424" s="14" t="s">
        <v>11485</v>
      </c>
      <c r="S1424" s="14" t="s">
        <v>11486</v>
      </c>
      <c r="T1424" s="18"/>
      <c r="U1424" s="18"/>
      <c r="V1424" s="14" t="s">
        <v>11487</v>
      </c>
    </row>
    <row r="1425" spans="1:22" x14ac:dyDescent="0.25">
      <c r="A1425" s="14" t="s">
        <v>141</v>
      </c>
      <c r="B1425" s="14" t="s">
        <v>2171</v>
      </c>
      <c r="C1425" s="14" t="s">
        <v>11488</v>
      </c>
      <c r="D1425" s="18"/>
      <c r="E1425" s="14">
        <v>2021</v>
      </c>
      <c r="F1425" s="18"/>
      <c r="G1425" s="18"/>
      <c r="H1425" s="14" t="s">
        <v>11489</v>
      </c>
      <c r="I1425" s="14" t="s">
        <v>145</v>
      </c>
      <c r="J1425" s="14" t="s">
        <v>11044</v>
      </c>
      <c r="K1425" s="14" t="s">
        <v>11053</v>
      </c>
      <c r="L1425" s="14" t="s">
        <v>11054</v>
      </c>
      <c r="M1425" s="14">
        <v>2021</v>
      </c>
      <c r="N1425" s="14">
        <v>9781450390538</v>
      </c>
      <c r="O1425" s="26"/>
      <c r="P1425" s="17" t="s">
        <v>11490</v>
      </c>
      <c r="Q1425" s="14" t="s">
        <v>2175</v>
      </c>
      <c r="R1425" s="14" t="s">
        <v>11491</v>
      </c>
      <c r="S1425" s="14" t="s">
        <v>11492</v>
      </c>
      <c r="T1425" s="18"/>
      <c r="U1425" s="18"/>
      <c r="V1425" s="14" t="s">
        <v>11058</v>
      </c>
    </row>
    <row r="1426" spans="1:22" x14ac:dyDescent="0.25">
      <c r="A1426" s="14" t="s">
        <v>141</v>
      </c>
      <c r="B1426" s="14" t="s">
        <v>3590</v>
      </c>
      <c r="C1426" s="14" t="s">
        <v>11493</v>
      </c>
      <c r="D1426" s="18"/>
      <c r="E1426" s="14">
        <v>2022</v>
      </c>
      <c r="F1426" s="18"/>
      <c r="G1426" s="18"/>
      <c r="H1426" s="14" t="s">
        <v>11494</v>
      </c>
      <c r="I1426" s="14" t="s">
        <v>11083</v>
      </c>
      <c r="J1426" s="14" t="s">
        <v>11495</v>
      </c>
      <c r="K1426" s="14" t="s">
        <v>11496</v>
      </c>
      <c r="L1426" s="27"/>
      <c r="M1426" s="14">
        <v>2022</v>
      </c>
      <c r="N1426" s="14">
        <v>9781665403375</v>
      </c>
      <c r="O1426" s="26"/>
      <c r="P1426" s="17" t="s">
        <v>11497</v>
      </c>
      <c r="Q1426" s="14" t="s">
        <v>3594</v>
      </c>
      <c r="R1426" s="14" t="s">
        <v>6493</v>
      </c>
      <c r="S1426" s="18"/>
      <c r="T1426" s="18"/>
      <c r="U1426" s="18"/>
      <c r="V1426" s="14" t="s">
        <v>11498</v>
      </c>
    </row>
    <row r="1427" spans="1:22" x14ac:dyDescent="0.25">
      <c r="A1427" s="14" t="s">
        <v>13</v>
      </c>
      <c r="B1427" s="14" t="s">
        <v>11499</v>
      </c>
      <c r="C1427" s="14" t="s">
        <v>11500</v>
      </c>
      <c r="D1427" s="14" t="s">
        <v>11246</v>
      </c>
      <c r="E1427" s="14">
        <v>2021</v>
      </c>
      <c r="F1427" s="14">
        <v>31</v>
      </c>
      <c r="G1427" s="14">
        <v>1</v>
      </c>
      <c r="H1427" s="28"/>
      <c r="I1427" s="14" t="s">
        <v>145</v>
      </c>
      <c r="J1427" s="14" t="s">
        <v>11044</v>
      </c>
      <c r="K1427" s="26"/>
      <c r="L1427" s="27"/>
      <c r="M1427" s="16">
        <v>44470</v>
      </c>
      <c r="N1427" s="18"/>
      <c r="O1427" s="14" t="s">
        <v>329</v>
      </c>
      <c r="P1427" s="17" t="s">
        <v>11501</v>
      </c>
      <c r="Q1427" s="14" t="s">
        <v>11502</v>
      </c>
      <c r="R1427" s="14" t="s">
        <v>11503</v>
      </c>
      <c r="S1427" s="14" t="s">
        <v>11504</v>
      </c>
      <c r="T1427" s="18"/>
      <c r="U1427" s="18"/>
      <c r="V1427" s="18"/>
    </row>
    <row r="1428" spans="1:22" x14ac:dyDescent="0.25">
      <c r="A1428" s="14" t="s">
        <v>13</v>
      </c>
      <c r="B1428" s="14" t="s">
        <v>11505</v>
      </c>
      <c r="C1428" s="14" t="s">
        <v>11506</v>
      </c>
      <c r="D1428" s="14" t="s">
        <v>11507</v>
      </c>
      <c r="E1428" s="14">
        <v>2019</v>
      </c>
      <c r="F1428" s="14">
        <v>14</v>
      </c>
      <c r="G1428" s="14">
        <v>2</v>
      </c>
      <c r="H1428" s="28"/>
      <c r="I1428" s="14" t="s">
        <v>145</v>
      </c>
      <c r="J1428" s="14" t="s">
        <v>11044</v>
      </c>
      <c r="K1428" s="26"/>
      <c r="L1428" s="27"/>
      <c r="M1428" s="16">
        <v>43739</v>
      </c>
      <c r="N1428" s="18"/>
      <c r="O1428" s="14" t="s">
        <v>1504</v>
      </c>
      <c r="P1428" s="17" t="s">
        <v>11508</v>
      </c>
      <c r="Q1428" s="14" t="s">
        <v>11509</v>
      </c>
      <c r="R1428" s="14" t="s">
        <v>11510</v>
      </c>
      <c r="S1428" s="14" t="s">
        <v>11511</v>
      </c>
      <c r="T1428" s="18"/>
      <c r="U1428" s="18"/>
      <c r="V1428" s="18"/>
    </row>
    <row r="1429" spans="1:22" x14ac:dyDescent="0.25">
      <c r="A1429" s="14" t="s">
        <v>539</v>
      </c>
      <c r="B1429" s="18"/>
      <c r="C1429" s="14" t="s">
        <v>11512</v>
      </c>
      <c r="D1429" s="18"/>
      <c r="E1429" s="14">
        <v>2022</v>
      </c>
      <c r="F1429" s="18"/>
      <c r="G1429" s="18"/>
      <c r="H1429" s="28"/>
      <c r="I1429" s="14" t="s">
        <v>145</v>
      </c>
      <c r="J1429" s="14" t="s">
        <v>11044</v>
      </c>
      <c r="K1429" s="26"/>
      <c r="L1429" s="14" t="s">
        <v>11114</v>
      </c>
      <c r="M1429" s="14">
        <v>2022</v>
      </c>
      <c r="N1429" s="14">
        <v>9781450398602</v>
      </c>
      <c r="O1429" s="26"/>
      <c r="P1429" s="26"/>
      <c r="Q1429" s="26"/>
      <c r="R1429" s="14" t="s">
        <v>11513</v>
      </c>
      <c r="S1429" s="18"/>
      <c r="T1429" s="18"/>
      <c r="U1429" s="14" t="s">
        <v>10544</v>
      </c>
      <c r="V1429" s="18"/>
    </row>
    <row r="1430" spans="1:22" x14ac:dyDescent="0.25">
      <c r="A1430" s="14" t="s">
        <v>141</v>
      </c>
      <c r="B1430" s="14" t="s">
        <v>5800</v>
      </c>
      <c r="C1430" s="14" t="s">
        <v>11514</v>
      </c>
      <c r="D1430" s="18"/>
      <c r="E1430" s="14">
        <v>2016</v>
      </c>
      <c r="F1430" s="18"/>
      <c r="G1430" s="18"/>
      <c r="H1430" s="28"/>
      <c r="I1430" s="14" t="s">
        <v>145</v>
      </c>
      <c r="J1430" s="14" t="s">
        <v>11044</v>
      </c>
      <c r="K1430" s="14" t="s">
        <v>11515</v>
      </c>
      <c r="L1430" s="14" t="s">
        <v>11516</v>
      </c>
      <c r="M1430" s="14">
        <v>2016</v>
      </c>
      <c r="N1430" s="14">
        <v>9781450337342</v>
      </c>
      <c r="O1430" s="26"/>
      <c r="P1430" s="17" t="s">
        <v>11517</v>
      </c>
      <c r="Q1430" s="14" t="s">
        <v>5804</v>
      </c>
      <c r="R1430" s="14" t="s">
        <v>11518</v>
      </c>
      <c r="S1430" s="14" t="s">
        <v>11519</v>
      </c>
      <c r="T1430" s="18"/>
      <c r="U1430" s="18"/>
      <c r="V1430" s="14" t="s">
        <v>11520</v>
      </c>
    </row>
    <row r="1431" spans="1:22" x14ac:dyDescent="0.25">
      <c r="A1431" s="14" t="s">
        <v>539</v>
      </c>
      <c r="B1431" s="18"/>
      <c r="C1431" s="14" t="s">
        <v>11521</v>
      </c>
      <c r="D1431" s="18"/>
      <c r="E1431" s="14">
        <v>2022</v>
      </c>
      <c r="F1431" s="18"/>
      <c r="G1431" s="18"/>
      <c r="H1431" s="28"/>
      <c r="I1431" s="14" t="s">
        <v>145</v>
      </c>
      <c r="J1431" s="14" t="s">
        <v>11044</v>
      </c>
      <c r="K1431" s="26"/>
      <c r="L1431" s="14" t="s">
        <v>11522</v>
      </c>
      <c r="M1431" s="14">
        <v>2022</v>
      </c>
      <c r="N1431" s="14">
        <v>9781450397353</v>
      </c>
      <c r="O1431" s="26"/>
      <c r="P1431" s="26"/>
      <c r="Q1431" s="26"/>
      <c r="R1431" s="18"/>
      <c r="S1431" s="18"/>
      <c r="T1431" s="18"/>
      <c r="U1431" s="14" t="s">
        <v>10544</v>
      </c>
      <c r="V1431" s="18"/>
    </row>
    <row r="1432" spans="1:22" x14ac:dyDescent="0.25">
      <c r="A1432" s="14" t="s">
        <v>141</v>
      </c>
      <c r="B1432" s="14" t="s">
        <v>5057</v>
      </c>
      <c r="C1432" s="14" t="s">
        <v>5058</v>
      </c>
      <c r="D1432" s="18"/>
      <c r="E1432" s="14">
        <v>2020</v>
      </c>
      <c r="F1432" s="18"/>
      <c r="G1432" s="18"/>
      <c r="H1432" s="14" t="s">
        <v>11523</v>
      </c>
      <c r="I1432" s="14" t="s">
        <v>145</v>
      </c>
      <c r="J1432" s="14" t="s">
        <v>11044</v>
      </c>
      <c r="K1432" s="14" t="s">
        <v>11524</v>
      </c>
      <c r="L1432" s="14" t="s">
        <v>11157</v>
      </c>
      <c r="M1432" s="14">
        <v>2020</v>
      </c>
      <c r="N1432" s="14">
        <v>9781450375177</v>
      </c>
      <c r="O1432" s="26"/>
      <c r="P1432" s="17" t="s">
        <v>11525</v>
      </c>
      <c r="Q1432" s="14" t="s">
        <v>5061</v>
      </c>
      <c r="R1432" s="14" t="s">
        <v>11526</v>
      </c>
      <c r="S1432" s="18"/>
      <c r="T1432" s="18"/>
      <c r="U1432" s="18"/>
      <c r="V1432" s="14" t="s">
        <v>11527</v>
      </c>
    </row>
    <row r="1433" spans="1:22" x14ac:dyDescent="0.25">
      <c r="A1433" s="14" t="s">
        <v>539</v>
      </c>
      <c r="B1433" s="18"/>
      <c r="C1433" s="14" t="s">
        <v>11528</v>
      </c>
      <c r="D1433" s="18"/>
      <c r="E1433" s="14">
        <v>2022</v>
      </c>
      <c r="F1433" s="18"/>
      <c r="G1433" s="18"/>
      <c r="H1433" s="28"/>
      <c r="I1433" s="14" t="s">
        <v>145</v>
      </c>
      <c r="J1433" s="14" t="s">
        <v>11044</v>
      </c>
      <c r="K1433" s="26"/>
      <c r="L1433" s="14" t="s">
        <v>11114</v>
      </c>
      <c r="M1433" s="14">
        <v>2022</v>
      </c>
      <c r="N1433" s="14">
        <v>9781450394567</v>
      </c>
      <c r="O1433" s="26"/>
      <c r="P1433" s="26"/>
      <c r="Q1433" s="26"/>
      <c r="R1433" s="14" t="s">
        <v>11529</v>
      </c>
      <c r="S1433" s="18"/>
      <c r="T1433" s="18"/>
      <c r="U1433" s="14" t="s">
        <v>10544</v>
      </c>
      <c r="V1433" s="18"/>
    </row>
    <row r="1434" spans="1:22" x14ac:dyDescent="0.25">
      <c r="A1434" s="14" t="s">
        <v>13</v>
      </c>
      <c r="B1434" s="14" t="s">
        <v>11437</v>
      </c>
      <c r="C1434" s="14" t="s">
        <v>11530</v>
      </c>
      <c r="D1434" s="14" t="s">
        <v>11531</v>
      </c>
      <c r="E1434" s="14">
        <v>2021</v>
      </c>
      <c r="F1434" s="14">
        <v>19</v>
      </c>
      <c r="G1434" s="14">
        <v>3</v>
      </c>
      <c r="H1434" s="14" t="s">
        <v>11532</v>
      </c>
      <c r="I1434" s="14" t="s">
        <v>145</v>
      </c>
      <c r="J1434" s="14" t="s">
        <v>11044</v>
      </c>
      <c r="K1434" s="26"/>
      <c r="L1434" s="27"/>
      <c r="M1434" s="20">
        <v>44409</v>
      </c>
      <c r="N1434" s="18"/>
      <c r="O1434" s="14" t="s">
        <v>11533</v>
      </c>
      <c r="P1434" s="17" t="s">
        <v>11534</v>
      </c>
      <c r="Q1434" s="14" t="s">
        <v>11535</v>
      </c>
      <c r="R1434" s="14" t="s">
        <v>11536</v>
      </c>
      <c r="S1434" s="18"/>
      <c r="T1434" s="18"/>
      <c r="U1434" s="18"/>
      <c r="V1434" s="18"/>
    </row>
    <row r="1435" spans="1:22" x14ac:dyDescent="0.25">
      <c r="A1435" s="14" t="s">
        <v>13</v>
      </c>
      <c r="B1435" s="14" t="s">
        <v>1501</v>
      </c>
      <c r="C1435" s="14" t="s">
        <v>11537</v>
      </c>
      <c r="D1435" s="14" t="s">
        <v>11507</v>
      </c>
      <c r="E1435" s="14">
        <v>2021</v>
      </c>
      <c r="F1435" s="14">
        <v>15</v>
      </c>
      <c r="G1435" s="14">
        <v>3</v>
      </c>
      <c r="H1435" s="28"/>
      <c r="I1435" s="14" t="s">
        <v>145</v>
      </c>
      <c r="J1435" s="14" t="s">
        <v>11044</v>
      </c>
      <c r="K1435" s="26"/>
      <c r="L1435" s="27"/>
      <c r="M1435" s="20">
        <v>44409</v>
      </c>
      <c r="N1435" s="18"/>
      <c r="O1435" s="14" t="s">
        <v>1504</v>
      </c>
      <c r="P1435" s="17" t="s">
        <v>11538</v>
      </c>
      <c r="Q1435" s="14" t="s">
        <v>1506</v>
      </c>
      <c r="R1435" s="14" t="s">
        <v>11539</v>
      </c>
      <c r="S1435" s="14" t="s">
        <v>11540</v>
      </c>
      <c r="T1435" s="18"/>
      <c r="U1435" s="18"/>
      <c r="V1435" s="18"/>
    </row>
    <row r="1436" spans="1:22" x14ac:dyDescent="0.25">
      <c r="A1436" s="14" t="s">
        <v>141</v>
      </c>
      <c r="B1436" s="14" t="s">
        <v>11541</v>
      </c>
      <c r="C1436" s="14" t="s">
        <v>11542</v>
      </c>
      <c r="D1436" s="18"/>
      <c r="E1436" s="14">
        <v>2022</v>
      </c>
      <c r="F1436" s="18"/>
      <c r="G1436" s="18"/>
      <c r="H1436" s="14" t="s">
        <v>11543</v>
      </c>
      <c r="I1436" s="14" t="s">
        <v>145</v>
      </c>
      <c r="J1436" s="14" t="s">
        <v>11044</v>
      </c>
      <c r="K1436" s="14" t="s">
        <v>11544</v>
      </c>
      <c r="L1436" s="14" t="s">
        <v>11266</v>
      </c>
      <c r="M1436" s="14">
        <v>2022</v>
      </c>
      <c r="N1436" s="14">
        <v>9781450387132</v>
      </c>
      <c r="O1436" s="26"/>
      <c r="P1436" s="17" t="s">
        <v>11545</v>
      </c>
      <c r="Q1436" s="14" t="s">
        <v>11546</v>
      </c>
      <c r="R1436" s="14" t="s">
        <v>11547</v>
      </c>
      <c r="S1436" s="14" t="s">
        <v>11548</v>
      </c>
      <c r="T1436" s="18"/>
      <c r="U1436" s="18"/>
      <c r="V1436" s="14" t="s">
        <v>11549</v>
      </c>
    </row>
    <row r="1437" spans="1:22" x14ac:dyDescent="0.25">
      <c r="A1437" s="14" t="s">
        <v>141</v>
      </c>
      <c r="B1437" s="14" t="s">
        <v>5268</v>
      </c>
      <c r="C1437" s="14" t="s">
        <v>11550</v>
      </c>
      <c r="D1437" s="18"/>
      <c r="E1437" s="14">
        <v>2015</v>
      </c>
      <c r="F1437" s="18"/>
      <c r="G1437" s="18"/>
      <c r="H1437" s="14" t="s">
        <v>11551</v>
      </c>
      <c r="I1437" s="14" t="s">
        <v>145</v>
      </c>
      <c r="J1437" s="14" t="s">
        <v>11044</v>
      </c>
      <c r="K1437" s="14" t="s">
        <v>11552</v>
      </c>
      <c r="L1437" s="14" t="s">
        <v>11553</v>
      </c>
      <c r="M1437" s="14">
        <v>2015</v>
      </c>
      <c r="N1437" s="14">
        <v>9781450334808</v>
      </c>
      <c r="O1437" s="26"/>
      <c r="P1437" s="17" t="s">
        <v>11554</v>
      </c>
      <c r="Q1437" s="14" t="s">
        <v>5271</v>
      </c>
      <c r="R1437" s="14" t="s">
        <v>11555</v>
      </c>
      <c r="S1437" s="14" t="s">
        <v>11556</v>
      </c>
      <c r="T1437" s="18"/>
      <c r="U1437" s="18"/>
      <c r="V1437" s="14" t="s">
        <v>11557</v>
      </c>
    </row>
    <row r="1438" spans="1:22" x14ac:dyDescent="0.25">
      <c r="A1438" s="14" t="s">
        <v>539</v>
      </c>
      <c r="B1438" s="18"/>
      <c r="C1438" s="14" t="s">
        <v>11558</v>
      </c>
      <c r="D1438" s="18"/>
      <c r="E1438" s="14">
        <v>2022</v>
      </c>
      <c r="F1438" s="18"/>
      <c r="G1438" s="18"/>
      <c r="H1438" s="28"/>
      <c r="I1438" s="14" t="s">
        <v>145</v>
      </c>
      <c r="J1438" s="14" t="s">
        <v>11044</v>
      </c>
      <c r="K1438" s="26"/>
      <c r="L1438" s="14" t="s">
        <v>11559</v>
      </c>
      <c r="M1438" s="14">
        <v>2022</v>
      </c>
      <c r="N1438" s="14">
        <v>9781450394758</v>
      </c>
      <c r="O1438" s="26"/>
      <c r="P1438" s="26"/>
      <c r="Q1438" s="26"/>
      <c r="R1438" s="18"/>
      <c r="S1438" s="18"/>
      <c r="T1438" s="18"/>
      <c r="U1438" s="14" t="s">
        <v>10544</v>
      </c>
      <c r="V1438" s="18"/>
    </row>
    <row r="1439" spans="1:22" x14ac:dyDescent="0.25">
      <c r="A1439" s="14" t="s">
        <v>539</v>
      </c>
      <c r="B1439" s="18"/>
      <c r="C1439" s="14" t="s">
        <v>11560</v>
      </c>
      <c r="D1439" s="18"/>
      <c r="E1439" s="14">
        <v>2022</v>
      </c>
      <c r="F1439" s="18"/>
      <c r="G1439" s="18"/>
      <c r="H1439" s="28"/>
      <c r="I1439" s="14" t="s">
        <v>145</v>
      </c>
      <c r="J1439" s="14" t="s">
        <v>11044</v>
      </c>
      <c r="K1439" s="26"/>
      <c r="L1439" s="14" t="s">
        <v>11142</v>
      </c>
      <c r="M1439" s="14">
        <v>2022</v>
      </c>
      <c r="N1439" s="14">
        <v>9781450394277</v>
      </c>
      <c r="O1439" s="26"/>
      <c r="P1439" s="26"/>
      <c r="Q1439" s="26"/>
      <c r="R1439" s="18"/>
      <c r="S1439" s="18"/>
      <c r="T1439" s="18"/>
      <c r="U1439" s="14" t="s">
        <v>10544</v>
      </c>
      <c r="V1439" s="18"/>
    </row>
    <row r="1440" spans="1:22" x14ac:dyDescent="0.25">
      <c r="A1440" s="14" t="s">
        <v>141</v>
      </c>
      <c r="B1440" s="14" t="s">
        <v>6731</v>
      </c>
      <c r="C1440" s="14" t="s">
        <v>11561</v>
      </c>
      <c r="D1440" s="18"/>
      <c r="E1440" s="14">
        <v>2022</v>
      </c>
      <c r="F1440" s="18"/>
      <c r="G1440" s="18"/>
      <c r="H1440" s="14" t="s">
        <v>11562</v>
      </c>
      <c r="I1440" s="14" t="s">
        <v>145</v>
      </c>
      <c r="J1440" s="14" t="s">
        <v>11044</v>
      </c>
      <c r="K1440" s="14" t="s">
        <v>11076</v>
      </c>
      <c r="L1440" s="14" t="s">
        <v>11077</v>
      </c>
      <c r="M1440" s="14">
        <v>2022</v>
      </c>
      <c r="N1440" s="14">
        <v>9781450393041</v>
      </c>
      <c r="O1440" s="26"/>
      <c r="P1440" s="17" t="s">
        <v>11563</v>
      </c>
      <c r="Q1440" s="14" t="s">
        <v>6735</v>
      </c>
      <c r="R1440" s="14" t="s">
        <v>6736</v>
      </c>
      <c r="S1440" s="14" t="s">
        <v>11564</v>
      </c>
      <c r="T1440" s="18"/>
      <c r="U1440" s="18"/>
      <c r="V1440" s="14" t="s">
        <v>11081</v>
      </c>
    </row>
    <row r="1441" spans="1:22" x14ac:dyDescent="0.25">
      <c r="A1441" s="14" t="s">
        <v>141</v>
      </c>
      <c r="B1441" s="14" t="s">
        <v>11565</v>
      </c>
      <c r="C1441" s="14" t="s">
        <v>11566</v>
      </c>
      <c r="D1441" s="18"/>
      <c r="E1441" s="14">
        <v>2012</v>
      </c>
      <c r="F1441" s="18"/>
      <c r="G1441" s="18"/>
      <c r="H1441" s="14" t="s">
        <v>11567</v>
      </c>
      <c r="I1441" s="14" t="s">
        <v>11083</v>
      </c>
      <c r="J1441" s="14" t="s">
        <v>11122</v>
      </c>
      <c r="K1441" s="14" t="s">
        <v>11123</v>
      </c>
      <c r="L1441" s="27"/>
      <c r="M1441" s="14">
        <v>2012</v>
      </c>
      <c r="N1441" s="14">
        <v>9781467317498</v>
      </c>
      <c r="O1441" s="26"/>
      <c r="P1441" s="26"/>
      <c r="Q1441" s="26"/>
      <c r="R1441" s="14" t="s">
        <v>11568</v>
      </c>
      <c r="S1441" s="14" t="s">
        <v>11569</v>
      </c>
      <c r="T1441" s="18"/>
      <c r="U1441" s="18"/>
      <c r="V1441" s="14" t="s">
        <v>11126</v>
      </c>
    </row>
    <row r="1442" spans="1:22" x14ac:dyDescent="0.25">
      <c r="A1442" s="14" t="s">
        <v>141</v>
      </c>
      <c r="B1442" s="14" t="s">
        <v>11570</v>
      </c>
      <c r="C1442" s="14" t="s">
        <v>11571</v>
      </c>
      <c r="D1442" s="18"/>
      <c r="E1442" s="14">
        <v>2022</v>
      </c>
      <c r="F1442" s="18"/>
      <c r="G1442" s="18"/>
      <c r="H1442" s="14" t="s">
        <v>11572</v>
      </c>
      <c r="I1442" s="14" t="s">
        <v>11083</v>
      </c>
      <c r="J1442" s="14" t="s">
        <v>11495</v>
      </c>
      <c r="K1442" s="14" t="s">
        <v>11496</v>
      </c>
      <c r="L1442" s="27"/>
      <c r="M1442" s="14">
        <v>2022</v>
      </c>
      <c r="N1442" s="14">
        <v>9781665403375</v>
      </c>
      <c r="O1442" s="26"/>
      <c r="P1442" s="17" t="s">
        <v>11573</v>
      </c>
      <c r="Q1442" s="14" t="s">
        <v>3361</v>
      </c>
      <c r="R1442" s="14" t="s">
        <v>11574</v>
      </c>
      <c r="S1442" s="14" t="s">
        <v>11575</v>
      </c>
      <c r="T1442" s="18"/>
      <c r="U1442" s="18"/>
      <c r="V1442" s="14" t="s">
        <v>11498</v>
      </c>
    </row>
    <row r="1443" spans="1:22" x14ac:dyDescent="0.25">
      <c r="A1443" s="14" t="s">
        <v>141</v>
      </c>
      <c r="B1443" s="14" t="s">
        <v>3183</v>
      </c>
      <c r="C1443" s="14" t="s">
        <v>11576</v>
      </c>
      <c r="D1443" s="18"/>
      <c r="E1443" s="14">
        <v>2021</v>
      </c>
      <c r="F1443" s="18"/>
      <c r="G1443" s="18"/>
      <c r="H1443" s="14" t="s">
        <v>11577</v>
      </c>
      <c r="I1443" s="14" t="s">
        <v>145</v>
      </c>
      <c r="J1443" s="14" t="s">
        <v>11044</v>
      </c>
      <c r="K1443" s="14" t="s">
        <v>11578</v>
      </c>
      <c r="L1443" s="14" t="s">
        <v>11579</v>
      </c>
      <c r="M1443" s="14">
        <v>2021</v>
      </c>
      <c r="N1443" s="14">
        <v>9781450367684</v>
      </c>
      <c r="O1443" s="26"/>
      <c r="P1443" s="17" t="s">
        <v>11580</v>
      </c>
      <c r="Q1443" s="14" t="s">
        <v>3187</v>
      </c>
      <c r="R1443" s="14" t="s">
        <v>11581</v>
      </c>
      <c r="S1443" s="14" t="s">
        <v>11582</v>
      </c>
      <c r="T1443" s="18"/>
      <c r="U1443" s="18"/>
      <c r="V1443" s="14" t="s">
        <v>11583</v>
      </c>
    </row>
    <row r="1444" spans="1:22" x14ac:dyDescent="0.25">
      <c r="A1444" s="14" t="s">
        <v>13</v>
      </c>
      <c r="B1444" s="14" t="s">
        <v>1882</v>
      </c>
      <c r="C1444" s="14" t="s">
        <v>1883</v>
      </c>
      <c r="D1444" s="14" t="s">
        <v>11246</v>
      </c>
      <c r="E1444" s="14">
        <v>2021</v>
      </c>
      <c r="F1444" s="14">
        <v>30</v>
      </c>
      <c r="G1444" s="14">
        <v>4</v>
      </c>
      <c r="H1444" s="28"/>
      <c r="I1444" s="14" t="s">
        <v>145</v>
      </c>
      <c r="J1444" s="14" t="s">
        <v>11044</v>
      </c>
      <c r="K1444" s="26"/>
      <c r="L1444" s="27"/>
      <c r="M1444" s="20">
        <v>44378</v>
      </c>
      <c r="N1444" s="18"/>
      <c r="O1444" s="14" t="s">
        <v>329</v>
      </c>
      <c r="P1444" s="17" t="s">
        <v>11584</v>
      </c>
      <c r="Q1444" s="14" t="s">
        <v>1885</v>
      </c>
      <c r="R1444" s="14" t="s">
        <v>11585</v>
      </c>
      <c r="S1444" s="14" t="s">
        <v>11586</v>
      </c>
      <c r="T1444" s="18"/>
      <c r="U1444" s="18"/>
      <c r="V1444" s="18"/>
    </row>
    <row r="1445" spans="1:22" x14ac:dyDescent="0.25">
      <c r="A1445" s="14" t="s">
        <v>141</v>
      </c>
      <c r="B1445" s="14" t="s">
        <v>11587</v>
      </c>
      <c r="C1445" s="14" t="s">
        <v>11588</v>
      </c>
      <c r="D1445" s="18"/>
      <c r="E1445" s="14">
        <v>2021</v>
      </c>
      <c r="F1445" s="18"/>
      <c r="G1445" s="18"/>
      <c r="H1445" s="14" t="s">
        <v>11589</v>
      </c>
      <c r="I1445" s="14" t="s">
        <v>145</v>
      </c>
      <c r="J1445" s="14" t="s">
        <v>11044</v>
      </c>
      <c r="K1445" s="14" t="s">
        <v>11053</v>
      </c>
      <c r="L1445" s="14" t="s">
        <v>11054</v>
      </c>
      <c r="M1445" s="14">
        <v>2021</v>
      </c>
      <c r="N1445" s="14">
        <v>9781450390538</v>
      </c>
      <c r="O1445" s="26"/>
      <c r="P1445" s="17" t="s">
        <v>11590</v>
      </c>
      <c r="Q1445" s="14" t="s">
        <v>11591</v>
      </c>
      <c r="R1445" s="14" t="s">
        <v>11592</v>
      </c>
      <c r="S1445" s="14" t="s">
        <v>11593</v>
      </c>
      <c r="T1445" s="18"/>
      <c r="U1445" s="18"/>
      <c r="V1445" s="14" t="s">
        <v>11058</v>
      </c>
    </row>
    <row r="1446" spans="1:22" x14ac:dyDescent="0.25">
      <c r="A1446" s="14" t="s">
        <v>141</v>
      </c>
      <c r="B1446" s="14" t="s">
        <v>11594</v>
      </c>
      <c r="C1446" s="14" t="s">
        <v>11595</v>
      </c>
      <c r="D1446" s="18"/>
      <c r="E1446" s="14">
        <v>2022</v>
      </c>
      <c r="F1446" s="18"/>
      <c r="G1446" s="18"/>
      <c r="H1446" s="14" t="s">
        <v>11596</v>
      </c>
      <c r="I1446" s="14" t="s">
        <v>145</v>
      </c>
      <c r="J1446" s="14" t="s">
        <v>11044</v>
      </c>
      <c r="K1446" s="14" t="s">
        <v>11597</v>
      </c>
      <c r="L1446" s="14" t="s">
        <v>11598</v>
      </c>
      <c r="M1446" s="14">
        <v>2022</v>
      </c>
      <c r="N1446" s="14">
        <v>9781450387637</v>
      </c>
      <c r="O1446" s="26"/>
      <c r="P1446" s="17" t="s">
        <v>11599</v>
      </c>
      <c r="Q1446" s="14" t="s">
        <v>11600</v>
      </c>
      <c r="R1446" s="14" t="s">
        <v>11601</v>
      </c>
      <c r="S1446" s="14" t="s">
        <v>11602</v>
      </c>
      <c r="T1446" s="18"/>
      <c r="U1446" s="18"/>
      <c r="V1446" s="14" t="s">
        <v>11603</v>
      </c>
    </row>
    <row r="1447" spans="1:22" x14ac:dyDescent="0.25">
      <c r="A1447" s="14" t="s">
        <v>141</v>
      </c>
      <c r="B1447" s="14" t="s">
        <v>5395</v>
      </c>
      <c r="C1447" s="14" t="s">
        <v>11604</v>
      </c>
      <c r="D1447" s="18"/>
      <c r="E1447" s="14">
        <v>2017</v>
      </c>
      <c r="F1447" s="18"/>
      <c r="G1447" s="18"/>
      <c r="H1447" s="14" t="s">
        <v>11605</v>
      </c>
      <c r="I1447" s="14" t="s">
        <v>11083</v>
      </c>
      <c r="J1447" s="14" t="s">
        <v>11606</v>
      </c>
      <c r="K1447" s="14" t="s">
        <v>11607</v>
      </c>
      <c r="L1447" s="27"/>
      <c r="M1447" s="14">
        <v>2017</v>
      </c>
      <c r="N1447" s="14">
        <v>9781509040391</v>
      </c>
      <c r="O1447" s="26"/>
      <c r="P1447" s="17" t="s">
        <v>11608</v>
      </c>
      <c r="Q1447" s="14" t="s">
        <v>5400</v>
      </c>
      <c r="R1447" s="14" t="s">
        <v>7156</v>
      </c>
      <c r="S1447" s="14" t="s">
        <v>11609</v>
      </c>
      <c r="T1447" s="18"/>
      <c r="U1447" s="18"/>
      <c r="V1447" s="14" t="s">
        <v>11610</v>
      </c>
    </row>
    <row r="1448" spans="1:22" x14ac:dyDescent="0.25">
      <c r="A1448" s="14" t="s">
        <v>141</v>
      </c>
      <c r="B1448" s="14" t="s">
        <v>11611</v>
      </c>
      <c r="C1448" s="14" t="s">
        <v>11612</v>
      </c>
      <c r="D1448" s="18"/>
      <c r="E1448" s="14">
        <v>2018</v>
      </c>
      <c r="F1448" s="18"/>
      <c r="G1448" s="18"/>
      <c r="H1448" s="28"/>
      <c r="I1448" s="14" t="s">
        <v>145</v>
      </c>
      <c r="J1448" s="14" t="s">
        <v>11044</v>
      </c>
      <c r="K1448" s="14" t="s">
        <v>11613</v>
      </c>
      <c r="L1448" s="14" t="s">
        <v>11084</v>
      </c>
      <c r="M1448" s="14">
        <v>2018</v>
      </c>
      <c r="N1448" s="14">
        <v>9781450364836</v>
      </c>
      <c r="O1448" s="26"/>
      <c r="P1448" s="17" t="s">
        <v>11614</v>
      </c>
      <c r="Q1448" s="14" t="s">
        <v>11615</v>
      </c>
      <c r="R1448" s="14" t="s">
        <v>11616</v>
      </c>
      <c r="S1448" s="14" t="s">
        <v>11617</v>
      </c>
      <c r="T1448" s="18"/>
      <c r="U1448" s="18"/>
      <c r="V1448" s="14" t="s">
        <v>11618</v>
      </c>
    </row>
    <row r="1449" spans="1:22" x14ac:dyDescent="0.25">
      <c r="A1449" s="14" t="s">
        <v>141</v>
      </c>
      <c r="B1449" s="14" t="s">
        <v>11619</v>
      </c>
      <c r="C1449" s="14" t="s">
        <v>11620</v>
      </c>
      <c r="D1449" s="18"/>
      <c r="E1449" s="14">
        <v>2019</v>
      </c>
      <c r="F1449" s="18"/>
      <c r="G1449" s="18"/>
      <c r="H1449" s="14" t="s">
        <v>11621</v>
      </c>
      <c r="I1449" s="14" t="s">
        <v>145</v>
      </c>
      <c r="J1449" s="14" t="s">
        <v>11044</v>
      </c>
      <c r="K1449" s="14" t="s">
        <v>11622</v>
      </c>
      <c r="L1449" s="14" t="s">
        <v>11623</v>
      </c>
      <c r="M1449" s="14">
        <v>2019</v>
      </c>
      <c r="N1449" s="14">
        <v>9781450368285</v>
      </c>
      <c r="O1449" s="26"/>
      <c r="P1449" s="17" t="s">
        <v>11624</v>
      </c>
      <c r="Q1449" s="14" t="s">
        <v>11625</v>
      </c>
      <c r="R1449" s="14" t="s">
        <v>11626</v>
      </c>
      <c r="S1449" s="14" t="s">
        <v>11627</v>
      </c>
      <c r="T1449" s="18"/>
      <c r="U1449" s="18"/>
      <c r="V1449" s="14" t="s">
        <v>11628</v>
      </c>
    </row>
    <row r="1450" spans="1:22" x14ac:dyDescent="0.25">
      <c r="A1450" s="14" t="s">
        <v>141</v>
      </c>
      <c r="B1450" s="14" t="s">
        <v>1937</v>
      </c>
      <c r="C1450" s="14" t="s">
        <v>1938</v>
      </c>
      <c r="D1450" s="18"/>
      <c r="E1450" s="14">
        <v>2022</v>
      </c>
      <c r="F1450" s="18"/>
      <c r="G1450" s="18"/>
      <c r="H1450" s="14" t="s">
        <v>11629</v>
      </c>
      <c r="I1450" s="14" t="s">
        <v>145</v>
      </c>
      <c r="J1450" s="14" t="s">
        <v>11044</v>
      </c>
      <c r="K1450" s="14" t="s">
        <v>11630</v>
      </c>
      <c r="L1450" s="14" t="s">
        <v>11077</v>
      </c>
      <c r="M1450" s="14">
        <v>2022</v>
      </c>
      <c r="N1450" s="14">
        <v>9781450392235</v>
      </c>
      <c r="O1450" s="26"/>
      <c r="P1450" s="17" t="s">
        <v>11631</v>
      </c>
      <c r="Q1450" s="14" t="s">
        <v>6672</v>
      </c>
      <c r="R1450" s="14" t="s">
        <v>11632</v>
      </c>
      <c r="S1450" s="14" t="s">
        <v>11633</v>
      </c>
      <c r="T1450" s="18"/>
      <c r="U1450" s="18"/>
      <c r="V1450" s="14" t="s">
        <v>11634</v>
      </c>
    </row>
    <row r="1451" spans="1:22" x14ac:dyDescent="0.25">
      <c r="A1451" s="14" t="s">
        <v>141</v>
      </c>
      <c r="B1451" s="14" t="s">
        <v>633</v>
      </c>
      <c r="C1451" s="14" t="s">
        <v>11635</v>
      </c>
      <c r="D1451" s="18"/>
      <c r="E1451" s="14">
        <v>2022</v>
      </c>
      <c r="F1451" s="18"/>
      <c r="G1451" s="18"/>
      <c r="H1451" s="14" t="s">
        <v>11636</v>
      </c>
      <c r="I1451" s="14" t="s">
        <v>145</v>
      </c>
      <c r="J1451" s="14" t="s">
        <v>11044</v>
      </c>
      <c r="K1451" s="14" t="s">
        <v>11637</v>
      </c>
      <c r="L1451" s="14" t="s">
        <v>11114</v>
      </c>
      <c r="M1451" s="14">
        <v>2022</v>
      </c>
      <c r="N1451" s="14">
        <v>9781450398602</v>
      </c>
      <c r="O1451" s="26"/>
      <c r="P1451" s="17" t="s">
        <v>11638</v>
      </c>
      <c r="Q1451" s="14" t="s">
        <v>637</v>
      </c>
      <c r="R1451" s="14" t="s">
        <v>11639</v>
      </c>
      <c r="S1451" s="14" t="s">
        <v>11640</v>
      </c>
      <c r="T1451" s="18"/>
      <c r="U1451" s="18"/>
      <c r="V1451" s="14" t="s">
        <v>11641</v>
      </c>
    </row>
    <row r="1452" spans="1:22" x14ac:dyDescent="0.25">
      <c r="A1452" s="14" t="s">
        <v>141</v>
      </c>
      <c r="B1452" s="14" t="s">
        <v>6128</v>
      </c>
      <c r="C1452" s="14" t="s">
        <v>6408</v>
      </c>
      <c r="D1452" s="18"/>
      <c r="E1452" s="14">
        <v>2018</v>
      </c>
      <c r="F1452" s="18"/>
      <c r="G1452" s="18"/>
      <c r="H1452" s="14" t="s">
        <v>11642</v>
      </c>
      <c r="I1452" s="14" t="s">
        <v>145</v>
      </c>
      <c r="J1452" s="14" t="s">
        <v>11044</v>
      </c>
      <c r="K1452" s="14" t="s">
        <v>11355</v>
      </c>
      <c r="L1452" s="14" t="s">
        <v>11105</v>
      </c>
      <c r="M1452" s="14">
        <v>2018</v>
      </c>
      <c r="N1452" s="14">
        <v>9781450356633</v>
      </c>
      <c r="O1452" s="26"/>
      <c r="P1452" s="17" t="s">
        <v>11643</v>
      </c>
      <c r="Q1452" s="14" t="s">
        <v>11644</v>
      </c>
      <c r="R1452" s="14" t="s">
        <v>6410</v>
      </c>
      <c r="S1452" s="14" t="s">
        <v>11645</v>
      </c>
      <c r="T1452" s="18"/>
      <c r="U1452" s="18"/>
      <c r="V1452" s="14" t="s">
        <v>11359</v>
      </c>
    </row>
    <row r="1453" spans="1:22" x14ac:dyDescent="0.25">
      <c r="A1453" s="14" t="s">
        <v>141</v>
      </c>
      <c r="B1453" s="14" t="s">
        <v>1784</v>
      </c>
      <c r="C1453" s="14" t="s">
        <v>11646</v>
      </c>
      <c r="D1453" s="18"/>
      <c r="E1453" s="14">
        <v>2020</v>
      </c>
      <c r="F1453" s="18"/>
      <c r="G1453" s="18"/>
      <c r="H1453" s="14" t="s">
        <v>11155</v>
      </c>
      <c r="I1453" s="14" t="s">
        <v>145</v>
      </c>
      <c r="J1453" s="14" t="s">
        <v>11044</v>
      </c>
      <c r="K1453" s="14" t="s">
        <v>11452</v>
      </c>
      <c r="L1453" s="14" t="s">
        <v>11157</v>
      </c>
      <c r="M1453" s="14">
        <v>2020</v>
      </c>
      <c r="N1453" s="14">
        <v>9781450375122</v>
      </c>
      <c r="O1453" s="26"/>
      <c r="P1453" s="17" t="s">
        <v>11647</v>
      </c>
      <c r="Q1453" s="14" t="s">
        <v>5103</v>
      </c>
      <c r="R1453" s="14" t="s">
        <v>11648</v>
      </c>
      <c r="S1453" s="14" t="s">
        <v>11649</v>
      </c>
      <c r="T1453" s="18"/>
      <c r="U1453" s="18"/>
      <c r="V1453" s="14" t="s">
        <v>11456</v>
      </c>
    </row>
    <row r="1454" spans="1:22" x14ac:dyDescent="0.25">
      <c r="A1454" s="14" t="s">
        <v>141</v>
      </c>
      <c r="B1454" s="14" t="s">
        <v>11650</v>
      </c>
      <c r="C1454" s="14" t="s">
        <v>11651</v>
      </c>
      <c r="D1454" s="18"/>
      <c r="E1454" s="14">
        <v>2021</v>
      </c>
      <c r="F1454" s="18"/>
      <c r="G1454" s="18"/>
      <c r="H1454" s="14" t="s">
        <v>11652</v>
      </c>
      <c r="I1454" s="14" t="s">
        <v>145</v>
      </c>
      <c r="J1454" s="14" t="s">
        <v>11044</v>
      </c>
      <c r="K1454" s="14" t="s">
        <v>11653</v>
      </c>
      <c r="L1454" s="14" t="s">
        <v>11654</v>
      </c>
      <c r="M1454" s="14">
        <v>2021</v>
      </c>
      <c r="N1454" s="14">
        <v>9781450386586</v>
      </c>
      <c r="O1454" s="26"/>
      <c r="P1454" s="17" t="s">
        <v>11655</v>
      </c>
      <c r="Q1454" s="14" t="s">
        <v>11656</v>
      </c>
      <c r="R1454" s="14" t="s">
        <v>11657</v>
      </c>
      <c r="S1454" s="14" t="s">
        <v>11658</v>
      </c>
      <c r="T1454" s="18"/>
      <c r="U1454" s="18"/>
      <c r="V1454" s="14" t="s">
        <v>11659</v>
      </c>
    </row>
    <row r="1455" spans="1:22" x14ac:dyDescent="0.25">
      <c r="A1455" s="14" t="s">
        <v>141</v>
      </c>
      <c r="B1455" s="14" t="s">
        <v>11660</v>
      </c>
      <c r="C1455" s="14" t="s">
        <v>11661</v>
      </c>
      <c r="D1455" s="18"/>
      <c r="E1455" s="14">
        <v>2019</v>
      </c>
      <c r="F1455" s="18"/>
      <c r="G1455" s="18"/>
      <c r="H1455" s="14" t="s">
        <v>11662</v>
      </c>
      <c r="I1455" s="14" t="s">
        <v>11083</v>
      </c>
      <c r="J1455" s="14" t="s">
        <v>11147</v>
      </c>
      <c r="K1455" s="14" t="s">
        <v>11166</v>
      </c>
      <c r="L1455" s="27"/>
      <c r="M1455" s="14">
        <v>2019</v>
      </c>
      <c r="N1455" s="18"/>
      <c r="O1455" s="26"/>
      <c r="P1455" s="17" t="s">
        <v>11663</v>
      </c>
      <c r="Q1455" s="14" t="s">
        <v>11664</v>
      </c>
      <c r="R1455" s="14" t="s">
        <v>11665</v>
      </c>
      <c r="S1455" s="14" t="s">
        <v>11666</v>
      </c>
      <c r="T1455" s="18"/>
      <c r="U1455" s="18"/>
      <c r="V1455" s="14" t="s">
        <v>11170</v>
      </c>
    </row>
    <row r="1456" spans="1:22" x14ac:dyDescent="0.25">
      <c r="A1456" s="14" t="s">
        <v>13</v>
      </c>
      <c r="B1456" s="14" t="s">
        <v>2295</v>
      </c>
      <c r="C1456" s="14" t="s">
        <v>11667</v>
      </c>
      <c r="D1456" s="14" t="s">
        <v>11246</v>
      </c>
      <c r="E1456" s="14">
        <v>2021</v>
      </c>
      <c r="F1456" s="14">
        <v>30</v>
      </c>
      <c r="G1456" s="14">
        <v>4</v>
      </c>
      <c r="H1456" s="28"/>
      <c r="I1456" s="14" t="s">
        <v>145</v>
      </c>
      <c r="J1456" s="14" t="s">
        <v>11044</v>
      </c>
      <c r="K1456" s="26"/>
      <c r="L1456" s="27"/>
      <c r="M1456" s="20">
        <v>44378</v>
      </c>
      <c r="N1456" s="18"/>
      <c r="O1456" s="14" t="s">
        <v>329</v>
      </c>
      <c r="P1456" s="17" t="s">
        <v>11668</v>
      </c>
      <c r="Q1456" s="14" t="s">
        <v>2298</v>
      </c>
      <c r="R1456" s="14" t="s">
        <v>11669</v>
      </c>
      <c r="S1456" s="14" t="s">
        <v>11670</v>
      </c>
      <c r="T1456" s="18"/>
      <c r="U1456" s="18"/>
      <c r="V1456" s="18"/>
    </row>
    <row r="1457" spans="1:22" x14ac:dyDescent="0.25">
      <c r="A1457" s="14" t="s">
        <v>141</v>
      </c>
      <c r="B1457" s="14" t="s">
        <v>11671</v>
      </c>
      <c r="C1457" s="14" t="s">
        <v>11672</v>
      </c>
      <c r="D1457" s="18"/>
      <c r="E1457" s="14">
        <v>2021</v>
      </c>
      <c r="F1457" s="18"/>
      <c r="G1457" s="18"/>
      <c r="H1457" s="14" t="s">
        <v>11673</v>
      </c>
      <c r="I1457" s="14" t="s">
        <v>145</v>
      </c>
      <c r="J1457" s="14" t="s">
        <v>11044</v>
      </c>
      <c r="K1457" s="14" t="s">
        <v>11674</v>
      </c>
      <c r="L1457" s="14" t="s">
        <v>11675</v>
      </c>
      <c r="M1457" s="14">
        <v>2021</v>
      </c>
      <c r="N1457" s="14">
        <v>9781450384582</v>
      </c>
      <c r="O1457" s="26"/>
      <c r="P1457" s="17" t="s">
        <v>11676</v>
      </c>
      <c r="Q1457" s="14" t="s">
        <v>2206</v>
      </c>
      <c r="R1457" s="14" t="s">
        <v>11677</v>
      </c>
      <c r="S1457" s="14" t="s">
        <v>11678</v>
      </c>
      <c r="T1457" s="18"/>
      <c r="U1457" s="18"/>
      <c r="V1457" s="14" t="s">
        <v>11679</v>
      </c>
    </row>
    <row r="1458" spans="1:22" x14ac:dyDescent="0.25">
      <c r="A1458" s="14" t="s">
        <v>141</v>
      </c>
      <c r="B1458" s="14" t="s">
        <v>2718</v>
      </c>
      <c r="C1458" s="14" t="s">
        <v>11680</v>
      </c>
      <c r="D1458" s="18"/>
      <c r="E1458" s="14">
        <v>2020</v>
      </c>
      <c r="F1458" s="18"/>
      <c r="G1458" s="18"/>
      <c r="H1458" s="14" t="s">
        <v>11481</v>
      </c>
      <c r="I1458" s="14" t="s">
        <v>145</v>
      </c>
      <c r="J1458" s="14" t="s">
        <v>11044</v>
      </c>
      <c r="K1458" s="14" t="s">
        <v>11681</v>
      </c>
      <c r="L1458" s="14" t="s">
        <v>11682</v>
      </c>
      <c r="M1458" s="14">
        <v>2020</v>
      </c>
      <c r="N1458" s="14">
        <v>9781450381246</v>
      </c>
      <c r="O1458" s="26"/>
      <c r="P1458" s="17" t="s">
        <v>11683</v>
      </c>
      <c r="Q1458" s="14" t="s">
        <v>2721</v>
      </c>
      <c r="R1458" s="14" t="s">
        <v>11684</v>
      </c>
      <c r="S1458" s="14" t="s">
        <v>11685</v>
      </c>
      <c r="T1458" s="18"/>
      <c r="U1458" s="18"/>
      <c r="V1458" s="14" t="s">
        <v>11686</v>
      </c>
    </row>
    <row r="1459" spans="1:22" x14ac:dyDescent="0.25">
      <c r="A1459" s="14" t="s">
        <v>141</v>
      </c>
      <c r="B1459" s="14" t="s">
        <v>6906</v>
      </c>
      <c r="C1459" s="14" t="s">
        <v>6907</v>
      </c>
      <c r="D1459" s="18"/>
      <c r="E1459" s="14">
        <v>2016</v>
      </c>
      <c r="F1459" s="18"/>
      <c r="G1459" s="18"/>
      <c r="H1459" s="14" t="s">
        <v>11687</v>
      </c>
      <c r="I1459" s="14" t="s">
        <v>145</v>
      </c>
      <c r="J1459" s="14" t="s">
        <v>11044</v>
      </c>
      <c r="K1459" s="14" t="s">
        <v>11688</v>
      </c>
      <c r="L1459" s="14" t="s">
        <v>11070</v>
      </c>
      <c r="M1459" s="14">
        <v>2016</v>
      </c>
      <c r="N1459" s="14">
        <v>9781450341653</v>
      </c>
      <c r="O1459" s="26"/>
      <c r="P1459" s="17" t="s">
        <v>11689</v>
      </c>
      <c r="Q1459" s="14" t="s">
        <v>6910</v>
      </c>
      <c r="R1459" s="14" t="s">
        <v>11690</v>
      </c>
      <c r="S1459" s="14" t="s">
        <v>11691</v>
      </c>
      <c r="T1459" s="18"/>
      <c r="U1459" s="18"/>
      <c r="V1459" s="14" t="s">
        <v>11692</v>
      </c>
    </row>
    <row r="1460" spans="1:22" x14ac:dyDescent="0.25">
      <c r="A1460" s="14" t="s">
        <v>141</v>
      </c>
      <c r="B1460" s="14" t="s">
        <v>1747</v>
      </c>
      <c r="C1460" s="14" t="s">
        <v>11693</v>
      </c>
      <c r="D1460" s="18"/>
      <c r="E1460" s="14">
        <v>2022</v>
      </c>
      <c r="F1460" s="18"/>
      <c r="G1460" s="18"/>
      <c r="H1460" s="14" t="s">
        <v>11694</v>
      </c>
      <c r="I1460" s="14" t="s">
        <v>145</v>
      </c>
      <c r="J1460" s="14" t="s">
        <v>11044</v>
      </c>
      <c r="K1460" s="14" t="s">
        <v>11319</v>
      </c>
      <c r="L1460" s="14" t="s">
        <v>11077</v>
      </c>
      <c r="M1460" s="14">
        <v>2022</v>
      </c>
      <c r="N1460" s="14">
        <v>9781450392754</v>
      </c>
      <c r="O1460" s="26"/>
      <c r="P1460" s="17" t="s">
        <v>11695</v>
      </c>
      <c r="Q1460" s="14" t="s">
        <v>1751</v>
      </c>
      <c r="R1460" s="14" t="s">
        <v>11696</v>
      </c>
      <c r="S1460" s="14" t="s">
        <v>11697</v>
      </c>
      <c r="T1460" s="18"/>
      <c r="U1460" s="18"/>
      <c r="V1460" s="14" t="s">
        <v>11323</v>
      </c>
    </row>
    <row r="1461" spans="1:22" x14ac:dyDescent="0.25">
      <c r="A1461" s="14" t="s">
        <v>141</v>
      </c>
      <c r="B1461" s="14" t="s">
        <v>11698</v>
      </c>
      <c r="C1461" s="14" t="s">
        <v>11699</v>
      </c>
      <c r="D1461" s="18"/>
      <c r="E1461" s="14">
        <v>2019</v>
      </c>
      <c r="F1461" s="18"/>
      <c r="G1461" s="18"/>
      <c r="H1461" s="14" t="s">
        <v>11700</v>
      </c>
      <c r="I1461" s="14" t="s">
        <v>11083</v>
      </c>
      <c r="J1461" s="14" t="s">
        <v>11147</v>
      </c>
      <c r="K1461" s="14" t="s">
        <v>11166</v>
      </c>
      <c r="L1461" s="27"/>
      <c r="M1461" s="14">
        <v>2019</v>
      </c>
      <c r="N1461" s="18"/>
      <c r="O1461" s="26"/>
      <c r="P1461" s="17" t="s">
        <v>11701</v>
      </c>
      <c r="Q1461" s="14" t="s">
        <v>11702</v>
      </c>
      <c r="R1461" s="14" t="s">
        <v>11703</v>
      </c>
      <c r="S1461" s="14" t="s">
        <v>11704</v>
      </c>
      <c r="T1461" s="18"/>
      <c r="U1461" s="18"/>
      <c r="V1461" s="14" t="s">
        <v>11170</v>
      </c>
    </row>
    <row r="1462" spans="1:22" x14ac:dyDescent="0.25">
      <c r="A1462" s="14" t="s">
        <v>141</v>
      </c>
      <c r="B1462" s="14" t="s">
        <v>2442</v>
      </c>
      <c r="C1462" s="14" t="s">
        <v>2443</v>
      </c>
      <c r="D1462" s="18"/>
      <c r="E1462" s="14">
        <v>2022</v>
      </c>
      <c r="F1462" s="18"/>
      <c r="G1462" s="18"/>
      <c r="H1462" s="14" t="s">
        <v>11562</v>
      </c>
      <c r="I1462" s="14" t="s">
        <v>145</v>
      </c>
      <c r="J1462" s="14" t="s">
        <v>11044</v>
      </c>
      <c r="K1462" s="14" t="s">
        <v>11705</v>
      </c>
      <c r="L1462" s="14" t="s">
        <v>11077</v>
      </c>
      <c r="M1462" s="14">
        <v>2022</v>
      </c>
      <c r="N1462" s="14">
        <v>9781450392242</v>
      </c>
      <c r="O1462" s="26"/>
      <c r="P1462" s="17" t="s">
        <v>11706</v>
      </c>
      <c r="Q1462" s="14" t="s">
        <v>6811</v>
      </c>
      <c r="R1462" s="14" t="s">
        <v>11707</v>
      </c>
      <c r="S1462" s="14" t="s">
        <v>11708</v>
      </c>
      <c r="T1462" s="18"/>
      <c r="U1462" s="18"/>
      <c r="V1462" s="14" t="s">
        <v>11709</v>
      </c>
    </row>
    <row r="1463" spans="1:22" x14ac:dyDescent="0.25">
      <c r="A1463" s="14" t="s">
        <v>141</v>
      </c>
      <c r="B1463" s="14" t="s">
        <v>11710</v>
      </c>
      <c r="C1463" s="14" t="s">
        <v>11711</v>
      </c>
      <c r="D1463" s="18"/>
      <c r="E1463" s="14">
        <v>2015</v>
      </c>
      <c r="F1463" s="18"/>
      <c r="G1463" s="18"/>
      <c r="H1463" s="14" t="s">
        <v>11712</v>
      </c>
      <c r="I1463" s="14" t="s">
        <v>145</v>
      </c>
      <c r="J1463" s="14" t="s">
        <v>11044</v>
      </c>
      <c r="K1463" s="14" t="s">
        <v>11713</v>
      </c>
      <c r="L1463" s="14" t="s">
        <v>11714</v>
      </c>
      <c r="M1463" s="14">
        <v>2015</v>
      </c>
      <c r="N1463" s="14">
        <v>9781450333177</v>
      </c>
      <c r="O1463" s="26"/>
      <c r="P1463" s="17" t="s">
        <v>11715</v>
      </c>
      <c r="Q1463" s="14" t="s">
        <v>11716</v>
      </c>
      <c r="R1463" s="14" t="s">
        <v>11717</v>
      </c>
      <c r="S1463" s="14" t="s">
        <v>11718</v>
      </c>
      <c r="T1463" s="18"/>
      <c r="U1463" s="18"/>
      <c r="V1463" s="14" t="s">
        <v>11719</v>
      </c>
    </row>
    <row r="1464" spans="1:22" x14ac:dyDescent="0.25">
      <c r="A1464" s="14" t="s">
        <v>141</v>
      </c>
      <c r="B1464" s="14" t="s">
        <v>6991</v>
      </c>
      <c r="C1464" s="14" t="s">
        <v>6992</v>
      </c>
      <c r="D1464" s="18"/>
      <c r="E1464" s="14">
        <v>2018</v>
      </c>
      <c r="F1464" s="18"/>
      <c r="G1464" s="18"/>
      <c r="H1464" s="14" t="s">
        <v>11720</v>
      </c>
      <c r="I1464" s="14" t="s">
        <v>145</v>
      </c>
      <c r="J1464" s="14" t="s">
        <v>11044</v>
      </c>
      <c r="K1464" s="14" t="s">
        <v>11721</v>
      </c>
      <c r="L1464" s="14" t="s">
        <v>11105</v>
      </c>
      <c r="M1464" s="14">
        <v>2018</v>
      </c>
      <c r="N1464" s="14">
        <v>9781450356596</v>
      </c>
      <c r="O1464" s="26"/>
      <c r="P1464" s="17" t="s">
        <v>11722</v>
      </c>
      <c r="Q1464" s="14" t="s">
        <v>11723</v>
      </c>
      <c r="R1464" s="14" t="s">
        <v>11724</v>
      </c>
      <c r="S1464" s="14" t="s">
        <v>11725</v>
      </c>
      <c r="T1464" s="18"/>
      <c r="U1464" s="18"/>
      <c r="V1464" s="14" t="s">
        <v>11726</v>
      </c>
    </row>
    <row r="1465" spans="1:22" x14ac:dyDescent="0.25">
      <c r="A1465" s="14" t="s">
        <v>141</v>
      </c>
      <c r="B1465" s="14" t="s">
        <v>11727</v>
      </c>
      <c r="C1465" s="14" t="s">
        <v>11728</v>
      </c>
      <c r="D1465" s="18"/>
      <c r="E1465" s="14">
        <v>2023</v>
      </c>
      <c r="F1465" s="18"/>
      <c r="G1465" s="18"/>
      <c r="H1465" s="28"/>
      <c r="I1465" s="14" t="s">
        <v>145</v>
      </c>
      <c r="J1465" s="14" t="s">
        <v>11044</v>
      </c>
      <c r="K1465" s="14" t="s">
        <v>11729</v>
      </c>
      <c r="L1465" s="14" t="s">
        <v>11559</v>
      </c>
      <c r="M1465" s="14">
        <v>2023</v>
      </c>
      <c r="N1465" s="14">
        <v>9781450394758</v>
      </c>
      <c r="O1465" s="26"/>
      <c r="P1465" s="17" t="s">
        <v>11730</v>
      </c>
      <c r="Q1465" s="14" t="s">
        <v>11731</v>
      </c>
      <c r="R1465" s="14" t="s">
        <v>11732</v>
      </c>
      <c r="S1465" s="18"/>
      <c r="T1465" s="18"/>
      <c r="U1465" s="18"/>
      <c r="V1465" s="14" t="s">
        <v>11733</v>
      </c>
    </row>
    <row r="1466" spans="1:22" x14ac:dyDescent="0.25">
      <c r="A1466" s="14" t="s">
        <v>141</v>
      </c>
      <c r="B1466" s="14" t="s">
        <v>11734</v>
      </c>
      <c r="C1466" s="14" t="s">
        <v>11735</v>
      </c>
      <c r="D1466" s="18"/>
      <c r="E1466" s="14">
        <v>2016</v>
      </c>
      <c r="F1466" s="18"/>
      <c r="G1466" s="18"/>
      <c r="H1466" s="28"/>
      <c r="I1466" s="14" t="s">
        <v>145</v>
      </c>
      <c r="J1466" s="14" t="s">
        <v>11044</v>
      </c>
      <c r="K1466" s="14" t="s">
        <v>11736</v>
      </c>
      <c r="L1466" s="14" t="s">
        <v>11737</v>
      </c>
      <c r="M1466" s="14">
        <v>2016</v>
      </c>
      <c r="N1466" s="14">
        <v>9781450347723</v>
      </c>
      <c r="O1466" s="26"/>
      <c r="P1466" s="17" t="s">
        <v>11738</v>
      </c>
      <c r="Q1466" s="14" t="s">
        <v>11739</v>
      </c>
      <c r="R1466" s="14" t="s">
        <v>11740</v>
      </c>
      <c r="S1466" s="14" t="s">
        <v>11741</v>
      </c>
      <c r="T1466" s="18"/>
      <c r="U1466" s="18"/>
      <c r="V1466" s="14" t="s">
        <v>11742</v>
      </c>
    </row>
    <row r="1467" spans="1:22" x14ac:dyDescent="0.25">
      <c r="A1467" s="14" t="s">
        <v>141</v>
      </c>
      <c r="B1467" s="14" t="s">
        <v>11743</v>
      </c>
      <c r="C1467" s="14" t="s">
        <v>11744</v>
      </c>
      <c r="D1467" s="18"/>
      <c r="E1467" s="14">
        <v>2022</v>
      </c>
      <c r="F1467" s="18"/>
      <c r="G1467" s="18"/>
      <c r="H1467" s="14" t="s">
        <v>11745</v>
      </c>
      <c r="I1467" s="14" t="s">
        <v>145</v>
      </c>
      <c r="J1467" s="14" t="s">
        <v>11044</v>
      </c>
      <c r="K1467" s="14" t="s">
        <v>11746</v>
      </c>
      <c r="L1467" s="14" t="s">
        <v>11747</v>
      </c>
      <c r="M1467" s="14">
        <v>2022</v>
      </c>
      <c r="N1467" s="14">
        <v>9781450397452</v>
      </c>
      <c r="O1467" s="26"/>
      <c r="P1467" s="17" t="s">
        <v>11748</v>
      </c>
      <c r="Q1467" s="14" t="s">
        <v>852</v>
      </c>
      <c r="R1467" s="14" t="s">
        <v>11749</v>
      </c>
      <c r="S1467" s="14" t="s">
        <v>11750</v>
      </c>
      <c r="T1467" s="18"/>
      <c r="U1467" s="18"/>
      <c r="V1467" s="14" t="s">
        <v>11751</v>
      </c>
    </row>
    <row r="1468" spans="1:22" x14ac:dyDescent="0.25">
      <c r="A1468" s="14" t="s">
        <v>141</v>
      </c>
      <c r="B1468" s="14" t="s">
        <v>11752</v>
      </c>
      <c r="C1468" s="14" t="s">
        <v>7391</v>
      </c>
      <c r="D1468" s="18"/>
      <c r="E1468" s="14">
        <v>2019</v>
      </c>
      <c r="F1468" s="18"/>
      <c r="G1468" s="18"/>
      <c r="H1468" s="14" t="s">
        <v>11753</v>
      </c>
      <c r="I1468" s="14" t="s">
        <v>11083</v>
      </c>
      <c r="J1468" s="14" t="s">
        <v>11147</v>
      </c>
      <c r="K1468" s="14" t="s">
        <v>11754</v>
      </c>
      <c r="L1468" s="27"/>
      <c r="M1468" s="14">
        <v>2019</v>
      </c>
      <c r="N1468" s="18"/>
      <c r="O1468" s="26"/>
      <c r="P1468" s="17" t="s">
        <v>11755</v>
      </c>
      <c r="Q1468" s="14" t="s">
        <v>7395</v>
      </c>
      <c r="R1468" s="14" t="s">
        <v>11756</v>
      </c>
      <c r="S1468" s="14" t="s">
        <v>11757</v>
      </c>
      <c r="T1468" s="18"/>
      <c r="U1468" s="18"/>
      <c r="V1468" s="14" t="s">
        <v>11758</v>
      </c>
    </row>
    <row r="1469" spans="1:22" x14ac:dyDescent="0.25">
      <c r="A1469" s="14" t="s">
        <v>141</v>
      </c>
      <c r="B1469" s="14" t="s">
        <v>5273</v>
      </c>
      <c r="C1469" s="14" t="s">
        <v>11759</v>
      </c>
      <c r="D1469" s="18"/>
      <c r="E1469" s="14">
        <v>2013</v>
      </c>
      <c r="F1469" s="18"/>
      <c r="G1469" s="18"/>
      <c r="H1469" s="14" t="s">
        <v>11760</v>
      </c>
      <c r="I1469" s="14" t="s">
        <v>11083</v>
      </c>
      <c r="J1469" s="14" t="s">
        <v>11761</v>
      </c>
      <c r="K1469" s="14" t="s">
        <v>11762</v>
      </c>
      <c r="L1469" s="27"/>
      <c r="M1469" s="14">
        <v>2013</v>
      </c>
      <c r="N1469" s="14">
        <v>9781467364430</v>
      </c>
      <c r="O1469" s="26"/>
      <c r="P1469" s="26"/>
      <c r="Q1469" s="26"/>
      <c r="R1469" s="14" t="s">
        <v>11763</v>
      </c>
      <c r="S1469" s="18"/>
      <c r="T1469" s="18"/>
      <c r="U1469" s="18"/>
      <c r="V1469" s="14" t="s">
        <v>11764</v>
      </c>
    </row>
    <row r="1470" spans="1:22" x14ac:dyDescent="0.25">
      <c r="A1470" s="14" t="s">
        <v>141</v>
      </c>
      <c r="B1470" s="14" t="s">
        <v>11765</v>
      </c>
      <c r="C1470" s="14" t="s">
        <v>11766</v>
      </c>
      <c r="D1470" s="18"/>
      <c r="E1470" s="14">
        <v>2016</v>
      </c>
      <c r="F1470" s="18"/>
      <c r="G1470" s="18"/>
      <c r="H1470" s="14" t="s">
        <v>11767</v>
      </c>
      <c r="I1470" s="14" t="s">
        <v>145</v>
      </c>
      <c r="J1470" s="14" t="s">
        <v>11044</v>
      </c>
      <c r="K1470" s="14" t="s">
        <v>11768</v>
      </c>
      <c r="L1470" s="14" t="s">
        <v>11769</v>
      </c>
      <c r="M1470" s="14">
        <v>2016</v>
      </c>
      <c r="N1470" s="14">
        <v>9781450342186</v>
      </c>
      <c r="O1470" s="26"/>
      <c r="P1470" s="17" t="s">
        <v>11770</v>
      </c>
      <c r="Q1470" s="14" t="s">
        <v>11771</v>
      </c>
      <c r="R1470" s="14" t="s">
        <v>11772</v>
      </c>
      <c r="S1470" s="14" t="s">
        <v>11773</v>
      </c>
      <c r="T1470" s="18"/>
      <c r="U1470" s="18"/>
      <c r="V1470" s="14" t="s">
        <v>11774</v>
      </c>
    </row>
    <row r="1471" spans="1:22" x14ac:dyDescent="0.25">
      <c r="A1471" s="14" t="s">
        <v>141</v>
      </c>
      <c r="B1471" s="14" t="s">
        <v>7521</v>
      </c>
      <c r="C1471" s="14" t="s">
        <v>7522</v>
      </c>
      <c r="D1471" s="18"/>
      <c r="E1471" s="14">
        <v>2021</v>
      </c>
      <c r="F1471" s="18"/>
      <c r="G1471" s="18"/>
      <c r="H1471" s="14" t="s">
        <v>11775</v>
      </c>
      <c r="I1471" s="14" t="s">
        <v>11083</v>
      </c>
      <c r="J1471" s="14" t="s">
        <v>11084</v>
      </c>
      <c r="K1471" s="14" t="s">
        <v>11085</v>
      </c>
      <c r="L1471" s="27"/>
      <c r="M1471" s="14">
        <v>2021</v>
      </c>
      <c r="N1471" s="14">
        <v>9781450390859</v>
      </c>
      <c r="O1471" s="26"/>
      <c r="P1471" s="17" t="s">
        <v>11776</v>
      </c>
      <c r="Q1471" s="14" t="s">
        <v>7525</v>
      </c>
      <c r="R1471" s="14" t="s">
        <v>11777</v>
      </c>
      <c r="S1471" s="14" t="s">
        <v>11778</v>
      </c>
      <c r="T1471" s="18"/>
      <c r="U1471" s="18"/>
      <c r="V1471" s="14" t="s">
        <v>11089</v>
      </c>
    </row>
    <row r="1472" spans="1:22" x14ac:dyDescent="0.25">
      <c r="A1472" s="14" t="s">
        <v>141</v>
      </c>
      <c r="B1472" s="14" t="s">
        <v>4575</v>
      </c>
      <c r="C1472" s="14" t="s">
        <v>4576</v>
      </c>
      <c r="D1472" s="18"/>
      <c r="E1472" s="14">
        <v>2020</v>
      </c>
      <c r="F1472" s="18"/>
      <c r="G1472" s="18"/>
      <c r="H1472" s="14" t="s">
        <v>11779</v>
      </c>
      <c r="I1472" s="14" t="s">
        <v>145</v>
      </c>
      <c r="J1472" s="14" t="s">
        <v>11044</v>
      </c>
      <c r="K1472" s="14" t="s">
        <v>11524</v>
      </c>
      <c r="L1472" s="14" t="s">
        <v>11157</v>
      </c>
      <c r="M1472" s="14">
        <v>2020</v>
      </c>
      <c r="N1472" s="14">
        <v>9781450375177</v>
      </c>
      <c r="O1472" s="26"/>
      <c r="P1472" s="17" t="s">
        <v>11780</v>
      </c>
      <c r="Q1472" s="14" t="s">
        <v>4579</v>
      </c>
      <c r="R1472" s="14" t="s">
        <v>11781</v>
      </c>
      <c r="S1472" s="14" t="s">
        <v>11782</v>
      </c>
      <c r="T1472" s="18"/>
      <c r="U1472" s="18"/>
      <c r="V1472" s="14" t="s">
        <v>11527</v>
      </c>
    </row>
    <row r="1473" spans="1:22" x14ac:dyDescent="0.25">
      <c r="A1473" s="14" t="s">
        <v>141</v>
      </c>
      <c r="B1473" s="14" t="s">
        <v>1095</v>
      </c>
      <c r="C1473" s="14" t="s">
        <v>4193</v>
      </c>
      <c r="D1473" s="18"/>
      <c r="E1473" s="14">
        <v>2020</v>
      </c>
      <c r="F1473" s="18"/>
      <c r="G1473" s="18"/>
      <c r="H1473" s="14" t="s">
        <v>11783</v>
      </c>
      <c r="I1473" s="14" t="s">
        <v>145</v>
      </c>
      <c r="J1473" s="14" t="s">
        <v>11044</v>
      </c>
      <c r="K1473" s="14" t="s">
        <v>11524</v>
      </c>
      <c r="L1473" s="14" t="s">
        <v>11157</v>
      </c>
      <c r="M1473" s="14">
        <v>2020</v>
      </c>
      <c r="N1473" s="14">
        <v>9781450375177</v>
      </c>
      <c r="O1473" s="26"/>
      <c r="P1473" s="17" t="s">
        <v>11784</v>
      </c>
      <c r="Q1473" s="14" t="s">
        <v>4196</v>
      </c>
      <c r="R1473" s="14" t="s">
        <v>11785</v>
      </c>
      <c r="S1473" s="14" t="s">
        <v>11786</v>
      </c>
      <c r="T1473" s="18"/>
      <c r="U1473" s="18"/>
      <c r="V1473" s="14" t="s">
        <v>11527</v>
      </c>
    </row>
    <row r="1474" spans="1:22" x14ac:dyDescent="0.25">
      <c r="A1474" s="14" t="s">
        <v>141</v>
      </c>
      <c r="B1474" s="14" t="s">
        <v>6829</v>
      </c>
      <c r="C1474" s="14" t="s">
        <v>11787</v>
      </c>
      <c r="D1474" s="18"/>
      <c r="E1474" s="14">
        <v>2022</v>
      </c>
      <c r="F1474" s="18"/>
      <c r="G1474" s="18"/>
      <c r="H1474" s="14" t="s">
        <v>11788</v>
      </c>
      <c r="I1474" s="14" t="s">
        <v>145</v>
      </c>
      <c r="J1474" s="14" t="s">
        <v>11044</v>
      </c>
      <c r="K1474" s="14" t="s">
        <v>11445</v>
      </c>
      <c r="L1474" s="14" t="s">
        <v>11077</v>
      </c>
      <c r="M1474" s="14">
        <v>2022</v>
      </c>
      <c r="N1474" s="14">
        <v>9781450392266</v>
      </c>
      <c r="O1474" s="26"/>
      <c r="P1474" s="17" t="s">
        <v>11789</v>
      </c>
      <c r="Q1474" s="14" t="s">
        <v>6833</v>
      </c>
      <c r="R1474" s="14" t="s">
        <v>6834</v>
      </c>
      <c r="S1474" s="14" t="s">
        <v>11790</v>
      </c>
      <c r="T1474" s="18"/>
      <c r="U1474" s="18"/>
      <c r="V1474" s="14" t="s">
        <v>11449</v>
      </c>
    </row>
    <row r="1475" spans="1:22" x14ac:dyDescent="0.25">
      <c r="A1475" s="14" t="s">
        <v>141</v>
      </c>
      <c r="B1475" s="14" t="s">
        <v>11791</v>
      </c>
      <c r="C1475" s="14" t="s">
        <v>11792</v>
      </c>
      <c r="D1475" s="18"/>
      <c r="E1475" s="14">
        <v>2021</v>
      </c>
      <c r="F1475" s="18"/>
      <c r="G1475" s="18"/>
      <c r="H1475" s="14" t="s">
        <v>11793</v>
      </c>
      <c r="I1475" s="14" t="s">
        <v>145</v>
      </c>
      <c r="J1475" s="14" t="s">
        <v>11044</v>
      </c>
      <c r="K1475" s="14" t="s">
        <v>11653</v>
      </c>
      <c r="L1475" s="14" t="s">
        <v>11654</v>
      </c>
      <c r="M1475" s="14">
        <v>2021</v>
      </c>
      <c r="N1475" s="14">
        <v>9781450386586</v>
      </c>
      <c r="O1475" s="26"/>
      <c r="P1475" s="17" t="s">
        <v>11794</v>
      </c>
      <c r="Q1475" s="14" t="s">
        <v>11795</v>
      </c>
      <c r="R1475" s="14" t="s">
        <v>11796</v>
      </c>
      <c r="S1475" s="14" t="s">
        <v>11797</v>
      </c>
      <c r="T1475" s="18"/>
      <c r="U1475" s="18"/>
      <c r="V1475" s="14" t="s">
        <v>11659</v>
      </c>
    </row>
    <row r="1476" spans="1:22" x14ac:dyDescent="0.25">
      <c r="A1476" s="14" t="s">
        <v>141</v>
      </c>
      <c r="B1476" s="14" t="s">
        <v>11798</v>
      </c>
      <c r="C1476" s="14" t="s">
        <v>11799</v>
      </c>
      <c r="D1476" s="18"/>
      <c r="E1476" s="14">
        <v>2020</v>
      </c>
      <c r="F1476" s="18"/>
      <c r="G1476" s="18"/>
      <c r="H1476" s="14" t="s">
        <v>11800</v>
      </c>
      <c r="I1476" s="14" t="s">
        <v>145</v>
      </c>
      <c r="J1476" s="14" t="s">
        <v>11044</v>
      </c>
      <c r="K1476" s="14" t="s">
        <v>11801</v>
      </c>
      <c r="L1476" s="14" t="s">
        <v>11157</v>
      </c>
      <c r="M1476" s="14">
        <v>2020</v>
      </c>
      <c r="N1476" s="14">
        <v>9781450370936</v>
      </c>
      <c r="O1476" s="26"/>
      <c r="P1476" s="17" t="s">
        <v>11802</v>
      </c>
      <c r="Q1476" s="14" t="s">
        <v>11803</v>
      </c>
      <c r="R1476" s="14" t="s">
        <v>11804</v>
      </c>
      <c r="S1476" s="14" t="s">
        <v>11805</v>
      </c>
      <c r="T1476" s="18"/>
      <c r="U1476" s="18"/>
      <c r="V1476" s="14" t="s">
        <v>11806</v>
      </c>
    </row>
    <row r="1477" spans="1:22" x14ac:dyDescent="0.25">
      <c r="A1477" s="14" t="s">
        <v>141</v>
      </c>
      <c r="B1477" s="14" t="s">
        <v>11807</v>
      </c>
      <c r="C1477" s="14" t="s">
        <v>11808</v>
      </c>
      <c r="D1477" s="18"/>
      <c r="E1477" s="14">
        <v>2021</v>
      </c>
      <c r="F1477" s="18"/>
      <c r="G1477" s="18"/>
      <c r="H1477" s="14" t="s">
        <v>11809</v>
      </c>
      <c r="I1477" s="14" t="s">
        <v>145</v>
      </c>
      <c r="J1477" s="14" t="s">
        <v>11044</v>
      </c>
      <c r="K1477" s="14" t="s">
        <v>11810</v>
      </c>
      <c r="L1477" s="14" t="s">
        <v>11483</v>
      </c>
      <c r="M1477" s="14">
        <v>2021</v>
      </c>
      <c r="N1477" s="14">
        <v>9781450385626</v>
      </c>
      <c r="O1477" s="26"/>
      <c r="P1477" s="17" t="s">
        <v>11811</v>
      </c>
      <c r="Q1477" s="14" t="s">
        <v>11812</v>
      </c>
      <c r="R1477" s="14" t="s">
        <v>11813</v>
      </c>
      <c r="S1477" s="14" t="s">
        <v>11814</v>
      </c>
      <c r="T1477" s="18"/>
      <c r="U1477" s="18"/>
      <c r="V1477" s="14" t="s">
        <v>11815</v>
      </c>
    </row>
    <row r="1478" spans="1:22" x14ac:dyDescent="0.25">
      <c r="A1478" s="14" t="s">
        <v>141</v>
      </c>
      <c r="B1478" s="14" t="s">
        <v>7854</v>
      </c>
      <c r="C1478" s="14" t="s">
        <v>7855</v>
      </c>
      <c r="D1478" s="18"/>
      <c r="E1478" s="14">
        <v>2018</v>
      </c>
      <c r="F1478" s="18"/>
      <c r="G1478" s="18"/>
      <c r="H1478" s="14" t="s">
        <v>11816</v>
      </c>
      <c r="I1478" s="14" t="s">
        <v>145</v>
      </c>
      <c r="J1478" s="14" t="s">
        <v>11044</v>
      </c>
      <c r="K1478" s="14" t="s">
        <v>11817</v>
      </c>
      <c r="L1478" s="14" t="s">
        <v>11105</v>
      </c>
      <c r="M1478" s="14">
        <v>2018</v>
      </c>
      <c r="N1478" s="14">
        <v>9781450357371</v>
      </c>
      <c r="O1478" s="26"/>
      <c r="P1478" s="17" t="s">
        <v>11818</v>
      </c>
      <c r="Q1478" s="14" t="s">
        <v>11819</v>
      </c>
      <c r="R1478" s="14" t="s">
        <v>7857</v>
      </c>
      <c r="S1478" s="14" t="s">
        <v>11820</v>
      </c>
      <c r="T1478" s="18"/>
      <c r="U1478" s="18"/>
      <c r="V1478" s="14" t="s">
        <v>11821</v>
      </c>
    </row>
    <row r="1479" spans="1:22" x14ac:dyDescent="0.25">
      <c r="A1479" s="14" t="s">
        <v>141</v>
      </c>
      <c r="B1479" s="14" t="s">
        <v>2386</v>
      </c>
      <c r="C1479" s="14" t="s">
        <v>11822</v>
      </c>
      <c r="D1479" s="18"/>
      <c r="E1479" s="14">
        <v>2022</v>
      </c>
      <c r="F1479" s="18"/>
      <c r="G1479" s="18"/>
      <c r="H1479" s="14" t="s">
        <v>11823</v>
      </c>
      <c r="I1479" s="14" t="s">
        <v>145</v>
      </c>
      <c r="J1479" s="14" t="s">
        <v>11044</v>
      </c>
      <c r="K1479" s="14" t="s">
        <v>11319</v>
      </c>
      <c r="L1479" s="14" t="s">
        <v>11077</v>
      </c>
      <c r="M1479" s="14">
        <v>2022</v>
      </c>
      <c r="N1479" s="14">
        <v>9781450392754</v>
      </c>
      <c r="O1479" s="26"/>
      <c r="P1479" s="17" t="s">
        <v>11824</v>
      </c>
      <c r="Q1479" s="14" t="s">
        <v>2390</v>
      </c>
      <c r="R1479" s="14" t="s">
        <v>11825</v>
      </c>
      <c r="S1479" s="18"/>
      <c r="T1479" s="18"/>
      <c r="U1479" s="18"/>
      <c r="V1479" s="14" t="s">
        <v>11323</v>
      </c>
    </row>
    <row r="1480" spans="1:22" x14ac:dyDescent="0.25">
      <c r="A1480" s="14" t="s">
        <v>13</v>
      </c>
      <c r="B1480" s="14" t="s">
        <v>11826</v>
      </c>
      <c r="C1480" s="14" t="s">
        <v>11827</v>
      </c>
      <c r="D1480" s="14" t="s">
        <v>11061</v>
      </c>
      <c r="E1480" s="14">
        <v>2019</v>
      </c>
      <c r="F1480" s="14">
        <v>43</v>
      </c>
      <c r="G1480" s="14">
        <v>4</v>
      </c>
      <c r="H1480" s="14" t="s">
        <v>11828</v>
      </c>
      <c r="I1480" s="14" t="s">
        <v>145</v>
      </c>
      <c r="J1480" s="14" t="s">
        <v>11044</v>
      </c>
      <c r="K1480" s="26"/>
      <c r="L1480" s="27"/>
      <c r="M1480" s="20">
        <v>43466</v>
      </c>
      <c r="N1480" s="18"/>
      <c r="O1480" s="14" t="s">
        <v>11063</v>
      </c>
      <c r="P1480" s="17" t="s">
        <v>11829</v>
      </c>
      <c r="Q1480" s="14" t="s">
        <v>11830</v>
      </c>
      <c r="R1480" s="14" t="s">
        <v>11831</v>
      </c>
      <c r="S1480" s="14" t="s">
        <v>11832</v>
      </c>
      <c r="T1480" s="18"/>
      <c r="U1480" s="18"/>
      <c r="V1480" s="18"/>
    </row>
    <row r="1481" spans="1:22" x14ac:dyDescent="0.25">
      <c r="A1481" s="14" t="s">
        <v>141</v>
      </c>
      <c r="B1481" s="14" t="s">
        <v>7089</v>
      </c>
      <c r="C1481" s="14" t="s">
        <v>7090</v>
      </c>
      <c r="D1481" s="18"/>
      <c r="E1481" s="14">
        <v>2019</v>
      </c>
      <c r="F1481" s="18"/>
      <c r="G1481" s="18"/>
      <c r="H1481" s="14" t="s">
        <v>11250</v>
      </c>
      <c r="I1481" s="14" t="s">
        <v>11083</v>
      </c>
      <c r="J1481" s="14" t="s">
        <v>11147</v>
      </c>
      <c r="K1481" s="14" t="s">
        <v>11452</v>
      </c>
      <c r="L1481" s="27"/>
      <c r="M1481" s="14">
        <v>2019</v>
      </c>
      <c r="N1481" s="18"/>
      <c r="O1481" s="26"/>
      <c r="P1481" s="17" t="s">
        <v>11833</v>
      </c>
      <c r="Q1481" s="14" t="s">
        <v>7093</v>
      </c>
      <c r="R1481" s="14" t="s">
        <v>11834</v>
      </c>
      <c r="S1481" s="14" t="s">
        <v>11835</v>
      </c>
      <c r="T1481" s="18"/>
      <c r="U1481" s="18"/>
      <c r="V1481" s="14" t="s">
        <v>11836</v>
      </c>
    </row>
    <row r="1482" spans="1:22" x14ac:dyDescent="0.25">
      <c r="A1482" s="14" t="s">
        <v>141</v>
      </c>
      <c r="B1482" s="14" t="s">
        <v>7296</v>
      </c>
      <c r="C1482" s="14" t="s">
        <v>1664</v>
      </c>
      <c r="D1482" s="18"/>
      <c r="E1482" s="14">
        <v>2022</v>
      </c>
      <c r="F1482" s="18"/>
      <c r="G1482" s="18"/>
      <c r="H1482" s="14" t="s">
        <v>11837</v>
      </c>
      <c r="I1482" s="14" t="s">
        <v>145</v>
      </c>
      <c r="J1482" s="14" t="s">
        <v>11044</v>
      </c>
      <c r="K1482" s="14" t="s">
        <v>11319</v>
      </c>
      <c r="L1482" s="14" t="s">
        <v>11077</v>
      </c>
      <c r="M1482" s="14">
        <v>2022</v>
      </c>
      <c r="N1482" s="14">
        <v>9781450392754</v>
      </c>
      <c r="O1482" s="26"/>
      <c r="P1482" s="17" t="s">
        <v>11838</v>
      </c>
      <c r="Q1482" s="14" t="s">
        <v>1667</v>
      </c>
      <c r="R1482" s="14" t="s">
        <v>7299</v>
      </c>
      <c r="S1482" s="18"/>
      <c r="T1482" s="18"/>
      <c r="U1482" s="18"/>
      <c r="V1482" s="14" t="s">
        <v>11323</v>
      </c>
    </row>
    <row r="1483" spans="1:22" x14ac:dyDescent="0.25">
      <c r="A1483" s="14" t="s">
        <v>141</v>
      </c>
      <c r="B1483" s="14" t="s">
        <v>7070</v>
      </c>
      <c r="C1483" s="14" t="s">
        <v>11839</v>
      </c>
      <c r="D1483" s="18"/>
      <c r="E1483" s="14">
        <v>2022</v>
      </c>
      <c r="F1483" s="18"/>
      <c r="G1483" s="18"/>
      <c r="H1483" s="14" t="s">
        <v>11840</v>
      </c>
      <c r="I1483" s="14" t="s">
        <v>145</v>
      </c>
      <c r="J1483" s="14" t="s">
        <v>11044</v>
      </c>
      <c r="K1483" s="14" t="s">
        <v>11265</v>
      </c>
      <c r="L1483" s="14" t="s">
        <v>11266</v>
      </c>
      <c r="M1483" s="14">
        <v>2022</v>
      </c>
      <c r="N1483" s="14">
        <v>9781450392983</v>
      </c>
      <c r="O1483" s="26"/>
      <c r="P1483" s="17" t="s">
        <v>11841</v>
      </c>
      <c r="Q1483" s="14" t="s">
        <v>7074</v>
      </c>
      <c r="R1483" s="14" t="s">
        <v>7075</v>
      </c>
      <c r="S1483" s="14" t="s">
        <v>11842</v>
      </c>
      <c r="T1483" s="18"/>
      <c r="U1483" s="18"/>
      <c r="V1483" s="14" t="s">
        <v>11270</v>
      </c>
    </row>
    <row r="1484" spans="1:22" x14ac:dyDescent="0.25">
      <c r="A1484" s="14" t="s">
        <v>141</v>
      </c>
      <c r="B1484" s="14" t="s">
        <v>5750</v>
      </c>
      <c r="C1484" s="14" t="s">
        <v>6874</v>
      </c>
      <c r="D1484" s="18"/>
      <c r="E1484" s="14">
        <v>2018</v>
      </c>
      <c r="F1484" s="18"/>
      <c r="G1484" s="18"/>
      <c r="H1484" s="14" t="s">
        <v>11843</v>
      </c>
      <c r="I1484" s="14" t="s">
        <v>145</v>
      </c>
      <c r="J1484" s="14" t="s">
        <v>11044</v>
      </c>
      <c r="K1484" s="14" t="s">
        <v>11844</v>
      </c>
      <c r="L1484" s="14" t="s">
        <v>11105</v>
      </c>
      <c r="M1484" s="14">
        <v>2018</v>
      </c>
      <c r="N1484" s="14">
        <v>9781450357401</v>
      </c>
      <c r="O1484" s="26"/>
      <c r="P1484" s="17" t="s">
        <v>11845</v>
      </c>
      <c r="Q1484" s="14" t="s">
        <v>5754</v>
      </c>
      <c r="R1484" s="14" t="s">
        <v>11846</v>
      </c>
      <c r="S1484" s="14" t="s">
        <v>11847</v>
      </c>
      <c r="T1484" s="18"/>
      <c r="U1484" s="18"/>
      <c r="V1484" s="14" t="s">
        <v>11848</v>
      </c>
    </row>
    <row r="1485" spans="1:22" x14ac:dyDescent="0.25">
      <c r="A1485" s="14" t="s">
        <v>141</v>
      </c>
      <c r="B1485" s="14" t="s">
        <v>11849</v>
      </c>
      <c r="C1485" s="14" t="s">
        <v>11850</v>
      </c>
      <c r="D1485" s="18"/>
      <c r="E1485" s="14">
        <v>2019</v>
      </c>
      <c r="F1485" s="18"/>
      <c r="G1485" s="18"/>
      <c r="H1485" s="14" t="s">
        <v>11851</v>
      </c>
      <c r="I1485" s="14" t="s">
        <v>11083</v>
      </c>
      <c r="J1485" s="14" t="s">
        <v>11147</v>
      </c>
      <c r="K1485" s="14" t="s">
        <v>11852</v>
      </c>
      <c r="L1485" s="27"/>
      <c r="M1485" s="14">
        <v>2019</v>
      </c>
      <c r="N1485" s="18"/>
      <c r="O1485" s="26"/>
      <c r="P1485" s="17" t="s">
        <v>11853</v>
      </c>
      <c r="Q1485" s="14" t="s">
        <v>4354</v>
      </c>
      <c r="R1485" s="14" t="s">
        <v>6807</v>
      </c>
      <c r="S1485" s="18"/>
      <c r="T1485" s="18"/>
      <c r="U1485" s="18"/>
      <c r="V1485" s="14" t="s">
        <v>11854</v>
      </c>
    </row>
    <row r="1486" spans="1:22" x14ac:dyDescent="0.25">
      <c r="A1486" s="14" t="s">
        <v>141</v>
      </c>
      <c r="B1486" s="14" t="s">
        <v>5737</v>
      </c>
      <c r="C1486" s="14" t="s">
        <v>7498</v>
      </c>
      <c r="D1486" s="18"/>
      <c r="E1486" s="14">
        <v>2018</v>
      </c>
      <c r="F1486" s="18"/>
      <c r="G1486" s="18"/>
      <c r="H1486" s="14" t="s">
        <v>11855</v>
      </c>
      <c r="I1486" s="14" t="s">
        <v>145</v>
      </c>
      <c r="J1486" s="14" t="s">
        <v>11044</v>
      </c>
      <c r="K1486" s="14" t="s">
        <v>11281</v>
      </c>
      <c r="L1486" s="14" t="s">
        <v>11105</v>
      </c>
      <c r="M1486" s="14">
        <v>2018</v>
      </c>
      <c r="N1486" s="14">
        <v>9781450357166</v>
      </c>
      <c r="O1486" s="26"/>
      <c r="P1486" s="17" t="s">
        <v>11856</v>
      </c>
      <c r="Q1486" s="14" t="s">
        <v>5741</v>
      </c>
      <c r="R1486" s="14" t="s">
        <v>7500</v>
      </c>
      <c r="S1486" s="18"/>
      <c r="T1486" s="18"/>
      <c r="U1486" s="18"/>
      <c r="V1486" s="14" t="s">
        <v>11283</v>
      </c>
    </row>
    <row r="1487" spans="1:22" x14ac:dyDescent="0.25">
      <c r="A1487" s="14" t="s">
        <v>141</v>
      </c>
      <c r="B1487" s="14" t="s">
        <v>11857</v>
      </c>
      <c r="C1487" s="14" t="s">
        <v>11858</v>
      </c>
      <c r="D1487" s="18"/>
      <c r="E1487" s="14">
        <v>2019</v>
      </c>
      <c r="F1487" s="18"/>
      <c r="G1487" s="18"/>
      <c r="H1487" s="14" t="s">
        <v>11155</v>
      </c>
      <c r="I1487" s="14" t="s">
        <v>145</v>
      </c>
      <c r="J1487" s="14" t="s">
        <v>11044</v>
      </c>
      <c r="K1487" s="14" t="s">
        <v>11859</v>
      </c>
      <c r="L1487" s="14" t="s">
        <v>11483</v>
      </c>
      <c r="M1487" s="14">
        <v>2019</v>
      </c>
      <c r="N1487" s="14">
        <v>9781450369855</v>
      </c>
      <c r="O1487" s="26"/>
      <c r="P1487" s="17" t="s">
        <v>11860</v>
      </c>
      <c r="Q1487" s="14" t="s">
        <v>11861</v>
      </c>
      <c r="R1487" s="14" t="s">
        <v>11862</v>
      </c>
      <c r="S1487" s="14" t="s">
        <v>11863</v>
      </c>
      <c r="T1487" s="18"/>
      <c r="U1487" s="18"/>
      <c r="V1487" s="14" t="s">
        <v>11864</v>
      </c>
    </row>
    <row r="1488" spans="1:22" x14ac:dyDescent="0.25">
      <c r="A1488" s="14" t="s">
        <v>141</v>
      </c>
      <c r="B1488" s="14" t="s">
        <v>11865</v>
      </c>
      <c r="C1488" s="14" t="s">
        <v>11866</v>
      </c>
      <c r="D1488" s="18"/>
      <c r="E1488" s="14">
        <v>2021</v>
      </c>
      <c r="F1488" s="18"/>
      <c r="G1488" s="18"/>
      <c r="H1488" s="14">
        <v>25</v>
      </c>
      <c r="I1488" s="14" t="s">
        <v>145</v>
      </c>
      <c r="J1488" s="14" t="s">
        <v>11044</v>
      </c>
      <c r="K1488" s="14" t="s">
        <v>11653</v>
      </c>
      <c r="L1488" s="14" t="s">
        <v>11654</v>
      </c>
      <c r="M1488" s="14">
        <v>2021</v>
      </c>
      <c r="N1488" s="14">
        <v>9781450386586</v>
      </c>
      <c r="O1488" s="26"/>
      <c r="P1488" s="17" t="s">
        <v>11867</v>
      </c>
      <c r="Q1488" s="14" t="s">
        <v>11868</v>
      </c>
      <c r="R1488" s="14" t="s">
        <v>11869</v>
      </c>
      <c r="S1488" s="14" t="s">
        <v>11870</v>
      </c>
      <c r="T1488" s="18"/>
      <c r="U1488" s="18"/>
      <c r="V1488" s="14" t="s">
        <v>11659</v>
      </c>
    </row>
    <row r="1489" spans="1:22" x14ac:dyDescent="0.25">
      <c r="A1489" s="14" t="s">
        <v>141</v>
      </c>
      <c r="B1489" s="14" t="s">
        <v>398</v>
      </c>
      <c r="C1489" s="14" t="s">
        <v>399</v>
      </c>
      <c r="D1489" s="18"/>
      <c r="E1489" s="14">
        <v>2022</v>
      </c>
      <c r="F1489" s="18"/>
      <c r="G1489" s="18"/>
      <c r="H1489" s="14" t="s">
        <v>11871</v>
      </c>
      <c r="I1489" s="14" t="s">
        <v>145</v>
      </c>
      <c r="J1489" s="14" t="s">
        <v>11044</v>
      </c>
      <c r="K1489" s="14" t="s">
        <v>11872</v>
      </c>
      <c r="L1489" s="14" t="s">
        <v>11873</v>
      </c>
      <c r="M1489" s="14">
        <v>2022</v>
      </c>
      <c r="N1489" s="14">
        <v>9781450393850</v>
      </c>
      <c r="O1489" s="26"/>
      <c r="P1489" s="17" t="s">
        <v>11874</v>
      </c>
      <c r="Q1489" s="14" t="s">
        <v>402</v>
      </c>
      <c r="R1489" s="14" t="s">
        <v>11875</v>
      </c>
      <c r="S1489" s="14" t="s">
        <v>11876</v>
      </c>
      <c r="T1489" s="18"/>
      <c r="U1489" s="18"/>
      <c r="V1489" s="14" t="s">
        <v>11877</v>
      </c>
    </row>
    <row r="1490" spans="1:22" x14ac:dyDescent="0.25">
      <c r="A1490" s="14" t="s">
        <v>141</v>
      </c>
      <c r="B1490" s="14" t="s">
        <v>1981</v>
      </c>
      <c r="C1490" s="14" t="s">
        <v>11878</v>
      </c>
      <c r="D1490" s="18"/>
      <c r="E1490" s="14">
        <v>2022</v>
      </c>
      <c r="F1490" s="18"/>
      <c r="G1490" s="18"/>
      <c r="H1490" s="14" t="s">
        <v>11879</v>
      </c>
      <c r="I1490" s="14" t="s">
        <v>145</v>
      </c>
      <c r="J1490" s="14" t="s">
        <v>11044</v>
      </c>
      <c r="K1490" s="14" t="s">
        <v>11326</v>
      </c>
      <c r="L1490" s="14" t="s">
        <v>11077</v>
      </c>
      <c r="M1490" s="14">
        <v>2022</v>
      </c>
      <c r="N1490" s="14">
        <v>9781450393034</v>
      </c>
      <c r="O1490" s="26"/>
      <c r="P1490" s="17" t="s">
        <v>11880</v>
      </c>
      <c r="Q1490" s="14" t="s">
        <v>1985</v>
      </c>
      <c r="R1490" s="14" t="s">
        <v>11881</v>
      </c>
      <c r="S1490" s="14" t="s">
        <v>11882</v>
      </c>
      <c r="T1490" s="18"/>
      <c r="U1490" s="18"/>
      <c r="V1490" s="14" t="s">
        <v>11329</v>
      </c>
    </row>
    <row r="1491" spans="1:22" x14ac:dyDescent="0.25">
      <c r="A1491" s="14" t="s">
        <v>141</v>
      </c>
      <c r="B1491" s="14" t="s">
        <v>2630</v>
      </c>
      <c r="C1491" s="14" t="s">
        <v>2631</v>
      </c>
      <c r="D1491" s="18"/>
      <c r="E1491" s="14">
        <v>2022</v>
      </c>
      <c r="F1491" s="18"/>
      <c r="G1491" s="18"/>
      <c r="H1491" s="14" t="s">
        <v>11883</v>
      </c>
      <c r="I1491" s="14" t="s">
        <v>145</v>
      </c>
      <c r="J1491" s="14" t="s">
        <v>11044</v>
      </c>
      <c r="K1491" s="14" t="s">
        <v>11884</v>
      </c>
      <c r="L1491" s="14" t="s">
        <v>11077</v>
      </c>
      <c r="M1491" s="14">
        <v>2022</v>
      </c>
      <c r="N1491" s="14">
        <v>9781450392211</v>
      </c>
      <c r="O1491" s="26"/>
      <c r="P1491" s="17" t="s">
        <v>11885</v>
      </c>
      <c r="Q1491" s="14" t="s">
        <v>2634</v>
      </c>
      <c r="R1491" s="14" t="s">
        <v>11886</v>
      </c>
      <c r="S1491" s="14" t="s">
        <v>11887</v>
      </c>
      <c r="T1491" s="18"/>
      <c r="U1491" s="18"/>
      <c r="V1491" s="14" t="s">
        <v>11634</v>
      </c>
    </row>
    <row r="1492" spans="1:22" x14ac:dyDescent="0.25">
      <c r="A1492" s="14" t="s">
        <v>141</v>
      </c>
      <c r="B1492" s="14" t="s">
        <v>5829</v>
      </c>
      <c r="C1492" s="14" t="s">
        <v>5830</v>
      </c>
      <c r="D1492" s="18"/>
      <c r="E1492" s="14">
        <v>2017</v>
      </c>
      <c r="F1492" s="18"/>
      <c r="G1492" s="18"/>
      <c r="H1492" s="14" t="s">
        <v>11888</v>
      </c>
      <c r="I1492" s="14" t="s">
        <v>11083</v>
      </c>
      <c r="J1492" s="14" t="s">
        <v>11606</v>
      </c>
      <c r="K1492" s="14" t="s">
        <v>11607</v>
      </c>
      <c r="L1492" s="27"/>
      <c r="M1492" s="14">
        <v>2017</v>
      </c>
      <c r="N1492" s="14">
        <v>9781509040391</v>
      </c>
      <c r="O1492" s="26"/>
      <c r="P1492" s="17" t="s">
        <v>11889</v>
      </c>
      <c r="Q1492" s="14" t="s">
        <v>5833</v>
      </c>
      <c r="R1492" s="14" t="s">
        <v>7584</v>
      </c>
      <c r="S1492" s="14" t="s">
        <v>11890</v>
      </c>
      <c r="T1492" s="18"/>
      <c r="U1492" s="18"/>
      <c r="V1492" s="14" t="s">
        <v>11610</v>
      </c>
    </row>
    <row r="1493" spans="1:22" x14ac:dyDescent="0.25">
      <c r="A1493" s="14" t="s">
        <v>141</v>
      </c>
      <c r="B1493" s="14" t="s">
        <v>11891</v>
      </c>
      <c r="C1493" s="14" t="s">
        <v>11892</v>
      </c>
      <c r="D1493" s="18"/>
      <c r="E1493" s="14">
        <v>2020</v>
      </c>
      <c r="F1493" s="18"/>
      <c r="G1493" s="18"/>
      <c r="H1493" s="14" t="s">
        <v>11893</v>
      </c>
      <c r="I1493" s="14" t="s">
        <v>145</v>
      </c>
      <c r="J1493" s="14" t="s">
        <v>11044</v>
      </c>
      <c r="K1493" s="14" t="s">
        <v>11894</v>
      </c>
      <c r="L1493" s="14" t="s">
        <v>11157</v>
      </c>
      <c r="M1493" s="14">
        <v>2020</v>
      </c>
      <c r="N1493" s="14">
        <v>9781450379588</v>
      </c>
      <c r="O1493" s="26"/>
      <c r="P1493" s="17" t="s">
        <v>11895</v>
      </c>
      <c r="Q1493" s="14" t="s">
        <v>11896</v>
      </c>
      <c r="R1493" s="14" t="s">
        <v>11897</v>
      </c>
      <c r="S1493" s="14" t="s">
        <v>11898</v>
      </c>
      <c r="T1493" s="18"/>
      <c r="U1493" s="18"/>
      <c r="V1493" s="14" t="s">
        <v>11899</v>
      </c>
    </row>
    <row r="1494" spans="1:22" x14ac:dyDescent="0.25">
      <c r="A1494" s="14" t="s">
        <v>141</v>
      </c>
      <c r="B1494" s="14" t="s">
        <v>11900</v>
      </c>
      <c r="C1494" s="14" t="s">
        <v>11901</v>
      </c>
      <c r="D1494" s="18"/>
      <c r="E1494" s="14">
        <v>2022</v>
      </c>
      <c r="F1494" s="18"/>
      <c r="G1494" s="18"/>
      <c r="H1494" s="28"/>
      <c r="I1494" s="14" t="s">
        <v>145</v>
      </c>
      <c r="J1494" s="14" t="s">
        <v>11044</v>
      </c>
      <c r="K1494" s="14" t="s">
        <v>11902</v>
      </c>
      <c r="L1494" s="14" t="s">
        <v>11903</v>
      </c>
      <c r="M1494" s="14">
        <v>2022</v>
      </c>
      <c r="N1494" s="14">
        <v>9781450396189</v>
      </c>
      <c r="O1494" s="26"/>
      <c r="P1494" s="17" t="s">
        <v>11904</v>
      </c>
      <c r="Q1494" s="14" t="s">
        <v>11905</v>
      </c>
      <c r="R1494" s="14" t="s">
        <v>11906</v>
      </c>
      <c r="S1494" s="14" t="s">
        <v>11907</v>
      </c>
      <c r="T1494" s="18"/>
      <c r="U1494" s="18"/>
      <c r="V1494" s="14" t="s">
        <v>11908</v>
      </c>
    </row>
    <row r="1495" spans="1:22" x14ac:dyDescent="0.25">
      <c r="A1495" s="14" t="s">
        <v>141</v>
      </c>
      <c r="B1495" s="14" t="s">
        <v>7628</v>
      </c>
      <c r="C1495" s="14" t="s">
        <v>11909</v>
      </c>
      <c r="D1495" s="18"/>
      <c r="E1495" s="14">
        <v>2019</v>
      </c>
      <c r="F1495" s="18"/>
      <c r="G1495" s="18"/>
      <c r="H1495" s="14" t="s">
        <v>11910</v>
      </c>
      <c r="I1495" s="14" t="s">
        <v>11083</v>
      </c>
      <c r="J1495" s="14" t="s">
        <v>11147</v>
      </c>
      <c r="K1495" s="14" t="s">
        <v>11911</v>
      </c>
      <c r="L1495" s="27"/>
      <c r="M1495" s="14">
        <v>2019</v>
      </c>
      <c r="N1495" s="18"/>
      <c r="O1495" s="26"/>
      <c r="P1495" s="17" t="s">
        <v>11912</v>
      </c>
      <c r="Q1495" s="14" t="s">
        <v>7633</v>
      </c>
      <c r="R1495" s="14" t="s">
        <v>7634</v>
      </c>
      <c r="S1495" s="14" t="s">
        <v>11913</v>
      </c>
      <c r="T1495" s="18"/>
      <c r="U1495" s="18"/>
      <c r="V1495" s="14" t="s">
        <v>11914</v>
      </c>
    </row>
    <row r="1496" spans="1:22" x14ac:dyDescent="0.25">
      <c r="A1496" s="14" t="s">
        <v>13</v>
      </c>
      <c r="B1496" s="14" t="s">
        <v>11915</v>
      </c>
      <c r="C1496" s="14" t="s">
        <v>11916</v>
      </c>
      <c r="D1496" s="14" t="s">
        <v>11246</v>
      </c>
      <c r="E1496" s="14">
        <v>2022</v>
      </c>
      <c r="F1496" s="14">
        <v>31</v>
      </c>
      <c r="G1496" s="14">
        <v>3</v>
      </c>
      <c r="H1496" s="28"/>
      <c r="I1496" s="14" t="s">
        <v>145</v>
      </c>
      <c r="J1496" s="14" t="s">
        <v>11044</v>
      </c>
      <c r="K1496" s="26"/>
      <c r="L1496" s="27"/>
      <c r="M1496" s="20">
        <v>44621</v>
      </c>
      <c r="N1496" s="18"/>
      <c r="O1496" s="14" t="s">
        <v>329</v>
      </c>
      <c r="P1496" s="17" t="s">
        <v>11917</v>
      </c>
      <c r="Q1496" s="14" t="s">
        <v>11918</v>
      </c>
      <c r="R1496" s="14" t="s">
        <v>11919</v>
      </c>
      <c r="S1496" s="14" t="s">
        <v>11920</v>
      </c>
      <c r="T1496" s="18"/>
      <c r="U1496" s="18"/>
      <c r="V1496" s="18"/>
    </row>
    <row r="1497" spans="1:22" x14ac:dyDescent="0.25">
      <c r="A1497" s="14" t="s">
        <v>13</v>
      </c>
      <c r="B1497" s="14" t="s">
        <v>11921</v>
      </c>
      <c r="C1497" s="14" t="s">
        <v>11922</v>
      </c>
      <c r="D1497" s="14" t="s">
        <v>11061</v>
      </c>
      <c r="E1497" s="14">
        <v>2020</v>
      </c>
      <c r="F1497" s="14">
        <v>45</v>
      </c>
      <c r="G1497" s="14">
        <v>1</v>
      </c>
      <c r="H1497" s="14" t="s">
        <v>11923</v>
      </c>
      <c r="I1497" s="14" t="s">
        <v>145</v>
      </c>
      <c r="J1497" s="14" t="s">
        <v>11044</v>
      </c>
      <c r="K1497" s="26"/>
      <c r="L1497" s="27"/>
      <c r="M1497" s="20">
        <v>43831</v>
      </c>
      <c r="N1497" s="18"/>
      <c r="O1497" s="14" t="s">
        <v>11063</v>
      </c>
      <c r="P1497" s="17" t="s">
        <v>11924</v>
      </c>
      <c r="Q1497" s="14" t="s">
        <v>11925</v>
      </c>
      <c r="R1497" s="14" t="s">
        <v>11926</v>
      </c>
      <c r="S1497" s="18"/>
      <c r="T1497" s="18"/>
      <c r="U1497" s="18"/>
      <c r="V1497" s="18"/>
    </row>
    <row r="1498" spans="1:22" x14ac:dyDescent="0.25">
      <c r="A1498" s="14" t="s">
        <v>141</v>
      </c>
      <c r="B1498" s="14" t="s">
        <v>11927</v>
      </c>
      <c r="C1498" s="14" t="s">
        <v>11928</v>
      </c>
      <c r="D1498" s="18"/>
      <c r="E1498" s="14">
        <v>2018</v>
      </c>
      <c r="F1498" s="18"/>
      <c r="G1498" s="18"/>
      <c r="H1498" s="14" t="s">
        <v>11929</v>
      </c>
      <c r="I1498" s="14" t="s">
        <v>145</v>
      </c>
      <c r="J1498" s="14" t="s">
        <v>11044</v>
      </c>
      <c r="K1498" s="14" t="s">
        <v>11930</v>
      </c>
      <c r="L1498" s="14" t="s">
        <v>11931</v>
      </c>
      <c r="M1498" s="14">
        <v>2018</v>
      </c>
      <c r="N1498" s="14">
        <v>9781450355735</v>
      </c>
      <c r="O1498" s="26"/>
      <c r="P1498" s="17" t="s">
        <v>11932</v>
      </c>
      <c r="Q1498" s="14" t="s">
        <v>11933</v>
      </c>
      <c r="R1498" s="14" t="s">
        <v>11934</v>
      </c>
      <c r="S1498" s="14" t="s">
        <v>11935</v>
      </c>
      <c r="T1498" s="18"/>
      <c r="U1498" s="18"/>
      <c r="V1498" s="14" t="s">
        <v>11936</v>
      </c>
    </row>
    <row r="1499" spans="1:22" x14ac:dyDescent="0.25">
      <c r="A1499" s="14" t="s">
        <v>141</v>
      </c>
      <c r="B1499" s="14" t="s">
        <v>6842</v>
      </c>
      <c r="C1499" s="14" t="s">
        <v>11937</v>
      </c>
      <c r="D1499" s="18"/>
      <c r="E1499" s="14">
        <v>2021</v>
      </c>
      <c r="F1499" s="18"/>
      <c r="G1499" s="18"/>
      <c r="H1499" s="14" t="s">
        <v>11938</v>
      </c>
      <c r="I1499" s="14" t="s">
        <v>145</v>
      </c>
      <c r="J1499" s="14" t="s">
        <v>11044</v>
      </c>
      <c r="K1499" s="14" t="s">
        <v>11578</v>
      </c>
      <c r="L1499" s="14" t="s">
        <v>11579</v>
      </c>
      <c r="M1499" s="14">
        <v>2021</v>
      </c>
      <c r="N1499" s="14">
        <v>9781450367684</v>
      </c>
      <c r="O1499" s="26"/>
      <c r="P1499" s="17" t="s">
        <v>11939</v>
      </c>
      <c r="Q1499" s="14" t="s">
        <v>11940</v>
      </c>
      <c r="R1499" s="14" t="s">
        <v>11941</v>
      </c>
      <c r="S1499" s="14" t="s">
        <v>11942</v>
      </c>
      <c r="T1499" s="18"/>
      <c r="U1499" s="18"/>
      <c r="V1499" s="14" t="s">
        <v>11583</v>
      </c>
    </row>
    <row r="1500" spans="1:22" x14ac:dyDescent="0.25">
      <c r="A1500" s="14" t="s">
        <v>141</v>
      </c>
      <c r="B1500" s="14" t="s">
        <v>6842</v>
      </c>
      <c r="C1500" s="14" t="s">
        <v>7685</v>
      </c>
      <c r="D1500" s="18"/>
      <c r="E1500" s="14">
        <v>2020</v>
      </c>
      <c r="F1500" s="18"/>
      <c r="G1500" s="18"/>
      <c r="H1500" s="14" t="s">
        <v>11943</v>
      </c>
      <c r="I1500" s="14" t="s">
        <v>11083</v>
      </c>
      <c r="J1500" s="14" t="s">
        <v>11944</v>
      </c>
      <c r="K1500" s="14" t="s">
        <v>11945</v>
      </c>
      <c r="L1500" s="27"/>
      <c r="M1500" s="14">
        <v>2020</v>
      </c>
      <c r="N1500" s="14">
        <v>9781728125084</v>
      </c>
      <c r="O1500" s="26"/>
      <c r="P1500" s="17" t="s">
        <v>11946</v>
      </c>
      <c r="Q1500" s="14" t="s">
        <v>5018</v>
      </c>
      <c r="R1500" s="14" t="s">
        <v>7689</v>
      </c>
      <c r="S1500" s="18"/>
      <c r="T1500" s="18"/>
      <c r="U1500" s="18"/>
      <c r="V1500" s="14" t="s">
        <v>11947</v>
      </c>
    </row>
    <row r="1501" spans="1:22" x14ac:dyDescent="0.25">
      <c r="A1501" s="14" t="s">
        <v>141</v>
      </c>
      <c r="B1501" s="14" t="s">
        <v>2016</v>
      </c>
      <c r="C1501" s="14" t="s">
        <v>11948</v>
      </c>
      <c r="D1501" s="18"/>
      <c r="E1501" s="14">
        <v>2021</v>
      </c>
      <c r="F1501" s="18"/>
      <c r="G1501" s="18"/>
      <c r="H1501" s="14" t="s">
        <v>11949</v>
      </c>
      <c r="I1501" s="14" t="s">
        <v>145</v>
      </c>
      <c r="J1501" s="14" t="s">
        <v>11044</v>
      </c>
      <c r="K1501" s="14" t="s">
        <v>11053</v>
      </c>
      <c r="L1501" s="14" t="s">
        <v>11054</v>
      </c>
      <c r="M1501" s="14">
        <v>2021</v>
      </c>
      <c r="N1501" s="14">
        <v>9781450390538</v>
      </c>
      <c r="O1501" s="26"/>
      <c r="P1501" s="17" t="s">
        <v>11950</v>
      </c>
      <c r="Q1501" s="14" t="s">
        <v>2020</v>
      </c>
      <c r="R1501" s="14" t="s">
        <v>11951</v>
      </c>
      <c r="S1501" s="14" t="s">
        <v>11952</v>
      </c>
      <c r="T1501" s="18"/>
      <c r="U1501" s="18"/>
      <c r="V1501" s="14" t="s">
        <v>11058</v>
      </c>
    </row>
    <row r="1502" spans="1:22" x14ac:dyDescent="0.25">
      <c r="A1502" s="14" t="s">
        <v>141</v>
      </c>
      <c r="B1502" s="14" t="s">
        <v>11953</v>
      </c>
      <c r="C1502" s="14" t="s">
        <v>11954</v>
      </c>
      <c r="D1502" s="18"/>
      <c r="E1502" s="14">
        <v>2015</v>
      </c>
      <c r="F1502" s="18"/>
      <c r="G1502" s="18"/>
      <c r="H1502" s="14" t="s">
        <v>11955</v>
      </c>
      <c r="I1502" s="14" t="s">
        <v>11083</v>
      </c>
      <c r="J1502" s="14" t="s">
        <v>11956</v>
      </c>
      <c r="K1502" s="14" t="s">
        <v>11957</v>
      </c>
      <c r="L1502" s="27"/>
      <c r="M1502" s="14">
        <v>2015</v>
      </c>
      <c r="N1502" s="18"/>
      <c r="O1502" s="26"/>
      <c r="P1502" s="26"/>
      <c r="Q1502" s="26"/>
      <c r="R1502" s="14" t="s">
        <v>11958</v>
      </c>
      <c r="S1502" s="18"/>
      <c r="T1502" s="18"/>
      <c r="U1502" s="18"/>
      <c r="V1502" s="14" t="s">
        <v>11959</v>
      </c>
    </row>
    <row r="1503" spans="1:22" x14ac:dyDescent="0.25">
      <c r="A1503" s="14" t="s">
        <v>141</v>
      </c>
      <c r="B1503" s="14" t="s">
        <v>6796</v>
      </c>
      <c r="C1503" s="14" t="s">
        <v>6797</v>
      </c>
      <c r="D1503" s="18"/>
      <c r="E1503" s="14">
        <v>2022</v>
      </c>
      <c r="F1503" s="18"/>
      <c r="G1503" s="18"/>
      <c r="H1503" s="14" t="s">
        <v>11960</v>
      </c>
      <c r="I1503" s="14" t="s">
        <v>145</v>
      </c>
      <c r="J1503" s="14" t="s">
        <v>11044</v>
      </c>
      <c r="K1503" s="14" t="s">
        <v>11445</v>
      </c>
      <c r="L1503" s="14" t="s">
        <v>11077</v>
      </c>
      <c r="M1503" s="14">
        <v>2022</v>
      </c>
      <c r="N1503" s="14">
        <v>9781450392266</v>
      </c>
      <c r="O1503" s="26"/>
      <c r="P1503" s="17" t="s">
        <v>11961</v>
      </c>
      <c r="Q1503" s="14" t="s">
        <v>6800</v>
      </c>
      <c r="R1503" s="14" t="s">
        <v>6801</v>
      </c>
      <c r="S1503" s="14" t="s">
        <v>11962</v>
      </c>
      <c r="T1503" s="18"/>
      <c r="U1503" s="18"/>
      <c r="V1503" s="14" t="s">
        <v>11449</v>
      </c>
    </row>
    <row r="1504" spans="1:22" x14ac:dyDescent="0.25">
      <c r="A1504" s="14" t="s">
        <v>141</v>
      </c>
      <c r="B1504" s="14" t="s">
        <v>836</v>
      </c>
      <c r="C1504" s="14" t="s">
        <v>837</v>
      </c>
      <c r="D1504" s="18"/>
      <c r="E1504" s="14">
        <v>2022</v>
      </c>
      <c r="F1504" s="18"/>
      <c r="G1504" s="18"/>
      <c r="H1504" s="14" t="s">
        <v>11963</v>
      </c>
      <c r="I1504" s="14" t="s">
        <v>145</v>
      </c>
      <c r="J1504" s="14" t="s">
        <v>11044</v>
      </c>
      <c r="K1504" s="14" t="s">
        <v>11964</v>
      </c>
      <c r="L1504" s="14" t="s">
        <v>11965</v>
      </c>
      <c r="M1504" s="14">
        <v>2022</v>
      </c>
      <c r="N1504" s="14">
        <v>9781450397803</v>
      </c>
      <c r="O1504" s="26"/>
      <c r="P1504" s="17" t="s">
        <v>11966</v>
      </c>
      <c r="Q1504" s="14" t="s">
        <v>840</v>
      </c>
      <c r="R1504" s="14" t="s">
        <v>11967</v>
      </c>
      <c r="S1504" s="14" t="s">
        <v>11968</v>
      </c>
      <c r="T1504" s="18"/>
      <c r="U1504" s="18"/>
      <c r="V1504" s="14" t="s">
        <v>11969</v>
      </c>
    </row>
    <row r="1505" spans="1:22" x14ac:dyDescent="0.25">
      <c r="A1505" s="14" t="s">
        <v>141</v>
      </c>
      <c r="B1505" s="14" t="s">
        <v>11970</v>
      </c>
      <c r="C1505" s="14" t="s">
        <v>11971</v>
      </c>
      <c r="D1505" s="18"/>
      <c r="E1505" s="14">
        <v>2017</v>
      </c>
      <c r="F1505" s="18"/>
      <c r="G1505" s="18"/>
      <c r="H1505" s="28"/>
      <c r="I1505" s="14" t="s">
        <v>11972</v>
      </c>
      <c r="J1505" s="14" t="s">
        <v>11973</v>
      </c>
      <c r="K1505" s="14" t="s">
        <v>11974</v>
      </c>
      <c r="L1505" s="14" t="s">
        <v>11975</v>
      </c>
      <c r="M1505" s="14">
        <v>2017</v>
      </c>
      <c r="N1505" s="14">
        <v>9781941652060</v>
      </c>
      <c r="O1505" s="26"/>
      <c r="P1505" s="26"/>
      <c r="Q1505" s="26"/>
      <c r="R1505" s="14" t="s">
        <v>11976</v>
      </c>
      <c r="S1505" s="14" t="s">
        <v>11977</v>
      </c>
      <c r="T1505" s="18"/>
      <c r="U1505" s="18"/>
      <c r="V1505" s="14" t="s">
        <v>11978</v>
      </c>
    </row>
    <row r="1506" spans="1:22" x14ac:dyDescent="0.25">
      <c r="A1506" s="14" t="s">
        <v>141</v>
      </c>
      <c r="B1506" s="14" t="s">
        <v>7576</v>
      </c>
      <c r="C1506" s="14" t="s">
        <v>7577</v>
      </c>
      <c r="D1506" s="18"/>
      <c r="E1506" s="14">
        <v>2022</v>
      </c>
      <c r="F1506" s="18"/>
      <c r="G1506" s="18"/>
      <c r="H1506" s="14" t="s">
        <v>11979</v>
      </c>
      <c r="I1506" s="14" t="s">
        <v>145</v>
      </c>
      <c r="J1506" s="14" t="s">
        <v>11044</v>
      </c>
      <c r="K1506" s="14" t="s">
        <v>11319</v>
      </c>
      <c r="L1506" s="14" t="s">
        <v>11077</v>
      </c>
      <c r="M1506" s="14">
        <v>2022</v>
      </c>
      <c r="N1506" s="14">
        <v>9781450392754</v>
      </c>
      <c r="O1506" s="26"/>
      <c r="P1506" s="17" t="s">
        <v>11980</v>
      </c>
      <c r="Q1506" s="14" t="s">
        <v>7579</v>
      </c>
      <c r="R1506" s="14" t="s">
        <v>7580</v>
      </c>
      <c r="S1506" s="14" t="s">
        <v>11981</v>
      </c>
      <c r="T1506" s="18"/>
      <c r="U1506" s="18"/>
      <c r="V1506" s="14" t="s">
        <v>11323</v>
      </c>
    </row>
    <row r="1507" spans="1:22" x14ac:dyDescent="0.25">
      <c r="A1507" s="14" t="s">
        <v>141</v>
      </c>
      <c r="B1507" s="14" t="s">
        <v>11982</v>
      </c>
      <c r="C1507" s="14" t="s">
        <v>11983</v>
      </c>
      <c r="D1507" s="18"/>
      <c r="E1507" s="14">
        <v>2018</v>
      </c>
      <c r="F1507" s="18"/>
      <c r="G1507" s="18"/>
      <c r="H1507" s="14" t="s">
        <v>11984</v>
      </c>
      <c r="I1507" s="14" t="s">
        <v>145</v>
      </c>
      <c r="J1507" s="14" t="s">
        <v>11044</v>
      </c>
      <c r="K1507" s="14" t="s">
        <v>11930</v>
      </c>
      <c r="L1507" s="14" t="s">
        <v>11931</v>
      </c>
      <c r="M1507" s="14">
        <v>2018</v>
      </c>
      <c r="N1507" s="14">
        <v>9781450355735</v>
      </c>
      <c r="O1507" s="26"/>
      <c r="P1507" s="17" t="s">
        <v>11985</v>
      </c>
      <c r="Q1507" s="14" t="s">
        <v>11986</v>
      </c>
      <c r="R1507" s="14" t="s">
        <v>11987</v>
      </c>
      <c r="S1507" s="14" t="s">
        <v>11988</v>
      </c>
      <c r="T1507" s="18"/>
      <c r="U1507" s="18"/>
      <c r="V1507" s="14" t="s">
        <v>11936</v>
      </c>
    </row>
    <row r="1508" spans="1:22" x14ac:dyDescent="0.25">
      <c r="A1508" s="14" t="s">
        <v>141</v>
      </c>
      <c r="B1508" s="14" t="s">
        <v>11989</v>
      </c>
      <c r="C1508" s="14" t="s">
        <v>11990</v>
      </c>
      <c r="D1508" s="18"/>
      <c r="E1508" s="14">
        <v>2019</v>
      </c>
      <c r="F1508" s="18"/>
      <c r="G1508" s="18"/>
      <c r="H1508" s="14" t="s">
        <v>11991</v>
      </c>
      <c r="I1508" s="14" t="s">
        <v>145</v>
      </c>
      <c r="J1508" s="14" t="s">
        <v>11044</v>
      </c>
      <c r="K1508" s="14" t="s">
        <v>11622</v>
      </c>
      <c r="L1508" s="14" t="s">
        <v>11623</v>
      </c>
      <c r="M1508" s="14">
        <v>2019</v>
      </c>
      <c r="N1508" s="14">
        <v>9781450368285</v>
      </c>
      <c r="O1508" s="26"/>
      <c r="P1508" s="17" t="s">
        <v>11992</v>
      </c>
      <c r="Q1508" s="14" t="s">
        <v>11993</v>
      </c>
      <c r="R1508" s="14" t="s">
        <v>11994</v>
      </c>
      <c r="S1508" s="14" t="s">
        <v>11995</v>
      </c>
      <c r="T1508" s="18"/>
      <c r="U1508" s="18"/>
      <c r="V1508" s="14" t="s">
        <v>11628</v>
      </c>
    </row>
    <row r="1509" spans="1:22" x14ac:dyDescent="0.25">
      <c r="A1509" s="14" t="s">
        <v>141</v>
      </c>
      <c r="B1509" s="14" t="s">
        <v>7307</v>
      </c>
      <c r="C1509" s="14" t="s">
        <v>7308</v>
      </c>
      <c r="D1509" s="18"/>
      <c r="E1509" s="14">
        <v>2016</v>
      </c>
      <c r="F1509" s="18"/>
      <c r="G1509" s="18"/>
      <c r="H1509" s="14" t="s">
        <v>11996</v>
      </c>
      <c r="I1509" s="14" t="s">
        <v>145</v>
      </c>
      <c r="J1509" s="14" t="s">
        <v>11044</v>
      </c>
      <c r="K1509" s="14" t="s">
        <v>11997</v>
      </c>
      <c r="L1509" s="14" t="s">
        <v>11070</v>
      </c>
      <c r="M1509" s="14">
        <v>2016</v>
      </c>
      <c r="N1509" s="14">
        <v>9781450341578</v>
      </c>
      <c r="O1509" s="26"/>
      <c r="P1509" s="17" t="s">
        <v>11998</v>
      </c>
      <c r="Q1509" s="14" t="s">
        <v>7312</v>
      </c>
      <c r="R1509" s="14" t="s">
        <v>7313</v>
      </c>
      <c r="S1509" s="14" t="s">
        <v>11999</v>
      </c>
      <c r="T1509" s="18"/>
      <c r="U1509" s="18"/>
      <c r="V1509" s="14" t="s">
        <v>12000</v>
      </c>
    </row>
    <row r="1510" spans="1:22" x14ac:dyDescent="0.25">
      <c r="A1510" s="14" t="s">
        <v>141</v>
      </c>
      <c r="B1510" s="14" t="s">
        <v>12001</v>
      </c>
      <c r="C1510" s="14" t="s">
        <v>12002</v>
      </c>
      <c r="D1510" s="18"/>
      <c r="E1510" s="14">
        <v>2021</v>
      </c>
      <c r="F1510" s="18"/>
      <c r="G1510" s="18"/>
      <c r="H1510" s="14" t="s">
        <v>12003</v>
      </c>
      <c r="I1510" s="14" t="s">
        <v>145</v>
      </c>
      <c r="J1510" s="14" t="s">
        <v>11044</v>
      </c>
      <c r="K1510" s="14" t="s">
        <v>12004</v>
      </c>
      <c r="L1510" s="14" t="s">
        <v>12005</v>
      </c>
      <c r="M1510" s="14">
        <v>2021</v>
      </c>
      <c r="N1510" s="14">
        <v>9781450385428</v>
      </c>
      <c r="O1510" s="26"/>
      <c r="P1510" s="17" t="s">
        <v>12006</v>
      </c>
      <c r="Q1510" s="14" t="s">
        <v>12007</v>
      </c>
      <c r="R1510" s="14" t="s">
        <v>12008</v>
      </c>
      <c r="S1510" s="14" t="s">
        <v>12009</v>
      </c>
      <c r="T1510" s="18"/>
      <c r="U1510" s="18"/>
      <c r="V1510" s="14" t="s">
        <v>12010</v>
      </c>
    </row>
    <row r="1511" spans="1:22" x14ac:dyDescent="0.25">
      <c r="A1511" s="14" t="s">
        <v>141</v>
      </c>
      <c r="B1511" s="14" t="s">
        <v>7345</v>
      </c>
      <c r="C1511" s="14" t="s">
        <v>7346</v>
      </c>
      <c r="D1511" s="18"/>
      <c r="E1511" s="14">
        <v>2016</v>
      </c>
      <c r="F1511" s="18"/>
      <c r="G1511" s="18"/>
      <c r="H1511" s="14" t="s">
        <v>12011</v>
      </c>
      <c r="I1511" s="14" t="s">
        <v>145</v>
      </c>
      <c r="J1511" s="14" t="s">
        <v>11044</v>
      </c>
      <c r="K1511" s="14" t="s">
        <v>12012</v>
      </c>
      <c r="L1511" s="14" t="s">
        <v>11070</v>
      </c>
      <c r="M1511" s="14">
        <v>2016</v>
      </c>
      <c r="N1511" s="14">
        <v>9781450342056</v>
      </c>
      <c r="O1511" s="26"/>
      <c r="P1511" s="17" t="s">
        <v>12013</v>
      </c>
      <c r="Q1511" s="14" t="s">
        <v>12014</v>
      </c>
      <c r="R1511" s="14" t="s">
        <v>12015</v>
      </c>
      <c r="S1511" s="18"/>
      <c r="T1511" s="18"/>
      <c r="U1511" s="18"/>
      <c r="V1511" s="14" t="s">
        <v>12016</v>
      </c>
    </row>
    <row r="1512" spans="1:22" x14ac:dyDescent="0.25">
      <c r="A1512" s="14" t="s">
        <v>141</v>
      </c>
      <c r="B1512" s="14" t="s">
        <v>12017</v>
      </c>
      <c r="C1512" s="14" t="s">
        <v>12018</v>
      </c>
      <c r="D1512" s="18"/>
      <c r="E1512" s="14">
        <v>2021</v>
      </c>
      <c r="F1512" s="18"/>
      <c r="G1512" s="18"/>
      <c r="H1512" s="14" t="s">
        <v>11425</v>
      </c>
      <c r="I1512" s="14" t="s">
        <v>145</v>
      </c>
      <c r="J1512" s="14" t="s">
        <v>11044</v>
      </c>
      <c r="K1512" s="14" t="s">
        <v>11482</v>
      </c>
      <c r="L1512" s="14" t="s">
        <v>11483</v>
      </c>
      <c r="M1512" s="14">
        <v>2021</v>
      </c>
      <c r="N1512" s="14">
        <v>9781450386258</v>
      </c>
      <c r="O1512" s="26"/>
      <c r="P1512" s="17" t="s">
        <v>12019</v>
      </c>
      <c r="Q1512" s="14" t="s">
        <v>12020</v>
      </c>
      <c r="R1512" s="14" t="s">
        <v>12021</v>
      </c>
      <c r="S1512" s="14" t="s">
        <v>12022</v>
      </c>
      <c r="T1512" s="18"/>
      <c r="U1512" s="18"/>
      <c r="V1512" s="14" t="s">
        <v>11487</v>
      </c>
    </row>
    <row r="1513" spans="1:22" x14ac:dyDescent="0.25">
      <c r="A1513" s="14" t="s">
        <v>141</v>
      </c>
      <c r="B1513" s="14" t="s">
        <v>7301</v>
      </c>
      <c r="C1513" s="14" t="s">
        <v>7302</v>
      </c>
      <c r="D1513" s="18"/>
      <c r="E1513" s="14">
        <v>2018</v>
      </c>
      <c r="F1513" s="18"/>
      <c r="G1513" s="18"/>
      <c r="H1513" s="14" t="s">
        <v>12023</v>
      </c>
      <c r="I1513" s="14" t="s">
        <v>145</v>
      </c>
      <c r="J1513" s="14" t="s">
        <v>11044</v>
      </c>
      <c r="K1513" s="14" t="s">
        <v>12024</v>
      </c>
      <c r="L1513" s="14" t="s">
        <v>11105</v>
      </c>
      <c r="M1513" s="14">
        <v>2018</v>
      </c>
      <c r="N1513" s="14">
        <v>9781450357128</v>
      </c>
      <c r="O1513" s="26"/>
      <c r="P1513" s="17" t="s">
        <v>12025</v>
      </c>
      <c r="Q1513" s="14" t="s">
        <v>12026</v>
      </c>
      <c r="R1513" s="14" t="s">
        <v>7305</v>
      </c>
      <c r="S1513" s="14" t="s">
        <v>12027</v>
      </c>
      <c r="T1513" s="18"/>
      <c r="U1513" s="18"/>
      <c r="V1513" s="14" t="s">
        <v>12028</v>
      </c>
    </row>
    <row r="1514" spans="1:22" x14ac:dyDescent="0.25">
      <c r="A1514" s="14" t="s">
        <v>13</v>
      </c>
      <c r="B1514" s="14" t="s">
        <v>12029</v>
      </c>
      <c r="C1514" s="14" t="s">
        <v>12030</v>
      </c>
      <c r="D1514" s="14" t="s">
        <v>11061</v>
      </c>
      <c r="E1514" s="14">
        <v>2023</v>
      </c>
      <c r="F1514" s="14">
        <v>48</v>
      </c>
      <c r="G1514" s="14">
        <v>1</v>
      </c>
      <c r="H1514" s="14" t="s">
        <v>12031</v>
      </c>
      <c r="I1514" s="14" t="s">
        <v>145</v>
      </c>
      <c r="J1514" s="14" t="s">
        <v>11044</v>
      </c>
      <c r="K1514" s="26"/>
      <c r="L1514" s="27"/>
      <c r="M1514" s="20">
        <v>44927</v>
      </c>
      <c r="N1514" s="18"/>
      <c r="O1514" s="14" t="s">
        <v>11063</v>
      </c>
      <c r="P1514" s="17" t="s">
        <v>12032</v>
      </c>
      <c r="Q1514" s="14" t="s">
        <v>12033</v>
      </c>
      <c r="R1514" s="14" t="s">
        <v>12034</v>
      </c>
      <c r="S1514" s="18"/>
      <c r="T1514" s="18"/>
      <c r="U1514" s="18"/>
      <c r="V1514" s="18"/>
    </row>
    <row r="1515" spans="1:22" x14ac:dyDescent="0.25">
      <c r="A1515" s="14" t="s">
        <v>141</v>
      </c>
      <c r="B1515" s="14" t="s">
        <v>7373</v>
      </c>
      <c r="C1515" s="14" t="s">
        <v>12035</v>
      </c>
      <c r="D1515" s="18"/>
      <c r="E1515" s="14">
        <v>2022</v>
      </c>
      <c r="F1515" s="18"/>
      <c r="G1515" s="18"/>
      <c r="H1515" s="14" t="s">
        <v>12036</v>
      </c>
      <c r="I1515" s="14" t="s">
        <v>145</v>
      </c>
      <c r="J1515" s="14" t="s">
        <v>11044</v>
      </c>
      <c r="K1515" s="14" t="s">
        <v>11319</v>
      </c>
      <c r="L1515" s="14" t="s">
        <v>11077</v>
      </c>
      <c r="M1515" s="14">
        <v>2022</v>
      </c>
      <c r="N1515" s="14">
        <v>9781450392754</v>
      </c>
      <c r="O1515" s="26"/>
      <c r="P1515" s="17" t="s">
        <v>12037</v>
      </c>
      <c r="Q1515" s="14" t="s">
        <v>7377</v>
      </c>
      <c r="R1515" s="14" t="s">
        <v>12038</v>
      </c>
      <c r="S1515" s="14" t="s">
        <v>12039</v>
      </c>
      <c r="T1515" s="18"/>
      <c r="U1515" s="18"/>
      <c r="V1515" s="14" t="s">
        <v>11323</v>
      </c>
    </row>
    <row r="1516" spans="1:22" x14ac:dyDescent="0.25">
      <c r="A1516" s="14" t="s">
        <v>141</v>
      </c>
      <c r="B1516" s="14" t="s">
        <v>96</v>
      </c>
      <c r="C1516" s="14" t="s">
        <v>3363</v>
      </c>
      <c r="D1516" s="18"/>
      <c r="E1516" s="14">
        <v>2022</v>
      </c>
      <c r="F1516" s="18"/>
      <c r="G1516" s="18"/>
      <c r="H1516" s="14" t="s">
        <v>12040</v>
      </c>
      <c r="I1516" s="14" t="s">
        <v>11083</v>
      </c>
      <c r="J1516" s="14" t="s">
        <v>11495</v>
      </c>
      <c r="K1516" s="14" t="s">
        <v>11496</v>
      </c>
      <c r="L1516" s="27"/>
      <c r="M1516" s="14">
        <v>2022</v>
      </c>
      <c r="N1516" s="14">
        <v>9781665403375</v>
      </c>
      <c r="O1516" s="26"/>
      <c r="P1516" s="17" t="s">
        <v>12041</v>
      </c>
      <c r="Q1516" s="14" t="s">
        <v>3366</v>
      </c>
      <c r="R1516" s="14" t="s">
        <v>12042</v>
      </c>
      <c r="S1516" s="14" t="s">
        <v>12043</v>
      </c>
      <c r="T1516" s="18"/>
      <c r="U1516" s="18"/>
      <c r="V1516" s="14" t="s">
        <v>11498</v>
      </c>
    </row>
    <row r="1517" spans="1:22" x14ac:dyDescent="0.25">
      <c r="A1517" s="14" t="s">
        <v>141</v>
      </c>
      <c r="B1517" s="14" t="s">
        <v>1759</v>
      </c>
      <c r="C1517" s="14" t="s">
        <v>12044</v>
      </c>
      <c r="D1517" s="18"/>
      <c r="E1517" s="14">
        <v>2021</v>
      </c>
      <c r="F1517" s="18"/>
      <c r="G1517" s="18"/>
      <c r="H1517" s="14" t="s">
        <v>12045</v>
      </c>
      <c r="I1517" s="14" t="s">
        <v>145</v>
      </c>
      <c r="J1517" s="14" t="s">
        <v>11044</v>
      </c>
      <c r="K1517" s="14" t="s">
        <v>11810</v>
      </c>
      <c r="L1517" s="14" t="s">
        <v>11483</v>
      </c>
      <c r="M1517" s="14">
        <v>2021</v>
      </c>
      <c r="N1517" s="14">
        <v>9781450385626</v>
      </c>
      <c r="O1517" s="26"/>
      <c r="P1517" s="17" t="s">
        <v>12046</v>
      </c>
      <c r="Q1517" s="14" t="s">
        <v>1763</v>
      </c>
      <c r="R1517" s="14" t="s">
        <v>12047</v>
      </c>
      <c r="S1517" s="14" t="s">
        <v>12048</v>
      </c>
      <c r="T1517" s="18"/>
      <c r="U1517" s="18"/>
      <c r="V1517" s="14" t="s">
        <v>11815</v>
      </c>
    </row>
    <row r="1518" spans="1:22" x14ac:dyDescent="0.25">
      <c r="A1518" s="14" t="s">
        <v>141</v>
      </c>
      <c r="B1518" s="14" t="s">
        <v>7061</v>
      </c>
      <c r="C1518" s="14" t="s">
        <v>7062</v>
      </c>
      <c r="D1518" s="18"/>
      <c r="E1518" s="14">
        <v>2019</v>
      </c>
      <c r="F1518" s="18"/>
      <c r="G1518" s="18"/>
      <c r="H1518" s="14" t="s">
        <v>12049</v>
      </c>
      <c r="I1518" s="14" t="s">
        <v>11083</v>
      </c>
      <c r="J1518" s="14" t="s">
        <v>11147</v>
      </c>
      <c r="K1518" s="14" t="s">
        <v>12050</v>
      </c>
      <c r="L1518" s="27"/>
      <c r="M1518" s="14">
        <v>2019</v>
      </c>
      <c r="N1518" s="18"/>
      <c r="O1518" s="26"/>
      <c r="P1518" s="17" t="s">
        <v>12051</v>
      </c>
      <c r="Q1518" s="14" t="s">
        <v>7067</v>
      </c>
      <c r="R1518" s="14" t="s">
        <v>7068</v>
      </c>
      <c r="S1518" s="14" t="s">
        <v>12052</v>
      </c>
      <c r="T1518" s="18"/>
      <c r="U1518" s="18"/>
      <c r="V1518" s="14" t="s">
        <v>12053</v>
      </c>
    </row>
    <row r="1519" spans="1:22" x14ac:dyDescent="0.25">
      <c r="A1519" s="14" t="s">
        <v>141</v>
      </c>
      <c r="B1519" s="14" t="s">
        <v>12054</v>
      </c>
      <c r="C1519" s="14" t="s">
        <v>12055</v>
      </c>
      <c r="D1519" s="18"/>
      <c r="E1519" s="14">
        <v>2016</v>
      </c>
      <c r="F1519" s="18"/>
      <c r="G1519" s="18"/>
      <c r="H1519" s="14" t="s">
        <v>12056</v>
      </c>
      <c r="I1519" s="14" t="s">
        <v>145</v>
      </c>
      <c r="J1519" s="14" t="s">
        <v>11044</v>
      </c>
      <c r="K1519" s="14" t="s">
        <v>12057</v>
      </c>
      <c r="L1519" s="14" t="s">
        <v>12058</v>
      </c>
      <c r="M1519" s="14">
        <v>2016</v>
      </c>
      <c r="N1519" s="14">
        <v>9781450345705</v>
      </c>
      <c r="O1519" s="26"/>
      <c r="P1519" s="17" t="s">
        <v>12059</v>
      </c>
      <c r="Q1519" s="14" t="s">
        <v>12060</v>
      </c>
      <c r="R1519" s="14" t="s">
        <v>12061</v>
      </c>
      <c r="S1519" s="18"/>
      <c r="T1519" s="18"/>
      <c r="U1519" s="18"/>
      <c r="V1519" s="14" t="s">
        <v>12062</v>
      </c>
    </row>
    <row r="1520" spans="1:22" x14ac:dyDescent="0.25">
      <c r="A1520" s="14" t="s">
        <v>141</v>
      </c>
      <c r="B1520" s="14" t="s">
        <v>4614</v>
      </c>
      <c r="C1520" s="14" t="s">
        <v>12063</v>
      </c>
      <c r="D1520" s="18"/>
      <c r="E1520" s="14">
        <v>2020</v>
      </c>
      <c r="F1520" s="18"/>
      <c r="G1520" s="18"/>
      <c r="H1520" s="14" t="s">
        <v>12064</v>
      </c>
      <c r="I1520" s="14" t="s">
        <v>145</v>
      </c>
      <c r="J1520" s="14" t="s">
        <v>11044</v>
      </c>
      <c r="K1520" s="14" t="s">
        <v>12065</v>
      </c>
      <c r="L1520" s="14" t="s">
        <v>12066</v>
      </c>
      <c r="M1520" s="14">
        <v>2020</v>
      </c>
      <c r="N1520" s="14">
        <v>9781450369367</v>
      </c>
      <c r="O1520" s="26"/>
      <c r="P1520" s="17" t="s">
        <v>12067</v>
      </c>
      <c r="Q1520" s="14" t="s">
        <v>4618</v>
      </c>
      <c r="R1520" s="14" t="s">
        <v>12068</v>
      </c>
      <c r="S1520" s="14" t="s">
        <v>12069</v>
      </c>
      <c r="T1520" s="18"/>
      <c r="U1520" s="18"/>
      <c r="V1520" s="14" t="s">
        <v>12070</v>
      </c>
    </row>
    <row r="1521" spans="1:22" x14ac:dyDescent="0.25">
      <c r="A1521" s="14" t="s">
        <v>141</v>
      </c>
      <c r="B1521" s="14" t="s">
        <v>4739</v>
      </c>
      <c r="C1521" s="14" t="s">
        <v>12071</v>
      </c>
      <c r="D1521" s="18"/>
      <c r="E1521" s="14">
        <v>2019</v>
      </c>
      <c r="F1521" s="18"/>
      <c r="G1521" s="18"/>
      <c r="H1521" s="14" t="s">
        <v>12072</v>
      </c>
      <c r="I1521" s="14" t="s">
        <v>145</v>
      </c>
      <c r="J1521" s="14" t="s">
        <v>11044</v>
      </c>
      <c r="K1521" s="14" t="s">
        <v>12073</v>
      </c>
      <c r="L1521" s="14" t="s">
        <v>11044</v>
      </c>
      <c r="M1521" s="14">
        <v>2019</v>
      </c>
      <c r="N1521" s="14">
        <v>9781450368476</v>
      </c>
      <c r="O1521" s="26"/>
      <c r="P1521" s="17" t="s">
        <v>12074</v>
      </c>
      <c r="Q1521" s="14" t="s">
        <v>4845</v>
      </c>
      <c r="R1521" s="14" t="s">
        <v>12075</v>
      </c>
      <c r="S1521" s="14" t="s">
        <v>12076</v>
      </c>
      <c r="T1521" s="18"/>
      <c r="U1521" s="18"/>
      <c r="V1521" s="14" t="s">
        <v>12077</v>
      </c>
    </row>
    <row r="1522" spans="1:22" x14ac:dyDescent="0.25">
      <c r="A1522" s="14" t="s">
        <v>13</v>
      </c>
      <c r="B1522" s="14" t="s">
        <v>4239</v>
      </c>
      <c r="C1522" s="14" t="s">
        <v>12078</v>
      </c>
      <c r="D1522" s="14" t="s">
        <v>12079</v>
      </c>
      <c r="E1522" s="14">
        <v>2021</v>
      </c>
      <c r="F1522" s="14">
        <v>14</v>
      </c>
      <c r="G1522" s="14">
        <v>4</v>
      </c>
      <c r="H1522" s="14" t="s">
        <v>12080</v>
      </c>
      <c r="I1522" s="14" t="s">
        <v>4234</v>
      </c>
      <c r="J1522" s="18"/>
      <c r="K1522" s="26"/>
      <c r="L1522" s="27"/>
      <c r="M1522" s="20">
        <v>44228</v>
      </c>
      <c r="N1522" s="18"/>
      <c r="O1522" s="14" t="s">
        <v>4235</v>
      </c>
      <c r="P1522" s="17" t="s">
        <v>12081</v>
      </c>
      <c r="Q1522" s="14" t="s">
        <v>4243</v>
      </c>
      <c r="R1522" s="14" t="s">
        <v>12082</v>
      </c>
      <c r="S1522" s="18"/>
      <c r="T1522" s="18"/>
      <c r="U1522" s="18"/>
      <c r="V1522" s="18"/>
    </row>
    <row r="1523" spans="1:22" x14ac:dyDescent="0.25">
      <c r="A1523" s="14" t="s">
        <v>141</v>
      </c>
      <c r="B1523" s="14" t="s">
        <v>12083</v>
      </c>
      <c r="C1523" s="14" t="s">
        <v>12084</v>
      </c>
      <c r="D1523" s="18"/>
      <c r="E1523" s="14">
        <v>2020</v>
      </c>
      <c r="F1523" s="18"/>
      <c r="G1523" s="18"/>
      <c r="H1523" s="14" t="s">
        <v>12085</v>
      </c>
      <c r="I1523" s="14" t="s">
        <v>145</v>
      </c>
      <c r="J1523" s="14" t="s">
        <v>11044</v>
      </c>
      <c r="K1523" s="14" t="s">
        <v>12086</v>
      </c>
      <c r="L1523" s="14" t="s">
        <v>12087</v>
      </c>
      <c r="M1523" s="14">
        <v>2020</v>
      </c>
      <c r="N1523" s="14">
        <v>9781450370431</v>
      </c>
      <c r="O1523" s="26"/>
      <c r="P1523" s="17" t="s">
        <v>12088</v>
      </c>
      <c r="Q1523" s="14" t="s">
        <v>12089</v>
      </c>
      <c r="R1523" s="14" t="s">
        <v>12090</v>
      </c>
      <c r="S1523" s="14" t="s">
        <v>12091</v>
      </c>
      <c r="T1523" s="18"/>
      <c r="U1523" s="18"/>
      <c r="V1523" s="14" t="s">
        <v>12092</v>
      </c>
    </row>
    <row r="1524" spans="1:22" x14ac:dyDescent="0.25">
      <c r="A1524" s="14" t="s">
        <v>141</v>
      </c>
      <c r="B1524" s="14" t="s">
        <v>12093</v>
      </c>
      <c r="C1524" s="14" t="s">
        <v>12094</v>
      </c>
      <c r="D1524" s="18"/>
      <c r="E1524" s="14">
        <v>2022</v>
      </c>
      <c r="F1524" s="18"/>
      <c r="G1524" s="18"/>
      <c r="H1524" s="14" t="s">
        <v>12095</v>
      </c>
      <c r="I1524" s="14" t="s">
        <v>145</v>
      </c>
      <c r="J1524" s="14" t="s">
        <v>11044</v>
      </c>
      <c r="K1524" s="14" t="s">
        <v>12096</v>
      </c>
      <c r="L1524" s="14" t="s">
        <v>11522</v>
      </c>
      <c r="M1524" s="14">
        <v>2022</v>
      </c>
      <c r="N1524" s="14">
        <v>9781450397353</v>
      </c>
      <c r="O1524" s="26"/>
      <c r="P1524" s="17" t="s">
        <v>12097</v>
      </c>
      <c r="Q1524" s="14" t="s">
        <v>12098</v>
      </c>
      <c r="R1524" s="14" t="s">
        <v>12099</v>
      </c>
      <c r="S1524" s="14" t="s">
        <v>12100</v>
      </c>
      <c r="T1524" s="18"/>
      <c r="U1524" s="18"/>
      <c r="V1524" s="14" t="s">
        <v>12101</v>
      </c>
    </row>
    <row r="1525" spans="1:22" x14ac:dyDescent="0.25">
      <c r="A1525" s="14" t="s">
        <v>141</v>
      </c>
      <c r="B1525" s="14" t="s">
        <v>1455</v>
      </c>
      <c r="C1525" s="14" t="s">
        <v>12102</v>
      </c>
      <c r="D1525" s="18"/>
      <c r="E1525" s="14">
        <v>2022</v>
      </c>
      <c r="F1525" s="18"/>
      <c r="G1525" s="18"/>
      <c r="H1525" s="14" t="s">
        <v>12103</v>
      </c>
      <c r="I1525" s="14" t="s">
        <v>145</v>
      </c>
      <c r="J1525" s="14" t="s">
        <v>11044</v>
      </c>
      <c r="K1525" s="14" t="s">
        <v>11884</v>
      </c>
      <c r="L1525" s="14" t="s">
        <v>11077</v>
      </c>
      <c r="M1525" s="14">
        <v>2022</v>
      </c>
      <c r="N1525" s="14">
        <v>9781450392211</v>
      </c>
      <c r="O1525" s="26"/>
      <c r="P1525" s="17" t="s">
        <v>12104</v>
      </c>
      <c r="Q1525" s="14" t="s">
        <v>1460</v>
      </c>
      <c r="R1525" s="14" t="s">
        <v>12105</v>
      </c>
      <c r="S1525" s="14" t="s">
        <v>12106</v>
      </c>
      <c r="T1525" s="18"/>
      <c r="U1525" s="18"/>
      <c r="V1525" s="14" t="s">
        <v>11634</v>
      </c>
    </row>
    <row r="1526" spans="1:22" x14ac:dyDescent="0.25">
      <c r="A1526" s="14" t="s">
        <v>141</v>
      </c>
      <c r="B1526" s="14" t="s">
        <v>7653</v>
      </c>
      <c r="C1526" s="14" t="s">
        <v>7654</v>
      </c>
      <c r="D1526" s="18"/>
      <c r="E1526" s="14">
        <v>2018</v>
      </c>
      <c r="F1526" s="18"/>
      <c r="G1526" s="18"/>
      <c r="H1526" s="14" t="s">
        <v>12107</v>
      </c>
      <c r="I1526" s="14" t="s">
        <v>145</v>
      </c>
      <c r="J1526" s="14" t="s">
        <v>11044</v>
      </c>
      <c r="K1526" s="14" t="s">
        <v>12108</v>
      </c>
      <c r="L1526" s="14" t="s">
        <v>11105</v>
      </c>
      <c r="M1526" s="14">
        <v>2018</v>
      </c>
      <c r="N1526" s="14">
        <v>9781450357142</v>
      </c>
      <c r="O1526" s="26"/>
      <c r="P1526" s="17" t="s">
        <v>12109</v>
      </c>
      <c r="Q1526" s="14" t="s">
        <v>12110</v>
      </c>
      <c r="R1526" s="14" t="s">
        <v>7657</v>
      </c>
      <c r="S1526" s="14" t="s">
        <v>12111</v>
      </c>
      <c r="T1526" s="18"/>
      <c r="U1526" s="18"/>
      <c r="V1526" s="14" t="s">
        <v>12112</v>
      </c>
    </row>
    <row r="1527" spans="1:22" x14ac:dyDescent="0.25">
      <c r="A1527" s="14" t="s">
        <v>141</v>
      </c>
      <c r="B1527" s="14" t="s">
        <v>12113</v>
      </c>
      <c r="C1527" s="14" t="s">
        <v>12114</v>
      </c>
      <c r="D1527" s="18"/>
      <c r="E1527" s="14">
        <v>2022</v>
      </c>
      <c r="F1527" s="18"/>
      <c r="G1527" s="18"/>
      <c r="H1527" s="14" t="s">
        <v>12115</v>
      </c>
      <c r="I1527" s="14" t="s">
        <v>145</v>
      </c>
      <c r="J1527" s="14" t="s">
        <v>11044</v>
      </c>
      <c r="K1527" s="14" t="s">
        <v>12116</v>
      </c>
      <c r="L1527" s="14" t="s">
        <v>12117</v>
      </c>
      <c r="M1527" s="14">
        <v>2022</v>
      </c>
      <c r="N1527" s="14">
        <v>9781450392730</v>
      </c>
      <c r="O1527" s="26"/>
      <c r="P1527" s="17" t="s">
        <v>12118</v>
      </c>
      <c r="Q1527" s="14" t="s">
        <v>12119</v>
      </c>
      <c r="R1527" s="14" t="s">
        <v>12120</v>
      </c>
      <c r="S1527" s="14" t="s">
        <v>12121</v>
      </c>
      <c r="T1527" s="18"/>
      <c r="U1527" s="18"/>
      <c r="V1527" s="14" t="s">
        <v>12122</v>
      </c>
    </row>
    <row r="1528" spans="1:22" x14ac:dyDescent="0.25">
      <c r="A1528" s="14" t="s">
        <v>13</v>
      </c>
      <c r="B1528" s="14" t="s">
        <v>12123</v>
      </c>
      <c r="C1528" s="14" t="s">
        <v>12124</v>
      </c>
      <c r="D1528" s="14" t="s">
        <v>11246</v>
      </c>
      <c r="E1528" s="14">
        <v>2022</v>
      </c>
      <c r="F1528" s="18"/>
      <c r="G1528" s="18"/>
      <c r="H1528" s="28"/>
      <c r="I1528" s="14" t="s">
        <v>145</v>
      </c>
      <c r="J1528" s="14" t="s">
        <v>11044</v>
      </c>
      <c r="K1528" s="26"/>
      <c r="L1528" s="27"/>
      <c r="M1528" s="16">
        <v>44835</v>
      </c>
      <c r="N1528" s="18"/>
      <c r="O1528" s="14" t="s">
        <v>329</v>
      </c>
      <c r="P1528" s="17" t="s">
        <v>12125</v>
      </c>
      <c r="Q1528" s="14" t="s">
        <v>12126</v>
      </c>
      <c r="R1528" s="14" t="s">
        <v>12127</v>
      </c>
      <c r="S1528" s="14" t="s">
        <v>12128</v>
      </c>
      <c r="T1528" s="14" t="s">
        <v>12129</v>
      </c>
      <c r="U1528" s="18"/>
      <c r="V1528" s="18"/>
    </row>
    <row r="1529" spans="1:22" x14ac:dyDescent="0.25">
      <c r="A1529" s="14" t="s">
        <v>141</v>
      </c>
      <c r="B1529" s="14" t="s">
        <v>12130</v>
      </c>
      <c r="C1529" s="14" t="s">
        <v>12131</v>
      </c>
      <c r="D1529" s="18"/>
      <c r="E1529" s="14">
        <v>2017</v>
      </c>
      <c r="F1529" s="18"/>
      <c r="G1529" s="18"/>
      <c r="H1529" s="14" t="s">
        <v>12132</v>
      </c>
      <c r="I1529" s="14" t="s">
        <v>145</v>
      </c>
      <c r="J1529" s="14" t="s">
        <v>11044</v>
      </c>
      <c r="K1529" s="14" t="s">
        <v>12133</v>
      </c>
      <c r="L1529" s="14" t="s">
        <v>12134</v>
      </c>
      <c r="M1529" s="14">
        <v>2017</v>
      </c>
      <c r="N1529" s="14">
        <v>9781450351768</v>
      </c>
      <c r="O1529" s="26"/>
      <c r="P1529" s="17" t="s">
        <v>12135</v>
      </c>
      <c r="Q1529" s="14" t="s">
        <v>12136</v>
      </c>
      <c r="R1529" s="14" t="s">
        <v>12137</v>
      </c>
      <c r="S1529" s="14" t="s">
        <v>12138</v>
      </c>
      <c r="T1529" s="18"/>
      <c r="U1529" s="18"/>
      <c r="V1529" s="14" t="s">
        <v>12139</v>
      </c>
    </row>
    <row r="1530" spans="1:22" x14ac:dyDescent="0.25">
      <c r="A1530" s="14" t="s">
        <v>141</v>
      </c>
      <c r="B1530" s="14" t="s">
        <v>4739</v>
      </c>
      <c r="C1530" s="14" t="s">
        <v>12140</v>
      </c>
      <c r="D1530" s="18"/>
      <c r="E1530" s="14">
        <v>2019</v>
      </c>
      <c r="F1530" s="18"/>
      <c r="G1530" s="18"/>
      <c r="H1530" s="14" t="s">
        <v>11979</v>
      </c>
      <c r="I1530" s="14" t="s">
        <v>145</v>
      </c>
      <c r="J1530" s="14" t="s">
        <v>11044</v>
      </c>
      <c r="K1530" s="14" t="s">
        <v>12141</v>
      </c>
      <c r="L1530" s="14" t="s">
        <v>11147</v>
      </c>
      <c r="M1530" s="14">
        <v>2019</v>
      </c>
      <c r="N1530" s="14">
        <v>9781450366991</v>
      </c>
      <c r="O1530" s="26"/>
      <c r="P1530" s="17" t="s">
        <v>12142</v>
      </c>
      <c r="Q1530" s="14" t="s">
        <v>4743</v>
      </c>
      <c r="R1530" s="14" t="s">
        <v>12143</v>
      </c>
      <c r="S1530" s="14" t="s">
        <v>12144</v>
      </c>
      <c r="T1530" s="18"/>
      <c r="U1530" s="18"/>
      <c r="V1530" s="14" t="s">
        <v>12145</v>
      </c>
    </row>
    <row r="1531" spans="1:22" x14ac:dyDescent="0.25">
      <c r="A1531" s="14" t="s">
        <v>141</v>
      </c>
      <c r="B1531" s="14" t="s">
        <v>993</v>
      </c>
      <c r="C1531" s="14" t="s">
        <v>12146</v>
      </c>
      <c r="D1531" s="18"/>
      <c r="E1531" s="14">
        <v>2022</v>
      </c>
      <c r="F1531" s="18"/>
      <c r="G1531" s="18"/>
      <c r="H1531" s="14" t="s">
        <v>12147</v>
      </c>
      <c r="I1531" s="14" t="s">
        <v>145</v>
      </c>
      <c r="J1531" s="14" t="s">
        <v>11044</v>
      </c>
      <c r="K1531" s="14" t="s">
        <v>11113</v>
      </c>
      <c r="L1531" s="14" t="s">
        <v>11114</v>
      </c>
      <c r="M1531" s="14">
        <v>2022</v>
      </c>
      <c r="N1531" s="14">
        <v>9781450394130</v>
      </c>
      <c r="O1531" s="26"/>
      <c r="P1531" s="17" t="s">
        <v>12148</v>
      </c>
      <c r="Q1531" s="14" t="s">
        <v>997</v>
      </c>
      <c r="R1531" s="14" t="s">
        <v>12149</v>
      </c>
      <c r="S1531" s="14" t="s">
        <v>12150</v>
      </c>
      <c r="T1531" s="18"/>
      <c r="U1531" s="18"/>
      <c r="V1531" s="14" t="s">
        <v>11118</v>
      </c>
    </row>
    <row r="1532" spans="1:22" x14ac:dyDescent="0.25">
      <c r="A1532" s="14" t="s">
        <v>141</v>
      </c>
      <c r="B1532" s="14" t="s">
        <v>12151</v>
      </c>
      <c r="C1532" s="14" t="s">
        <v>12152</v>
      </c>
      <c r="D1532" s="18"/>
      <c r="E1532" s="14">
        <v>2022</v>
      </c>
      <c r="F1532" s="18"/>
      <c r="G1532" s="18"/>
      <c r="H1532" s="14" t="s">
        <v>12153</v>
      </c>
      <c r="I1532" s="14" t="s">
        <v>145</v>
      </c>
      <c r="J1532" s="14" t="s">
        <v>11044</v>
      </c>
      <c r="K1532" s="14" t="s">
        <v>11391</v>
      </c>
      <c r="L1532" s="14" t="s">
        <v>11392</v>
      </c>
      <c r="M1532" s="14">
        <v>2022</v>
      </c>
      <c r="N1532" s="14">
        <v>9781450398787</v>
      </c>
      <c r="O1532" s="26"/>
      <c r="P1532" s="17" t="s">
        <v>12154</v>
      </c>
      <c r="Q1532" s="14" t="s">
        <v>12155</v>
      </c>
      <c r="R1532" s="14" t="s">
        <v>12156</v>
      </c>
      <c r="S1532" s="14" t="s">
        <v>12157</v>
      </c>
      <c r="T1532" s="18"/>
      <c r="U1532" s="18"/>
      <c r="V1532" s="14" t="s">
        <v>11397</v>
      </c>
    </row>
    <row r="1533" spans="1:22" x14ac:dyDescent="0.25">
      <c r="A1533" s="14" t="s">
        <v>141</v>
      </c>
      <c r="B1533" s="14" t="s">
        <v>8317</v>
      </c>
      <c r="C1533" s="14" t="s">
        <v>12158</v>
      </c>
      <c r="D1533" s="18"/>
      <c r="E1533" s="14">
        <v>2012</v>
      </c>
      <c r="F1533" s="18"/>
      <c r="G1533" s="18"/>
      <c r="H1533" s="14" t="s">
        <v>12159</v>
      </c>
      <c r="I1533" s="14" t="s">
        <v>11083</v>
      </c>
      <c r="J1533" s="14" t="s">
        <v>11122</v>
      </c>
      <c r="K1533" s="14" t="s">
        <v>12160</v>
      </c>
      <c r="L1533" s="27"/>
      <c r="M1533" s="14">
        <v>2012</v>
      </c>
      <c r="N1533" s="14">
        <v>9781467310673</v>
      </c>
      <c r="O1533" s="26"/>
      <c r="P1533" s="26"/>
      <c r="Q1533" s="26"/>
      <c r="R1533" s="14" t="s">
        <v>8323</v>
      </c>
      <c r="S1533" s="18"/>
      <c r="T1533" s="18"/>
      <c r="U1533" s="18"/>
      <c r="V1533" s="14" t="s">
        <v>12161</v>
      </c>
    </row>
    <row r="1534" spans="1:22" x14ac:dyDescent="0.25">
      <c r="A1534" s="14" t="s">
        <v>141</v>
      </c>
      <c r="B1534" s="14" t="s">
        <v>4561</v>
      </c>
      <c r="C1534" s="14" t="s">
        <v>6631</v>
      </c>
      <c r="D1534" s="18"/>
      <c r="E1534" s="14">
        <v>2020</v>
      </c>
      <c r="F1534" s="18"/>
      <c r="G1534" s="18"/>
      <c r="H1534" s="14" t="s">
        <v>12162</v>
      </c>
      <c r="I1534" s="14" t="s">
        <v>145</v>
      </c>
      <c r="J1534" s="14" t="s">
        <v>11044</v>
      </c>
      <c r="K1534" s="14" t="s">
        <v>12163</v>
      </c>
      <c r="L1534" s="14" t="s">
        <v>11046</v>
      </c>
      <c r="M1534" s="14">
        <v>2020</v>
      </c>
      <c r="N1534" s="14">
        <v>9781450371216</v>
      </c>
      <c r="O1534" s="26"/>
      <c r="P1534" s="17" t="s">
        <v>12164</v>
      </c>
      <c r="Q1534" s="14" t="s">
        <v>4565</v>
      </c>
      <c r="R1534" s="14" t="s">
        <v>12165</v>
      </c>
      <c r="S1534" s="14" t="s">
        <v>12166</v>
      </c>
      <c r="T1534" s="18"/>
      <c r="U1534" s="18"/>
      <c r="V1534" s="14" t="s">
        <v>11050</v>
      </c>
    </row>
    <row r="1535" spans="1:22" x14ac:dyDescent="0.25">
      <c r="A1535" s="14" t="s">
        <v>13</v>
      </c>
      <c r="B1535" s="14" t="s">
        <v>12167</v>
      </c>
      <c r="C1535" s="14" t="s">
        <v>12168</v>
      </c>
      <c r="D1535" s="14" t="s">
        <v>11246</v>
      </c>
      <c r="E1535" s="14">
        <v>2022</v>
      </c>
      <c r="F1535" s="18"/>
      <c r="G1535" s="18"/>
      <c r="H1535" s="28"/>
      <c r="I1535" s="14" t="s">
        <v>145</v>
      </c>
      <c r="J1535" s="14" t="s">
        <v>11044</v>
      </c>
      <c r="K1535" s="26"/>
      <c r="L1535" s="27"/>
      <c r="M1535" s="16">
        <v>44896</v>
      </c>
      <c r="N1535" s="18"/>
      <c r="O1535" s="14" t="s">
        <v>329</v>
      </c>
      <c r="P1535" s="17" t="s">
        <v>12169</v>
      </c>
      <c r="Q1535" s="14" t="s">
        <v>12170</v>
      </c>
      <c r="R1535" s="14" t="s">
        <v>12171</v>
      </c>
      <c r="S1535" s="14" t="s">
        <v>12172</v>
      </c>
      <c r="T1535" s="14" t="s">
        <v>12129</v>
      </c>
      <c r="U1535" s="18"/>
      <c r="V1535" s="18"/>
    </row>
    <row r="1536" spans="1:22" x14ac:dyDescent="0.25">
      <c r="A1536" s="14" t="s">
        <v>141</v>
      </c>
      <c r="B1536" s="14" t="s">
        <v>12173</v>
      </c>
      <c r="C1536" s="14" t="s">
        <v>12174</v>
      </c>
      <c r="D1536" s="18"/>
      <c r="E1536" s="14">
        <v>2016</v>
      </c>
      <c r="F1536" s="18"/>
      <c r="G1536" s="18"/>
      <c r="H1536" s="14" t="s">
        <v>12175</v>
      </c>
      <c r="I1536" s="14" t="s">
        <v>145</v>
      </c>
      <c r="J1536" s="14" t="s">
        <v>11044</v>
      </c>
      <c r="K1536" s="14" t="s">
        <v>11768</v>
      </c>
      <c r="L1536" s="14" t="s">
        <v>11769</v>
      </c>
      <c r="M1536" s="14">
        <v>2016</v>
      </c>
      <c r="N1536" s="14">
        <v>9781450342186</v>
      </c>
      <c r="O1536" s="26"/>
      <c r="P1536" s="17" t="s">
        <v>12176</v>
      </c>
      <c r="Q1536" s="14" t="s">
        <v>12177</v>
      </c>
      <c r="R1536" s="14" t="s">
        <v>12178</v>
      </c>
      <c r="S1536" s="14" t="s">
        <v>12179</v>
      </c>
      <c r="T1536" s="18"/>
      <c r="U1536" s="18"/>
      <c r="V1536" s="14" t="s">
        <v>11774</v>
      </c>
    </row>
    <row r="1537" spans="1:22" x14ac:dyDescent="0.25">
      <c r="A1537" s="14" t="s">
        <v>141</v>
      </c>
      <c r="B1537" s="14" t="s">
        <v>7145</v>
      </c>
      <c r="C1537" s="14" t="s">
        <v>12180</v>
      </c>
      <c r="D1537" s="18"/>
      <c r="E1537" s="14">
        <v>2022</v>
      </c>
      <c r="F1537" s="18"/>
      <c r="G1537" s="18"/>
      <c r="H1537" s="14" t="s">
        <v>12181</v>
      </c>
      <c r="I1537" s="14" t="s">
        <v>11083</v>
      </c>
      <c r="J1537" s="14" t="s">
        <v>11495</v>
      </c>
      <c r="K1537" s="14" t="s">
        <v>11496</v>
      </c>
      <c r="L1537" s="27"/>
      <c r="M1537" s="14">
        <v>2022</v>
      </c>
      <c r="N1537" s="14">
        <v>9781665403375</v>
      </c>
      <c r="O1537" s="26"/>
      <c r="P1537" s="17" t="s">
        <v>12182</v>
      </c>
      <c r="Q1537" s="14" t="s">
        <v>7149</v>
      </c>
      <c r="R1537" s="14" t="s">
        <v>7150</v>
      </c>
      <c r="S1537" s="14" t="s">
        <v>12183</v>
      </c>
      <c r="T1537" s="18"/>
      <c r="U1537" s="18"/>
      <c r="V1537" s="14" t="s">
        <v>11498</v>
      </c>
    </row>
    <row r="1538" spans="1:22" x14ac:dyDescent="0.25">
      <c r="A1538" s="14" t="s">
        <v>141</v>
      </c>
      <c r="B1538" s="14" t="s">
        <v>12184</v>
      </c>
      <c r="C1538" s="14" t="s">
        <v>12185</v>
      </c>
      <c r="D1538" s="18"/>
      <c r="E1538" s="14">
        <v>2013</v>
      </c>
      <c r="F1538" s="18"/>
      <c r="G1538" s="18"/>
      <c r="H1538" s="14" t="s">
        <v>12186</v>
      </c>
      <c r="I1538" s="14" t="s">
        <v>11083</v>
      </c>
      <c r="J1538" s="14" t="s">
        <v>12187</v>
      </c>
      <c r="K1538" s="14" t="s">
        <v>12188</v>
      </c>
      <c r="L1538" s="27"/>
      <c r="M1538" s="14">
        <v>2013</v>
      </c>
      <c r="N1538" s="14">
        <v>9781467330763</v>
      </c>
      <c r="O1538" s="26"/>
      <c r="P1538" s="26"/>
      <c r="Q1538" s="26"/>
      <c r="R1538" s="14" t="s">
        <v>6748</v>
      </c>
      <c r="S1538" s="18"/>
      <c r="T1538" s="18"/>
      <c r="U1538" s="18"/>
      <c r="V1538" s="14" t="s">
        <v>12189</v>
      </c>
    </row>
    <row r="1539" spans="1:22" x14ac:dyDescent="0.25">
      <c r="A1539" s="14" t="s">
        <v>141</v>
      </c>
      <c r="B1539" s="14" t="s">
        <v>5359</v>
      </c>
      <c r="C1539" s="14" t="s">
        <v>12190</v>
      </c>
      <c r="D1539" s="18"/>
      <c r="E1539" s="14">
        <v>2018</v>
      </c>
      <c r="F1539" s="18"/>
      <c r="G1539" s="18"/>
      <c r="H1539" s="14" t="s">
        <v>12191</v>
      </c>
      <c r="I1539" s="14" t="s">
        <v>145</v>
      </c>
      <c r="J1539" s="14" t="s">
        <v>11044</v>
      </c>
      <c r="K1539" s="14" t="s">
        <v>12192</v>
      </c>
      <c r="L1539" s="14" t="s">
        <v>12193</v>
      </c>
      <c r="M1539" s="14">
        <v>2018</v>
      </c>
      <c r="N1539" s="14">
        <v>9781450365031</v>
      </c>
      <c r="O1539" s="26"/>
      <c r="P1539" s="17" t="s">
        <v>12194</v>
      </c>
      <c r="Q1539" s="14" t="s">
        <v>5363</v>
      </c>
      <c r="R1539" s="14" t="s">
        <v>12195</v>
      </c>
      <c r="S1539" s="14" t="s">
        <v>12196</v>
      </c>
      <c r="T1539" s="18"/>
      <c r="U1539" s="18"/>
      <c r="V1539" s="14" t="s">
        <v>12197</v>
      </c>
    </row>
    <row r="1540" spans="1:22" x14ac:dyDescent="0.25">
      <c r="A1540" s="14" t="s">
        <v>141</v>
      </c>
      <c r="B1540" s="14" t="s">
        <v>12198</v>
      </c>
      <c r="C1540" s="14" t="s">
        <v>12199</v>
      </c>
      <c r="D1540" s="18"/>
      <c r="E1540" s="14">
        <v>2021</v>
      </c>
      <c r="F1540" s="18"/>
      <c r="G1540" s="18"/>
      <c r="H1540" s="14" t="s">
        <v>12200</v>
      </c>
      <c r="I1540" s="14" t="s">
        <v>145</v>
      </c>
      <c r="J1540" s="14" t="s">
        <v>11044</v>
      </c>
      <c r="K1540" s="14" t="s">
        <v>11053</v>
      </c>
      <c r="L1540" s="14" t="s">
        <v>11054</v>
      </c>
      <c r="M1540" s="14">
        <v>2021</v>
      </c>
      <c r="N1540" s="14">
        <v>9781450390538</v>
      </c>
      <c r="O1540" s="26"/>
      <c r="P1540" s="17" t="s">
        <v>12201</v>
      </c>
      <c r="Q1540" s="14" t="s">
        <v>12202</v>
      </c>
      <c r="R1540" s="14" t="s">
        <v>12203</v>
      </c>
      <c r="S1540" s="18"/>
      <c r="T1540" s="18"/>
      <c r="U1540" s="18"/>
      <c r="V1540" s="14" t="s">
        <v>11058</v>
      </c>
    </row>
    <row r="1541" spans="1:22" x14ac:dyDescent="0.25">
      <c r="A1541" s="14" t="s">
        <v>141</v>
      </c>
      <c r="B1541" s="14" t="s">
        <v>7289</v>
      </c>
      <c r="C1541" s="14" t="s">
        <v>12204</v>
      </c>
      <c r="D1541" s="18"/>
      <c r="E1541" s="14">
        <v>2013</v>
      </c>
      <c r="F1541" s="18"/>
      <c r="G1541" s="18"/>
      <c r="H1541" s="14" t="s">
        <v>12205</v>
      </c>
      <c r="I1541" s="14" t="s">
        <v>11083</v>
      </c>
      <c r="J1541" s="14" t="s">
        <v>12187</v>
      </c>
      <c r="K1541" s="14" t="s">
        <v>12188</v>
      </c>
      <c r="L1541" s="27"/>
      <c r="M1541" s="14">
        <v>2013</v>
      </c>
      <c r="N1541" s="14">
        <v>9781467330763</v>
      </c>
      <c r="O1541" s="26"/>
      <c r="P1541" s="26"/>
      <c r="Q1541" s="26"/>
      <c r="R1541" s="14" t="s">
        <v>7294</v>
      </c>
      <c r="S1541" s="18"/>
      <c r="T1541" s="18"/>
      <c r="U1541" s="18"/>
      <c r="V1541" s="14" t="s">
        <v>12189</v>
      </c>
    </row>
    <row r="1542" spans="1:22" x14ac:dyDescent="0.25">
      <c r="A1542" s="14" t="s">
        <v>141</v>
      </c>
      <c r="B1542" s="14" t="s">
        <v>12206</v>
      </c>
      <c r="C1542" s="14" t="s">
        <v>12207</v>
      </c>
      <c r="D1542" s="18"/>
      <c r="E1542" s="14">
        <v>2016</v>
      </c>
      <c r="F1542" s="18"/>
      <c r="G1542" s="18"/>
      <c r="H1542" s="14" t="s">
        <v>12208</v>
      </c>
      <c r="I1542" s="14" t="s">
        <v>145</v>
      </c>
      <c r="J1542" s="14" t="s">
        <v>11044</v>
      </c>
      <c r="K1542" s="14" t="s">
        <v>12057</v>
      </c>
      <c r="L1542" s="14" t="s">
        <v>12058</v>
      </c>
      <c r="M1542" s="14">
        <v>2016</v>
      </c>
      <c r="N1542" s="14">
        <v>9781450345705</v>
      </c>
      <c r="O1542" s="26"/>
      <c r="P1542" s="17" t="s">
        <v>12209</v>
      </c>
      <c r="Q1542" s="14" t="s">
        <v>12210</v>
      </c>
      <c r="R1542" s="14" t="s">
        <v>12211</v>
      </c>
      <c r="S1542" s="14" t="s">
        <v>12212</v>
      </c>
      <c r="T1542" s="18"/>
      <c r="U1542" s="18"/>
      <c r="V1542" s="14" t="s">
        <v>12062</v>
      </c>
    </row>
    <row r="1543" spans="1:22" x14ac:dyDescent="0.25">
      <c r="A1543" s="14" t="s">
        <v>13</v>
      </c>
      <c r="B1543" s="14" t="s">
        <v>12213</v>
      </c>
      <c r="C1543" s="14" t="s">
        <v>12214</v>
      </c>
      <c r="D1543" s="14" t="s">
        <v>11246</v>
      </c>
      <c r="E1543" s="14">
        <v>2021</v>
      </c>
      <c r="F1543" s="14">
        <v>30</v>
      </c>
      <c r="G1543" s="14">
        <v>2</v>
      </c>
      <c r="H1543" s="28"/>
      <c r="I1543" s="14" t="s">
        <v>145</v>
      </c>
      <c r="J1543" s="14" t="s">
        <v>11044</v>
      </c>
      <c r="K1543" s="26"/>
      <c r="L1543" s="27"/>
      <c r="M1543" s="20">
        <v>44228</v>
      </c>
      <c r="N1543" s="18"/>
      <c r="O1543" s="14" t="s">
        <v>329</v>
      </c>
      <c r="P1543" s="17" t="s">
        <v>12215</v>
      </c>
      <c r="Q1543" s="14" t="s">
        <v>12216</v>
      </c>
      <c r="R1543" s="14" t="s">
        <v>12217</v>
      </c>
      <c r="S1543" s="14" t="s">
        <v>12218</v>
      </c>
      <c r="T1543" s="18"/>
      <c r="U1543" s="18"/>
      <c r="V1543" s="18"/>
    </row>
    <row r="1544" spans="1:22" x14ac:dyDescent="0.25">
      <c r="A1544" s="14" t="s">
        <v>141</v>
      </c>
      <c r="B1544" s="14" t="s">
        <v>12219</v>
      </c>
      <c r="C1544" s="14" t="s">
        <v>12220</v>
      </c>
      <c r="D1544" s="18"/>
      <c r="E1544" s="14">
        <v>2010</v>
      </c>
      <c r="F1544" s="18"/>
      <c r="G1544" s="18"/>
      <c r="H1544" s="28"/>
      <c r="I1544" s="14" t="s">
        <v>145</v>
      </c>
      <c r="J1544" s="14" t="s">
        <v>11044</v>
      </c>
      <c r="K1544" s="14" t="s">
        <v>12221</v>
      </c>
      <c r="L1544" s="14" t="s">
        <v>12222</v>
      </c>
      <c r="M1544" s="14">
        <v>2010</v>
      </c>
      <c r="N1544" s="14">
        <v>9781450300391</v>
      </c>
      <c r="O1544" s="26"/>
      <c r="P1544" s="17" t="s">
        <v>12223</v>
      </c>
      <c r="Q1544" s="14" t="s">
        <v>12224</v>
      </c>
      <c r="R1544" s="14" t="s">
        <v>12225</v>
      </c>
      <c r="S1544" s="14" t="s">
        <v>12226</v>
      </c>
      <c r="T1544" s="18"/>
      <c r="U1544" s="18"/>
      <c r="V1544" s="14" t="s">
        <v>12227</v>
      </c>
    </row>
    <row r="1545" spans="1:22" x14ac:dyDescent="0.25">
      <c r="A1545" s="14" t="s">
        <v>141</v>
      </c>
      <c r="B1545" s="14" t="s">
        <v>12228</v>
      </c>
      <c r="C1545" s="14" t="s">
        <v>12229</v>
      </c>
      <c r="D1545" s="18"/>
      <c r="E1545" s="14">
        <v>2019</v>
      </c>
      <c r="F1545" s="18"/>
      <c r="G1545" s="18"/>
      <c r="H1545" s="14" t="s">
        <v>12230</v>
      </c>
      <c r="I1545" s="14" t="s">
        <v>11083</v>
      </c>
      <c r="J1545" s="14" t="s">
        <v>11147</v>
      </c>
      <c r="K1545" s="14" t="s">
        <v>11460</v>
      </c>
      <c r="L1545" s="27"/>
      <c r="M1545" s="14">
        <v>2019</v>
      </c>
      <c r="N1545" s="18"/>
      <c r="O1545" s="26"/>
      <c r="P1545" s="17" t="s">
        <v>12231</v>
      </c>
      <c r="Q1545" s="14" t="s">
        <v>12232</v>
      </c>
      <c r="R1545" s="14" t="s">
        <v>12233</v>
      </c>
      <c r="S1545" s="14" t="s">
        <v>12234</v>
      </c>
      <c r="T1545" s="18"/>
      <c r="U1545" s="18"/>
      <c r="V1545" s="14" t="s">
        <v>11464</v>
      </c>
    </row>
    <row r="1546" spans="1:22" x14ac:dyDescent="0.25">
      <c r="A1546" s="14" t="s">
        <v>141</v>
      </c>
      <c r="B1546" s="14" t="s">
        <v>12235</v>
      </c>
      <c r="C1546" s="14" t="s">
        <v>12236</v>
      </c>
      <c r="D1546" s="18"/>
      <c r="E1546" s="14">
        <v>2020</v>
      </c>
      <c r="F1546" s="18"/>
      <c r="G1546" s="18"/>
      <c r="H1546" s="14" t="s">
        <v>12237</v>
      </c>
      <c r="I1546" s="14" t="s">
        <v>145</v>
      </c>
      <c r="J1546" s="14" t="s">
        <v>11044</v>
      </c>
      <c r="K1546" s="14" t="s">
        <v>12086</v>
      </c>
      <c r="L1546" s="14" t="s">
        <v>12087</v>
      </c>
      <c r="M1546" s="14">
        <v>2020</v>
      </c>
      <c r="N1546" s="14">
        <v>9781450370431</v>
      </c>
      <c r="O1546" s="26"/>
      <c r="P1546" s="17" t="s">
        <v>12238</v>
      </c>
      <c r="Q1546" s="14" t="s">
        <v>12239</v>
      </c>
      <c r="R1546" s="14" t="s">
        <v>12240</v>
      </c>
      <c r="S1546" s="14" t="s">
        <v>12241</v>
      </c>
      <c r="T1546" s="18"/>
      <c r="U1546" s="18"/>
      <c r="V1546" s="14" t="s">
        <v>12092</v>
      </c>
    </row>
    <row r="1547" spans="1:22" x14ac:dyDescent="0.25">
      <c r="A1547" s="14" t="s">
        <v>141</v>
      </c>
      <c r="B1547" s="14" t="s">
        <v>5637</v>
      </c>
      <c r="C1547" s="14" t="s">
        <v>5638</v>
      </c>
      <c r="D1547" s="18"/>
      <c r="E1547" s="14">
        <v>2017</v>
      </c>
      <c r="F1547" s="18"/>
      <c r="G1547" s="18"/>
      <c r="H1547" s="14" t="s">
        <v>12242</v>
      </c>
      <c r="I1547" s="14" t="s">
        <v>11083</v>
      </c>
      <c r="J1547" s="14" t="s">
        <v>11403</v>
      </c>
      <c r="K1547" s="14" t="s">
        <v>12243</v>
      </c>
      <c r="L1547" s="27"/>
      <c r="M1547" s="14">
        <v>2017</v>
      </c>
      <c r="N1547" s="14">
        <v>9781538605356</v>
      </c>
      <c r="O1547" s="26"/>
      <c r="P1547" s="17" t="s">
        <v>12244</v>
      </c>
      <c r="Q1547" s="14" t="s">
        <v>5641</v>
      </c>
      <c r="R1547" s="14" t="s">
        <v>12245</v>
      </c>
      <c r="S1547" s="14" t="s">
        <v>12246</v>
      </c>
      <c r="T1547" s="18"/>
      <c r="U1547" s="18"/>
      <c r="V1547" s="14" t="s">
        <v>12247</v>
      </c>
    </row>
    <row r="1548" spans="1:22" x14ac:dyDescent="0.25">
      <c r="A1548" s="14" t="s">
        <v>141</v>
      </c>
      <c r="B1548" s="14" t="s">
        <v>7772</v>
      </c>
      <c r="C1548" s="14" t="s">
        <v>7773</v>
      </c>
      <c r="D1548" s="18"/>
      <c r="E1548" s="14">
        <v>2018</v>
      </c>
      <c r="F1548" s="18"/>
      <c r="G1548" s="18"/>
      <c r="H1548" s="14" t="s">
        <v>12248</v>
      </c>
      <c r="I1548" s="14" t="s">
        <v>145</v>
      </c>
      <c r="J1548" s="14" t="s">
        <v>11044</v>
      </c>
      <c r="K1548" s="14" t="s">
        <v>12249</v>
      </c>
      <c r="L1548" s="14" t="s">
        <v>12250</v>
      </c>
      <c r="M1548" s="14">
        <v>2018</v>
      </c>
      <c r="N1548" s="14">
        <v>9781450359375</v>
      </c>
      <c r="O1548" s="26"/>
      <c r="P1548" s="17" t="s">
        <v>12251</v>
      </c>
      <c r="Q1548" s="14" t="s">
        <v>7777</v>
      </c>
      <c r="R1548" s="14" t="s">
        <v>12252</v>
      </c>
      <c r="S1548" s="14" t="s">
        <v>12253</v>
      </c>
      <c r="T1548" s="18"/>
      <c r="U1548" s="18"/>
      <c r="V1548" s="14" t="s">
        <v>12254</v>
      </c>
    </row>
    <row r="1549" spans="1:22" x14ac:dyDescent="0.25">
      <c r="A1549" s="14" t="s">
        <v>141</v>
      </c>
      <c r="B1549" s="14" t="s">
        <v>660</v>
      </c>
      <c r="C1549" s="14" t="s">
        <v>661</v>
      </c>
      <c r="D1549" s="18"/>
      <c r="E1549" s="14">
        <v>2022</v>
      </c>
      <c r="F1549" s="18"/>
      <c r="G1549" s="18"/>
      <c r="H1549" s="14" t="s">
        <v>12255</v>
      </c>
      <c r="I1549" s="14" t="s">
        <v>145</v>
      </c>
      <c r="J1549" s="14" t="s">
        <v>11044</v>
      </c>
      <c r="K1549" s="14" t="s">
        <v>12256</v>
      </c>
      <c r="L1549" s="14" t="s">
        <v>12257</v>
      </c>
      <c r="M1549" s="14">
        <v>2022</v>
      </c>
      <c r="N1549" s="14">
        <v>9781450395717</v>
      </c>
      <c r="O1549" s="26"/>
      <c r="P1549" s="17" t="s">
        <v>12258</v>
      </c>
      <c r="Q1549" s="14" t="s">
        <v>664</v>
      </c>
      <c r="R1549" s="18"/>
      <c r="S1549" s="14" t="s">
        <v>12259</v>
      </c>
      <c r="T1549" s="18"/>
      <c r="U1549" s="18"/>
      <c r="V1549" s="14" t="s">
        <v>12260</v>
      </c>
    </row>
    <row r="1550" spans="1:22" x14ac:dyDescent="0.25">
      <c r="A1550" s="14" t="s">
        <v>141</v>
      </c>
      <c r="B1550" s="14" t="s">
        <v>12261</v>
      </c>
      <c r="C1550" s="14" t="s">
        <v>7261</v>
      </c>
      <c r="D1550" s="18"/>
      <c r="E1550" s="14">
        <v>2019</v>
      </c>
      <c r="F1550" s="18"/>
      <c r="G1550" s="18"/>
      <c r="H1550" s="14" t="s">
        <v>11155</v>
      </c>
      <c r="I1550" s="14" t="s">
        <v>11083</v>
      </c>
      <c r="J1550" s="14" t="s">
        <v>11147</v>
      </c>
      <c r="K1550" s="14" t="s">
        <v>11148</v>
      </c>
      <c r="L1550" s="27"/>
      <c r="M1550" s="14">
        <v>2019</v>
      </c>
      <c r="N1550" s="18"/>
      <c r="O1550" s="26"/>
      <c r="P1550" s="17" t="s">
        <v>12262</v>
      </c>
      <c r="Q1550" s="14" t="s">
        <v>7263</v>
      </c>
      <c r="R1550" s="14" t="s">
        <v>12263</v>
      </c>
      <c r="S1550" s="14" t="s">
        <v>12264</v>
      </c>
      <c r="T1550" s="18"/>
      <c r="U1550" s="18"/>
      <c r="V1550" s="14" t="s">
        <v>11152</v>
      </c>
    </row>
    <row r="1551" spans="1:22" x14ac:dyDescent="0.25">
      <c r="A1551" s="14" t="s">
        <v>141</v>
      </c>
      <c r="B1551" s="14" t="s">
        <v>3062</v>
      </c>
      <c r="C1551" s="14" t="s">
        <v>7470</v>
      </c>
      <c r="D1551" s="18"/>
      <c r="E1551" s="14">
        <v>2019</v>
      </c>
      <c r="F1551" s="18"/>
      <c r="G1551" s="18"/>
      <c r="H1551" s="14" t="s">
        <v>12265</v>
      </c>
      <c r="I1551" s="14" t="s">
        <v>11083</v>
      </c>
      <c r="J1551" s="14" t="s">
        <v>11147</v>
      </c>
      <c r="K1551" s="14" t="s">
        <v>12266</v>
      </c>
      <c r="L1551" s="27"/>
      <c r="M1551" s="14">
        <v>2019</v>
      </c>
      <c r="N1551" s="18"/>
      <c r="O1551" s="26"/>
      <c r="P1551" s="17" t="s">
        <v>12267</v>
      </c>
      <c r="Q1551" s="14" t="s">
        <v>4558</v>
      </c>
      <c r="R1551" s="14" t="s">
        <v>7474</v>
      </c>
      <c r="S1551" s="14" t="s">
        <v>12268</v>
      </c>
      <c r="T1551" s="18"/>
      <c r="U1551" s="18"/>
      <c r="V1551" s="14" t="s">
        <v>12269</v>
      </c>
    </row>
    <row r="1552" spans="1:22" x14ac:dyDescent="0.25">
      <c r="A1552" s="14" t="s">
        <v>141</v>
      </c>
      <c r="B1552" s="14" t="s">
        <v>6984</v>
      </c>
      <c r="C1552" s="14" t="s">
        <v>12270</v>
      </c>
      <c r="D1552" s="18"/>
      <c r="E1552" s="14">
        <v>2019</v>
      </c>
      <c r="F1552" s="18"/>
      <c r="G1552" s="18"/>
      <c r="H1552" s="14" t="s">
        <v>12271</v>
      </c>
      <c r="I1552" s="14" t="s">
        <v>11083</v>
      </c>
      <c r="J1552" s="14" t="s">
        <v>11147</v>
      </c>
      <c r="K1552" s="14" t="s">
        <v>12272</v>
      </c>
      <c r="L1552" s="27"/>
      <c r="M1552" s="14">
        <v>2019</v>
      </c>
      <c r="N1552" s="18"/>
      <c r="O1552" s="26"/>
      <c r="P1552" s="17" t="s">
        <v>12273</v>
      </c>
      <c r="Q1552" s="14" t="s">
        <v>6988</v>
      </c>
      <c r="R1552" s="14" t="s">
        <v>6989</v>
      </c>
      <c r="S1552" s="14" t="s">
        <v>12274</v>
      </c>
      <c r="T1552" s="18"/>
      <c r="U1552" s="18"/>
      <c r="V1552" s="14" t="s">
        <v>12275</v>
      </c>
    </row>
    <row r="1553" spans="1:22" x14ac:dyDescent="0.25">
      <c r="A1553" s="14" t="s">
        <v>141</v>
      </c>
      <c r="B1553" s="14" t="s">
        <v>5782</v>
      </c>
      <c r="C1553" s="14" t="s">
        <v>12276</v>
      </c>
      <c r="D1553" s="18"/>
      <c r="E1553" s="14">
        <v>2018</v>
      </c>
      <c r="F1553" s="18"/>
      <c r="G1553" s="18"/>
      <c r="H1553" s="14" t="s">
        <v>11092</v>
      </c>
      <c r="I1553" s="14" t="s">
        <v>145</v>
      </c>
      <c r="J1553" s="14" t="s">
        <v>11044</v>
      </c>
      <c r="K1553" s="14" t="s">
        <v>12277</v>
      </c>
      <c r="L1553" s="14" t="s">
        <v>11931</v>
      </c>
      <c r="M1553" s="14">
        <v>2018</v>
      </c>
      <c r="N1553" s="14">
        <v>9781450360555</v>
      </c>
      <c r="O1553" s="26"/>
      <c r="P1553" s="17" t="s">
        <v>12278</v>
      </c>
      <c r="Q1553" s="14" t="s">
        <v>5786</v>
      </c>
      <c r="R1553" s="14" t="s">
        <v>12279</v>
      </c>
      <c r="S1553" s="14" t="s">
        <v>12280</v>
      </c>
      <c r="T1553" s="18"/>
      <c r="U1553" s="18"/>
      <c r="V1553" s="14" t="s">
        <v>12281</v>
      </c>
    </row>
    <row r="1554" spans="1:22" x14ac:dyDescent="0.25">
      <c r="A1554" s="14" t="s">
        <v>141</v>
      </c>
      <c r="B1554" s="14" t="s">
        <v>4517</v>
      </c>
      <c r="C1554" s="14" t="s">
        <v>12282</v>
      </c>
      <c r="D1554" s="18"/>
      <c r="E1554" s="14">
        <v>2020</v>
      </c>
      <c r="F1554" s="18"/>
      <c r="G1554" s="18"/>
      <c r="H1554" s="14" t="s">
        <v>12283</v>
      </c>
      <c r="I1554" s="14" t="s">
        <v>145</v>
      </c>
      <c r="J1554" s="14" t="s">
        <v>11044</v>
      </c>
      <c r="K1554" s="14" t="s">
        <v>12163</v>
      </c>
      <c r="L1554" s="14" t="s">
        <v>11046</v>
      </c>
      <c r="M1554" s="14">
        <v>2020</v>
      </c>
      <c r="N1554" s="14">
        <v>9781450371216</v>
      </c>
      <c r="O1554" s="26"/>
      <c r="P1554" s="17" t="s">
        <v>12284</v>
      </c>
      <c r="Q1554" s="14" t="s">
        <v>4521</v>
      </c>
      <c r="R1554" s="14" t="s">
        <v>12285</v>
      </c>
      <c r="S1554" s="14" t="s">
        <v>12286</v>
      </c>
      <c r="T1554" s="18"/>
      <c r="U1554" s="18"/>
      <c r="V1554" s="14" t="s">
        <v>11050</v>
      </c>
    </row>
    <row r="1555" spans="1:22" x14ac:dyDescent="0.25">
      <c r="A1555" s="14" t="s">
        <v>141</v>
      </c>
      <c r="B1555" s="14" t="s">
        <v>7601</v>
      </c>
      <c r="C1555" s="14" t="s">
        <v>7602</v>
      </c>
      <c r="D1555" s="18"/>
      <c r="E1555" s="14">
        <v>2021</v>
      </c>
      <c r="F1555" s="18"/>
      <c r="G1555" s="18"/>
      <c r="H1555" s="14" t="s">
        <v>12287</v>
      </c>
      <c r="I1555" s="14" t="s">
        <v>11083</v>
      </c>
      <c r="J1555" s="14" t="s">
        <v>11084</v>
      </c>
      <c r="K1555" s="14" t="s">
        <v>11085</v>
      </c>
      <c r="L1555" s="27"/>
      <c r="M1555" s="14">
        <v>2021</v>
      </c>
      <c r="N1555" s="14">
        <v>9781450390859</v>
      </c>
      <c r="O1555" s="26"/>
      <c r="P1555" s="17" t="s">
        <v>12288</v>
      </c>
      <c r="Q1555" s="14" t="s">
        <v>7605</v>
      </c>
      <c r="R1555" s="14" t="s">
        <v>7606</v>
      </c>
      <c r="S1555" s="14" t="s">
        <v>12289</v>
      </c>
      <c r="T1555" s="18"/>
      <c r="U1555" s="18"/>
      <c r="V1555" s="14" t="s">
        <v>11089</v>
      </c>
    </row>
    <row r="1556" spans="1:22" x14ac:dyDescent="0.25">
      <c r="A1556" s="14" t="s">
        <v>141</v>
      </c>
      <c r="B1556" s="14" t="s">
        <v>12290</v>
      </c>
      <c r="C1556" s="14" t="s">
        <v>12291</v>
      </c>
      <c r="D1556" s="18"/>
      <c r="E1556" s="14">
        <v>2016</v>
      </c>
      <c r="F1556" s="18"/>
      <c r="G1556" s="18"/>
      <c r="H1556" s="14" t="s">
        <v>12292</v>
      </c>
      <c r="I1556" s="14" t="s">
        <v>145</v>
      </c>
      <c r="J1556" s="14" t="s">
        <v>11044</v>
      </c>
      <c r="K1556" s="14" t="s">
        <v>12293</v>
      </c>
      <c r="L1556" s="14" t="s">
        <v>12294</v>
      </c>
      <c r="M1556" s="14">
        <v>2016</v>
      </c>
      <c r="N1556" s="14">
        <v>9781450337397</v>
      </c>
      <c r="O1556" s="26"/>
      <c r="P1556" s="17" t="s">
        <v>12295</v>
      </c>
      <c r="Q1556" s="14" t="s">
        <v>12296</v>
      </c>
      <c r="R1556" s="14" t="s">
        <v>12297</v>
      </c>
      <c r="S1556" s="14" t="s">
        <v>12298</v>
      </c>
      <c r="T1556" s="18"/>
      <c r="U1556" s="18"/>
      <c r="V1556" s="14" t="s">
        <v>12299</v>
      </c>
    </row>
    <row r="1557" spans="1:22" x14ac:dyDescent="0.25">
      <c r="A1557" s="14" t="s">
        <v>141</v>
      </c>
      <c r="B1557" s="14" t="s">
        <v>12300</v>
      </c>
      <c r="C1557" s="14" t="s">
        <v>12301</v>
      </c>
      <c r="D1557" s="18"/>
      <c r="E1557" s="14">
        <v>2019</v>
      </c>
      <c r="F1557" s="18"/>
      <c r="G1557" s="18"/>
      <c r="H1557" s="14" t="s">
        <v>12302</v>
      </c>
      <c r="I1557" s="14" t="s">
        <v>145</v>
      </c>
      <c r="J1557" s="14" t="s">
        <v>11044</v>
      </c>
      <c r="K1557" s="14" t="s">
        <v>11622</v>
      </c>
      <c r="L1557" s="14" t="s">
        <v>11623</v>
      </c>
      <c r="M1557" s="14">
        <v>2019</v>
      </c>
      <c r="N1557" s="14">
        <v>9781450368285</v>
      </c>
      <c r="O1557" s="26"/>
      <c r="P1557" s="17" t="s">
        <v>12303</v>
      </c>
      <c r="Q1557" s="14" t="s">
        <v>12304</v>
      </c>
      <c r="R1557" s="14" t="s">
        <v>12305</v>
      </c>
      <c r="S1557" s="14" t="s">
        <v>12306</v>
      </c>
      <c r="T1557" s="18"/>
      <c r="U1557" s="18"/>
      <c r="V1557" s="14" t="s">
        <v>11628</v>
      </c>
    </row>
    <row r="1558" spans="1:22" x14ac:dyDescent="0.25">
      <c r="A1558" s="14" t="s">
        <v>141</v>
      </c>
      <c r="B1558" s="14" t="s">
        <v>7569</v>
      </c>
      <c r="C1558" s="14" t="s">
        <v>7817</v>
      </c>
      <c r="D1558" s="18"/>
      <c r="E1558" s="14">
        <v>2016</v>
      </c>
      <c r="F1558" s="18"/>
      <c r="G1558" s="18"/>
      <c r="H1558" s="14" t="s">
        <v>12307</v>
      </c>
      <c r="I1558" s="14" t="s">
        <v>145</v>
      </c>
      <c r="J1558" s="14" t="s">
        <v>11044</v>
      </c>
      <c r="K1558" s="14" t="s">
        <v>12308</v>
      </c>
      <c r="L1558" s="14" t="s">
        <v>11070</v>
      </c>
      <c r="M1558" s="14">
        <v>2016</v>
      </c>
      <c r="N1558" s="14">
        <v>9781450339001</v>
      </c>
      <c r="O1558" s="26"/>
      <c r="P1558" s="17" t="s">
        <v>12309</v>
      </c>
      <c r="Q1558" s="14" t="s">
        <v>7821</v>
      </c>
      <c r="R1558" s="14" t="s">
        <v>12310</v>
      </c>
      <c r="S1558" s="14" t="s">
        <v>12311</v>
      </c>
      <c r="T1558" s="18"/>
      <c r="U1558" s="18"/>
      <c r="V1558" s="14" t="s">
        <v>12016</v>
      </c>
    </row>
    <row r="1559" spans="1:22" x14ac:dyDescent="0.25">
      <c r="A1559" s="14" t="s">
        <v>141</v>
      </c>
      <c r="B1559" s="14" t="s">
        <v>7165</v>
      </c>
      <c r="C1559" s="14" t="s">
        <v>12312</v>
      </c>
      <c r="D1559" s="18"/>
      <c r="E1559" s="14">
        <v>2020</v>
      </c>
      <c r="F1559" s="18"/>
      <c r="G1559" s="18"/>
      <c r="H1559" s="14" t="s">
        <v>11347</v>
      </c>
      <c r="I1559" s="14" t="s">
        <v>145</v>
      </c>
      <c r="J1559" s="14" t="s">
        <v>11044</v>
      </c>
      <c r="K1559" s="14" t="s">
        <v>12313</v>
      </c>
      <c r="L1559" s="14" t="s">
        <v>11046</v>
      </c>
      <c r="M1559" s="14">
        <v>2020</v>
      </c>
      <c r="N1559" s="14">
        <v>9781450371230</v>
      </c>
      <c r="O1559" s="26"/>
      <c r="P1559" s="17" t="s">
        <v>12314</v>
      </c>
      <c r="Q1559" s="14" t="s">
        <v>12315</v>
      </c>
      <c r="R1559" s="14" t="s">
        <v>12316</v>
      </c>
      <c r="S1559" s="18"/>
      <c r="T1559" s="18"/>
      <c r="U1559" s="18"/>
      <c r="V1559" s="14" t="s">
        <v>12317</v>
      </c>
    </row>
    <row r="1560" spans="1:22" x14ac:dyDescent="0.25">
      <c r="A1560" s="14" t="s">
        <v>141</v>
      </c>
      <c r="B1560" s="14" t="s">
        <v>4140</v>
      </c>
      <c r="C1560" s="14" t="s">
        <v>12318</v>
      </c>
      <c r="D1560" s="18"/>
      <c r="E1560" s="14">
        <v>2019</v>
      </c>
      <c r="F1560" s="18"/>
      <c r="G1560" s="18"/>
      <c r="H1560" s="14" t="s">
        <v>12319</v>
      </c>
      <c r="I1560" s="14" t="s">
        <v>145</v>
      </c>
      <c r="J1560" s="14" t="s">
        <v>11044</v>
      </c>
      <c r="K1560" s="14" t="s">
        <v>12320</v>
      </c>
      <c r="L1560" s="14" t="s">
        <v>11187</v>
      </c>
      <c r="M1560" s="14">
        <v>2019</v>
      </c>
      <c r="N1560" s="14">
        <v>9781450355728</v>
      </c>
      <c r="O1560" s="26"/>
      <c r="P1560" s="17" t="s">
        <v>12321</v>
      </c>
      <c r="Q1560" s="14" t="s">
        <v>4143</v>
      </c>
      <c r="R1560" s="14" t="s">
        <v>12322</v>
      </c>
      <c r="S1560" s="14" t="s">
        <v>12323</v>
      </c>
      <c r="T1560" s="18"/>
      <c r="U1560" s="18"/>
      <c r="V1560" s="14" t="s">
        <v>12324</v>
      </c>
    </row>
    <row r="1561" spans="1:22" x14ac:dyDescent="0.25">
      <c r="A1561" s="14" t="s">
        <v>13</v>
      </c>
      <c r="B1561" s="14" t="s">
        <v>12325</v>
      </c>
      <c r="C1561" s="14" t="s">
        <v>12326</v>
      </c>
      <c r="D1561" s="14" t="s">
        <v>11061</v>
      </c>
      <c r="E1561" s="14">
        <v>2018</v>
      </c>
      <c r="F1561" s="14">
        <v>43</v>
      </c>
      <c r="G1561" s="14">
        <v>1</v>
      </c>
      <c r="H1561" s="14" t="s">
        <v>11481</v>
      </c>
      <c r="I1561" s="14" t="s">
        <v>145</v>
      </c>
      <c r="J1561" s="14" t="s">
        <v>11044</v>
      </c>
      <c r="K1561" s="26"/>
      <c r="L1561" s="27"/>
      <c r="M1561" s="20">
        <v>43160</v>
      </c>
      <c r="N1561" s="18"/>
      <c r="O1561" s="14" t="s">
        <v>11063</v>
      </c>
      <c r="P1561" s="17" t="s">
        <v>12327</v>
      </c>
      <c r="Q1561" s="14" t="s">
        <v>12328</v>
      </c>
      <c r="R1561" s="14" t="s">
        <v>12329</v>
      </c>
      <c r="S1561" s="14" t="s">
        <v>12330</v>
      </c>
      <c r="T1561" s="18"/>
      <c r="U1561" s="18"/>
      <c r="V1561" s="18"/>
    </row>
    <row r="1562" spans="1:22" x14ac:dyDescent="0.25">
      <c r="A1562" s="14" t="s">
        <v>141</v>
      </c>
      <c r="B1562" s="14" t="s">
        <v>12331</v>
      </c>
      <c r="C1562" s="14" t="s">
        <v>12332</v>
      </c>
      <c r="D1562" s="18"/>
      <c r="E1562" s="14">
        <v>2021</v>
      </c>
      <c r="F1562" s="18"/>
      <c r="G1562" s="18"/>
      <c r="H1562" s="14" t="s">
        <v>12333</v>
      </c>
      <c r="I1562" s="14" t="s">
        <v>145</v>
      </c>
      <c r="J1562" s="14" t="s">
        <v>11044</v>
      </c>
      <c r="K1562" s="14" t="s">
        <v>12334</v>
      </c>
      <c r="L1562" s="14" t="s">
        <v>12335</v>
      </c>
      <c r="M1562" s="14">
        <v>2021</v>
      </c>
      <c r="N1562" s="14">
        <v>9781450382144</v>
      </c>
      <c r="O1562" s="26"/>
      <c r="P1562" s="17" t="s">
        <v>12336</v>
      </c>
      <c r="Q1562" s="14" t="s">
        <v>12337</v>
      </c>
      <c r="R1562" s="14" t="s">
        <v>12338</v>
      </c>
      <c r="S1562" s="14" t="s">
        <v>12339</v>
      </c>
      <c r="T1562" s="18"/>
      <c r="U1562" s="18"/>
      <c r="V1562" s="14" t="s">
        <v>12340</v>
      </c>
    </row>
    <row r="1563" spans="1:22" x14ac:dyDescent="0.25">
      <c r="A1563" s="14" t="s">
        <v>141</v>
      </c>
      <c r="B1563" s="14" t="s">
        <v>12341</v>
      </c>
      <c r="C1563" s="14" t="s">
        <v>12342</v>
      </c>
      <c r="D1563" s="18"/>
      <c r="E1563" s="14">
        <v>2020</v>
      </c>
      <c r="F1563" s="18"/>
      <c r="G1563" s="18"/>
      <c r="H1563" s="14" t="s">
        <v>12343</v>
      </c>
      <c r="I1563" s="14" t="s">
        <v>145</v>
      </c>
      <c r="J1563" s="14" t="s">
        <v>11044</v>
      </c>
      <c r="K1563" s="14" t="s">
        <v>12086</v>
      </c>
      <c r="L1563" s="14" t="s">
        <v>12087</v>
      </c>
      <c r="M1563" s="14">
        <v>2020</v>
      </c>
      <c r="N1563" s="14">
        <v>9781450370431</v>
      </c>
      <c r="O1563" s="26"/>
      <c r="P1563" s="17" t="s">
        <v>12344</v>
      </c>
      <c r="Q1563" s="14" t="s">
        <v>12345</v>
      </c>
      <c r="R1563" s="14" t="s">
        <v>12346</v>
      </c>
      <c r="S1563" s="14" t="s">
        <v>12347</v>
      </c>
      <c r="T1563" s="18"/>
      <c r="U1563" s="18"/>
      <c r="V1563" s="14" t="s">
        <v>12092</v>
      </c>
    </row>
    <row r="1564" spans="1:22" x14ac:dyDescent="0.25">
      <c r="A1564" s="14" t="s">
        <v>141</v>
      </c>
      <c r="B1564" s="14" t="s">
        <v>8249</v>
      </c>
      <c r="C1564" s="14" t="s">
        <v>8250</v>
      </c>
      <c r="D1564" s="18"/>
      <c r="E1564" s="14">
        <v>2022</v>
      </c>
      <c r="F1564" s="18"/>
      <c r="G1564" s="18"/>
      <c r="H1564" s="14" t="s">
        <v>12348</v>
      </c>
      <c r="I1564" s="14" t="s">
        <v>145</v>
      </c>
      <c r="J1564" s="14" t="s">
        <v>11044</v>
      </c>
      <c r="K1564" s="14" t="s">
        <v>11326</v>
      </c>
      <c r="L1564" s="14" t="s">
        <v>11077</v>
      </c>
      <c r="M1564" s="14">
        <v>2022</v>
      </c>
      <c r="N1564" s="14">
        <v>9781450393034</v>
      </c>
      <c r="O1564" s="26"/>
      <c r="P1564" s="17" t="s">
        <v>12349</v>
      </c>
      <c r="Q1564" s="14" t="s">
        <v>8253</v>
      </c>
      <c r="R1564" s="14" t="s">
        <v>12350</v>
      </c>
      <c r="S1564" s="14" t="s">
        <v>12351</v>
      </c>
      <c r="T1564" s="18"/>
      <c r="U1564" s="18"/>
      <c r="V1564" s="14" t="s">
        <v>11329</v>
      </c>
    </row>
    <row r="1565" spans="1:22" x14ac:dyDescent="0.25">
      <c r="A1565" s="14" t="s">
        <v>13</v>
      </c>
      <c r="B1565" s="14" t="s">
        <v>12352</v>
      </c>
      <c r="C1565" s="14" t="s">
        <v>12353</v>
      </c>
      <c r="D1565" s="14" t="s">
        <v>12354</v>
      </c>
      <c r="E1565" s="14">
        <v>2022</v>
      </c>
      <c r="F1565" s="14">
        <v>6</v>
      </c>
      <c r="G1565" s="14" t="s">
        <v>1286</v>
      </c>
      <c r="H1565" s="28"/>
      <c r="I1565" s="14" t="s">
        <v>145</v>
      </c>
      <c r="J1565" s="14" t="s">
        <v>11044</v>
      </c>
      <c r="K1565" s="26"/>
      <c r="L1565" s="27"/>
      <c r="M1565" s="20">
        <v>44652</v>
      </c>
      <c r="N1565" s="18"/>
      <c r="O1565" s="26"/>
      <c r="P1565" s="17" t="s">
        <v>12355</v>
      </c>
      <c r="Q1565" s="14" t="s">
        <v>12356</v>
      </c>
      <c r="R1565" s="14" t="s">
        <v>12357</v>
      </c>
      <c r="S1565" s="14" t="s">
        <v>12358</v>
      </c>
      <c r="T1565" s="18"/>
      <c r="U1565" s="18"/>
      <c r="V1565" s="18"/>
    </row>
    <row r="1566" spans="1:22" x14ac:dyDescent="0.25">
      <c r="A1566" s="14" t="s">
        <v>141</v>
      </c>
      <c r="B1566" s="14" t="s">
        <v>8185</v>
      </c>
      <c r="C1566" s="14" t="s">
        <v>8186</v>
      </c>
      <c r="D1566" s="18"/>
      <c r="E1566" s="14">
        <v>2018</v>
      </c>
      <c r="F1566" s="18"/>
      <c r="G1566" s="18"/>
      <c r="H1566" s="14" t="s">
        <v>12359</v>
      </c>
      <c r="I1566" s="14" t="s">
        <v>145</v>
      </c>
      <c r="J1566" s="14" t="s">
        <v>11044</v>
      </c>
      <c r="K1566" s="14" t="s">
        <v>11281</v>
      </c>
      <c r="L1566" s="14" t="s">
        <v>11105</v>
      </c>
      <c r="M1566" s="14">
        <v>2018</v>
      </c>
      <c r="N1566" s="14">
        <v>9781450357166</v>
      </c>
      <c r="O1566" s="26"/>
      <c r="P1566" s="17" t="s">
        <v>12360</v>
      </c>
      <c r="Q1566" s="14" t="s">
        <v>12361</v>
      </c>
      <c r="R1566" s="14" t="s">
        <v>8188</v>
      </c>
      <c r="S1566" s="14" t="s">
        <v>12362</v>
      </c>
      <c r="T1566" s="18"/>
      <c r="U1566" s="18"/>
      <c r="V1566" s="14" t="s">
        <v>11283</v>
      </c>
    </row>
    <row r="1567" spans="1:22" x14ac:dyDescent="0.25">
      <c r="A1567" s="14" t="s">
        <v>13</v>
      </c>
      <c r="B1567" s="14" t="s">
        <v>12363</v>
      </c>
      <c r="C1567" s="14" t="s">
        <v>12364</v>
      </c>
      <c r="D1567" s="14" t="s">
        <v>11246</v>
      </c>
      <c r="E1567" s="14">
        <v>2021</v>
      </c>
      <c r="F1567" s="14">
        <v>31</v>
      </c>
      <c r="G1567" s="14">
        <v>1</v>
      </c>
      <c r="H1567" s="28"/>
      <c r="I1567" s="14" t="s">
        <v>145</v>
      </c>
      <c r="J1567" s="14" t="s">
        <v>11044</v>
      </c>
      <c r="K1567" s="26"/>
      <c r="L1567" s="27"/>
      <c r="M1567" s="20">
        <v>44440</v>
      </c>
      <c r="N1567" s="18"/>
      <c r="O1567" s="14" t="s">
        <v>329</v>
      </c>
      <c r="P1567" s="17" t="s">
        <v>12365</v>
      </c>
      <c r="Q1567" s="14" t="s">
        <v>12366</v>
      </c>
      <c r="R1567" s="14" t="s">
        <v>12367</v>
      </c>
      <c r="S1567" s="14" t="s">
        <v>12368</v>
      </c>
      <c r="T1567" s="18"/>
      <c r="U1567" s="18"/>
      <c r="V1567" s="18"/>
    </row>
    <row r="1568" spans="1:22" x14ac:dyDescent="0.25">
      <c r="A1568" s="14" t="s">
        <v>141</v>
      </c>
      <c r="B1568" s="14" t="s">
        <v>8080</v>
      </c>
      <c r="C1568" s="14" t="s">
        <v>8081</v>
      </c>
      <c r="D1568" s="18"/>
      <c r="E1568" s="14">
        <v>2017</v>
      </c>
      <c r="F1568" s="18"/>
      <c r="G1568" s="18"/>
      <c r="H1568" s="14" t="s">
        <v>12003</v>
      </c>
      <c r="I1568" s="14" t="s">
        <v>11083</v>
      </c>
      <c r="J1568" s="14" t="s">
        <v>11403</v>
      </c>
      <c r="K1568" s="14" t="s">
        <v>12369</v>
      </c>
      <c r="L1568" s="27"/>
      <c r="M1568" s="14">
        <v>2017</v>
      </c>
      <c r="N1568" s="14">
        <v>9781538615485</v>
      </c>
      <c r="O1568" s="26"/>
      <c r="P1568" s="17" t="s">
        <v>12370</v>
      </c>
      <c r="Q1568" s="14" t="s">
        <v>8084</v>
      </c>
      <c r="R1568" s="14" t="s">
        <v>8085</v>
      </c>
      <c r="S1568" s="14" t="s">
        <v>12371</v>
      </c>
      <c r="T1568" s="18"/>
      <c r="U1568" s="18"/>
      <c r="V1568" s="14" t="s">
        <v>12372</v>
      </c>
    </row>
    <row r="1569" spans="1:22" x14ac:dyDescent="0.25">
      <c r="A1569" s="14" t="s">
        <v>141</v>
      </c>
      <c r="B1569" s="14" t="s">
        <v>8129</v>
      </c>
      <c r="C1569" s="14" t="s">
        <v>2112</v>
      </c>
      <c r="D1569" s="18"/>
      <c r="E1569" s="14">
        <v>2022</v>
      </c>
      <c r="F1569" s="18"/>
      <c r="G1569" s="18"/>
      <c r="H1569" s="14" t="s">
        <v>12373</v>
      </c>
      <c r="I1569" s="14" t="s">
        <v>145</v>
      </c>
      <c r="J1569" s="14" t="s">
        <v>11044</v>
      </c>
      <c r="K1569" s="14" t="s">
        <v>11326</v>
      </c>
      <c r="L1569" s="14" t="s">
        <v>11077</v>
      </c>
      <c r="M1569" s="14">
        <v>2022</v>
      </c>
      <c r="N1569" s="14">
        <v>9781450393034</v>
      </c>
      <c r="O1569" s="26"/>
      <c r="P1569" s="17" t="s">
        <v>12374</v>
      </c>
      <c r="Q1569" s="14" t="s">
        <v>2115</v>
      </c>
      <c r="R1569" s="14" t="s">
        <v>12375</v>
      </c>
      <c r="S1569" s="14" t="s">
        <v>12376</v>
      </c>
      <c r="T1569" s="18"/>
      <c r="U1569" s="18"/>
      <c r="V1569" s="14" t="s">
        <v>11329</v>
      </c>
    </row>
    <row r="1570" spans="1:22" x14ac:dyDescent="0.25">
      <c r="A1570" s="14" t="s">
        <v>141</v>
      </c>
      <c r="B1570" s="14" t="s">
        <v>7824</v>
      </c>
      <c r="C1570" s="14" t="s">
        <v>7825</v>
      </c>
      <c r="D1570" s="18"/>
      <c r="E1570" s="14">
        <v>2019</v>
      </c>
      <c r="F1570" s="18"/>
      <c r="G1570" s="18"/>
      <c r="H1570" s="14" t="s">
        <v>12377</v>
      </c>
      <c r="I1570" s="14" t="s">
        <v>11083</v>
      </c>
      <c r="J1570" s="14" t="s">
        <v>11147</v>
      </c>
      <c r="K1570" s="14" t="s">
        <v>12272</v>
      </c>
      <c r="L1570" s="27"/>
      <c r="M1570" s="14">
        <v>2019</v>
      </c>
      <c r="N1570" s="18"/>
      <c r="O1570" s="26"/>
      <c r="P1570" s="17" t="s">
        <v>12378</v>
      </c>
      <c r="Q1570" s="14" t="s">
        <v>7828</v>
      </c>
      <c r="R1570" s="14" t="s">
        <v>12379</v>
      </c>
      <c r="S1570" s="14" t="s">
        <v>12380</v>
      </c>
      <c r="T1570" s="18"/>
      <c r="U1570" s="18"/>
      <c r="V1570" s="14" t="s">
        <v>12275</v>
      </c>
    </row>
    <row r="1571" spans="1:22" x14ac:dyDescent="0.25">
      <c r="A1571" s="14" t="s">
        <v>141</v>
      </c>
      <c r="B1571" s="14" t="s">
        <v>12381</v>
      </c>
      <c r="C1571" s="14" t="s">
        <v>12382</v>
      </c>
      <c r="D1571" s="18"/>
      <c r="E1571" s="14">
        <v>2018</v>
      </c>
      <c r="F1571" s="18"/>
      <c r="G1571" s="18"/>
      <c r="H1571" s="14" t="s">
        <v>12383</v>
      </c>
      <c r="I1571" s="14" t="s">
        <v>145</v>
      </c>
      <c r="J1571" s="14" t="s">
        <v>11044</v>
      </c>
      <c r="K1571" s="14" t="s">
        <v>12384</v>
      </c>
      <c r="L1571" s="14" t="s">
        <v>11105</v>
      </c>
      <c r="M1571" s="14">
        <v>2018</v>
      </c>
      <c r="N1571" s="14">
        <v>9781450356381</v>
      </c>
      <c r="O1571" s="26"/>
      <c r="P1571" s="17" t="s">
        <v>12385</v>
      </c>
      <c r="Q1571" s="14" t="s">
        <v>12386</v>
      </c>
      <c r="R1571" s="14" t="s">
        <v>12387</v>
      </c>
      <c r="S1571" s="14" t="s">
        <v>12388</v>
      </c>
      <c r="T1571" s="18"/>
      <c r="U1571" s="18"/>
      <c r="V1571" s="14" t="s">
        <v>11359</v>
      </c>
    </row>
    <row r="1572" spans="1:22" x14ac:dyDescent="0.25">
      <c r="A1572" s="14" t="s">
        <v>141</v>
      </c>
      <c r="B1572" s="14" t="s">
        <v>12389</v>
      </c>
      <c r="C1572" s="14" t="s">
        <v>12390</v>
      </c>
      <c r="D1572" s="18"/>
      <c r="E1572" s="14">
        <v>2022</v>
      </c>
      <c r="F1572" s="18"/>
      <c r="G1572" s="18"/>
      <c r="H1572" s="14" t="s">
        <v>12391</v>
      </c>
      <c r="I1572" s="14" t="s">
        <v>145</v>
      </c>
      <c r="J1572" s="14" t="s">
        <v>11044</v>
      </c>
      <c r="K1572" s="14" t="s">
        <v>12392</v>
      </c>
      <c r="L1572" s="14" t="s">
        <v>12393</v>
      </c>
      <c r="M1572" s="14">
        <v>2022</v>
      </c>
      <c r="N1572" s="14">
        <v>9781450393799</v>
      </c>
      <c r="O1572" s="26"/>
      <c r="P1572" s="17" t="s">
        <v>12394</v>
      </c>
      <c r="Q1572" s="14" t="s">
        <v>12395</v>
      </c>
      <c r="R1572" s="14" t="s">
        <v>12396</v>
      </c>
      <c r="S1572" s="14" t="s">
        <v>12397</v>
      </c>
      <c r="T1572" s="18"/>
      <c r="U1572" s="18"/>
      <c r="V1572" s="14" t="s">
        <v>12398</v>
      </c>
    </row>
    <row r="1573" spans="1:22" x14ac:dyDescent="0.25">
      <c r="A1573" s="14" t="s">
        <v>141</v>
      </c>
      <c r="B1573" s="14" t="s">
        <v>12399</v>
      </c>
      <c r="C1573" s="14" t="s">
        <v>12400</v>
      </c>
      <c r="D1573" s="18"/>
      <c r="E1573" s="14">
        <v>2021</v>
      </c>
      <c r="F1573" s="18"/>
      <c r="G1573" s="18"/>
      <c r="H1573" s="14" t="s">
        <v>12401</v>
      </c>
      <c r="I1573" s="14" t="s">
        <v>145</v>
      </c>
      <c r="J1573" s="14" t="s">
        <v>11044</v>
      </c>
      <c r="K1573" s="14" t="s">
        <v>11653</v>
      </c>
      <c r="L1573" s="14" t="s">
        <v>11654</v>
      </c>
      <c r="M1573" s="14">
        <v>2021</v>
      </c>
      <c r="N1573" s="14">
        <v>9781450386586</v>
      </c>
      <c r="O1573" s="26"/>
      <c r="P1573" s="17" t="s">
        <v>12402</v>
      </c>
      <c r="Q1573" s="14" t="s">
        <v>12403</v>
      </c>
      <c r="R1573" s="18"/>
      <c r="S1573" s="14" t="s">
        <v>12404</v>
      </c>
      <c r="T1573" s="18"/>
      <c r="U1573" s="18"/>
      <c r="V1573" s="14" t="s">
        <v>11659</v>
      </c>
    </row>
    <row r="1574" spans="1:22" x14ac:dyDescent="0.25">
      <c r="A1574" s="14" t="s">
        <v>141</v>
      </c>
      <c r="B1574" s="14" t="s">
        <v>2460</v>
      </c>
      <c r="C1574" s="14" t="s">
        <v>12405</v>
      </c>
      <c r="D1574" s="18"/>
      <c r="E1574" s="14">
        <v>2021</v>
      </c>
      <c r="F1574" s="18"/>
      <c r="G1574" s="18"/>
      <c r="H1574" s="28"/>
      <c r="I1574" s="14" t="s">
        <v>145</v>
      </c>
      <c r="J1574" s="14" t="s">
        <v>11044</v>
      </c>
      <c r="K1574" s="14" t="s">
        <v>12406</v>
      </c>
      <c r="L1574" s="14" t="s">
        <v>11206</v>
      </c>
      <c r="M1574" s="14">
        <v>2021</v>
      </c>
      <c r="N1574" s="14">
        <v>9781450386654</v>
      </c>
      <c r="O1574" s="26"/>
      <c r="P1574" s="17" t="s">
        <v>12407</v>
      </c>
      <c r="Q1574" s="14" t="s">
        <v>2463</v>
      </c>
      <c r="R1574" s="14" t="s">
        <v>12408</v>
      </c>
      <c r="S1574" s="14" t="s">
        <v>12409</v>
      </c>
      <c r="T1574" s="18"/>
      <c r="U1574" s="18"/>
      <c r="V1574" s="14" t="s">
        <v>12410</v>
      </c>
    </row>
    <row r="1575" spans="1:22" x14ac:dyDescent="0.25">
      <c r="A1575" s="14" t="s">
        <v>141</v>
      </c>
      <c r="B1575" s="14" t="s">
        <v>5716</v>
      </c>
      <c r="C1575" s="14" t="s">
        <v>12411</v>
      </c>
      <c r="D1575" s="18"/>
      <c r="E1575" s="14">
        <v>2014</v>
      </c>
      <c r="F1575" s="18"/>
      <c r="G1575" s="18"/>
      <c r="H1575" s="14" t="s">
        <v>12412</v>
      </c>
      <c r="I1575" s="14" t="s">
        <v>145</v>
      </c>
      <c r="J1575" s="14" t="s">
        <v>11044</v>
      </c>
      <c r="K1575" s="14" t="s">
        <v>12413</v>
      </c>
      <c r="L1575" s="14" t="s">
        <v>12414</v>
      </c>
      <c r="M1575" s="14">
        <v>2014</v>
      </c>
      <c r="N1575" s="14">
        <v>9781450327688</v>
      </c>
      <c r="O1575" s="26"/>
      <c r="P1575" s="17" t="s">
        <v>12415</v>
      </c>
      <c r="Q1575" s="14" t="s">
        <v>5720</v>
      </c>
      <c r="R1575" s="14" t="s">
        <v>12416</v>
      </c>
      <c r="S1575" s="14" t="s">
        <v>12417</v>
      </c>
      <c r="T1575" s="18"/>
      <c r="U1575" s="18"/>
      <c r="V1575" s="14" t="s">
        <v>12418</v>
      </c>
    </row>
    <row r="1576" spans="1:22" x14ac:dyDescent="0.25">
      <c r="A1576" s="14" t="s">
        <v>141</v>
      </c>
      <c r="B1576" s="14" t="s">
        <v>12419</v>
      </c>
      <c r="C1576" s="14" t="s">
        <v>12420</v>
      </c>
      <c r="D1576" s="18"/>
      <c r="E1576" s="14">
        <v>2019</v>
      </c>
      <c r="F1576" s="18"/>
      <c r="G1576" s="18"/>
      <c r="H1576" s="14" t="s">
        <v>12421</v>
      </c>
      <c r="I1576" s="14" t="s">
        <v>145</v>
      </c>
      <c r="J1576" s="14" t="s">
        <v>11044</v>
      </c>
      <c r="K1576" s="14" t="s">
        <v>12422</v>
      </c>
      <c r="L1576" s="14" t="s">
        <v>11187</v>
      </c>
      <c r="M1576" s="14">
        <v>2019</v>
      </c>
      <c r="N1576" s="14">
        <v>9781450368506</v>
      </c>
      <c r="O1576" s="26"/>
      <c r="P1576" s="17" t="s">
        <v>12423</v>
      </c>
      <c r="Q1576" s="14" t="s">
        <v>12424</v>
      </c>
      <c r="R1576" s="14" t="s">
        <v>12425</v>
      </c>
      <c r="S1576" s="14" t="s">
        <v>12426</v>
      </c>
      <c r="T1576" s="18"/>
      <c r="U1576" s="18"/>
      <c r="V1576" s="14" t="s">
        <v>12427</v>
      </c>
    </row>
    <row r="1577" spans="1:22" x14ac:dyDescent="0.25">
      <c r="A1577" s="14" t="s">
        <v>141</v>
      </c>
      <c r="B1577" s="14" t="s">
        <v>8159</v>
      </c>
      <c r="C1577" s="14" t="s">
        <v>2551</v>
      </c>
      <c r="D1577" s="18"/>
      <c r="E1577" s="14">
        <v>2022</v>
      </c>
      <c r="F1577" s="18"/>
      <c r="G1577" s="18"/>
      <c r="H1577" s="14" t="s">
        <v>12428</v>
      </c>
      <c r="I1577" s="14" t="s">
        <v>145</v>
      </c>
      <c r="J1577" s="14" t="s">
        <v>11044</v>
      </c>
      <c r="K1577" s="14" t="s">
        <v>11326</v>
      </c>
      <c r="L1577" s="14" t="s">
        <v>11077</v>
      </c>
      <c r="M1577" s="14">
        <v>2022</v>
      </c>
      <c r="N1577" s="14">
        <v>9781450393034</v>
      </c>
      <c r="O1577" s="26"/>
      <c r="P1577" s="17" t="s">
        <v>12429</v>
      </c>
      <c r="Q1577" s="14" t="s">
        <v>2554</v>
      </c>
      <c r="R1577" s="14" t="s">
        <v>8162</v>
      </c>
      <c r="S1577" s="14" t="s">
        <v>12430</v>
      </c>
      <c r="T1577" s="18"/>
      <c r="U1577" s="18"/>
      <c r="V1577" s="14" t="s">
        <v>11329</v>
      </c>
    </row>
    <row r="1578" spans="1:22" x14ac:dyDescent="0.25">
      <c r="A1578" s="14" t="s">
        <v>13</v>
      </c>
      <c r="B1578" s="14" t="s">
        <v>12431</v>
      </c>
      <c r="C1578" s="14" t="s">
        <v>12432</v>
      </c>
      <c r="D1578" s="14" t="s">
        <v>11246</v>
      </c>
      <c r="E1578" s="14">
        <v>2021</v>
      </c>
      <c r="F1578" s="14">
        <v>31</v>
      </c>
      <c r="G1578" s="14">
        <v>1</v>
      </c>
      <c r="H1578" s="28"/>
      <c r="I1578" s="14" t="s">
        <v>145</v>
      </c>
      <c r="J1578" s="14" t="s">
        <v>11044</v>
      </c>
      <c r="K1578" s="26"/>
      <c r="L1578" s="27"/>
      <c r="M1578" s="20">
        <v>44440</v>
      </c>
      <c r="N1578" s="18"/>
      <c r="O1578" s="14" t="s">
        <v>329</v>
      </c>
      <c r="P1578" s="17" t="s">
        <v>12433</v>
      </c>
      <c r="Q1578" s="14" t="s">
        <v>12434</v>
      </c>
      <c r="R1578" s="14" t="s">
        <v>12435</v>
      </c>
      <c r="S1578" s="14" t="s">
        <v>12436</v>
      </c>
      <c r="T1578" s="18"/>
      <c r="U1578" s="18"/>
      <c r="V1578" s="18"/>
    </row>
    <row r="1579" spans="1:22" x14ac:dyDescent="0.25">
      <c r="A1579" s="14" t="s">
        <v>141</v>
      </c>
      <c r="B1579" s="14" t="s">
        <v>12437</v>
      </c>
      <c r="C1579" s="14" t="s">
        <v>12438</v>
      </c>
      <c r="D1579" s="18"/>
      <c r="E1579" s="14">
        <v>2014</v>
      </c>
      <c r="F1579" s="18"/>
      <c r="G1579" s="18"/>
      <c r="H1579" s="14" t="s">
        <v>11347</v>
      </c>
      <c r="I1579" s="14" t="s">
        <v>145</v>
      </c>
      <c r="J1579" s="14" t="s">
        <v>11044</v>
      </c>
      <c r="K1579" s="14" t="s">
        <v>12439</v>
      </c>
      <c r="L1579" s="14" t="s">
        <v>12440</v>
      </c>
      <c r="M1579" s="14">
        <v>2014</v>
      </c>
      <c r="N1579" s="14">
        <v>9781450331500</v>
      </c>
      <c r="O1579" s="26"/>
      <c r="P1579" s="17" t="s">
        <v>12441</v>
      </c>
      <c r="Q1579" s="14" t="s">
        <v>12442</v>
      </c>
      <c r="R1579" s="14" t="s">
        <v>12443</v>
      </c>
      <c r="S1579" s="14" t="s">
        <v>12444</v>
      </c>
      <c r="T1579" s="18"/>
      <c r="U1579" s="18"/>
      <c r="V1579" s="14" t="s">
        <v>12445</v>
      </c>
    </row>
    <row r="1580" spans="1:22" x14ac:dyDescent="0.25">
      <c r="A1580" s="14" t="s">
        <v>141</v>
      </c>
      <c r="B1580" s="14" t="s">
        <v>12446</v>
      </c>
      <c r="C1580" s="14" t="s">
        <v>12447</v>
      </c>
      <c r="D1580" s="18"/>
      <c r="E1580" s="14">
        <v>2020</v>
      </c>
      <c r="F1580" s="18"/>
      <c r="G1580" s="18"/>
      <c r="H1580" s="28"/>
      <c r="I1580" s="14" t="s">
        <v>145</v>
      </c>
      <c r="J1580" s="14" t="s">
        <v>11044</v>
      </c>
      <c r="K1580" s="14" t="s">
        <v>12448</v>
      </c>
      <c r="L1580" s="14" t="s">
        <v>12449</v>
      </c>
      <c r="M1580" s="14">
        <v>2020</v>
      </c>
      <c r="N1580" s="14">
        <v>9781450377331</v>
      </c>
      <c r="O1580" s="26"/>
      <c r="P1580" s="17" t="s">
        <v>12450</v>
      </c>
      <c r="Q1580" s="14" t="s">
        <v>12451</v>
      </c>
      <c r="R1580" s="14" t="s">
        <v>12452</v>
      </c>
      <c r="S1580" s="14" t="s">
        <v>12453</v>
      </c>
      <c r="T1580" s="18"/>
      <c r="U1580" s="18"/>
      <c r="V1580" s="14" t="s">
        <v>12454</v>
      </c>
    </row>
    <row r="1581" spans="1:22" x14ac:dyDescent="0.25">
      <c r="A1581" s="14" t="s">
        <v>141</v>
      </c>
      <c r="B1581" s="14" t="s">
        <v>12455</v>
      </c>
      <c r="C1581" s="14" t="s">
        <v>12456</v>
      </c>
      <c r="D1581" s="18"/>
      <c r="E1581" s="14">
        <v>2020</v>
      </c>
      <c r="F1581" s="18"/>
      <c r="G1581" s="18"/>
      <c r="H1581" s="14" t="s">
        <v>12457</v>
      </c>
      <c r="I1581" s="14" t="s">
        <v>145</v>
      </c>
      <c r="J1581" s="14" t="s">
        <v>11044</v>
      </c>
      <c r="K1581" s="14" t="s">
        <v>12458</v>
      </c>
      <c r="L1581" s="14" t="s">
        <v>12087</v>
      </c>
      <c r="M1581" s="14">
        <v>2020</v>
      </c>
      <c r="N1581" s="14">
        <v>9781450380850</v>
      </c>
      <c r="O1581" s="26"/>
      <c r="P1581" s="17" t="s">
        <v>12459</v>
      </c>
      <c r="Q1581" s="14" t="s">
        <v>12460</v>
      </c>
      <c r="R1581" s="14" t="s">
        <v>12461</v>
      </c>
      <c r="S1581" s="14" t="s">
        <v>12462</v>
      </c>
      <c r="T1581" s="18"/>
      <c r="U1581" s="18"/>
      <c r="V1581" s="14" t="s">
        <v>12463</v>
      </c>
    </row>
    <row r="1582" spans="1:22" x14ac:dyDescent="0.25">
      <c r="A1582" s="14" t="s">
        <v>13</v>
      </c>
      <c r="B1582" s="14" t="s">
        <v>12464</v>
      </c>
      <c r="C1582" s="14" t="s">
        <v>12465</v>
      </c>
      <c r="D1582" s="14" t="s">
        <v>11332</v>
      </c>
      <c r="E1582" s="14">
        <v>2023</v>
      </c>
      <c r="F1582" s="14">
        <v>55</v>
      </c>
      <c r="G1582" s="14">
        <v>9</v>
      </c>
      <c r="H1582" s="28"/>
      <c r="I1582" s="14" t="s">
        <v>145</v>
      </c>
      <c r="J1582" s="14" t="s">
        <v>11044</v>
      </c>
      <c r="K1582" s="26"/>
      <c r="L1582" s="27"/>
      <c r="M1582" s="20">
        <v>44927</v>
      </c>
      <c r="N1582" s="18"/>
      <c r="O1582" s="14" t="s">
        <v>5367</v>
      </c>
      <c r="P1582" s="17" t="s">
        <v>12466</v>
      </c>
      <c r="Q1582" s="14" t="s">
        <v>12467</v>
      </c>
      <c r="R1582" s="14" t="s">
        <v>12468</v>
      </c>
      <c r="S1582" s="14" t="s">
        <v>12469</v>
      </c>
      <c r="T1582" s="18"/>
      <c r="U1582" s="18"/>
      <c r="V1582" s="18"/>
    </row>
    <row r="1583" spans="1:22" x14ac:dyDescent="0.25">
      <c r="A1583" s="14" t="s">
        <v>141</v>
      </c>
      <c r="B1583" s="14" t="s">
        <v>12470</v>
      </c>
      <c r="C1583" s="14" t="s">
        <v>12471</v>
      </c>
      <c r="D1583" s="18"/>
      <c r="E1583" s="14">
        <v>2022</v>
      </c>
      <c r="F1583" s="18"/>
      <c r="G1583" s="18"/>
      <c r="H1583" s="28"/>
      <c r="I1583" s="14" t="s">
        <v>145</v>
      </c>
      <c r="J1583" s="14" t="s">
        <v>11044</v>
      </c>
      <c r="K1583" s="14" t="s">
        <v>12472</v>
      </c>
      <c r="L1583" s="14" t="s">
        <v>12473</v>
      </c>
      <c r="M1583" s="14">
        <v>2022</v>
      </c>
      <c r="N1583" s="14">
        <v>9781450394772</v>
      </c>
      <c r="O1583" s="26"/>
      <c r="P1583" s="17" t="s">
        <v>12474</v>
      </c>
      <c r="Q1583" s="14" t="s">
        <v>12475</v>
      </c>
      <c r="R1583" s="14" t="s">
        <v>12476</v>
      </c>
      <c r="S1583" s="14" t="s">
        <v>12477</v>
      </c>
      <c r="T1583" s="18"/>
      <c r="U1583" s="18"/>
      <c r="V1583" s="14" t="s">
        <v>12478</v>
      </c>
    </row>
    <row r="1584" spans="1:22" x14ac:dyDescent="0.25">
      <c r="A1584" s="14" t="s">
        <v>141</v>
      </c>
      <c r="B1584" s="14" t="s">
        <v>12479</v>
      </c>
      <c r="C1584" s="14" t="s">
        <v>12480</v>
      </c>
      <c r="D1584" s="18"/>
      <c r="E1584" s="14">
        <v>2021</v>
      </c>
      <c r="F1584" s="18"/>
      <c r="G1584" s="18"/>
      <c r="H1584" s="14" t="s">
        <v>11390</v>
      </c>
      <c r="I1584" s="14" t="s">
        <v>145</v>
      </c>
      <c r="J1584" s="14" t="s">
        <v>11044</v>
      </c>
      <c r="K1584" s="14" t="s">
        <v>11653</v>
      </c>
      <c r="L1584" s="14" t="s">
        <v>11654</v>
      </c>
      <c r="M1584" s="14">
        <v>2021</v>
      </c>
      <c r="N1584" s="14">
        <v>9781450386586</v>
      </c>
      <c r="O1584" s="26"/>
      <c r="P1584" s="17" t="s">
        <v>12481</v>
      </c>
      <c r="Q1584" s="14" t="s">
        <v>12482</v>
      </c>
      <c r="R1584" s="14" t="s">
        <v>12483</v>
      </c>
      <c r="S1584" s="14" t="s">
        <v>12484</v>
      </c>
      <c r="T1584" s="18"/>
      <c r="U1584" s="18"/>
      <c r="V1584" s="14" t="s">
        <v>11659</v>
      </c>
    </row>
    <row r="1585" spans="1:22" x14ac:dyDescent="0.25">
      <c r="A1585" s="14" t="s">
        <v>141</v>
      </c>
      <c r="B1585" s="14" t="s">
        <v>1422</v>
      </c>
      <c r="C1585" s="14" t="s">
        <v>12485</v>
      </c>
      <c r="D1585" s="18"/>
      <c r="E1585" s="14">
        <v>2022</v>
      </c>
      <c r="F1585" s="18"/>
      <c r="G1585" s="18"/>
      <c r="H1585" s="14" t="s">
        <v>12486</v>
      </c>
      <c r="I1585" s="14" t="s">
        <v>145</v>
      </c>
      <c r="J1585" s="14" t="s">
        <v>11044</v>
      </c>
      <c r="K1585" s="14" t="s">
        <v>11265</v>
      </c>
      <c r="L1585" s="14" t="s">
        <v>11266</v>
      </c>
      <c r="M1585" s="14">
        <v>2022</v>
      </c>
      <c r="N1585" s="14">
        <v>9781450392983</v>
      </c>
      <c r="O1585" s="26"/>
      <c r="P1585" s="17" t="s">
        <v>12487</v>
      </c>
      <c r="Q1585" s="14" t="s">
        <v>1426</v>
      </c>
      <c r="R1585" s="14" t="s">
        <v>12488</v>
      </c>
      <c r="S1585" s="14" t="s">
        <v>12489</v>
      </c>
      <c r="T1585" s="18"/>
      <c r="U1585" s="18"/>
      <c r="V1585" s="14" t="s">
        <v>11270</v>
      </c>
    </row>
    <row r="1586" spans="1:22" x14ac:dyDescent="0.25">
      <c r="A1586" s="14" t="s">
        <v>141</v>
      </c>
      <c r="B1586" s="14" t="s">
        <v>12490</v>
      </c>
      <c r="C1586" s="14" t="s">
        <v>12491</v>
      </c>
      <c r="D1586" s="18"/>
      <c r="E1586" s="14">
        <v>2017</v>
      </c>
      <c r="F1586" s="18"/>
      <c r="G1586" s="18"/>
      <c r="H1586" s="14" t="s">
        <v>12492</v>
      </c>
      <c r="I1586" s="14" t="s">
        <v>145</v>
      </c>
      <c r="J1586" s="14" t="s">
        <v>11044</v>
      </c>
      <c r="K1586" s="14" t="s">
        <v>12133</v>
      </c>
      <c r="L1586" s="14" t="s">
        <v>12134</v>
      </c>
      <c r="M1586" s="14">
        <v>2017</v>
      </c>
      <c r="N1586" s="14">
        <v>9781450351768</v>
      </c>
      <c r="O1586" s="26"/>
      <c r="P1586" s="17" t="s">
        <v>12493</v>
      </c>
      <c r="Q1586" s="14" t="s">
        <v>12494</v>
      </c>
      <c r="R1586" s="14" t="s">
        <v>12495</v>
      </c>
      <c r="S1586" s="14" t="s">
        <v>12496</v>
      </c>
      <c r="T1586" s="18"/>
      <c r="U1586" s="18"/>
      <c r="V1586" s="14" t="s">
        <v>12139</v>
      </c>
    </row>
    <row r="1587" spans="1:22" x14ac:dyDescent="0.25">
      <c r="A1587" s="14" t="s">
        <v>141</v>
      </c>
      <c r="B1587" s="14" t="s">
        <v>12497</v>
      </c>
      <c r="C1587" s="14" t="s">
        <v>12498</v>
      </c>
      <c r="D1587" s="18"/>
      <c r="E1587" s="14">
        <v>2020</v>
      </c>
      <c r="F1587" s="18"/>
      <c r="G1587" s="18"/>
      <c r="H1587" s="14" t="s">
        <v>12499</v>
      </c>
      <c r="I1587" s="14" t="s">
        <v>145</v>
      </c>
      <c r="J1587" s="14" t="s">
        <v>11044</v>
      </c>
      <c r="K1587" s="14" t="s">
        <v>12500</v>
      </c>
      <c r="L1587" s="14" t="s">
        <v>11682</v>
      </c>
      <c r="M1587" s="14">
        <v>2020</v>
      </c>
      <c r="N1587" s="14">
        <v>9781450381789</v>
      </c>
      <c r="O1587" s="26"/>
      <c r="P1587" s="17" t="s">
        <v>12501</v>
      </c>
      <c r="Q1587" s="14" t="s">
        <v>12502</v>
      </c>
      <c r="R1587" s="14" t="s">
        <v>12503</v>
      </c>
      <c r="S1587" s="14" t="s">
        <v>12504</v>
      </c>
      <c r="T1587" s="18"/>
      <c r="U1587" s="18"/>
      <c r="V1587" s="14" t="s">
        <v>12505</v>
      </c>
    </row>
    <row r="1588" spans="1:22" x14ac:dyDescent="0.25">
      <c r="A1588" s="14" t="s">
        <v>141</v>
      </c>
      <c r="B1588" s="14" t="s">
        <v>3204</v>
      </c>
      <c r="C1588" s="14" t="s">
        <v>12506</v>
      </c>
      <c r="D1588" s="18"/>
      <c r="E1588" s="14">
        <v>2020</v>
      </c>
      <c r="F1588" s="18"/>
      <c r="G1588" s="18"/>
      <c r="H1588" s="14" t="s">
        <v>12507</v>
      </c>
      <c r="I1588" s="14" t="s">
        <v>145</v>
      </c>
      <c r="J1588" s="14" t="s">
        <v>11044</v>
      </c>
      <c r="K1588" s="14" t="s">
        <v>11894</v>
      </c>
      <c r="L1588" s="14" t="s">
        <v>11157</v>
      </c>
      <c r="M1588" s="14">
        <v>2020</v>
      </c>
      <c r="N1588" s="14">
        <v>9781450379588</v>
      </c>
      <c r="O1588" s="26"/>
      <c r="P1588" s="17" t="s">
        <v>12508</v>
      </c>
      <c r="Q1588" s="14" t="s">
        <v>3208</v>
      </c>
      <c r="R1588" s="14" t="s">
        <v>12509</v>
      </c>
      <c r="S1588" s="14" t="s">
        <v>12510</v>
      </c>
      <c r="T1588" s="18"/>
      <c r="U1588" s="18"/>
      <c r="V1588" s="14" t="s">
        <v>11899</v>
      </c>
    </row>
    <row r="1589" spans="1:22" x14ac:dyDescent="0.25">
      <c r="A1589" s="14" t="s">
        <v>141</v>
      </c>
      <c r="B1589" s="14" t="s">
        <v>12511</v>
      </c>
      <c r="C1589" s="14" t="s">
        <v>12512</v>
      </c>
      <c r="D1589" s="18"/>
      <c r="E1589" s="14">
        <v>2018</v>
      </c>
      <c r="F1589" s="18"/>
      <c r="G1589" s="18"/>
      <c r="H1589" s="28"/>
      <c r="I1589" s="14" t="s">
        <v>145</v>
      </c>
      <c r="J1589" s="14" t="s">
        <v>11044</v>
      </c>
      <c r="K1589" s="14" t="s">
        <v>12513</v>
      </c>
      <c r="L1589" s="14" t="s">
        <v>12514</v>
      </c>
      <c r="M1589" s="14">
        <v>2018</v>
      </c>
      <c r="N1589" s="14">
        <v>9781450364225</v>
      </c>
      <c r="O1589" s="26"/>
      <c r="P1589" s="17" t="s">
        <v>12515</v>
      </c>
      <c r="Q1589" s="14" t="s">
        <v>12516</v>
      </c>
      <c r="R1589" s="14" t="s">
        <v>12517</v>
      </c>
      <c r="S1589" s="14" t="s">
        <v>12518</v>
      </c>
      <c r="T1589" s="18"/>
      <c r="U1589" s="18"/>
      <c r="V1589" s="14" t="s">
        <v>12519</v>
      </c>
    </row>
    <row r="1590" spans="1:22" x14ac:dyDescent="0.25">
      <c r="A1590" s="14" t="s">
        <v>141</v>
      </c>
      <c r="B1590" s="14" t="s">
        <v>12520</v>
      </c>
      <c r="C1590" s="14" t="s">
        <v>12521</v>
      </c>
      <c r="D1590" s="18"/>
      <c r="E1590" s="14">
        <v>2021</v>
      </c>
      <c r="F1590" s="18"/>
      <c r="G1590" s="18"/>
      <c r="H1590" s="28"/>
      <c r="I1590" s="14" t="s">
        <v>145</v>
      </c>
      <c r="J1590" s="14" t="s">
        <v>11044</v>
      </c>
      <c r="K1590" s="14" t="s">
        <v>12522</v>
      </c>
      <c r="L1590" s="14" t="s">
        <v>12523</v>
      </c>
      <c r="M1590" s="14">
        <v>2021</v>
      </c>
      <c r="N1590" s="14">
        <v>9781450380966</v>
      </c>
      <c r="O1590" s="26"/>
      <c r="P1590" s="17" t="s">
        <v>12524</v>
      </c>
      <c r="Q1590" s="14" t="s">
        <v>1607</v>
      </c>
      <c r="R1590" s="14" t="s">
        <v>12525</v>
      </c>
      <c r="S1590" s="14" t="s">
        <v>12526</v>
      </c>
      <c r="T1590" s="18"/>
      <c r="U1590" s="18"/>
      <c r="V1590" s="14" t="s">
        <v>12527</v>
      </c>
    </row>
    <row r="1591" spans="1:22" x14ac:dyDescent="0.25">
      <c r="A1591" s="14" t="s">
        <v>141</v>
      </c>
      <c r="B1591" s="14" t="s">
        <v>4343</v>
      </c>
      <c r="C1591" s="14" t="s">
        <v>4344</v>
      </c>
      <c r="D1591" s="18"/>
      <c r="E1591" s="14">
        <v>2020</v>
      </c>
      <c r="F1591" s="18"/>
      <c r="G1591" s="18"/>
      <c r="H1591" s="14" t="s">
        <v>12528</v>
      </c>
      <c r="I1591" s="14" t="s">
        <v>145</v>
      </c>
      <c r="J1591" s="14" t="s">
        <v>11044</v>
      </c>
      <c r="K1591" s="14" t="s">
        <v>12529</v>
      </c>
      <c r="L1591" s="14" t="s">
        <v>12530</v>
      </c>
      <c r="M1591" s="14">
        <v>2020</v>
      </c>
      <c r="N1591" s="14">
        <v>9781450377652</v>
      </c>
      <c r="O1591" s="26"/>
      <c r="P1591" s="17" t="s">
        <v>12531</v>
      </c>
      <c r="Q1591" s="14" t="s">
        <v>4347</v>
      </c>
      <c r="R1591" s="14" t="s">
        <v>12532</v>
      </c>
      <c r="S1591" s="14" t="s">
        <v>12533</v>
      </c>
      <c r="T1591" s="18"/>
      <c r="U1591" s="18"/>
      <c r="V1591" s="14" t="s">
        <v>12534</v>
      </c>
    </row>
    <row r="1592" spans="1:22" x14ac:dyDescent="0.25">
      <c r="A1592" s="14" t="s">
        <v>13</v>
      </c>
      <c r="B1592" s="14" t="s">
        <v>7373</v>
      </c>
      <c r="C1592" s="14" t="s">
        <v>12535</v>
      </c>
      <c r="D1592" s="14" t="s">
        <v>12354</v>
      </c>
      <c r="E1592" s="14">
        <v>2022</v>
      </c>
      <c r="F1592" s="14">
        <v>6</v>
      </c>
      <c r="G1592" s="14" t="s">
        <v>1286</v>
      </c>
      <c r="H1592" s="28"/>
      <c r="I1592" s="14" t="s">
        <v>145</v>
      </c>
      <c r="J1592" s="14" t="s">
        <v>11044</v>
      </c>
      <c r="K1592" s="26"/>
      <c r="L1592" s="27"/>
      <c r="M1592" s="20">
        <v>44652</v>
      </c>
      <c r="N1592" s="18"/>
      <c r="O1592" s="26"/>
      <c r="P1592" s="17" t="s">
        <v>12536</v>
      </c>
      <c r="Q1592" s="14" t="s">
        <v>12537</v>
      </c>
      <c r="R1592" s="14" t="s">
        <v>12538</v>
      </c>
      <c r="S1592" s="14" t="s">
        <v>12539</v>
      </c>
      <c r="T1592" s="18"/>
      <c r="U1592" s="18"/>
      <c r="V1592" s="18"/>
    </row>
    <row r="1593" spans="1:22" x14ac:dyDescent="0.25">
      <c r="A1593" s="14" t="s">
        <v>539</v>
      </c>
      <c r="B1593" s="18"/>
      <c r="C1593" s="14" t="s">
        <v>12540</v>
      </c>
      <c r="D1593" s="18"/>
      <c r="E1593" s="14">
        <v>2022</v>
      </c>
      <c r="F1593" s="18"/>
      <c r="G1593" s="18"/>
      <c r="H1593" s="28"/>
      <c r="I1593" s="14" t="s">
        <v>145</v>
      </c>
      <c r="J1593" s="14" t="s">
        <v>11044</v>
      </c>
      <c r="K1593" s="26"/>
      <c r="L1593" s="14" t="s">
        <v>12541</v>
      </c>
      <c r="M1593" s="14">
        <v>2022</v>
      </c>
      <c r="N1593" s="14">
        <v>9781450399203</v>
      </c>
      <c r="O1593" s="26"/>
      <c r="P1593" s="26"/>
      <c r="Q1593" s="26"/>
      <c r="R1593" s="14" t="s">
        <v>12542</v>
      </c>
      <c r="S1593" s="18"/>
      <c r="T1593" s="18"/>
      <c r="U1593" s="14" t="s">
        <v>10544</v>
      </c>
      <c r="V1593" s="18"/>
    </row>
    <row r="1594" spans="1:22" x14ac:dyDescent="0.25">
      <c r="A1594" s="14" t="s">
        <v>13</v>
      </c>
      <c r="B1594" s="14" t="s">
        <v>12543</v>
      </c>
      <c r="C1594" s="14" t="s">
        <v>12544</v>
      </c>
      <c r="D1594" s="14" t="s">
        <v>11214</v>
      </c>
      <c r="E1594" s="14">
        <v>2019</v>
      </c>
      <c r="F1594" s="14">
        <v>62</v>
      </c>
      <c r="G1594" s="14">
        <v>7</v>
      </c>
      <c r="H1594" s="14" t="s">
        <v>11402</v>
      </c>
      <c r="I1594" s="14" t="s">
        <v>145</v>
      </c>
      <c r="J1594" s="14" t="s">
        <v>11044</v>
      </c>
      <c r="K1594" s="26"/>
      <c r="L1594" s="27"/>
      <c r="M1594" s="20">
        <v>43617</v>
      </c>
      <c r="N1594" s="18"/>
      <c r="O1594" s="14" t="s">
        <v>11216</v>
      </c>
      <c r="P1594" s="17" t="s">
        <v>12545</v>
      </c>
      <c r="Q1594" s="14" t="s">
        <v>12546</v>
      </c>
      <c r="R1594" s="14" t="s">
        <v>12547</v>
      </c>
      <c r="S1594" s="18"/>
      <c r="T1594" s="18"/>
      <c r="U1594" s="18"/>
      <c r="V1594" s="18"/>
    </row>
    <row r="1595" spans="1:22" x14ac:dyDescent="0.25">
      <c r="A1595" s="14" t="s">
        <v>13</v>
      </c>
      <c r="B1595" s="14" t="s">
        <v>12543</v>
      </c>
      <c r="C1595" s="14" t="s">
        <v>12548</v>
      </c>
      <c r="D1595" s="14" t="s">
        <v>11531</v>
      </c>
      <c r="E1595" s="14">
        <v>2019</v>
      </c>
      <c r="F1595" s="14">
        <v>17</v>
      </c>
      <c r="G1595" s="14">
        <v>1</v>
      </c>
      <c r="H1595" s="14" t="s">
        <v>12549</v>
      </c>
      <c r="I1595" s="14" t="s">
        <v>145</v>
      </c>
      <c r="J1595" s="14" t="s">
        <v>11044</v>
      </c>
      <c r="K1595" s="26"/>
      <c r="L1595" s="27"/>
      <c r="M1595" s="20">
        <v>43497</v>
      </c>
      <c r="N1595" s="18"/>
      <c r="O1595" s="14" t="s">
        <v>11533</v>
      </c>
      <c r="P1595" s="17" t="s">
        <v>12550</v>
      </c>
      <c r="Q1595" s="14" t="s">
        <v>12551</v>
      </c>
      <c r="R1595" s="14" t="s">
        <v>12552</v>
      </c>
      <c r="S1595" s="18"/>
      <c r="T1595" s="18"/>
      <c r="U1595" s="18"/>
      <c r="V1595" s="18"/>
    </row>
    <row r="1596" spans="1:22" x14ac:dyDescent="0.25">
      <c r="A1596" s="14" t="s">
        <v>13</v>
      </c>
      <c r="B1596" s="14" t="s">
        <v>4682</v>
      </c>
      <c r="C1596" s="14" t="s">
        <v>12553</v>
      </c>
      <c r="D1596" s="14" t="s">
        <v>11246</v>
      </c>
      <c r="E1596" s="14">
        <v>2022</v>
      </c>
      <c r="F1596" s="18"/>
      <c r="G1596" s="18"/>
      <c r="H1596" s="28"/>
      <c r="I1596" s="14" t="s">
        <v>145</v>
      </c>
      <c r="J1596" s="14" t="s">
        <v>11044</v>
      </c>
      <c r="K1596" s="26"/>
      <c r="L1596" s="27"/>
      <c r="M1596" s="20">
        <v>44682</v>
      </c>
      <c r="N1596" s="18"/>
      <c r="O1596" s="14" t="s">
        <v>329</v>
      </c>
      <c r="P1596" s="17" t="s">
        <v>12554</v>
      </c>
      <c r="Q1596" s="14" t="s">
        <v>12555</v>
      </c>
      <c r="R1596" s="14" t="s">
        <v>12556</v>
      </c>
      <c r="S1596" s="14" t="s">
        <v>12557</v>
      </c>
      <c r="T1596" s="14" t="s">
        <v>12129</v>
      </c>
      <c r="U1596" s="18"/>
      <c r="V1596" s="18"/>
    </row>
    <row r="1597" spans="1:22" x14ac:dyDescent="0.25">
      <c r="A1597" s="14" t="s">
        <v>141</v>
      </c>
      <c r="B1597" s="14" t="s">
        <v>7913</v>
      </c>
      <c r="C1597" s="14" t="s">
        <v>12558</v>
      </c>
      <c r="D1597" s="18"/>
      <c r="E1597" s="14">
        <v>2022</v>
      </c>
      <c r="F1597" s="18"/>
      <c r="G1597" s="18"/>
      <c r="H1597" s="14" t="s">
        <v>12559</v>
      </c>
      <c r="I1597" s="14" t="s">
        <v>12560</v>
      </c>
      <c r="J1597" s="14" t="s">
        <v>12561</v>
      </c>
      <c r="K1597" s="14" t="s">
        <v>12562</v>
      </c>
      <c r="L1597" s="14" t="s">
        <v>12563</v>
      </c>
      <c r="M1597" s="14">
        <v>2022</v>
      </c>
      <c r="N1597" s="14">
        <v>9783981926361</v>
      </c>
      <c r="O1597" s="26"/>
      <c r="P1597" s="26"/>
      <c r="Q1597" s="26"/>
      <c r="R1597" s="14" t="s">
        <v>12564</v>
      </c>
      <c r="S1597" s="14" t="s">
        <v>12565</v>
      </c>
      <c r="T1597" s="18"/>
      <c r="U1597" s="18"/>
      <c r="V1597" s="14" t="s">
        <v>12566</v>
      </c>
    </row>
    <row r="1598" spans="1:22" x14ac:dyDescent="0.25">
      <c r="A1598" s="14" t="s">
        <v>539</v>
      </c>
      <c r="B1598" s="18"/>
      <c r="C1598" s="14" t="s">
        <v>12567</v>
      </c>
      <c r="D1598" s="18"/>
      <c r="E1598" s="14">
        <v>2022</v>
      </c>
      <c r="F1598" s="18"/>
      <c r="G1598" s="18"/>
      <c r="H1598" s="28"/>
      <c r="I1598" s="14" t="s">
        <v>145</v>
      </c>
      <c r="J1598" s="14" t="s">
        <v>11044</v>
      </c>
      <c r="K1598" s="26"/>
      <c r="L1598" s="14" t="s">
        <v>11965</v>
      </c>
      <c r="M1598" s="14">
        <v>2022</v>
      </c>
      <c r="N1598" s="14">
        <v>9781450397803</v>
      </c>
      <c r="O1598" s="26"/>
      <c r="P1598" s="26"/>
      <c r="Q1598" s="26"/>
      <c r="R1598" s="18"/>
      <c r="S1598" s="18"/>
      <c r="T1598" s="18"/>
      <c r="U1598" s="14" t="s">
        <v>10544</v>
      </c>
      <c r="V1598" s="18"/>
    </row>
    <row r="1599" spans="1:22" x14ac:dyDescent="0.25">
      <c r="A1599" s="14" t="s">
        <v>141</v>
      </c>
      <c r="B1599" s="14" t="s">
        <v>12568</v>
      </c>
      <c r="C1599" s="14" t="s">
        <v>12569</v>
      </c>
      <c r="D1599" s="18"/>
      <c r="E1599" s="14">
        <v>2017</v>
      </c>
      <c r="F1599" s="18"/>
      <c r="G1599" s="18"/>
      <c r="H1599" s="14">
        <v>326</v>
      </c>
      <c r="I1599" s="14" t="s">
        <v>12570</v>
      </c>
      <c r="J1599" s="14" t="s">
        <v>11973</v>
      </c>
      <c r="K1599" s="14" t="s">
        <v>12571</v>
      </c>
      <c r="L1599" s="14" t="s">
        <v>11606</v>
      </c>
      <c r="M1599" s="14">
        <v>2017</v>
      </c>
      <c r="N1599" s="18"/>
      <c r="O1599" s="26"/>
      <c r="P1599" s="26"/>
      <c r="Q1599" s="26"/>
      <c r="R1599" s="14" t="s">
        <v>12572</v>
      </c>
      <c r="S1599" s="18"/>
      <c r="T1599" s="18"/>
      <c r="U1599" s="18"/>
      <c r="V1599" s="14" t="s">
        <v>12573</v>
      </c>
    </row>
    <row r="1600" spans="1:22" x14ac:dyDescent="0.25">
      <c r="A1600" s="14" t="s">
        <v>141</v>
      </c>
      <c r="B1600" s="14" t="s">
        <v>3386</v>
      </c>
      <c r="C1600" s="14" t="s">
        <v>12574</v>
      </c>
      <c r="D1600" s="18"/>
      <c r="E1600" s="14">
        <v>2020</v>
      </c>
      <c r="F1600" s="18"/>
      <c r="G1600" s="18"/>
      <c r="H1600" s="14" t="s">
        <v>12575</v>
      </c>
      <c r="I1600" s="14" t="s">
        <v>145</v>
      </c>
      <c r="J1600" s="14" t="s">
        <v>11044</v>
      </c>
      <c r="K1600" s="14" t="s">
        <v>12500</v>
      </c>
      <c r="L1600" s="14" t="s">
        <v>11682</v>
      </c>
      <c r="M1600" s="14">
        <v>2020</v>
      </c>
      <c r="N1600" s="14">
        <v>9781450381789</v>
      </c>
      <c r="O1600" s="26"/>
      <c r="P1600" s="17" t="s">
        <v>12576</v>
      </c>
      <c r="Q1600" s="14" t="s">
        <v>3390</v>
      </c>
      <c r="R1600" s="14" t="s">
        <v>12577</v>
      </c>
      <c r="S1600" s="14" t="s">
        <v>12578</v>
      </c>
      <c r="T1600" s="18"/>
      <c r="U1600" s="18"/>
      <c r="V1600" s="14" t="s">
        <v>12505</v>
      </c>
    </row>
    <row r="1601" spans="1:22" x14ac:dyDescent="0.25">
      <c r="A1601" s="14" t="s">
        <v>539</v>
      </c>
      <c r="B1601" s="18"/>
      <c r="C1601" s="14" t="s">
        <v>12579</v>
      </c>
      <c r="D1601" s="18"/>
      <c r="E1601" s="14">
        <v>2022</v>
      </c>
      <c r="F1601" s="18"/>
      <c r="G1601" s="18"/>
      <c r="H1601" s="28"/>
      <c r="I1601" s="14" t="s">
        <v>145</v>
      </c>
      <c r="J1601" s="14" t="s">
        <v>11044</v>
      </c>
      <c r="K1601" s="26"/>
      <c r="L1601" s="14" t="s">
        <v>12541</v>
      </c>
      <c r="M1601" s="14">
        <v>2022</v>
      </c>
      <c r="N1601" s="14">
        <v>9781450399012</v>
      </c>
      <c r="O1601" s="26"/>
      <c r="P1601" s="26"/>
      <c r="Q1601" s="26"/>
      <c r="R1601" s="14" t="s">
        <v>12580</v>
      </c>
      <c r="S1601" s="18"/>
      <c r="T1601" s="18"/>
      <c r="U1601" s="14" t="s">
        <v>10544</v>
      </c>
      <c r="V1601" s="18"/>
    </row>
    <row r="1602" spans="1:22" x14ac:dyDescent="0.25">
      <c r="A1602" s="14" t="s">
        <v>13</v>
      </c>
      <c r="B1602" s="14" t="s">
        <v>12581</v>
      </c>
      <c r="C1602" s="14" t="s">
        <v>12582</v>
      </c>
      <c r="D1602" s="14" t="s">
        <v>11246</v>
      </c>
      <c r="E1602" s="14">
        <v>2022</v>
      </c>
      <c r="F1602" s="18"/>
      <c r="G1602" s="18"/>
      <c r="H1602" s="28"/>
      <c r="I1602" s="14" t="s">
        <v>145</v>
      </c>
      <c r="J1602" s="14" t="s">
        <v>11044</v>
      </c>
      <c r="K1602" s="26"/>
      <c r="L1602" s="27"/>
      <c r="M1602" s="20">
        <v>44713</v>
      </c>
      <c r="N1602" s="18"/>
      <c r="O1602" s="14" t="s">
        <v>329</v>
      </c>
      <c r="P1602" s="17" t="s">
        <v>12583</v>
      </c>
      <c r="Q1602" s="14" t="s">
        <v>12584</v>
      </c>
      <c r="R1602" s="14" t="s">
        <v>12585</v>
      </c>
      <c r="S1602" s="14" t="s">
        <v>12586</v>
      </c>
      <c r="T1602" s="14" t="s">
        <v>12129</v>
      </c>
      <c r="U1602" s="18"/>
      <c r="V1602" s="18"/>
    </row>
    <row r="1603" spans="1:22" x14ac:dyDescent="0.25">
      <c r="A1603" s="14" t="s">
        <v>141</v>
      </c>
      <c r="B1603" s="14" t="s">
        <v>12587</v>
      </c>
      <c r="C1603" s="14" t="s">
        <v>12588</v>
      </c>
      <c r="D1603" s="18"/>
      <c r="E1603" s="14">
        <v>2022</v>
      </c>
      <c r="F1603" s="18"/>
      <c r="G1603" s="18"/>
      <c r="H1603" s="14" t="s">
        <v>12589</v>
      </c>
      <c r="I1603" s="14" t="s">
        <v>145</v>
      </c>
      <c r="J1603" s="14" t="s">
        <v>11044</v>
      </c>
      <c r="K1603" s="14" t="s">
        <v>12590</v>
      </c>
      <c r="L1603" s="14" t="s">
        <v>12591</v>
      </c>
      <c r="M1603" s="14">
        <v>2022</v>
      </c>
      <c r="N1603" s="14">
        <v>9781450391580</v>
      </c>
      <c r="O1603" s="26"/>
      <c r="P1603" s="17" t="s">
        <v>12592</v>
      </c>
      <c r="Q1603" s="14" t="s">
        <v>12593</v>
      </c>
      <c r="R1603" s="14" t="s">
        <v>12594</v>
      </c>
      <c r="S1603" s="14" t="s">
        <v>12595</v>
      </c>
      <c r="T1603" s="18"/>
      <c r="U1603" s="18"/>
      <c r="V1603" s="14" t="s">
        <v>12596</v>
      </c>
    </row>
    <row r="1604" spans="1:22" x14ac:dyDescent="0.25">
      <c r="A1604" s="14" t="s">
        <v>141</v>
      </c>
      <c r="B1604" s="14" t="s">
        <v>1141</v>
      </c>
      <c r="C1604" s="14" t="s">
        <v>1142</v>
      </c>
      <c r="D1604" s="18"/>
      <c r="E1604" s="14">
        <v>2022</v>
      </c>
      <c r="F1604" s="18"/>
      <c r="G1604" s="18"/>
      <c r="H1604" s="14" t="s">
        <v>12597</v>
      </c>
      <c r="I1604" s="14" t="s">
        <v>145</v>
      </c>
      <c r="J1604" s="14" t="s">
        <v>11044</v>
      </c>
      <c r="K1604" s="14" t="s">
        <v>12598</v>
      </c>
      <c r="L1604" s="14" t="s">
        <v>11157</v>
      </c>
      <c r="M1604" s="14">
        <v>2022</v>
      </c>
      <c r="N1604" s="14">
        <v>9781450393522</v>
      </c>
      <c r="O1604" s="26"/>
      <c r="P1604" s="17" t="s">
        <v>12599</v>
      </c>
      <c r="Q1604" s="14" t="s">
        <v>1145</v>
      </c>
      <c r="R1604" s="14" t="s">
        <v>12600</v>
      </c>
      <c r="S1604" s="18"/>
      <c r="T1604" s="18"/>
      <c r="U1604" s="18"/>
      <c r="V1604" s="14" t="s">
        <v>12601</v>
      </c>
    </row>
    <row r="1605" spans="1:22" x14ac:dyDescent="0.25">
      <c r="A1605" s="14" t="s">
        <v>141</v>
      </c>
      <c r="B1605" s="14" t="s">
        <v>12602</v>
      </c>
      <c r="C1605" s="14" t="s">
        <v>12603</v>
      </c>
      <c r="D1605" s="18"/>
      <c r="E1605" s="14">
        <v>2018</v>
      </c>
      <c r="F1605" s="18"/>
      <c r="G1605" s="18"/>
      <c r="H1605" s="14" t="s">
        <v>11991</v>
      </c>
      <c r="I1605" s="14" t="s">
        <v>145</v>
      </c>
      <c r="J1605" s="14" t="s">
        <v>11044</v>
      </c>
      <c r="K1605" s="14" t="s">
        <v>12604</v>
      </c>
      <c r="L1605" s="14" t="s">
        <v>12605</v>
      </c>
      <c r="M1605" s="14">
        <v>2018</v>
      </c>
      <c r="N1605" s="14">
        <v>9781450356206</v>
      </c>
      <c r="O1605" s="26"/>
      <c r="P1605" s="17" t="s">
        <v>12606</v>
      </c>
      <c r="Q1605" s="14" t="s">
        <v>12607</v>
      </c>
      <c r="R1605" s="14" t="s">
        <v>12608</v>
      </c>
      <c r="S1605" s="14" t="s">
        <v>12609</v>
      </c>
      <c r="T1605" s="18"/>
      <c r="U1605" s="18"/>
      <c r="V1605" s="14" t="s">
        <v>12610</v>
      </c>
    </row>
    <row r="1606" spans="1:22" x14ac:dyDescent="0.25">
      <c r="A1606" s="14" t="s">
        <v>539</v>
      </c>
      <c r="B1606" s="18"/>
      <c r="C1606" s="14" t="s">
        <v>12611</v>
      </c>
      <c r="D1606" s="18"/>
      <c r="E1606" s="14">
        <v>2021</v>
      </c>
      <c r="F1606" s="18"/>
      <c r="G1606" s="18"/>
      <c r="H1606" s="28"/>
      <c r="I1606" s="14" t="s">
        <v>145</v>
      </c>
      <c r="J1606" s="14" t="s">
        <v>11044</v>
      </c>
      <c r="K1606" s="26"/>
      <c r="L1606" s="14" t="s">
        <v>12523</v>
      </c>
      <c r="M1606" s="14">
        <v>2021</v>
      </c>
      <c r="N1606" s="14">
        <v>9781450380966</v>
      </c>
      <c r="O1606" s="26"/>
      <c r="P1606" s="26"/>
      <c r="Q1606" s="26"/>
      <c r="R1606" s="18"/>
      <c r="S1606" s="18"/>
      <c r="T1606" s="18"/>
      <c r="U1606" s="14" t="s">
        <v>10544</v>
      </c>
      <c r="V1606" s="18"/>
    </row>
    <row r="1607" spans="1:22" x14ac:dyDescent="0.25">
      <c r="A1607" s="14" t="s">
        <v>13</v>
      </c>
      <c r="B1607" s="14" t="s">
        <v>12612</v>
      </c>
      <c r="C1607" s="14" t="s">
        <v>12613</v>
      </c>
      <c r="D1607" s="14" t="s">
        <v>11214</v>
      </c>
      <c r="E1607" s="14">
        <v>2020</v>
      </c>
      <c r="F1607" s="14">
        <v>63</v>
      </c>
      <c r="G1607" s="14">
        <v>5</v>
      </c>
      <c r="H1607" s="14" t="s">
        <v>11173</v>
      </c>
      <c r="I1607" s="14" t="s">
        <v>145</v>
      </c>
      <c r="J1607" s="14" t="s">
        <v>11044</v>
      </c>
      <c r="K1607" s="26"/>
      <c r="L1607" s="27"/>
      <c r="M1607" s="20">
        <v>43922</v>
      </c>
      <c r="N1607" s="18"/>
      <c r="O1607" s="14" t="s">
        <v>11216</v>
      </c>
      <c r="P1607" s="17" t="s">
        <v>12614</v>
      </c>
      <c r="Q1607" s="14" t="s">
        <v>12615</v>
      </c>
      <c r="R1607" s="14" t="s">
        <v>12616</v>
      </c>
      <c r="S1607" s="18"/>
      <c r="T1607" s="18"/>
      <c r="U1607" s="18"/>
      <c r="V1607" s="18"/>
    </row>
    <row r="1608" spans="1:22" x14ac:dyDescent="0.25">
      <c r="A1608" s="14" t="s">
        <v>141</v>
      </c>
      <c r="B1608" s="14" t="s">
        <v>12617</v>
      </c>
      <c r="C1608" s="14" t="s">
        <v>12618</v>
      </c>
      <c r="D1608" s="18"/>
      <c r="E1608" s="14">
        <v>2021</v>
      </c>
      <c r="F1608" s="18"/>
      <c r="G1608" s="18"/>
      <c r="H1608" s="14" t="s">
        <v>12619</v>
      </c>
      <c r="I1608" s="14" t="s">
        <v>145</v>
      </c>
      <c r="J1608" s="14" t="s">
        <v>11044</v>
      </c>
      <c r="K1608" s="14" t="s">
        <v>11297</v>
      </c>
      <c r="L1608" s="14" t="s">
        <v>11298</v>
      </c>
      <c r="M1608" s="14">
        <v>2021</v>
      </c>
      <c r="N1608" s="14">
        <v>9781450383097</v>
      </c>
      <c r="O1608" s="26"/>
      <c r="P1608" s="17" t="s">
        <v>12620</v>
      </c>
      <c r="Q1608" s="14" t="s">
        <v>12621</v>
      </c>
      <c r="R1608" s="14" t="s">
        <v>12622</v>
      </c>
      <c r="S1608" s="14" t="s">
        <v>12623</v>
      </c>
      <c r="T1608" s="18"/>
      <c r="U1608" s="18"/>
      <c r="V1608" s="14" t="s">
        <v>11302</v>
      </c>
    </row>
    <row r="1609" spans="1:22" x14ac:dyDescent="0.25">
      <c r="A1609" s="14" t="s">
        <v>13</v>
      </c>
      <c r="B1609" s="14" t="s">
        <v>12624</v>
      </c>
      <c r="C1609" s="14" t="s">
        <v>12625</v>
      </c>
      <c r="D1609" s="14" t="s">
        <v>11246</v>
      </c>
      <c r="E1609" s="14">
        <v>2023</v>
      </c>
      <c r="F1609" s="18"/>
      <c r="G1609" s="18"/>
      <c r="H1609" s="28"/>
      <c r="I1609" s="14" t="s">
        <v>145</v>
      </c>
      <c r="J1609" s="14" t="s">
        <v>11044</v>
      </c>
      <c r="K1609" s="26"/>
      <c r="L1609" s="27"/>
      <c r="M1609" s="20">
        <v>44927</v>
      </c>
      <c r="N1609" s="18"/>
      <c r="O1609" s="14" t="s">
        <v>329</v>
      </c>
      <c r="P1609" s="17" t="s">
        <v>12626</v>
      </c>
      <c r="Q1609" s="14" t="s">
        <v>12627</v>
      </c>
      <c r="R1609" s="14" t="s">
        <v>12628</v>
      </c>
      <c r="S1609" s="14" t="s">
        <v>12629</v>
      </c>
      <c r="T1609" s="14" t="s">
        <v>12129</v>
      </c>
      <c r="U1609" s="18"/>
      <c r="V1609" s="18"/>
    </row>
    <row r="1610" spans="1:22" x14ac:dyDescent="0.25">
      <c r="A1610" s="14" t="s">
        <v>539</v>
      </c>
      <c r="B1610" s="18"/>
      <c r="C1610" s="14" t="s">
        <v>12630</v>
      </c>
      <c r="D1610" s="18"/>
      <c r="E1610" s="14">
        <v>2022</v>
      </c>
      <c r="F1610" s="18"/>
      <c r="G1610" s="18"/>
      <c r="H1610" s="28"/>
      <c r="I1610" s="14" t="s">
        <v>145</v>
      </c>
      <c r="J1610" s="14" t="s">
        <v>11044</v>
      </c>
      <c r="K1610" s="26"/>
      <c r="L1610" s="14" t="s">
        <v>11747</v>
      </c>
      <c r="M1610" s="14">
        <v>2022</v>
      </c>
      <c r="N1610" s="14">
        <v>9781450397452</v>
      </c>
      <c r="O1610" s="26"/>
      <c r="P1610" s="26"/>
      <c r="Q1610" s="26"/>
      <c r="R1610" s="18"/>
      <c r="S1610" s="18"/>
      <c r="T1610" s="18"/>
      <c r="U1610" s="14" t="s">
        <v>10544</v>
      </c>
      <c r="V1610" s="18"/>
    </row>
    <row r="1611" spans="1:22" x14ac:dyDescent="0.25">
      <c r="A1611" s="14" t="s">
        <v>13</v>
      </c>
      <c r="B1611" s="14" t="s">
        <v>12631</v>
      </c>
      <c r="C1611" s="14" t="s">
        <v>12632</v>
      </c>
      <c r="D1611" s="14" t="s">
        <v>12633</v>
      </c>
      <c r="E1611" s="14">
        <v>2022</v>
      </c>
      <c r="F1611" s="14">
        <v>53</v>
      </c>
      <c r="G1611" s="14">
        <v>3</v>
      </c>
      <c r="H1611" s="14" t="s">
        <v>12634</v>
      </c>
      <c r="I1611" s="14" t="s">
        <v>145</v>
      </c>
      <c r="J1611" s="14" t="s">
        <v>11044</v>
      </c>
      <c r="K1611" s="26"/>
      <c r="L1611" s="27"/>
      <c r="M1611" s="20">
        <v>44743</v>
      </c>
      <c r="N1611" s="18"/>
      <c r="O1611" s="14" t="s">
        <v>12635</v>
      </c>
      <c r="P1611" s="17" t="s">
        <v>12636</v>
      </c>
      <c r="Q1611" s="14" t="s">
        <v>12637</v>
      </c>
      <c r="R1611" s="14" t="s">
        <v>12638</v>
      </c>
      <c r="S1611" s="14" t="s">
        <v>12639</v>
      </c>
      <c r="T1611" s="18"/>
      <c r="U1611" s="18"/>
      <c r="V1611" s="18"/>
    </row>
    <row r="1612" spans="1:22" x14ac:dyDescent="0.25">
      <c r="A1612" s="14" t="s">
        <v>13</v>
      </c>
      <c r="B1612" s="14" t="s">
        <v>12640</v>
      </c>
      <c r="C1612" s="14" t="s">
        <v>12641</v>
      </c>
      <c r="D1612" s="14" t="s">
        <v>12642</v>
      </c>
      <c r="E1612" s="14">
        <v>2013</v>
      </c>
      <c r="F1612" s="14">
        <v>14</v>
      </c>
      <c r="G1612" s="14">
        <v>2</v>
      </c>
      <c r="H1612" s="14" t="s">
        <v>12643</v>
      </c>
      <c r="I1612" s="14" t="s">
        <v>145</v>
      </c>
      <c r="J1612" s="14" t="s">
        <v>11044</v>
      </c>
      <c r="K1612" s="26"/>
      <c r="L1612" s="27"/>
      <c r="M1612" s="20">
        <v>41365</v>
      </c>
      <c r="N1612" s="18"/>
      <c r="O1612" s="14" t="s">
        <v>12644</v>
      </c>
      <c r="P1612" s="17" t="s">
        <v>12645</v>
      </c>
      <c r="Q1612" s="14" t="s">
        <v>12646</v>
      </c>
      <c r="R1612" s="14" t="s">
        <v>12647</v>
      </c>
      <c r="S1612" s="18"/>
      <c r="T1612" s="18"/>
      <c r="U1612" s="18"/>
      <c r="V1612" s="18"/>
    </row>
    <row r="1613" spans="1:22" x14ac:dyDescent="0.25">
      <c r="A1613" s="14" t="s">
        <v>13</v>
      </c>
      <c r="B1613" s="14" t="s">
        <v>4230</v>
      </c>
      <c r="C1613" s="14" t="s">
        <v>4231</v>
      </c>
      <c r="D1613" s="14" t="s">
        <v>12079</v>
      </c>
      <c r="E1613" s="14">
        <v>2020</v>
      </c>
      <c r="F1613" s="14">
        <v>13</v>
      </c>
      <c r="G1613" s="14">
        <v>12</v>
      </c>
      <c r="H1613" s="14" t="s">
        <v>12648</v>
      </c>
      <c r="I1613" s="14" t="s">
        <v>4234</v>
      </c>
      <c r="J1613" s="18"/>
      <c r="K1613" s="26"/>
      <c r="L1613" s="27"/>
      <c r="M1613" s="20">
        <v>44075</v>
      </c>
      <c r="N1613" s="18"/>
      <c r="O1613" s="14" t="s">
        <v>4235</v>
      </c>
      <c r="P1613" s="17" t="s">
        <v>12649</v>
      </c>
      <c r="Q1613" s="14" t="s">
        <v>4237</v>
      </c>
      <c r="R1613" s="14" t="s">
        <v>12650</v>
      </c>
      <c r="S1613" s="18"/>
      <c r="T1613" s="18"/>
      <c r="U1613" s="18"/>
      <c r="V1613" s="18"/>
    </row>
    <row r="1614" spans="1:22" x14ac:dyDescent="0.25">
      <c r="A1614" s="14" t="s">
        <v>141</v>
      </c>
      <c r="B1614" s="14" t="s">
        <v>8285</v>
      </c>
      <c r="C1614" s="14" t="s">
        <v>12651</v>
      </c>
      <c r="D1614" s="18"/>
      <c r="E1614" s="14">
        <v>2020</v>
      </c>
      <c r="F1614" s="18"/>
      <c r="G1614" s="18"/>
      <c r="H1614" s="28"/>
      <c r="I1614" s="14" t="s">
        <v>145</v>
      </c>
      <c r="J1614" s="14" t="s">
        <v>11044</v>
      </c>
      <c r="K1614" s="14" t="s">
        <v>12652</v>
      </c>
      <c r="L1614" s="14" t="s">
        <v>12087</v>
      </c>
      <c r="M1614" s="14">
        <v>2020</v>
      </c>
      <c r="N1614" s="14">
        <v>9781450380263</v>
      </c>
      <c r="O1614" s="26"/>
      <c r="P1614" s="17" t="s">
        <v>12653</v>
      </c>
      <c r="Q1614" s="14" t="s">
        <v>12654</v>
      </c>
      <c r="R1614" s="14" t="s">
        <v>12655</v>
      </c>
      <c r="S1614" s="14" t="s">
        <v>12656</v>
      </c>
      <c r="T1614" s="18"/>
      <c r="U1614" s="18"/>
      <c r="V1614" s="14" t="s">
        <v>12657</v>
      </c>
    </row>
    <row r="1615" spans="1:22" x14ac:dyDescent="0.25">
      <c r="A1615" s="14" t="s">
        <v>13</v>
      </c>
      <c r="B1615" s="14" t="s">
        <v>12658</v>
      </c>
      <c r="C1615" s="14" t="s">
        <v>12659</v>
      </c>
      <c r="D1615" s="14" t="s">
        <v>11332</v>
      </c>
      <c r="E1615" s="14">
        <v>2019</v>
      </c>
      <c r="F1615" s="14">
        <v>52</v>
      </c>
      <c r="G1615" s="14">
        <v>5</v>
      </c>
      <c r="H1615" s="28"/>
      <c r="I1615" s="14" t="s">
        <v>145</v>
      </c>
      <c r="J1615" s="14" t="s">
        <v>11044</v>
      </c>
      <c r="K1615" s="26"/>
      <c r="L1615" s="27"/>
      <c r="M1615" s="20">
        <v>43709</v>
      </c>
      <c r="N1615" s="18"/>
      <c r="O1615" s="14" t="s">
        <v>5367</v>
      </c>
      <c r="P1615" s="17" t="s">
        <v>12660</v>
      </c>
      <c r="Q1615" s="14" t="s">
        <v>12661</v>
      </c>
      <c r="R1615" s="14" t="s">
        <v>12662</v>
      </c>
      <c r="S1615" s="14" t="s">
        <v>12663</v>
      </c>
      <c r="T1615" s="18"/>
      <c r="U1615" s="18"/>
      <c r="V1615" s="18"/>
    </row>
    <row r="1616" spans="1:22" x14ac:dyDescent="0.25">
      <c r="A1616" s="14" t="s">
        <v>13</v>
      </c>
      <c r="B1616" s="14" t="s">
        <v>12664</v>
      </c>
      <c r="C1616" s="14" t="s">
        <v>12665</v>
      </c>
      <c r="D1616" s="14" t="s">
        <v>11246</v>
      </c>
      <c r="E1616" s="14">
        <v>2022</v>
      </c>
      <c r="F1616" s="18"/>
      <c r="G1616" s="18"/>
      <c r="H1616" s="28"/>
      <c r="I1616" s="14" t="s">
        <v>145</v>
      </c>
      <c r="J1616" s="14" t="s">
        <v>11044</v>
      </c>
      <c r="K1616" s="26"/>
      <c r="L1616" s="27"/>
      <c r="M1616" s="16">
        <v>44835</v>
      </c>
      <c r="N1616" s="18"/>
      <c r="O1616" s="14" t="s">
        <v>329</v>
      </c>
      <c r="P1616" s="17" t="s">
        <v>12666</v>
      </c>
      <c r="Q1616" s="14" t="s">
        <v>12667</v>
      </c>
      <c r="R1616" s="14" t="s">
        <v>12668</v>
      </c>
      <c r="S1616" s="14" t="s">
        <v>12669</v>
      </c>
      <c r="T1616" s="14" t="s">
        <v>12129</v>
      </c>
      <c r="U1616" s="18"/>
      <c r="V1616" s="18"/>
    </row>
    <row r="1617" spans="1:22" x14ac:dyDescent="0.25">
      <c r="A1617" s="14" t="s">
        <v>13</v>
      </c>
      <c r="B1617" s="14" t="s">
        <v>12670</v>
      </c>
      <c r="C1617" s="14" t="s">
        <v>12671</v>
      </c>
      <c r="D1617" s="14" t="s">
        <v>11507</v>
      </c>
      <c r="E1617" s="14">
        <v>2022</v>
      </c>
      <c r="F1617" s="14">
        <v>16</v>
      </c>
      <c r="G1617" s="14">
        <v>2</v>
      </c>
      <c r="H1617" s="28"/>
      <c r="I1617" s="14" t="s">
        <v>145</v>
      </c>
      <c r="J1617" s="14" t="s">
        <v>11044</v>
      </c>
      <c r="K1617" s="26"/>
      <c r="L1617" s="27"/>
      <c r="M1617" s="20">
        <v>44621</v>
      </c>
      <c r="N1617" s="18"/>
      <c r="O1617" s="14" t="s">
        <v>1504</v>
      </c>
      <c r="P1617" s="17" t="s">
        <v>12672</v>
      </c>
      <c r="Q1617" s="14" t="s">
        <v>12673</v>
      </c>
      <c r="R1617" s="14" t="s">
        <v>12674</v>
      </c>
      <c r="S1617" s="14" t="s">
        <v>12675</v>
      </c>
      <c r="T1617" s="18"/>
      <c r="U1617" s="18"/>
      <c r="V1617" s="18"/>
    </row>
    <row r="1618" spans="1:22" x14ac:dyDescent="0.25">
      <c r="A1618" s="14" t="s">
        <v>539</v>
      </c>
      <c r="B1618" s="18"/>
      <c r="C1618" s="14" t="s">
        <v>12676</v>
      </c>
      <c r="D1618" s="18"/>
      <c r="E1618" s="14">
        <v>2022</v>
      </c>
      <c r="F1618" s="18"/>
      <c r="G1618" s="18"/>
      <c r="H1618" s="28"/>
      <c r="I1618" s="14" t="s">
        <v>145</v>
      </c>
      <c r="J1618" s="14" t="s">
        <v>11044</v>
      </c>
      <c r="K1618" s="26"/>
      <c r="L1618" s="14" t="s">
        <v>12058</v>
      </c>
      <c r="M1618" s="14">
        <v>2022</v>
      </c>
      <c r="N1618" s="14">
        <v>9781450396707</v>
      </c>
      <c r="O1618" s="26"/>
      <c r="P1618" s="26"/>
      <c r="Q1618" s="26"/>
      <c r="R1618" s="18"/>
      <c r="S1618" s="18"/>
      <c r="T1618" s="18"/>
      <c r="U1618" s="14" t="s">
        <v>10544</v>
      </c>
      <c r="V1618" s="18"/>
    </row>
    <row r="1619" spans="1:22" x14ac:dyDescent="0.25">
      <c r="A1619" s="14" t="s">
        <v>539</v>
      </c>
      <c r="B1619" s="18"/>
      <c r="C1619" s="14" t="s">
        <v>12677</v>
      </c>
      <c r="D1619" s="18"/>
      <c r="E1619" s="14">
        <v>2022</v>
      </c>
      <c r="F1619" s="18"/>
      <c r="G1619" s="18"/>
      <c r="H1619" s="28"/>
      <c r="I1619" s="14" t="s">
        <v>145</v>
      </c>
      <c r="J1619" s="14" t="s">
        <v>11044</v>
      </c>
      <c r="K1619" s="26"/>
      <c r="L1619" s="14" t="s">
        <v>12473</v>
      </c>
      <c r="M1619" s="14">
        <v>2022</v>
      </c>
      <c r="N1619" s="14">
        <v>9781450394772</v>
      </c>
      <c r="O1619" s="26"/>
      <c r="P1619" s="26"/>
      <c r="Q1619" s="26"/>
      <c r="R1619" s="18"/>
      <c r="S1619" s="18"/>
      <c r="T1619" s="18"/>
      <c r="U1619" s="14" t="s">
        <v>10544</v>
      </c>
      <c r="V1619" s="18"/>
    </row>
    <row r="1620" spans="1:22" x14ac:dyDescent="0.25">
      <c r="A1620" s="14" t="s">
        <v>539</v>
      </c>
      <c r="B1620" s="18"/>
      <c r="C1620" s="14" t="s">
        <v>12678</v>
      </c>
      <c r="D1620" s="18"/>
      <c r="E1620" s="14">
        <v>2022</v>
      </c>
      <c r="F1620" s="18"/>
      <c r="G1620" s="18"/>
      <c r="H1620" s="28"/>
      <c r="I1620" s="14" t="s">
        <v>145</v>
      </c>
      <c r="J1620" s="14" t="s">
        <v>11044</v>
      </c>
      <c r="K1620" s="26"/>
      <c r="L1620" s="14" t="s">
        <v>12679</v>
      </c>
      <c r="M1620" s="14">
        <v>2022</v>
      </c>
      <c r="N1620" s="14">
        <v>9781450396967</v>
      </c>
      <c r="O1620" s="26"/>
      <c r="P1620" s="26"/>
      <c r="Q1620" s="26"/>
      <c r="R1620" s="18"/>
      <c r="S1620" s="18"/>
      <c r="T1620" s="18"/>
      <c r="U1620" s="14" t="s">
        <v>10544</v>
      </c>
      <c r="V1620" s="18"/>
    </row>
    <row r="1621" spans="1:22" x14ac:dyDescent="0.25">
      <c r="A1621" s="14" t="s">
        <v>539</v>
      </c>
      <c r="B1621" s="18"/>
      <c r="C1621" s="14" t="s">
        <v>12680</v>
      </c>
      <c r="D1621" s="18"/>
      <c r="E1621" s="14">
        <v>2017</v>
      </c>
      <c r="F1621" s="18"/>
      <c r="G1621" s="18"/>
      <c r="H1621" s="28"/>
      <c r="I1621" s="14" t="s">
        <v>145</v>
      </c>
      <c r="J1621" s="14" t="s">
        <v>11044</v>
      </c>
      <c r="K1621" s="26"/>
      <c r="L1621" s="14" t="s">
        <v>12681</v>
      </c>
      <c r="M1621" s="14">
        <v>2017</v>
      </c>
      <c r="N1621" s="14">
        <v>9781450343350</v>
      </c>
      <c r="O1621" s="26"/>
      <c r="P1621" s="26"/>
      <c r="Q1621" s="26"/>
      <c r="R1621" s="14" t="s">
        <v>12682</v>
      </c>
      <c r="S1621" s="18"/>
      <c r="T1621" s="18"/>
      <c r="U1621" s="14" t="s">
        <v>10544</v>
      </c>
      <c r="V1621" s="18"/>
    </row>
    <row r="1622" spans="1:22" x14ac:dyDescent="0.25">
      <c r="A1622" s="14" t="s">
        <v>13</v>
      </c>
      <c r="B1622" s="14" t="s">
        <v>2937</v>
      </c>
      <c r="C1622" s="26"/>
      <c r="D1622" s="14" t="s">
        <v>2938</v>
      </c>
      <c r="E1622" s="14" t="s">
        <v>354</v>
      </c>
      <c r="F1622" s="14">
        <v>2020</v>
      </c>
      <c r="G1622" s="14">
        <v>169</v>
      </c>
      <c r="H1622" s="28"/>
      <c r="I1622" s="14">
        <v>110693</v>
      </c>
      <c r="J1622" s="18"/>
      <c r="K1622" s="26"/>
      <c r="L1622" s="27"/>
      <c r="M1622" s="18"/>
      <c r="N1622" s="14">
        <v>2020</v>
      </c>
      <c r="O1622" s="26"/>
      <c r="P1622" s="14" t="s">
        <v>65</v>
      </c>
      <c r="Q1622" s="17" t="s">
        <v>8412</v>
      </c>
      <c r="R1622" s="14" t="s">
        <v>2940</v>
      </c>
      <c r="S1622" s="14" t="s">
        <v>8413</v>
      </c>
      <c r="T1622" s="14" t="s">
        <v>8414</v>
      </c>
      <c r="U1622" s="18"/>
      <c r="V1622" s="18"/>
    </row>
    <row r="1623" spans="1:22" x14ac:dyDescent="0.25">
      <c r="A1623" s="14" t="s">
        <v>13</v>
      </c>
      <c r="B1623" s="14" t="s">
        <v>8415</v>
      </c>
      <c r="C1623" s="26"/>
      <c r="D1623" s="14" t="s">
        <v>8416</v>
      </c>
      <c r="E1623" s="14" t="s">
        <v>354</v>
      </c>
      <c r="F1623" s="14">
        <v>2022</v>
      </c>
      <c r="G1623" s="14">
        <v>188</v>
      </c>
      <c r="H1623" s="28"/>
      <c r="I1623" s="14">
        <v>111273</v>
      </c>
      <c r="J1623" s="18"/>
      <c r="K1623" s="26"/>
      <c r="L1623" s="27"/>
      <c r="M1623" s="18"/>
      <c r="N1623" s="14">
        <v>2022</v>
      </c>
      <c r="O1623" s="26"/>
      <c r="P1623" s="14" t="s">
        <v>65</v>
      </c>
      <c r="Q1623" s="17" t="s">
        <v>8417</v>
      </c>
      <c r="R1623" s="14" t="s">
        <v>8418</v>
      </c>
      <c r="S1623" s="14" t="s">
        <v>8419</v>
      </c>
      <c r="T1623" s="14" t="s">
        <v>8420</v>
      </c>
      <c r="U1623" s="18"/>
      <c r="V1623" s="18"/>
    </row>
    <row r="1624" spans="1:22" x14ac:dyDescent="0.25">
      <c r="A1624" s="14" t="s">
        <v>13</v>
      </c>
      <c r="B1624" s="14" t="s">
        <v>453</v>
      </c>
      <c r="C1624" s="26"/>
      <c r="D1624" s="14" t="s">
        <v>454</v>
      </c>
      <c r="E1624" s="14" t="s">
        <v>8421</v>
      </c>
      <c r="F1624" s="14">
        <v>2022</v>
      </c>
      <c r="G1624" s="14">
        <v>115</v>
      </c>
      <c r="H1624" s="28"/>
      <c r="I1624" s="14" t="s">
        <v>8422</v>
      </c>
      <c r="J1624" s="18"/>
      <c r="K1624" s="26"/>
      <c r="L1624" s="27"/>
      <c r="M1624" s="18"/>
      <c r="N1624" s="14">
        <v>2022</v>
      </c>
      <c r="O1624" s="26"/>
      <c r="P1624" s="14" t="s">
        <v>456</v>
      </c>
      <c r="Q1624" s="17" t="s">
        <v>8423</v>
      </c>
      <c r="R1624" s="14" t="s">
        <v>458</v>
      </c>
      <c r="S1624" s="14" t="s">
        <v>8424</v>
      </c>
      <c r="T1624" s="14" t="s">
        <v>8425</v>
      </c>
      <c r="U1624" s="14" t="s">
        <v>8426</v>
      </c>
      <c r="V1624" s="18"/>
    </row>
    <row r="1625" spans="1:22" x14ac:dyDescent="0.25">
      <c r="A1625" s="14" t="s">
        <v>13</v>
      </c>
      <c r="B1625" s="14" t="s">
        <v>1397</v>
      </c>
      <c r="C1625" s="26"/>
      <c r="D1625" s="14" t="s">
        <v>1398</v>
      </c>
      <c r="E1625" s="14" t="s">
        <v>307</v>
      </c>
      <c r="F1625" s="14">
        <v>2023</v>
      </c>
      <c r="G1625" s="14">
        <v>155</v>
      </c>
      <c r="H1625" s="28"/>
      <c r="I1625" s="14">
        <v>107116</v>
      </c>
      <c r="J1625" s="18"/>
      <c r="K1625" s="26"/>
      <c r="L1625" s="27"/>
      <c r="M1625" s="18"/>
      <c r="N1625" s="14">
        <v>2023</v>
      </c>
      <c r="O1625" s="26"/>
      <c r="P1625" s="14" t="s">
        <v>308</v>
      </c>
      <c r="Q1625" s="17" t="s">
        <v>8427</v>
      </c>
      <c r="R1625" s="14" t="s">
        <v>1400</v>
      </c>
      <c r="S1625" s="14" t="s">
        <v>8428</v>
      </c>
      <c r="T1625" s="14" t="s">
        <v>8429</v>
      </c>
      <c r="U1625" s="18"/>
      <c r="V1625" s="18"/>
    </row>
    <row r="1626" spans="1:22" x14ac:dyDescent="0.25">
      <c r="A1626" s="14" t="s">
        <v>13</v>
      </c>
      <c r="B1626" s="14" t="s">
        <v>1559</v>
      </c>
      <c r="C1626" s="26"/>
      <c r="D1626" s="14" t="s">
        <v>8430</v>
      </c>
      <c r="E1626" s="14" t="s">
        <v>354</v>
      </c>
      <c r="F1626" s="14">
        <v>2021</v>
      </c>
      <c r="G1626" s="14">
        <v>180</v>
      </c>
      <c r="H1626" s="28"/>
      <c r="I1626" s="14">
        <v>111010</v>
      </c>
      <c r="J1626" s="18"/>
      <c r="K1626" s="26"/>
      <c r="L1626" s="27"/>
      <c r="M1626" s="18"/>
      <c r="N1626" s="14">
        <v>2021</v>
      </c>
      <c r="O1626" s="26"/>
      <c r="P1626" s="14" t="s">
        <v>65</v>
      </c>
      <c r="Q1626" s="17" t="s">
        <v>8431</v>
      </c>
      <c r="R1626" s="14" t="s">
        <v>1562</v>
      </c>
      <c r="S1626" s="14" t="s">
        <v>8432</v>
      </c>
      <c r="T1626" s="14" t="s">
        <v>8433</v>
      </c>
      <c r="U1626" s="18"/>
      <c r="V1626" s="18"/>
    </row>
    <row r="1627" spans="1:22" x14ac:dyDescent="0.25">
      <c r="A1627" s="14" t="s">
        <v>13</v>
      </c>
      <c r="B1627" s="14" t="s">
        <v>3220</v>
      </c>
      <c r="C1627" s="26"/>
      <c r="D1627" s="14" t="s">
        <v>3221</v>
      </c>
      <c r="E1627" s="14" t="s">
        <v>354</v>
      </c>
      <c r="F1627" s="14">
        <v>2021</v>
      </c>
      <c r="G1627" s="14">
        <v>171</v>
      </c>
      <c r="H1627" s="28"/>
      <c r="I1627" s="14">
        <v>110806</v>
      </c>
      <c r="J1627" s="18"/>
      <c r="K1627" s="26"/>
      <c r="L1627" s="27"/>
      <c r="M1627" s="18"/>
      <c r="N1627" s="14">
        <v>2021</v>
      </c>
      <c r="O1627" s="26"/>
      <c r="P1627" s="14" t="s">
        <v>65</v>
      </c>
      <c r="Q1627" s="17" t="s">
        <v>8434</v>
      </c>
      <c r="R1627" s="14" t="s">
        <v>3223</v>
      </c>
      <c r="S1627" s="14" t="s">
        <v>8435</v>
      </c>
      <c r="T1627" s="14" t="s">
        <v>8436</v>
      </c>
      <c r="U1627" s="18"/>
      <c r="V1627" s="18"/>
    </row>
    <row r="1628" spans="1:22" x14ac:dyDescent="0.25">
      <c r="A1628" s="14" t="s">
        <v>13</v>
      </c>
      <c r="B1628" s="14" t="s">
        <v>8437</v>
      </c>
      <c r="C1628" s="26"/>
      <c r="D1628" s="14" t="s">
        <v>8438</v>
      </c>
      <c r="E1628" s="14" t="s">
        <v>354</v>
      </c>
      <c r="F1628" s="14">
        <v>2023</v>
      </c>
      <c r="G1628" s="14">
        <v>195</v>
      </c>
      <c r="H1628" s="28"/>
      <c r="I1628" s="14">
        <v>111521</v>
      </c>
      <c r="J1628" s="18"/>
      <c r="K1628" s="26"/>
      <c r="L1628" s="27"/>
      <c r="M1628" s="18"/>
      <c r="N1628" s="14">
        <v>2023</v>
      </c>
      <c r="O1628" s="26"/>
      <c r="P1628" s="14" t="s">
        <v>65</v>
      </c>
      <c r="Q1628" s="17" t="s">
        <v>8439</v>
      </c>
      <c r="R1628" s="14" t="s">
        <v>8440</v>
      </c>
      <c r="S1628" s="14" t="s">
        <v>8441</v>
      </c>
      <c r="T1628" s="14" t="s">
        <v>8442</v>
      </c>
      <c r="U1628" s="18"/>
      <c r="V1628" s="18"/>
    </row>
    <row r="1629" spans="1:22" x14ac:dyDescent="0.25">
      <c r="A1629" s="14" t="s">
        <v>13</v>
      </c>
      <c r="B1629" s="14" t="s">
        <v>4101</v>
      </c>
      <c r="C1629" s="26"/>
      <c r="D1629" s="14" t="s">
        <v>4102</v>
      </c>
      <c r="E1629" s="14" t="s">
        <v>307</v>
      </c>
      <c r="F1629" s="14">
        <v>2020</v>
      </c>
      <c r="G1629" s="14">
        <v>122</v>
      </c>
      <c r="H1629" s="28"/>
      <c r="I1629" s="14">
        <v>106274</v>
      </c>
      <c r="J1629" s="18"/>
      <c r="K1629" s="26"/>
      <c r="L1629" s="27"/>
      <c r="M1629" s="18"/>
      <c r="N1629" s="14">
        <v>2020</v>
      </c>
      <c r="O1629" s="26"/>
      <c r="P1629" s="14" t="s">
        <v>308</v>
      </c>
      <c r="Q1629" s="17" t="s">
        <v>8443</v>
      </c>
      <c r="R1629" s="14" t="s">
        <v>4104</v>
      </c>
      <c r="S1629" s="14" t="s">
        <v>8444</v>
      </c>
      <c r="T1629" s="14" t="s">
        <v>8445</v>
      </c>
      <c r="U1629" s="18"/>
      <c r="V1629" s="18"/>
    </row>
    <row r="1630" spans="1:22" x14ac:dyDescent="0.25">
      <c r="A1630" s="14" t="s">
        <v>13</v>
      </c>
      <c r="B1630" s="14" t="s">
        <v>2906</v>
      </c>
      <c r="C1630" s="26"/>
      <c r="D1630" s="14" t="s">
        <v>2907</v>
      </c>
      <c r="E1630" s="14" t="s">
        <v>354</v>
      </c>
      <c r="F1630" s="14">
        <v>2021</v>
      </c>
      <c r="G1630" s="14">
        <v>171</v>
      </c>
      <c r="H1630" s="28"/>
      <c r="I1630" s="14">
        <v>110847</v>
      </c>
      <c r="J1630" s="18"/>
      <c r="K1630" s="26"/>
      <c r="L1630" s="27"/>
      <c r="M1630" s="18"/>
      <c r="N1630" s="14">
        <v>2021</v>
      </c>
      <c r="O1630" s="26"/>
      <c r="P1630" s="14" t="s">
        <v>65</v>
      </c>
      <c r="Q1630" s="17" t="s">
        <v>8446</v>
      </c>
      <c r="R1630" s="14" t="s">
        <v>2909</v>
      </c>
      <c r="S1630" s="14" t="s">
        <v>8447</v>
      </c>
      <c r="T1630" s="14" t="s">
        <v>8448</v>
      </c>
      <c r="U1630" s="18"/>
      <c r="V1630" s="18"/>
    </row>
    <row r="1631" spans="1:22" x14ac:dyDescent="0.25">
      <c r="A1631" s="14" t="s">
        <v>13</v>
      </c>
      <c r="B1631" s="14" t="s">
        <v>8449</v>
      </c>
      <c r="C1631" s="26"/>
      <c r="D1631" s="14" t="s">
        <v>8450</v>
      </c>
      <c r="E1631" s="14" t="s">
        <v>354</v>
      </c>
      <c r="F1631" s="14">
        <v>2023</v>
      </c>
      <c r="G1631" s="14">
        <v>196</v>
      </c>
      <c r="H1631" s="28"/>
      <c r="I1631" s="14">
        <v>111554</v>
      </c>
      <c r="J1631" s="18"/>
      <c r="K1631" s="26"/>
      <c r="L1631" s="27"/>
      <c r="M1631" s="18"/>
      <c r="N1631" s="14">
        <v>2023</v>
      </c>
      <c r="O1631" s="26"/>
      <c r="P1631" s="14" t="s">
        <v>65</v>
      </c>
      <c r="Q1631" s="17" t="s">
        <v>8451</v>
      </c>
      <c r="R1631" s="14" t="s">
        <v>8452</v>
      </c>
      <c r="S1631" s="14" t="s">
        <v>8453</v>
      </c>
      <c r="T1631" s="14" t="s">
        <v>8454</v>
      </c>
      <c r="U1631" s="18"/>
      <c r="V1631" s="18"/>
    </row>
    <row r="1632" spans="1:22" x14ac:dyDescent="0.25">
      <c r="A1632" s="14" t="s">
        <v>13</v>
      </c>
      <c r="B1632" s="14" t="s">
        <v>8455</v>
      </c>
      <c r="C1632" s="26"/>
      <c r="D1632" s="14" t="s">
        <v>8456</v>
      </c>
      <c r="E1632" s="14" t="s">
        <v>307</v>
      </c>
      <c r="F1632" s="14">
        <v>2019</v>
      </c>
      <c r="G1632" s="14">
        <v>109</v>
      </c>
      <c r="H1632" s="28"/>
      <c r="I1632" s="14" t="s">
        <v>8457</v>
      </c>
      <c r="J1632" s="18"/>
      <c r="K1632" s="26"/>
      <c r="L1632" s="27"/>
      <c r="M1632" s="18"/>
      <c r="N1632" s="14">
        <v>2019</v>
      </c>
      <c r="O1632" s="26"/>
      <c r="P1632" s="14" t="s">
        <v>308</v>
      </c>
      <c r="Q1632" s="17" t="s">
        <v>8458</v>
      </c>
      <c r="R1632" s="14" t="s">
        <v>8459</v>
      </c>
      <c r="S1632" s="14" t="s">
        <v>8460</v>
      </c>
      <c r="T1632" s="14" t="s">
        <v>8461</v>
      </c>
      <c r="U1632" s="18"/>
      <c r="V1632" s="18"/>
    </row>
    <row r="1633" spans="1:22" x14ac:dyDescent="0.25">
      <c r="A1633" s="14" t="s">
        <v>13</v>
      </c>
      <c r="B1633" s="14" t="s">
        <v>8462</v>
      </c>
      <c r="C1633" s="26"/>
      <c r="D1633" s="14" t="s">
        <v>8463</v>
      </c>
      <c r="E1633" s="14" t="s">
        <v>354</v>
      </c>
      <c r="F1633" s="14">
        <v>2020</v>
      </c>
      <c r="G1633" s="14">
        <v>167</v>
      </c>
      <c r="H1633" s="28"/>
      <c r="I1633" s="14">
        <v>110610</v>
      </c>
      <c r="J1633" s="18"/>
      <c r="K1633" s="26"/>
      <c r="L1633" s="27"/>
      <c r="M1633" s="18"/>
      <c r="N1633" s="14">
        <v>2020</v>
      </c>
      <c r="O1633" s="26"/>
      <c r="P1633" s="14" t="s">
        <v>65</v>
      </c>
      <c r="Q1633" s="17" t="s">
        <v>8464</v>
      </c>
      <c r="R1633" s="14" t="s">
        <v>8465</v>
      </c>
      <c r="S1633" s="14" t="s">
        <v>8466</v>
      </c>
      <c r="T1633" s="14" t="s">
        <v>8467</v>
      </c>
      <c r="U1633" s="18"/>
      <c r="V1633" s="18"/>
    </row>
    <row r="1634" spans="1:22" x14ac:dyDescent="0.25">
      <c r="A1634" s="14" t="s">
        <v>13</v>
      </c>
      <c r="B1634" s="14" t="s">
        <v>3189</v>
      </c>
      <c r="C1634" s="26"/>
      <c r="D1634" s="14" t="s">
        <v>3190</v>
      </c>
      <c r="E1634" s="14" t="s">
        <v>354</v>
      </c>
      <c r="F1634" s="14">
        <v>2020</v>
      </c>
      <c r="G1634" s="14">
        <v>170</v>
      </c>
      <c r="H1634" s="28"/>
      <c r="I1634" s="14">
        <v>110750</v>
      </c>
      <c r="J1634" s="18"/>
      <c r="K1634" s="26"/>
      <c r="L1634" s="27"/>
      <c r="M1634" s="18"/>
      <c r="N1634" s="14">
        <v>2020</v>
      </c>
      <c r="O1634" s="26"/>
      <c r="P1634" s="14" t="s">
        <v>65</v>
      </c>
      <c r="Q1634" s="17" t="s">
        <v>8468</v>
      </c>
      <c r="R1634" s="14" t="s">
        <v>3192</v>
      </c>
      <c r="S1634" s="14" t="s">
        <v>8469</v>
      </c>
      <c r="T1634" s="14" t="s">
        <v>8470</v>
      </c>
      <c r="U1634" s="18"/>
      <c r="V1634" s="18"/>
    </row>
    <row r="1635" spans="1:22" x14ac:dyDescent="0.25">
      <c r="A1635" s="14" t="s">
        <v>13</v>
      </c>
      <c r="B1635" s="14" t="s">
        <v>1057</v>
      </c>
      <c r="C1635" s="26"/>
      <c r="D1635" s="14" t="s">
        <v>1058</v>
      </c>
      <c r="E1635" s="14" t="s">
        <v>1059</v>
      </c>
      <c r="F1635" s="14">
        <v>2022</v>
      </c>
      <c r="G1635" s="14">
        <v>115</v>
      </c>
      <c r="H1635" s="28"/>
      <c r="I1635" s="14">
        <v>105209</v>
      </c>
      <c r="J1635" s="18"/>
      <c r="K1635" s="26"/>
      <c r="L1635" s="27"/>
      <c r="M1635" s="18"/>
      <c r="N1635" s="14">
        <v>2022</v>
      </c>
      <c r="O1635" s="26"/>
      <c r="P1635" s="14" t="s">
        <v>1061</v>
      </c>
      <c r="Q1635" s="17" t="s">
        <v>8471</v>
      </c>
      <c r="R1635" s="14" t="s">
        <v>1063</v>
      </c>
      <c r="S1635" s="14" t="s">
        <v>8472</v>
      </c>
      <c r="T1635" s="14" t="s">
        <v>8473</v>
      </c>
      <c r="U1635" s="18"/>
      <c r="V1635" s="18"/>
    </row>
    <row r="1636" spans="1:22" x14ac:dyDescent="0.25">
      <c r="A1636" s="14" t="s">
        <v>13</v>
      </c>
      <c r="B1636" s="14" t="s">
        <v>8474</v>
      </c>
      <c r="C1636" s="26"/>
      <c r="D1636" s="14" t="s">
        <v>8475</v>
      </c>
      <c r="E1636" s="14" t="s">
        <v>307</v>
      </c>
      <c r="F1636" s="14">
        <v>2016</v>
      </c>
      <c r="G1636" s="14">
        <v>70</v>
      </c>
      <c r="H1636" s="28"/>
      <c r="I1636" s="14" t="s">
        <v>8476</v>
      </c>
      <c r="J1636" s="18"/>
      <c r="K1636" s="26"/>
      <c r="L1636" s="27"/>
      <c r="M1636" s="18"/>
      <c r="N1636" s="14">
        <v>2016</v>
      </c>
      <c r="O1636" s="26"/>
      <c r="P1636" s="14" t="s">
        <v>308</v>
      </c>
      <c r="Q1636" s="17" t="s">
        <v>8477</v>
      </c>
      <c r="R1636" s="14" t="s">
        <v>5350</v>
      </c>
      <c r="S1636" s="14" t="s">
        <v>8478</v>
      </c>
      <c r="T1636" s="14" t="s">
        <v>8479</v>
      </c>
      <c r="U1636" s="18"/>
      <c r="V1636" s="18"/>
    </row>
    <row r="1637" spans="1:22" x14ac:dyDescent="0.25">
      <c r="A1637" s="14" t="s">
        <v>13</v>
      </c>
      <c r="B1637" s="14" t="s">
        <v>8480</v>
      </c>
      <c r="C1637" s="26"/>
      <c r="D1637" s="14" t="s">
        <v>8481</v>
      </c>
      <c r="E1637" s="14" t="s">
        <v>8482</v>
      </c>
      <c r="F1637" s="14">
        <v>2020</v>
      </c>
      <c r="G1637" s="14">
        <v>97</v>
      </c>
      <c r="H1637" s="28"/>
      <c r="I1637" s="14">
        <v>101967</v>
      </c>
      <c r="J1637" s="18"/>
      <c r="K1637" s="26"/>
      <c r="L1637" s="27"/>
      <c r="M1637" s="18"/>
      <c r="N1637" s="14">
        <v>2020</v>
      </c>
      <c r="O1637" s="26"/>
      <c r="P1637" s="14" t="s">
        <v>8483</v>
      </c>
      <c r="Q1637" s="17" t="s">
        <v>8484</v>
      </c>
      <c r="R1637" s="14" t="s">
        <v>8485</v>
      </c>
      <c r="S1637" s="14" t="s">
        <v>8486</v>
      </c>
      <c r="T1637" s="14" t="s">
        <v>8487</v>
      </c>
      <c r="U1637" s="18"/>
      <c r="V1637" s="18"/>
    </row>
    <row r="1638" spans="1:22" x14ac:dyDescent="0.25">
      <c r="A1638" s="14" t="s">
        <v>13</v>
      </c>
      <c r="B1638" s="14" t="s">
        <v>8488</v>
      </c>
      <c r="C1638" s="26"/>
      <c r="D1638" s="14" t="s">
        <v>8489</v>
      </c>
      <c r="E1638" s="14" t="s">
        <v>1059</v>
      </c>
      <c r="F1638" s="14">
        <v>2022</v>
      </c>
      <c r="G1638" s="14">
        <v>111</v>
      </c>
      <c r="H1638" s="28"/>
      <c r="I1638" s="14">
        <v>104773</v>
      </c>
      <c r="J1638" s="18"/>
      <c r="K1638" s="26"/>
      <c r="L1638" s="27"/>
      <c r="M1638" s="18"/>
      <c r="N1638" s="14">
        <v>2022</v>
      </c>
      <c r="O1638" s="26"/>
      <c r="P1638" s="14" t="s">
        <v>1061</v>
      </c>
      <c r="Q1638" s="17" t="s">
        <v>8490</v>
      </c>
      <c r="R1638" s="14" t="s">
        <v>8491</v>
      </c>
      <c r="S1638" s="14" t="s">
        <v>8492</v>
      </c>
      <c r="T1638" s="14" t="s">
        <v>8493</v>
      </c>
      <c r="U1638" s="18"/>
      <c r="V1638" s="18"/>
    </row>
    <row r="1639" spans="1:22" x14ac:dyDescent="0.25">
      <c r="A1639" s="14" t="s">
        <v>13</v>
      </c>
      <c r="B1639" s="14" t="s">
        <v>8494</v>
      </c>
      <c r="C1639" s="26"/>
      <c r="D1639" s="14" t="s">
        <v>8495</v>
      </c>
      <c r="E1639" s="14" t="s">
        <v>354</v>
      </c>
      <c r="F1639" s="14">
        <v>2023</v>
      </c>
      <c r="G1639" s="14">
        <v>198</v>
      </c>
      <c r="H1639" s="28"/>
      <c r="I1639" s="14">
        <v>111563</v>
      </c>
      <c r="J1639" s="18"/>
      <c r="K1639" s="26"/>
      <c r="L1639" s="27"/>
      <c r="M1639" s="18"/>
      <c r="N1639" s="14">
        <v>2023</v>
      </c>
      <c r="O1639" s="26"/>
      <c r="P1639" s="14" t="s">
        <v>65</v>
      </c>
      <c r="Q1639" s="17" t="s">
        <v>8496</v>
      </c>
      <c r="R1639" s="14" t="s">
        <v>8497</v>
      </c>
      <c r="S1639" s="14" t="s">
        <v>8498</v>
      </c>
      <c r="T1639" s="14" t="s">
        <v>8499</v>
      </c>
      <c r="U1639" s="18"/>
      <c r="V1639" s="18"/>
    </row>
    <row r="1640" spans="1:22" x14ac:dyDescent="0.25">
      <c r="A1640" s="14" t="s">
        <v>13</v>
      </c>
      <c r="B1640" s="14" t="s">
        <v>8500</v>
      </c>
      <c r="C1640" s="26"/>
      <c r="D1640" s="14" t="s">
        <v>8501</v>
      </c>
      <c r="E1640" s="14" t="s">
        <v>8502</v>
      </c>
      <c r="F1640" s="14">
        <v>2022</v>
      </c>
      <c r="G1640" s="14">
        <v>9</v>
      </c>
      <c r="H1640" s="28"/>
      <c r="I1640" s="14">
        <v>100316</v>
      </c>
      <c r="J1640" s="18"/>
      <c r="K1640" s="26"/>
      <c r="L1640" s="27"/>
      <c r="M1640" s="18"/>
      <c r="N1640" s="14">
        <v>2022</v>
      </c>
      <c r="O1640" s="26"/>
      <c r="P1640" s="14" t="s">
        <v>8503</v>
      </c>
      <c r="Q1640" s="17" t="s">
        <v>8504</v>
      </c>
      <c r="R1640" s="14" t="s">
        <v>8505</v>
      </c>
      <c r="S1640" s="14" t="s">
        <v>8506</v>
      </c>
      <c r="T1640" s="14" t="s">
        <v>8507</v>
      </c>
      <c r="U1640" s="18"/>
      <c r="V1640" s="18"/>
    </row>
    <row r="1641" spans="1:22" x14ac:dyDescent="0.25">
      <c r="A1641" s="14" t="s">
        <v>13</v>
      </c>
      <c r="B1641" s="14" t="s">
        <v>8508</v>
      </c>
      <c r="C1641" s="26"/>
      <c r="D1641" s="14" t="s">
        <v>8509</v>
      </c>
      <c r="E1641" s="14" t="s">
        <v>354</v>
      </c>
      <c r="F1641" s="14">
        <v>2017</v>
      </c>
      <c r="G1641" s="14">
        <v>123</v>
      </c>
      <c r="H1641" s="28"/>
      <c r="I1641" s="14" t="s">
        <v>8510</v>
      </c>
      <c r="J1641" s="18"/>
      <c r="K1641" s="26"/>
      <c r="L1641" s="27"/>
      <c r="M1641" s="18"/>
      <c r="N1641" s="14">
        <v>2017</v>
      </c>
      <c r="O1641" s="26"/>
      <c r="P1641" s="14" t="s">
        <v>65</v>
      </c>
      <c r="Q1641" s="17" t="s">
        <v>8511</v>
      </c>
      <c r="R1641" s="14" t="s">
        <v>8512</v>
      </c>
      <c r="S1641" s="14" t="s">
        <v>8513</v>
      </c>
      <c r="T1641" s="14" t="s">
        <v>8514</v>
      </c>
      <c r="U1641" s="18"/>
      <c r="V1641" s="18"/>
    </row>
    <row r="1642" spans="1:22" x14ac:dyDescent="0.25">
      <c r="A1642" s="14" t="s">
        <v>13</v>
      </c>
      <c r="B1642" s="14" t="s">
        <v>8515</v>
      </c>
      <c r="C1642" s="26"/>
      <c r="D1642" s="14" t="s">
        <v>8516</v>
      </c>
      <c r="E1642" s="14" t="s">
        <v>307</v>
      </c>
      <c r="F1642" s="14">
        <v>2021</v>
      </c>
      <c r="G1642" s="14">
        <v>134</v>
      </c>
      <c r="H1642" s="28"/>
      <c r="I1642" s="14">
        <v>106539</v>
      </c>
      <c r="J1642" s="18"/>
      <c r="K1642" s="26"/>
      <c r="L1642" s="27"/>
      <c r="M1642" s="18"/>
      <c r="N1642" s="14">
        <v>2021</v>
      </c>
      <c r="O1642" s="26"/>
      <c r="P1642" s="14" t="s">
        <v>308</v>
      </c>
      <c r="Q1642" s="17" t="s">
        <v>8517</v>
      </c>
      <c r="R1642" s="14" t="s">
        <v>8518</v>
      </c>
      <c r="S1642" s="14" t="s">
        <v>8519</v>
      </c>
      <c r="T1642" s="14" t="s">
        <v>8520</v>
      </c>
      <c r="U1642" s="18"/>
      <c r="V1642" s="18"/>
    </row>
    <row r="1643" spans="1:22" x14ac:dyDescent="0.25">
      <c r="A1643" s="14" t="s">
        <v>13</v>
      </c>
      <c r="B1643" s="14" t="s">
        <v>8521</v>
      </c>
      <c r="C1643" s="26"/>
      <c r="D1643" s="14" t="s">
        <v>8522</v>
      </c>
      <c r="E1643" s="14" t="s">
        <v>307</v>
      </c>
      <c r="F1643" s="14">
        <v>2020</v>
      </c>
      <c r="G1643" s="14">
        <v>127</v>
      </c>
      <c r="H1643" s="28"/>
      <c r="I1643" s="14">
        <v>106375</v>
      </c>
      <c r="J1643" s="18"/>
      <c r="K1643" s="26"/>
      <c r="L1643" s="27"/>
      <c r="M1643" s="18"/>
      <c r="N1643" s="14">
        <v>2020</v>
      </c>
      <c r="O1643" s="26"/>
      <c r="P1643" s="14" t="s">
        <v>308</v>
      </c>
      <c r="Q1643" s="17" t="s">
        <v>8523</v>
      </c>
      <c r="R1643" s="14" t="s">
        <v>8524</v>
      </c>
      <c r="S1643" s="14" t="s">
        <v>8525</v>
      </c>
      <c r="T1643" s="14" t="s">
        <v>8526</v>
      </c>
      <c r="U1643" s="18"/>
      <c r="V1643" s="18"/>
    </row>
    <row r="1644" spans="1:22" x14ac:dyDescent="0.25">
      <c r="A1644" s="14" t="s">
        <v>13</v>
      </c>
      <c r="B1644" s="14" t="s">
        <v>8527</v>
      </c>
      <c r="C1644" s="26"/>
      <c r="D1644" s="14" t="s">
        <v>8528</v>
      </c>
      <c r="E1644" s="14" t="s">
        <v>8482</v>
      </c>
      <c r="F1644" s="14">
        <v>2021</v>
      </c>
      <c r="G1644" s="14">
        <v>103</v>
      </c>
      <c r="H1644" s="28"/>
      <c r="I1644" s="14">
        <v>102200</v>
      </c>
      <c r="J1644" s="18"/>
      <c r="K1644" s="26"/>
      <c r="L1644" s="27"/>
      <c r="M1644" s="18"/>
      <c r="N1644" s="14">
        <v>2021</v>
      </c>
      <c r="O1644" s="26"/>
      <c r="P1644" s="14" t="s">
        <v>8483</v>
      </c>
      <c r="Q1644" s="17" t="s">
        <v>8529</v>
      </c>
      <c r="R1644" s="14" t="s">
        <v>8530</v>
      </c>
      <c r="S1644" s="14" t="s">
        <v>8531</v>
      </c>
      <c r="T1644" s="14" t="s">
        <v>8532</v>
      </c>
      <c r="U1644" s="18"/>
      <c r="V1644" s="18"/>
    </row>
    <row r="1645" spans="1:22" x14ac:dyDescent="0.25">
      <c r="A1645" s="14" t="s">
        <v>7972</v>
      </c>
      <c r="B1645" s="18"/>
      <c r="C1645" s="14" t="s">
        <v>8533</v>
      </c>
      <c r="D1645" s="14" t="s">
        <v>8534</v>
      </c>
      <c r="E1645" s="26"/>
      <c r="F1645" s="14">
        <v>2014</v>
      </c>
      <c r="G1645" s="14">
        <v>93</v>
      </c>
      <c r="H1645" s="28"/>
      <c r="I1645" s="14" t="s">
        <v>8535</v>
      </c>
      <c r="J1645" s="18"/>
      <c r="K1645" s="14" t="s">
        <v>8536</v>
      </c>
      <c r="L1645" s="27"/>
      <c r="M1645" s="14" t="s">
        <v>8537</v>
      </c>
      <c r="N1645" s="14">
        <v>2014</v>
      </c>
      <c r="O1645" s="26"/>
      <c r="P1645" s="14" t="s">
        <v>8538</v>
      </c>
      <c r="Q1645" s="17" t="s">
        <v>8539</v>
      </c>
      <c r="R1645" s="14" t="s">
        <v>8540</v>
      </c>
      <c r="S1645" s="18"/>
      <c r="T1645" s="18"/>
      <c r="U1645" s="18"/>
      <c r="V1645" s="14" t="s">
        <v>8537</v>
      </c>
    </row>
    <row r="1646" spans="1:22" x14ac:dyDescent="0.25">
      <c r="A1646" s="14" t="s">
        <v>13</v>
      </c>
      <c r="B1646" s="14" t="s">
        <v>8541</v>
      </c>
      <c r="C1646" s="26"/>
      <c r="D1646" s="14" t="s">
        <v>8542</v>
      </c>
      <c r="E1646" s="14" t="s">
        <v>307</v>
      </c>
      <c r="F1646" s="14">
        <v>2021</v>
      </c>
      <c r="G1646" s="14">
        <v>129</v>
      </c>
      <c r="H1646" s="28"/>
      <c r="I1646" s="14">
        <v>106435</v>
      </c>
      <c r="J1646" s="18"/>
      <c r="K1646" s="26"/>
      <c r="L1646" s="27"/>
      <c r="M1646" s="18"/>
      <c r="N1646" s="14">
        <v>2021</v>
      </c>
      <c r="O1646" s="26"/>
      <c r="P1646" s="14" t="s">
        <v>308</v>
      </c>
      <c r="Q1646" s="17" t="s">
        <v>8543</v>
      </c>
      <c r="R1646" s="14" t="s">
        <v>8544</v>
      </c>
      <c r="S1646" s="14" t="s">
        <v>8545</v>
      </c>
      <c r="T1646" s="14" t="s">
        <v>8546</v>
      </c>
      <c r="U1646" s="18"/>
      <c r="V1646" s="18"/>
    </row>
    <row r="1647" spans="1:22" x14ac:dyDescent="0.25">
      <c r="A1647" s="14" t="s">
        <v>13</v>
      </c>
      <c r="B1647" s="14" t="s">
        <v>8547</v>
      </c>
      <c r="C1647" s="26"/>
      <c r="D1647" s="14" t="s">
        <v>8548</v>
      </c>
      <c r="E1647" s="14" t="s">
        <v>307</v>
      </c>
      <c r="F1647" s="14">
        <v>2021</v>
      </c>
      <c r="G1647" s="14">
        <v>134</v>
      </c>
      <c r="H1647" s="28"/>
      <c r="I1647" s="14">
        <v>106551</v>
      </c>
      <c r="J1647" s="18"/>
      <c r="K1647" s="26"/>
      <c r="L1647" s="27"/>
      <c r="M1647" s="18"/>
      <c r="N1647" s="14">
        <v>2021</v>
      </c>
      <c r="O1647" s="26"/>
      <c r="P1647" s="14" t="s">
        <v>308</v>
      </c>
      <c r="Q1647" s="17" t="s">
        <v>8549</v>
      </c>
      <c r="R1647" s="14" t="s">
        <v>8550</v>
      </c>
      <c r="S1647" s="14" t="s">
        <v>8551</v>
      </c>
      <c r="T1647" s="14" t="s">
        <v>8552</v>
      </c>
      <c r="U1647" s="18"/>
      <c r="V1647" s="18"/>
    </row>
    <row r="1648" spans="1:22" x14ac:dyDescent="0.25">
      <c r="A1648" s="14" t="s">
        <v>13</v>
      </c>
      <c r="B1648" s="14" t="s">
        <v>8553</v>
      </c>
      <c r="C1648" s="26"/>
      <c r="D1648" s="14" t="s">
        <v>8554</v>
      </c>
      <c r="E1648" s="14" t="s">
        <v>354</v>
      </c>
      <c r="F1648" s="14">
        <v>2022</v>
      </c>
      <c r="G1648" s="14">
        <v>190</v>
      </c>
      <c r="H1648" s="28"/>
      <c r="I1648" s="14">
        <v>111326</v>
      </c>
      <c r="J1648" s="18"/>
      <c r="K1648" s="26"/>
      <c r="L1648" s="27"/>
      <c r="M1648" s="18"/>
      <c r="N1648" s="14">
        <v>2022</v>
      </c>
      <c r="O1648" s="26"/>
      <c r="P1648" s="14" t="s">
        <v>65</v>
      </c>
      <c r="Q1648" s="17" t="s">
        <v>8555</v>
      </c>
      <c r="R1648" s="14" t="s">
        <v>8556</v>
      </c>
      <c r="S1648" s="14" t="s">
        <v>8557</v>
      </c>
      <c r="T1648" s="14" t="s">
        <v>8558</v>
      </c>
      <c r="U1648" s="18"/>
      <c r="V1648" s="18"/>
    </row>
    <row r="1649" spans="1:22" x14ac:dyDescent="0.25">
      <c r="A1649" s="14" t="s">
        <v>13</v>
      </c>
      <c r="B1649" s="14" t="s">
        <v>8559</v>
      </c>
      <c r="C1649" s="26"/>
      <c r="D1649" s="14" t="s">
        <v>8560</v>
      </c>
      <c r="E1649" s="14" t="s">
        <v>354</v>
      </c>
      <c r="F1649" s="14">
        <v>2019</v>
      </c>
      <c r="G1649" s="14">
        <v>156</v>
      </c>
      <c r="H1649" s="28"/>
      <c r="I1649" s="14" t="s">
        <v>8561</v>
      </c>
      <c r="J1649" s="18"/>
      <c r="K1649" s="26"/>
      <c r="L1649" s="27"/>
      <c r="M1649" s="18"/>
      <c r="N1649" s="14">
        <v>2019</v>
      </c>
      <c r="O1649" s="26"/>
      <c r="P1649" s="14" t="s">
        <v>65</v>
      </c>
      <c r="Q1649" s="17" t="s">
        <v>8562</v>
      </c>
      <c r="R1649" s="14" t="s">
        <v>8563</v>
      </c>
      <c r="S1649" s="14" t="s">
        <v>8564</v>
      </c>
      <c r="T1649" s="14" t="s">
        <v>8565</v>
      </c>
      <c r="U1649" s="18"/>
      <c r="V1649" s="18"/>
    </row>
    <row r="1650" spans="1:22" x14ac:dyDescent="0.25">
      <c r="A1650" s="14" t="s">
        <v>13</v>
      </c>
      <c r="B1650" s="14" t="s">
        <v>7920</v>
      </c>
      <c r="C1650" s="26"/>
      <c r="D1650" s="14" t="s">
        <v>8566</v>
      </c>
      <c r="E1650" s="14" t="s">
        <v>307</v>
      </c>
      <c r="F1650" s="14">
        <v>2022</v>
      </c>
      <c r="G1650" s="14">
        <v>141</v>
      </c>
      <c r="H1650" s="28"/>
      <c r="I1650" s="14">
        <v>106705</v>
      </c>
      <c r="J1650" s="18"/>
      <c r="K1650" s="26"/>
      <c r="L1650" s="27"/>
      <c r="M1650" s="18"/>
      <c r="N1650" s="14">
        <v>2022</v>
      </c>
      <c r="O1650" s="26"/>
      <c r="P1650" s="14" t="s">
        <v>308</v>
      </c>
      <c r="Q1650" s="17" t="s">
        <v>8567</v>
      </c>
      <c r="R1650" s="14" t="s">
        <v>8568</v>
      </c>
      <c r="S1650" s="14" t="s">
        <v>8569</v>
      </c>
      <c r="T1650" s="14" t="s">
        <v>8570</v>
      </c>
      <c r="U1650" s="18"/>
      <c r="V1650" s="18"/>
    </row>
    <row r="1651" spans="1:22" x14ac:dyDescent="0.25">
      <c r="A1651" s="14" t="s">
        <v>13</v>
      </c>
      <c r="B1651" s="14" t="s">
        <v>2585</v>
      </c>
      <c r="C1651" s="26"/>
      <c r="D1651" s="14" t="s">
        <v>2586</v>
      </c>
      <c r="E1651" s="14" t="s">
        <v>307</v>
      </c>
      <c r="F1651" s="14">
        <v>2021</v>
      </c>
      <c r="G1651" s="14">
        <v>135</v>
      </c>
      <c r="H1651" s="28"/>
      <c r="I1651" s="14">
        <v>106566</v>
      </c>
      <c r="J1651" s="18"/>
      <c r="K1651" s="26"/>
      <c r="L1651" s="27"/>
      <c r="M1651" s="18"/>
      <c r="N1651" s="14">
        <v>2021</v>
      </c>
      <c r="O1651" s="26"/>
      <c r="P1651" s="14" t="s">
        <v>308</v>
      </c>
      <c r="Q1651" s="17" t="s">
        <v>8571</v>
      </c>
      <c r="R1651" s="14" t="s">
        <v>2588</v>
      </c>
      <c r="S1651" s="14" t="s">
        <v>8572</v>
      </c>
      <c r="T1651" s="14" t="s">
        <v>8573</v>
      </c>
      <c r="U1651" s="18"/>
      <c r="V1651" s="18"/>
    </row>
    <row r="1652" spans="1:22" x14ac:dyDescent="0.25">
      <c r="A1652" s="14" t="s">
        <v>13</v>
      </c>
      <c r="B1652" s="14" t="s">
        <v>8574</v>
      </c>
      <c r="C1652" s="26"/>
      <c r="D1652" s="14" t="s">
        <v>8575</v>
      </c>
      <c r="E1652" s="14" t="s">
        <v>354</v>
      </c>
      <c r="F1652" s="14">
        <v>2015</v>
      </c>
      <c r="G1652" s="14">
        <v>110</v>
      </c>
      <c r="H1652" s="28"/>
      <c r="I1652" s="14" t="s">
        <v>8576</v>
      </c>
      <c r="J1652" s="18"/>
      <c r="K1652" s="26"/>
      <c r="L1652" s="27"/>
      <c r="M1652" s="18"/>
      <c r="N1652" s="14">
        <v>2015</v>
      </c>
      <c r="O1652" s="26"/>
      <c r="P1652" s="14" t="s">
        <v>65</v>
      </c>
      <c r="Q1652" s="17" t="s">
        <v>8577</v>
      </c>
      <c r="R1652" s="14" t="s">
        <v>8578</v>
      </c>
      <c r="S1652" s="14" t="s">
        <v>8579</v>
      </c>
      <c r="T1652" s="14" t="s">
        <v>8580</v>
      </c>
      <c r="U1652" s="18"/>
      <c r="V1652" s="18"/>
    </row>
    <row r="1653" spans="1:22" x14ac:dyDescent="0.25">
      <c r="A1653" s="14" t="s">
        <v>13</v>
      </c>
      <c r="B1653" s="14" t="s">
        <v>8581</v>
      </c>
      <c r="C1653" s="26"/>
      <c r="D1653" s="14" t="s">
        <v>8582</v>
      </c>
      <c r="E1653" s="14" t="s">
        <v>354</v>
      </c>
      <c r="F1653" s="14">
        <v>2019</v>
      </c>
      <c r="G1653" s="14">
        <v>147</v>
      </c>
      <c r="H1653" s="28"/>
      <c r="I1653" s="14" t="s">
        <v>8583</v>
      </c>
      <c r="J1653" s="18"/>
      <c r="K1653" s="26"/>
      <c r="L1653" s="27"/>
      <c r="M1653" s="18"/>
      <c r="N1653" s="14">
        <v>2019</v>
      </c>
      <c r="O1653" s="26"/>
      <c r="P1653" s="14" t="s">
        <v>65</v>
      </c>
      <c r="Q1653" s="17" t="s">
        <v>8584</v>
      </c>
      <c r="R1653" s="14" t="s">
        <v>8585</v>
      </c>
      <c r="S1653" s="14" t="s">
        <v>8586</v>
      </c>
      <c r="T1653" s="14" t="s">
        <v>8587</v>
      </c>
      <c r="U1653" s="18"/>
      <c r="V1653" s="18"/>
    </row>
    <row r="1654" spans="1:22" x14ac:dyDescent="0.25">
      <c r="A1654" s="14" t="s">
        <v>13</v>
      </c>
      <c r="B1654" s="14" t="s">
        <v>4757</v>
      </c>
      <c r="C1654" s="26"/>
      <c r="D1654" s="14" t="s">
        <v>8588</v>
      </c>
      <c r="E1654" s="14" t="s">
        <v>354</v>
      </c>
      <c r="F1654" s="14">
        <v>2021</v>
      </c>
      <c r="G1654" s="14">
        <v>177</v>
      </c>
      <c r="H1654" s="28"/>
      <c r="I1654" s="14">
        <v>110964</v>
      </c>
      <c r="J1654" s="18"/>
      <c r="K1654" s="26"/>
      <c r="L1654" s="27"/>
      <c r="M1654" s="18"/>
      <c r="N1654" s="14">
        <v>2021</v>
      </c>
      <c r="O1654" s="26"/>
      <c r="P1654" s="14" t="s">
        <v>65</v>
      </c>
      <c r="Q1654" s="17" t="s">
        <v>8589</v>
      </c>
      <c r="R1654" s="14" t="s">
        <v>8590</v>
      </c>
      <c r="S1654" s="14" t="s">
        <v>8591</v>
      </c>
      <c r="T1654" s="18"/>
      <c r="U1654" s="18"/>
      <c r="V1654" s="18"/>
    </row>
    <row r="1655" spans="1:22" x14ac:dyDescent="0.25">
      <c r="A1655" s="14" t="s">
        <v>13</v>
      </c>
      <c r="B1655" s="14" t="s">
        <v>1119</v>
      </c>
      <c r="C1655" s="26"/>
      <c r="D1655" s="14" t="s">
        <v>1120</v>
      </c>
      <c r="E1655" s="14" t="s">
        <v>354</v>
      </c>
      <c r="F1655" s="14">
        <v>2023</v>
      </c>
      <c r="G1655" s="14">
        <v>195</v>
      </c>
      <c r="H1655" s="28"/>
      <c r="I1655" s="14">
        <v>111514</v>
      </c>
      <c r="J1655" s="18"/>
      <c r="K1655" s="26"/>
      <c r="L1655" s="27"/>
      <c r="M1655" s="18"/>
      <c r="N1655" s="14">
        <v>2023</v>
      </c>
      <c r="O1655" s="26"/>
      <c r="P1655" s="14" t="s">
        <v>65</v>
      </c>
      <c r="Q1655" s="17" t="s">
        <v>8592</v>
      </c>
      <c r="R1655" s="14" t="s">
        <v>1122</v>
      </c>
      <c r="S1655" s="14" t="s">
        <v>8593</v>
      </c>
      <c r="T1655" s="14" t="s">
        <v>8594</v>
      </c>
      <c r="U1655" s="18"/>
      <c r="V1655" s="18"/>
    </row>
    <row r="1656" spans="1:22" x14ac:dyDescent="0.25">
      <c r="A1656" s="14" t="s">
        <v>13</v>
      </c>
      <c r="B1656" s="14" t="s">
        <v>8595</v>
      </c>
      <c r="C1656" s="26"/>
      <c r="D1656" s="14" t="s">
        <v>8596</v>
      </c>
      <c r="E1656" s="14" t="s">
        <v>8597</v>
      </c>
      <c r="F1656" s="14">
        <v>2022</v>
      </c>
      <c r="G1656" s="14">
        <v>19</v>
      </c>
      <c r="H1656" s="28"/>
      <c r="I1656" s="14">
        <v>100514</v>
      </c>
      <c r="J1656" s="18"/>
      <c r="K1656" s="26"/>
      <c r="L1656" s="27"/>
      <c r="M1656" s="18"/>
      <c r="N1656" s="14">
        <v>2022</v>
      </c>
      <c r="O1656" s="26"/>
      <c r="P1656" s="14" t="s">
        <v>8598</v>
      </c>
      <c r="Q1656" s="17" t="s">
        <v>8599</v>
      </c>
      <c r="R1656" s="14" t="s">
        <v>8600</v>
      </c>
      <c r="S1656" s="14" t="s">
        <v>8601</v>
      </c>
      <c r="T1656" s="14" t="s">
        <v>8602</v>
      </c>
      <c r="U1656" s="18"/>
      <c r="V1656" s="18"/>
    </row>
    <row r="1657" spans="1:22" x14ac:dyDescent="0.25">
      <c r="A1657" s="14" t="s">
        <v>13</v>
      </c>
      <c r="B1657" s="14" t="s">
        <v>3714</v>
      </c>
      <c r="C1657" s="26"/>
      <c r="D1657" s="14" t="s">
        <v>3715</v>
      </c>
      <c r="E1657" s="14" t="s">
        <v>354</v>
      </c>
      <c r="F1657" s="14">
        <v>2021</v>
      </c>
      <c r="G1657" s="14">
        <v>174</v>
      </c>
      <c r="H1657" s="28"/>
      <c r="I1657" s="14">
        <v>110902</v>
      </c>
      <c r="J1657" s="18"/>
      <c r="K1657" s="26"/>
      <c r="L1657" s="27"/>
      <c r="M1657" s="18"/>
      <c r="N1657" s="14">
        <v>2021</v>
      </c>
      <c r="O1657" s="26"/>
      <c r="P1657" s="14" t="s">
        <v>65</v>
      </c>
      <c r="Q1657" s="17" t="s">
        <v>8603</v>
      </c>
      <c r="R1657" s="14" t="s">
        <v>3717</v>
      </c>
      <c r="S1657" s="14" t="s">
        <v>8604</v>
      </c>
      <c r="T1657" s="14" t="s">
        <v>8605</v>
      </c>
      <c r="U1657" s="18"/>
      <c r="V1657" s="18"/>
    </row>
    <row r="1658" spans="1:22" x14ac:dyDescent="0.25">
      <c r="A1658" s="14" t="s">
        <v>13</v>
      </c>
      <c r="B1658" s="14" t="s">
        <v>2465</v>
      </c>
      <c r="C1658" s="26"/>
      <c r="D1658" s="14" t="s">
        <v>2466</v>
      </c>
      <c r="E1658" s="14" t="s">
        <v>354</v>
      </c>
      <c r="F1658" s="14">
        <v>2021</v>
      </c>
      <c r="G1658" s="14">
        <v>176</v>
      </c>
      <c r="H1658" s="28"/>
      <c r="I1658" s="14">
        <v>110936</v>
      </c>
      <c r="J1658" s="18"/>
      <c r="K1658" s="26"/>
      <c r="L1658" s="27"/>
      <c r="M1658" s="18"/>
      <c r="N1658" s="14">
        <v>2021</v>
      </c>
      <c r="O1658" s="26"/>
      <c r="P1658" s="14" t="s">
        <v>65</v>
      </c>
      <c r="Q1658" s="17" t="s">
        <v>8606</v>
      </c>
      <c r="R1658" s="14" t="s">
        <v>2468</v>
      </c>
      <c r="S1658" s="14" t="s">
        <v>8607</v>
      </c>
      <c r="T1658" s="14" t="s">
        <v>8608</v>
      </c>
      <c r="U1658" s="18"/>
      <c r="V1658" s="18"/>
    </row>
    <row r="1659" spans="1:22" x14ac:dyDescent="0.25">
      <c r="A1659" s="14" t="s">
        <v>13</v>
      </c>
      <c r="B1659" s="14" t="s">
        <v>8609</v>
      </c>
      <c r="C1659" s="26"/>
      <c r="D1659" s="14" t="s">
        <v>8610</v>
      </c>
      <c r="E1659" s="14" t="s">
        <v>354</v>
      </c>
      <c r="F1659" s="14">
        <v>2013</v>
      </c>
      <c r="G1659" s="14">
        <v>86</v>
      </c>
      <c r="H1659" s="14">
        <v>5</v>
      </c>
      <c r="I1659" s="14" t="s">
        <v>8611</v>
      </c>
      <c r="J1659" s="18"/>
      <c r="K1659" s="26"/>
      <c r="L1659" s="27"/>
      <c r="M1659" s="18"/>
      <c r="N1659" s="14">
        <v>2013</v>
      </c>
      <c r="O1659" s="26"/>
      <c r="P1659" s="14" t="s">
        <v>65</v>
      </c>
      <c r="Q1659" s="17" t="s">
        <v>8612</v>
      </c>
      <c r="R1659" s="14" t="s">
        <v>8613</v>
      </c>
      <c r="S1659" s="14" t="s">
        <v>8614</v>
      </c>
      <c r="T1659" s="14" t="s">
        <v>8615</v>
      </c>
      <c r="U1659" s="18"/>
      <c r="V1659" s="18"/>
    </row>
    <row r="1660" spans="1:22" x14ac:dyDescent="0.25">
      <c r="A1660" s="14" t="s">
        <v>13</v>
      </c>
      <c r="B1660" s="14" t="s">
        <v>8616</v>
      </c>
      <c r="C1660" s="26"/>
      <c r="D1660" s="14" t="s">
        <v>8617</v>
      </c>
      <c r="E1660" s="14" t="s">
        <v>307</v>
      </c>
      <c r="F1660" s="14">
        <v>2020</v>
      </c>
      <c r="G1660" s="14">
        <v>125</v>
      </c>
      <c r="H1660" s="28"/>
      <c r="I1660" s="14">
        <v>106333</v>
      </c>
      <c r="J1660" s="18"/>
      <c r="K1660" s="26"/>
      <c r="L1660" s="27"/>
      <c r="M1660" s="18"/>
      <c r="N1660" s="14">
        <v>2020</v>
      </c>
      <c r="O1660" s="26"/>
      <c r="P1660" s="14" t="s">
        <v>308</v>
      </c>
      <c r="Q1660" s="17" t="s">
        <v>8618</v>
      </c>
      <c r="R1660" s="14" t="s">
        <v>8619</v>
      </c>
      <c r="S1660" s="14" t="s">
        <v>8620</v>
      </c>
      <c r="T1660" s="14" t="s">
        <v>8621</v>
      </c>
      <c r="U1660" s="18"/>
      <c r="V1660" s="18"/>
    </row>
    <row r="1661" spans="1:22" x14ac:dyDescent="0.25">
      <c r="A1661" s="14" t="s">
        <v>13</v>
      </c>
      <c r="B1661" s="14" t="s">
        <v>8622</v>
      </c>
      <c r="C1661" s="26"/>
      <c r="D1661" s="14" t="s">
        <v>8623</v>
      </c>
      <c r="E1661" s="14" t="s">
        <v>8624</v>
      </c>
      <c r="F1661" s="14">
        <v>2022</v>
      </c>
      <c r="G1661" s="14">
        <v>141</v>
      </c>
      <c r="H1661" s="28"/>
      <c r="I1661" s="14">
        <v>103701</v>
      </c>
      <c r="J1661" s="18"/>
      <c r="K1661" s="26"/>
      <c r="L1661" s="27"/>
      <c r="M1661" s="18"/>
      <c r="N1661" s="14">
        <v>2022</v>
      </c>
      <c r="O1661" s="26"/>
      <c r="P1661" s="14" t="s">
        <v>8625</v>
      </c>
      <c r="Q1661" s="17" t="s">
        <v>8626</v>
      </c>
      <c r="R1661" s="14" t="s">
        <v>8627</v>
      </c>
      <c r="S1661" s="14" t="s">
        <v>8628</v>
      </c>
      <c r="T1661" s="14" t="s">
        <v>8629</v>
      </c>
      <c r="U1661" s="18"/>
      <c r="V1661" s="18"/>
    </row>
    <row r="1662" spans="1:22" x14ac:dyDescent="0.25">
      <c r="A1662" s="14" t="s">
        <v>13</v>
      </c>
      <c r="B1662" s="14" t="s">
        <v>8630</v>
      </c>
      <c r="C1662" s="26"/>
      <c r="D1662" s="14" t="s">
        <v>8631</v>
      </c>
      <c r="E1662" s="14" t="s">
        <v>354</v>
      </c>
      <c r="F1662" s="14">
        <v>2021</v>
      </c>
      <c r="G1662" s="14">
        <v>180</v>
      </c>
      <c r="H1662" s="28"/>
      <c r="I1662" s="14">
        <v>111029</v>
      </c>
      <c r="J1662" s="18"/>
      <c r="K1662" s="26"/>
      <c r="L1662" s="27"/>
      <c r="M1662" s="18"/>
      <c r="N1662" s="14">
        <v>2021</v>
      </c>
      <c r="O1662" s="26"/>
      <c r="P1662" s="14" t="s">
        <v>65</v>
      </c>
      <c r="Q1662" s="17" t="s">
        <v>8632</v>
      </c>
      <c r="R1662" s="14" t="s">
        <v>8633</v>
      </c>
      <c r="S1662" s="14" t="s">
        <v>8634</v>
      </c>
      <c r="T1662" s="14" t="s">
        <v>8635</v>
      </c>
      <c r="U1662" s="18"/>
      <c r="V1662" s="18"/>
    </row>
    <row r="1663" spans="1:22" x14ac:dyDescent="0.25">
      <c r="A1663" s="14" t="s">
        <v>13</v>
      </c>
      <c r="B1663" s="14" t="s">
        <v>8636</v>
      </c>
      <c r="C1663" s="26"/>
      <c r="D1663" s="14" t="s">
        <v>8637</v>
      </c>
      <c r="E1663" s="14" t="s">
        <v>354</v>
      </c>
      <c r="F1663" s="14">
        <v>2020</v>
      </c>
      <c r="G1663" s="14">
        <v>159</v>
      </c>
      <c r="H1663" s="28"/>
      <c r="I1663" s="14">
        <v>110424</v>
      </c>
      <c r="J1663" s="18"/>
      <c r="K1663" s="26"/>
      <c r="L1663" s="27"/>
      <c r="M1663" s="18"/>
      <c r="N1663" s="14">
        <v>2020</v>
      </c>
      <c r="O1663" s="26"/>
      <c r="P1663" s="14" t="s">
        <v>65</v>
      </c>
      <c r="Q1663" s="17" t="s">
        <v>8638</v>
      </c>
      <c r="R1663" s="14" t="s">
        <v>8639</v>
      </c>
      <c r="S1663" s="14" t="s">
        <v>8640</v>
      </c>
      <c r="T1663" s="14" t="s">
        <v>8641</v>
      </c>
      <c r="U1663" s="18"/>
      <c r="V1663" s="18"/>
    </row>
    <row r="1664" spans="1:22" x14ac:dyDescent="0.25">
      <c r="A1664" s="14" t="s">
        <v>13</v>
      </c>
      <c r="B1664" s="14" t="s">
        <v>3055</v>
      </c>
      <c r="C1664" s="26"/>
      <c r="D1664" s="14" t="s">
        <v>3056</v>
      </c>
      <c r="E1664" s="14" t="s">
        <v>8642</v>
      </c>
      <c r="F1664" s="14">
        <v>2021</v>
      </c>
      <c r="G1664" s="14">
        <v>192</v>
      </c>
      <c r="H1664" s="28"/>
      <c r="I1664" s="14" t="s">
        <v>8643</v>
      </c>
      <c r="J1664" s="18"/>
      <c r="K1664" s="26"/>
      <c r="L1664" s="27"/>
      <c r="M1664" s="18"/>
      <c r="N1664" s="14">
        <v>2021</v>
      </c>
      <c r="O1664" s="26"/>
      <c r="P1664" s="14" t="s">
        <v>3058</v>
      </c>
      <c r="Q1664" s="17" t="s">
        <v>8644</v>
      </c>
      <c r="R1664" s="14" t="s">
        <v>3060</v>
      </c>
      <c r="S1664" s="14" t="s">
        <v>8645</v>
      </c>
      <c r="T1664" s="14" t="s">
        <v>8646</v>
      </c>
      <c r="U1664" s="14" t="s">
        <v>8647</v>
      </c>
      <c r="V1664" s="18"/>
    </row>
    <row r="1665" spans="1:22" x14ac:dyDescent="0.25">
      <c r="A1665" s="14" t="s">
        <v>13</v>
      </c>
      <c r="B1665" s="14" t="s">
        <v>8648</v>
      </c>
      <c r="C1665" s="26"/>
      <c r="D1665" s="14" t="s">
        <v>8649</v>
      </c>
      <c r="E1665" s="14" t="s">
        <v>307</v>
      </c>
      <c r="F1665" s="14">
        <v>2023</v>
      </c>
      <c r="G1665" s="14">
        <v>156</v>
      </c>
      <c r="H1665" s="28"/>
      <c r="I1665" s="14">
        <v>107131</v>
      </c>
      <c r="J1665" s="18"/>
      <c r="K1665" s="26"/>
      <c r="L1665" s="27"/>
      <c r="M1665" s="18"/>
      <c r="N1665" s="14">
        <v>2023</v>
      </c>
      <c r="O1665" s="26"/>
      <c r="P1665" s="14" t="s">
        <v>308</v>
      </c>
      <c r="Q1665" s="17" t="s">
        <v>8650</v>
      </c>
      <c r="R1665" s="14" t="s">
        <v>8651</v>
      </c>
      <c r="S1665" s="14" t="s">
        <v>8652</v>
      </c>
      <c r="T1665" s="14" t="s">
        <v>8653</v>
      </c>
      <c r="U1665" s="18"/>
      <c r="V1665" s="18"/>
    </row>
    <row r="1666" spans="1:22" x14ac:dyDescent="0.25">
      <c r="A1666" s="14" t="s">
        <v>13</v>
      </c>
      <c r="B1666" s="14" t="s">
        <v>8654</v>
      </c>
      <c r="C1666" s="26"/>
      <c r="D1666" s="14" t="s">
        <v>8655</v>
      </c>
      <c r="E1666" s="14" t="s">
        <v>354</v>
      </c>
      <c r="F1666" s="14">
        <v>2020</v>
      </c>
      <c r="G1666" s="14">
        <v>159</v>
      </c>
      <c r="H1666" s="28"/>
      <c r="I1666" s="14">
        <v>110428</v>
      </c>
      <c r="J1666" s="18"/>
      <c r="K1666" s="26"/>
      <c r="L1666" s="27"/>
      <c r="M1666" s="18"/>
      <c r="N1666" s="14">
        <v>2020</v>
      </c>
      <c r="O1666" s="26"/>
      <c r="P1666" s="14" t="s">
        <v>65</v>
      </c>
      <c r="Q1666" s="17" t="s">
        <v>8656</v>
      </c>
      <c r="R1666" s="14" t="s">
        <v>8657</v>
      </c>
      <c r="S1666" s="14" t="s">
        <v>8658</v>
      </c>
      <c r="T1666" s="14" t="s">
        <v>8659</v>
      </c>
      <c r="U1666" s="18"/>
      <c r="V1666" s="18"/>
    </row>
    <row r="1667" spans="1:22" x14ac:dyDescent="0.25">
      <c r="A1667" s="14" t="s">
        <v>13</v>
      </c>
      <c r="B1667" s="14" t="s">
        <v>8660</v>
      </c>
      <c r="C1667" s="26"/>
      <c r="D1667" s="14" t="s">
        <v>8661</v>
      </c>
      <c r="E1667" s="14" t="s">
        <v>307</v>
      </c>
      <c r="F1667" s="14">
        <v>2021</v>
      </c>
      <c r="G1667" s="14">
        <v>132</v>
      </c>
      <c r="H1667" s="28"/>
      <c r="I1667" s="14">
        <v>106448</v>
      </c>
      <c r="J1667" s="18"/>
      <c r="K1667" s="26"/>
      <c r="L1667" s="27"/>
      <c r="M1667" s="18"/>
      <c r="N1667" s="14">
        <v>2021</v>
      </c>
      <c r="O1667" s="26"/>
      <c r="P1667" s="14" t="s">
        <v>308</v>
      </c>
      <c r="Q1667" s="17" t="s">
        <v>8662</v>
      </c>
      <c r="R1667" s="14" t="s">
        <v>8663</v>
      </c>
      <c r="S1667" s="14" t="s">
        <v>8664</v>
      </c>
      <c r="T1667" s="14" t="s">
        <v>8665</v>
      </c>
      <c r="U1667" s="18"/>
      <c r="V1667" s="18"/>
    </row>
    <row r="1668" spans="1:22" x14ac:dyDescent="0.25">
      <c r="A1668" s="14" t="s">
        <v>13</v>
      </c>
      <c r="B1668" s="14" t="s">
        <v>8666</v>
      </c>
      <c r="C1668" s="26"/>
      <c r="D1668" s="14" t="s">
        <v>8667</v>
      </c>
      <c r="E1668" s="14" t="s">
        <v>354</v>
      </c>
      <c r="F1668" s="14">
        <v>2023</v>
      </c>
      <c r="G1668" s="18"/>
      <c r="H1668" s="28"/>
      <c r="I1668" s="14">
        <v>111619</v>
      </c>
      <c r="J1668" s="18"/>
      <c r="K1668" s="26"/>
      <c r="L1668" s="27"/>
      <c r="M1668" s="18"/>
      <c r="N1668" s="14">
        <v>2023</v>
      </c>
      <c r="O1668" s="26"/>
      <c r="P1668" s="14" t="s">
        <v>65</v>
      </c>
      <c r="Q1668" s="17" t="s">
        <v>8668</v>
      </c>
      <c r="R1668" s="14" t="s">
        <v>8669</v>
      </c>
      <c r="S1668" s="14" t="s">
        <v>8670</v>
      </c>
      <c r="T1668" s="14" t="s">
        <v>8671</v>
      </c>
      <c r="U1668" s="18"/>
      <c r="V1668" s="18"/>
    </row>
    <row r="1669" spans="1:22" x14ac:dyDescent="0.25">
      <c r="A1669" s="14" t="s">
        <v>13</v>
      </c>
      <c r="B1669" s="14" t="s">
        <v>352</v>
      </c>
      <c r="C1669" s="26"/>
      <c r="D1669" s="14" t="s">
        <v>353</v>
      </c>
      <c r="E1669" s="14" t="s">
        <v>354</v>
      </c>
      <c r="F1669" s="14">
        <v>2022</v>
      </c>
      <c r="G1669" s="14">
        <v>194</v>
      </c>
      <c r="H1669" s="28"/>
      <c r="I1669" s="14">
        <v>111481</v>
      </c>
      <c r="J1669" s="18"/>
      <c r="K1669" s="26"/>
      <c r="L1669" s="27"/>
      <c r="M1669" s="18"/>
      <c r="N1669" s="14">
        <v>2022</v>
      </c>
      <c r="O1669" s="26"/>
      <c r="P1669" s="14" t="s">
        <v>65</v>
      </c>
      <c r="Q1669" s="17" t="s">
        <v>8672</v>
      </c>
      <c r="R1669" s="14" t="s">
        <v>357</v>
      </c>
      <c r="S1669" s="14" t="s">
        <v>8673</v>
      </c>
      <c r="T1669" s="14" t="s">
        <v>8674</v>
      </c>
      <c r="U1669" s="18"/>
      <c r="V1669" s="18"/>
    </row>
    <row r="1670" spans="1:22" x14ac:dyDescent="0.25">
      <c r="A1670" s="14" t="s">
        <v>13</v>
      </c>
      <c r="B1670" s="14" t="s">
        <v>8675</v>
      </c>
      <c r="C1670" s="26"/>
      <c r="D1670" s="14" t="s">
        <v>8676</v>
      </c>
      <c r="E1670" s="14" t="s">
        <v>307</v>
      </c>
      <c r="F1670" s="14">
        <v>2019</v>
      </c>
      <c r="G1670" s="14">
        <v>110</v>
      </c>
      <c r="H1670" s="28"/>
      <c r="I1670" s="14" t="s">
        <v>8677</v>
      </c>
      <c r="J1670" s="18"/>
      <c r="K1670" s="26"/>
      <c r="L1670" s="27"/>
      <c r="M1670" s="18"/>
      <c r="N1670" s="14">
        <v>2019</v>
      </c>
      <c r="O1670" s="26"/>
      <c r="P1670" s="14" t="s">
        <v>308</v>
      </c>
      <c r="Q1670" s="17" t="s">
        <v>8678</v>
      </c>
      <c r="R1670" s="14" t="s">
        <v>8679</v>
      </c>
      <c r="S1670" s="14" t="s">
        <v>8680</v>
      </c>
      <c r="T1670" s="14" t="s">
        <v>8681</v>
      </c>
      <c r="U1670" s="18"/>
      <c r="V1670" s="18"/>
    </row>
    <row r="1671" spans="1:22" x14ac:dyDescent="0.25">
      <c r="A1671" s="14" t="s">
        <v>13</v>
      </c>
      <c r="B1671" s="14" t="s">
        <v>8682</v>
      </c>
      <c r="C1671" s="26"/>
      <c r="D1671" s="14" t="s">
        <v>8683</v>
      </c>
      <c r="E1671" s="14" t="s">
        <v>307</v>
      </c>
      <c r="F1671" s="14">
        <v>2021</v>
      </c>
      <c r="G1671" s="14">
        <v>130</v>
      </c>
      <c r="H1671" s="28"/>
      <c r="I1671" s="14">
        <v>106439</v>
      </c>
      <c r="J1671" s="18"/>
      <c r="K1671" s="26"/>
      <c r="L1671" s="27"/>
      <c r="M1671" s="18"/>
      <c r="N1671" s="14">
        <v>2021</v>
      </c>
      <c r="O1671" s="26"/>
      <c r="P1671" s="14" t="s">
        <v>308</v>
      </c>
      <c r="Q1671" s="17" t="s">
        <v>8684</v>
      </c>
      <c r="R1671" s="14" t="s">
        <v>8685</v>
      </c>
      <c r="S1671" s="14" t="s">
        <v>8686</v>
      </c>
      <c r="T1671" s="18"/>
      <c r="U1671" s="18"/>
      <c r="V1671" s="18"/>
    </row>
    <row r="1672" spans="1:22" x14ac:dyDescent="0.25">
      <c r="A1672" s="14" t="s">
        <v>13</v>
      </c>
      <c r="B1672" s="14" t="s">
        <v>8687</v>
      </c>
      <c r="C1672" s="26"/>
      <c r="D1672" s="14" t="s">
        <v>8688</v>
      </c>
      <c r="E1672" s="14" t="s">
        <v>354</v>
      </c>
      <c r="F1672" s="14">
        <v>2022</v>
      </c>
      <c r="G1672" s="14">
        <v>188</v>
      </c>
      <c r="H1672" s="28"/>
      <c r="I1672" s="14">
        <v>111283</v>
      </c>
      <c r="J1672" s="18"/>
      <c r="K1672" s="26"/>
      <c r="L1672" s="27"/>
      <c r="M1672" s="18"/>
      <c r="N1672" s="14">
        <v>2022</v>
      </c>
      <c r="O1672" s="26"/>
      <c r="P1672" s="14" t="s">
        <v>65</v>
      </c>
      <c r="Q1672" s="17" t="s">
        <v>8689</v>
      </c>
      <c r="R1672" s="14" t="s">
        <v>8690</v>
      </c>
      <c r="S1672" s="14" t="s">
        <v>8691</v>
      </c>
      <c r="T1672" s="14" t="s">
        <v>8692</v>
      </c>
      <c r="U1672" s="18"/>
      <c r="V1672" s="18"/>
    </row>
    <row r="1673" spans="1:22" x14ac:dyDescent="0.25">
      <c r="A1673" s="14" t="s">
        <v>13</v>
      </c>
      <c r="B1673" s="14" t="s">
        <v>8693</v>
      </c>
      <c r="C1673" s="26"/>
      <c r="D1673" s="14" t="s">
        <v>8694</v>
      </c>
      <c r="E1673" s="14" t="s">
        <v>354</v>
      </c>
      <c r="F1673" s="14">
        <v>2022</v>
      </c>
      <c r="G1673" s="14">
        <v>191</v>
      </c>
      <c r="H1673" s="28"/>
      <c r="I1673" s="14">
        <v>111369</v>
      </c>
      <c r="J1673" s="18"/>
      <c r="K1673" s="26"/>
      <c r="L1673" s="27"/>
      <c r="M1673" s="18"/>
      <c r="N1673" s="14">
        <v>2022</v>
      </c>
      <c r="O1673" s="26"/>
      <c r="P1673" s="14" t="s">
        <v>65</v>
      </c>
      <c r="Q1673" s="17" t="s">
        <v>8695</v>
      </c>
      <c r="R1673" s="14" t="s">
        <v>8696</v>
      </c>
      <c r="S1673" s="14" t="s">
        <v>8697</v>
      </c>
      <c r="T1673" s="14" t="s">
        <v>8698</v>
      </c>
      <c r="U1673" s="18"/>
      <c r="V1673" s="18"/>
    </row>
    <row r="1674" spans="1:22" x14ac:dyDescent="0.25">
      <c r="A1674" s="14" t="s">
        <v>13</v>
      </c>
      <c r="B1674" s="14" t="s">
        <v>8699</v>
      </c>
      <c r="C1674" s="26"/>
      <c r="D1674" s="14" t="s">
        <v>8700</v>
      </c>
      <c r="E1674" s="14" t="s">
        <v>354</v>
      </c>
      <c r="F1674" s="14">
        <v>2022</v>
      </c>
      <c r="G1674" s="14">
        <v>186</v>
      </c>
      <c r="H1674" s="28"/>
      <c r="I1674" s="14">
        <v>111166</v>
      </c>
      <c r="J1674" s="18"/>
      <c r="K1674" s="26"/>
      <c r="L1674" s="27"/>
      <c r="M1674" s="18"/>
      <c r="N1674" s="14">
        <v>2022</v>
      </c>
      <c r="O1674" s="26"/>
      <c r="P1674" s="14" t="s">
        <v>65</v>
      </c>
      <c r="Q1674" s="17" t="s">
        <v>8701</v>
      </c>
      <c r="R1674" s="14" t="s">
        <v>8702</v>
      </c>
      <c r="S1674" s="14" t="s">
        <v>8703</v>
      </c>
      <c r="T1674" s="14" t="s">
        <v>8704</v>
      </c>
      <c r="U1674" s="18"/>
      <c r="V1674" s="18"/>
    </row>
    <row r="1675" spans="1:22" x14ac:dyDescent="0.25">
      <c r="A1675" s="14" t="s">
        <v>13</v>
      </c>
      <c r="B1675" s="14" t="s">
        <v>1199</v>
      </c>
      <c r="C1675" s="26"/>
      <c r="D1675" s="14" t="s">
        <v>1200</v>
      </c>
      <c r="E1675" s="14" t="s">
        <v>354</v>
      </c>
      <c r="F1675" s="14">
        <v>2022</v>
      </c>
      <c r="G1675" s="14">
        <v>187</v>
      </c>
      <c r="H1675" s="28"/>
      <c r="I1675" s="14">
        <v>111219</v>
      </c>
      <c r="J1675" s="18"/>
      <c r="K1675" s="26"/>
      <c r="L1675" s="27"/>
      <c r="M1675" s="18"/>
      <c r="N1675" s="14">
        <v>2022</v>
      </c>
      <c r="O1675" s="26"/>
      <c r="P1675" s="14" t="s">
        <v>65</v>
      </c>
      <c r="Q1675" s="17" t="s">
        <v>8705</v>
      </c>
      <c r="R1675" s="14" t="s">
        <v>1202</v>
      </c>
      <c r="S1675" s="14" t="s">
        <v>8706</v>
      </c>
      <c r="T1675" s="14" t="s">
        <v>8707</v>
      </c>
      <c r="U1675" s="18"/>
      <c r="V1675" s="18"/>
    </row>
    <row r="1676" spans="1:22" x14ac:dyDescent="0.25">
      <c r="A1676" s="14" t="s">
        <v>13</v>
      </c>
      <c r="B1676" s="14" t="s">
        <v>8708</v>
      </c>
      <c r="C1676" s="26"/>
      <c r="D1676" s="14" t="s">
        <v>8709</v>
      </c>
      <c r="E1676" s="14" t="s">
        <v>354</v>
      </c>
      <c r="F1676" s="14">
        <v>2019</v>
      </c>
      <c r="G1676" s="14">
        <v>152</v>
      </c>
      <c r="H1676" s="28"/>
      <c r="I1676" s="14" t="s">
        <v>8710</v>
      </c>
      <c r="J1676" s="18"/>
      <c r="K1676" s="26"/>
      <c r="L1676" s="27"/>
      <c r="M1676" s="18"/>
      <c r="N1676" s="14">
        <v>2019</v>
      </c>
      <c r="O1676" s="26"/>
      <c r="P1676" s="14" t="s">
        <v>65</v>
      </c>
      <c r="Q1676" s="17" t="s">
        <v>8711</v>
      </c>
      <c r="R1676" s="14" t="s">
        <v>8712</v>
      </c>
      <c r="S1676" s="14" t="s">
        <v>8713</v>
      </c>
      <c r="T1676" s="14" t="s">
        <v>8714</v>
      </c>
      <c r="U1676" s="18"/>
      <c r="V1676" s="18"/>
    </row>
    <row r="1677" spans="1:22" x14ac:dyDescent="0.25">
      <c r="A1677" s="14" t="s">
        <v>13</v>
      </c>
      <c r="B1677" s="14" t="s">
        <v>8715</v>
      </c>
      <c r="C1677" s="26"/>
      <c r="D1677" s="14" t="s">
        <v>8716</v>
      </c>
      <c r="E1677" s="14" t="s">
        <v>307</v>
      </c>
      <c r="F1677" s="14">
        <v>2022</v>
      </c>
      <c r="G1677" s="14">
        <v>147</v>
      </c>
      <c r="H1677" s="28"/>
      <c r="I1677" s="14">
        <v>106893</v>
      </c>
      <c r="J1677" s="18"/>
      <c r="K1677" s="26"/>
      <c r="L1677" s="27"/>
      <c r="M1677" s="18"/>
      <c r="N1677" s="14">
        <v>2022</v>
      </c>
      <c r="O1677" s="26"/>
      <c r="P1677" s="14" t="s">
        <v>308</v>
      </c>
      <c r="Q1677" s="17" t="s">
        <v>8717</v>
      </c>
      <c r="R1677" s="14" t="s">
        <v>8718</v>
      </c>
      <c r="S1677" s="14" t="s">
        <v>8719</v>
      </c>
      <c r="T1677" s="14" t="s">
        <v>8720</v>
      </c>
      <c r="U1677" s="18"/>
      <c r="V1677" s="18"/>
    </row>
    <row r="1678" spans="1:22" x14ac:dyDescent="0.25">
      <c r="A1678" s="14" t="s">
        <v>13</v>
      </c>
      <c r="B1678" s="14" t="s">
        <v>8721</v>
      </c>
      <c r="C1678" s="26"/>
      <c r="D1678" s="14" t="s">
        <v>8722</v>
      </c>
      <c r="E1678" s="14" t="s">
        <v>354</v>
      </c>
      <c r="F1678" s="14">
        <v>2022</v>
      </c>
      <c r="G1678" s="14">
        <v>192</v>
      </c>
      <c r="H1678" s="28"/>
      <c r="I1678" s="14">
        <v>111389</v>
      </c>
      <c r="J1678" s="18"/>
      <c r="K1678" s="26"/>
      <c r="L1678" s="27"/>
      <c r="M1678" s="18"/>
      <c r="N1678" s="14">
        <v>2022</v>
      </c>
      <c r="O1678" s="26"/>
      <c r="P1678" s="14" t="s">
        <v>65</v>
      </c>
      <c r="Q1678" s="17" t="s">
        <v>8723</v>
      </c>
      <c r="R1678" s="14" t="s">
        <v>8724</v>
      </c>
      <c r="S1678" s="14" t="s">
        <v>8725</v>
      </c>
      <c r="T1678" s="14" t="s">
        <v>8726</v>
      </c>
      <c r="U1678" s="18"/>
      <c r="V1678" s="18"/>
    </row>
    <row r="1679" spans="1:22" x14ac:dyDescent="0.25">
      <c r="A1679" s="14" t="s">
        <v>13</v>
      </c>
      <c r="B1679" s="14" t="s">
        <v>8727</v>
      </c>
      <c r="C1679" s="26"/>
      <c r="D1679" s="14" t="s">
        <v>8728</v>
      </c>
      <c r="E1679" s="14" t="s">
        <v>8421</v>
      </c>
      <c r="F1679" s="14">
        <v>2022</v>
      </c>
      <c r="G1679" s="14">
        <v>107</v>
      </c>
      <c r="H1679" s="28"/>
      <c r="I1679" s="14" t="s">
        <v>8729</v>
      </c>
      <c r="J1679" s="18"/>
      <c r="K1679" s="26"/>
      <c r="L1679" s="27"/>
      <c r="M1679" s="18"/>
      <c r="N1679" s="14">
        <v>2022</v>
      </c>
      <c r="O1679" s="26"/>
      <c r="P1679" s="14" t="s">
        <v>456</v>
      </c>
      <c r="Q1679" s="17" t="s">
        <v>8730</v>
      </c>
      <c r="R1679" s="14" t="s">
        <v>8731</v>
      </c>
      <c r="S1679" s="14" t="s">
        <v>8732</v>
      </c>
      <c r="T1679" s="14" t="s">
        <v>8733</v>
      </c>
      <c r="U1679" s="14" t="s">
        <v>8734</v>
      </c>
      <c r="V1679" s="18"/>
    </row>
    <row r="1680" spans="1:22" x14ac:dyDescent="0.25">
      <c r="A1680" s="14" t="s">
        <v>7972</v>
      </c>
      <c r="B1680" s="14" t="s">
        <v>8735</v>
      </c>
      <c r="C1680" s="14" t="s">
        <v>8736</v>
      </c>
      <c r="D1680" s="14" t="s">
        <v>8737</v>
      </c>
      <c r="E1680" s="26"/>
      <c r="F1680" s="14">
        <v>2016</v>
      </c>
      <c r="G1680" s="18"/>
      <c r="H1680" s="28"/>
      <c r="I1680" s="14" t="s">
        <v>8738</v>
      </c>
      <c r="J1680" s="18"/>
      <c r="K1680" s="14" t="s">
        <v>8739</v>
      </c>
      <c r="L1680" s="14" t="s">
        <v>8740</v>
      </c>
      <c r="M1680" s="14" t="s">
        <v>8741</v>
      </c>
      <c r="N1680" s="14">
        <v>2016</v>
      </c>
      <c r="O1680" s="14">
        <v>9780128042069</v>
      </c>
      <c r="P1680" s="26"/>
      <c r="Q1680" s="17" t="s">
        <v>8742</v>
      </c>
      <c r="R1680" s="14" t="s">
        <v>8743</v>
      </c>
      <c r="S1680" s="14" t="s">
        <v>8744</v>
      </c>
      <c r="T1680" s="14" t="s">
        <v>8745</v>
      </c>
      <c r="U1680" s="18"/>
      <c r="V1680" s="18"/>
    </row>
    <row r="1681" spans="1:22" x14ac:dyDescent="0.25">
      <c r="A1681" s="14" t="s">
        <v>13</v>
      </c>
      <c r="B1681" s="14" t="s">
        <v>2771</v>
      </c>
      <c r="C1681" s="26"/>
      <c r="D1681" s="14" t="s">
        <v>2772</v>
      </c>
      <c r="E1681" s="14" t="s">
        <v>307</v>
      </c>
      <c r="F1681" s="14">
        <v>2020</v>
      </c>
      <c r="G1681" s="14">
        <v>127</v>
      </c>
      <c r="H1681" s="28"/>
      <c r="I1681" s="14">
        <v>106368</v>
      </c>
      <c r="J1681" s="18"/>
      <c r="K1681" s="26"/>
      <c r="L1681" s="27"/>
      <c r="M1681" s="18"/>
      <c r="N1681" s="14">
        <v>2020</v>
      </c>
      <c r="O1681" s="26"/>
      <c r="P1681" s="14" t="s">
        <v>308</v>
      </c>
      <c r="Q1681" s="17" t="s">
        <v>8746</v>
      </c>
      <c r="R1681" s="14" t="s">
        <v>2774</v>
      </c>
      <c r="S1681" s="14" t="s">
        <v>8747</v>
      </c>
      <c r="T1681" s="14" t="s">
        <v>8748</v>
      </c>
      <c r="U1681" s="18"/>
      <c r="V1681" s="18"/>
    </row>
    <row r="1682" spans="1:22" x14ac:dyDescent="0.25">
      <c r="A1682" s="14" t="s">
        <v>13</v>
      </c>
      <c r="B1682" s="14" t="s">
        <v>4145</v>
      </c>
      <c r="C1682" s="26"/>
      <c r="D1682" s="14" t="s">
        <v>4146</v>
      </c>
      <c r="E1682" s="14" t="s">
        <v>307</v>
      </c>
      <c r="F1682" s="14">
        <v>2019</v>
      </c>
      <c r="G1682" s="14">
        <v>108</v>
      </c>
      <c r="H1682" s="28"/>
      <c r="I1682" s="14" t="s">
        <v>8749</v>
      </c>
      <c r="J1682" s="18"/>
      <c r="K1682" s="26"/>
      <c r="L1682" s="27"/>
      <c r="M1682" s="18"/>
      <c r="N1682" s="14">
        <v>2019</v>
      </c>
      <c r="O1682" s="26"/>
      <c r="P1682" s="14" t="s">
        <v>308</v>
      </c>
      <c r="Q1682" s="17" t="s">
        <v>8750</v>
      </c>
      <c r="R1682" s="14" t="s">
        <v>4149</v>
      </c>
      <c r="S1682" s="14" t="s">
        <v>8751</v>
      </c>
      <c r="T1682" s="14" t="s">
        <v>8752</v>
      </c>
      <c r="U1682" s="18"/>
      <c r="V1682" s="18"/>
    </row>
    <row r="1683" spans="1:22" x14ac:dyDescent="0.25">
      <c r="A1683" s="14" t="s">
        <v>13</v>
      </c>
      <c r="B1683" s="14" t="s">
        <v>969</v>
      </c>
      <c r="C1683" s="26"/>
      <c r="D1683" s="14" t="s">
        <v>970</v>
      </c>
      <c r="E1683" s="14" t="s">
        <v>971</v>
      </c>
      <c r="F1683" s="14">
        <v>2023</v>
      </c>
      <c r="G1683" s="14">
        <v>140</v>
      </c>
      <c r="H1683" s="28"/>
      <c r="I1683" s="14" t="s">
        <v>8753</v>
      </c>
      <c r="J1683" s="18"/>
      <c r="K1683" s="26"/>
      <c r="L1683" s="27"/>
      <c r="M1683" s="18"/>
      <c r="N1683" s="14">
        <v>2023</v>
      </c>
      <c r="O1683" s="26"/>
      <c r="P1683" s="14" t="s">
        <v>973</v>
      </c>
      <c r="Q1683" s="17" t="s">
        <v>8754</v>
      </c>
      <c r="R1683" s="14" t="s">
        <v>975</v>
      </c>
      <c r="S1683" s="14" t="s">
        <v>8755</v>
      </c>
      <c r="T1683" s="14" t="s">
        <v>8756</v>
      </c>
      <c r="U1683" s="18"/>
      <c r="V1683" s="18"/>
    </row>
    <row r="1684" spans="1:22" x14ac:dyDescent="0.25">
      <c r="A1684" s="14" t="s">
        <v>13</v>
      </c>
      <c r="B1684" s="14" t="s">
        <v>8757</v>
      </c>
      <c r="C1684" s="26"/>
      <c r="D1684" s="14" t="s">
        <v>8758</v>
      </c>
      <c r="E1684" s="14" t="s">
        <v>8642</v>
      </c>
      <c r="F1684" s="14">
        <v>2019</v>
      </c>
      <c r="G1684" s="14">
        <v>153</v>
      </c>
      <c r="H1684" s="28"/>
      <c r="I1684" s="14" t="s">
        <v>8759</v>
      </c>
      <c r="J1684" s="18"/>
      <c r="K1684" s="26"/>
      <c r="L1684" s="27"/>
      <c r="M1684" s="18"/>
      <c r="N1684" s="14">
        <v>2019</v>
      </c>
      <c r="O1684" s="26"/>
      <c r="P1684" s="14" t="s">
        <v>3058</v>
      </c>
      <c r="Q1684" s="17" t="s">
        <v>8760</v>
      </c>
      <c r="R1684" s="14" t="s">
        <v>8761</v>
      </c>
      <c r="S1684" s="14" t="s">
        <v>8762</v>
      </c>
      <c r="T1684" s="14" t="s">
        <v>8763</v>
      </c>
      <c r="U1684" s="14" t="s">
        <v>8764</v>
      </c>
      <c r="V1684" s="18"/>
    </row>
    <row r="1685" spans="1:22" x14ac:dyDescent="0.25">
      <c r="A1685" s="14" t="s">
        <v>13</v>
      </c>
      <c r="B1685" s="14" t="s">
        <v>8765</v>
      </c>
      <c r="C1685" s="26"/>
      <c r="D1685" s="14" t="s">
        <v>4122</v>
      </c>
      <c r="E1685" s="14" t="s">
        <v>307</v>
      </c>
      <c r="F1685" s="14">
        <v>2020</v>
      </c>
      <c r="G1685" s="14">
        <v>121</v>
      </c>
      <c r="H1685" s="28"/>
      <c r="I1685" s="14">
        <v>106270</v>
      </c>
      <c r="J1685" s="18"/>
      <c r="K1685" s="26"/>
      <c r="L1685" s="27"/>
      <c r="M1685" s="18"/>
      <c r="N1685" s="14">
        <v>2020</v>
      </c>
      <c r="O1685" s="26"/>
      <c r="P1685" s="14" t="s">
        <v>308</v>
      </c>
      <c r="Q1685" s="17" t="s">
        <v>8766</v>
      </c>
      <c r="R1685" s="14" t="s">
        <v>4124</v>
      </c>
      <c r="S1685" s="14" t="s">
        <v>8767</v>
      </c>
      <c r="T1685" s="14" t="s">
        <v>8768</v>
      </c>
      <c r="U1685" s="18"/>
      <c r="V1685" s="18"/>
    </row>
    <row r="1686" spans="1:22" x14ac:dyDescent="0.25">
      <c r="A1686" s="14" t="s">
        <v>13</v>
      </c>
      <c r="B1686" s="14" t="s">
        <v>8769</v>
      </c>
      <c r="C1686" s="26"/>
      <c r="D1686" s="14" t="s">
        <v>8770</v>
      </c>
      <c r="E1686" s="14" t="s">
        <v>354</v>
      </c>
      <c r="F1686" s="14">
        <v>2020</v>
      </c>
      <c r="G1686" s="14">
        <v>169</v>
      </c>
      <c r="H1686" s="28"/>
      <c r="I1686" s="14">
        <v>110710</v>
      </c>
      <c r="J1686" s="18"/>
      <c r="K1686" s="26"/>
      <c r="L1686" s="27"/>
      <c r="M1686" s="18"/>
      <c r="N1686" s="14">
        <v>2020</v>
      </c>
      <c r="O1686" s="26"/>
      <c r="P1686" s="14" t="s">
        <v>65</v>
      </c>
      <c r="Q1686" s="17" t="s">
        <v>8771</v>
      </c>
      <c r="R1686" s="14" t="s">
        <v>8772</v>
      </c>
      <c r="S1686" s="14" t="s">
        <v>8773</v>
      </c>
      <c r="T1686" s="14" t="s">
        <v>8774</v>
      </c>
      <c r="U1686" s="18"/>
      <c r="V1686" s="18"/>
    </row>
    <row r="1687" spans="1:22" x14ac:dyDescent="0.25">
      <c r="A1687" s="14" t="s">
        <v>7972</v>
      </c>
      <c r="B1687" s="14" t="s">
        <v>4126</v>
      </c>
      <c r="C1687" s="14" t="s">
        <v>8775</v>
      </c>
      <c r="D1687" s="14" t="s">
        <v>4127</v>
      </c>
      <c r="E1687" s="26"/>
      <c r="F1687" s="14">
        <v>2019</v>
      </c>
      <c r="G1687" s="14">
        <v>47</v>
      </c>
      <c r="H1687" s="28"/>
      <c r="I1687" s="14" t="s">
        <v>8776</v>
      </c>
      <c r="J1687" s="18"/>
      <c r="K1687" s="14" t="s">
        <v>8536</v>
      </c>
      <c r="L1687" s="27"/>
      <c r="M1687" s="14" t="s">
        <v>8777</v>
      </c>
      <c r="N1687" s="14">
        <v>2019</v>
      </c>
      <c r="O1687" s="26"/>
      <c r="P1687" s="14" t="s">
        <v>4130</v>
      </c>
      <c r="Q1687" s="17" t="s">
        <v>8778</v>
      </c>
      <c r="R1687" s="14" t="s">
        <v>4132</v>
      </c>
      <c r="S1687" s="14" t="s">
        <v>8779</v>
      </c>
      <c r="T1687" s="14" t="s">
        <v>8780</v>
      </c>
      <c r="U1687" s="18"/>
      <c r="V1687" s="14" t="s">
        <v>4128</v>
      </c>
    </row>
    <row r="1688" spans="1:22" x14ac:dyDescent="0.25">
      <c r="A1688" s="14" t="s">
        <v>13</v>
      </c>
      <c r="B1688" s="14" t="s">
        <v>8781</v>
      </c>
      <c r="C1688" s="26"/>
      <c r="D1688" s="14" t="s">
        <v>8782</v>
      </c>
      <c r="E1688" s="14" t="s">
        <v>354</v>
      </c>
      <c r="F1688" s="14">
        <v>2022</v>
      </c>
      <c r="G1688" s="14">
        <v>192</v>
      </c>
      <c r="H1688" s="28"/>
      <c r="I1688" s="14">
        <v>111423</v>
      </c>
      <c r="J1688" s="18"/>
      <c r="K1688" s="26"/>
      <c r="L1688" s="27"/>
      <c r="M1688" s="18"/>
      <c r="N1688" s="14">
        <v>2022</v>
      </c>
      <c r="O1688" s="26"/>
      <c r="P1688" s="14" t="s">
        <v>65</v>
      </c>
      <c r="Q1688" s="17" t="s">
        <v>8783</v>
      </c>
      <c r="R1688" s="14" t="s">
        <v>8784</v>
      </c>
      <c r="S1688" s="14" t="s">
        <v>8785</v>
      </c>
      <c r="T1688" s="14" t="s">
        <v>8786</v>
      </c>
      <c r="U1688" s="18"/>
      <c r="V1688" s="18"/>
    </row>
    <row r="1689" spans="1:22" x14ac:dyDescent="0.25">
      <c r="A1689" s="14" t="s">
        <v>13</v>
      </c>
      <c r="B1689" s="14" t="s">
        <v>3062</v>
      </c>
      <c r="C1689" s="26"/>
      <c r="D1689" s="14" t="s">
        <v>3063</v>
      </c>
      <c r="E1689" s="14" t="s">
        <v>354</v>
      </c>
      <c r="F1689" s="14">
        <v>2021</v>
      </c>
      <c r="G1689" s="14">
        <v>171</v>
      </c>
      <c r="H1689" s="28"/>
      <c r="I1689" s="14">
        <v>110821</v>
      </c>
      <c r="J1689" s="18"/>
      <c r="K1689" s="26"/>
      <c r="L1689" s="27"/>
      <c r="M1689" s="18"/>
      <c r="N1689" s="14">
        <v>2021</v>
      </c>
      <c r="O1689" s="26"/>
      <c r="P1689" s="14" t="s">
        <v>65</v>
      </c>
      <c r="Q1689" s="17" t="s">
        <v>8787</v>
      </c>
      <c r="R1689" s="14" t="s">
        <v>3065</v>
      </c>
      <c r="S1689" s="14" t="s">
        <v>8788</v>
      </c>
      <c r="T1689" s="14" t="s">
        <v>8789</v>
      </c>
      <c r="U1689" s="18"/>
      <c r="V1689" s="18"/>
    </row>
    <row r="1690" spans="1:22" x14ac:dyDescent="0.25">
      <c r="A1690" s="14" t="s">
        <v>13</v>
      </c>
      <c r="B1690" s="14" t="s">
        <v>2818</v>
      </c>
      <c r="C1690" s="26"/>
      <c r="D1690" s="14" t="s">
        <v>2819</v>
      </c>
      <c r="E1690" s="14" t="s">
        <v>1355</v>
      </c>
      <c r="F1690" s="14">
        <v>2021</v>
      </c>
      <c r="G1690" s="14">
        <v>167</v>
      </c>
      <c r="H1690" s="28"/>
      <c r="I1690" s="14">
        <v>114176</v>
      </c>
      <c r="J1690" s="18"/>
      <c r="K1690" s="26"/>
      <c r="L1690" s="27"/>
      <c r="M1690" s="18"/>
      <c r="N1690" s="14">
        <v>2021</v>
      </c>
      <c r="O1690" s="26"/>
      <c r="P1690" s="14" t="s">
        <v>1356</v>
      </c>
      <c r="Q1690" s="17" t="s">
        <v>8790</v>
      </c>
      <c r="R1690" s="14" t="s">
        <v>2821</v>
      </c>
      <c r="S1690" s="14" t="s">
        <v>8791</v>
      </c>
      <c r="T1690" s="14" t="s">
        <v>8792</v>
      </c>
      <c r="U1690" s="18"/>
      <c r="V1690" s="18"/>
    </row>
    <row r="1691" spans="1:22" x14ac:dyDescent="0.25">
      <c r="A1691" s="14" t="s">
        <v>13</v>
      </c>
      <c r="B1691" s="14" t="s">
        <v>8793</v>
      </c>
      <c r="C1691" s="26"/>
      <c r="D1691" s="14" t="s">
        <v>8794</v>
      </c>
      <c r="E1691" s="14" t="s">
        <v>8795</v>
      </c>
      <c r="F1691" s="14">
        <v>2022</v>
      </c>
      <c r="G1691" s="14">
        <v>39</v>
      </c>
      <c r="H1691" s="14">
        <v>3</v>
      </c>
      <c r="I1691" s="14">
        <v>101706</v>
      </c>
      <c r="J1691" s="18"/>
      <c r="K1691" s="26"/>
      <c r="L1691" s="27"/>
      <c r="M1691" s="18"/>
      <c r="N1691" s="14">
        <v>2022</v>
      </c>
      <c r="O1691" s="26"/>
      <c r="P1691" s="14" t="s">
        <v>8796</v>
      </c>
      <c r="Q1691" s="17" t="s">
        <v>8797</v>
      </c>
      <c r="R1691" s="14" t="s">
        <v>8798</v>
      </c>
      <c r="S1691" s="14" t="s">
        <v>8799</v>
      </c>
      <c r="T1691" s="14" t="s">
        <v>8800</v>
      </c>
      <c r="U1691" s="18"/>
      <c r="V1691" s="18"/>
    </row>
    <row r="1692" spans="1:22" x14ac:dyDescent="0.25">
      <c r="A1692" s="14" t="s">
        <v>13</v>
      </c>
      <c r="B1692" s="14" t="s">
        <v>2998</v>
      </c>
      <c r="C1692" s="26"/>
      <c r="D1692" s="14" t="s">
        <v>2999</v>
      </c>
      <c r="E1692" s="14" t="s">
        <v>307</v>
      </c>
      <c r="F1692" s="14">
        <v>2021</v>
      </c>
      <c r="G1692" s="14">
        <v>129</v>
      </c>
      <c r="H1692" s="28"/>
      <c r="I1692" s="14">
        <v>106407</v>
      </c>
      <c r="J1692" s="18"/>
      <c r="K1692" s="26"/>
      <c r="L1692" s="27"/>
      <c r="M1692" s="18"/>
      <c r="N1692" s="14">
        <v>2021</v>
      </c>
      <c r="O1692" s="26"/>
      <c r="P1692" s="14" t="s">
        <v>308</v>
      </c>
      <c r="Q1692" s="17" t="s">
        <v>8801</v>
      </c>
      <c r="R1692" s="14" t="s">
        <v>3001</v>
      </c>
      <c r="S1692" s="14" t="s">
        <v>8802</v>
      </c>
      <c r="T1692" s="14" t="s">
        <v>8803</v>
      </c>
      <c r="U1692" s="18"/>
      <c r="V1692" s="18"/>
    </row>
    <row r="1693" spans="1:22" x14ac:dyDescent="0.25">
      <c r="A1693" s="14" t="s">
        <v>13</v>
      </c>
      <c r="B1693" s="14" t="s">
        <v>1065</v>
      </c>
      <c r="C1693" s="26"/>
      <c r="D1693" s="14" t="s">
        <v>1066</v>
      </c>
      <c r="E1693" s="14" t="s">
        <v>307</v>
      </c>
      <c r="F1693" s="14">
        <v>2022</v>
      </c>
      <c r="G1693" s="14">
        <v>149</v>
      </c>
      <c r="H1693" s="28"/>
      <c r="I1693" s="14">
        <v>106939</v>
      </c>
      <c r="J1693" s="18"/>
      <c r="K1693" s="26"/>
      <c r="L1693" s="27"/>
      <c r="M1693" s="18"/>
      <c r="N1693" s="14">
        <v>2022</v>
      </c>
      <c r="O1693" s="26"/>
      <c r="P1693" s="14" t="s">
        <v>308</v>
      </c>
      <c r="Q1693" s="17" t="s">
        <v>8804</v>
      </c>
      <c r="R1693" s="14" t="s">
        <v>1068</v>
      </c>
      <c r="S1693" s="14" t="s">
        <v>8805</v>
      </c>
      <c r="T1693" s="14" t="s">
        <v>8806</v>
      </c>
      <c r="U1693" s="18"/>
      <c r="V1693" s="18"/>
    </row>
    <row r="1694" spans="1:22" x14ac:dyDescent="0.25">
      <c r="A1694" s="14" t="s">
        <v>13</v>
      </c>
      <c r="B1694" s="14" t="s">
        <v>1338</v>
      </c>
      <c r="C1694" s="26"/>
      <c r="D1694" s="14" t="s">
        <v>1339</v>
      </c>
      <c r="E1694" s="14" t="s">
        <v>354</v>
      </c>
      <c r="F1694" s="14">
        <v>2022</v>
      </c>
      <c r="G1694" s="14">
        <v>190</v>
      </c>
      <c r="H1694" s="28"/>
      <c r="I1694" s="14">
        <v>111336</v>
      </c>
      <c r="J1694" s="18"/>
      <c r="K1694" s="26"/>
      <c r="L1694" s="27"/>
      <c r="M1694" s="18"/>
      <c r="N1694" s="14">
        <v>2022</v>
      </c>
      <c r="O1694" s="26"/>
      <c r="P1694" s="14" t="s">
        <v>65</v>
      </c>
      <c r="Q1694" s="17" t="s">
        <v>8807</v>
      </c>
      <c r="R1694" s="14" t="s">
        <v>1341</v>
      </c>
      <c r="S1694" s="14" t="s">
        <v>8808</v>
      </c>
      <c r="T1694" s="14" t="s">
        <v>8809</v>
      </c>
      <c r="U1694" s="18"/>
      <c r="V1694" s="18"/>
    </row>
    <row r="1695" spans="1:22" x14ac:dyDescent="0.25">
      <c r="A1695" s="14" t="s">
        <v>13</v>
      </c>
      <c r="B1695" s="14" t="s">
        <v>62</v>
      </c>
      <c r="C1695" s="26"/>
      <c r="D1695" s="14" t="s">
        <v>63</v>
      </c>
      <c r="E1695" s="14" t="s">
        <v>354</v>
      </c>
      <c r="F1695" s="14">
        <v>2020</v>
      </c>
      <c r="G1695" s="14">
        <v>170</v>
      </c>
      <c r="H1695" s="28"/>
      <c r="I1695" s="14">
        <v>110777</v>
      </c>
      <c r="J1695" s="18"/>
      <c r="K1695" s="26"/>
      <c r="L1695" s="27"/>
      <c r="M1695" s="18"/>
      <c r="N1695" s="14">
        <v>2020</v>
      </c>
      <c r="O1695" s="26"/>
      <c r="P1695" s="14" t="s">
        <v>65</v>
      </c>
      <c r="Q1695" s="17" t="s">
        <v>8810</v>
      </c>
      <c r="R1695" s="14" t="s">
        <v>67</v>
      </c>
      <c r="S1695" s="14" t="s">
        <v>8811</v>
      </c>
      <c r="T1695" s="14" t="s">
        <v>8812</v>
      </c>
      <c r="U1695" s="18"/>
      <c r="V1695" s="18"/>
    </row>
    <row r="1696" spans="1:22" x14ac:dyDescent="0.25">
      <c r="A1696" s="14" t="s">
        <v>13</v>
      </c>
      <c r="B1696" s="14" t="s">
        <v>8813</v>
      </c>
      <c r="C1696" s="26"/>
      <c r="D1696" s="14" t="s">
        <v>8814</v>
      </c>
      <c r="E1696" s="14" t="s">
        <v>354</v>
      </c>
      <c r="F1696" s="14">
        <v>2021</v>
      </c>
      <c r="G1696" s="14">
        <v>174</v>
      </c>
      <c r="H1696" s="28"/>
      <c r="I1696" s="14">
        <v>110892</v>
      </c>
      <c r="J1696" s="18"/>
      <c r="K1696" s="26"/>
      <c r="L1696" s="27"/>
      <c r="M1696" s="18"/>
      <c r="N1696" s="14">
        <v>2021</v>
      </c>
      <c r="O1696" s="26"/>
      <c r="P1696" s="14" t="s">
        <v>65</v>
      </c>
      <c r="Q1696" s="17" t="s">
        <v>8815</v>
      </c>
      <c r="R1696" s="14" t="s">
        <v>8816</v>
      </c>
      <c r="S1696" s="14" t="s">
        <v>8817</v>
      </c>
      <c r="T1696" s="14" t="s">
        <v>8818</v>
      </c>
      <c r="U1696" s="18"/>
      <c r="V1696" s="18"/>
    </row>
    <row r="1697" spans="1:22" x14ac:dyDescent="0.25">
      <c r="A1697" s="14" t="s">
        <v>13</v>
      </c>
      <c r="B1697" s="14" t="s">
        <v>8819</v>
      </c>
      <c r="C1697" s="26"/>
      <c r="D1697" s="14" t="s">
        <v>8820</v>
      </c>
      <c r="E1697" s="14" t="s">
        <v>307</v>
      </c>
      <c r="F1697" s="14">
        <v>2022</v>
      </c>
      <c r="G1697" s="14">
        <v>146</v>
      </c>
      <c r="H1697" s="28"/>
      <c r="I1697" s="14">
        <v>106855</v>
      </c>
      <c r="J1697" s="18"/>
      <c r="K1697" s="26"/>
      <c r="L1697" s="27"/>
      <c r="M1697" s="18"/>
      <c r="N1697" s="14">
        <v>2022</v>
      </c>
      <c r="O1697" s="26"/>
      <c r="P1697" s="14" t="s">
        <v>308</v>
      </c>
      <c r="Q1697" s="17" t="s">
        <v>8821</v>
      </c>
      <c r="R1697" s="14" t="s">
        <v>8822</v>
      </c>
      <c r="S1697" s="14" t="s">
        <v>8823</v>
      </c>
      <c r="T1697" s="14" t="s">
        <v>8824</v>
      </c>
      <c r="U1697" s="18"/>
      <c r="V1697" s="18"/>
    </row>
    <row r="1698" spans="1:22" x14ac:dyDescent="0.25">
      <c r="A1698" s="14" t="s">
        <v>13</v>
      </c>
      <c r="B1698" s="14" t="s">
        <v>8825</v>
      </c>
      <c r="C1698" s="26"/>
      <c r="D1698" s="14" t="s">
        <v>8826</v>
      </c>
      <c r="E1698" s="14" t="s">
        <v>354</v>
      </c>
      <c r="F1698" s="14">
        <v>2021</v>
      </c>
      <c r="G1698" s="14">
        <v>180</v>
      </c>
      <c r="H1698" s="28"/>
      <c r="I1698" s="14">
        <v>111031</v>
      </c>
      <c r="J1698" s="18"/>
      <c r="K1698" s="26"/>
      <c r="L1698" s="27"/>
      <c r="M1698" s="18"/>
      <c r="N1698" s="14">
        <v>2021</v>
      </c>
      <c r="O1698" s="26"/>
      <c r="P1698" s="14" t="s">
        <v>65</v>
      </c>
      <c r="Q1698" s="17" t="s">
        <v>8827</v>
      </c>
      <c r="R1698" s="14" t="s">
        <v>8828</v>
      </c>
      <c r="S1698" s="14" t="s">
        <v>8829</v>
      </c>
      <c r="T1698" s="14" t="s">
        <v>8830</v>
      </c>
      <c r="U1698" s="18"/>
      <c r="V1698" s="18"/>
    </row>
    <row r="1699" spans="1:22" x14ac:dyDescent="0.25">
      <c r="A1699" s="14" t="s">
        <v>13</v>
      </c>
      <c r="B1699" s="14" t="s">
        <v>2625</v>
      </c>
      <c r="C1699" s="26"/>
      <c r="D1699" s="14" t="s">
        <v>2626</v>
      </c>
      <c r="E1699" s="14" t="s">
        <v>354</v>
      </c>
      <c r="F1699" s="14">
        <v>2021</v>
      </c>
      <c r="G1699" s="14">
        <v>177</v>
      </c>
      <c r="H1699" s="28"/>
      <c r="I1699" s="14">
        <v>110939</v>
      </c>
      <c r="J1699" s="18"/>
      <c r="K1699" s="26"/>
      <c r="L1699" s="27"/>
      <c r="M1699" s="18"/>
      <c r="N1699" s="14">
        <v>2021</v>
      </c>
      <c r="O1699" s="26"/>
      <c r="P1699" s="14" t="s">
        <v>65</v>
      </c>
      <c r="Q1699" s="17" t="s">
        <v>8831</v>
      </c>
      <c r="R1699" s="14" t="s">
        <v>2628</v>
      </c>
      <c r="S1699" s="14" t="s">
        <v>8832</v>
      </c>
      <c r="T1699" s="14" t="s">
        <v>8833</v>
      </c>
      <c r="U1699" s="18"/>
      <c r="V1699" s="18"/>
    </row>
    <row r="1700" spans="1:22" x14ac:dyDescent="0.25">
      <c r="A1700" s="14" t="s">
        <v>13</v>
      </c>
      <c r="B1700" s="14" t="s">
        <v>8834</v>
      </c>
      <c r="C1700" s="26"/>
      <c r="D1700" s="14" t="s">
        <v>8835</v>
      </c>
      <c r="E1700" s="14" t="s">
        <v>1355</v>
      </c>
      <c r="F1700" s="14">
        <v>2017</v>
      </c>
      <c r="G1700" s="14">
        <v>86</v>
      </c>
      <c r="H1700" s="28"/>
      <c r="I1700" s="14" t="s">
        <v>8836</v>
      </c>
      <c r="J1700" s="18"/>
      <c r="K1700" s="26"/>
      <c r="L1700" s="27"/>
      <c r="M1700" s="18"/>
      <c r="N1700" s="14">
        <v>2017</v>
      </c>
      <c r="O1700" s="26"/>
      <c r="P1700" s="14" t="s">
        <v>1356</v>
      </c>
      <c r="Q1700" s="17" t="s">
        <v>8837</v>
      </c>
      <c r="R1700" s="14" t="s">
        <v>8838</v>
      </c>
      <c r="S1700" s="14" t="s">
        <v>8839</v>
      </c>
      <c r="T1700" s="14" t="s">
        <v>8840</v>
      </c>
      <c r="U1700" s="18"/>
      <c r="V1700" s="18"/>
    </row>
    <row r="1701" spans="1:22" x14ac:dyDescent="0.25">
      <c r="A1701" s="14" t="s">
        <v>13</v>
      </c>
      <c r="B1701" s="14" t="s">
        <v>8841</v>
      </c>
      <c r="C1701" s="26"/>
      <c r="D1701" s="14" t="s">
        <v>8842</v>
      </c>
      <c r="E1701" s="14" t="s">
        <v>5526</v>
      </c>
      <c r="F1701" s="14">
        <v>2020</v>
      </c>
      <c r="G1701" s="14">
        <v>204</v>
      </c>
      <c r="H1701" s="28"/>
      <c r="I1701" s="14">
        <v>106201</v>
      </c>
      <c r="J1701" s="18"/>
      <c r="K1701" s="26"/>
      <c r="L1701" s="27"/>
      <c r="M1701" s="18"/>
      <c r="N1701" s="14">
        <v>2020</v>
      </c>
      <c r="O1701" s="26"/>
      <c r="P1701" s="14" t="s">
        <v>5528</v>
      </c>
      <c r="Q1701" s="17" t="s">
        <v>8843</v>
      </c>
      <c r="R1701" s="14" t="s">
        <v>8844</v>
      </c>
      <c r="S1701" s="14" t="s">
        <v>8845</v>
      </c>
      <c r="T1701" s="14" t="s">
        <v>8846</v>
      </c>
      <c r="U1701" s="18"/>
      <c r="V1701" s="18"/>
    </row>
    <row r="1702" spans="1:22" x14ac:dyDescent="0.25">
      <c r="A1702" s="14" t="s">
        <v>13</v>
      </c>
      <c r="B1702" s="14" t="s">
        <v>4010</v>
      </c>
      <c r="C1702" s="26"/>
      <c r="D1702" s="14" t="s">
        <v>4011</v>
      </c>
      <c r="E1702" s="14" t="s">
        <v>354</v>
      </c>
      <c r="F1702" s="14">
        <v>2019</v>
      </c>
      <c r="G1702" s="14">
        <v>154</v>
      </c>
      <c r="H1702" s="28"/>
      <c r="I1702" s="14" t="s">
        <v>8847</v>
      </c>
      <c r="J1702" s="18"/>
      <c r="K1702" s="26"/>
      <c r="L1702" s="27"/>
      <c r="M1702" s="18"/>
      <c r="N1702" s="14">
        <v>2019</v>
      </c>
      <c r="O1702" s="26"/>
      <c r="P1702" s="14" t="s">
        <v>65</v>
      </c>
      <c r="Q1702" s="17" t="s">
        <v>8848</v>
      </c>
      <c r="R1702" s="14" t="s">
        <v>4014</v>
      </c>
      <c r="S1702" s="14" t="s">
        <v>8849</v>
      </c>
      <c r="T1702" s="14" t="s">
        <v>8850</v>
      </c>
      <c r="U1702" s="18"/>
      <c r="V1702" s="18"/>
    </row>
    <row r="1703" spans="1:22" x14ac:dyDescent="0.25">
      <c r="A1703" s="14" t="s">
        <v>13</v>
      </c>
      <c r="B1703" s="14" t="s">
        <v>8851</v>
      </c>
      <c r="C1703" s="26"/>
      <c r="D1703" s="14" t="s">
        <v>8852</v>
      </c>
      <c r="E1703" s="14" t="s">
        <v>8853</v>
      </c>
      <c r="F1703" s="14">
        <v>2020</v>
      </c>
      <c r="G1703" s="14">
        <v>69</v>
      </c>
      <c r="H1703" s="28"/>
      <c r="I1703" s="14">
        <v>103389</v>
      </c>
      <c r="J1703" s="18"/>
      <c r="K1703" s="26"/>
      <c r="L1703" s="27"/>
      <c r="M1703" s="18"/>
      <c r="N1703" s="14">
        <v>2020</v>
      </c>
      <c r="O1703" s="26"/>
      <c r="P1703" s="14" t="s">
        <v>8854</v>
      </c>
      <c r="Q1703" s="17" t="s">
        <v>8855</v>
      </c>
      <c r="R1703" s="14" t="s">
        <v>8856</v>
      </c>
      <c r="S1703" s="14" t="s">
        <v>8857</v>
      </c>
      <c r="T1703" s="14" t="s">
        <v>8858</v>
      </c>
      <c r="U1703" s="18"/>
      <c r="V1703" s="18"/>
    </row>
    <row r="1704" spans="1:22" x14ac:dyDescent="0.25">
      <c r="A1704" s="14" t="s">
        <v>13</v>
      </c>
      <c r="B1704" s="14" t="s">
        <v>8859</v>
      </c>
      <c r="C1704" s="26"/>
      <c r="D1704" s="14" t="s">
        <v>8860</v>
      </c>
      <c r="E1704" s="14" t="s">
        <v>307</v>
      </c>
      <c r="F1704" s="14">
        <v>2020</v>
      </c>
      <c r="G1704" s="14">
        <v>123</v>
      </c>
      <c r="H1704" s="28"/>
      <c r="I1704" s="14">
        <v>106225</v>
      </c>
      <c r="J1704" s="18"/>
      <c r="K1704" s="26"/>
      <c r="L1704" s="27"/>
      <c r="M1704" s="18"/>
      <c r="N1704" s="14">
        <v>2020</v>
      </c>
      <c r="O1704" s="26"/>
      <c r="P1704" s="14" t="s">
        <v>308</v>
      </c>
      <c r="Q1704" s="17" t="s">
        <v>8861</v>
      </c>
      <c r="R1704" s="14" t="s">
        <v>8862</v>
      </c>
      <c r="S1704" s="14" t="s">
        <v>8863</v>
      </c>
      <c r="T1704" s="14" t="s">
        <v>8864</v>
      </c>
      <c r="U1704" s="18"/>
      <c r="V1704" s="18"/>
    </row>
    <row r="1705" spans="1:22" x14ac:dyDescent="0.25">
      <c r="A1705" s="14" t="s">
        <v>13</v>
      </c>
      <c r="B1705" s="14" t="s">
        <v>639</v>
      </c>
      <c r="C1705" s="26"/>
      <c r="D1705" s="14" t="s">
        <v>640</v>
      </c>
      <c r="E1705" s="14" t="s">
        <v>354</v>
      </c>
      <c r="F1705" s="14">
        <v>2023</v>
      </c>
      <c r="G1705" s="14">
        <v>198</v>
      </c>
      <c r="H1705" s="28"/>
      <c r="I1705" s="14">
        <v>111588</v>
      </c>
      <c r="J1705" s="18"/>
      <c r="K1705" s="26"/>
      <c r="L1705" s="27"/>
      <c r="M1705" s="18"/>
      <c r="N1705" s="14">
        <v>2023</v>
      </c>
      <c r="O1705" s="26"/>
      <c r="P1705" s="14" t="s">
        <v>65</v>
      </c>
      <c r="Q1705" s="17" t="s">
        <v>8865</v>
      </c>
      <c r="R1705" s="14" t="s">
        <v>642</v>
      </c>
      <c r="S1705" s="14" t="s">
        <v>8866</v>
      </c>
      <c r="T1705" s="14" t="s">
        <v>8867</v>
      </c>
      <c r="U1705" s="18"/>
      <c r="V1705" s="18"/>
    </row>
    <row r="1706" spans="1:22" x14ac:dyDescent="0.25">
      <c r="A1706" s="14" t="s">
        <v>13</v>
      </c>
      <c r="B1706" s="14" t="s">
        <v>8868</v>
      </c>
      <c r="C1706" s="26"/>
      <c r="D1706" s="14" t="s">
        <v>8869</v>
      </c>
      <c r="E1706" s="14" t="s">
        <v>8853</v>
      </c>
      <c r="F1706" s="14">
        <v>2021</v>
      </c>
      <c r="G1706" s="14">
        <v>78</v>
      </c>
      <c r="H1706" s="28"/>
      <c r="I1706" s="14">
        <v>103541</v>
      </c>
      <c r="J1706" s="18"/>
      <c r="K1706" s="26"/>
      <c r="L1706" s="27"/>
      <c r="M1706" s="18"/>
      <c r="N1706" s="14">
        <v>2021</v>
      </c>
      <c r="O1706" s="26"/>
      <c r="P1706" s="14" t="s">
        <v>8854</v>
      </c>
      <c r="Q1706" s="17" t="s">
        <v>8870</v>
      </c>
      <c r="R1706" s="14" t="s">
        <v>8871</v>
      </c>
      <c r="S1706" s="14" t="s">
        <v>8872</v>
      </c>
      <c r="T1706" s="14" t="s">
        <v>8873</v>
      </c>
      <c r="U1706" s="18"/>
      <c r="V1706" s="18"/>
    </row>
    <row r="1707" spans="1:22" x14ac:dyDescent="0.25">
      <c r="A1707" s="14" t="s">
        <v>13</v>
      </c>
      <c r="B1707" s="14" t="s">
        <v>8874</v>
      </c>
      <c r="C1707" s="26"/>
      <c r="D1707" s="14" t="s">
        <v>8875</v>
      </c>
      <c r="E1707" s="14" t="s">
        <v>354</v>
      </c>
      <c r="F1707" s="14">
        <v>2023</v>
      </c>
      <c r="G1707" s="14">
        <v>198</v>
      </c>
      <c r="H1707" s="28"/>
      <c r="I1707" s="14">
        <v>111604</v>
      </c>
      <c r="J1707" s="18"/>
      <c r="K1707" s="26"/>
      <c r="L1707" s="27"/>
      <c r="M1707" s="18"/>
      <c r="N1707" s="14">
        <v>2023</v>
      </c>
      <c r="O1707" s="26"/>
      <c r="P1707" s="14" t="s">
        <v>65</v>
      </c>
      <c r="Q1707" s="17" t="s">
        <v>8876</v>
      </c>
      <c r="R1707" s="14" t="s">
        <v>8877</v>
      </c>
      <c r="S1707" s="14" t="s">
        <v>8878</v>
      </c>
      <c r="T1707" s="14" t="s">
        <v>8879</v>
      </c>
      <c r="U1707" s="18"/>
      <c r="V1707" s="18"/>
    </row>
    <row r="1708" spans="1:22" x14ac:dyDescent="0.25">
      <c r="A1708" s="14" t="s">
        <v>13</v>
      </c>
      <c r="B1708" s="14" t="s">
        <v>1411</v>
      </c>
      <c r="C1708" s="26"/>
      <c r="D1708" s="14" t="s">
        <v>1412</v>
      </c>
      <c r="E1708" s="14" t="s">
        <v>1059</v>
      </c>
      <c r="F1708" s="14">
        <v>2022</v>
      </c>
      <c r="G1708" s="14">
        <v>115</v>
      </c>
      <c r="H1708" s="28"/>
      <c r="I1708" s="14">
        <v>105240</v>
      </c>
      <c r="J1708" s="18"/>
      <c r="K1708" s="26"/>
      <c r="L1708" s="27"/>
      <c r="M1708" s="18"/>
      <c r="N1708" s="14">
        <v>2022</v>
      </c>
      <c r="O1708" s="26"/>
      <c r="P1708" s="14" t="s">
        <v>1061</v>
      </c>
      <c r="Q1708" s="17" t="s">
        <v>8880</v>
      </c>
      <c r="R1708" s="14" t="s">
        <v>1414</v>
      </c>
      <c r="S1708" s="14" t="s">
        <v>8881</v>
      </c>
      <c r="T1708" s="14" t="s">
        <v>8882</v>
      </c>
      <c r="U1708" s="18"/>
      <c r="V1708" s="18"/>
    </row>
    <row r="1709" spans="1:22" x14ac:dyDescent="0.25">
      <c r="A1709" s="14" t="s">
        <v>13</v>
      </c>
      <c r="B1709" s="14" t="s">
        <v>8883</v>
      </c>
      <c r="C1709" s="26"/>
      <c r="D1709" s="14" t="s">
        <v>8884</v>
      </c>
      <c r="E1709" s="14" t="s">
        <v>8642</v>
      </c>
      <c r="F1709" s="14">
        <v>2020</v>
      </c>
      <c r="G1709" s="14">
        <v>167</v>
      </c>
      <c r="H1709" s="28"/>
      <c r="I1709" s="14" t="s">
        <v>8885</v>
      </c>
      <c r="J1709" s="18"/>
      <c r="K1709" s="26"/>
      <c r="L1709" s="27"/>
      <c r="M1709" s="18"/>
      <c r="N1709" s="14">
        <v>2020</v>
      </c>
      <c r="O1709" s="26"/>
      <c r="P1709" s="14" t="s">
        <v>3058</v>
      </c>
      <c r="Q1709" s="17" t="s">
        <v>8886</v>
      </c>
      <c r="R1709" s="14" t="s">
        <v>8887</v>
      </c>
      <c r="S1709" s="14" t="s">
        <v>8888</v>
      </c>
      <c r="T1709" s="14" t="s">
        <v>8889</v>
      </c>
      <c r="U1709" s="14" t="s">
        <v>8890</v>
      </c>
      <c r="V1709" s="18"/>
    </row>
    <row r="1710" spans="1:22" x14ac:dyDescent="0.25">
      <c r="A1710" s="14" t="s">
        <v>13</v>
      </c>
      <c r="B1710" s="14" t="s">
        <v>1825</v>
      </c>
      <c r="C1710" s="26"/>
      <c r="D1710" s="14" t="s">
        <v>1826</v>
      </c>
      <c r="E1710" s="14" t="s">
        <v>1827</v>
      </c>
      <c r="F1710" s="14">
        <v>2022</v>
      </c>
      <c r="G1710" s="14">
        <v>213</v>
      </c>
      <c r="H1710" s="28"/>
      <c r="I1710" s="14">
        <v>102693</v>
      </c>
      <c r="J1710" s="18"/>
      <c r="K1710" s="26"/>
      <c r="L1710" s="27"/>
      <c r="M1710" s="18"/>
      <c r="N1710" s="14">
        <v>2022</v>
      </c>
      <c r="O1710" s="26"/>
      <c r="P1710" s="14" t="s">
        <v>1828</v>
      </c>
      <c r="Q1710" s="17" t="s">
        <v>8891</v>
      </c>
      <c r="R1710" s="14" t="s">
        <v>1830</v>
      </c>
      <c r="S1710" s="14" t="s">
        <v>8892</v>
      </c>
      <c r="T1710" s="14" t="s">
        <v>8893</v>
      </c>
      <c r="U1710" s="18"/>
      <c r="V1710" s="18"/>
    </row>
    <row r="1711" spans="1:22" x14ac:dyDescent="0.25">
      <c r="A1711" s="14" t="s">
        <v>13</v>
      </c>
      <c r="B1711" s="14" t="s">
        <v>125</v>
      </c>
      <c r="C1711" s="26"/>
      <c r="D1711" s="14" t="s">
        <v>126</v>
      </c>
      <c r="E1711" s="14" t="s">
        <v>354</v>
      </c>
      <c r="F1711" s="14">
        <v>2018</v>
      </c>
      <c r="G1711" s="14">
        <v>138</v>
      </c>
      <c r="H1711" s="28"/>
      <c r="I1711" s="14" t="s">
        <v>127</v>
      </c>
      <c r="J1711" s="18"/>
      <c r="K1711" s="26"/>
      <c r="L1711" s="27"/>
      <c r="M1711" s="18"/>
      <c r="N1711" s="14">
        <v>2018</v>
      </c>
      <c r="O1711" s="26"/>
      <c r="P1711" s="14" t="s">
        <v>65</v>
      </c>
      <c r="Q1711" s="17" t="s">
        <v>8894</v>
      </c>
      <c r="R1711" s="14" t="s">
        <v>129</v>
      </c>
      <c r="S1711" s="14" t="s">
        <v>8895</v>
      </c>
      <c r="T1711" s="14" t="s">
        <v>8896</v>
      </c>
      <c r="U1711" s="18"/>
      <c r="V1711" s="18"/>
    </row>
    <row r="1712" spans="1:22" x14ac:dyDescent="0.25">
      <c r="A1712" s="14" t="s">
        <v>13</v>
      </c>
      <c r="B1712" s="14" t="s">
        <v>683</v>
      </c>
      <c r="C1712" s="26"/>
      <c r="D1712" s="14" t="s">
        <v>684</v>
      </c>
      <c r="E1712" s="14" t="s">
        <v>8421</v>
      </c>
      <c r="F1712" s="14">
        <v>2022</v>
      </c>
      <c r="G1712" s="14">
        <v>115</v>
      </c>
      <c r="H1712" s="28"/>
      <c r="I1712" s="14" t="s">
        <v>8897</v>
      </c>
      <c r="J1712" s="18"/>
      <c r="K1712" s="26"/>
      <c r="L1712" s="27"/>
      <c r="M1712" s="18"/>
      <c r="N1712" s="14">
        <v>2022</v>
      </c>
      <c r="O1712" s="26"/>
      <c r="P1712" s="14" t="s">
        <v>456</v>
      </c>
      <c r="Q1712" s="17" t="s">
        <v>8898</v>
      </c>
      <c r="R1712" s="14" t="s">
        <v>687</v>
      </c>
      <c r="S1712" s="14" t="s">
        <v>8899</v>
      </c>
      <c r="T1712" s="14" t="s">
        <v>8900</v>
      </c>
      <c r="U1712" s="14" t="s">
        <v>8426</v>
      </c>
      <c r="V1712" s="18"/>
    </row>
    <row r="1713" spans="1:22" x14ac:dyDescent="0.25">
      <c r="A1713" s="14" t="s">
        <v>13</v>
      </c>
      <c r="B1713" s="14" t="s">
        <v>8901</v>
      </c>
      <c r="C1713" s="26"/>
      <c r="D1713" s="14" t="s">
        <v>8902</v>
      </c>
      <c r="E1713" s="14" t="s">
        <v>354</v>
      </c>
      <c r="F1713" s="14">
        <v>2020</v>
      </c>
      <c r="G1713" s="14">
        <v>167</v>
      </c>
      <c r="H1713" s="28"/>
      <c r="I1713" s="14">
        <v>110616</v>
      </c>
      <c r="J1713" s="18"/>
      <c r="K1713" s="26"/>
      <c r="L1713" s="27"/>
      <c r="M1713" s="18"/>
      <c r="N1713" s="14">
        <v>2020</v>
      </c>
      <c r="O1713" s="26"/>
      <c r="P1713" s="14" t="s">
        <v>65</v>
      </c>
      <c r="Q1713" s="17" t="s">
        <v>8903</v>
      </c>
      <c r="R1713" s="14" t="s">
        <v>8904</v>
      </c>
      <c r="S1713" s="14" t="s">
        <v>8905</v>
      </c>
      <c r="T1713" s="14" t="s">
        <v>8906</v>
      </c>
      <c r="U1713" s="18"/>
      <c r="V1713" s="18"/>
    </row>
    <row r="1714" spans="1:22" x14ac:dyDescent="0.25">
      <c r="A1714" s="14" t="s">
        <v>13</v>
      </c>
      <c r="B1714" s="14" t="s">
        <v>8907</v>
      </c>
      <c r="C1714" s="26"/>
      <c r="D1714" s="14" t="s">
        <v>8908</v>
      </c>
      <c r="E1714" s="14" t="s">
        <v>307</v>
      </c>
      <c r="F1714" s="14">
        <v>2023</v>
      </c>
      <c r="G1714" s="14">
        <v>155</v>
      </c>
      <c r="H1714" s="28"/>
      <c r="I1714" s="14">
        <v>107120</v>
      </c>
      <c r="J1714" s="18"/>
      <c r="K1714" s="26"/>
      <c r="L1714" s="27"/>
      <c r="M1714" s="18"/>
      <c r="N1714" s="14">
        <v>2023</v>
      </c>
      <c r="O1714" s="26"/>
      <c r="P1714" s="14" t="s">
        <v>308</v>
      </c>
      <c r="Q1714" s="17" t="s">
        <v>8909</v>
      </c>
      <c r="R1714" s="14" t="s">
        <v>8910</v>
      </c>
      <c r="S1714" s="14" t="s">
        <v>8911</v>
      </c>
      <c r="T1714" s="14" t="s">
        <v>8912</v>
      </c>
      <c r="U1714" s="18"/>
      <c r="V1714" s="18"/>
    </row>
    <row r="1715" spans="1:22" x14ac:dyDescent="0.25">
      <c r="A1715" s="14" t="s">
        <v>13</v>
      </c>
      <c r="B1715" s="14" t="s">
        <v>8913</v>
      </c>
      <c r="C1715" s="26"/>
      <c r="D1715" s="14" t="s">
        <v>8914</v>
      </c>
      <c r="E1715" s="14" t="s">
        <v>2450</v>
      </c>
      <c r="F1715" s="14">
        <v>2022</v>
      </c>
      <c r="G1715" s="14">
        <v>129</v>
      </c>
      <c r="H1715" s="28"/>
      <c r="I1715" s="14">
        <v>109620</v>
      </c>
      <c r="J1715" s="18"/>
      <c r="K1715" s="26"/>
      <c r="L1715" s="27"/>
      <c r="M1715" s="18"/>
      <c r="N1715" s="14">
        <v>2022</v>
      </c>
      <c r="O1715" s="26"/>
      <c r="P1715" s="14" t="s">
        <v>2451</v>
      </c>
      <c r="Q1715" s="17" t="s">
        <v>8915</v>
      </c>
      <c r="R1715" s="14" t="s">
        <v>8916</v>
      </c>
      <c r="S1715" s="14" t="s">
        <v>8917</v>
      </c>
      <c r="T1715" s="14" t="s">
        <v>8918</v>
      </c>
      <c r="U1715" s="18"/>
      <c r="V1715" s="18"/>
    </row>
    <row r="1716" spans="1:22" x14ac:dyDescent="0.25">
      <c r="A1716" s="14" t="s">
        <v>13</v>
      </c>
      <c r="B1716" s="14" t="s">
        <v>1250</v>
      </c>
      <c r="C1716" s="26"/>
      <c r="D1716" s="14" t="s">
        <v>1251</v>
      </c>
      <c r="E1716" s="14" t="s">
        <v>307</v>
      </c>
      <c r="F1716" s="14">
        <v>2023</v>
      </c>
      <c r="G1716" s="14">
        <v>153</v>
      </c>
      <c r="H1716" s="28"/>
      <c r="I1716" s="14">
        <v>107078</v>
      </c>
      <c r="J1716" s="18"/>
      <c r="K1716" s="26"/>
      <c r="L1716" s="27"/>
      <c r="M1716" s="18"/>
      <c r="N1716" s="14">
        <v>2023</v>
      </c>
      <c r="O1716" s="26"/>
      <c r="P1716" s="14" t="s">
        <v>308</v>
      </c>
      <c r="Q1716" s="17" t="s">
        <v>8919</v>
      </c>
      <c r="R1716" s="14" t="s">
        <v>1253</v>
      </c>
      <c r="S1716" s="14" t="s">
        <v>8920</v>
      </c>
      <c r="T1716" s="14" t="s">
        <v>8921</v>
      </c>
      <c r="U1716" s="18"/>
      <c r="V1716" s="18"/>
    </row>
    <row r="1717" spans="1:22" x14ac:dyDescent="0.25">
      <c r="A1717" s="14" t="s">
        <v>13</v>
      </c>
      <c r="B1717" s="14" t="s">
        <v>4003</v>
      </c>
      <c r="C1717" s="26"/>
      <c r="D1717" s="14" t="s">
        <v>4004</v>
      </c>
      <c r="E1717" s="14" t="s">
        <v>354</v>
      </c>
      <c r="F1717" s="14">
        <v>2019</v>
      </c>
      <c r="G1717" s="14">
        <v>152</v>
      </c>
      <c r="H1717" s="28"/>
      <c r="I1717" s="14" t="s">
        <v>8922</v>
      </c>
      <c r="J1717" s="18"/>
      <c r="K1717" s="26"/>
      <c r="L1717" s="27"/>
      <c r="M1717" s="18"/>
      <c r="N1717" s="14">
        <v>2019</v>
      </c>
      <c r="O1717" s="26"/>
      <c r="P1717" s="14" t="s">
        <v>65</v>
      </c>
      <c r="Q1717" s="17" t="s">
        <v>8923</v>
      </c>
      <c r="R1717" s="14" t="s">
        <v>4007</v>
      </c>
      <c r="S1717" s="14" t="s">
        <v>8924</v>
      </c>
      <c r="T1717" s="14" t="s">
        <v>8925</v>
      </c>
      <c r="U1717" s="18"/>
      <c r="V1717" s="18"/>
    </row>
    <row r="1718" spans="1:22" x14ac:dyDescent="0.25">
      <c r="A1718" s="14" t="s">
        <v>13</v>
      </c>
      <c r="B1718" s="14" t="s">
        <v>8926</v>
      </c>
      <c r="C1718" s="26"/>
      <c r="D1718" s="14" t="s">
        <v>8927</v>
      </c>
      <c r="E1718" s="14" t="s">
        <v>1355</v>
      </c>
      <c r="F1718" s="14">
        <v>2021</v>
      </c>
      <c r="G1718" s="14">
        <v>167</v>
      </c>
      <c r="H1718" s="28"/>
      <c r="I1718" s="14">
        <v>114134</v>
      </c>
      <c r="J1718" s="18"/>
      <c r="K1718" s="26"/>
      <c r="L1718" s="27"/>
      <c r="M1718" s="18"/>
      <c r="N1718" s="14">
        <v>2021</v>
      </c>
      <c r="O1718" s="26"/>
      <c r="P1718" s="14" t="s">
        <v>1356</v>
      </c>
      <c r="Q1718" s="17" t="s">
        <v>8928</v>
      </c>
      <c r="R1718" s="14" t="s">
        <v>8929</v>
      </c>
      <c r="S1718" s="14" t="s">
        <v>8930</v>
      </c>
      <c r="T1718" s="14" t="s">
        <v>8931</v>
      </c>
      <c r="U1718" s="18"/>
      <c r="V1718" s="18"/>
    </row>
    <row r="1719" spans="1:22" x14ac:dyDescent="0.25">
      <c r="A1719" s="14" t="s">
        <v>13</v>
      </c>
      <c r="B1719" s="14" t="s">
        <v>8932</v>
      </c>
      <c r="C1719" s="26"/>
      <c r="D1719" s="14" t="s">
        <v>8933</v>
      </c>
      <c r="E1719" s="14" t="s">
        <v>354</v>
      </c>
      <c r="F1719" s="14">
        <v>2023</v>
      </c>
      <c r="G1719" s="18"/>
      <c r="H1719" s="28"/>
      <c r="I1719" s="14">
        <v>111615</v>
      </c>
      <c r="J1719" s="18"/>
      <c r="K1719" s="26"/>
      <c r="L1719" s="27"/>
      <c r="M1719" s="18"/>
      <c r="N1719" s="14">
        <v>2023</v>
      </c>
      <c r="O1719" s="26"/>
      <c r="P1719" s="14" t="s">
        <v>65</v>
      </c>
      <c r="Q1719" s="17" t="s">
        <v>8934</v>
      </c>
      <c r="R1719" s="14" t="s">
        <v>8935</v>
      </c>
      <c r="S1719" s="14" t="s">
        <v>8936</v>
      </c>
      <c r="T1719" s="14" t="s">
        <v>8937</v>
      </c>
      <c r="U1719" s="18"/>
      <c r="V1719" s="18"/>
    </row>
    <row r="1720" spans="1:22" x14ac:dyDescent="0.25">
      <c r="A1720" s="14" t="s">
        <v>13</v>
      </c>
      <c r="B1720" s="14" t="s">
        <v>1130</v>
      </c>
      <c r="C1720" s="26"/>
      <c r="D1720" s="14" t="s">
        <v>1131</v>
      </c>
      <c r="E1720" s="14" t="s">
        <v>354</v>
      </c>
      <c r="F1720" s="14">
        <v>2022</v>
      </c>
      <c r="G1720" s="14">
        <v>194</v>
      </c>
      <c r="H1720" s="28"/>
      <c r="I1720" s="14">
        <v>111508</v>
      </c>
      <c r="J1720" s="18"/>
      <c r="K1720" s="26"/>
      <c r="L1720" s="27"/>
      <c r="M1720" s="18"/>
      <c r="N1720" s="14">
        <v>2022</v>
      </c>
      <c r="O1720" s="26"/>
      <c r="P1720" s="14" t="s">
        <v>65</v>
      </c>
      <c r="Q1720" s="17" t="s">
        <v>8938</v>
      </c>
      <c r="R1720" s="14" t="s">
        <v>1133</v>
      </c>
      <c r="S1720" s="14" t="s">
        <v>8939</v>
      </c>
      <c r="T1720" s="14" t="s">
        <v>8940</v>
      </c>
      <c r="U1720" s="18"/>
      <c r="V1720" s="18"/>
    </row>
    <row r="1721" spans="1:22" x14ac:dyDescent="0.25">
      <c r="A1721" s="14" t="s">
        <v>13</v>
      </c>
      <c r="B1721" s="14" t="s">
        <v>8941</v>
      </c>
      <c r="C1721" s="26"/>
      <c r="D1721" s="14" t="s">
        <v>8942</v>
      </c>
      <c r="E1721" s="14" t="s">
        <v>8482</v>
      </c>
      <c r="F1721" s="14">
        <v>2021</v>
      </c>
      <c r="G1721" s="14">
        <v>105</v>
      </c>
      <c r="H1721" s="28"/>
      <c r="I1721" s="14">
        <v>102258</v>
      </c>
      <c r="J1721" s="18"/>
      <c r="K1721" s="26"/>
      <c r="L1721" s="27"/>
      <c r="M1721" s="18"/>
      <c r="N1721" s="14">
        <v>2021</v>
      </c>
      <c r="O1721" s="26"/>
      <c r="P1721" s="14" t="s">
        <v>8483</v>
      </c>
      <c r="Q1721" s="17" t="s">
        <v>8943</v>
      </c>
      <c r="R1721" s="14" t="s">
        <v>8944</v>
      </c>
      <c r="S1721" s="14" t="s">
        <v>8945</v>
      </c>
      <c r="T1721" s="14" t="s">
        <v>8946</v>
      </c>
      <c r="U1721" s="18"/>
      <c r="V1721" s="18"/>
    </row>
    <row r="1722" spans="1:22" x14ac:dyDescent="0.25">
      <c r="A1722" s="14" t="s">
        <v>13</v>
      </c>
      <c r="B1722" s="14" t="s">
        <v>5488</v>
      </c>
      <c r="C1722" s="26"/>
      <c r="D1722" s="14" t="s">
        <v>5489</v>
      </c>
      <c r="E1722" s="14" t="s">
        <v>354</v>
      </c>
      <c r="F1722" s="14">
        <v>2017</v>
      </c>
      <c r="G1722" s="14">
        <v>125</v>
      </c>
      <c r="H1722" s="28"/>
      <c r="I1722" s="14" t="s">
        <v>8947</v>
      </c>
      <c r="J1722" s="18"/>
      <c r="K1722" s="26"/>
      <c r="L1722" s="27"/>
      <c r="M1722" s="18"/>
      <c r="N1722" s="14">
        <v>2017</v>
      </c>
      <c r="O1722" s="26"/>
      <c r="P1722" s="14" t="s">
        <v>65</v>
      </c>
      <c r="Q1722" s="17" t="s">
        <v>8948</v>
      </c>
      <c r="R1722" s="14" t="s">
        <v>5492</v>
      </c>
      <c r="S1722" s="14" t="s">
        <v>8949</v>
      </c>
      <c r="T1722" s="14" t="s">
        <v>8950</v>
      </c>
      <c r="U1722" s="18"/>
      <c r="V1722" s="18"/>
    </row>
    <row r="1723" spans="1:22" x14ac:dyDescent="0.25">
      <c r="A1723" s="14" t="s">
        <v>13</v>
      </c>
      <c r="B1723" s="14" t="s">
        <v>8951</v>
      </c>
      <c r="C1723" s="26"/>
      <c r="D1723" s="14" t="s">
        <v>8952</v>
      </c>
      <c r="E1723" s="14" t="s">
        <v>1355</v>
      </c>
      <c r="F1723" s="14">
        <v>2021</v>
      </c>
      <c r="G1723" s="14">
        <v>166</v>
      </c>
      <c r="H1723" s="28"/>
      <c r="I1723" s="14">
        <v>114076</v>
      </c>
      <c r="J1723" s="18"/>
      <c r="K1723" s="26"/>
      <c r="L1723" s="27"/>
      <c r="M1723" s="18"/>
      <c r="N1723" s="14">
        <v>2021</v>
      </c>
      <c r="O1723" s="26"/>
      <c r="P1723" s="14" t="s">
        <v>1356</v>
      </c>
      <c r="Q1723" s="17" t="s">
        <v>8953</v>
      </c>
      <c r="R1723" s="14" t="s">
        <v>8954</v>
      </c>
      <c r="S1723" s="14" t="s">
        <v>8955</v>
      </c>
      <c r="T1723" s="14" t="s">
        <v>8956</v>
      </c>
      <c r="U1723" s="18"/>
      <c r="V1723" s="18"/>
    </row>
    <row r="1724" spans="1:22" x14ac:dyDescent="0.25">
      <c r="A1724" s="14" t="s">
        <v>13</v>
      </c>
      <c r="B1724" s="14" t="s">
        <v>8957</v>
      </c>
      <c r="C1724" s="26"/>
      <c r="D1724" s="14" t="s">
        <v>8958</v>
      </c>
      <c r="E1724" s="14" t="s">
        <v>354</v>
      </c>
      <c r="F1724" s="14">
        <v>2017</v>
      </c>
      <c r="G1724" s="14">
        <v>134</v>
      </c>
      <c r="H1724" s="28"/>
      <c r="I1724" s="14" t="s">
        <v>8959</v>
      </c>
      <c r="J1724" s="18"/>
      <c r="K1724" s="26"/>
      <c r="L1724" s="27"/>
      <c r="M1724" s="18"/>
      <c r="N1724" s="14">
        <v>2017</v>
      </c>
      <c r="O1724" s="26"/>
      <c r="P1724" s="14" t="s">
        <v>65</v>
      </c>
      <c r="Q1724" s="17" t="s">
        <v>8960</v>
      </c>
      <c r="R1724" s="14" t="s">
        <v>8961</v>
      </c>
      <c r="S1724" s="14" t="s">
        <v>8962</v>
      </c>
      <c r="T1724" s="14" t="s">
        <v>8963</v>
      </c>
      <c r="U1724" s="18"/>
      <c r="V1724" s="18"/>
    </row>
    <row r="1725" spans="1:22" x14ac:dyDescent="0.25">
      <c r="A1725" s="14" t="s">
        <v>13</v>
      </c>
      <c r="B1725" s="14" t="s">
        <v>8964</v>
      </c>
      <c r="C1725" s="26"/>
      <c r="D1725" s="14" t="s">
        <v>8965</v>
      </c>
      <c r="E1725" s="14" t="s">
        <v>354</v>
      </c>
      <c r="F1725" s="14">
        <v>2020</v>
      </c>
      <c r="G1725" s="14">
        <v>166</v>
      </c>
      <c r="H1725" s="28"/>
      <c r="I1725" s="14">
        <v>110596</v>
      </c>
      <c r="J1725" s="18"/>
      <c r="K1725" s="26"/>
      <c r="L1725" s="27"/>
      <c r="M1725" s="18"/>
      <c r="N1725" s="14">
        <v>2020</v>
      </c>
      <c r="O1725" s="26"/>
      <c r="P1725" s="14" t="s">
        <v>65</v>
      </c>
      <c r="Q1725" s="17" t="s">
        <v>8966</v>
      </c>
      <c r="R1725" s="14" t="s">
        <v>8967</v>
      </c>
      <c r="S1725" s="14" t="s">
        <v>8968</v>
      </c>
      <c r="T1725" s="14" t="s">
        <v>8969</v>
      </c>
      <c r="U1725" s="18"/>
      <c r="V1725" s="18"/>
    </row>
    <row r="1726" spans="1:22" x14ac:dyDescent="0.25">
      <c r="A1726" s="14" t="s">
        <v>13</v>
      </c>
      <c r="B1726" s="14" t="s">
        <v>3076</v>
      </c>
      <c r="C1726" s="26"/>
      <c r="D1726" s="14" t="s">
        <v>3077</v>
      </c>
      <c r="E1726" s="14" t="s">
        <v>307</v>
      </c>
      <c r="F1726" s="14">
        <v>2020</v>
      </c>
      <c r="G1726" s="14">
        <v>126</v>
      </c>
      <c r="H1726" s="28"/>
      <c r="I1726" s="14">
        <v>106332</v>
      </c>
      <c r="J1726" s="18"/>
      <c r="K1726" s="26"/>
      <c r="L1726" s="27"/>
      <c r="M1726" s="18"/>
      <c r="N1726" s="14">
        <v>2020</v>
      </c>
      <c r="O1726" s="26"/>
      <c r="P1726" s="14" t="s">
        <v>308</v>
      </c>
      <c r="Q1726" s="17" t="s">
        <v>8970</v>
      </c>
      <c r="R1726" s="14" t="s">
        <v>3079</v>
      </c>
      <c r="S1726" s="14" t="s">
        <v>8971</v>
      </c>
      <c r="T1726" s="14" t="s">
        <v>8972</v>
      </c>
      <c r="U1726" s="18"/>
      <c r="V1726" s="18"/>
    </row>
    <row r="1727" spans="1:22" x14ac:dyDescent="0.25">
      <c r="A1727" s="14" t="s">
        <v>7972</v>
      </c>
      <c r="B1727" s="18"/>
      <c r="C1727" s="14" t="s">
        <v>8973</v>
      </c>
      <c r="D1727" s="14" t="s">
        <v>8974</v>
      </c>
      <c r="E1727" s="26"/>
      <c r="F1727" s="14">
        <v>2015</v>
      </c>
      <c r="G1727" s="14">
        <v>96</v>
      </c>
      <c r="H1727" s="28"/>
      <c r="I1727" s="14" t="s">
        <v>8975</v>
      </c>
      <c r="J1727" s="18"/>
      <c r="K1727" s="14" t="s">
        <v>8536</v>
      </c>
      <c r="L1727" s="27"/>
      <c r="M1727" s="14" t="s">
        <v>8976</v>
      </c>
      <c r="N1727" s="14">
        <v>2015</v>
      </c>
      <c r="O1727" s="26"/>
      <c r="P1727" s="14" t="s">
        <v>8538</v>
      </c>
      <c r="Q1727" s="17" t="s">
        <v>8977</v>
      </c>
      <c r="R1727" s="14" t="s">
        <v>8978</v>
      </c>
      <c r="S1727" s="18"/>
      <c r="T1727" s="18"/>
      <c r="U1727" s="18"/>
      <c r="V1727" s="14" t="s">
        <v>8537</v>
      </c>
    </row>
    <row r="1728" spans="1:22" x14ac:dyDescent="0.25">
      <c r="A1728" s="14" t="s">
        <v>7972</v>
      </c>
      <c r="B1728" s="14" t="s">
        <v>8979</v>
      </c>
      <c r="C1728" s="14" t="s">
        <v>8980</v>
      </c>
      <c r="D1728" s="14" t="s">
        <v>8981</v>
      </c>
      <c r="E1728" s="26"/>
      <c r="F1728" s="14">
        <v>2016</v>
      </c>
      <c r="G1728" s="18"/>
      <c r="H1728" s="28"/>
      <c r="I1728" s="14" t="s">
        <v>8982</v>
      </c>
      <c r="J1728" s="18"/>
      <c r="K1728" s="14" t="s">
        <v>8739</v>
      </c>
      <c r="L1728" s="14" t="s">
        <v>8740</v>
      </c>
      <c r="M1728" s="14" t="s">
        <v>8983</v>
      </c>
      <c r="N1728" s="14">
        <v>2016</v>
      </c>
      <c r="O1728" s="14">
        <v>9780128023013</v>
      </c>
      <c r="P1728" s="26"/>
      <c r="Q1728" s="17" t="s">
        <v>8984</v>
      </c>
      <c r="R1728" s="14" t="s">
        <v>8985</v>
      </c>
      <c r="S1728" s="14" t="s">
        <v>8986</v>
      </c>
      <c r="T1728" s="14" t="s">
        <v>8987</v>
      </c>
      <c r="U1728" s="18"/>
      <c r="V1728" s="18"/>
    </row>
    <row r="1729" spans="1:22" x14ac:dyDescent="0.25">
      <c r="A1729" s="14" t="s">
        <v>13</v>
      </c>
      <c r="B1729" s="14" t="s">
        <v>8988</v>
      </c>
      <c r="C1729" s="26"/>
      <c r="D1729" s="14" t="s">
        <v>8989</v>
      </c>
      <c r="E1729" s="14" t="s">
        <v>354</v>
      </c>
      <c r="F1729" s="14">
        <v>2019</v>
      </c>
      <c r="G1729" s="14">
        <v>158</v>
      </c>
      <c r="H1729" s="28"/>
      <c r="I1729" s="14">
        <v>110420</v>
      </c>
      <c r="J1729" s="18"/>
      <c r="K1729" s="26"/>
      <c r="L1729" s="27"/>
      <c r="M1729" s="18"/>
      <c r="N1729" s="14">
        <v>2019</v>
      </c>
      <c r="O1729" s="26"/>
      <c r="P1729" s="14" t="s">
        <v>65</v>
      </c>
      <c r="Q1729" s="17" t="s">
        <v>8990</v>
      </c>
      <c r="R1729" s="14" t="s">
        <v>8991</v>
      </c>
      <c r="S1729" s="14" t="s">
        <v>8992</v>
      </c>
      <c r="T1729" s="14" t="s">
        <v>8993</v>
      </c>
      <c r="U1729" s="18"/>
      <c r="V1729" s="18"/>
    </row>
    <row r="1730" spans="1:22" x14ac:dyDescent="0.25">
      <c r="A1730" s="14" t="s">
        <v>7972</v>
      </c>
      <c r="B1730" s="18"/>
      <c r="C1730" s="14" t="s">
        <v>8994</v>
      </c>
      <c r="D1730" s="14" t="s">
        <v>8534</v>
      </c>
      <c r="E1730" s="26"/>
      <c r="F1730" s="14">
        <v>2015</v>
      </c>
      <c r="G1730" s="14">
        <v>98</v>
      </c>
      <c r="H1730" s="28"/>
      <c r="I1730" s="14" t="s">
        <v>8995</v>
      </c>
      <c r="J1730" s="18"/>
      <c r="K1730" s="14" t="s">
        <v>8536</v>
      </c>
      <c r="L1730" s="27"/>
      <c r="M1730" s="18"/>
      <c r="N1730" s="14">
        <v>2015</v>
      </c>
      <c r="O1730" s="26"/>
      <c r="P1730" s="14" t="s">
        <v>8538</v>
      </c>
      <c r="Q1730" s="17" t="s">
        <v>8996</v>
      </c>
      <c r="R1730" s="14" t="s">
        <v>8997</v>
      </c>
      <c r="S1730" s="18"/>
      <c r="T1730" s="18"/>
      <c r="U1730" s="18"/>
      <c r="V1730" s="14" t="s">
        <v>8537</v>
      </c>
    </row>
    <row r="1731" spans="1:22" x14ac:dyDescent="0.25">
      <c r="A1731" s="14" t="s">
        <v>13</v>
      </c>
      <c r="B1731" s="14" t="s">
        <v>8998</v>
      </c>
      <c r="C1731" s="26"/>
      <c r="D1731" s="14" t="s">
        <v>8999</v>
      </c>
      <c r="E1731" s="14" t="s">
        <v>354</v>
      </c>
      <c r="F1731" s="14">
        <v>2021</v>
      </c>
      <c r="G1731" s="14">
        <v>178</v>
      </c>
      <c r="H1731" s="28"/>
      <c r="I1731" s="14">
        <v>110969</v>
      </c>
      <c r="J1731" s="18"/>
      <c r="K1731" s="26"/>
      <c r="L1731" s="27"/>
      <c r="M1731" s="18"/>
      <c r="N1731" s="14">
        <v>2021</v>
      </c>
      <c r="O1731" s="26"/>
      <c r="P1731" s="14" t="s">
        <v>65</v>
      </c>
      <c r="Q1731" s="17" t="s">
        <v>9000</v>
      </c>
      <c r="R1731" s="14" t="s">
        <v>9001</v>
      </c>
      <c r="S1731" s="14" t="s">
        <v>9002</v>
      </c>
      <c r="T1731" s="14" t="s">
        <v>9003</v>
      </c>
      <c r="U1731" s="18"/>
      <c r="V1731" s="18"/>
    </row>
    <row r="1732" spans="1:22" x14ac:dyDescent="0.25">
      <c r="A1732" s="14" t="s">
        <v>7972</v>
      </c>
      <c r="B1732" s="18"/>
      <c r="C1732" s="14" t="s">
        <v>8533</v>
      </c>
      <c r="D1732" s="14" t="s">
        <v>8974</v>
      </c>
      <c r="E1732" s="26"/>
      <c r="F1732" s="14">
        <v>2015</v>
      </c>
      <c r="G1732" s="14">
        <v>99</v>
      </c>
      <c r="H1732" s="28"/>
      <c r="I1732" s="14" t="s">
        <v>9004</v>
      </c>
      <c r="J1732" s="18"/>
      <c r="K1732" s="14" t="s">
        <v>8536</v>
      </c>
      <c r="L1732" s="27"/>
      <c r="M1732" s="18"/>
      <c r="N1732" s="14">
        <v>2015</v>
      </c>
      <c r="O1732" s="26"/>
      <c r="P1732" s="14" t="s">
        <v>8538</v>
      </c>
      <c r="Q1732" s="17" t="s">
        <v>9005</v>
      </c>
      <c r="R1732" s="14" t="s">
        <v>9006</v>
      </c>
      <c r="S1732" s="18"/>
      <c r="T1732" s="18"/>
      <c r="U1732" s="18"/>
      <c r="V1732" s="14" t="s">
        <v>8537</v>
      </c>
    </row>
    <row r="1733" spans="1:22" x14ac:dyDescent="0.25">
      <c r="A1733" s="14" t="s">
        <v>7972</v>
      </c>
      <c r="B1733" s="14" t="s">
        <v>9007</v>
      </c>
      <c r="C1733" s="14" t="s">
        <v>9007</v>
      </c>
      <c r="D1733" s="14" t="s">
        <v>9008</v>
      </c>
      <c r="E1733" s="26"/>
      <c r="F1733" s="14">
        <v>2015</v>
      </c>
      <c r="G1733" s="18"/>
      <c r="H1733" s="28"/>
      <c r="I1733" s="14" t="s">
        <v>9009</v>
      </c>
      <c r="J1733" s="18"/>
      <c r="K1733" s="14" t="s">
        <v>8739</v>
      </c>
      <c r="L1733" s="14" t="s">
        <v>8740</v>
      </c>
      <c r="M1733" s="14" t="s">
        <v>9010</v>
      </c>
      <c r="N1733" s="14">
        <v>2015</v>
      </c>
      <c r="O1733" s="14">
        <v>9780128002186</v>
      </c>
      <c r="P1733" s="26"/>
      <c r="Q1733" s="17" t="s">
        <v>9011</v>
      </c>
      <c r="R1733" s="14" t="s">
        <v>9012</v>
      </c>
      <c r="S1733" s="14" t="s">
        <v>9013</v>
      </c>
      <c r="T1733" s="14" t="s">
        <v>9014</v>
      </c>
      <c r="U1733" s="18"/>
      <c r="V1733" s="18"/>
    </row>
    <row r="1734" spans="1:22" x14ac:dyDescent="0.25">
      <c r="A1734" s="14" t="s">
        <v>7972</v>
      </c>
      <c r="B1734" s="14" t="s">
        <v>9015</v>
      </c>
      <c r="C1734" s="14" t="s">
        <v>9015</v>
      </c>
      <c r="D1734" s="14" t="s">
        <v>9016</v>
      </c>
      <c r="E1734" s="26"/>
      <c r="F1734" s="14">
        <v>2021</v>
      </c>
      <c r="G1734" s="18"/>
      <c r="H1734" s="28"/>
      <c r="I1734" s="14" t="s">
        <v>9017</v>
      </c>
      <c r="J1734" s="14" t="s">
        <v>9018</v>
      </c>
      <c r="K1734" s="14" t="s">
        <v>9019</v>
      </c>
      <c r="L1734" s="27"/>
      <c r="M1734" s="14" t="s">
        <v>9020</v>
      </c>
      <c r="N1734" s="14">
        <v>2021</v>
      </c>
      <c r="O1734" s="14">
        <v>9780128180150</v>
      </c>
      <c r="P1734" s="26"/>
      <c r="Q1734" s="17" t="s">
        <v>9021</v>
      </c>
      <c r="R1734" s="14" t="s">
        <v>9022</v>
      </c>
      <c r="S1734" s="14" t="s">
        <v>9023</v>
      </c>
      <c r="T1734" s="14" t="s">
        <v>9024</v>
      </c>
      <c r="U1734" s="18"/>
      <c r="V1734" s="18"/>
    </row>
    <row r="1735" spans="1:22" x14ac:dyDescent="0.25">
      <c r="A1735" s="14" t="s">
        <v>7972</v>
      </c>
      <c r="B1735" s="18"/>
      <c r="C1735" s="14" t="s">
        <v>9025</v>
      </c>
      <c r="D1735" s="14" t="s">
        <v>8974</v>
      </c>
      <c r="E1735" s="26"/>
      <c r="F1735" s="14">
        <v>2015</v>
      </c>
      <c r="G1735" s="14">
        <v>97</v>
      </c>
      <c r="H1735" s="28"/>
      <c r="I1735" s="14" t="s">
        <v>9026</v>
      </c>
      <c r="J1735" s="18"/>
      <c r="K1735" s="14" t="s">
        <v>8536</v>
      </c>
      <c r="L1735" s="27"/>
      <c r="M1735" s="18"/>
      <c r="N1735" s="14">
        <v>2015</v>
      </c>
      <c r="O1735" s="26"/>
      <c r="P1735" s="14" t="s">
        <v>8538</v>
      </c>
      <c r="Q1735" s="17" t="s">
        <v>9027</v>
      </c>
      <c r="R1735" s="14" t="s">
        <v>9028</v>
      </c>
      <c r="S1735" s="18"/>
      <c r="T1735" s="18"/>
      <c r="U1735" s="18"/>
      <c r="V1735" s="14" t="s">
        <v>8537</v>
      </c>
    </row>
    <row r="1736" spans="1:22" x14ac:dyDescent="0.25">
      <c r="A1736" s="14" t="s">
        <v>13</v>
      </c>
      <c r="B1736" s="14" t="s">
        <v>9029</v>
      </c>
      <c r="C1736" s="26"/>
      <c r="D1736" s="14" t="s">
        <v>9030</v>
      </c>
      <c r="E1736" s="14" t="s">
        <v>9031</v>
      </c>
      <c r="F1736" s="14">
        <v>2021</v>
      </c>
      <c r="G1736" s="14">
        <v>171</v>
      </c>
      <c r="H1736" s="28"/>
      <c r="I1736" s="14">
        <v>120957</v>
      </c>
      <c r="J1736" s="18"/>
      <c r="K1736" s="26"/>
      <c r="L1736" s="27"/>
      <c r="M1736" s="18"/>
      <c r="N1736" s="14">
        <v>2021</v>
      </c>
      <c r="O1736" s="26"/>
      <c r="P1736" s="14" t="s">
        <v>9032</v>
      </c>
      <c r="Q1736" s="17" t="s">
        <v>9033</v>
      </c>
      <c r="R1736" s="14" t="s">
        <v>9034</v>
      </c>
      <c r="S1736" s="14" t="s">
        <v>9035</v>
      </c>
      <c r="T1736" s="14" t="s">
        <v>9036</v>
      </c>
      <c r="U1736" s="18"/>
      <c r="V1736" s="18"/>
    </row>
    <row r="1737" spans="1:22" x14ac:dyDescent="0.25">
      <c r="A1737" s="14" t="s">
        <v>13</v>
      </c>
      <c r="B1737" s="14" t="s">
        <v>9037</v>
      </c>
      <c r="C1737" s="26"/>
      <c r="D1737" s="14" t="s">
        <v>9038</v>
      </c>
      <c r="E1737" s="14" t="s">
        <v>354</v>
      </c>
      <c r="F1737" s="14">
        <v>2021</v>
      </c>
      <c r="G1737" s="14">
        <v>178</v>
      </c>
      <c r="H1737" s="28"/>
      <c r="I1737" s="14">
        <v>110984</v>
      </c>
      <c r="J1737" s="18"/>
      <c r="K1737" s="26"/>
      <c r="L1737" s="27"/>
      <c r="M1737" s="18"/>
      <c r="N1737" s="14">
        <v>2021</v>
      </c>
      <c r="O1737" s="26"/>
      <c r="P1737" s="14" t="s">
        <v>65</v>
      </c>
      <c r="Q1737" s="17" t="s">
        <v>9039</v>
      </c>
      <c r="R1737" s="14" t="s">
        <v>9040</v>
      </c>
      <c r="S1737" s="14" t="s">
        <v>9041</v>
      </c>
      <c r="T1737" s="14" t="s">
        <v>9042</v>
      </c>
      <c r="U1737" s="18"/>
      <c r="V1737" s="18"/>
    </row>
    <row r="1738" spans="1:22" x14ac:dyDescent="0.25">
      <c r="A1738" s="14" t="s">
        <v>7972</v>
      </c>
      <c r="B1738" s="18"/>
      <c r="C1738" s="14" t="s">
        <v>8533</v>
      </c>
      <c r="D1738" s="14" t="s">
        <v>8534</v>
      </c>
      <c r="E1738" s="26"/>
      <c r="F1738" s="14">
        <v>2014</v>
      </c>
      <c r="G1738" s="14">
        <v>95</v>
      </c>
      <c r="H1738" s="28"/>
      <c r="I1738" s="14" t="s">
        <v>9043</v>
      </c>
      <c r="J1738" s="18"/>
      <c r="K1738" s="14" t="s">
        <v>8536</v>
      </c>
      <c r="L1738" s="27"/>
      <c r="M1738" s="18"/>
      <c r="N1738" s="14">
        <v>2014</v>
      </c>
      <c r="O1738" s="26"/>
      <c r="P1738" s="14" t="s">
        <v>8538</v>
      </c>
      <c r="Q1738" s="17" t="s">
        <v>9044</v>
      </c>
      <c r="R1738" s="14" t="s">
        <v>9045</v>
      </c>
      <c r="S1738" s="18"/>
      <c r="T1738" s="18"/>
      <c r="U1738" s="18"/>
      <c r="V1738" s="14" t="s">
        <v>8537</v>
      </c>
    </row>
    <row r="1739" spans="1:22" x14ac:dyDescent="0.25">
      <c r="A1739" s="14" t="s">
        <v>7972</v>
      </c>
      <c r="B1739" s="18"/>
      <c r="C1739" s="14" t="s">
        <v>9046</v>
      </c>
      <c r="D1739" s="14" t="s">
        <v>8534</v>
      </c>
      <c r="E1739" s="26"/>
      <c r="F1739" s="14">
        <v>2017</v>
      </c>
      <c r="G1739" s="14">
        <v>104</v>
      </c>
      <c r="H1739" s="28"/>
      <c r="I1739" s="14" t="s">
        <v>9047</v>
      </c>
      <c r="J1739" s="18"/>
      <c r="K1739" s="14" t="s">
        <v>8536</v>
      </c>
      <c r="L1739" s="27"/>
      <c r="M1739" s="14" t="s">
        <v>9048</v>
      </c>
      <c r="N1739" s="14">
        <v>2017</v>
      </c>
      <c r="O1739" s="26"/>
      <c r="P1739" s="14" t="s">
        <v>8538</v>
      </c>
      <c r="Q1739" s="17" t="s">
        <v>9049</v>
      </c>
      <c r="R1739" s="14" t="s">
        <v>9050</v>
      </c>
      <c r="S1739" s="18"/>
      <c r="T1739" s="18"/>
      <c r="U1739" s="18"/>
      <c r="V1739" s="14" t="s">
        <v>8537</v>
      </c>
    </row>
    <row r="1740" spans="1:22" x14ac:dyDescent="0.25">
      <c r="A1740" s="14" t="s">
        <v>13</v>
      </c>
      <c r="B1740" s="14" t="s">
        <v>9051</v>
      </c>
      <c r="C1740" s="26"/>
      <c r="D1740" s="14" t="s">
        <v>9052</v>
      </c>
      <c r="E1740" s="14" t="s">
        <v>307</v>
      </c>
      <c r="F1740" s="14">
        <v>2018</v>
      </c>
      <c r="G1740" s="14">
        <v>102</v>
      </c>
      <c r="H1740" s="28"/>
      <c r="I1740" s="14" t="s">
        <v>9053</v>
      </c>
      <c r="J1740" s="18"/>
      <c r="K1740" s="26"/>
      <c r="L1740" s="27"/>
      <c r="M1740" s="18"/>
      <c r="N1740" s="14">
        <v>2018</v>
      </c>
      <c r="O1740" s="26"/>
      <c r="P1740" s="14" t="s">
        <v>308</v>
      </c>
      <c r="Q1740" s="17" t="s">
        <v>9054</v>
      </c>
      <c r="R1740" s="14" t="s">
        <v>9055</v>
      </c>
      <c r="S1740" s="14" t="s">
        <v>9056</v>
      </c>
      <c r="T1740" s="14" t="s">
        <v>9057</v>
      </c>
      <c r="U1740" s="18"/>
      <c r="V1740" s="18"/>
    </row>
    <row r="1741" spans="1:22" x14ac:dyDescent="0.25">
      <c r="A1741" s="14" t="s">
        <v>13</v>
      </c>
      <c r="B1741" s="14" t="s">
        <v>9058</v>
      </c>
      <c r="C1741" s="26"/>
      <c r="D1741" s="14" t="s">
        <v>9059</v>
      </c>
      <c r="E1741" s="14" t="s">
        <v>354</v>
      </c>
      <c r="F1741" s="14">
        <v>2020</v>
      </c>
      <c r="G1741" s="14">
        <v>168</v>
      </c>
      <c r="H1741" s="28"/>
      <c r="I1741" s="14">
        <v>110671</v>
      </c>
      <c r="J1741" s="18"/>
      <c r="K1741" s="26"/>
      <c r="L1741" s="27"/>
      <c r="M1741" s="18"/>
      <c r="N1741" s="14">
        <v>2020</v>
      </c>
      <c r="O1741" s="26"/>
      <c r="P1741" s="14" t="s">
        <v>65</v>
      </c>
      <c r="Q1741" s="17" t="s">
        <v>9060</v>
      </c>
      <c r="R1741" s="14" t="s">
        <v>9061</v>
      </c>
      <c r="S1741" s="14" t="s">
        <v>9062</v>
      </c>
      <c r="T1741" s="14" t="s">
        <v>9063</v>
      </c>
      <c r="U1741" s="18"/>
      <c r="V1741" s="18"/>
    </row>
    <row r="1742" spans="1:22" x14ac:dyDescent="0.25">
      <c r="A1742" s="14" t="s">
        <v>13</v>
      </c>
      <c r="B1742" s="14" t="s">
        <v>9064</v>
      </c>
      <c r="C1742" s="26"/>
      <c r="D1742" s="14" t="s">
        <v>9065</v>
      </c>
      <c r="E1742" s="14" t="s">
        <v>354</v>
      </c>
      <c r="F1742" s="14">
        <v>2022</v>
      </c>
      <c r="G1742" s="14">
        <v>184</v>
      </c>
      <c r="H1742" s="28"/>
      <c r="I1742" s="14">
        <v>111124</v>
      </c>
      <c r="J1742" s="18"/>
      <c r="K1742" s="26"/>
      <c r="L1742" s="27"/>
      <c r="M1742" s="18"/>
      <c r="N1742" s="14">
        <v>2022</v>
      </c>
      <c r="O1742" s="26"/>
      <c r="P1742" s="14" t="s">
        <v>65</v>
      </c>
      <c r="Q1742" s="17" t="s">
        <v>9066</v>
      </c>
      <c r="R1742" s="14" t="s">
        <v>9067</v>
      </c>
      <c r="S1742" s="14" t="s">
        <v>9068</v>
      </c>
      <c r="T1742" s="14" t="s">
        <v>9069</v>
      </c>
      <c r="U1742" s="18"/>
      <c r="V1742" s="18"/>
    </row>
    <row r="1743" spans="1:22" x14ac:dyDescent="0.25">
      <c r="A1743" s="14" t="s">
        <v>13</v>
      </c>
      <c r="B1743" s="14" t="s">
        <v>9070</v>
      </c>
      <c r="C1743" s="26"/>
      <c r="D1743" s="14" t="s">
        <v>9071</v>
      </c>
      <c r="E1743" s="14" t="s">
        <v>354</v>
      </c>
      <c r="F1743" s="14">
        <v>2018</v>
      </c>
      <c r="G1743" s="14">
        <v>143</v>
      </c>
      <c r="H1743" s="28"/>
      <c r="I1743" s="14" t="s">
        <v>9072</v>
      </c>
      <c r="J1743" s="18"/>
      <c r="K1743" s="26"/>
      <c r="L1743" s="27"/>
      <c r="M1743" s="18"/>
      <c r="N1743" s="14">
        <v>2018</v>
      </c>
      <c r="O1743" s="26"/>
      <c r="P1743" s="14" t="s">
        <v>65</v>
      </c>
      <c r="Q1743" s="17" t="s">
        <v>9073</v>
      </c>
      <c r="R1743" s="14" t="s">
        <v>9074</v>
      </c>
      <c r="S1743" s="14" t="s">
        <v>9075</v>
      </c>
      <c r="T1743" s="14" t="s">
        <v>9076</v>
      </c>
      <c r="U1743" s="18"/>
      <c r="V1743" s="18"/>
    </row>
    <row r="1744" spans="1:22" x14ac:dyDescent="0.25">
      <c r="A1744" s="14" t="s">
        <v>7972</v>
      </c>
      <c r="B1744" s="18"/>
      <c r="C1744" s="14" t="s">
        <v>8533</v>
      </c>
      <c r="D1744" s="14" t="s">
        <v>8534</v>
      </c>
      <c r="E1744" s="26"/>
      <c r="F1744" s="14">
        <v>2013</v>
      </c>
      <c r="G1744" s="14">
        <v>89</v>
      </c>
      <c r="H1744" s="28"/>
      <c r="I1744" s="14" t="s">
        <v>7731</v>
      </c>
      <c r="J1744" s="18"/>
      <c r="K1744" s="14" t="s">
        <v>8536</v>
      </c>
      <c r="L1744" s="27"/>
      <c r="M1744" s="18"/>
      <c r="N1744" s="14">
        <v>2013</v>
      </c>
      <c r="O1744" s="26"/>
      <c r="P1744" s="14" t="s">
        <v>8538</v>
      </c>
      <c r="Q1744" s="17" t="s">
        <v>9077</v>
      </c>
      <c r="R1744" s="14" t="s">
        <v>9078</v>
      </c>
      <c r="S1744" s="18"/>
      <c r="T1744" s="18"/>
      <c r="U1744" s="18"/>
      <c r="V1744" s="14" t="s">
        <v>8537</v>
      </c>
    </row>
    <row r="1745" spans="1:22" x14ac:dyDescent="0.25">
      <c r="A1745" s="14" t="s">
        <v>13</v>
      </c>
      <c r="B1745" s="14" t="s">
        <v>9079</v>
      </c>
      <c r="C1745" s="26"/>
      <c r="D1745" s="14" t="s">
        <v>9080</v>
      </c>
      <c r="E1745" s="14" t="s">
        <v>8421</v>
      </c>
      <c r="F1745" s="14">
        <v>2021</v>
      </c>
      <c r="G1745" s="14">
        <v>97</v>
      </c>
      <c r="H1745" s="28"/>
      <c r="I1745" s="14" t="s">
        <v>9081</v>
      </c>
      <c r="J1745" s="18"/>
      <c r="K1745" s="26"/>
      <c r="L1745" s="27"/>
      <c r="M1745" s="18"/>
      <c r="N1745" s="14">
        <v>2021</v>
      </c>
      <c r="O1745" s="26"/>
      <c r="P1745" s="14" t="s">
        <v>456</v>
      </c>
      <c r="Q1745" s="17" t="s">
        <v>9082</v>
      </c>
      <c r="R1745" s="14" t="s">
        <v>9083</v>
      </c>
      <c r="S1745" s="14" t="s">
        <v>9084</v>
      </c>
      <c r="T1745" s="14" t="s">
        <v>9085</v>
      </c>
      <c r="U1745" s="14" t="s">
        <v>9086</v>
      </c>
      <c r="V1745" s="18"/>
    </row>
    <row r="1746" spans="1:22" x14ac:dyDescent="0.25">
      <c r="A1746" s="14" t="s">
        <v>7972</v>
      </c>
      <c r="B1746" s="14" t="s">
        <v>9007</v>
      </c>
      <c r="C1746" s="14" t="s">
        <v>9007</v>
      </c>
      <c r="D1746" s="14" t="s">
        <v>9087</v>
      </c>
      <c r="E1746" s="26"/>
      <c r="F1746" s="14">
        <v>2015</v>
      </c>
      <c r="G1746" s="18"/>
      <c r="H1746" s="28"/>
      <c r="I1746" s="14" t="s">
        <v>9088</v>
      </c>
      <c r="J1746" s="18"/>
      <c r="K1746" s="14" t="s">
        <v>8739</v>
      </c>
      <c r="L1746" s="14" t="s">
        <v>8740</v>
      </c>
      <c r="M1746" s="14" t="s">
        <v>9010</v>
      </c>
      <c r="N1746" s="14">
        <v>2015</v>
      </c>
      <c r="O1746" s="14">
        <v>9780128002186</v>
      </c>
      <c r="P1746" s="26"/>
      <c r="Q1746" s="17" t="s">
        <v>9089</v>
      </c>
      <c r="R1746" s="14" t="s">
        <v>9090</v>
      </c>
      <c r="S1746" s="14" t="s">
        <v>9091</v>
      </c>
      <c r="T1746" s="14" t="s">
        <v>9092</v>
      </c>
      <c r="U1746" s="18"/>
      <c r="V1746" s="18"/>
    </row>
    <row r="1747" spans="1:22" x14ac:dyDescent="0.25">
      <c r="A1747" s="14" t="s">
        <v>13</v>
      </c>
      <c r="B1747" s="14" t="s">
        <v>9093</v>
      </c>
      <c r="C1747" s="26"/>
      <c r="D1747" s="14" t="s">
        <v>9094</v>
      </c>
      <c r="E1747" s="14" t="s">
        <v>354</v>
      </c>
      <c r="F1747" s="14">
        <v>2019</v>
      </c>
      <c r="G1747" s="14">
        <v>156</v>
      </c>
      <c r="H1747" s="28"/>
      <c r="I1747" s="14" t="s">
        <v>9095</v>
      </c>
      <c r="J1747" s="18"/>
      <c r="K1747" s="26"/>
      <c r="L1747" s="27"/>
      <c r="M1747" s="18"/>
      <c r="N1747" s="14">
        <v>2019</v>
      </c>
      <c r="O1747" s="26"/>
      <c r="P1747" s="14" t="s">
        <v>65</v>
      </c>
      <c r="Q1747" s="17" t="s">
        <v>9096</v>
      </c>
      <c r="R1747" s="14" t="s">
        <v>9097</v>
      </c>
      <c r="S1747" s="18"/>
      <c r="T1747" s="18"/>
      <c r="U1747" s="18"/>
      <c r="V1747" s="18"/>
    </row>
    <row r="1748" spans="1:22" x14ac:dyDescent="0.25">
      <c r="A1748" s="14" t="s">
        <v>13</v>
      </c>
      <c r="B1748" s="14" t="s">
        <v>9098</v>
      </c>
      <c r="C1748" s="26"/>
      <c r="D1748" s="14" t="s">
        <v>9099</v>
      </c>
      <c r="E1748" s="14" t="s">
        <v>1827</v>
      </c>
      <c r="F1748" s="14">
        <v>2021</v>
      </c>
      <c r="G1748" s="14">
        <v>201</v>
      </c>
      <c r="H1748" s="28"/>
      <c r="I1748" s="14">
        <v>102522</v>
      </c>
      <c r="J1748" s="18"/>
      <c r="K1748" s="26"/>
      <c r="L1748" s="27"/>
      <c r="M1748" s="18"/>
      <c r="N1748" s="14">
        <v>2021</v>
      </c>
      <c r="O1748" s="26"/>
      <c r="P1748" s="14" t="s">
        <v>1828</v>
      </c>
      <c r="Q1748" s="17" t="s">
        <v>9100</v>
      </c>
      <c r="R1748" s="14" t="s">
        <v>9101</v>
      </c>
      <c r="S1748" s="14" t="s">
        <v>9102</v>
      </c>
      <c r="T1748" s="14" t="s">
        <v>9103</v>
      </c>
      <c r="U1748" s="18"/>
      <c r="V1748" s="18"/>
    </row>
    <row r="1749" spans="1:22" x14ac:dyDescent="0.25">
      <c r="A1749" s="14" t="s">
        <v>7972</v>
      </c>
      <c r="B1749" s="18"/>
      <c r="C1749" s="14" t="s">
        <v>9025</v>
      </c>
      <c r="D1749" s="14" t="s">
        <v>8534</v>
      </c>
      <c r="E1749" s="26"/>
      <c r="F1749" s="14">
        <v>2016</v>
      </c>
      <c r="G1749" s="14">
        <v>103</v>
      </c>
      <c r="H1749" s="28"/>
      <c r="I1749" s="14" t="s">
        <v>9104</v>
      </c>
      <c r="J1749" s="18"/>
      <c r="K1749" s="14" t="s">
        <v>8536</v>
      </c>
      <c r="L1749" s="27"/>
      <c r="M1749" s="18"/>
      <c r="N1749" s="14">
        <v>2016</v>
      </c>
      <c r="O1749" s="26"/>
      <c r="P1749" s="14" t="s">
        <v>8538</v>
      </c>
      <c r="Q1749" s="17" t="s">
        <v>9105</v>
      </c>
      <c r="R1749" s="14" t="s">
        <v>9106</v>
      </c>
      <c r="S1749" s="18"/>
      <c r="T1749" s="18"/>
      <c r="U1749" s="18"/>
      <c r="V1749" s="14" t="s">
        <v>8537</v>
      </c>
    </row>
    <row r="1750" spans="1:22" x14ac:dyDescent="0.25">
      <c r="A1750" s="14" t="s">
        <v>7972</v>
      </c>
      <c r="B1750" s="18"/>
      <c r="C1750" s="14" t="s">
        <v>9107</v>
      </c>
      <c r="D1750" s="14" t="s">
        <v>8534</v>
      </c>
      <c r="E1750" s="26"/>
      <c r="F1750" s="14">
        <v>2016</v>
      </c>
      <c r="G1750" s="14">
        <v>100</v>
      </c>
      <c r="H1750" s="28"/>
      <c r="I1750" s="14" t="s">
        <v>9108</v>
      </c>
      <c r="J1750" s="18"/>
      <c r="K1750" s="14" t="s">
        <v>8536</v>
      </c>
      <c r="L1750" s="27"/>
      <c r="M1750" s="14" t="s">
        <v>9109</v>
      </c>
      <c r="N1750" s="14">
        <v>2016</v>
      </c>
      <c r="O1750" s="26"/>
      <c r="P1750" s="14" t="s">
        <v>8538</v>
      </c>
      <c r="Q1750" s="17" t="s">
        <v>9110</v>
      </c>
      <c r="R1750" s="14" t="s">
        <v>9111</v>
      </c>
      <c r="S1750" s="18"/>
      <c r="T1750" s="18"/>
      <c r="U1750" s="18"/>
      <c r="V1750" s="14" t="s">
        <v>8537</v>
      </c>
    </row>
    <row r="1751" spans="1:22" x14ac:dyDescent="0.25">
      <c r="A1751" s="14" t="s">
        <v>7972</v>
      </c>
      <c r="B1751" s="18"/>
      <c r="C1751" s="14" t="s">
        <v>9112</v>
      </c>
      <c r="D1751" s="14" t="s">
        <v>9113</v>
      </c>
      <c r="E1751" s="26"/>
      <c r="F1751" s="14">
        <v>2013</v>
      </c>
      <c r="G1751" s="14">
        <v>88</v>
      </c>
      <c r="H1751" s="28"/>
      <c r="I1751" s="14" t="s">
        <v>9114</v>
      </c>
      <c r="J1751" s="18"/>
      <c r="K1751" s="14" t="s">
        <v>8536</v>
      </c>
      <c r="L1751" s="27"/>
      <c r="M1751" s="14" t="s">
        <v>9115</v>
      </c>
      <c r="N1751" s="14">
        <v>2013</v>
      </c>
      <c r="O1751" s="26"/>
      <c r="P1751" s="14" t="s">
        <v>8538</v>
      </c>
      <c r="Q1751" s="17" t="s">
        <v>9116</v>
      </c>
      <c r="R1751" s="14" t="s">
        <v>9117</v>
      </c>
      <c r="S1751" s="18"/>
      <c r="T1751" s="18"/>
      <c r="U1751" s="18"/>
      <c r="V1751" s="14" t="s">
        <v>8537</v>
      </c>
    </row>
    <row r="1752" spans="1:22" x14ac:dyDescent="0.25">
      <c r="A1752" s="14" t="s">
        <v>13</v>
      </c>
      <c r="B1752" s="14" t="s">
        <v>9118</v>
      </c>
      <c r="C1752" s="26"/>
      <c r="D1752" s="14" t="s">
        <v>9119</v>
      </c>
      <c r="E1752" s="14" t="s">
        <v>307</v>
      </c>
      <c r="F1752" s="14">
        <v>2020</v>
      </c>
      <c r="G1752" s="14">
        <v>118</v>
      </c>
      <c r="H1752" s="28"/>
      <c r="I1752" s="14">
        <v>106218</v>
      </c>
      <c r="J1752" s="18"/>
      <c r="K1752" s="26"/>
      <c r="L1752" s="27"/>
      <c r="M1752" s="18"/>
      <c r="N1752" s="14">
        <v>2020</v>
      </c>
      <c r="O1752" s="26"/>
      <c r="P1752" s="14" t="s">
        <v>308</v>
      </c>
      <c r="Q1752" s="17" t="s">
        <v>9120</v>
      </c>
      <c r="R1752" s="14" t="s">
        <v>9121</v>
      </c>
      <c r="S1752" s="14" t="s">
        <v>9122</v>
      </c>
      <c r="T1752" s="14" t="s">
        <v>9123</v>
      </c>
      <c r="U1752" s="18"/>
      <c r="V1752" s="18"/>
    </row>
    <row r="1753" spans="1:22" x14ac:dyDescent="0.25">
      <c r="A1753" s="14" t="s">
        <v>7972</v>
      </c>
      <c r="B1753" s="18"/>
      <c r="C1753" s="14" t="s">
        <v>9112</v>
      </c>
      <c r="D1753" s="14" t="s">
        <v>8974</v>
      </c>
      <c r="E1753" s="26"/>
      <c r="F1753" s="14">
        <v>2014</v>
      </c>
      <c r="G1753" s="14">
        <v>94</v>
      </c>
      <c r="H1753" s="28"/>
      <c r="I1753" s="14" t="s">
        <v>9124</v>
      </c>
      <c r="J1753" s="18"/>
      <c r="K1753" s="14" t="s">
        <v>8536</v>
      </c>
      <c r="L1753" s="27"/>
      <c r="M1753" s="18"/>
      <c r="N1753" s="14">
        <v>2014</v>
      </c>
      <c r="O1753" s="26"/>
      <c r="P1753" s="14" t="s">
        <v>8538</v>
      </c>
      <c r="Q1753" s="17" t="s">
        <v>9125</v>
      </c>
      <c r="R1753" s="14" t="s">
        <v>9126</v>
      </c>
      <c r="S1753" s="18"/>
      <c r="T1753" s="18"/>
      <c r="U1753" s="18"/>
      <c r="V1753" s="14" t="s">
        <v>8537</v>
      </c>
    </row>
    <row r="1754" spans="1:22" x14ac:dyDescent="0.25">
      <c r="A1754" s="14" t="s">
        <v>7972</v>
      </c>
      <c r="B1754" s="18"/>
      <c r="C1754" s="14" t="s">
        <v>9127</v>
      </c>
      <c r="D1754" s="14" t="s">
        <v>8534</v>
      </c>
      <c r="E1754" s="26"/>
      <c r="F1754" s="14">
        <v>2016</v>
      </c>
      <c r="G1754" s="14">
        <v>102</v>
      </c>
      <c r="H1754" s="28"/>
      <c r="I1754" s="14" t="s">
        <v>9128</v>
      </c>
      <c r="J1754" s="18"/>
      <c r="K1754" s="14" t="s">
        <v>8536</v>
      </c>
      <c r="L1754" s="27"/>
      <c r="M1754" s="18"/>
      <c r="N1754" s="14">
        <v>2016</v>
      </c>
      <c r="O1754" s="26"/>
      <c r="P1754" s="14" t="s">
        <v>8538</v>
      </c>
      <c r="Q1754" s="17" t="s">
        <v>9129</v>
      </c>
      <c r="R1754" s="14" t="s">
        <v>9130</v>
      </c>
      <c r="S1754" s="18"/>
      <c r="T1754" s="18"/>
      <c r="U1754" s="18"/>
      <c r="V1754" s="14" t="s">
        <v>8537</v>
      </c>
    </row>
    <row r="1755" spans="1:22" x14ac:dyDescent="0.25">
      <c r="A1755" s="14" t="s">
        <v>7972</v>
      </c>
      <c r="B1755" s="18"/>
      <c r="C1755" s="14" t="s">
        <v>8533</v>
      </c>
      <c r="D1755" s="14" t="s">
        <v>8534</v>
      </c>
      <c r="E1755" s="26"/>
      <c r="F1755" s="14">
        <v>2016</v>
      </c>
      <c r="G1755" s="14">
        <v>101</v>
      </c>
      <c r="H1755" s="28"/>
      <c r="I1755" s="14" t="s">
        <v>9131</v>
      </c>
      <c r="J1755" s="18"/>
      <c r="K1755" s="14" t="s">
        <v>8536</v>
      </c>
      <c r="L1755" s="27"/>
      <c r="M1755" s="18"/>
      <c r="N1755" s="14">
        <v>2016</v>
      </c>
      <c r="O1755" s="26"/>
      <c r="P1755" s="14" t="s">
        <v>8538</v>
      </c>
      <c r="Q1755" s="17" t="s">
        <v>9132</v>
      </c>
      <c r="R1755" s="14" t="s">
        <v>9133</v>
      </c>
      <c r="S1755" s="18"/>
      <c r="T1755" s="18"/>
      <c r="U1755" s="18"/>
      <c r="V1755" s="14" t="s">
        <v>8537</v>
      </c>
    </row>
    <row r="1756" spans="1:22" x14ac:dyDescent="0.25">
      <c r="A1756" s="14" t="s">
        <v>13</v>
      </c>
      <c r="B1756" s="14" t="s">
        <v>9134</v>
      </c>
      <c r="C1756" s="26"/>
      <c r="D1756" s="14" t="s">
        <v>9135</v>
      </c>
      <c r="E1756" s="14" t="s">
        <v>307</v>
      </c>
      <c r="F1756" s="14">
        <v>2019</v>
      </c>
      <c r="G1756" s="14">
        <v>108</v>
      </c>
      <c r="H1756" s="28"/>
      <c r="I1756" s="14" t="s">
        <v>9136</v>
      </c>
      <c r="J1756" s="18"/>
      <c r="K1756" s="26"/>
      <c r="L1756" s="27"/>
      <c r="M1756" s="18"/>
      <c r="N1756" s="14">
        <v>2019</v>
      </c>
      <c r="O1756" s="26"/>
      <c r="P1756" s="14" t="s">
        <v>308</v>
      </c>
      <c r="Q1756" s="17" t="s">
        <v>9137</v>
      </c>
      <c r="R1756" s="14" t="s">
        <v>9138</v>
      </c>
      <c r="S1756" s="14" t="s">
        <v>9139</v>
      </c>
      <c r="T1756" s="14" t="s">
        <v>9140</v>
      </c>
      <c r="U1756" s="18"/>
      <c r="V1756" s="18"/>
    </row>
    <row r="1757" spans="1:22" x14ac:dyDescent="0.25">
      <c r="A1757" s="14" t="s">
        <v>13</v>
      </c>
      <c r="B1757" s="14" t="s">
        <v>9141</v>
      </c>
      <c r="C1757" s="26"/>
      <c r="D1757" s="14" t="s">
        <v>9142</v>
      </c>
      <c r="E1757" s="14" t="s">
        <v>2450</v>
      </c>
      <c r="F1757" s="14">
        <v>2022</v>
      </c>
      <c r="G1757" s="14">
        <v>117</v>
      </c>
      <c r="H1757" s="28"/>
      <c r="I1757" s="14">
        <v>108441</v>
      </c>
      <c r="J1757" s="18"/>
      <c r="K1757" s="26"/>
      <c r="L1757" s="27"/>
      <c r="M1757" s="18"/>
      <c r="N1757" s="14">
        <v>2022</v>
      </c>
      <c r="O1757" s="26"/>
      <c r="P1757" s="14" t="s">
        <v>2451</v>
      </c>
      <c r="Q1757" s="17" t="s">
        <v>9143</v>
      </c>
      <c r="R1757" s="14" t="s">
        <v>9144</v>
      </c>
      <c r="S1757" s="14" t="s">
        <v>9145</v>
      </c>
      <c r="T1757" s="14" t="s">
        <v>9146</v>
      </c>
      <c r="U1757" s="18"/>
      <c r="V1757" s="18"/>
    </row>
    <row r="1758" spans="1:22" x14ac:dyDescent="0.25">
      <c r="A1758" s="14" t="s">
        <v>13</v>
      </c>
      <c r="B1758" s="14" t="s">
        <v>9147</v>
      </c>
      <c r="C1758" s="26"/>
      <c r="D1758" s="14" t="s">
        <v>9148</v>
      </c>
      <c r="E1758" s="14" t="s">
        <v>307</v>
      </c>
      <c r="F1758" s="14">
        <v>2018</v>
      </c>
      <c r="G1758" s="14">
        <v>103</v>
      </c>
      <c r="H1758" s="28"/>
      <c r="I1758" s="14" t="s">
        <v>9149</v>
      </c>
      <c r="J1758" s="18"/>
      <c r="K1758" s="26"/>
      <c r="L1758" s="27"/>
      <c r="M1758" s="18"/>
      <c r="N1758" s="14">
        <v>2018</v>
      </c>
      <c r="O1758" s="26"/>
      <c r="P1758" s="14" t="s">
        <v>308</v>
      </c>
      <c r="Q1758" s="17" t="s">
        <v>9150</v>
      </c>
      <c r="R1758" s="14" t="s">
        <v>9151</v>
      </c>
      <c r="S1758" s="14" t="s">
        <v>9152</v>
      </c>
      <c r="T1758" s="14" t="s">
        <v>9153</v>
      </c>
      <c r="U1758" s="18"/>
      <c r="V1758" s="18"/>
    </row>
    <row r="1759" spans="1:22" x14ac:dyDescent="0.25">
      <c r="A1759" s="14" t="s">
        <v>13</v>
      </c>
      <c r="B1759" s="14" t="s">
        <v>9154</v>
      </c>
      <c r="C1759" s="26"/>
      <c r="D1759" s="14" t="s">
        <v>9155</v>
      </c>
      <c r="E1759" s="14" t="s">
        <v>9156</v>
      </c>
      <c r="F1759" s="14">
        <v>2022</v>
      </c>
      <c r="G1759" s="14">
        <v>55</v>
      </c>
      <c r="H1759" s="14">
        <v>19</v>
      </c>
      <c r="I1759" s="14" t="s">
        <v>9157</v>
      </c>
      <c r="J1759" s="18"/>
      <c r="K1759" s="26"/>
      <c r="L1759" s="27"/>
      <c r="M1759" s="18"/>
      <c r="N1759" s="14">
        <v>2022</v>
      </c>
      <c r="O1759" s="26"/>
      <c r="P1759" s="14" t="s">
        <v>9158</v>
      </c>
      <c r="Q1759" s="17" t="s">
        <v>9159</v>
      </c>
      <c r="R1759" s="14" t="s">
        <v>9160</v>
      </c>
      <c r="S1759" s="14" t="s">
        <v>9161</v>
      </c>
      <c r="T1759" s="14" t="s">
        <v>9162</v>
      </c>
      <c r="U1759" s="14" t="s">
        <v>9163</v>
      </c>
      <c r="V1759" s="18"/>
    </row>
    <row r="1760" spans="1:22" x14ac:dyDescent="0.25">
      <c r="A1760" s="14" t="s">
        <v>7972</v>
      </c>
      <c r="B1760" s="14" t="s">
        <v>9164</v>
      </c>
      <c r="C1760" s="14" t="s">
        <v>9165</v>
      </c>
      <c r="D1760" s="14" t="s">
        <v>9166</v>
      </c>
      <c r="E1760" s="26"/>
      <c r="F1760" s="14">
        <v>2017</v>
      </c>
      <c r="G1760" s="18"/>
      <c r="H1760" s="28"/>
      <c r="I1760" s="14" t="s">
        <v>9167</v>
      </c>
      <c r="J1760" s="18"/>
      <c r="K1760" s="14" t="s">
        <v>8739</v>
      </c>
      <c r="L1760" s="14" t="s">
        <v>8740</v>
      </c>
      <c r="M1760" s="14" t="s">
        <v>9168</v>
      </c>
      <c r="N1760" s="14">
        <v>2017</v>
      </c>
      <c r="O1760" s="14">
        <v>9780128028551</v>
      </c>
      <c r="P1760" s="26"/>
      <c r="Q1760" s="17" t="s">
        <v>9169</v>
      </c>
      <c r="R1760" s="14" t="s">
        <v>9170</v>
      </c>
      <c r="S1760" s="14" t="s">
        <v>9171</v>
      </c>
      <c r="T1760" s="14" t="s">
        <v>9172</v>
      </c>
      <c r="U1760" s="18"/>
      <c r="V1760" s="18"/>
    </row>
    <row r="1761" spans="1:22" x14ac:dyDescent="0.25">
      <c r="A1761" s="14" t="s">
        <v>7972</v>
      </c>
      <c r="B1761" s="18"/>
      <c r="C1761" s="14" t="s">
        <v>9112</v>
      </c>
      <c r="D1761" s="14" t="s">
        <v>8534</v>
      </c>
      <c r="E1761" s="26"/>
      <c r="F1761" s="14">
        <v>2013</v>
      </c>
      <c r="G1761" s="14">
        <v>90</v>
      </c>
      <c r="H1761" s="28"/>
      <c r="I1761" s="14" t="s">
        <v>9173</v>
      </c>
      <c r="J1761" s="18"/>
      <c r="K1761" s="14" t="s">
        <v>8536</v>
      </c>
      <c r="L1761" s="27"/>
      <c r="M1761" s="14" t="s">
        <v>9174</v>
      </c>
      <c r="N1761" s="14">
        <v>2013</v>
      </c>
      <c r="O1761" s="26"/>
      <c r="P1761" s="14" t="s">
        <v>8538</v>
      </c>
      <c r="Q1761" s="17" t="s">
        <v>9175</v>
      </c>
      <c r="R1761" s="14" t="s">
        <v>9176</v>
      </c>
      <c r="S1761" s="18"/>
      <c r="T1761" s="18"/>
      <c r="U1761" s="18"/>
      <c r="V1761" s="14" t="s">
        <v>8537</v>
      </c>
    </row>
    <row r="1762" spans="1:22" x14ac:dyDescent="0.25">
      <c r="A1762" s="14" t="s">
        <v>13</v>
      </c>
      <c r="B1762" s="14" t="s">
        <v>9177</v>
      </c>
      <c r="C1762" s="26"/>
      <c r="D1762" s="14" t="s">
        <v>9178</v>
      </c>
      <c r="E1762" s="14" t="s">
        <v>307</v>
      </c>
      <c r="F1762" s="14">
        <v>2020</v>
      </c>
      <c r="G1762" s="14">
        <v>117</v>
      </c>
      <c r="H1762" s="28"/>
      <c r="I1762" s="14">
        <v>106198</v>
      </c>
      <c r="J1762" s="18"/>
      <c r="K1762" s="26"/>
      <c r="L1762" s="27"/>
      <c r="M1762" s="18"/>
      <c r="N1762" s="14">
        <v>2020</v>
      </c>
      <c r="O1762" s="26"/>
      <c r="P1762" s="14" t="s">
        <v>308</v>
      </c>
      <c r="Q1762" s="17" t="s">
        <v>9179</v>
      </c>
      <c r="R1762" s="14" t="s">
        <v>9180</v>
      </c>
      <c r="S1762" s="14" t="s">
        <v>9181</v>
      </c>
      <c r="T1762" s="14" t="s">
        <v>9182</v>
      </c>
      <c r="U1762" s="18"/>
      <c r="V1762" s="18"/>
    </row>
    <row r="1763" spans="1:22" x14ac:dyDescent="0.25">
      <c r="A1763" s="14" t="s">
        <v>7972</v>
      </c>
      <c r="B1763" s="14" t="s">
        <v>5873</v>
      </c>
      <c r="C1763" s="14" t="s">
        <v>9183</v>
      </c>
      <c r="D1763" s="14" t="s">
        <v>9184</v>
      </c>
      <c r="E1763" s="26"/>
      <c r="F1763" s="14">
        <v>2015</v>
      </c>
      <c r="G1763" s="18"/>
      <c r="H1763" s="28"/>
      <c r="I1763" s="14" t="s">
        <v>9185</v>
      </c>
      <c r="J1763" s="18"/>
      <c r="K1763" s="14" t="s">
        <v>8739</v>
      </c>
      <c r="L1763" s="14" t="s">
        <v>8740</v>
      </c>
      <c r="M1763" s="14" t="s">
        <v>9186</v>
      </c>
      <c r="N1763" s="14">
        <v>2015</v>
      </c>
      <c r="O1763" s="14">
        <v>9780124115194</v>
      </c>
      <c r="P1763" s="26"/>
      <c r="Q1763" s="17" t="s">
        <v>9187</v>
      </c>
      <c r="R1763" s="14" t="s">
        <v>5876</v>
      </c>
      <c r="S1763" s="14" t="s">
        <v>9188</v>
      </c>
      <c r="T1763" s="14" t="s">
        <v>9189</v>
      </c>
      <c r="U1763" s="18"/>
      <c r="V1763" s="18"/>
    </row>
    <row r="1764" spans="1:22" x14ac:dyDescent="0.25">
      <c r="A1764" s="14" t="s">
        <v>13</v>
      </c>
      <c r="B1764" s="14" t="s">
        <v>9190</v>
      </c>
      <c r="C1764" s="26"/>
      <c r="D1764" s="14" t="s">
        <v>9191</v>
      </c>
      <c r="E1764" s="14" t="s">
        <v>9031</v>
      </c>
      <c r="F1764" s="14">
        <v>2019</v>
      </c>
      <c r="G1764" s="14">
        <v>148</v>
      </c>
      <c r="H1764" s="28"/>
      <c r="I1764" s="14">
        <v>119735</v>
      </c>
      <c r="J1764" s="18"/>
      <c r="K1764" s="26"/>
      <c r="L1764" s="27"/>
      <c r="M1764" s="18"/>
      <c r="N1764" s="14">
        <v>2019</v>
      </c>
      <c r="O1764" s="26"/>
      <c r="P1764" s="14" t="s">
        <v>9032</v>
      </c>
      <c r="Q1764" s="17" t="s">
        <v>9192</v>
      </c>
      <c r="R1764" s="14" t="s">
        <v>9193</v>
      </c>
      <c r="S1764" s="14" t="s">
        <v>9194</v>
      </c>
      <c r="T1764" s="14" t="s">
        <v>9195</v>
      </c>
      <c r="U1764" s="18"/>
      <c r="V1764" s="18"/>
    </row>
    <row r="1765" spans="1:22" x14ac:dyDescent="0.25">
      <c r="A1765" s="14" t="s">
        <v>13</v>
      </c>
      <c r="B1765" s="14" t="s">
        <v>9196</v>
      </c>
      <c r="C1765" s="26"/>
      <c r="D1765" s="14" t="s">
        <v>9197</v>
      </c>
      <c r="E1765" s="14" t="s">
        <v>354</v>
      </c>
      <c r="F1765" s="14">
        <v>2022</v>
      </c>
      <c r="G1765" s="14">
        <v>183</v>
      </c>
      <c r="H1765" s="28"/>
      <c r="I1765" s="14">
        <v>111097</v>
      </c>
      <c r="J1765" s="18"/>
      <c r="K1765" s="26"/>
      <c r="L1765" s="27"/>
      <c r="M1765" s="18"/>
      <c r="N1765" s="14">
        <v>2022</v>
      </c>
      <c r="O1765" s="26"/>
      <c r="P1765" s="14" t="s">
        <v>65</v>
      </c>
      <c r="Q1765" s="17" t="s">
        <v>9198</v>
      </c>
      <c r="R1765" s="14" t="s">
        <v>9199</v>
      </c>
      <c r="S1765" s="14" t="s">
        <v>9200</v>
      </c>
      <c r="T1765" s="14" t="s">
        <v>9201</v>
      </c>
      <c r="U1765" s="18"/>
      <c r="V1765" s="18"/>
    </row>
    <row r="1766" spans="1:22" x14ac:dyDescent="0.25">
      <c r="A1766" s="14" t="s">
        <v>13</v>
      </c>
      <c r="B1766" s="14" t="s">
        <v>5679</v>
      </c>
      <c r="C1766" s="26"/>
      <c r="D1766" s="14" t="s">
        <v>5680</v>
      </c>
      <c r="E1766" s="14" t="s">
        <v>354</v>
      </c>
      <c r="F1766" s="14">
        <v>2018</v>
      </c>
      <c r="G1766" s="14">
        <v>144</v>
      </c>
      <c r="H1766" s="28"/>
      <c r="I1766" s="23">
        <v>44947</v>
      </c>
      <c r="J1766" s="18"/>
      <c r="K1766" s="26"/>
      <c r="L1766" s="27"/>
      <c r="M1766" s="18"/>
      <c r="N1766" s="14">
        <v>2018</v>
      </c>
      <c r="O1766" s="26"/>
      <c r="P1766" s="14" t="s">
        <v>65</v>
      </c>
      <c r="Q1766" s="17" t="s">
        <v>9202</v>
      </c>
      <c r="R1766" s="14" t="s">
        <v>5683</v>
      </c>
      <c r="S1766" s="14" t="s">
        <v>9203</v>
      </c>
      <c r="T1766" s="14" t="s">
        <v>9204</v>
      </c>
      <c r="U1766" s="18"/>
      <c r="V1766" s="18"/>
    </row>
    <row r="1767" spans="1:22" x14ac:dyDescent="0.25">
      <c r="A1767" s="14" t="s">
        <v>13</v>
      </c>
      <c r="B1767" s="14" t="s">
        <v>5218</v>
      </c>
      <c r="C1767" s="26"/>
      <c r="D1767" s="14" t="s">
        <v>5219</v>
      </c>
      <c r="E1767" s="14" t="s">
        <v>354</v>
      </c>
      <c r="F1767" s="14">
        <v>2017</v>
      </c>
      <c r="G1767" s="14">
        <v>133</v>
      </c>
      <c r="H1767" s="28"/>
      <c r="I1767" s="14" t="s">
        <v>9205</v>
      </c>
      <c r="J1767" s="18"/>
      <c r="K1767" s="26"/>
      <c r="L1767" s="27"/>
      <c r="M1767" s="18"/>
      <c r="N1767" s="14">
        <v>2017</v>
      </c>
      <c r="O1767" s="26"/>
      <c r="P1767" s="14" t="s">
        <v>65</v>
      </c>
      <c r="Q1767" s="17" t="s">
        <v>9206</v>
      </c>
      <c r="R1767" s="14" t="s">
        <v>5222</v>
      </c>
      <c r="S1767" s="14" t="s">
        <v>9207</v>
      </c>
      <c r="T1767" s="14" t="s">
        <v>9208</v>
      </c>
      <c r="U1767" s="18"/>
      <c r="V1767" s="18"/>
    </row>
    <row r="1768" spans="1:22" x14ac:dyDescent="0.25">
      <c r="A1768" s="14" t="s">
        <v>7972</v>
      </c>
      <c r="B1768" s="18"/>
      <c r="C1768" s="14" t="s">
        <v>9025</v>
      </c>
      <c r="D1768" s="14" t="s">
        <v>8534</v>
      </c>
      <c r="E1768" s="26"/>
      <c r="F1768" s="14">
        <v>2017</v>
      </c>
      <c r="G1768" s="14">
        <v>105</v>
      </c>
      <c r="H1768" s="28"/>
      <c r="I1768" s="14" t="s">
        <v>9209</v>
      </c>
      <c r="J1768" s="18"/>
      <c r="K1768" s="14" t="s">
        <v>8536</v>
      </c>
      <c r="L1768" s="27"/>
      <c r="M1768" s="18"/>
      <c r="N1768" s="14">
        <v>2017</v>
      </c>
      <c r="O1768" s="26"/>
      <c r="P1768" s="14" t="s">
        <v>8538</v>
      </c>
      <c r="Q1768" s="17" t="s">
        <v>9210</v>
      </c>
      <c r="R1768" s="14" t="s">
        <v>9211</v>
      </c>
      <c r="S1768" s="18"/>
      <c r="T1768" s="18"/>
      <c r="U1768" s="18"/>
      <c r="V1768" s="14" t="s">
        <v>8537</v>
      </c>
    </row>
    <row r="1769" spans="1:22" x14ac:dyDescent="0.25">
      <c r="A1769" s="14" t="s">
        <v>7972</v>
      </c>
      <c r="B1769" s="18"/>
      <c r="C1769" s="14" t="s">
        <v>8533</v>
      </c>
      <c r="D1769" s="14" t="s">
        <v>8534</v>
      </c>
      <c r="E1769" s="26"/>
      <c r="F1769" s="14">
        <v>2013</v>
      </c>
      <c r="G1769" s="14">
        <v>91</v>
      </c>
      <c r="H1769" s="28"/>
      <c r="I1769" s="14" t="s">
        <v>9212</v>
      </c>
      <c r="J1769" s="18"/>
      <c r="K1769" s="14" t="s">
        <v>8536</v>
      </c>
      <c r="L1769" s="27"/>
      <c r="M1769" s="14" t="s">
        <v>8537</v>
      </c>
      <c r="N1769" s="14">
        <v>2013</v>
      </c>
      <c r="O1769" s="26"/>
      <c r="P1769" s="14" t="s">
        <v>8538</v>
      </c>
      <c r="Q1769" s="17" t="s">
        <v>9213</v>
      </c>
      <c r="R1769" s="14" t="s">
        <v>9214</v>
      </c>
      <c r="S1769" s="18"/>
      <c r="T1769" s="18"/>
      <c r="U1769" s="18"/>
      <c r="V1769" s="14" t="s">
        <v>8537</v>
      </c>
    </row>
    <row r="1770" spans="1:22" x14ac:dyDescent="0.25">
      <c r="A1770" s="14" t="s">
        <v>13</v>
      </c>
      <c r="B1770" s="14" t="s">
        <v>1343</v>
      </c>
      <c r="C1770" s="26"/>
      <c r="D1770" s="14" t="s">
        <v>1344</v>
      </c>
      <c r="E1770" s="14" t="s">
        <v>307</v>
      </c>
      <c r="F1770" s="14">
        <v>2022</v>
      </c>
      <c r="G1770" s="14">
        <v>152</v>
      </c>
      <c r="H1770" s="28"/>
      <c r="I1770" s="14">
        <v>107034</v>
      </c>
      <c r="J1770" s="18"/>
      <c r="K1770" s="26"/>
      <c r="L1770" s="27"/>
      <c r="M1770" s="18"/>
      <c r="N1770" s="14">
        <v>2022</v>
      </c>
      <c r="O1770" s="26"/>
      <c r="P1770" s="14" t="s">
        <v>308</v>
      </c>
      <c r="Q1770" s="17" t="s">
        <v>9215</v>
      </c>
      <c r="R1770" s="14" t="s">
        <v>1346</v>
      </c>
      <c r="S1770" s="14" t="s">
        <v>9216</v>
      </c>
      <c r="T1770" s="14" t="s">
        <v>9217</v>
      </c>
      <c r="U1770" s="18"/>
      <c r="V1770" s="18"/>
    </row>
    <row r="1771" spans="1:22" x14ac:dyDescent="0.25">
      <c r="A1771" s="14" t="s">
        <v>13</v>
      </c>
      <c r="B1771" s="14" t="s">
        <v>9218</v>
      </c>
      <c r="C1771" s="26"/>
      <c r="D1771" s="14" t="s">
        <v>9219</v>
      </c>
      <c r="E1771" s="14" t="s">
        <v>1355</v>
      </c>
      <c r="F1771" s="14">
        <v>2022</v>
      </c>
      <c r="G1771" s="14">
        <v>202</v>
      </c>
      <c r="H1771" s="28"/>
      <c r="I1771" s="14">
        <v>117267</v>
      </c>
      <c r="J1771" s="18"/>
      <c r="K1771" s="26"/>
      <c r="L1771" s="27"/>
      <c r="M1771" s="18"/>
      <c r="N1771" s="14">
        <v>2022</v>
      </c>
      <c r="O1771" s="26"/>
      <c r="P1771" s="14" t="s">
        <v>1356</v>
      </c>
      <c r="Q1771" s="17" t="s">
        <v>9220</v>
      </c>
      <c r="R1771" s="14" t="s">
        <v>9221</v>
      </c>
      <c r="S1771" s="14" t="s">
        <v>9222</v>
      </c>
      <c r="T1771" s="14" t="s">
        <v>9223</v>
      </c>
      <c r="U1771" s="18"/>
      <c r="V1771" s="18"/>
    </row>
    <row r="1772" spans="1:22" x14ac:dyDescent="0.25">
      <c r="A1772" s="14" t="s">
        <v>13</v>
      </c>
      <c r="B1772" s="14" t="s">
        <v>9224</v>
      </c>
      <c r="C1772" s="26"/>
      <c r="D1772" s="14" t="s">
        <v>9225</v>
      </c>
      <c r="E1772" s="14" t="s">
        <v>9226</v>
      </c>
      <c r="F1772" s="14">
        <v>2023</v>
      </c>
      <c r="G1772" s="14">
        <v>11</v>
      </c>
      <c r="H1772" s="28"/>
      <c r="I1772" s="14">
        <v>100208</v>
      </c>
      <c r="J1772" s="18"/>
      <c r="K1772" s="26"/>
      <c r="L1772" s="27"/>
      <c r="M1772" s="18"/>
      <c r="N1772" s="14">
        <v>2023</v>
      </c>
      <c r="O1772" s="26"/>
      <c r="P1772" s="14" t="s">
        <v>9227</v>
      </c>
      <c r="Q1772" s="17" t="s">
        <v>9228</v>
      </c>
      <c r="R1772" s="14" t="s">
        <v>9229</v>
      </c>
      <c r="S1772" s="14" t="s">
        <v>9230</v>
      </c>
      <c r="T1772" s="14" t="s">
        <v>9231</v>
      </c>
      <c r="U1772" s="18"/>
      <c r="V1772" s="18"/>
    </row>
    <row r="1773" spans="1:22" x14ac:dyDescent="0.25">
      <c r="A1773" s="14" t="s">
        <v>7972</v>
      </c>
      <c r="B1773" s="14" t="s">
        <v>9232</v>
      </c>
      <c r="C1773" s="14" t="s">
        <v>9232</v>
      </c>
      <c r="D1773" s="14" t="s">
        <v>9233</v>
      </c>
      <c r="E1773" s="26"/>
      <c r="F1773" s="14">
        <v>2014</v>
      </c>
      <c r="G1773" s="18"/>
      <c r="H1773" s="28"/>
      <c r="I1773" s="14" t="s">
        <v>9234</v>
      </c>
      <c r="J1773" s="18"/>
      <c r="K1773" s="14" t="s">
        <v>8739</v>
      </c>
      <c r="L1773" s="14" t="s">
        <v>8740</v>
      </c>
      <c r="M1773" s="14" t="s">
        <v>9235</v>
      </c>
      <c r="N1773" s="14">
        <v>2014</v>
      </c>
      <c r="O1773" s="14">
        <v>9780128002056</v>
      </c>
      <c r="P1773" s="26"/>
      <c r="Q1773" s="17" t="s">
        <v>9236</v>
      </c>
      <c r="R1773" s="14" t="s">
        <v>9237</v>
      </c>
      <c r="S1773" s="14" t="s">
        <v>9238</v>
      </c>
      <c r="T1773" s="14" t="s">
        <v>9239</v>
      </c>
      <c r="U1773" s="18"/>
      <c r="V1773" s="18"/>
    </row>
    <row r="1774" spans="1:22" x14ac:dyDescent="0.25">
      <c r="A1774" s="14" t="s">
        <v>13</v>
      </c>
      <c r="B1774" s="14" t="s">
        <v>4223</v>
      </c>
      <c r="C1774" s="26"/>
      <c r="D1774" s="14" t="s">
        <v>4224</v>
      </c>
      <c r="E1774" s="14" t="s">
        <v>354</v>
      </c>
      <c r="F1774" s="14">
        <v>2019</v>
      </c>
      <c r="G1774" s="14">
        <v>149</v>
      </c>
      <c r="H1774" s="28"/>
      <c r="I1774" s="14" t="s">
        <v>9240</v>
      </c>
      <c r="J1774" s="18"/>
      <c r="K1774" s="26"/>
      <c r="L1774" s="27"/>
      <c r="M1774" s="18"/>
      <c r="N1774" s="14">
        <v>2019</v>
      </c>
      <c r="O1774" s="26"/>
      <c r="P1774" s="14" t="s">
        <v>65</v>
      </c>
      <c r="Q1774" s="17" t="s">
        <v>9241</v>
      </c>
      <c r="R1774" s="14" t="s">
        <v>4227</v>
      </c>
      <c r="S1774" s="14" t="s">
        <v>9242</v>
      </c>
      <c r="T1774" s="14" t="s">
        <v>9243</v>
      </c>
      <c r="U1774" s="18"/>
      <c r="V1774" s="18"/>
    </row>
    <row r="1775" spans="1:22" x14ac:dyDescent="0.25">
      <c r="A1775" s="14" t="s">
        <v>13</v>
      </c>
      <c r="B1775" s="14" t="s">
        <v>2448</v>
      </c>
      <c r="C1775" s="26"/>
      <c r="D1775" s="14" t="s">
        <v>2449</v>
      </c>
      <c r="E1775" s="14" t="s">
        <v>2450</v>
      </c>
      <c r="F1775" s="14">
        <v>2022</v>
      </c>
      <c r="G1775" s="14">
        <v>114</v>
      </c>
      <c r="H1775" s="28"/>
      <c r="I1775" s="14">
        <v>108066</v>
      </c>
      <c r="J1775" s="18"/>
      <c r="K1775" s="26"/>
      <c r="L1775" s="27"/>
      <c r="M1775" s="18"/>
      <c r="N1775" s="14">
        <v>2022</v>
      </c>
      <c r="O1775" s="26"/>
      <c r="P1775" s="14" t="s">
        <v>2451</v>
      </c>
      <c r="Q1775" s="17" t="s">
        <v>9244</v>
      </c>
      <c r="R1775" s="14" t="s">
        <v>2453</v>
      </c>
      <c r="S1775" s="14" t="s">
        <v>9245</v>
      </c>
      <c r="T1775" s="14" t="s">
        <v>9246</v>
      </c>
      <c r="U1775" s="18"/>
      <c r="V1775" s="18"/>
    </row>
    <row r="1776" spans="1:22" x14ac:dyDescent="0.25">
      <c r="A1776" s="14" t="s">
        <v>7972</v>
      </c>
      <c r="B1776" s="18"/>
      <c r="C1776" s="14" t="s">
        <v>9247</v>
      </c>
      <c r="D1776" s="14" t="s">
        <v>9113</v>
      </c>
      <c r="E1776" s="26"/>
      <c r="F1776" s="14">
        <v>2012</v>
      </c>
      <c r="G1776" s="14">
        <v>87</v>
      </c>
      <c r="H1776" s="28"/>
      <c r="I1776" s="14" t="s">
        <v>9248</v>
      </c>
      <c r="J1776" s="18"/>
      <c r="K1776" s="14" t="s">
        <v>8536</v>
      </c>
      <c r="L1776" s="27"/>
      <c r="M1776" s="18"/>
      <c r="N1776" s="14">
        <v>2012</v>
      </c>
      <c r="O1776" s="26"/>
      <c r="P1776" s="14" t="s">
        <v>8538</v>
      </c>
      <c r="Q1776" s="17" t="s">
        <v>9249</v>
      </c>
      <c r="R1776" s="14" t="s">
        <v>9250</v>
      </c>
      <c r="S1776" s="18"/>
      <c r="T1776" s="18"/>
      <c r="U1776" s="18"/>
      <c r="V1776" s="14" t="s">
        <v>8537</v>
      </c>
    </row>
    <row r="1777" spans="1:22" x14ac:dyDescent="0.25">
      <c r="A1777" s="14" t="s">
        <v>13</v>
      </c>
      <c r="B1777" s="14" t="s">
        <v>9251</v>
      </c>
      <c r="C1777" s="26"/>
      <c r="D1777" s="14" t="s">
        <v>9252</v>
      </c>
      <c r="E1777" s="14" t="s">
        <v>1850</v>
      </c>
      <c r="F1777" s="14">
        <v>2022</v>
      </c>
      <c r="G1777" s="14">
        <v>501</v>
      </c>
      <c r="H1777" s="28"/>
      <c r="I1777" s="14" t="s">
        <v>9253</v>
      </c>
      <c r="J1777" s="18"/>
      <c r="K1777" s="26"/>
      <c r="L1777" s="27"/>
      <c r="M1777" s="18"/>
      <c r="N1777" s="14">
        <v>2022</v>
      </c>
      <c r="O1777" s="26"/>
      <c r="P1777" s="14" t="s">
        <v>1852</v>
      </c>
      <c r="Q1777" s="17" t="s">
        <v>9254</v>
      </c>
      <c r="R1777" s="14" t="s">
        <v>9255</v>
      </c>
      <c r="S1777" s="14" t="s">
        <v>9256</v>
      </c>
      <c r="T1777" s="14" t="s">
        <v>9257</v>
      </c>
      <c r="U1777" s="18"/>
      <c r="V1777" s="18"/>
    </row>
    <row r="1778" spans="1:22" x14ac:dyDescent="0.25">
      <c r="A1778" s="14" t="s">
        <v>13</v>
      </c>
      <c r="B1778" s="14" t="s">
        <v>9258</v>
      </c>
      <c r="C1778" s="26"/>
      <c r="D1778" s="14" t="s">
        <v>9259</v>
      </c>
      <c r="E1778" s="14" t="s">
        <v>9260</v>
      </c>
      <c r="F1778" s="14">
        <v>2021</v>
      </c>
      <c r="G1778" s="14">
        <v>12</v>
      </c>
      <c r="H1778" s="14">
        <v>1</v>
      </c>
      <c r="I1778" s="14">
        <v>13</v>
      </c>
      <c r="J1778" s="18"/>
      <c r="K1778" s="26"/>
      <c r="L1778" s="27"/>
      <c r="M1778" s="18"/>
      <c r="N1778" s="14">
        <v>2021</v>
      </c>
      <c r="O1778" s="26"/>
      <c r="P1778" s="14" t="s">
        <v>9261</v>
      </c>
      <c r="Q1778" s="17" t="s">
        <v>9262</v>
      </c>
      <c r="R1778" s="14" t="s">
        <v>9263</v>
      </c>
      <c r="S1778" s="14" t="s">
        <v>9264</v>
      </c>
      <c r="T1778" s="14" t="s">
        <v>9265</v>
      </c>
      <c r="U1778" s="18"/>
      <c r="V1778" s="18"/>
    </row>
    <row r="1779" spans="1:22" x14ac:dyDescent="0.25">
      <c r="A1779" s="1"/>
      <c r="B1779" s="4"/>
      <c r="C1779" s="1"/>
      <c r="D1779" s="4"/>
      <c r="E1779" s="1"/>
      <c r="F1779" s="4"/>
      <c r="G1779" s="4"/>
      <c r="H1779" s="9"/>
      <c r="I1779" s="4"/>
      <c r="J1779" s="4"/>
      <c r="K1779" s="1"/>
      <c r="L1779" s="6"/>
      <c r="M1779" s="4"/>
      <c r="N1779" s="4"/>
      <c r="O1779" s="1"/>
      <c r="P1779" s="1"/>
      <c r="Q1779" s="1"/>
      <c r="R1779" s="4"/>
    </row>
    <row r="1780" spans="1:22" x14ac:dyDescent="0.25">
      <c r="A1780" s="29" t="s">
        <v>9266</v>
      </c>
      <c r="B1780" s="29" t="s">
        <v>9267</v>
      </c>
      <c r="C1780" s="29" t="s">
        <v>9278</v>
      </c>
      <c r="D1780" s="4"/>
      <c r="E1780" s="1"/>
      <c r="F1780" s="4"/>
      <c r="G1780" s="4"/>
      <c r="H1780" s="9"/>
      <c r="I1780" s="4"/>
      <c r="J1780" s="4"/>
      <c r="K1780" s="1"/>
      <c r="L1780" s="6"/>
      <c r="M1780" s="4"/>
      <c r="N1780" s="12">
        <v>2022</v>
      </c>
      <c r="O1780" s="1"/>
      <c r="P1780" s="1"/>
      <c r="Q1780" s="13" t="s">
        <v>9279</v>
      </c>
      <c r="R1780" s="12" t="s">
        <v>9277</v>
      </c>
    </row>
    <row r="1781" spans="1:22" x14ac:dyDescent="0.25">
      <c r="A1781" s="29" t="s">
        <v>9275</v>
      </c>
      <c r="B1781" s="29" t="s">
        <v>9276</v>
      </c>
      <c r="C1781" s="29" t="s">
        <v>9281</v>
      </c>
      <c r="D1781" s="4"/>
      <c r="E1781" s="1"/>
      <c r="F1781" s="4"/>
      <c r="G1781" s="4"/>
      <c r="H1781" s="9"/>
      <c r="I1781" s="4"/>
      <c r="J1781" s="4"/>
      <c r="K1781" s="1"/>
      <c r="L1781" s="6"/>
      <c r="M1781" s="4"/>
      <c r="N1781" s="12">
        <v>2019</v>
      </c>
      <c r="O1781" s="1"/>
      <c r="P1781" s="1"/>
      <c r="Q1781" s="13" t="s">
        <v>9282</v>
      </c>
      <c r="R1781" s="12" t="s">
        <v>9280</v>
      </c>
    </row>
    <row r="1782" spans="1:22" x14ac:dyDescent="0.25">
      <c r="A1782" s="29" t="s">
        <v>9275</v>
      </c>
      <c r="B1782" s="29" t="s">
        <v>9276</v>
      </c>
      <c r="C1782" s="29" t="s">
        <v>9284</v>
      </c>
      <c r="D1782" s="4"/>
      <c r="E1782" s="1"/>
      <c r="F1782" s="4"/>
      <c r="G1782" s="4"/>
      <c r="H1782" s="9"/>
      <c r="I1782" s="4"/>
      <c r="J1782" s="4"/>
      <c r="K1782" s="1"/>
      <c r="L1782" s="6"/>
      <c r="M1782" s="4"/>
      <c r="N1782" s="12">
        <v>2021</v>
      </c>
      <c r="O1782" s="1"/>
      <c r="P1782" s="1"/>
      <c r="Q1782" s="13" t="s">
        <v>9285</v>
      </c>
      <c r="R1782" s="12" t="s">
        <v>9283</v>
      </c>
    </row>
    <row r="1783" spans="1:22" x14ac:dyDescent="0.25">
      <c r="A1783" s="29" t="s">
        <v>1870</v>
      </c>
      <c r="B1783" s="29" t="s">
        <v>1927</v>
      </c>
      <c r="C1783" s="29" t="s">
        <v>9288</v>
      </c>
      <c r="D1783" s="4"/>
      <c r="E1783" s="1"/>
      <c r="F1783" s="4"/>
      <c r="G1783" s="4"/>
      <c r="H1783" s="9"/>
      <c r="I1783" s="4"/>
      <c r="J1783" s="4"/>
      <c r="K1783" s="1"/>
      <c r="L1783" s="6"/>
      <c r="M1783" s="4"/>
      <c r="N1783" s="12">
        <v>2021</v>
      </c>
      <c r="O1783" s="1"/>
      <c r="P1783" s="1"/>
      <c r="Q1783" s="13" t="s">
        <v>9289</v>
      </c>
      <c r="R1783" s="12" t="s">
        <v>9287</v>
      </c>
    </row>
    <row r="1784" spans="1:22" x14ac:dyDescent="0.25">
      <c r="A1784" s="29" t="s">
        <v>462</v>
      </c>
      <c r="B1784" s="29" t="s">
        <v>9286</v>
      </c>
      <c r="C1784" s="29" t="s">
        <v>9292</v>
      </c>
      <c r="D1784" s="4"/>
      <c r="E1784" s="1"/>
      <c r="F1784" s="4"/>
      <c r="G1784" s="4"/>
      <c r="H1784" s="9"/>
      <c r="I1784" s="4"/>
      <c r="J1784" s="4"/>
      <c r="K1784" s="1"/>
      <c r="L1784" s="6"/>
      <c r="M1784" s="4"/>
      <c r="N1784" s="12">
        <v>2021</v>
      </c>
      <c r="O1784" s="1"/>
      <c r="P1784" s="1"/>
      <c r="Q1784" s="13" t="s">
        <v>9293</v>
      </c>
      <c r="R1784" s="12" t="s">
        <v>9291</v>
      </c>
    </row>
    <row r="1785" spans="1:22" x14ac:dyDescent="0.25">
      <c r="A1785" s="15"/>
      <c r="B1785" s="29" t="s">
        <v>9290</v>
      </c>
      <c r="C1785" s="29" t="s">
        <v>9297</v>
      </c>
      <c r="D1785" s="4"/>
      <c r="E1785" s="1"/>
      <c r="F1785" s="4"/>
      <c r="G1785" s="4"/>
      <c r="H1785" s="9"/>
      <c r="I1785" s="4"/>
      <c r="J1785" s="4"/>
      <c r="K1785" s="1"/>
      <c r="L1785" s="6"/>
      <c r="M1785" s="4"/>
      <c r="N1785" s="12">
        <v>2022</v>
      </c>
      <c r="O1785" s="1"/>
      <c r="P1785" s="1"/>
      <c r="Q1785" s="13" t="s">
        <v>9298</v>
      </c>
      <c r="R1785" s="12" t="s">
        <v>9296</v>
      </c>
    </row>
    <row r="1786" spans="1:22" x14ac:dyDescent="0.25">
      <c r="A1786" s="29" t="s">
        <v>9294</v>
      </c>
      <c r="B1786" s="29" t="s">
        <v>9295</v>
      </c>
      <c r="C1786" s="29" t="s">
        <v>9300</v>
      </c>
      <c r="D1786" s="4"/>
      <c r="E1786" s="1"/>
      <c r="F1786" s="4"/>
      <c r="G1786" s="4"/>
      <c r="H1786" s="9"/>
      <c r="I1786" s="4"/>
      <c r="J1786" s="4"/>
      <c r="K1786" s="1"/>
      <c r="L1786" s="6"/>
      <c r="M1786" s="4"/>
      <c r="N1786" s="12">
        <v>2020</v>
      </c>
      <c r="O1786" s="1"/>
      <c r="P1786" s="1"/>
      <c r="Q1786" s="13" t="s">
        <v>9301</v>
      </c>
      <c r="R1786" s="12" t="s">
        <v>9299</v>
      </c>
    </row>
    <row r="1787" spans="1:22" x14ac:dyDescent="0.25">
      <c r="A1787" s="29" t="s">
        <v>9275</v>
      </c>
      <c r="B1787" s="29" t="s">
        <v>9276</v>
      </c>
      <c r="C1787" s="29" t="s">
        <v>9304</v>
      </c>
      <c r="D1787" s="4"/>
      <c r="E1787" s="1"/>
      <c r="F1787" s="4"/>
      <c r="G1787" s="4"/>
      <c r="H1787" s="9"/>
      <c r="I1787" s="4"/>
      <c r="J1787" s="4"/>
      <c r="K1787" s="1"/>
      <c r="L1787" s="6"/>
      <c r="M1787" s="4"/>
      <c r="N1787" s="12">
        <v>2021</v>
      </c>
      <c r="O1787" s="1"/>
      <c r="P1787" s="1"/>
      <c r="Q1787" s="13" t="s">
        <v>9305</v>
      </c>
      <c r="R1787" s="12" t="s">
        <v>9303</v>
      </c>
    </row>
    <row r="1788" spans="1:22" x14ac:dyDescent="0.25">
      <c r="A1788" s="29" t="s">
        <v>9275</v>
      </c>
      <c r="B1788" s="29" t="s">
        <v>9302</v>
      </c>
      <c r="C1788" s="29" t="s">
        <v>9308</v>
      </c>
      <c r="D1788" s="4"/>
      <c r="E1788" s="1"/>
      <c r="F1788" s="4"/>
      <c r="G1788" s="4"/>
      <c r="H1788" s="9"/>
      <c r="I1788" s="4"/>
      <c r="J1788" s="4"/>
      <c r="K1788" s="1"/>
      <c r="L1788" s="6"/>
      <c r="M1788" s="4"/>
      <c r="N1788" s="12">
        <v>2023</v>
      </c>
      <c r="O1788" s="1"/>
      <c r="P1788" s="1"/>
      <c r="Q1788" s="13" t="s">
        <v>9309</v>
      </c>
      <c r="R1788" s="12" t="s">
        <v>9307</v>
      </c>
    </row>
    <row r="1789" spans="1:22" x14ac:dyDescent="0.25">
      <c r="A1789" s="29" t="s">
        <v>676</v>
      </c>
      <c r="B1789" s="29" t="s">
        <v>9306</v>
      </c>
      <c r="C1789" s="29" t="s">
        <v>9313</v>
      </c>
      <c r="D1789" s="4"/>
      <c r="E1789" s="1"/>
      <c r="F1789" s="4"/>
      <c r="G1789" s="4"/>
      <c r="H1789" s="9"/>
      <c r="I1789" s="4"/>
      <c r="J1789" s="4"/>
      <c r="K1789" s="1"/>
      <c r="L1789" s="6"/>
      <c r="M1789" s="4"/>
      <c r="N1789" s="12">
        <v>2021</v>
      </c>
      <c r="O1789" s="1"/>
      <c r="P1789" s="1"/>
      <c r="Q1789" s="13" t="s">
        <v>9314</v>
      </c>
      <c r="R1789" s="12" t="s">
        <v>9312</v>
      </c>
    </row>
    <row r="1790" spans="1:22" x14ac:dyDescent="0.25">
      <c r="A1790" s="29" t="s">
        <v>9310</v>
      </c>
      <c r="B1790" s="29" t="s">
        <v>9311</v>
      </c>
      <c r="C1790" s="29" t="s">
        <v>9317</v>
      </c>
      <c r="D1790" s="4"/>
      <c r="E1790" s="1"/>
      <c r="F1790" s="4"/>
      <c r="G1790" s="4"/>
      <c r="H1790" s="9"/>
      <c r="I1790" s="4"/>
      <c r="J1790" s="4"/>
      <c r="K1790" s="1"/>
      <c r="L1790" s="6"/>
      <c r="M1790" s="4"/>
      <c r="N1790" s="12">
        <v>2022</v>
      </c>
      <c r="O1790" s="1"/>
      <c r="P1790" s="1"/>
      <c r="Q1790" s="13" t="s">
        <v>9318</v>
      </c>
      <c r="R1790" s="12" t="s">
        <v>9316</v>
      </c>
    </row>
    <row r="1791" spans="1:22" x14ac:dyDescent="0.25">
      <c r="A1791" s="29" t="s">
        <v>1870</v>
      </c>
      <c r="B1791" s="29" t="s">
        <v>9315</v>
      </c>
      <c r="C1791" s="29" t="s">
        <v>9320</v>
      </c>
      <c r="D1791" s="4"/>
      <c r="E1791" s="1"/>
      <c r="F1791" s="4"/>
      <c r="G1791" s="4"/>
      <c r="H1791" s="9"/>
      <c r="I1791" s="4"/>
      <c r="J1791" s="4"/>
      <c r="K1791" s="1"/>
      <c r="L1791" s="6"/>
      <c r="M1791" s="4"/>
      <c r="N1791" s="12">
        <v>2016</v>
      </c>
      <c r="O1791" s="1"/>
      <c r="P1791" s="1"/>
      <c r="Q1791" s="13" t="s">
        <v>9321</v>
      </c>
      <c r="R1791" s="12" t="s">
        <v>9319</v>
      </c>
    </row>
    <row r="1792" spans="1:22" x14ac:dyDescent="0.25">
      <c r="A1792" s="29" t="s">
        <v>9275</v>
      </c>
      <c r="B1792" s="29" t="s">
        <v>9276</v>
      </c>
      <c r="C1792" s="29" t="s">
        <v>9324</v>
      </c>
      <c r="D1792" s="4"/>
      <c r="E1792" s="1"/>
      <c r="F1792" s="4"/>
      <c r="G1792" s="4"/>
      <c r="H1792" s="9"/>
      <c r="I1792" s="4"/>
      <c r="J1792" s="4"/>
      <c r="K1792" s="1"/>
      <c r="L1792" s="6"/>
      <c r="M1792" s="4"/>
      <c r="N1792" s="12">
        <v>2021</v>
      </c>
      <c r="O1792" s="1"/>
      <c r="P1792" s="1"/>
      <c r="Q1792" s="13" t="s">
        <v>9325</v>
      </c>
      <c r="R1792" s="12" t="s">
        <v>9323</v>
      </c>
    </row>
    <row r="1793" spans="1:18" x14ac:dyDescent="0.25">
      <c r="A1793" s="29" t="s">
        <v>676</v>
      </c>
      <c r="B1793" s="29" t="s">
        <v>9322</v>
      </c>
      <c r="C1793" s="29" t="s">
        <v>9329</v>
      </c>
      <c r="D1793" s="4"/>
      <c r="E1793" s="1"/>
      <c r="F1793" s="4"/>
      <c r="G1793" s="4"/>
      <c r="H1793" s="9"/>
      <c r="I1793" s="4"/>
      <c r="J1793" s="4"/>
      <c r="K1793" s="1"/>
      <c r="L1793" s="6"/>
      <c r="M1793" s="4"/>
      <c r="N1793" s="12">
        <v>2021</v>
      </c>
      <c r="O1793" s="1"/>
      <c r="P1793" s="1"/>
      <c r="Q1793" s="13" t="s">
        <v>9330</v>
      </c>
      <c r="R1793" s="12" t="s">
        <v>9328</v>
      </c>
    </row>
    <row r="1794" spans="1:18" x14ac:dyDescent="0.25">
      <c r="A1794" s="29" t="s">
        <v>9326</v>
      </c>
      <c r="B1794" s="29" t="s">
        <v>9327</v>
      </c>
      <c r="C1794" s="29" t="s">
        <v>9333</v>
      </c>
      <c r="D1794" s="4"/>
      <c r="E1794" s="1"/>
      <c r="F1794" s="4"/>
      <c r="G1794" s="4"/>
      <c r="H1794" s="9"/>
      <c r="I1794" s="4"/>
      <c r="J1794" s="4"/>
      <c r="K1794" s="1"/>
      <c r="L1794" s="6"/>
      <c r="M1794" s="4"/>
      <c r="N1794" s="12">
        <v>2022</v>
      </c>
      <c r="O1794" s="1"/>
      <c r="P1794" s="1"/>
      <c r="Q1794" s="13" t="s">
        <v>9334</v>
      </c>
      <c r="R1794" s="12" t="s">
        <v>9332</v>
      </c>
    </row>
    <row r="1795" spans="1:18" x14ac:dyDescent="0.25">
      <c r="A1795" s="29" t="s">
        <v>462</v>
      </c>
      <c r="B1795" s="29" t="s">
        <v>9331</v>
      </c>
      <c r="C1795" s="29" t="s">
        <v>9337</v>
      </c>
      <c r="D1795" s="4"/>
      <c r="E1795" s="1"/>
      <c r="F1795" s="4"/>
      <c r="G1795" s="4"/>
      <c r="H1795" s="9"/>
      <c r="I1795" s="4"/>
      <c r="J1795" s="4"/>
      <c r="K1795" s="1"/>
      <c r="L1795" s="6"/>
      <c r="M1795" s="4"/>
      <c r="N1795" s="12">
        <v>2019</v>
      </c>
      <c r="O1795" s="1"/>
      <c r="P1795" s="1"/>
      <c r="Q1795" s="13" t="s">
        <v>9338</v>
      </c>
      <c r="R1795" s="12" t="s">
        <v>9336</v>
      </c>
    </row>
    <row r="1796" spans="1:18" x14ac:dyDescent="0.25">
      <c r="A1796" s="29" t="s">
        <v>9275</v>
      </c>
      <c r="B1796" s="29" t="s">
        <v>9335</v>
      </c>
      <c r="C1796" s="29" t="s">
        <v>9341</v>
      </c>
      <c r="D1796" s="4"/>
      <c r="E1796" s="1"/>
      <c r="F1796" s="4"/>
      <c r="G1796" s="4"/>
      <c r="H1796" s="9"/>
      <c r="I1796" s="4"/>
      <c r="J1796" s="4"/>
      <c r="K1796" s="1"/>
      <c r="L1796" s="6"/>
      <c r="M1796" s="4"/>
      <c r="N1796" s="12">
        <v>2023</v>
      </c>
      <c r="O1796" s="1"/>
      <c r="P1796" s="1"/>
      <c r="Q1796" s="13" t="s">
        <v>9342</v>
      </c>
      <c r="R1796" s="12" t="s">
        <v>9340</v>
      </c>
    </row>
    <row r="1797" spans="1:18" x14ac:dyDescent="0.25">
      <c r="A1797" s="15"/>
      <c r="B1797" s="29" t="s">
        <v>9339</v>
      </c>
      <c r="C1797" s="29" t="s">
        <v>9345</v>
      </c>
      <c r="D1797" s="4"/>
      <c r="E1797" s="1"/>
      <c r="F1797" s="4"/>
      <c r="G1797" s="4"/>
      <c r="H1797" s="9"/>
      <c r="I1797" s="4"/>
      <c r="J1797" s="4"/>
      <c r="K1797" s="1"/>
      <c r="L1797" s="6"/>
      <c r="M1797" s="4"/>
      <c r="N1797" s="12">
        <v>2022</v>
      </c>
      <c r="O1797" s="1"/>
      <c r="P1797" s="1"/>
      <c r="Q1797" s="13" t="s">
        <v>9346</v>
      </c>
      <c r="R1797" s="12" t="s">
        <v>9344</v>
      </c>
    </row>
    <row r="1798" spans="1:18" x14ac:dyDescent="0.25">
      <c r="A1798" s="29" t="s">
        <v>9275</v>
      </c>
      <c r="B1798" s="29" t="s">
        <v>9343</v>
      </c>
      <c r="C1798" s="29" t="s">
        <v>9349</v>
      </c>
      <c r="D1798" s="4"/>
      <c r="E1798" s="1"/>
      <c r="F1798" s="4"/>
      <c r="G1798" s="4"/>
      <c r="H1798" s="9"/>
      <c r="I1798" s="4"/>
      <c r="J1798" s="4"/>
      <c r="K1798" s="1"/>
      <c r="L1798" s="6"/>
      <c r="M1798" s="4"/>
      <c r="N1798" s="12">
        <v>2022</v>
      </c>
      <c r="O1798" s="1"/>
      <c r="P1798" s="1"/>
      <c r="Q1798" s="13" t="s">
        <v>9350</v>
      </c>
      <c r="R1798" s="12" t="s">
        <v>9348</v>
      </c>
    </row>
    <row r="1799" spans="1:18" x14ac:dyDescent="0.25">
      <c r="A1799" s="29" t="s">
        <v>676</v>
      </c>
      <c r="B1799" s="29" t="s">
        <v>9347</v>
      </c>
      <c r="C1799" s="29" t="s">
        <v>9353</v>
      </c>
      <c r="D1799" s="4"/>
      <c r="E1799" s="1"/>
      <c r="F1799" s="4"/>
      <c r="G1799" s="4"/>
      <c r="H1799" s="9"/>
      <c r="I1799" s="4"/>
      <c r="J1799" s="4"/>
      <c r="K1799" s="1"/>
      <c r="L1799" s="6"/>
      <c r="M1799" s="4"/>
      <c r="N1799" s="12">
        <v>2022</v>
      </c>
      <c r="O1799" s="1"/>
      <c r="P1799" s="1"/>
      <c r="Q1799" s="13" t="s">
        <v>9354</v>
      </c>
      <c r="R1799" s="12" t="s">
        <v>9352</v>
      </c>
    </row>
    <row r="1800" spans="1:18" x14ac:dyDescent="0.25">
      <c r="A1800" s="29" t="s">
        <v>9275</v>
      </c>
      <c r="B1800" s="29" t="s">
        <v>9351</v>
      </c>
      <c r="C1800" s="29" t="s">
        <v>9356</v>
      </c>
      <c r="D1800" s="4"/>
      <c r="E1800" s="1"/>
      <c r="F1800" s="4"/>
      <c r="G1800" s="4"/>
      <c r="H1800" s="9"/>
      <c r="I1800" s="4"/>
      <c r="J1800" s="4"/>
      <c r="K1800" s="1"/>
      <c r="L1800" s="6"/>
      <c r="M1800" s="4"/>
      <c r="N1800" s="12">
        <v>2020</v>
      </c>
      <c r="O1800" s="1"/>
      <c r="P1800" s="1"/>
      <c r="Q1800" s="13" t="s">
        <v>9357</v>
      </c>
      <c r="R1800" s="12" t="s">
        <v>9355</v>
      </c>
    </row>
    <row r="1801" spans="1:18" x14ac:dyDescent="0.25">
      <c r="A1801" s="29" t="s">
        <v>9275</v>
      </c>
      <c r="B1801" s="29" t="s">
        <v>9335</v>
      </c>
      <c r="C1801" s="29" t="s">
        <v>9360</v>
      </c>
      <c r="D1801" s="4"/>
      <c r="E1801" s="1"/>
      <c r="F1801" s="4"/>
      <c r="G1801" s="4"/>
      <c r="H1801" s="9"/>
      <c r="I1801" s="4"/>
      <c r="J1801" s="4"/>
      <c r="K1801" s="1"/>
      <c r="L1801" s="6"/>
      <c r="M1801" s="4"/>
      <c r="N1801" s="12">
        <v>2022</v>
      </c>
      <c r="O1801" s="1"/>
      <c r="P1801" s="1"/>
      <c r="Q1801" s="13" t="s">
        <v>9361</v>
      </c>
      <c r="R1801" s="12" t="s">
        <v>9359</v>
      </c>
    </row>
    <row r="1802" spans="1:18" x14ac:dyDescent="0.25">
      <c r="A1802" s="29" t="s">
        <v>3475</v>
      </c>
      <c r="B1802" s="29" t="s">
        <v>9358</v>
      </c>
      <c r="C1802" s="29" t="s">
        <v>9365</v>
      </c>
      <c r="D1802" s="4"/>
      <c r="E1802" s="1"/>
      <c r="F1802" s="4"/>
      <c r="G1802" s="4"/>
      <c r="H1802" s="9"/>
      <c r="I1802" s="4"/>
      <c r="J1802" s="4"/>
      <c r="K1802" s="1"/>
      <c r="L1802" s="6"/>
      <c r="M1802" s="4"/>
      <c r="N1802" s="12">
        <v>2022</v>
      </c>
      <c r="O1802" s="1"/>
      <c r="P1802" s="1"/>
      <c r="Q1802" s="13" t="s">
        <v>9366</v>
      </c>
      <c r="R1802" s="12" t="s">
        <v>9364</v>
      </c>
    </row>
    <row r="1803" spans="1:18" x14ac:dyDescent="0.25">
      <c r="A1803" s="29" t="s">
        <v>9362</v>
      </c>
      <c r="B1803" s="29" t="s">
        <v>9363</v>
      </c>
      <c r="C1803" s="29" t="s">
        <v>9369</v>
      </c>
      <c r="D1803" s="4"/>
      <c r="E1803" s="1"/>
      <c r="F1803" s="4"/>
      <c r="G1803" s="4"/>
      <c r="H1803" s="9"/>
      <c r="I1803" s="4"/>
      <c r="J1803" s="4"/>
      <c r="K1803" s="1"/>
      <c r="L1803" s="6"/>
      <c r="M1803" s="4"/>
      <c r="N1803" s="12">
        <v>2021</v>
      </c>
      <c r="O1803" s="1"/>
      <c r="P1803" s="1"/>
      <c r="Q1803" s="13" t="s">
        <v>9370</v>
      </c>
      <c r="R1803" s="12" t="s">
        <v>9368</v>
      </c>
    </row>
    <row r="1804" spans="1:18" x14ac:dyDescent="0.25">
      <c r="A1804" s="29" t="s">
        <v>676</v>
      </c>
      <c r="B1804" s="29" t="s">
        <v>9367</v>
      </c>
      <c r="C1804" s="29" t="s">
        <v>9373</v>
      </c>
      <c r="D1804" s="4"/>
      <c r="E1804" s="1"/>
      <c r="F1804" s="4"/>
      <c r="G1804" s="4"/>
      <c r="H1804" s="9"/>
      <c r="I1804" s="4"/>
      <c r="J1804" s="4"/>
      <c r="K1804" s="1"/>
      <c r="L1804" s="6"/>
      <c r="M1804" s="4"/>
      <c r="N1804" s="12">
        <v>2023</v>
      </c>
      <c r="O1804" s="1"/>
      <c r="P1804" s="1"/>
      <c r="Q1804" s="13" t="s">
        <v>9374</v>
      </c>
      <c r="R1804" s="12" t="s">
        <v>9372</v>
      </c>
    </row>
    <row r="1805" spans="1:18" x14ac:dyDescent="0.25">
      <c r="A1805" s="15"/>
      <c r="B1805" s="29" t="s">
        <v>9371</v>
      </c>
      <c r="C1805" s="29" t="s">
        <v>9377</v>
      </c>
      <c r="D1805" s="4"/>
      <c r="E1805" s="1"/>
      <c r="F1805" s="4"/>
      <c r="G1805" s="4"/>
      <c r="H1805" s="9"/>
      <c r="I1805" s="4"/>
      <c r="J1805" s="4"/>
      <c r="K1805" s="1"/>
      <c r="L1805" s="6"/>
      <c r="M1805" s="4"/>
      <c r="N1805" s="12">
        <v>2022</v>
      </c>
      <c r="O1805" s="1"/>
      <c r="P1805" s="1"/>
      <c r="Q1805" s="13" t="s">
        <v>9378</v>
      </c>
      <c r="R1805" s="12" t="s">
        <v>9376</v>
      </c>
    </row>
    <row r="1806" spans="1:18" x14ac:dyDescent="0.25">
      <c r="A1806" s="29" t="s">
        <v>676</v>
      </c>
      <c r="B1806" s="29" t="s">
        <v>9375</v>
      </c>
      <c r="C1806" s="29" t="s">
        <v>9381</v>
      </c>
      <c r="D1806" s="4"/>
      <c r="E1806" s="1"/>
      <c r="F1806" s="4"/>
      <c r="G1806" s="4"/>
      <c r="H1806" s="9"/>
      <c r="I1806" s="4"/>
      <c r="J1806" s="4"/>
      <c r="K1806" s="1"/>
      <c r="L1806" s="6"/>
      <c r="M1806" s="4"/>
      <c r="N1806" s="12">
        <v>2022</v>
      </c>
      <c r="O1806" s="1"/>
      <c r="P1806" s="1"/>
      <c r="Q1806" s="13" t="s">
        <v>9382</v>
      </c>
      <c r="R1806" s="12" t="s">
        <v>9380</v>
      </c>
    </row>
    <row r="1807" spans="1:18" x14ac:dyDescent="0.25">
      <c r="A1807" s="15"/>
      <c r="B1807" s="29" t="s">
        <v>9379</v>
      </c>
      <c r="C1807" s="29" t="s">
        <v>9386</v>
      </c>
      <c r="D1807" s="4"/>
      <c r="E1807" s="1"/>
      <c r="F1807" s="4"/>
      <c r="G1807" s="4"/>
      <c r="H1807" s="9"/>
      <c r="I1807" s="4"/>
      <c r="J1807" s="4"/>
      <c r="K1807" s="1"/>
      <c r="L1807" s="6"/>
      <c r="M1807" s="4"/>
      <c r="N1807" s="12">
        <v>2022</v>
      </c>
      <c r="O1807" s="1"/>
      <c r="P1807" s="1"/>
      <c r="Q1807" s="13" t="s">
        <v>9387</v>
      </c>
      <c r="R1807" s="12" t="s">
        <v>9385</v>
      </c>
    </row>
    <row r="1808" spans="1:18" x14ac:dyDescent="0.25">
      <c r="A1808" s="15"/>
      <c r="B1808" s="29" t="s">
        <v>9384</v>
      </c>
      <c r="C1808" s="29" t="s">
        <v>9390</v>
      </c>
      <c r="D1808" s="4"/>
      <c r="E1808" s="1"/>
      <c r="F1808" s="4"/>
      <c r="G1808" s="4"/>
      <c r="H1808" s="9"/>
      <c r="I1808" s="4"/>
      <c r="J1808" s="4"/>
      <c r="K1808" s="1"/>
      <c r="L1808" s="6"/>
      <c r="M1808" s="4"/>
      <c r="N1808" s="12">
        <v>2021</v>
      </c>
      <c r="O1808" s="1"/>
      <c r="P1808" s="1"/>
      <c r="Q1808" s="13" t="s">
        <v>9391</v>
      </c>
      <c r="R1808" s="12" t="s">
        <v>9389</v>
      </c>
    </row>
    <row r="1809" spans="1:18" x14ac:dyDescent="0.25">
      <c r="A1809" s="15"/>
      <c r="B1809" s="29" t="s">
        <v>9388</v>
      </c>
      <c r="C1809" s="29" t="s">
        <v>9393</v>
      </c>
      <c r="D1809" s="4"/>
      <c r="E1809" s="1"/>
      <c r="F1809" s="4"/>
      <c r="G1809" s="4"/>
      <c r="H1809" s="9"/>
      <c r="I1809" s="4"/>
      <c r="J1809" s="4"/>
      <c r="K1809" s="1"/>
      <c r="L1809" s="6"/>
      <c r="M1809" s="4"/>
      <c r="N1809" s="12">
        <v>2021</v>
      </c>
      <c r="O1809" s="1"/>
      <c r="P1809" s="1"/>
      <c r="Q1809" s="13" t="s">
        <v>9394</v>
      </c>
      <c r="R1809" s="12" t="s">
        <v>9392</v>
      </c>
    </row>
    <row r="1810" spans="1:18" x14ac:dyDescent="0.25">
      <c r="A1810" s="29" t="s">
        <v>9275</v>
      </c>
      <c r="B1810" s="29" t="s">
        <v>9276</v>
      </c>
      <c r="C1810" s="29" t="s">
        <v>9397</v>
      </c>
      <c r="D1810" s="4"/>
      <c r="E1810" s="1"/>
      <c r="F1810" s="4"/>
      <c r="G1810" s="4"/>
      <c r="H1810" s="9"/>
      <c r="I1810" s="4"/>
      <c r="J1810" s="4"/>
      <c r="K1810" s="1"/>
      <c r="L1810" s="6"/>
      <c r="M1810" s="4"/>
      <c r="N1810" s="12">
        <v>2022</v>
      </c>
      <c r="O1810" s="1"/>
      <c r="P1810" s="1"/>
      <c r="Q1810" s="13" t="s">
        <v>9398</v>
      </c>
      <c r="R1810" s="12" t="s">
        <v>9396</v>
      </c>
    </row>
    <row r="1811" spans="1:18" x14ac:dyDescent="0.25">
      <c r="A1811" s="15"/>
      <c r="B1811" s="29" t="s">
        <v>9395</v>
      </c>
      <c r="C1811" s="29" t="s">
        <v>9401</v>
      </c>
      <c r="D1811" s="4"/>
      <c r="E1811" s="1"/>
      <c r="F1811" s="4"/>
      <c r="G1811" s="4"/>
      <c r="H1811" s="9"/>
      <c r="I1811" s="4"/>
      <c r="J1811" s="4"/>
      <c r="K1811" s="1"/>
      <c r="L1811" s="6"/>
      <c r="M1811" s="4"/>
      <c r="N1811" s="12">
        <v>2022</v>
      </c>
      <c r="O1811" s="1"/>
      <c r="P1811" s="1"/>
      <c r="Q1811" s="13" t="s">
        <v>9402</v>
      </c>
      <c r="R1811" s="12" t="s">
        <v>9400</v>
      </c>
    </row>
    <row r="1812" spans="1:18" x14ac:dyDescent="0.25">
      <c r="A1812" s="29" t="s">
        <v>676</v>
      </c>
      <c r="B1812" s="29" t="s">
        <v>9399</v>
      </c>
      <c r="C1812" s="29" t="s">
        <v>9405</v>
      </c>
      <c r="D1812" s="4"/>
      <c r="E1812" s="1"/>
      <c r="F1812" s="4"/>
      <c r="G1812" s="4"/>
      <c r="H1812" s="9"/>
      <c r="I1812" s="4"/>
      <c r="J1812" s="4"/>
      <c r="K1812" s="1"/>
      <c r="L1812" s="6"/>
      <c r="M1812" s="4"/>
      <c r="N1812" s="12">
        <v>2022</v>
      </c>
      <c r="O1812" s="1"/>
      <c r="P1812" s="1"/>
      <c r="Q1812" s="13" t="s">
        <v>9406</v>
      </c>
      <c r="R1812" s="12" t="s">
        <v>9404</v>
      </c>
    </row>
    <row r="1813" spans="1:18" x14ac:dyDescent="0.25">
      <c r="A1813" s="15"/>
      <c r="B1813" s="29" t="s">
        <v>9403</v>
      </c>
      <c r="C1813" s="29" t="s">
        <v>9409</v>
      </c>
      <c r="D1813" s="4"/>
      <c r="E1813" s="1"/>
      <c r="F1813" s="4"/>
      <c r="G1813" s="4"/>
      <c r="H1813" s="9"/>
      <c r="I1813" s="4"/>
      <c r="J1813" s="4"/>
      <c r="K1813" s="1"/>
      <c r="L1813" s="6"/>
      <c r="M1813" s="4"/>
      <c r="N1813" s="12">
        <v>2022</v>
      </c>
      <c r="O1813" s="1"/>
      <c r="P1813" s="1"/>
      <c r="Q1813" s="13" t="s">
        <v>9410</v>
      </c>
      <c r="R1813" s="12" t="s">
        <v>9408</v>
      </c>
    </row>
    <row r="1814" spans="1:18" x14ac:dyDescent="0.25">
      <c r="A1814" s="29" t="s">
        <v>3916</v>
      </c>
      <c r="B1814" s="29" t="s">
        <v>9407</v>
      </c>
      <c r="C1814" s="29" t="s">
        <v>9412</v>
      </c>
      <c r="D1814" s="4"/>
      <c r="E1814" s="1"/>
      <c r="F1814" s="4"/>
      <c r="G1814" s="4"/>
      <c r="H1814" s="9"/>
      <c r="I1814" s="4"/>
      <c r="J1814" s="4"/>
      <c r="K1814" s="1"/>
      <c r="L1814" s="6"/>
      <c r="M1814" s="4"/>
      <c r="N1814" s="12">
        <v>2022</v>
      </c>
      <c r="O1814" s="1"/>
      <c r="P1814" s="1"/>
      <c r="Q1814" s="13" t="s">
        <v>9413</v>
      </c>
      <c r="R1814" s="12" t="s">
        <v>9411</v>
      </c>
    </row>
    <row r="1815" spans="1:18" x14ac:dyDescent="0.25">
      <c r="A1815" s="29" t="s">
        <v>9275</v>
      </c>
      <c r="B1815" s="29" t="s">
        <v>9343</v>
      </c>
      <c r="C1815" s="29" t="s">
        <v>9415</v>
      </c>
      <c r="D1815" s="4"/>
      <c r="E1815" s="1"/>
      <c r="F1815" s="4"/>
      <c r="G1815" s="4"/>
      <c r="H1815" s="9"/>
      <c r="I1815" s="4"/>
      <c r="J1815" s="4"/>
      <c r="K1815" s="1"/>
      <c r="L1815" s="6"/>
      <c r="M1815" s="4"/>
      <c r="N1815" s="12">
        <v>2021</v>
      </c>
      <c r="O1815" s="1"/>
      <c r="P1815" s="1"/>
      <c r="Q1815" s="13" t="s">
        <v>9416</v>
      </c>
      <c r="R1815" s="12" t="s">
        <v>9414</v>
      </c>
    </row>
    <row r="1816" spans="1:18" x14ac:dyDescent="0.25">
      <c r="A1816" s="29" t="s">
        <v>9275</v>
      </c>
      <c r="B1816" s="29" t="s">
        <v>9335</v>
      </c>
      <c r="C1816" s="29" t="s">
        <v>9418</v>
      </c>
      <c r="D1816" s="4"/>
      <c r="E1816" s="1"/>
      <c r="F1816" s="4"/>
      <c r="G1816" s="4"/>
      <c r="H1816" s="9"/>
      <c r="I1816" s="4"/>
      <c r="J1816" s="4"/>
      <c r="K1816" s="1"/>
      <c r="L1816" s="6"/>
      <c r="M1816" s="4"/>
      <c r="N1816" s="12">
        <v>2022</v>
      </c>
      <c r="O1816" s="1"/>
      <c r="P1816" s="1"/>
      <c r="Q1816" s="13" t="s">
        <v>9419</v>
      </c>
      <c r="R1816" s="12" t="s">
        <v>9417</v>
      </c>
    </row>
    <row r="1817" spans="1:18" x14ac:dyDescent="0.25">
      <c r="A1817" s="29" t="s">
        <v>676</v>
      </c>
      <c r="B1817" s="29" t="s">
        <v>9375</v>
      </c>
      <c r="C1817" s="29" t="s">
        <v>9421</v>
      </c>
      <c r="D1817" s="4"/>
      <c r="E1817" s="1"/>
      <c r="F1817" s="4"/>
      <c r="G1817" s="4"/>
      <c r="H1817" s="9"/>
      <c r="I1817" s="4"/>
      <c r="J1817" s="4"/>
      <c r="K1817" s="1"/>
      <c r="L1817" s="6"/>
      <c r="M1817" s="4"/>
      <c r="N1817" s="12">
        <v>2022</v>
      </c>
      <c r="O1817" s="1"/>
      <c r="P1817" s="1"/>
      <c r="Q1817" s="13" t="s">
        <v>9422</v>
      </c>
      <c r="R1817" s="12" t="s">
        <v>9420</v>
      </c>
    </row>
    <row r="1818" spans="1:18" x14ac:dyDescent="0.25">
      <c r="A1818" s="29" t="s">
        <v>462</v>
      </c>
      <c r="B1818" s="29" t="s">
        <v>9286</v>
      </c>
      <c r="C1818" s="29" t="s">
        <v>9401</v>
      </c>
      <c r="D1818" s="4"/>
      <c r="E1818" s="1"/>
      <c r="F1818" s="4"/>
      <c r="G1818" s="4"/>
      <c r="H1818" s="9"/>
      <c r="I1818" s="4"/>
      <c r="J1818" s="4"/>
      <c r="K1818" s="1"/>
      <c r="L1818" s="6"/>
      <c r="M1818" s="4"/>
      <c r="N1818" s="12">
        <v>2022</v>
      </c>
      <c r="O1818" s="1"/>
      <c r="P1818" s="1"/>
      <c r="Q1818" s="13" t="s">
        <v>9424</v>
      </c>
      <c r="R1818" s="12" t="s">
        <v>9423</v>
      </c>
    </row>
    <row r="1819" spans="1:18" x14ac:dyDescent="0.25">
      <c r="A1819" s="29" t="s">
        <v>676</v>
      </c>
      <c r="B1819" s="29" t="s">
        <v>9399</v>
      </c>
      <c r="C1819" s="29" t="s">
        <v>9427</v>
      </c>
      <c r="D1819" s="4"/>
      <c r="E1819" s="1"/>
      <c r="F1819" s="4"/>
      <c r="G1819" s="4"/>
      <c r="H1819" s="9"/>
      <c r="I1819" s="4"/>
      <c r="J1819" s="4"/>
      <c r="K1819" s="1"/>
      <c r="L1819" s="6"/>
      <c r="M1819" s="4"/>
      <c r="N1819" s="12">
        <v>2022</v>
      </c>
      <c r="O1819" s="1"/>
      <c r="P1819" s="1"/>
      <c r="Q1819" s="13" t="s">
        <v>9428</v>
      </c>
      <c r="R1819" s="12" t="s">
        <v>9426</v>
      </c>
    </row>
    <row r="1820" spans="1:18" x14ac:dyDescent="0.25">
      <c r="A1820" s="29" t="s">
        <v>1870</v>
      </c>
      <c r="B1820" s="29" t="s">
        <v>9425</v>
      </c>
      <c r="C1820" s="29" t="s">
        <v>9431</v>
      </c>
      <c r="D1820" s="4"/>
      <c r="E1820" s="1"/>
      <c r="F1820" s="4"/>
      <c r="G1820" s="4"/>
      <c r="H1820" s="9"/>
      <c r="I1820" s="4"/>
      <c r="J1820" s="4"/>
      <c r="K1820" s="1"/>
      <c r="L1820" s="6"/>
      <c r="M1820" s="4"/>
      <c r="N1820" s="12">
        <v>2021</v>
      </c>
      <c r="O1820" s="1"/>
      <c r="P1820" s="1"/>
      <c r="Q1820" s="13" t="s">
        <v>9432</v>
      </c>
      <c r="R1820" s="12" t="s">
        <v>9430</v>
      </c>
    </row>
    <row r="1821" spans="1:18" x14ac:dyDescent="0.25">
      <c r="A1821" s="29" t="s">
        <v>9275</v>
      </c>
      <c r="B1821" s="29" t="s">
        <v>9429</v>
      </c>
      <c r="C1821" s="29" t="s">
        <v>9435</v>
      </c>
      <c r="D1821" s="4"/>
      <c r="E1821" s="1"/>
      <c r="F1821" s="4"/>
      <c r="G1821" s="4"/>
      <c r="H1821" s="9"/>
      <c r="I1821" s="4"/>
      <c r="J1821" s="4"/>
      <c r="K1821" s="1"/>
      <c r="L1821" s="6"/>
      <c r="M1821" s="4"/>
      <c r="N1821" s="12">
        <v>2022</v>
      </c>
      <c r="O1821" s="1"/>
      <c r="P1821" s="1"/>
      <c r="Q1821" s="13" t="s">
        <v>9436</v>
      </c>
      <c r="R1821" s="12" t="s">
        <v>9434</v>
      </c>
    </row>
    <row r="1822" spans="1:18" x14ac:dyDescent="0.25">
      <c r="A1822" s="29" t="s">
        <v>676</v>
      </c>
      <c r="B1822" s="29" t="s">
        <v>9433</v>
      </c>
      <c r="C1822" s="29" t="s">
        <v>9438</v>
      </c>
      <c r="D1822" s="4"/>
      <c r="E1822" s="1"/>
      <c r="F1822" s="4"/>
      <c r="G1822" s="4"/>
      <c r="H1822" s="9"/>
      <c r="I1822" s="4"/>
      <c r="J1822" s="4"/>
      <c r="K1822" s="1"/>
      <c r="L1822" s="6"/>
      <c r="M1822" s="4"/>
      <c r="N1822" s="12">
        <v>2020</v>
      </c>
      <c r="O1822" s="1"/>
      <c r="P1822" s="1"/>
      <c r="Q1822" s="13" t="s">
        <v>9439</v>
      </c>
      <c r="R1822" s="12" t="s">
        <v>9437</v>
      </c>
    </row>
    <row r="1823" spans="1:18" x14ac:dyDescent="0.25">
      <c r="A1823" s="29" t="s">
        <v>9275</v>
      </c>
      <c r="B1823" s="29" t="s">
        <v>1637</v>
      </c>
      <c r="C1823" s="29" t="s">
        <v>9435</v>
      </c>
      <c r="D1823" s="4"/>
      <c r="E1823" s="1"/>
      <c r="F1823" s="4"/>
      <c r="G1823" s="4"/>
      <c r="H1823" s="9"/>
      <c r="I1823" s="4"/>
      <c r="J1823" s="4"/>
      <c r="K1823" s="1"/>
      <c r="L1823" s="6"/>
      <c r="M1823" s="4"/>
      <c r="N1823" s="12">
        <v>2022</v>
      </c>
      <c r="O1823" s="1"/>
      <c r="P1823" s="1"/>
      <c r="Q1823" s="13" t="s">
        <v>9441</v>
      </c>
      <c r="R1823" s="12" t="s">
        <v>9440</v>
      </c>
    </row>
    <row r="1824" spans="1:18" x14ac:dyDescent="0.25">
      <c r="A1824" s="29" t="s">
        <v>676</v>
      </c>
      <c r="B1824" s="29" t="s">
        <v>9433</v>
      </c>
      <c r="C1824" s="29" t="s">
        <v>9444</v>
      </c>
      <c r="D1824" s="4"/>
      <c r="E1824" s="1"/>
      <c r="F1824" s="4"/>
      <c r="G1824" s="4"/>
      <c r="H1824" s="9"/>
      <c r="I1824" s="4"/>
      <c r="J1824" s="4"/>
      <c r="K1824" s="1"/>
      <c r="L1824" s="6"/>
      <c r="M1824" s="4"/>
      <c r="N1824" s="12">
        <v>2022</v>
      </c>
      <c r="O1824" s="1"/>
      <c r="P1824" s="1"/>
      <c r="Q1824" s="13" t="s">
        <v>9445</v>
      </c>
      <c r="R1824" s="12" t="s">
        <v>9443</v>
      </c>
    </row>
    <row r="1825" spans="1:18" x14ac:dyDescent="0.25">
      <c r="A1825" s="29" t="s">
        <v>9275</v>
      </c>
      <c r="B1825" s="29" t="s">
        <v>9442</v>
      </c>
      <c r="C1825" s="29" t="s">
        <v>9447</v>
      </c>
      <c r="D1825" s="4"/>
      <c r="E1825" s="1"/>
      <c r="F1825" s="4"/>
      <c r="G1825" s="4"/>
      <c r="H1825" s="9"/>
      <c r="I1825" s="4"/>
      <c r="J1825" s="4"/>
      <c r="K1825" s="1"/>
      <c r="L1825" s="6"/>
      <c r="M1825" s="4"/>
      <c r="N1825" s="12">
        <v>2021</v>
      </c>
      <c r="O1825" s="1"/>
      <c r="P1825" s="1"/>
      <c r="Q1825" s="13" t="s">
        <v>9448</v>
      </c>
      <c r="R1825" s="12" t="s">
        <v>9446</v>
      </c>
    </row>
    <row r="1826" spans="1:18" x14ac:dyDescent="0.25">
      <c r="A1826" s="29" t="s">
        <v>462</v>
      </c>
      <c r="B1826" s="29" t="s">
        <v>9331</v>
      </c>
      <c r="C1826" s="29" t="s">
        <v>9451</v>
      </c>
      <c r="D1826" s="4"/>
      <c r="E1826" s="1"/>
      <c r="F1826" s="4"/>
      <c r="G1826" s="4"/>
      <c r="H1826" s="9"/>
      <c r="I1826" s="4"/>
      <c r="J1826" s="4"/>
      <c r="K1826" s="1"/>
      <c r="L1826" s="6"/>
      <c r="M1826" s="4"/>
      <c r="N1826" s="12">
        <v>2021</v>
      </c>
      <c r="O1826" s="1"/>
      <c r="P1826" s="1"/>
      <c r="Q1826" s="13" t="s">
        <v>9452</v>
      </c>
      <c r="R1826" s="12" t="s">
        <v>9450</v>
      </c>
    </row>
    <row r="1827" spans="1:18" x14ac:dyDescent="0.25">
      <c r="A1827" s="29" t="s">
        <v>3475</v>
      </c>
      <c r="B1827" s="29" t="s">
        <v>9449</v>
      </c>
      <c r="C1827" s="29" t="s">
        <v>9455</v>
      </c>
      <c r="D1827" s="4"/>
      <c r="E1827" s="1"/>
      <c r="F1827" s="4"/>
      <c r="G1827" s="4"/>
      <c r="H1827" s="9"/>
      <c r="I1827" s="4"/>
      <c r="J1827" s="4"/>
      <c r="K1827" s="1"/>
      <c r="L1827" s="6"/>
      <c r="M1827" s="4"/>
      <c r="N1827" s="12">
        <v>2022</v>
      </c>
      <c r="O1827" s="1"/>
      <c r="P1827" s="1"/>
      <c r="Q1827" s="13" t="s">
        <v>9456</v>
      </c>
      <c r="R1827" s="12" t="s">
        <v>9454</v>
      </c>
    </row>
    <row r="1828" spans="1:18" x14ac:dyDescent="0.25">
      <c r="A1828" s="15"/>
      <c r="B1828" s="29" t="s">
        <v>9453</v>
      </c>
      <c r="C1828" s="29" t="s">
        <v>9458</v>
      </c>
      <c r="D1828" s="4"/>
      <c r="E1828" s="1"/>
      <c r="F1828" s="4"/>
      <c r="G1828" s="4"/>
      <c r="H1828" s="9"/>
      <c r="I1828" s="4"/>
      <c r="J1828" s="4"/>
      <c r="K1828" s="1"/>
      <c r="L1828" s="6"/>
      <c r="M1828" s="4"/>
      <c r="N1828" s="12">
        <v>2021</v>
      </c>
      <c r="O1828" s="1"/>
      <c r="P1828" s="1"/>
      <c r="Q1828" s="13" t="s">
        <v>9459</v>
      </c>
      <c r="R1828" s="12" t="s">
        <v>9457</v>
      </c>
    </row>
    <row r="1829" spans="1:18" x14ac:dyDescent="0.25">
      <c r="A1829" s="29" t="s">
        <v>9275</v>
      </c>
      <c r="B1829" s="29" t="s">
        <v>9442</v>
      </c>
      <c r="C1829" s="29" t="s">
        <v>9462</v>
      </c>
      <c r="D1829" s="4"/>
      <c r="E1829" s="1"/>
      <c r="F1829" s="4"/>
      <c r="G1829" s="4"/>
      <c r="H1829" s="9"/>
      <c r="I1829" s="4"/>
      <c r="J1829" s="4"/>
      <c r="K1829" s="1"/>
      <c r="L1829" s="6"/>
      <c r="M1829" s="4"/>
      <c r="N1829" s="12">
        <v>2021</v>
      </c>
      <c r="O1829" s="1"/>
      <c r="P1829" s="1"/>
      <c r="Q1829" s="13" t="s">
        <v>9463</v>
      </c>
      <c r="R1829" s="12" t="s">
        <v>9461</v>
      </c>
    </row>
    <row r="1830" spans="1:18" x14ac:dyDescent="0.25">
      <c r="A1830" s="29" t="s">
        <v>9275</v>
      </c>
      <c r="B1830" s="29" t="s">
        <v>9460</v>
      </c>
      <c r="C1830" s="29" t="s">
        <v>9466</v>
      </c>
      <c r="D1830" s="4"/>
      <c r="E1830" s="1"/>
      <c r="F1830" s="4"/>
      <c r="G1830" s="4"/>
      <c r="H1830" s="9"/>
      <c r="I1830" s="4"/>
      <c r="J1830" s="4"/>
      <c r="K1830" s="1"/>
      <c r="L1830" s="6"/>
      <c r="M1830" s="4"/>
      <c r="N1830" s="12">
        <v>2021</v>
      </c>
      <c r="O1830" s="1"/>
      <c r="P1830" s="1"/>
      <c r="Q1830" s="13" t="s">
        <v>9467</v>
      </c>
      <c r="R1830" s="12" t="s">
        <v>9465</v>
      </c>
    </row>
    <row r="1831" spans="1:18" x14ac:dyDescent="0.25">
      <c r="A1831" s="29" t="s">
        <v>9275</v>
      </c>
      <c r="B1831" s="29" t="s">
        <v>9464</v>
      </c>
      <c r="C1831" s="29" t="s">
        <v>9470</v>
      </c>
      <c r="D1831" s="4"/>
      <c r="E1831" s="1"/>
      <c r="F1831" s="4"/>
      <c r="G1831" s="4"/>
      <c r="H1831" s="9"/>
      <c r="I1831" s="4"/>
      <c r="J1831" s="4"/>
      <c r="K1831" s="1"/>
      <c r="L1831" s="6"/>
      <c r="M1831" s="4"/>
      <c r="N1831" s="12">
        <v>2022</v>
      </c>
      <c r="O1831" s="1"/>
      <c r="P1831" s="1"/>
      <c r="Q1831" s="13" t="s">
        <v>9471</v>
      </c>
      <c r="R1831" s="12" t="s">
        <v>9469</v>
      </c>
    </row>
    <row r="1832" spans="1:18" x14ac:dyDescent="0.25">
      <c r="A1832" s="29" t="s">
        <v>1547</v>
      </c>
      <c r="B1832" s="29" t="s">
        <v>9468</v>
      </c>
      <c r="C1832" s="29" t="s">
        <v>9474</v>
      </c>
      <c r="D1832" s="4"/>
      <c r="E1832" s="1"/>
      <c r="F1832" s="4"/>
      <c r="G1832" s="4"/>
      <c r="H1832" s="9"/>
      <c r="I1832" s="4"/>
      <c r="J1832" s="4"/>
      <c r="K1832" s="1"/>
      <c r="L1832" s="6"/>
      <c r="M1832" s="4"/>
      <c r="N1832" s="12">
        <v>2022</v>
      </c>
      <c r="O1832" s="1"/>
      <c r="P1832" s="1"/>
      <c r="Q1832" s="13" t="s">
        <v>9475</v>
      </c>
      <c r="R1832" s="12" t="s">
        <v>9473</v>
      </c>
    </row>
    <row r="1833" spans="1:18" x14ac:dyDescent="0.25">
      <c r="A1833" s="29" t="s">
        <v>9275</v>
      </c>
      <c r="B1833" s="29" t="s">
        <v>9472</v>
      </c>
      <c r="C1833" s="29" t="s">
        <v>9476</v>
      </c>
      <c r="D1833" s="4"/>
      <c r="E1833" s="1"/>
      <c r="F1833" s="4"/>
      <c r="G1833" s="4"/>
      <c r="H1833" s="9"/>
      <c r="I1833" s="4"/>
      <c r="J1833" s="4"/>
      <c r="K1833" s="1"/>
      <c r="L1833" s="6"/>
      <c r="M1833" s="4"/>
      <c r="N1833" s="12">
        <v>2022</v>
      </c>
      <c r="O1833" s="1"/>
      <c r="P1833" s="1"/>
      <c r="Q1833" s="13" t="s">
        <v>9477</v>
      </c>
      <c r="R1833" s="12" t="s">
        <v>60</v>
      </c>
    </row>
    <row r="1834" spans="1:18" x14ac:dyDescent="0.25">
      <c r="A1834" s="29" t="s">
        <v>582</v>
      </c>
      <c r="B1834" s="29" t="s">
        <v>56</v>
      </c>
      <c r="C1834" s="29" t="s">
        <v>9479</v>
      </c>
      <c r="D1834" s="4"/>
      <c r="E1834" s="1"/>
      <c r="F1834" s="4"/>
      <c r="G1834" s="4"/>
      <c r="H1834" s="9"/>
      <c r="I1834" s="4"/>
      <c r="J1834" s="4"/>
      <c r="K1834" s="1"/>
      <c r="L1834" s="6"/>
      <c r="M1834" s="4"/>
      <c r="N1834" s="12">
        <v>2020</v>
      </c>
      <c r="O1834" s="1"/>
      <c r="P1834" s="1"/>
      <c r="Q1834" s="13" t="s">
        <v>9480</v>
      </c>
      <c r="R1834" s="12" t="s">
        <v>2768</v>
      </c>
    </row>
    <row r="1835" spans="1:18" x14ac:dyDescent="0.25">
      <c r="A1835" s="29" t="s">
        <v>523</v>
      </c>
      <c r="B1835" s="29" t="s">
        <v>2765</v>
      </c>
      <c r="C1835" s="29" t="s">
        <v>9483</v>
      </c>
      <c r="D1835" s="4"/>
      <c r="E1835" s="1"/>
      <c r="F1835" s="4"/>
      <c r="G1835" s="4"/>
      <c r="H1835" s="9"/>
      <c r="I1835" s="4"/>
      <c r="J1835" s="4"/>
      <c r="K1835" s="1"/>
      <c r="L1835" s="6"/>
      <c r="M1835" s="4"/>
      <c r="N1835" s="12">
        <v>2021</v>
      </c>
      <c r="O1835" s="1"/>
      <c r="P1835" s="1"/>
      <c r="Q1835" s="13" t="s">
        <v>9484</v>
      </c>
      <c r="R1835" s="12" t="s">
        <v>9482</v>
      </c>
    </row>
    <row r="1836" spans="1:18" x14ac:dyDescent="0.25">
      <c r="A1836" s="29" t="s">
        <v>9275</v>
      </c>
      <c r="B1836" s="29" t="s">
        <v>9481</v>
      </c>
      <c r="C1836" s="29" t="s">
        <v>9485</v>
      </c>
      <c r="D1836" s="4"/>
      <c r="E1836" s="1"/>
      <c r="F1836" s="4"/>
      <c r="G1836" s="4"/>
      <c r="H1836" s="9"/>
      <c r="I1836" s="4"/>
      <c r="J1836" s="4"/>
      <c r="K1836" s="1"/>
      <c r="L1836" s="6"/>
      <c r="M1836" s="4"/>
      <c r="N1836" s="12">
        <v>2021</v>
      </c>
      <c r="O1836" s="1"/>
      <c r="P1836" s="1"/>
      <c r="Q1836" s="13" t="s">
        <v>9486</v>
      </c>
      <c r="R1836" s="12" t="s">
        <v>53</v>
      </c>
    </row>
    <row r="1837" spans="1:18" x14ac:dyDescent="0.25">
      <c r="A1837" s="29" t="s">
        <v>629</v>
      </c>
      <c r="B1837" s="29" t="s">
        <v>51</v>
      </c>
      <c r="C1837" s="29" t="s">
        <v>9489</v>
      </c>
      <c r="D1837" s="4"/>
      <c r="E1837" s="1"/>
      <c r="F1837" s="4"/>
      <c r="G1837" s="4"/>
      <c r="H1837" s="9"/>
      <c r="I1837" s="4"/>
      <c r="J1837" s="4"/>
      <c r="K1837" s="1"/>
      <c r="L1837" s="6"/>
      <c r="M1837" s="4"/>
      <c r="N1837" s="12">
        <v>2023</v>
      </c>
      <c r="O1837" s="1"/>
      <c r="P1837" s="1"/>
      <c r="Q1837" s="13" t="s">
        <v>9490</v>
      </c>
      <c r="R1837" s="12" t="s">
        <v>9488</v>
      </c>
    </row>
    <row r="1838" spans="1:18" x14ac:dyDescent="0.25">
      <c r="A1838" s="29" t="s">
        <v>912</v>
      </c>
      <c r="B1838" s="29" t="s">
        <v>9487</v>
      </c>
      <c r="C1838" s="29" t="s">
        <v>9493</v>
      </c>
      <c r="D1838" s="4"/>
      <c r="E1838" s="1"/>
      <c r="F1838" s="4"/>
      <c r="G1838" s="4"/>
      <c r="H1838" s="9"/>
      <c r="I1838" s="4"/>
      <c r="J1838" s="4"/>
      <c r="K1838" s="1"/>
      <c r="L1838" s="6"/>
      <c r="M1838" s="4"/>
      <c r="N1838" s="12">
        <v>2020</v>
      </c>
      <c r="O1838" s="1"/>
      <c r="P1838" s="1"/>
      <c r="Q1838" s="13" t="s">
        <v>9494</v>
      </c>
      <c r="R1838" s="12" t="s">
        <v>9492</v>
      </c>
    </row>
    <row r="1839" spans="1:18" x14ac:dyDescent="0.25">
      <c r="A1839" s="29" t="s">
        <v>462</v>
      </c>
      <c r="B1839" s="29" t="s">
        <v>9491</v>
      </c>
      <c r="C1839" s="29" t="s">
        <v>9497</v>
      </c>
      <c r="D1839" s="4"/>
      <c r="E1839" s="1"/>
      <c r="F1839" s="4"/>
      <c r="G1839" s="4"/>
      <c r="H1839" s="9"/>
      <c r="I1839" s="4"/>
      <c r="J1839" s="4"/>
      <c r="K1839" s="1"/>
      <c r="L1839" s="6"/>
      <c r="M1839" s="4"/>
      <c r="N1839" s="12">
        <v>2020</v>
      </c>
      <c r="O1839" s="1"/>
      <c r="P1839" s="1"/>
      <c r="Q1839" s="13" t="s">
        <v>9498</v>
      </c>
      <c r="R1839" s="12" t="s">
        <v>9496</v>
      </c>
    </row>
    <row r="1840" spans="1:18" x14ac:dyDescent="0.25">
      <c r="A1840" s="15"/>
      <c r="B1840" s="29" t="s">
        <v>9495</v>
      </c>
      <c r="C1840" s="29" t="s">
        <v>9501</v>
      </c>
      <c r="D1840" s="4"/>
      <c r="E1840" s="1"/>
      <c r="F1840" s="4"/>
      <c r="G1840" s="4"/>
      <c r="H1840" s="9"/>
      <c r="I1840" s="4"/>
      <c r="J1840" s="4"/>
      <c r="K1840" s="1"/>
      <c r="L1840" s="6"/>
      <c r="M1840" s="4"/>
      <c r="N1840" s="12">
        <v>2022</v>
      </c>
      <c r="O1840" s="1"/>
      <c r="P1840" s="1"/>
      <c r="Q1840" s="13" t="s">
        <v>9502</v>
      </c>
      <c r="R1840" s="12" t="s">
        <v>9500</v>
      </c>
    </row>
    <row r="1841" spans="1:18" x14ac:dyDescent="0.25">
      <c r="A1841" s="29" t="s">
        <v>462</v>
      </c>
      <c r="B1841" s="29" t="s">
        <v>9499</v>
      </c>
      <c r="C1841" s="29" t="s">
        <v>9506</v>
      </c>
      <c r="D1841" s="4"/>
      <c r="E1841" s="1"/>
      <c r="F1841" s="4"/>
      <c r="G1841" s="4"/>
      <c r="H1841" s="9"/>
      <c r="I1841" s="4"/>
      <c r="J1841" s="4"/>
      <c r="K1841" s="1"/>
      <c r="L1841" s="6"/>
      <c r="M1841" s="4"/>
      <c r="N1841" s="12">
        <v>2022</v>
      </c>
      <c r="O1841" s="1"/>
      <c r="P1841" s="1"/>
      <c r="Q1841" s="13" t="s">
        <v>9507</v>
      </c>
      <c r="R1841" s="12" t="s">
        <v>9505</v>
      </c>
    </row>
    <row r="1842" spans="1:18" x14ac:dyDescent="0.25">
      <c r="A1842" s="29" t="s">
        <v>9503</v>
      </c>
      <c r="B1842" s="29" t="s">
        <v>9504</v>
      </c>
      <c r="C1842" s="29" t="s">
        <v>9510</v>
      </c>
      <c r="D1842" s="4"/>
      <c r="E1842" s="1"/>
      <c r="F1842" s="4"/>
      <c r="G1842" s="4"/>
      <c r="H1842" s="9"/>
      <c r="I1842" s="4"/>
      <c r="J1842" s="4"/>
      <c r="K1842" s="1"/>
      <c r="L1842" s="6"/>
      <c r="M1842" s="4"/>
      <c r="N1842" s="12">
        <v>2022</v>
      </c>
      <c r="O1842" s="1"/>
      <c r="P1842" s="1"/>
      <c r="Q1842" s="13" t="s">
        <v>9511</v>
      </c>
      <c r="R1842" s="12" t="s">
        <v>9509</v>
      </c>
    </row>
    <row r="1843" spans="1:18" x14ac:dyDescent="0.25">
      <c r="A1843" s="29" t="s">
        <v>676</v>
      </c>
      <c r="B1843" s="29" t="s">
        <v>9508</v>
      </c>
      <c r="C1843" s="29" t="s">
        <v>9514</v>
      </c>
      <c r="D1843" s="4"/>
      <c r="E1843" s="1"/>
      <c r="F1843" s="4"/>
      <c r="G1843" s="4"/>
      <c r="H1843" s="9"/>
      <c r="I1843" s="4"/>
      <c r="J1843" s="4"/>
      <c r="K1843" s="1"/>
      <c r="L1843" s="6"/>
      <c r="M1843" s="4"/>
      <c r="N1843" s="12">
        <v>2021</v>
      </c>
      <c r="O1843" s="1"/>
      <c r="P1843" s="1"/>
      <c r="Q1843" s="13" t="s">
        <v>9515</v>
      </c>
      <c r="R1843" s="12" t="s">
        <v>9513</v>
      </c>
    </row>
    <row r="1844" spans="1:18" x14ac:dyDescent="0.25">
      <c r="A1844" s="29" t="s">
        <v>1870</v>
      </c>
      <c r="B1844" s="29" t="s">
        <v>9512</v>
      </c>
      <c r="C1844" s="29" t="s">
        <v>9517</v>
      </c>
      <c r="D1844" s="4"/>
      <c r="E1844" s="1"/>
      <c r="F1844" s="4"/>
      <c r="G1844" s="4"/>
      <c r="H1844" s="9"/>
      <c r="I1844" s="4"/>
      <c r="J1844" s="4"/>
      <c r="K1844" s="1"/>
      <c r="L1844" s="6"/>
      <c r="M1844" s="4"/>
      <c r="N1844" s="12">
        <v>2020</v>
      </c>
      <c r="O1844" s="1"/>
      <c r="P1844" s="1"/>
      <c r="Q1844" s="13" t="s">
        <v>9518</v>
      </c>
      <c r="R1844" s="12" t="s">
        <v>9516</v>
      </c>
    </row>
    <row r="1845" spans="1:18" x14ac:dyDescent="0.25">
      <c r="A1845" s="29" t="s">
        <v>462</v>
      </c>
      <c r="B1845" s="29" t="s">
        <v>9331</v>
      </c>
      <c r="C1845" s="29" t="s">
        <v>9521</v>
      </c>
      <c r="D1845" s="4"/>
      <c r="E1845" s="1"/>
      <c r="F1845" s="4"/>
      <c r="G1845" s="4"/>
      <c r="H1845" s="9"/>
      <c r="I1845" s="4"/>
      <c r="J1845" s="4"/>
      <c r="K1845" s="1"/>
      <c r="L1845" s="6"/>
      <c r="M1845" s="4"/>
      <c r="N1845" s="12">
        <v>2019</v>
      </c>
      <c r="O1845" s="1"/>
      <c r="P1845" s="1"/>
      <c r="Q1845" s="13" t="s">
        <v>9522</v>
      </c>
      <c r="R1845" s="12" t="s">
        <v>9520</v>
      </c>
    </row>
    <row r="1846" spans="1:18" x14ac:dyDescent="0.25">
      <c r="A1846" s="29" t="s">
        <v>1870</v>
      </c>
      <c r="B1846" s="29" t="s">
        <v>9519</v>
      </c>
      <c r="C1846" s="29" t="s">
        <v>9525</v>
      </c>
      <c r="D1846" s="4"/>
      <c r="E1846" s="1"/>
      <c r="F1846" s="4"/>
      <c r="G1846" s="4"/>
      <c r="H1846" s="9"/>
      <c r="I1846" s="4"/>
      <c r="J1846" s="4"/>
      <c r="K1846" s="1"/>
      <c r="L1846" s="6"/>
      <c r="M1846" s="4"/>
      <c r="N1846" s="12">
        <v>2022</v>
      </c>
      <c r="O1846" s="1"/>
      <c r="P1846" s="1"/>
      <c r="Q1846" s="13" t="s">
        <v>9526</v>
      </c>
      <c r="R1846" s="12" t="s">
        <v>9524</v>
      </c>
    </row>
    <row r="1847" spans="1:18" x14ac:dyDescent="0.25">
      <c r="A1847" s="29" t="s">
        <v>3916</v>
      </c>
      <c r="B1847" s="29" t="s">
        <v>9523</v>
      </c>
      <c r="C1847" s="29" t="s">
        <v>9529</v>
      </c>
      <c r="D1847" s="4"/>
      <c r="E1847" s="1"/>
      <c r="F1847" s="4"/>
      <c r="G1847" s="4"/>
      <c r="H1847" s="9"/>
      <c r="I1847" s="4"/>
      <c r="J1847" s="4"/>
      <c r="K1847" s="1"/>
      <c r="L1847" s="6"/>
      <c r="M1847" s="4"/>
      <c r="N1847" s="12">
        <v>2020</v>
      </c>
      <c r="O1847" s="1"/>
      <c r="P1847" s="1"/>
      <c r="Q1847" s="13" t="s">
        <v>9530</v>
      </c>
      <c r="R1847" s="12" t="s">
        <v>9528</v>
      </c>
    </row>
    <row r="1848" spans="1:18" x14ac:dyDescent="0.25">
      <c r="A1848" s="15"/>
      <c r="B1848" s="29" t="s">
        <v>9527</v>
      </c>
      <c r="C1848" s="29" t="s">
        <v>9533</v>
      </c>
      <c r="D1848" s="4"/>
      <c r="E1848" s="1"/>
      <c r="F1848" s="4"/>
      <c r="G1848" s="4"/>
      <c r="H1848" s="9"/>
      <c r="I1848" s="4"/>
      <c r="J1848" s="4"/>
      <c r="K1848" s="1"/>
      <c r="L1848" s="6"/>
      <c r="M1848" s="4"/>
      <c r="N1848" s="12">
        <v>2022</v>
      </c>
      <c r="O1848" s="1"/>
      <c r="P1848" s="1"/>
      <c r="Q1848" s="13" t="s">
        <v>9534</v>
      </c>
      <c r="R1848" s="12" t="s">
        <v>9532</v>
      </c>
    </row>
    <row r="1849" spans="1:18" x14ac:dyDescent="0.25">
      <c r="A1849" s="29" t="s">
        <v>2974</v>
      </c>
      <c r="B1849" s="29" t="s">
        <v>9531</v>
      </c>
      <c r="C1849" s="29" t="s">
        <v>9537</v>
      </c>
      <c r="D1849" s="4"/>
      <c r="E1849" s="1"/>
      <c r="F1849" s="4"/>
      <c r="G1849" s="4"/>
      <c r="H1849" s="9"/>
      <c r="I1849" s="4"/>
      <c r="J1849" s="4"/>
      <c r="K1849" s="1"/>
      <c r="L1849" s="6"/>
      <c r="M1849" s="4"/>
      <c r="N1849" s="12">
        <v>2022</v>
      </c>
      <c r="O1849" s="1"/>
      <c r="P1849" s="1"/>
      <c r="Q1849" s="13" t="s">
        <v>9538</v>
      </c>
      <c r="R1849" s="12" t="s">
        <v>9536</v>
      </c>
    </row>
    <row r="1850" spans="1:18" x14ac:dyDescent="0.25">
      <c r="A1850" s="29" t="s">
        <v>9295</v>
      </c>
      <c r="B1850" s="29" t="s">
        <v>9535</v>
      </c>
      <c r="C1850" s="29" t="s">
        <v>9542</v>
      </c>
      <c r="D1850" s="4"/>
      <c r="E1850" s="1"/>
      <c r="F1850" s="4"/>
      <c r="G1850" s="4"/>
      <c r="H1850" s="9"/>
      <c r="I1850" s="4"/>
      <c r="J1850" s="4"/>
      <c r="K1850" s="1"/>
      <c r="L1850" s="6"/>
      <c r="M1850" s="4"/>
      <c r="N1850" s="12">
        <v>2022</v>
      </c>
      <c r="O1850" s="1"/>
      <c r="P1850" s="1"/>
      <c r="Q1850" s="13" t="s">
        <v>9543</v>
      </c>
      <c r="R1850" s="12" t="s">
        <v>9541</v>
      </c>
    </row>
    <row r="1851" spans="1:18" x14ac:dyDescent="0.25">
      <c r="A1851" s="29" t="s">
        <v>9275</v>
      </c>
      <c r="B1851" s="29" t="s">
        <v>9540</v>
      </c>
      <c r="C1851" s="29" t="s">
        <v>9546</v>
      </c>
      <c r="D1851" s="4"/>
      <c r="E1851" s="1"/>
      <c r="F1851" s="4"/>
      <c r="G1851" s="4"/>
      <c r="H1851" s="9"/>
      <c r="I1851" s="4"/>
      <c r="J1851" s="4"/>
      <c r="K1851" s="1"/>
      <c r="L1851" s="6"/>
      <c r="M1851" s="4"/>
      <c r="N1851" s="12">
        <v>2022</v>
      </c>
      <c r="O1851" s="1"/>
      <c r="P1851" s="1"/>
      <c r="Q1851" s="13" t="s">
        <v>9547</v>
      </c>
      <c r="R1851" s="12" t="s">
        <v>9545</v>
      </c>
    </row>
    <row r="1852" spans="1:18" x14ac:dyDescent="0.25">
      <c r="A1852" s="29" t="s">
        <v>1870</v>
      </c>
      <c r="B1852" s="29" t="s">
        <v>9544</v>
      </c>
      <c r="C1852" s="29" t="s">
        <v>9548</v>
      </c>
      <c r="D1852" s="4"/>
      <c r="E1852" s="1"/>
      <c r="F1852" s="4"/>
      <c r="G1852" s="4"/>
      <c r="H1852" s="9"/>
      <c r="I1852" s="4"/>
      <c r="J1852" s="4"/>
      <c r="K1852" s="1"/>
      <c r="L1852" s="6"/>
      <c r="M1852" s="4"/>
      <c r="N1852" s="12">
        <v>2022</v>
      </c>
      <c r="O1852" s="1"/>
      <c r="P1852" s="1"/>
      <c r="Q1852" s="13" t="s">
        <v>9549</v>
      </c>
      <c r="R1852" s="12" t="s">
        <v>80</v>
      </c>
    </row>
    <row r="1853" spans="1:18" x14ac:dyDescent="0.25">
      <c r="A1853" s="29" t="s">
        <v>582</v>
      </c>
      <c r="B1853" s="29" t="s">
        <v>78</v>
      </c>
      <c r="C1853" s="29" t="s">
        <v>9551</v>
      </c>
      <c r="D1853" s="4"/>
      <c r="E1853" s="1"/>
      <c r="F1853" s="4"/>
      <c r="G1853" s="4"/>
      <c r="H1853" s="9"/>
      <c r="I1853" s="4"/>
      <c r="J1853" s="4"/>
      <c r="K1853" s="1"/>
      <c r="L1853" s="6"/>
      <c r="M1853" s="4"/>
      <c r="N1853" s="12">
        <v>2020</v>
      </c>
      <c r="O1853" s="1"/>
      <c r="P1853" s="1"/>
      <c r="Q1853" s="13" t="s">
        <v>9552</v>
      </c>
      <c r="R1853" s="12" t="s">
        <v>4515</v>
      </c>
    </row>
    <row r="1854" spans="1:18" x14ac:dyDescent="0.25">
      <c r="A1854" s="29" t="s">
        <v>9286</v>
      </c>
      <c r="B1854" s="29" t="s">
        <v>9550</v>
      </c>
      <c r="C1854" s="29" t="s">
        <v>9555</v>
      </c>
      <c r="D1854" s="4"/>
      <c r="E1854" s="1"/>
      <c r="F1854" s="4"/>
      <c r="G1854" s="4"/>
      <c r="H1854" s="9"/>
      <c r="I1854" s="4"/>
      <c r="J1854" s="4"/>
      <c r="K1854" s="1"/>
      <c r="L1854" s="6"/>
      <c r="M1854" s="4"/>
      <c r="N1854" s="12">
        <v>2019</v>
      </c>
      <c r="O1854" s="1"/>
      <c r="P1854" s="1"/>
      <c r="Q1854" s="13" t="s">
        <v>9556</v>
      </c>
      <c r="R1854" s="12" t="s">
        <v>9554</v>
      </c>
    </row>
    <row r="1855" spans="1:18" x14ac:dyDescent="0.25">
      <c r="A1855" s="15"/>
      <c r="B1855" s="29" t="s">
        <v>9553</v>
      </c>
      <c r="C1855" s="29" t="s">
        <v>9559</v>
      </c>
      <c r="D1855" s="4"/>
      <c r="E1855" s="1"/>
      <c r="F1855" s="4"/>
      <c r="G1855" s="4"/>
      <c r="H1855" s="9"/>
      <c r="I1855" s="4"/>
      <c r="J1855" s="4"/>
      <c r="K1855" s="1"/>
      <c r="L1855" s="6"/>
      <c r="M1855" s="4"/>
      <c r="N1855" s="12">
        <v>2023</v>
      </c>
      <c r="O1855" s="1"/>
      <c r="P1855" s="1"/>
      <c r="Q1855" s="13" t="s">
        <v>9560</v>
      </c>
      <c r="R1855" s="12" t="s">
        <v>9558</v>
      </c>
    </row>
    <row r="1856" spans="1:18" x14ac:dyDescent="0.25">
      <c r="A1856" s="29" t="s">
        <v>676</v>
      </c>
      <c r="B1856" s="29" t="s">
        <v>9557</v>
      </c>
      <c r="C1856" s="29" t="s">
        <v>9561</v>
      </c>
      <c r="D1856" s="4"/>
      <c r="E1856" s="1"/>
      <c r="F1856" s="4"/>
      <c r="G1856" s="4"/>
      <c r="H1856" s="9"/>
      <c r="I1856" s="4"/>
      <c r="J1856" s="4"/>
      <c r="K1856" s="1"/>
      <c r="L1856" s="6"/>
      <c r="M1856" s="4"/>
      <c r="N1856" s="12">
        <v>2018</v>
      </c>
      <c r="O1856" s="1"/>
      <c r="P1856" s="1"/>
      <c r="Q1856" s="13" t="s">
        <v>9562</v>
      </c>
      <c r="R1856" s="12" t="s">
        <v>86</v>
      </c>
    </row>
    <row r="1857" spans="1:18" x14ac:dyDescent="0.25">
      <c r="A1857" s="29" t="s">
        <v>136</v>
      </c>
      <c r="B1857" s="29" t="s">
        <v>83</v>
      </c>
      <c r="C1857" s="29" t="s">
        <v>9563</v>
      </c>
      <c r="D1857" s="4"/>
      <c r="E1857" s="1"/>
      <c r="F1857" s="4"/>
      <c r="G1857" s="4"/>
      <c r="H1857" s="9"/>
      <c r="I1857" s="4"/>
      <c r="J1857" s="4"/>
      <c r="K1857" s="1"/>
      <c r="L1857" s="6"/>
      <c r="M1857" s="4"/>
      <c r="N1857" s="12">
        <v>2022</v>
      </c>
      <c r="O1857" s="1"/>
      <c r="P1857" s="1"/>
      <c r="Q1857" s="13" t="s">
        <v>9564</v>
      </c>
      <c r="R1857" s="12" t="s">
        <v>48</v>
      </c>
    </row>
    <row r="1858" spans="1:18" x14ac:dyDescent="0.25">
      <c r="A1858" s="29" t="s">
        <v>629</v>
      </c>
      <c r="B1858" s="29" t="s">
        <v>44</v>
      </c>
      <c r="C1858" s="29" t="s">
        <v>9284</v>
      </c>
      <c r="D1858" s="4"/>
      <c r="E1858" s="1"/>
      <c r="F1858" s="4"/>
      <c r="G1858" s="4"/>
      <c r="H1858" s="9"/>
      <c r="I1858" s="4"/>
      <c r="J1858" s="4"/>
      <c r="K1858" s="1"/>
      <c r="L1858" s="6"/>
      <c r="M1858" s="4"/>
      <c r="N1858" s="12">
        <v>2022</v>
      </c>
      <c r="O1858" s="1"/>
      <c r="P1858" s="1"/>
      <c r="Q1858" s="13" t="s">
        <v>9566</v>
      </c>
      <c r="R1858" s="12" t="s">
        <v>9565</v>
      </c>
    </row>
    <row r="1859" spans="1:18" x14ac:dyDescent="0.25">
      <c r="A1859" s="29" t="s">
        <v>1870</v>
      </c>
      <c r="B1859" s="29" t="s">
        <v>1927</v>
      </c>
      <c r="C1859" s="29" t="s">
        <v>9569</v>
      </c>
      <c r="D1859" s="4"/>
      <c r="E1859" s="1"/>
      <c r="F1859" s="4"/>
      <c r="G1859" s="4"/>
      <c r="H1859" s="9"/>
      <c r="I1859" s="4"/>
      <c r="J1859" s="4"/>
      <c r="K1859" s="1"/>
      <c r="L1859" s="6"/>
      <c r="M1859" s="4"/>
      <c r="N1859" s="12">
        <v>2021</v>
      </c>
      <c r="O1859" s="1"/>
      <c r="P1859" s="1"/>
      <c r="Q1859" s="13" t="s">
        <v>9570</v>
      </c>
      <c r="R1859" s="12" t="s">
        <v>9568</v>
      </c>
    </row>
    <row r="1860" spans="1:18" x14ac:dyDescent="0.25">
      <c r="A1860" s="29" t="s">
        <v>1870</v>
      </c>
      <c r="B1860" s="29" t="s">
        <v>9567</v>
      </c>
      <c r="C1860" s="29" t="s">
        <v>9573</v>
      </c>
      <c r="D1860" s="4"/>
      <c r="E1860" s="1"/>
      <c r="F1860" s="4"/>
      <c r="G1860" s="4"/>
      <c r="H1860" s="9"/>
      <c r="I1860" s="4"/>
      <c r="J1860" s="4"/>
      <c r="K1860" s="1"/>
      <c r="L1860" s="6"/>
      <c r="M1860" s="4"/>
      <c r="N1860" s="12">
        <v>2020</v>
      </c>
      <c r="O1860" s="1"/>
      <c r="P1860" s="1"/>
      <c r="Q1860" s="13" t="s">
        <v>9574</v>
      </c>
      <c r="R1860" s="12" t="s">
        <v>9572</v>
      </c>
    </row>
    <row r="1861" spans="1:18" x14ac:dyDescent="0.25">
      <c r="A1861" s="29" t="s">
        <v>2974</v>
      </c>
      <c r="B1861" s="29" t="s">
        <v>9571</v>
      </c>
      <c r="C1861" s="29" t="s">
        <v>9577</v>
      </c>
      <c r="D1861" s="4"/>
      <c r="E1861" s="1"/>
      <c r="F1861" s="4"/>
      <c r="G1861" s="4"/>
      <c r="H1861" s="9"/>
      <c r="I1861" s="4"/>
      <c r="J1861" s="4"/>
      <c r="K1861" s="1"/>
      <c r="L1861" s="6"/>
      <c r="M1861" s="4"/>
      <c r="N1861" s="12">
        <v>2022</v>
      </c>
      <c r="O1861" s="1"/>
      <c r="P1861" s="1"/>
      <c r="Q1861" s="13" t="s">
        <v>9578</v>
      </c>
      <c r="R1861" s="12" t="s">
        <v>9576</v>
      </c>
    </row>
    <row r="1862" spans="1:18" x14ac:dyDescent="0.25">
      <c r="A1862" s="29" t="s">
        <v>9275</v>
      </c>
      <c r="B1862" s="29" t="s">
        <v>9575</v>
      </c>
      <c r="C1862" s="29" t="s">
        <v>9581</v>
      </c>
      <c r="D1862" s="4"/>
      <c r="E1862" s="1"/>
      <c r="F1862" s="4"/>
      <c r="G1862" s="4"/>
      <c r="H1862" s="9"/>
      <c r="I1862" s="4"/>
      <c r="J1862" s="4"/>
      <c r="K1862" s="1"/>
      <c r="L1862" s="6"/>
      <c r="M1862" s="4"/>
      <c r="N1862" s="12">
        <v>2022</v>
      </c>
      <c r="O1862" s="1"/>
      <c r="P1862" s="1"/>
      <c r="Q1862" s="13" t="s">
        <v>9582</v>
      </c>
      <c r="R1862" s="12" t="s">
        <v>9580</v>
      </c>
    </row>
    <row r="1863" spans="1:18" x14ac:dyDescent="0.25">
      <c r="A1863" s="29" t="s">
        <v>1547</v>
      </c>
      <c r="B1863" s="29" t="s">
        <v>9579</v>
      </c>
      <c r="C1863" s="29" t="s">
        <v>9585</v>
      </c>
      <c r="D1863" s="4"/>
      <c r="E1863" s="1"/>
      <c r="F1863" s="4"/>
      <c r="G1863" s="4"/>
      <c r="H1863" s="9"/>
      <c r="I1863" s="4"/>
      <c r="J1863" s="4"/>
      <c r="K1863" s="1"/>
      <c r="L1863" s="6"/>
      <c r="M1863" s="4"/>
      <c r="N1863" s="12">
        <v>2021</v>
      </c>
      <c r="O1863" s="1"/>
      <c r="P1863" s="1"/>
      <c r="Q1863" s="13" t="s">
        <v>9586</v>
      </c>
      <c r="R1863" s="12" t="s">
        <v>9584</v>
      </c>
    </row>
    <row r="1864" spans="1:18" x14ac:dyDescent="0.25">
      <c r="A1864" s="29" t="s">
        <v>9275</v>
      </c>
      <c r="B1864" s="29" t="s">
        <v>9583</v>
      </c>
      <c r="C1864" s="29" t="s">
        <v>9590</v>
      </c>
      <c r="D1864" s="4"/>
      <c r="E1864" s="1"/>
      <c r="F1864" s="4"/>
      <c r="G1864" s="4"/>
      <c r="H1864" s="9"/>
      <c r="I1864" s="4"/>
      <c r="J1864" s="4"/>
      <c r="K1864" s="1"/>
      <c r="L1864" s="6"/>
      <c r="M1864" s="4"/>
      <c r="N1864" s="12">
        <v>2023</v>
      </c>
      <c r="O1864" s="1"/>
      <c r="P1864" s="1"/>
      <c r="Q1864" s="13" t="s">
        <v>9591</v>
      </c>
      <c r="R1864" s="12" t="s">
        <v>9589</v>
      </c>
    </row>
    <row r="1865" spans="1:18" x14ac:dyDescent="0.25">
      <c r="A1865" s="29" t="s">
        <v>9587</v>
      </c>
      <c r="B1865" s="29" t="s">
        <v>9588</v>
      </c>
      <c r="C1865" s="29" t="s">
        <v>9594</v>
      </c>
      <c r="D1865" s="4"/>
      <c r="E1865" s="1"/>
      <c r="F1865" s="4"/>
      <c r="G1865" s="4"/>
      <c r="H1865" s="9"/>
      <c r="I1865" s="4"/>
      <c r="J1865" s="4"/>
      <c r="K1865" s="1"/>
      <c r="L1865" s="6"/>
      <c r="M1865" s="4"/>
      <c r="N1865" s="12">
        <v>2021</v>
      </c>
      <c r="O1865" s="1"/>
      <c r="P1865" s="1"/>
      <c r="Q1865" s="13" t="s">
        <v>9595</v>
      </c>
      <c r="R1865" s="12" t="s">
        <v>9593</v>
      </c>
    </row>
    <row r="1866" spans="1:18" x14ac:dyDescent="0.25">
      <c r="A1866" s="15"/>
      <c r="B1866" s="29" t="s">
        <v>9592</v>
      </c>
      <c r="C1866" s="29" t="s">
        <v>9598</v>
      </c>
      <c r="D1866" s="4"/>
      <c r="E1866" s="1"/>
      <c r="F1866" s="4"/>
      <c r="G1866" s="4"/>
      <c r="H1866" s="9"/>
      <c r="I1866" s="4"/>
      <c r="J1866" s="4"/>
      <c r="K1866" s="1"/>
      <c r="L1866" s="6"/>
      <c r="M1866" s="4"/>
      <c r="N1866" s="12">
        <v>2022</v>
      </c>
      <c r="O1866" s="1"/>
      <c r="P1866" s="1"/>
      <c r="Q1866" s="13" t="s">
        <v>9599</v>
      </c>
      <c r="R1866" s="12" t="s">
        <v>9597</v>
      </c>
    </row>
    <row r="1867" spans="1:18" x14ac:dyDescent="0.25">
      <c r="A1867" s="29" t="s">
        <v>9275</v>
      </c>
      <c r="B1867" s="29" t="s">
        <v>9596</v>
      </c>
      <c r="C1867" s="29" t="s">
        <v>9601</v>
      </c>
      <c r="D1867" s="4"/>
      <c r="E1867" s="1"/>
      <c r="F1867" s="4"/>
      <c r="G1867" s="4"/>
      <c r="H1867" s="9"/>
      <c r="I1867" s="4"/>
      <c r="J1867" s="4"/>
      <c r="K1867" s="1"/>
      <c r="L1867" s="6"/>
      <c r="M1867" s="4"/>
      <c r="N1867" s="12">
        <v>2017</v>
      </c>
      <c r="O1867" s="1"/>
      <c r="P1867" s="1"/>
      <c r="Q1867" s="13" t="s">
        <v>9602</v>
      </c>
      <c r="R1867" s="12" t="s">
        <v>9600</v>
      </c>
    </row>
    <row r="1868" spans="1:18" x14ac:dyDescent="0.25">
      <c r="A1868" s="29" t="s">
        <v>1870</v>
      </c>
      <c r="B1868" s="29" t="s">
        <v>9519</v>
      </c>
      <c r="C1868" s="29" t="s">
        <v>9603</v>
      </c>
      <c r="D1868" s="4"/>
      <c r="E1868" s="1"/>
      <c r="F1868" s="4"/>
      <c r="G1868" s="4"/>
      <c r="H1868" s="9"/>
      <c r="I1868" s="4"/>
      <c r="J1868" s="4"/>
      <c r="K1868" s="1"/>
      <c r="L1868" s="6"/>
      <c r="M1868" s="4"/>
      <c r="N1868" s="12">
        <v>2022</v>
      </c>
      <c r="O1868" s="1"/>
      <c r="P1868" s="1"/>
      <c r="Q1868" s="13" t="s">
        <v>9604</v>
      </c>
      <c r="R1868" s="12" t="s">
        <v>572</v>
      </c>
    </row>
    <row r="1869" spans="1:18" x14ac:dyDescent="0.25">
      <c r="A1869" s="29" t="s">
        <v>136</v>
      </c>
      <c r="B1869" s="29" t="s">
        <v>570</v>
      </c>
      <c r="C1869" s="29" t="s">
        <v>9607</v>
      </c>
      <c r="D1869" s="4"/>
      <c r="E1869" s="1"/>
      <c r="F1869" s="4"/>
      <c r="G1869" s="4"/>
      <c r="H1869" s="9"/>
      <c r="I1869" s="4"/>
      <c r="J1869" s="4"/>
      <c r="K1869" s="1"/>
      <c r="L1869" s="6"/>
      <c r="M1869" s="4"/>
      <c r="N1869" s="12">
        <v>2023</v>
      </c>
      <c r="O1869" s="1"/>
      <c r="P1869" s="1"/>
      <c r="Q1869" s="13" t="s">
        <v>9608</v>
      </c>
      <c r="R1869" s="12" t="s">
        <v>9606</v>
      </c>
    </row>
    <row r="1870" spans="1:18" x14ac:dyDescent="0.25">
      <c r="A1870" s="29" t="s">
        <v>1547</v>
      </c>
      <c r="B1870" s="29" t="s">
        <v>9605</v>
      </c>
      <c r="C1870" s="29" t="s">
        <v>9611</v>
      </c>
      <c r="D1870" s="4"/>
      <c r="E1870" s="1"/>
      <c r="F1870" s="4"/>
      <c r="G1870" s="4"/>
      <c r="H1870" s="9"/>
      <c r="I1870" s="4"/>
      <c r="J1870" s="4"/>
      <c r="K1870" s="1"/>
      <c r="L1870" s="6"/>
      <c r="M1870" s="4"/>
      <c r="N1870" s="12">
        <v>2021</v>
      </c>
      <c r="O1870" s="1"/>
      <c r="P1870" s="1"/>
      <c r="Q1870" s="13" t="s">
        <v>9612</v>
      </c>
      <c r="R1870" s="12" t="s">
        <v>9610</v>
      </c>
    </row>
    <row r="1871" spans="1:18" x14ac:dyDescent="0.25">
      <c r="A1871" s="15"/>
      <c r="B1871" s="29" t="s">
        <v>9609</v>
      </c>
      <c r="C1871" s="29" t="s">
        <v>9615</v>
      </c>
      <c r="D1871" s="4"/>
      <c r="E1871" s="1"/>
      <c r="F1871" s="4"/>
      <c r="G1871" s="4"/>
      <c r="H1871" s="9"/>
      <c r="I1871" s="4"/>
      <c r="J1871" s="4"/>
      <c r="K1871" s="1"/>
      <c r="L1871" s="6"/>
      <c r="M1871" s="4"/>
      <c r="N1871" s="12">
        <v>2018</v>
      </c>
      <c r="O1871" s="1"/>
      <c r="P1871" s="1"/>
      <c r="Q1871" s="13" t="s">
        <v>9616</v>
      </c>
      <c r="R1871" s="12" t="s">
        <v>9614</v>
      </c>
    </row>
    <row r="1872" spans="1:18" x14ac:dyDescent="0.25">
      <c r="A1872" s="15"/>
      <c r="B1872" s="29" t="s">
        <v>9613</v>
      </c>
      <c r="C1872" s="29" t="s">
        <v>9618</v>
      </c>
      <c r="D1872" s="4"/>
      <c r="E1872" s="1"/>
      <c r="F1872" s="4"/>
      <c r="G1872" s="4"/>
      <c r="H1872" s="9"/>
      <c r="I1872" s="4"/>
      <c r="J1872" s="4"/>
      <c r="K1872" s="1"/>
      <c r="L1872" s="6"/>
      <c r="M1872" s="4"/>
      <c r="N1872" s="12">
        <v>2018</v>
      </c>
      <c r="O1872" s="1"/>
      <c r="P1872" s="1"/>
      <c r="Q1872" s="13" t="s">
        <v>9619</v>
      </c>
      <c r="R1872" s="12" t="s">
        <v>9617</v>
      </c>
    </row>
    <row r="1873" spans="1:18" x14ac:dyDescent="0.25">
      <c r="A1873" s="29" t="s">
        <v>462</v>
      </c>
      <c r="B1873" s="29" t="s">
        <v>9331</v>
      </c>
      <c r="C1873" s="29" t="s">
        <v>9621</v>
      </c>
      <c r="D1873" s="4"/>
      <c r="E1873" s="1"/>
      <c r="F1873" s="4"/>
      <c r="G1873" s="4"/>
      <c r="H1873" s="9"/>
      <c r="I1873" s="4"/>
      <c r="J1873" s="4"/>
      <c r="K1873" s="1"/>
      <c r="L1873" s="6"/>
      <c r="M1873" s="4"/>
      <c r="N1873" s="12">
        <v>2018</v>
      </c>
      <c r="O1873" s="1"/>
      <c r="P1873" s="1"/>
      <c r="Q1873" s="13" t="s">
        <v>9622</v>
      </c>
      <c r="R1873" s="12" t="s">
        <v>9620</v>
      </c>
    </row>
    <row r="1874" spans="1:18" x14ac:dyDescent="0.25">
      <c r="A1874" s="29" t="s">
        <v>9275</v>
      </c>
      <c r="B1874" s="29" t="s">
        <v>9276</v>
      </c>
      <c r="C1874" s="29" t="s">
        <v>9626</v>
      </c>
      <c r="D1874" s="4"/>
      <c r="E1874" s="1"/>
      <c r="F1874" s="4"/>
      <c r="G1874" s="4"/>
      <c r="H1874" s="9"/>
      <c r="I1874" s="4"/>
      <c r="J1874" s="4"/>
      <c r="K1874" s="1"/>
      <c r="L1874" s="6"/>
      <c r="M1874" s="4"/>
      <c r="N1874" s="12">
        <v>2022</v>
      </c>
      <c r="O1874" s="1"/>
      <c r="P1874" s="1"/>
      <c r="Q1874" s="13" t="s">
        <v>9627</v>
      </c>
      <c r="R1874" s="12" t="s">
        <v>9625</v>
      </c>
    </row>
    <row r="1875" spans="1:18" x14ac:dyDescent="0.25">
      <c r="A1875" s="29" t="s">
        <v>9623</v>
      </c>
      <c r="B1875" s="29" t="s">
        <v>9624</v>
      </c>
      <c r="C1875" s="29" t="s">
        <v>9629</v>
      </c>
      <c r="D1875" s="4"/>
      <c r="E1875" s="1"/>
      <c r="F1875" s="4"/>
      <c r="G1875" s="4"/>
      <c r="H1875" s="9"/>
      <c r="I1875" s="4"/>
      <c r="J1875" s="4"/>
      <c r="K1875" s="1"/>
      <c r="L1875" s="6"/>
      <c r="M1875" s="4"/>
      <c r="N1875" s="12">
        <v>2019</v>
      </c>
      <c r="O1875" s="1"/>
      <c r="P1875" s="1"/>
      <c r="Q1875" s="13" t="s">
        <v>9630</v>
      </c>
      <c r="R1875" s="12" t="s">
        <v>9628</v>
      </c>
    </row>
    <row r="1876" spans="1:18" x14ac:dyDescent="0.25">
      <c r="A1876" s="29" t="s">
        <v>462</v>
      </c>
      <c r="B1876" s="29" t="s">
        <v>9331</v>
      </c>
      <c r="C1876" s="29" t="s">
        <v>9632</v>
      </c>
      <c r="D1876" s="4"/>
      <c r="E1876" s="1"/>
      <c r="F1876" s="4"/>
      <c r="G1876" s="4"/>
      <c r="H1876" s="9"/>
      <c r="I1876" s="4"/>
      <c r="J1876" s="4"/>
      <c r="K1876" s="1"/>
      <c r="L1876" s="6"/>
      <c r="M1876" s="4"/>
      <c r="N1876" s="12">
        <v>2020</v>
      </c>
      <c r="O1876" s="1"/>
      <c r="P1876" s="1"/>
      <c r="Q1876" s="13" t="s">
        <v>9633</v>
      </c>
      <c r="R1876" s="12" t="s">
        <v>9631</v>
      </c>
    </row>
    <row r="1877" spans="1:18" x14ac:dyDescent="0.25">
      <c r="A1877" s="29" t="s">
        <v>462</v>
      </c>
      <c r="B1877" s="29" t="s">
        <v>9481</v>
      </c>
      <c r="C1877" s="29" t="s">
        <v>9635</v>
      </c>
      <c r="D1877" s="4"/>
      <c r="E1877" s="1"/>
      <c r="F1877" s="4"/>
      <c r="G1877" s="4"/>
      <c r="H1877" s="9"/>
      <c r="I1877" s="4"/>
      <c r="J1877" s="4"/>
      <c r="K1877" s="1"/>
      <c r="L1877" s="6"/>
      <c r="M1877" s="4"/>
      <c r="N1877" s="12">
        <v>2022</v>
      </c>
      <c r="O1877" s="1"/>
      <c r="P1877" s="1"/>
      <c r="Q1877" s="13" t="s">
        <v>9636</v>
      </c>
      <c r="R1877" s="12" t="s">
        <v>9634</v>
      </c>
    </row>
    <row r="1878" spans="1:18" x14ac:dyDescent="0.25">
      <c r="A1878" s="29" t="s">
        <v>9275</v>
      </c>
      <c r="B1878" s="29" t="s">
        <v>9481</v>
      </c>
      <c r="C1878" s="29" t="s">
        <v>9639</v>
      </c>
      <c r="D1878" s="4"/>
      <c r="E1878" s="1"/>
      <c r="F1878" s="4"/>
      <c r="G1878" s="4"/>
      <c r="H1878" s="9"/>
      <c r="I1878" s="4"/>
      <c r="J1878" s="4"/>
      <c r="K1878" s="1"/>
      <c r="L1878" s="6"/>
      <c r="M1878" s="4"/>
      <c r="N1878" s="12">
        <v>2021</v>
      </c>
      <c r="O1878" s="1"/>
      <c r="P1878" s="1"/>
      <c r="Q1878" s="13" t="s">
        <v>9640</v>
      </c>
      <c r="R1878" s="12" t="s">
        <v>9638</v>
      </c>
    </row>
    <row r="1879" spans="1:18" x14ac:dyDescent="0.25">
      <c r="A1879" s="29" t="s">
        <v>462</v>
      </c>
      <c r="B1879" s="29" t="s">
        <v>9637</v>
      </c>
      <c r="C1879" s="29" t="s">
        <v>9642</v>
      </c>
      <c r="D1879" s="4"/>
      <c r="E1879" s="1"/>
      <c r="F1879" s="4"/>
      <c r="G1879" s="4"/>
      <c r="H1879" s="9"/>
      <c r="I1879" s="4"/>
      <c r="J1879" s="4"/>
      <c r="K1879" s="1"/>
      <c r="L1879" s="6"/>
      <c r="M1879" s="4"/>
      <c r="N1879" s="12">
        <v>2020</v>
      </c>
      <c r="O1879" s="1"/>
      <c r="P1879" s="1"/>
      <c r="Q1879" s="13" t="s">
        <v>9643</v>
      </c>
      <c r="R1879" s="12" t="s">
        <v>2754</v>
      </c>
    </row>
    <row r="1880" spans="1:18" x14ac:dyDescent="0.25">
      <c r="A1880" s="29" t="s">
        <v>136</v>
      </c>
      <c r="B1880" s="29" t="s">
        <v>9641</v>
      </c>
      <c r="C1880" s="29" t="s">
        <v>9646</v>
      </c>
      <c r="D1880" s="4"/>
      <c r="E1880" s="1"/>
      <c r="F1880" s="4"/>
      <c r="G1880" s="4"/>
      <c r="H1880" s="9"/>
      <c r="I1880" s="4"/>
      <c r="J1880" s="4"/>
      <c r="K1880" s="1"/>
      <c r="L1880" s="6"/>
      <c r="M1880" s="4"/>
      <c r="N1880" s="12">
        <v>2021</v>
      </c>
      <c r="O1880" s="1"/>
      <c r="P1880" s="1"/>
      <c r="Q1880" s="13" t="s">
        <v>9647</v>
      </c>
      <c r="R1880" s="12" t="s">
        <v>9645</v>
      </c>
    </row>
    <row r="1881" spans="1:18" x14ac:dyDescent="0.25">
      <c r="A1881" s="29" t="s">
        <v>3475</v>
      </c>
      <c r="B1881" s="29" t="s">
        <v>9644</v>
      </c>
      <c r="C1881" s="29" t="s">
        <v>9651</v>
      </c>
      <c r="D1881" s="4"/>
      <c r="E1881" s="1"/>
      <c r="F1881" s="4"/>
      <c r="G1881" s="4"/>
      <c r="H1881" s="9"/>
      <c r="I1881" s="4"/>
      <c r="J1881" s="4"/>
      <c r="K1881" s="1"/>
      <c r="L1881" s="6"/>
      <c r="M1881" s="4"/>
      <c r="N1881" s="12">
        <v>2023</v>
      </c>
      <c r="O1881" s="1"/>
      <c r="P1881" s="1"/>
      <c r="Q1881" s="13" t="s">
        <v>9652</v>
      </c>
      <c r="R1881" s="12" t="s">
        <v>9650</v>
      </c>
    </row>
    <row r="1882" spans="1:18" x14ac:dyDescent="0.25">
      <c r="A1882" s="29" t="s">
        <v>9648</v>
      </c>
      <c r="B1882" s="29" t="s">
        <v>9649</v>
      </c>
      <c r="C1882" s="29" t="s">
        <v>9653</v>
      </c>
      <c r="D1882" s="4"/>
      <c r="E1882" s="1"/>
      <c r="F1882" s="4"/>
      <c r="G1882" s="4"/>
      <c r="H1882" s="9"/>
      <c r="I1882" s="4"/>
      <c r="J1882" s="4"/>
      <c r="K1882" s="1"/>
      <c r="L1882" s="6"/>
      <c r="M1882" s="4"/>
      <c r="N1882" s="12">
        <v>2022</v>
      </c>
      <c r="O1882" s="1"/>
      <c r="P1882" s="1"/>
      <c r="Q1882" s="13" t="s">
        <v>9654</v>
      </c>
      <c r="R1882" s="12" t="s">
        <v>1098</v>
      </c>
    </row>
    <row r="1883" spans="1:18" x14ac:dyDescent="0.25">
      <c r="A1883" s="29" t="s">
        <v>136</v>
      </c>
      <c r="B1883" s="29" t="s">
        <v>1096</v>
      </c>
      <c r="C1883" s="29" t="s">
        <v>9657</v>
      </c>
      <c r="D1883" s="4"/>
      <c r="E1883" s="1"/>
      <c r="F1883" s="4"/>
      <c r="G1883" s="4"/>
      <c r="H1883" s="9"/>
      <c r="I1883" s="4"/>
      <c r="J1883" s="4"/>
      <c r="K1883" s="1"/>
      <c r="L1883" s="6"/>
      <c r="M1883" s="4"/>
      <c r="N1883" s="12">
        <v>2021</v>
      </c>
      <c r="O1883" s="1"/>
      <c r="P1883" s="1"/>
      <c r="Q1883" s="13" t="s">
        <v>9658</v>
      </c>
      <c r="R1883" s="12" t="s">
        <v>9656</v>
      </c>
    </row>
    <row r="1884" spans="1:18" x14ac:dyDescent="0.25">
      <c r="A1884" s="29" t="s">
        <v>9275</v>
      </c>
      <c r="B1884" s="29" t="s">
        <v>9655</v>
      </c>
      <c r="C1884" s="29" t="s">
        <v>9661</v>
      </c>
      <c r="D1884" s="4"/>
      <c r="E1884" s="1"/>
      <c r="F1884" s="4"/>
      <c r="G1884" s="4"/>
      <c r="H1884" s="9"/>
      <c r="I1884" s="4"/>
      <c r="J1884" s="4"/>
      <c r="K1884" s="1"/>
      <c r="L1884" s="6"/>
      <c r="M1884" s="4"/>
      <c r="N1884" s="12">
        <v>2019</v>
      </c>
      <c r="O1884" s="1"/>
      <c r="P1884" s="1"/>
      <c r="Q1884" s="13" t="s">
        <v>9662</v>
      </c>
      <c r="R1884" s="12" t="s">
        <v>9660</v>
      </c>
    </row>
    <row r="1885" spans="1:18" x14ac:dyDescent="0.25">
      <c r="A1885" s="29" t="s">
        <v>2974</v>
      </c>
      <c r="B1885" s="29" t="s">
        <v>9659</v>
      </c>
      <c r="C1885" s="29" t="s">
        <v>9665</v>
      </c>
      <c r="D1885" s="4"/>
      <c r="E1885" s="1"/>
      <c r="F1885" s="4"/>
      <c r="G1885" s="4"/>
      <c r="H1885" s="9"/>
      <c r="I1885" s="4"/>
      <c r="J1885" s="4"/>
      <c r="K1885" s="1"/>
      <c r="L1885" s="6"/>
      <c r="M1885" s="4"/>
      <c r="N1885" s="12">
        <v>2022</v>
      </c>
      <c r="O1885" s="1"/>
      <c r="P1885" s="1"/>
      <c r="Q1885" s="13" t="s">
        <v>9666</v>
      </c>
      <c r="R1885" s="12" t="s">
        <v>9664</v>
      </c>
    </row>
    <row r="1886" spans="1:18" x14ac:dyDescent="0.25">
      <c r="A1886" s="29" t="s">
        <v>9275</v>
      </c>
      <c r="B1886" s="29" t="s">
        <v>9663</v>
      </c>
      <c r="C1886" s="29" t="s">
        <v>9669</v>
      </c>
      <c r="D1886" s="4"/>
      <c r="E1886" s="1"/>
      <c r="F1886" s="4"/>
      <c r="G1886" s="4"/>
      <c r="H1886" s="9"/>
      <c r="I1886" s="4"/>
      <c r="J1886" s="4"/>
      <c r="K1886" s="1"/>
      <c r="L1886" s="6"/>
      <c r="M1886" s="4"/>
      <c r="N1886" s="12">
        <v>2022</v>
      </c>
      <c r="O1886" s="1"/>
      <c r="P1886" s="1"/>
      <c r="Q1886" s="13" t="s">
        <v>9670</v>
      </c>
      <c r="R1886" s="12" t="s">
        <v>9668</v>
      </c>
    </row>
    <row r="1887" spans="1:18" x14ac:dyDescent="0.25">
      <c r="A1887" s="29" t="s">
        <v>9275</v>
      </c>
      <c r="B1887" s="29" t="s">
        <v>9667</v>
      </c>
      <c r="C1887" s="29" t="s">
        <v>9672</v>
      </c>
      <c r="D1887" s="4"/>
      <c r="E1887" s="1"/>
      <c r="F1887" s="4"/>
      <c r="G1887" s="4"/>
      <c r="H1887" s="9"/>
      <c r="I1887" s="4"/>
      <c r="J1887" s="4"/>
      <c r="K1887" s="1"/>
      <c r="L1887" s="6"/>
      <c r="M1887" s="4"/>
      <c r="N1887" s="12">
        <v>2019</v>
      </c>
      <c r="O1887" s="1"/>
      <c r="P1887" s="1"/>
      <c r="Q1887" s="13" t="s">
        <v>9673</v>
      </c>
      <c r="R1887" s="12" t="s">
        <v>4157</v>
      </c>
    </row>
    <row r="1888" spans="1:18" x14ac:dyDescent="0.25">
      <c r="A1888" s="29" t="s">
        <v>9519</v>
      </c>
      <c r="B1888" s="29" t="s">
        <v>9671</v>
      </c>
      <c r="C1888" s="29" t="s">
        <v>9675</v>
      </c>
      <c r="D1888" s="4"/>
      <c r="E1888" s="1"/>
      <c r="F1888" s="4"/>
      <c r="G1888" s="4"/>
      <c r="H1888" s="9"/>
      <c r="I1888" s="4"/>
      <c r="J1888" s="4"/>
      <c r="K1888" s="1"/>
      <c r="L1888" s="6"/>
      <c r="M1888" s="4"/>
      <c r="N1888" s="12">
        <v>2017</v>
      </c>
      <c r="O1888" s="1"/>
      <c r="P1888" s="1"/>
      <c r="Q1888" s="13" t="s">
        <v>9676</v>
      </c>
      <c r="R1888" s="12" t="s">
        <v>9674</v>
      </c>
    </row>
    <row r="1889" spans="1:18" x14ac:dyDescent="0.25">
      <c r="A1889" s="29" t="s">
        <v>462</v>
      </c>
      <c r="B1889" s="29" t="s">
        <v>9331</v>
      </c>
      <c r="C1889" s="29" t="s">
        <v>9678</v>
      </c>
      <c r="D1889" s="4"/>
      <c r="E1889" s="1"/>
      <c r="F1889" s="4"/>
      <c r="G1889" s="4"/>
      <c r="H1889" s="9"/>
      <c r="I1889" s="4"/>
      <c r="J1889" s="4"/>
      <c r="K1889" s="1"/>
      <c r="L1889" s="6"/>
      <c r="M1889" s="4"/>
      <c r="N1889" s="12">
        <v>2021</v>
      </c>
      <c r="O1889" s="1"/>
      <c r="P1889" s="1"/>
      <c r="Q1889" s="13" t="s">
        <v>9679</v>
      </c>
      <c r="R1889" s="12" t="s">
        <v>3459</v>
      </c>
    </row>
    <row r="1890" spans="1:18" x14ac:dyDescent="0.25">
      <c r="A1890" s="29" t="s">
        <v>9677</v>
      </c>
      <c r="B1890" s="29" t="s">
        <v>3454</v>
      </c>
      <c r="C1890" s="29" t="s">
        <v>9682</v>
      </c>
      <c r="D1890" s="4"/>
      <c r="E1890" s="1"/>
      <c r="F1890" s="4"/>
      <c r="G1890" s="4"/>
      <c r="H1890" s="9"/>
      <c r="I1890" s="4"/>
      <c r="J1890" s="4"/>
      <c r="K1890" s="1"/>
      <c r="L1890" s="6"/>
      <c r="M1890" s="4"/>
      <c r="N1890" s="12">
        <v>2019</v>
      </c>
      <c r="O1890" s="1"/>
      <c r="P1890" s="1"/>
      <c r="Q1890" s="13" t="s">
        <v>9683</v>
      </c>
      <c r="R1890" s="12" t="s">
        <v>9681</v>
      </c>
    </row>
    <row r="1891" spans="1:18" x14ac:dyDescent="0.25">
      <c r="A1891" s="29" t="s">
        <v>9276</v>
      </c>
      <c r="B1891" s="29" t="s">
        <v>9680</v>
      </c>
      <c r="C1891" s="29" t="s">
        <v>9685</v>
      </c>
      <c r="D1891" s="4"/>
      <c r="E1891" s="1"/>
      <c r="F1891" s="4"/>
      <c r="G1891" s="4"/>
      <c r="H1891" s="9"/>
      <c r="I1891" s="4"/>
      <c r="J1891" s="4"/>
      <c r="K1891" s="1"/>
      <c r="L1891" s="6"/>
      <c r="M1891" s="4"/>
      <c r="N1891" s="12">
        <v>2019</v>
      </c>
      <c r="O1891" s="1"/>
      <c r="P1891" s="1"/>
      <c r="Q1891" s="13" t="s">
        <v>9686</v>
      </c>
      <c r="R1891" s="12" t="s">
        <v>9684</v>
      </c>
    </row>
    <row r="1892" spans="1:18" x14ac:dyDescent="0.25">
      <c r="A1892" s="29" t="s">
        <v>1870</v>
      </c>
      <c r="B1892" s="29" t="s">
        <v>9512</v>
      </c>
      <c r="C1892" s="29" t="s">
        <v>9687</v>
      </c>
      <c r="D1892" s="4"/>
      <c r="E1892" s="1"/>
      <c r="F1892" s="4"/>
      <c r="G1892" s="4"/>
      <c r="H1892" s="9"/>
      <c r="I1892" s="4"/>
      <c r="J1892" s="4"/>
      <c r="K1892" s="1"/>
      <c r="L1892" s="6"/>
      <c r="M1892" s="4"/>
      <c r="N1892" s="12">
        <v>2022</v>
      </c>
      <c r="O1892" s="1"/>
      <c r="P1892" s="1"/>
      <c r="Q1892" s="13" t="s">
        <v>9688</v>
      </c>
      <c r="R1892" s="12" t="s">
        <v>35</v>
      </c>
    </row>
    <row r="1893" spans="1:18" x14ac:dyDescent="0.25">
      <c r="A1893" s="29" t="s">
        <v>136</v>
      </c>
      <c r="B1893" s="29" t="s">
        <v>31</v>
      </c>
      <c r="C1893" s="29" t="s">
        <v>9691</v>
      </c>
      <c r="D1893" s="4"/>
      <c r="E1893" s="1"/>
      <c r="F1893" s="4"/>
      <c r="G1893" s="4"/>
      <c r="H1893" s="9"/>
      <c r="I1893" s="4"/>
      <c r="J1893" s="4"/>
      <c r="K1893" s="1"/>
      <c r="L1893" s="6"/>
      <c r="M1893" s="4"/>
      <c r="N1893" s="12">
        <v>2020</v>
      </c>
      <c r="O1893" s="1"/>
      <c r="P1893" s="1"/>
      <c r="Q1893" s="13" t="s">
        <v>9692</v>
      </c>
      <c r="R1893" s="12" t="s">
        <v>9690</v>
      </c>
    </row>
    <row r="1894" spans="1:18" x14ac:dyDescent="0.25">
      <c r="A1894" s="29" t="s">
        <v>9275</v>
      </c>
      <c r="B1894" s="29" t="s">
        <v>9689</v>
      </c>
      <c r="C1894" s="29" t="s">
        <v>9695</v>
      </c>
      <c r="D1894" s="4"/>
      <c r="E1894" s="1"/>
      <c r="F1894" s="4"/>
      <c r="G1894" s="4"/>
      <c r="H1894" s="9"/>
      <c r="I1894" s="4"/>
      <c r="J1894" s="4"/>
      <c r="K1894" s="1"/>
      <c r="L1894" s="6"/>
      <c r="M1894" s="4"/>
      <c r="N1894" s="12">
        <v>2022</v>
      </c>
      <c r="O1894" s="1"/>
      <c r="P1894" s="1"/>
      <c r="Q1894" s="13" t="s">
        <v>9696</v>
      </c>
      <c r="R1894" s="12" t="s">
        <v>9694</v>
      </c>
    </row>
    <row r="1895" spans="1:18" x14ac:dyDescent="0.25">
      <c r="A1895" s="29" t="s">
        <v>9275</v>
      </c>
      <c r="B1895" s="29" t="s">
        <v>9693</v>
      </c>
      <c r="C1895" s="29" t="s">
        <v>9697</v>
      </c>
      <c r="D1895" s="4"/>
      <c r="E1895" s="1"/>
      <c r="F1895" s="4"/>
      <c r="G1895" s="4"/>
      <c r="H1895" s="9"/>
      <c r="I1895" s="4"/>
      <c r="J1895" s="4"/>
      <c r="K1895" s="1"/>
      <c r="L1895" s="6"/>
      <c r="M1895" s="4"/>
      <c r="N1895" s="12">
        <v>2022</v>
      </c>
      <c r="O1895" s="1"/>
      <c r="P1895" s="1"/>
      <c r="Q1895" s="13" t="s">
        <v>9698</v>
      </c>
      <c r="R1895" s="12" t="s">
        <v>99</v>
      </c>
    </row>
    <row r="1896" spans="1:18" x14ac:dyDescent="0.25">
      <c r="A1896" s="29" t="s">
        <v>136</v>
      </c>
      <c r="B1896" s="29" t="s">
        <v>97</v>
      </c>
      <c r="C1896" s="29" t="s">
        <v>9702</v>
      </c>
      <c r="D1896" s="4"/>
      <c r="E1896" s="1"/>
      <c r="F1896" s="4"/>
      <c r="G1896" s="4"/>
      <c r="H1896" s="9"/>
      <c r="I1896" s="4"/>
      <c r="J1896" s="4"/>
      <c r="K1896" s="1"/>
      <c r="L1896" s="6"/>
      <c r="M1896" s="4"/>
      <c r="N1896" s="12">
        <v>2017</v>
      </c>
      <c r="O1896" s="1"/>
      <c r="P1896" s="1"/>
      <c r="Q1896" s="13" t="s">
        <v>9703</v>
      </c>
      <c r="R1896" s="12" t="s">
        <v>9701</v>
      </c>
    </row>
    <row r="1897" spans="1:18" x14ac:dyDescent="0.25">
      <c r="A1897" s="29" t="s">
        <v>9699</v>
      </c>
      <c r="B1897" s="29" t="s">
        <v>9700</v>
      </c>
      <c r="C1897" s="29" t="s">
        <v>9706</v>
      </c>
      <c r="D1897" s="4"/>
      <c r="E1897" s="1"/>
      <c r="F1897" s="4"/>
      <c r="G1897" s="4"/>
      <c r="H1897" s="9"/>
      <c r="I1897" s="4"/>
      <c r="J1897" s="4"/>
      <c r="K1897" s="1"/>
      <c r="L1897" s="6"/>
      <c r="M1897" s="4"/>
      <c r="N1897" s="12">
        <v>2023</v>
      </c>
      <c r="O1897" s="1"/>
      <c r="P1897" s="1"/>
      <c r="Q1897" s="13" t="s">
        <v>9707</v>
      </c>
      <c r="R1897" s="12" t="s">
        <v>9705</v>
      </c>
    </row>
    <row r="1898" spans="1:18" x14ac:dyDescent="0.25">
      <c r="A1898" s="29" t="s">
        <v>912</v>
      </c>
      <c r="B1898" s="29" t="s">
        <v>9704</v>
      </c>
      <c r="C1898" s="29" t="s">
        <v>9709</v>
      </c>
      <c r="D1898" s="4"/>
      <c r="E1898" s="1"/>
      <c r="F1898" s="4"/>
      <c r="G1898" s="4"/>
      <c r="H1898" s="9"/>
      <c r="I1898" s="4"/>
      <c r="J1898" s="4"/>
      <c r="K1898" s="1"/>
      <c r="L1898" s="6"/>
      <c r="M1898" s="4"/>
      <c r="N1898" s="12">
        <v>2020</v>
      </c>
      <c r="O1898" s="1"/>
      <c r="P1898" s="1"/>
      <c r="Q1898" s="13" t="s">
        <v>9710</v>
      </c>
      <c r="R1898" s="12" t="s">
        <v>9708</v>
      </c>
    </row>
    <row r="1899" spans="1:18" x14ac:dyDescent="0.25">
      <c r="A1899" s="29" t="s">
        <v>1870</v>
      </c>
      <c r="B1899" s="29" t="s">
        <v>9512</v>
      </c>
      <c r="C1899" s="29" t="s">
        <v>9713</v>
      </c>
      <c r="D1899" s="4"/>
      <c r="E1899" s="1"/>
      <c r="F1899" s="4"/>
      <c r="G1899" s="4"/>
      <c r="H1899" s="9"/>
      <c r="I1899" s="4"/>
      <c r="J1899" s="4"/>
      <c r="K1899" s="1"/>
      <c r="L1899" s="6"/>
      <c r="M1899" s="4"/>
      <c r="N1899" s="12">
        <v>2020</v>
      </c>
      <c r="O1899" s="1"/>
      <c r="P1899" s="1"/>
      <c r="Q1899" s="13" t="s">
        <v>9714</v>
      </c>
      <c r="R1899" s="12" t="s">
        <v>9712</v>
      </c>
    </row>
    <row r="1900" spans="1:18" x14ac:dyDescent="0.25">
      <c r="A1900" s="29" t="s">
        <v>136</v>
      </c>
      <c r="B1900" s="29" t="s">
        <v>9711</v>
      </c>
      <c r="C1900" s="29" t="s">
        <v>9717</v>
      </c>
      <c r="D1900" s="4"/>
      <c r="E1900" s="1"/>
      <c r="F1900" s="4"/>
      <c r="G1900" s="4"/>
      <c r="H1900" s="9"/>
      <c r="I1900" s="4"/>
      <c r="J1900" s="4"/>
      <c r="K1900" s="1"/>
      <c r="L1900" s="6"/>
      <c r="M1900" s="4"/>
      <c r="N1900" s="12">
        <v>2021</v>
      </c>
      <c r="O1900" s="1"/>
      <c r="P1900" s="1"/>
      <c r="Q1900" s="13" t="s">
        <v>9718</v>
      </c>
      <c r="R1900" s="12" t="s">
        <v>9716</v>
      </c>
    </row>
    <row r="1901" spans="1:18" x14ac:dyDescent="0.25">
      <c r="A1901" s="29" t="s">
        <v>1870</v>
      </c>
      <c r="B1901" s="29" t="s">
        <v>9715</v>
      </c>
      <c r="C1901" s="29" t="s">
        <v>9720</v>
      </c>
      <c r="D1901" s="4"/>
      <c r="E1901" s="1"/>
      <c r="F1901" s="4"/>
      <c r="G1901" s="4"/>
      <c r="H1901" s="9"/>
      <c r="I1901" s="4"/>
      <c r="J1901" s="4"/>
      <c r="K1901" s="1"/>
      <c r="L1901" s="6"/>
      <c r="M1901" s="4"/>
      <c r="N1901" s="12">
        <v>2019</v>
      </c>
      <c r="O1901" s="1"/>
      <c r="P1901" s="1"/>
      <c r="Q1901" s="13" t="s">
        <v>9721</v>
      </c>
      <c r="R1901" s="12" t="s">
        <v>9719</v>
      </c>
    </row>
    <row r="1902" spans="1:18" x14ac:dyDescent="0.25">
      <c r="A1902" s="29" t="s">
        <v>4266</v>
      </c>
      <c r="B1902" s="29" t="s">
        <v>4265</v>
      </c>
      <c r="C1902" s="29" t="s">
        <v>9724</v>
      </c>
      <c r="D1902" s="4"/>
      <c r="E1902" s="1"/>
      <c r="F1902" s="4"/>
      <c r="G1902" s="4"/>
      <c r="H1902" s="9"/>
      <c r="I1902" s="4"/>
      <c r="J1902" s="4"/>
      <c r="K1902" s="1"/>
      <c r="L1902" s="6"/>
      <c r="M1902" s="4"/>
      <c r="N1902" s="12">
        <v>2022</v>
      </c>
      <c r="O1902" s="1"/>
      <c r="P1902" s="1"/>
      <c r="Q1902" s="13" t="s">
        <v>9725</v>
      </c>
      <c r="R1902" s="12" t="s">
        <v>9723</v>
      </c>
    </row>
    <row r="1903" spans="1:18" x14ac:dyDescent="0.25">
      <c r="A1903" s="29" t="s">
        <v>1870</v>
      </c>
      <c r="B1903" s="29" t="s">
        <v>9722</v>
      </c>
      <c r="C1903" s="29" t="s">
        <v>9728</v>
      </c>
      <c r="D1903" s="4"/>
      <c r="E1903" s="1"/>
      <c r="F1903" s="4"/>
      <c r="G1903" s="4"/>
      <c r="H1903" s="9"/>
      <c r="I1903" s="4"/>
      <c r="J1903" s="4"/>
      <c r="K1903" s="1"/>
      <c r="L1903" s="6"/>
      <c r="M1903" s="4"/>
      <c r="N1903" s="12">
        <v>2023</v>
      </c>
      <c r="O1903" s="1"/>
      <c r="P1903" s="1"/>
      <c r="Q1903" s="13" t="s">
        <v>9729</v>
      </c>
      <c r="R1903" s="12" t="s">
        <v>9727</v>
      </c>
    </row>
    <row r="1904" spans="1:18" x14ac:dyDescent="0.25">
      <c r="A1904" s="29" t="s">
        <v>676</v>
      </c>
      <c r="B1904" s="29" t="s">
        <v>9726</v>
      </c>
      <c r="C1904" s="29" t="s">
        <v>9732</v>
      </c>
      <c r="D1904" s="4"/>
      <c r="E1904" s="1"/>
      <c r="F1904" s="4"/>
      <c r="G1904" s="4"/>
      <c r="H1904" s="9"/>
      <c r="I1904" s="4"/>
      <c r="J1904" s="4"/>
      <c r="K1904" s="1"/>
      <c r="L1904" s="6"/>
      <c r="M1904" s="4"/>
      <c r="N1904" s="12">
        <v>2022</v>
      </c>
      <c r="O1904" s="1"/>
      <c r="P1904" s="1"/>
      <c r="Q1904" s="13" t="s">
        <v>9733</v>
      </c>
      <c r="R1904" s="12" t="s">
        <v>9731</v>
      </c>
    </row>
    <row r="1905" spans="1:18" x14ac:dyDescent="0.25">
      <c r="A1905" s="29" t="s">
        <v>9275</v>
      </c>
      <c r="B1905" s="29" t="s">
        <v>9730</v>
      </c>
      <c r="C1905" s="29" t="s">
        <v>9735</v>
      </c>
      <c r="D1905" s="4"/>
      <c r="E1905" s="1"/>
      <c r="F1905" s="4"/>
      <c r="G1905" s="4"/>
      <c r="H1905" s="9"/>
      <c r="I1905" s="4"/>
      <c r="J1905" s="4"/>
      <c r="K1905" s="1"/>
      <c r="L1905" s="6"/>
      <c r="M1905" s="4"/>
      <c r="N1905" s="12">
        <v>2020</v>
      </c>
      <c r="O1905" s="1"/>
      <c r="P1905" s="1"/>
      <c r="Q1905" s="13" t="s">
        <v>9736</v>
      </c>
      <c r="R1905" s="12" t="s">
        <v>9734</v>
      </c>
    </row>
    <row r="1906" spans="1:18" x14ac:dyDescent="0.25">
      <c r="A1906" s="29" t="s">
        <v>1870</v>
      </c>
      <c r="B1906" s="29" t="s">
        <v>9519</v>
      </c>
      <c r="C1906" s="29" t="s">
        <v>9739</v>
      </c>
      <c r="D1906" s="4"/>
      <c r="E1906" s="1"/>
      <c r="F1906" s="4"/>
      <c r="G1906" s="4"/>
      <c r="H1906" s="9"/>
      <c r="I1906" s="4"/>
      <c r="J1906" s="4"/>
      <c r="K1906" s="1"/>
      <c r="L1906" s="6"/>
      <c r="M1906" s="4"/>
      <c r="N1906" s="12">
        <v>2021</v>
      </c>
      <c r="O1906" s="1"/>
      <c r="P1906" s="1"/>
      <c r="Q1906" s="13" t="s">
        <v>9740</v>
      </c>
      <c r="R1906" s="12" t="s">
        <v>9738</v>
      </c>
    </row>
    <row r="1907" spans="1:18" x14ac:dyDescent="0.25">
      <c r="A1907" s="29" t="s">
        <v>1870</v>
      </c>
      <c r="B1907" s="29" t="s">
        <v>9737</v>
      </c>
      <c r="C1907" s="29" t="s">
        <v>9743</v>
      </c>
      <c r="D1907" s="4"/>
      <c r="E1907" s="1"/>
      <c r="F1907" s="4"/>
      <c r="G1907" s="4"/>
      <c r="H1907" s="9"/>
      <c r="I1907" s="4"/>
      <c r="J1907" s="4"/>
      <c r="K1907" s="1"/>
      <c r="L1907" s="6"/>
      <c r="M1907" s="4"/>
      <c r="N1907" s="12">
        <v>2018</v>
      </c>
      <c r="O1907" s="1"/>
      <c r="P1907" s="1"/>
      <c r="Q1907" s="13" t="s">
        <v>9744</v>
      </c>
      <c r="R1907" s="12" t="s">
        <v>9742</v>
      </c>
    </row>
    <row r="1908" spans="1:18" x14ac:dyDescent="0.25">
      <c r="A1908" s="29" t="s">
        <v>9275</v>
      </c>
      <c r="B1908" s="29" t="s">
        <v>9741</v>
      </c>
      <c r="C1908" s="29" t="s">
        <v>9745</v>
      </c>
      <c r="D1908" s="4"/>
      <c r="E1908" s="1"/>
      <c r="F1908" s="4"/>
      <c r="G1908" s="4"/>
      <c r="H1908" s="9"/>
      <c r="I1908" s="4"/>
      <c r="J1908" s="4"/>
      <c r="K1908" s="1"/>
      <c r="L1908" s="6"/>
      <c r="M1908" s="4"/>
      <c r="N1908" s="12">
        <v>2022</v>
      </c>
      <c r="O1908" s="1"/>
      <c r="P1908" s="1"/>
      <c r="Q1908" s="13" t="s">
        <v>9746</v>
      </c>
      <c r="R1908" s="12" t="s">
        <v>1185</v>
      </c>
    </row>
    <row r="1909" spans="1:18" x14ac:dyDescent="0.25">
      <c r="A1909" s="29" t="s">
        <v>136</v>
      </c>
      <c r="B1909" s="29" t="s">
        <v>1183</v>
      </c>
      <c r="C1909" s="29" t="s">
        <v>9749</v>
      </c>
      <c r="D1909" s="4"/>
      <c r="E1909" s="1"/>
      <c r="F1909" s="4"/>
      <c r="G1909" s="4"/>
      <c r="H1909" s="9"/>
      <c r="I1909" s="4"/>
      <c r="J1909" s="4"/>
      <c r="K1909" s="1"/>
      <c r="L1909" s="6"/>
      <c r="M1909" s="4"/>
      <c r="N1909" s="12">
        <v>2020</v>
      </c>
      <c r="O1909" s="1"/>
      <c r="P1909" s="1"/>
      <c r="Q1909" s="13" t="s">
        <v>9750</v>
      </c>
      <c r="R1909" s="12" t="s">
        <v>9748</v>
      </c>
    </row>
    <row r="1910" spans="1:18" x14ac:dyDescent="0.25">
      <c r="A1910" s="15"/>
      <c r="B1910" s="29" t="s">
        <v>9747</v>
      </c>
      <c r="C1910" s="29" t="s">
        <v>9474</v>
      </c>
      <c r="D1910" s="4"/>
      <c r="E1910" s="1"/>
      <c r="F1910" s="4"/>
      <c r="G1910" s="4"/>
      <c r="H1910" s="9"/>
      <c r="I1910" s="4"/>
      <c r="J1910" s="4"/>
      <c r="K1910" s="1"/>
      <c r="L1910" s="6"/>
      <c r="M1910" s="4"/>
      <c r="N1910" s="12">
        <v>2022</v>
      </c>
      <c r="O1910" s="1"/>
      <c r="P1910" s="1"/>
      <c r="Q1910" s="13" t="s">
        <v>9753</v>
      </c>
      <c r="R1910" s="12" t="s">
        <v>9752</v>
      </c>
    </row>
    <row r="1911" spans="1:18" x14ac:dyDescent="0.25">
      <c r="A1911" s="29" t="s">
        <v>9275</v>
      </c>
      <c r="B1911" s="29" t="s">
        <v>9751</v>
      </c>
      <c r="C1911" s="29" t="s">
        <v>9755</v>
      </c>
      <c r="D1911" s="4"/>
      <c r="E1911" s="1"/>
      <c r="F1911" s="4"/>
      <c r="G1911" s="4"/>
      <c r="H1911" s="9"/>
      <c r="I1911" s="4"/>
      <c r="J1911" s="4"/>
      <c r="K1911" s="1"/>
      <c r="L1911" s="6"/>
      <c r="M1911" s="4"/>
      <c r="N1911" s="12">
        <v>2018</v>
      </c>
      <c r="O1911" s="1"/>
      <c r="P1911" s="1"/>
      <c r="Q1911" s="13" t="s">
        <v>9756</v>
      </c>
      <c r="R1911" s="12" t="s">
        <v>9754</v>
      </c>
    </row>
    <row r="1912" spans="1:18" x14ac:dyDescent="0.25">
      <c r="A1912" s="29" t="s">
        <v>1870</v>
      </c>
      <c r="B1912" s="29" t="s">
        <v>9519</v>
      </c>
      <c r="C1912" s="29" t="s">
        <v>9760</v>
      </c>
      <c r="D1912" s="4"/>
      <c r="E1912" s="1"/>
      <c r="F1912" s="4"/>
      <c r="G1912" s="4"/>
      <c r="H1912" s="9"/>
      <c r="I1912" s="4"/>
      <c r="J1912" s="4"/>
      <c r="K1912" s="1"/>
      <c r="L1912" s="6"/>
      <c r="M1912" s="4"/>
      <c r="N1912" s="12">
        <v>2022</v>
      </c>
      <c r="O1912" s="1"/>
      <c r="P1912" s="1"/>
      <c r="Q1912" s="13" t="s">
        <v>9761</v>
      </c>
      <c r="R1912" s="12" t="s">
        <v>9759</v>
      </c>
    </row>
    <row r="1913" spans="1:18" x14ac:dyDescent="0.25">
      <c r="A1913" s="29" t="s">
        <v>9757</v>
      </c>
      <c r="B1913" s="29" t="s">
        <v>9758</v>
      </c>
      <c r="C1913" s="29" t="s">
        <v>9763</v>
      </c>
      <c r="D1913" s="4"/>
      <c r="E1913" s="1"/>
      <c r="F1913" s="4"/>
      <c r="G1913" s="4"/>
      <c r="H1913" s="9"/>
      <c r="I1913" s="4"/>
      <c r="J1913" s="4"/>
      <c r="K1913" s="1"/>
      <c r="L1913" s="6"/>
      <c r="M1913" s="4"/>
      <c r="N1913" s="12">
        <v>2020</v>
      </c>
      <c r="O1913" s="1"/>
      <c r="P1913" s="1"/>
      <c r="Q1913" s="13" t="s">
        <v>9764</v>
      </c>
      <c r="R1913" s="12" t="s">
        <v>4249</v>
      </c>
    </row>
    <row r="1914" spans="1:18" x14ac:dyDescent="0.25">
      <c r="A1914" s="29" t="s">
        <v>9762</v>
      </c>
      <c r="B1914" s="29" t="s">
        <v>4246</v>
      </c>
      <c r="C1914" s="29" t="s">
        <v>9765</v>
      </c>
      <c r="D1914" s="4"/>
      <c r="E1914" s="1"/>
      <c r="F1914" s="4"/>
      <c r="G1914" s="4"/>
      <c r="H1914" s="9"/>
      <c r="I1914" s="4"/>
      <c r="J1914" s="4"/>
      <c r="K1914" s="1"/>
      <c r="L1914" s="6"/>
      <c r="M1914" s="4"/>
      <c r="N1914" s="12">
        <v>2021</v>
      </c>
      <c r="O1914" s="1"/>
      <c r="P1914" s="1"/>
      <c r="Q1914" s="13" t="s">
        <v>9766</v>
      </c>
      <c r="R1914" s="12" t="s">
        <v>1880</v>
      </c>
    </row>
    <row r="1915" spans="1:18" x14ac:dyDescent="0.25">
      <c r="A1915" s="29" t="s">
        <v>136</v>
      </c>
      <c r="B1915" s="29" t="s">
        <v>1878</v>
      </c>
      <c r="C1915" s="29" t="s">
        <v>9770</v>
      </c>
      <c r="D1915" s="4"/>
      <c r="E1915" s="1"/>
      <c r="F1915" s="4"/>
      <c r="G1915" s="4"/>
      <c r="H1915" s="9"/>
      <c r="I1915" s="4"/>
      <c r="J1915" s="4"/>
      <c r="K1915" s="1"/>
      <c r="L1915" s="6"/>
      <c r="M1915" s="4"/>
      <c r="N1915" s="12">
        <v>2022</v>
      </c>
      <c r="O1915" s="1"/>
      <c r="P1915" s="1"/>
      <c r="Q1915" s="13" t="s">
        <v>9771</v>
      </c>
      <c r="R1915" s="12" t="s">
        <v>9769</v>
      </c>
    </row>
    <row r="1916" spans="1:18" x14ac:dyDescent="0.25">
      <c r="A1916" s="29" t="s">
        <v>9767</v>
      </c>
      <c r="B1916" s="29" t="s">
        <v>9768</v>
      </c>
      <c r="C1916" s="29" t="s">
        <v>9774</v>
      </c>
      <c r="D1916" s="4"/>
      <c r="E1916" s="1"/>
      <c r="F1916" s="4"/>
      <c r="G1916" s="4"/>
      <c r="H1916" s="9"/>
      <c r="I1916" s="4"/>
      <c r="J1916" s="4"/>
      <c r="K1916" s="1"/>
      <c r="L1916" s="6"/>
      <c r="M1916" s="4"/>
      <c r="N1916" s="12">
        <v>2022</v>
      </c>
      <c r="O1916" s="1"/>
      <c r="P1916" s="1"/>
      <c r="Q1916" s="13" t="s">
        <v>9775</v>
      </c>
      <c r="R1916" s="12" t="s">
        <v>9773</v>
      </c>
    </row>
    <row r="1917" spans="1:18" x14ac:dyDescent="0.25">
      <c r="A1917" s="29" t="s">
        <v>9275</v>
      </c>
      <c r="B1917" s="29" t="s">
        <v>9772</v>
      </c>
      <c r="C1917" s="29" t="s">
        <v>9776</v>
      </c>
      <c r="D1917" s="4"/>
      <c r="E1917" s="1"/>
      <c r="F1917" s="4"/>
      <c r="G1917" s="4"/>
      <c r="H1917" s="9"/>
      <c r="I1917" s="4"/>
      <c r="J1917" s="4"/>
      <c r="K1917" s="1"/>
      <c r="L1917" s="6"/>
      <c r="M1917" s="4"/>
      <c r="N1917" s="12">
        <v>2021</v>
      </c>
      <c r="O1917" s="1"/>
      <c r="P1917" s="1"/>
      <c r="Q1917" s="13" t="s">
        <v>9777</v>
      </c>
      <c r="R1917" s="12" t="s">
        <v>3347</v>
      </c>
    </row>
    <row r="1918" spans="1:18" x14ac:dyDescent="0.25">
      <c r="A1918" s="29" t="s">
        <v>136</v>
      </c>
      <c r="B1918" s="29" t="s">
        <v>3345</v>
      </c>
      <c r="C1918" s="29" t="s">
        <v>9780</v>
      </c>
      <c r="D1918" s="4"/>
      <c r="E1918" s="1"/>
      <c r="F1918" s="4"/>
      <c r="G1918" s="4"/>
      <c r="H1918" s="9"/>
      <c r="I1918" s="4"/>
      <c r="J1918" s="4"/>
      <c r="K1918" s="1"/>
      <c r="L1918" s="6"/>
      <c r="M1918" s="4"/>
      <c r="N1918" s="12">
        <v>2022</v>
      </c>
      <c r="O1918" s="1"/>
      <c r="P1918" s="1"/>
      <c r="Q1918" s="13" t="s">
        <v>9781</v>
      </c>
      <c r="R1918" s="12" t="s">
        <v>251</v>
      </c>
    </row>
    <row r="1919" spans="1:18" x14ac:dyDescent="0.25">
      <c r="A1919" s="29" t="s">
        <v>9778</v>
      </c>
      <c r="B1919" s="29" t="s">
        <v>9779</v>
      </c>
      <c r="C1919" s="29" t="s">
        <v>9785</v>
      </c>
      <c r="D1919" s="4"/>
      <c r="E1919" s="1"/>
      <c r="F1919" s="4"/>
      <c r="G1919" s="4"/>
      <c r="H1919" s="9"/>
      <c r="I1919" s="4"/>
      <c r="J1919" s="4"/>
      <c r="K1919" s="1"/>
      <c r="L1919" s="6"/>
      <c r="M1919" s="4"/>
      <c r="N1919" s="12">
        <v>2023</v>
      </c>
      <c r="O1919" s="1"/>
      <c r="P1919" s="1"/>
      <c r="Q1919" s="13" t="s">
        <v>9786</v>
      </c>
      <c r="R1919" s="12" t="s">
        <v>9784</v>
      </c>
    </row>
    <row r="1920" spans="1:18" x14ac:dyDescent="0.25">
      <c r="A1920" s="29" t="s">
        <v>9782</v>
      </c>
      <c r="B1920" s="29" t="s">
        <v>9783</v>
      </c>
      <c r="C1920" s="29" t="s">
        <v>9789</v>
      </c>
      <c r="D1920" s="4"/>
      <c r="E1920" s="1"/>
      <c r="F1920" s="4"/>
      <c r="G1920" s="4"/>
      <c r="H1920" s="9"/>
      <c r="I1920" s="4"/>
      <c r="J1920" s="4"/>
      <c r="K1920" s="1"/>
      <c r="L1920" s="6"/>
      <c r="M1920" s="4"/>
      <c r="N1920" s="12">
        <v>2020</v>
      </c>
      <c r="O1920" s="1"/>
      <c r="P1920" s="1"/>
      <c r="Q1920" s="13" t="s">
        <v>9790</v>
      </c>
      <c r="R1920" s="12" t="s">
        <v>9788</v>
      </c>
    </row>
    <row r="1921" spans="1:18" x14ac:dyDescent="0.25">
      <c r="A1921" s="29" t="s">
        <v>1870</v>
      </c>
      <c r="B1921" s="29" t="s">
        <v>9787</v>
      </c>
      <c r="C1921" s="29" t="s">
        <v>9793</v>
      </c>
      <c r="D1921" s="4"/>
      <c r="E1921" s="1"/>
      <c r="F1921" s="4"/>
      <c r="G1921" s="4"/>
      <c r="H1921" s="9"/>
      <c r="I1921" s="4"/>
      <c r="J1921" s="4"/>
      <c r="K1921" s="1"/>
      <c r="L1921" s="6"/>
      <c r="M1921" s="4"/>
      <c r="N1921" s="12">
        <v>2019</v>
      </c>
      <c r="O1921" s="1"/>
      <c r="P1921" s="1"/>
      <c r="Q1921" s="13" t="s">
        <v>9794</v>
      </c>
      <c r="R1921" s="12" t="s">
        <v>9792</v>
      </c>
    </row>
    <row r="1922" spans="1:18" x14ac:dyDescent="0.25">
      <c r="A1922" s="29" t="s">
        <v>9275</v>
      </c>
      <c r="B1922" s="29" t="s">
        <v>9791</v>
      </c>
      <c r="C1922" s="29" t="s">
        <v>9797</v>
      </c>
      <c r="D1922" s="4"/>
      <c r="E1922" s="1"/>
      <c r="F1922" s="4"/>
      <c r="G1922" s="4"/>
      <c r="H1922" s="9"/>
      <c r="I1922" s="4"/>
      <c r="J1922" s="4"/>
      <c r="K1922" s="1"/>
      <c r="L1922" s="6"/>
      <c r="M1922" s="4"/>
      <c r="N1922" s="12">
        <v>2022</v>
      </c>
      <c r="O1922" s="1"/>
      <c r="P1922" s="1"/>
      <c r="Q1922" s="13" t="s">
        <v>9798</v>
      </c>
      <c r="R1922" s="12" t="s">
        <v>9796</v>
      </c>
    </row>
    <row r="1923" spans="1:18" x14ac:dyDescent="0.25">
      <c r="A1923" s="29" t="s">
        <v>676</v>
      </c>
      <c r="B1923" s="29" t="s">
        <v>9795</v>
      </c>
      <c r="C1923" s="29" t="s">
        <v>9799</v>
      </c>
      <c r="D1923" s="4"/>
      <c r="E1923" s="1"/>
      <c r="F1923" s="4"/>
      <c r="G1923" s="4"/>
      <c r="H1923" s="9"/>
      <c r="I1923" s="4"/>
      <c r="J1923" s="4"/>
      <c r="K1923" s="1"/>
      <c r="L1923" s="6"/>
      <c r="M1923" s="4"/>
      <c r="N1923" s="12">
        <v>2021</v>
      </c>
      <c r="O1923" s="1"/>
      <c r="P1923" s="1"/>
      <c r="Q1923" s="13" t="s">
        <v>9800</v>
      </c>
      <c r="R1923" s="12" t="s">
        <v>2860</v>
      </c>
    </row>
    <row r="1924" spans="1:18" x14ac:dyDescent="0.25">
      <c r="A1924" s="29" t="s">
        <v>1927</v>
      </c>
      <c r="B1924" s="29" t="s">
        <v>2857</v>
      </c>
      <c r="C1924" s="29" t="s">
        <v>9803</v>
      </c>
      <c r="D1924" s="4"/>
      <c r="E1924" s="1"/>
      <c r="F1924" s="4"/>
      <c r="G1924" s="4"/>
      <c r="H1924" s="9"/>
      <c r="I1924" s="4"/>
      <c r="J1924" s="4"/>
      <c r="K1924" s="1"/>
      <c r="L1924" s="6"/>
      <c r="M1924" s="4"/>
      <c r="N1924" s="12">
        <v>2021</v>
      </c>
      <c r="O1924" s="1"/>
      <c r="P1924" s="1"/>
      <c r="Q1924" s="13" t="s">
        <v>9804</v>
      </c>
      <c r="R1924" s="12" t="s">
        <v>9802</v>
      </c>
    </row>
    <row r="1925" spans="1:18" x14ac:dyDescent="0.25">
      <c r="A1925" s="29" t="s">
        <v>462</v>
      </c>
      <c r="B1925" s="29" t="s">
        <v>9801</v>
      </c>
      <c r="C1925" s="29" t="s">
        <v>9807</v>
      </c>
      <c r="D1925" s="4"/>
      <c r="E1925" s="1"/>
      <c r="F1925" s="4"/>
      <c r="G1925" s="4"/>
      <c r="H1925" s="9"/>
      <c r="I1925" s="4"/>
      <c r="J1925" s="4"/>
      <c r="K1925" s="1"/>
      <c r="L1925" s="6"/>
      <c r="M1925" s="4"/>
      <c r="N1925" s="12">
        <v>2022</v>
      </c>
      <c r="O1925" s="1"/>
      <c r="P1925" s="1"/>
      <c r="Q1925" s="13" t="s">
        <v>9808</v>
      </c>
      <c r="R1925" s="12" t="s">
        <v>9806</v>
      </c>
    </row>
    <row r="1926" spans="1:18" x14ac:dyDescent="0.25">
      <c r="A1926" s="15"/>
      <c r="B1926" s="29" t="s">
        <v>9805</v>
      </c>
      <c r="C1926" s="29" t="s">
        <v>9810</v>
      </c>
      <c r="D1926" s="4"/>
      <c r="E1926" s="1"/>
      <c r="F1926" s="4"/>
      <c r="G1926" s="4"/>
      <c r="H1926" s="9"/>
      <c r="I1926" s="4"/>
      <c r="J1926" s="4"/>
      <c r="K1926" s="1"/>
      <c r="L1926" s="6"/>
      <c r="M1926" s="4"/>
      <c r="N1926" s="12">
        <v>2021</v>
      </c>
      <c r="O1926" s="1"/>
      <c r="P1926" s="1"/>
      <c r="Q1926" s="13" t="s">
        <v>9811</v>
      </c>
      <c r="R1926" s="12" t="s">
        <v>9809</v>
      </c>
    </row>
    <row r="1927" spans="1:18" x14ac:dyDescent="0.25">
      <c r="A1927" s="29" t="s">
        <v>1870</v>
      </c>
      <c r="B1927" s="29" t="s">
        <v>9722</v>
      </c>
      <c r="C1927" s="29" t="s">
        <v>9815</v>
      </c>
      <c r="D1927" s="4"/>
      <c r="E1927" s="1"/>
      <c r="F1927" s="4"/>
      <c r="G1927" s="4"/>
      <c r="H1927" s="9"/>
      <c r="I1927" s="4"/>
      <c r="J1927" s="4"/>
      <c r="K1927" s="1"/>
      <c r="L1927" s="6"/>
      <c r="M1927" s="4"/>
      <c r="N1927" s="12">
        <v>2022</v>
      </c>
      <c r="O1927" s="1"/>
      <c r="P1927" s="1"/>
      <c r="Q1927" s="13" t="s">
        <v>9816</v>
      </c>
      <c r="R1927" s="12" t="s">
        <v>9814</v>
      </c>
    </row>
    <row r="1928" spans="1:18" x14ac:dyDescent="0.25">
      <c r="A1928" s="29" t="s">
        <v>9812</v>
      </c>
      <c r="B1928" s="29" t="s">
        <v>9813</v>
      </c>
      <c r="C1928" s="29" t="s">
        <v>9819</v>
      </c>
      <c r="D1928" s="4"/>
      <c r="E1928" s="1"/>
      <c r="F1928" s="4"/>
      <c r="G1928" s="4"/>
      <c r="H1928" s="9"/>
      <c r="I1928" s="4"/>
      <c r="J1928" s="4"/>
      <c r="K1928" s="1"/>
      <c r="L1928" s="6"/>
      <c r="M1928" s="4"/>
      <c r="N1928" s="12">
        <v>2023</v>
      </c>
      <c r="O1928" s="1"/>
      <c r="P1928" s="1"/>
      <c r="Q1928" s="13" t="s">
        <v>9820</v>
      </c>
      <c r="R1928" s="12" t="s">
        <v>9818</v>
      </c>
    </row>
    <row r="1929" spans="1:18" x14ac:dyDescent="0.25">
      <c r="A1929" s="29" t="s">
        <v>676</v>
      </c>
      <c r="B1929" s="29" t="s">
        <v>9817</v>
      </c>
      <c r="C1929" s="29" t="s">
        <v>9823</v>
      </c>
      <c r="D1929" s="4"/>
      <c r="E1929" s="1"/>
      <c r="F1929" s="4"/>
      <c r="G1929" s="4"/>
      <c r="H1929" s="9"/>
      <c r="I1929" s="4"/>
      <c r="J1929" s="4"/>
      <c r="K1929" s="1"/>
      <c r="L1929" s="6"/>
      <c r="M1929" s="4"/>
      <c r="N1929" s="12">
        <v>2021</v>
      </c>
      <c r="O1929" s="1"/>
      <c r="P1929" s="1"/>
      <c r="Q1929" s="13" t="s">
        <v>9824</v>
      </c>
      <c r="R1929" s="12" t="s">
        <v>9822</v>
      </c>
    </row>
    <row r="1930" spans="1:18" x14ac:dyDescent="0.25">
      <c r="A1930" s="29" t="s">
        <v>9812</v>
      </c>
      <c r="B1930" s="29" t="s">
        <v>9821</v>
      </c>
      <c r="C1930" s="29" t="s">
        <v>9828</v>
      </c>
      <c r="D1930" s="4"/>
      <c r="E1930" s="1"/>
      <c r="F1930" s="4"/>
      <c r="G1930" s="4"/>
      <c r="H1930" s="9"/>
      <c r="I1930" s="4"/>
      <c r="J1930" s="4"/>
      <c r="K1930" s="1"/>
      <c r="L1930" s="6"/>
      <c r="M1930" s="4"/>
      <c r="N1930" s="12">
        <v>2022</v>
      </c>
      <c r="O1930" s="1"/>
      <c r="P1930" s="1"/>
      <c r="Q1930" s="13" t="s">
        <v>9829</v>
      </c>
      <c r="R1930" s="12" t="s">
        <v>9827</v>
      </c>
    </row>
    <row r="1931" spans="1:18" x14ac:dyDescent="0.25">
      <c r="A1931" s="29" t="s">
        <v>9825</v>
      </c>
      <c r="B1931" s="29" t="s">
        <v>9826</v>
      </c>
      <c r="C1931" s="29" t="s">
        <v>9833</v>
      </c>
      <c r="D1931" s="4"/>
      <c r="E1931" s="1"/>
      <c r="F1931" s="4"/>
      <c r="G1931" s="4"/>
      <c r="H1931" s="9"/>
      <c r="I1931" s="4"/>
      <c r="J1931" s="4"/>
      <c r="K1931" s="1"/>
      <c r="L1931" s="6"/>
      <c r="M1931" s="4"/>
      <c r="N1931" s="12">
        <v>2020</v>
      </c>
      <c r="O1931" s="1"/>
      <c r="P1931" s="1"/>
      <c r="Q1931" s="13" t="s">
        <v>9834</v>
      </c>
      <c r="R1931" s="12" t="s">
        <v>9832</v>
      </c>
    </row>
    <row r="1932" spans="1:18" x14ac:dyDescent="0.25">
      <c r="A1932" s="29" t="s">
        <v>9830</v>
      </c>
      <c r="B1932" s="29" t="s">
        <v>9831</v>
      </c>
      <c r="C1932" s="29" t="s">
        <v>9837</v>
      </c>
      <c r="D1932" s="4"/>
      <c r="E1932" s="1"/>
      <c r="F1932" s="4"/>
      <c r="G1932" s="4"/>
      <c r="H1932" s="9"/>
      <c r="I1932" s="4"/>
      <c r="J1932" s="4"/>
      <c r="K1932" s="1"/>
      <c r="L1932" s="6"/>
      <c r="M1932" s="4"/>
      <c r="N1932" s="12">
        <v>2022</v>
      </c>
      <c r="O1932" s="1"/>
      <c r="P1932" s="1"/>
      <c r="Q1932" s="13" t="s">
        <v>9838</v>
      </c>
      <c r="R1932" s="12" t="s">
        <v>9836</v>
      </c>
    </row>
    <row r="1933" spans="1:18" x14ac:dyDescent="0.25">
      <c r="A1933" s="29" t="s">
        <v>462</v>
      </c>
      <c r="B1933" s="29" t="s">
        <v>9835</v>
      </c>
      <c r="C1933" s="29" t="s">
        <v>9842</v>
      </c>
      <c r="D1933" s="4"/>
      <c r="E1933" s="1"/>
      <c r="F1933" s="4"/>
      <c r="G1933" s="4"/>
      <c r="H1933" s="9"/>
      <c r="I1933" s="4"/>
      <c r="J1933" s="4"/>
      <c r="K1933" s="1"/>
      <c r="L1933" s="6"/>
      <c r="M1933" s="4"/>
      <c r="N1933" s="12">
        <v>2021</v>
      </c>
      <c r="O1933" s="1"/>
      <c r="P1933" s="1"/>
      <c r="Q1933" s="13" t="s">
        <v>9843</v>
      </c>
      <c r="R1933" s="12" t="s">
        <v>9841</v>
      </c>
    </row>
    <row r="1934" spans="1:18" x14ac:dyDescent="0.25">
      <c r="A1934" s="29" t="s">
        <v>9839</v>
      </c>
      <c r="B1934" s="29" t="s">
        <v>9840</v>
      </c>
      <c r="C1934" s="29" t="s">
        <v>9847</v>
      </c>
      <c r="D1934" s="4"/>
      <c r="E1934" s="1"/>
      <c r="F1934" s="4"/>
      <c r="G1934" s="4"/>
      <c r="H1934" s="9"/>
      <c r="I1934" s="4"/>
      <c r="J1934" s="4"/>
      <c r="K1934" s="1"/>
      <c r="L1934" s="6"/>
      <c r="M1934" s="4"/>
      <c r="N1934" s="12">
        <v>2023</v>
      </c>
      <c r="O1934" s="1"/>
      <c r="P1934" s="1"/>
      <c r="Q1934" s="13" t="s">
        <v>9848</v>
      </c>
      <c r="R1934" s="12" t="s">
        <v>9846</v>
      </c>
    </row>
    <row r="1935" spans="1:18" x14ac:dyDescent="0.25">
      <c r="A1935" s="29" t="s">
        <v>9844</v>
      </c>
      <c r="B1935" s="29" t="s">
        <v>9845</v>
      </c>
      <c r="C1935" s="29" t="s">
        <v>9849</v>
      </c>
      <c r="D1935" s="4"/>
      <c r="E1935" s="1"/>
      <c r="F1935" s="4"/>
      <c r="G1935" s="4"/>
      <c r="H1935" s="9"/>
      <c r="I1935" s="4"/>
      <c r="J1935" s="4"/>
      <c r="K1935" s="1"/>
      <c r="L1935" s="6"/>
      <c r="M1935" s="4"/>
      <c r="N1935" s="12">
        <v>2022</v>
      </c>
      <c r="O1935" s="1"/>
      <c r="P1935" s="1"/>
      <c r="Q1935" s="13" t="s">
        <v>9850</v>
      </c>
      <c r="R1935" s="12" t="s">
        <v>440</v>
      </c>
    </row>
    <row r="1936" spans="1:18" x14ac:dyDescent="0.25">
      <c r="A1936" s="29" t="s">
        <v>136</v>
      </c>
      <c r="B1936" s="29" t="s">
        <v>438</v>
      </c>
      <c r="C1936" s="29" t="s">
        <v>9853</v>
      </c>
      <c r="D1936" s="4"/>
      <c r="E1936" s="1"/>
      <c r="F1936" s="4"/>
      <c r="G1936" s="4"/>
      <c r="H1936" s="9"/>
      <c r="I1936" s="4"/>
      <c r="J1936" s="4"/>
      <c r="K1936" s="1"/>
      <c r="L1936" s="6"/>
      <c r="M1936" s="4"/>
      <c r="N1936" s="12">
        <v>2022</v>
      </c>
      <c r="O1936" s="1"/>
      <c r="P1936" s="1"/>
      <c r="Q1936" s="13" t="s">
        <v>9854</v>
      </c>
      <c r="R1936" s="12" t="s">
        <v>9852</v>
      </c>
    </row>
    <row r="1937" spans="1:18" x14ac:dyDescent="0.25">
      <c r="A1937" s="29" t="s">
        <v>9275</v>
      </c>
      <c r="B1937" s="29" t="s">
        <v>9851</v>
      </c>
      <c r="C1937" s="29" t="s">
        <v>9857</v>
      </c>
      <c r="D1937" s="4"/>
      <c r="E1937" s="1"/>
      <c r="F1937" s="4"/>
      <c r="G1937" s="4"/>
      <c r="H1937" s="9"/>
      <c r="I1937" s="4"/>
      <c r="J1937" s="4"/>
      <c r="K1937" s="1"/>
      <c r="L1937" s="6"/>
      <c r="M1937" s="4"/>
      <c r="N1937" s="12">
        <v>2022</v>
      </c>
      <c r="O1937" s="1"/>
      <c r="P1937" s="1"/>
      <c r="Q1937" s="13" t="s">
        <v>9858</v>
      </c>
      <c r="R1937" s="12" t="s">
        <v>9856</v>
      </c>
    </row>
    <row r="1938" spans="1:18" x14ac:dyDescent="0.25">
      <c r="A1938" s="15"/>
      <c r="B1938" s="29" t="s">
        <v>9855</v>
      </c>
      <c r="C1938" s="29" t="s">
        <v>9861</v>
      </c>
      <c r="D1938" s="4"/>
      <c r="E1938" s="1"/>
      <c r="F1938" s="4"/>
      <c r="G1938" s="4"/>
      <c r="H1938" s="9"/>
      <c r="I1938" s="4"/>
      <c r="J1938" s="4"/>
      <c r="K1938" s="1"/>
      <c r="L1938" s="6"/>
      <c r="M1938" s="4"/>
      <c r="N1938" s="12">
        <v>2019</v>
      </c>
      <c r="O1938" s="1"/>
      <c r="P1938" s="1"/>
      <c r="Q1938" s="13" t="s">
        <v>9862</v>
      </c>
      <c r="R1938" s="12" t="s">
        <v>9860</v>
      </c>
    </row>
    <row r="1939" spans="1:18" x14ac:dyDescent="0.25">
      <c r="A1939" s="15"/>
      <c r="B1939" s="29" t="s">
        <v>9859</v>
      </c>
      <c r="C1939" s="29" t="s">
        <v>9864</v>
      </c>
      <c r="D1939" s="4"/>
      <c r="E1939" s="1"/>
      <c r="F1939" s="4"/>
      <c r="G1939" s="4"/>
      <c r="H1939" s="9"/>
      <c r="I1939" s="4"/>
      <c r="J1939" s="4"/>
      <c r="K1939" s="1"/>
      <c r="L1939" s="6"/>
      <c r="M1939" s="4"/>
      <c r="N1939" s="12">
        <v>2022</v>
      </c>
      <c r="O1939" s="1"/>
      <c r="P1939" s="1"/>
      <c r="Q1939" s="13" t="s">
        <v>9865</v>
      </c>
      <c r="R1939" s="12" t="s">
        <v>204</v>
      </c>
    </row>
    <row r="1940" spans="1:18" x14ac:dyDescent="0.25">
      <c r="A1940" s="29" t="s">
        <v>136</v>
      </c>
      <c r="B1940" s="29" t="s">
        <v>9863</v>
      </c>
      <c r="C1940" s="29" t="s">
        <v>9869</v>
      </c>
      <c r="D1940" s="4"/>
      <c r="E1940" s="1"/>
      <c r="F1940" s="4"/>
      <c r="G1940" s="4"/>
      <c r="H1940" s="9"/>
      <c r="I1940" s="4"/>
      <c r="J1940" s="4"/>
      <c r="K1940" s="1"/>
      <c r="L1940" s="6"/>
      <c r="M1940" s="4"/>
      <c r="N1940" s="12">
        <v>2018</v>
      </c>
      <c r="O1940" s="1"/>
      <c r="P1940" s="1"/>
      <c r="Q1940" s="13" t="s">
        <v>9870</v>
      </c>
      <c r="R1940" s="12" t="s">
        <v>9868</v>
      </c>
    </row>
    <row r="1941" spans="1:18" x14ac:dyDescent="0.25">
      <c r="A1941" s="29" t="s">
        <v>9866</v>
      </c>
      <c r="B1941" s="29" t="s">
        <v>9867</v>
      </c>
      <c r="C1941" s="29" t="s">
        <v>9871</v>
      </c>
      <c r="D1941" s="4"/>
      <c r="E1941" s="1"/>
      <c r="F1941" s="4"/>
      <c r="G1941" s="4"/>
      <c r="H1941" s="9"/>
      <c r="I1941" s="4"/>
      <c r="J1941" s="4"/>
      <c r="K1941" s="1"/>
      <c r="L1941" s="6"/>
      <c r="M1941" s="4"/>
      <c r="N1941" s="12">
        <v>2021</v>
      </c>
      <c r="O1941" s="1"/>
      <c r="P1941" s="1"/>
      <c r="Q1941" s="13" t="s">
        <v>9872</v>
      </c>
      <c r="R1941" s="12" t="s">
        <v>1626</v>
      </c>
    </row>
    <row r="1942" spans="1:18" x14ac:dyDescent="0.25">
      <c r="A1942" s="29" t="s">
        <v>1623</v>
      </c>
      <c r="B1942" s="29" t="s">
        <v>1622</v>
      </c>
      <c r="C1942" s="29" t="s">
        <v>9873</v>
      </c>
      <c r="D1942" s="4"/>
      <c r="E1942" s="1"/>
      <c r="F1942" s="4"/>
      <c r="G1942" s="4"/>
      <c r="H1942" s="9"/>
      <c r="I1942" s="4"/>
      <c r="J1942" s="4"/>
      <c r="K1942" s="1"/>
      <c r="L1942" s="6"/>
      <c r="M1942" s="4"/>
      <c r="N1942" s="12">
        <v>2022</v>
      </c>
      <c r="O1942" s="1"/>
      <c r="P1942" s="1"/>
      <c r="Q1942" s="13" t="s">
        <v>9874</v>
      </c>
      <c r="R1942" s="12" t="s">
        <v>237</v>
      </c>
    </row>
    <row r="1943" spans="1:18" x14ac:dyDescent="0.25">
      <c r="A1943" s="29" t="s">
        <v>136</v>
      </c>
      <c r="B1943" s="29" t="s">
        <v>235</v>
      </c>
      <c r="C1943" s="29" t="s">
        <v>9877</v>
      </c>
      <c r="D1943" s="4"/>
      <c r="E1943" s="1"/>
      <c r="F1943" s="4"/>
      <c r="G1943" s="4"/>
      <c r="H1943" s="9"/>
      <c r="I1943" s="4"/>
      <c r="J1943" s="4"/>
      <c r="K1943" s="1"/>
      <c r="L1943" s="6"/>
      <c r="M1943" s="4"/>
      <c r="N1943" s="12">
        <v>2022</v>
      </c>
      <c r="O1943" s="1"/>
      <c r="P1943" s="1"/>
      <c r="Q1943" s="13" t="s">
        <v>9878</v>
      </c>
      <c r="R1943" s="12" t="s">
        <v>9876</v>
      </c>
    </row>
    <row r="1944" spans="1:18" x14ac:dyDescent="0.25">
      <c r="A1944" s="15"/>
      <c r="B1944" s="29" t="s">
        <v>9875</v>
      </c>
      <c r="C1944" s="29" t="s">
        <v>9882</v>
      </c>
      <c r="D1944" s="4"/>
      <c r="E1944" s="1"/>
      <c r="F1944" s="4"/>
      <c r="G1944" s="4"/>
      <c r="H1944" s="9"/>
      <c r="I1944" s="4"/>
      <c r="J1944" s="4"/>
      <c r="K1944" s="1"/>
      <c r="L1944" s="6"/>
      <c r="M1944" s="4"/>
      <c r="N1944" s="12">
        <v>2022</v>
      </c>
      <c r="O1944" s="1"/>
      <c r="P1944" s="1"/>
      <c r="Q1944" s="13" t="s">
        <v>9883</v>
      </c>
      <c r="R1944" s="12" t="s">
        <v>9881</v>
      </c>
    </row>
    <row r="1945" spans="1:18" x14ac:dyDescent="0.25">
      <c r="A1945" s="29" t="s">
        <v>9879</v>
      </c>
      <c r="B1945" s="29" t="s">
        <v>9880</v>
      </c>
      <c r="C1945" s="29" t="s">
        <v>9885</v>
      </c>
      <c r="D1945" s="4"/>
      <c r="E1945" s="1"/>
      <c r="F1945" s="4"/>
      <c r="G1945" s="4"/>
      <c r="H1945" s="9"/>
      <c r="I1945" s="4"/>
      <c r="J1945" s="4"/>
      <c r="K1945" s="1"/>
      <c r="L1945" s="6"/>
      <c r="M1945" s="4"/>
      <c r="N1945" s="12">
        <v>2022</v>
      </c>
      <c r="O1945" s="1"/>
      <c r="P1945" s="1"/>
      <c r="Q1945" s="13" t="s">
        <v>9886</v>
      </c>
      <c r="R1945" s="12" t="s">
        <v>1082</v>
      </c>
    </row>
    <row r="1946" spans="1:18" x14ac:dyDescent="0.25">
      <c r="A1946" s="29" t="s">
        <v>9472</v>
      </c>
      <c r="B1946" s="29" t="s">
        <v>9884</v>
      </c>
      <c r="C1946" s="29" t="s">
        <v>9887</v>
      </c>
      <c r="D1946" s="4"/>
      <c r="E1946" s="1"/>
      <c r="F1946" s="4"/>
      <c r="G1946" s="4"/>
      <c r="H1946" s="9"/>
      <c r="I1946" s="4"/>
      <c r="J1946" s="4"/>
      <c r="K1946" s="1"/>
      <c r="L1946" s="6"/>
      <c r="M1946" s="4"/>
      <c r="N1946" s="12">
        <v>2022</v>
      </c>
      <c r="O1946" s="1"/>
      <c r="P1946" s="1"/>
      <c r="Q1946" s="13" t="s">
        <v>9888</v>
      </c>
      <c r="R1946" s="12" t="s">
        <v>908</v>
      </c>
    </row>
    <row r="1947" spans="1:18" x14ac:dyDescent="0.25">
      <c r="A1947" s="29" t="s">
        <v>136</v>
      </c>
      <c r="B1947" s="29" t="s">
        <v>906</v>
      </c>
      <c r="C1947" s="29" t="s">
        <v>9891</v>
      </c>
      <c r="D1947" s="4"/>
      <c r="E1947" s="1"/>
      <c r="F1947" s="4"/>
      <c r="G1947" s="4"/>
      <c r="H1947" s="9"/>
      <c r="I1947" s="4"/>
      <c r="J1947" s="4"/>
      <c r="K1947" s="1"/>
      <c r="L1947" s="6"/>
      <c r="M1947" s="4"/>
      <c r="N1947" s="12">
        <v>2022</v>
      </c>
      <c r="O1947" s="1"/>
      <c r="P1947" s="1"/>
      <c r="Q1947" s="13" t="s">
        <v>9892</v>
      </c>
      <c r="R1947" s="12" t="s">
        <v>9890</v>
      </c>
    </row>
    <row r="1948" spans="1:18" x14ac:dyDescent="0.25">
      <c r="A1948" s="29" t="s">
        <v>9275</v>
      </c>
      <c r="B1948" s="29" t="s">
        <v>9889</v>
      </c>
      <c r="C1948" s="29" t="s">
        <v>9895</v>
      </c>
      <c r="D1948" s="4"/>
      <c r="E1948" s="1"/>
      <c r="F1948" s="4"/>
      <c r="G1948" s="4"/>
      <c r="H1948" s="9"/>
      <c r="I1948" s="4"/>
      <c r="J1948" s="4"/>
      <c r="K1948" s="1"/>
      <c r="L1948" s="6"/>
      <c r="M1948" s="4"/>
      <c r="N1948" s="12">
        <v>2021</v>
      </c>
      <c r="O1948" s="1"/>
      <c r="P1948" s="1"/>
      <c r="Q1948" s="13" t="s">
        <v>9896</v>
      </c>
      <c r="R1948" s="12" t="s">
        <v>9894</v>
      </c>
    </row>
    <row r="1949" spans="1:18" x14ac:dyDescent="0.25">
      <c r="A1949" s="15"/>
      <c r="B1949" s="29" t="s">
        <v>9893</v>
      </c>
      <c r="C1949" s="29" t="s">
        <v>9899</v>
      </c>
      <c r="D1949" s="4"/>
      <c r="E1949" s="1"/>
      <c r="F1949" s="4"/>
      <c r="G1949" s="4"/>
      <c r="H1949" s="9"/>
      <c r="I1949" s="4"/>
      <c r="J1949" s="4"/>
      <c r="K1949" s="1"/>
      <c r="L1949" s="6"/>
      <c r="M1949" s="4"/>
      <c r="N1949" s="12">
        <v>2022</v>
      </c>
      <c r="O1949" s="1"/>
      <c r="P1949" s="1"/>
      <c r="Q1949" s="13" t="s">
        <v>9900</v>
      </c>
      <c r="R1949" s="12" t="s">
        <v>9898</v>
      </c>
    </row>
    <row r="1950" spans="1:18" x14ac:dyDescent="0.25">
      <c r="A1950" s="15"/>
      <c r="B1950" s="29" t="s">
        <v>9897</v>
      </c>
      <c r="C1950" s="29" t="s">
        <v>9902</v>
      </c>
      <c r="D1950" s="4"/>
      <c r="E1950" s="1"/>
      <c r="F1950" s="4"/>
      <c r="G1950" s="4"/>
      <c r="H1950" s="9"/>
      <c r="I1950" s="4"/>
      <c r="J1950" s="4"/>
      <c r="K1950" s="1"/>
      <c r="L1950" s="6"/>
      <c r="M1950" s="4"/>
      <c r="N1950" s="12">
        <v>2022</v>
      </c>
      <c r="O1950" s="1"/>
      <c r="P1950" s="1"/>
      <c r="Q1950" s="13" t="s">
        <v>9903</v>
      </c>
      <c r="R1950" s="12" t="s">
        <v>9901</v>
      </c>
    </row>
    <row r="1951" spans="1:18" x14ac:dyDescent="0.25">
      <c r="A1951" s="29" t="s">
        <v>9275</v>
      </c>
      <c r="B1951" s="29" t="s">
        <v>9889</v>
      </c>
      <c r="C1951" s="29" t="s">
        <v>9906</v>
      </c>
      <c r="D1951" s="4"/>
      <c r="E1951" s="1"/>
      <c r="F1951" s="4"/>
      <c r="G1951" s="4"/>
      <c r="H1951" s="9"/>
      <c r="I1951" s="4"/>
      <c r="J1951" s="4"/>
      <c r="K1951" s="1"/>
      <c r="L1951" s="6"/>
      <c r="M1951" s="4"/>
      <c r="N1951" s="12">
        <v>2021</v>
      </c>
      <c r="O1951" s="1"/>
      <c r="P1951" s="1"/>
      <c r="Q1951" s="13" t="s">
        <v>9907</v>
      </c>
      <c r="R1951" s="12" t="s">
        <v>9905</v>
      </c>
    </row>
    <row r="1952" spans="1:18" x14ac:dyDescent="0.25">
      <c r="A1952" s="15"/>
      <c r="B1952" s="29" t="s">
        <v>9904</v>
      </c>
      <c r="C1952" s="29" t="s">
        <v>9908</v>
      </c>
      <c r="D1952" s="4"/>
      <c r="E1952" s="1"/>
      <c r="F1952" s="4"/>
      <c r="G1952" s="4"/>
      <c r="H1952" s="9"/>
      <c r="I1952" s="4"/>
      <c r="J1952" s="4"/>
      <c r="K1952" s="1"/>
      <c r="L1952" s="6"/>
      <c r="M1952" s="4"/>
      <c r="N1952" s="12">
        <v>2021</v>
      </c>
      <c r="O1952" s="1"/>
      <c r="P1952" s="1"/>
      <c r="Q1952" s="13" t="s">
        <v>9909</v>
      </c>
      <c r="R1952" s="12" t="s">
        <v>3175</v>
      </c>
    </row>
    <row r="1953" spans="1:18" x14ac:dyDescent="0.25">
      <c r="A1953" s="29" t="s">
        <v>2166</v>
      </c>
      <c r="B1953" s="29" t="s">
        <v>3173</v>
      </c>
      <c r="C1953" s="29" t="s">
        <v>9910</v>
      </c>
      <c r="D1953" s="4"/>
      <c r="E1953" s="1"/>
      <c r="F1953" s="4"/>
      <c r="G1953" s="4"/>
      <c r="H1953" s="9"/>
      <c r="I1953" s="4"/>
      <c r="J1953" s="4"/>
      <c r="K1953" s="1"/>
      <c r="L1953" s="6"/>
      <c r="M1953" s="4"/>
      <c r="N1953" s="12">
        <v>2020</v>
      </c>
      <c r="O1953" s="1"/>
      <c r="P1953" s="1"/>
      <c r="Q1953" s="13" t="s">
        <v>9911</v>
      </c>
      <c r="R1953" s="12" t="s">
        <v>4376</v>
      </c>
    </row>
    <row r="1954" spans="1:18" x14ac:dyDescent="0.25">
      <c r="A1954" s="29" t="s">
        <v>1927</v>
      </c>
      <c r="B1954" s="29" t="s">
        <v>4372</v>
      </c>
      <c r="C1954" s="29" t="s">
        <v>9912</v>
      </c>
      <c r="D1954" s="4"/>
      <c r="E1954" s="1"/>
      <c r="F1954" s="4"/>
      <c r="G1954" s="4"/>
      <c r="H1954" s="9"/>
      <c r="I1954" s="4"/>
      <c r="J1954" s="4"/>
      <c r="K1954" s="1"/>
      <c r="L1954" s="6"/>
      <c r="M1954" s="4"/>
      <c r="N1954" s="12">
        <v>2017</v>
      </c>
      <c r="O1954" s="1"/>
      <c r="P1954" s="1"/>
      <c r="Q1954" s="13" t="s">
        <v>9913</v>
      </c>
      <c r="R1954" s="12" t="s">
        <v>5198</v>
      </c>
    </row>
    <row r="1955" spans="1:18" x14ac:dyDescent="0.25">
      <c r="A1955" s="29" t="s">
        <v>136</v>
      </c>
      <c r="B1955" s="29" t="s">
        <v>5195</v>
      </c>
      <c r="C1955" s="29" t="s">
        <v>9915</v>
      </c>
      <c r="D1955" s="4"/>
      <c r="E1955" s="1"/>
      <c r="F1955" s="4"/>
      <c r="G1955" s="4"/>
      <c r="H1955" s="9"/>
      <c r="I1955" s="4"/>
      <c r="J1955" s="4"/>
      <c r="K1955" s="1"/>
      <c r="L1955" s="6"/>
      <c r="M1955" s="4"/>
      <c r="N1955" s="12">
        <v>2022</v>
      </c>
      <c r="O1955" s="1"/>
      <c r="P1955" s="1"/>
      <c r="Q1955" s="13" t="s">
        <v>9916</v>
      </c>
      <c r="R1955" s="12" t="s">
        <v>9914</v>
      </c>
    </row>
    <row r="1956" spans="1:18" x14ac:dyDescent="0.25">
      <c r="A1956" s="29" t="s">
        <v>9275</v>
      </c>
      <c r="B1956" s="29" t="s">
        <v>9481</v>
      </c>
      <c r="C1956" s="29" t="s">
        <v>9919</v>
      </c>
      <c r="D1956" s="4"/>
      <c r="E1956" s="1"/>
      <c r="F1956" s="4"/>
      <c r="G1956" s="4"/>
      <c r="H1956" s="9"/>
      <c r="I1956" s="4"/>
      <c r="J1956" s="4"/>
      <c r="K1956" s="1"/>
      <c r="L1956" s="6"/>
      <c r="M1956" s="4"/>
      <c r="N1956" s="12">
        <v>2022</v>
      </c>
      <c r="O1956" s="1"/>
      <c r="P1956" s="1"/>
      <c r="Q1956" s="13" t="s">
        <v>9920</v>
      </c>
      <c r="R1956" s="12" t="s">
        <v>9918</v>
      </c>
    </row>
    <row r="1957" spans="1:18" x14ac:dyDescent="0.25">
      <c r="A1957" s="29" t="s">
        <v>462</v>
      </c>
      <c r="B1957" s="29" t="s">
        <v>9917</v>
      </c>
      <c r="C1957" s="29" t="s">
        <v>9924</v>
      </c>
      <c r="D1957" s="4"/>
      <c r="E1957" s="1"/>
      <c r="F1957" s="4"/>
      <c r="G1957" s="4"/>
      <c r="H1957" s="9"/>
      <c r="I1957" s="4"/>
      <c r="J1957" s="4"/>
      <c r="K1957" s="1"/>
      <c r="L1957" s="6"/>
      <c r="M1957" s="4"/>
      <c r="N1957" s="12">
        <v>2021</v>
      </c>
      <c r="O1957" s="1"/>
      <c r="P1957" s="1"/>
      <c r="Q1957" s="13" t="s">
        <v>9925</v>
      </c>
      <c r="R1957" s="12" t="s">
        <v>9923</v>
      </c>
    </row>
    <row r="1958" spans="1:18" x14ac:dyDescent="0.25">
      <c r="A1958" s="29" t="s">
        <v>9921</v>
      </c>
      <c r="B1958" s="29" t="s">
        <v>9922</v>
      </c>
      <c r="C1958" s="29" t="s">
        <v>9928</v>
      </c>
      <c r="D1958" s="4"/>
      <c r="E1958" s="1"/>
      <c r="F1958" s="4"/>
      <c r="G1958" s="4"/>
      <c r="H1958" s="9"/>
      <c r="I1958" s="4"/>
      <c r="J1958" s="4"/>
      <c r="K1958" s="1"/>
      <c r="L1958" s="6"/>
      <c r="M1958" s="4"/>
      <c r="N1958" s="12">
        <v>2022</v>
      </c>
      <c r="O1958" s="1"/>
      <c r="P1958" s="1"/>
      <c r="Q1958" s="13" t="s">
        <v>9929</v>
      </c>
      <c r="R1958" s="12" t="s">
        <v>9927</v>
      </c>
    </row>
    <row r="1959" spans="1:18" x14ac:dyDescent="0.25">
      <c r="A1959" s="15"/>
      <c r="B1959" s="29" t="s">
        <v>9926</v>
      </c>
      <c r="C1959" s="29" t="s">
        <v>9930</v>
      </c>
      <c r="D1959" s="4"/>
      <c r="E1959" s="1"/>
      <c r="F1959" s="4"/>
      <c r="G1959" s="4"/>
      <c r="H1959" s="9"/>
      <c r="I1959" s="4"/>
      <c r="J1959" s="4"/>
      <c r="K1959" s="1"/>
      <c r="L1959" s="6"/>
      <c r="M1959" s="4"/>
      <c r="N1959" s="12">
        <v>2022</v>
      </c>
      <c r="O1959" s="1"/>
      <c r="P1959" s="1"/>
      <c r="Q1959" s="13" t="s">
        <v>9931</v>
      </c>
      <c r="R1959" s="12" t="s">
        <v>183</v>
      </c>
    </row>
    <row r="1960" spans="1:18" x14ac:dyDescent="0.25">
      <c r="A1960" s="29" t="s">
        <v>179</v>
      </c>
      <c r="B1960" s="29" t="s">
        <v>178</v>
      </c>
      <c r="C1960" s="29" t="s">
        <v>9932</v>
      </c>
      <c r="D1960" s="4"/>
      <c r="E1960" s="1"/>
      <c r="F1960" s="4"/>
      <c r="G1960" s="4"/>
      <c r="H1960" s="9"/>
      <c r="I1960" s="4"/>
      <c r="J1960" s="4"/>
      <c r="K1960" s="1"/>
      <c r="L1960" s="6"/>
      <c r="M1960" s="4"/>
      <c r="N1960" s="12">
        <v>2020</v>
      </c>
      <c r="O1960" s="1"/>
      <c r="P1960" s="1"/>
      <c r="Q1960" s="13" t="s">
        <v>9933</v>
      </c>
      <c r="R1960" s="12" t="s">
        <v>4982</v>
      </c>
    </row>
    <row r="1961" spans="1:18" x14ac:dyDescent="0.25">
      <c r="A1961" s="29" t="s">
        <v>9730</v>
      </c>
      <c r="B1961" s="29" t="s">
        <v>4978</v>
      </c>
      <c r="C1961" s="29" t="s">
        <v>9935</v>
      </c>
      <c r="D1961" s="4"/>
      <c r="E1961" s="1"/>
      <c r="F1961" s="4"/>
      <c r="G1961" s="4"/>
      <c r="H1961" s="9"/>
      <c r="I1961" s="4"/>
      <c r="J1961" s="4"/>
      <c r="K1961" s="1"/>
      <c r="L1961" s="6"/>
      <c r="M1961" s="4"/>
      <c r="N1961" s="12">
        <v>2022</v>
      </c>
      <c r="O1961" s="1"/>
      <c r="P1961" s="1"/>
      <c r="Q1961" s="13" t="s">
        <v>9936</v>
      </c>
      <c r="R1961" s="12" t="s">
        <v>1697</v>
      </c>
    </row>
    <row r="1962" spans="1:18" x14ac:dyDescent="0.25">
      <c r="A1962" s="29" t="s">
        <v>9343</v>
      </c>
      <c r="B1962" s="29" t="s">
        <v>9934</v>
      </c>
      <c r="C1962" s="29" t="s">
        <v>9939</v>
      </c>
      <c r="D1962" s="4"/>
      <c r="E1962" s="1"/>
      <c r="F1962" s="4"/>
      <c r="G1962" s="4"/>
      <c r="H1962" s="9"/>
      <c r="I1962" s="4"/>
      <c r="J1962" s="4"/>
      <c r="K1962" s="1"/>
      <c r="L1962" s="6"/>
      <c r="M1962" s="4"/>
      <c r="N1962" s="12">
        <v>2019</v>
      </c>
      <c r="O1962" s="1"/>
      <c r="P1962" s="1"/>
      <c r="Q1962" s="13" t="s">
        <v>9940</v>
      </c>
      <c r="R1962" s="12" t="s">
        <v>9938</v>
      </c>
    </row>
    <row r="1963" spans="1:18" x14ac:dyDescent="0.25">
      <c r="A1963" s="29" t="s">
        <v>523</v>
      </c>
      <c r="B1963" s="29" t="s">
        <v>9937</v>
      </c>
      <c r="C1963" s="29" t="s">
        <v>9935</v>
      </c>
      <c r="D1963" s="4"/>
      <c r="E1963" s="1"/>
      <c r="F1963" s="4"/>
      <c r="G1963" s="4"/>
      <c r="H1963" s="9"/>
      <c r="I1963" s="4"/>
      <c r="J1963" s="4"/>
      <c r="K1963" s="1"/>
      <c r="L1963" s="6"/>
      <c r="M1963" s="4"/>
      <c r="N1963" s="12">
        <v>2021</v>
      </c>
      <c r="O1963" s="1"/>
      <c r="P1963" s="1"/>
      <c r="Q1963" s="13" t="s">
        <v>9941</v>
      </c>
      <c r="R1963" s="12" t="s">
        <v>3804</v>
      </c>
    </row>
    <row r="1964" spans="1:18" x14ac:dyDescent="0.25">
      <c r="A1964" s="29" t="s">
        <v>9302</v>
      </c>
      <c r="B1964" s="29" t="s">
        <v>3800</v>
      </c>
      <c r="C1964" s="29" t="s">
        <v>9944</v>
      </c>
      <c r="D1964" s="4"/>
      <c r="E1964" s="1"/>
      <c r="F1964" s="4"/>
      <c r="G1964" s="4"/>
      <c r="H1964" s="9"/>
      <c r="I1964" s="4"/>
      <c r="J1964" s="4"/>
      <c r="K1964" s="1"/>
      <c r="L1964" s="6"/>
      <c r="M1964" s="4"/>
      <c r="N1964" s="12">
        <v>2022</v>
      </c>
      <c r="O1964" s="1"/>
      <c r="P1964" s="1"/>
      <c r="Q1964" s="13" t="s">
        <v>9945</v>
      </c>
      <c r="R1964" s="12" t="s">
        <v>9943</v>
      </c>
    </row>
    <row r="1965" spans="1:18" x14ac:dyDescent="0.25">
      <c r="A1965" s="29" t="s">
        <v>676</v>
      </c>
      <c r="B1965" s="29" t="s">
        <v>9942</v>
      </c>
      <c r="C1965" s="29" t="s">
        <v>9947</v>
      </c>
      <c r="D1965" s="4"/>
      <c r="E1965" s="1"/>
      <c r="F1965" s="4"/>
      <c r="G1965" s="4"/>
      <c r="H1965" s="9"/>
      <c r="I1965" s="4"/>
      <c r="J1965" s="4"/>
      <c r="K1965" s="1"/>
      <c r="L1965" s="6"/>
      <c r="M1965" s="4"/>
      <c r="N1965" s="12">
        <v>2017</v>
      </c>
      <c r="O1965" s="1"/>
      <c r="P1965" s="1"/>
      <c r="Q1965" s="13" t="s">
        <v>9948</v>
      </c>
      <c r="R1965" s="12" t="s">
        <v>5237</v>
      </c>
    </row>
    <row r="1966" spans="1:18" x14ac:dyDescent="0.25">
      <c r="A1966" s="29" t="s">
        <v>9276</v>
      </c>
      <c r="B1966" s="29" t="s">
        <v>9946</v>
      </c>
      <c r="C1966" s="29" t="s">
        <v>9341</v>
      </c>
      <c r="D1966" s="4"/>
      <c r="E1966" s="1"/>
      <c r="F1966" s="4"/>
      <c r="G1966" s="4"/>
      <c r="H1966" s="9"/>
      <c r="I1966" s="4"/>
      <c r="J1966" s="4"/>
      <c r="K1966" s="1"/>
      <c r="L1966" s="6"/>
      <c r="M1966" s="4"/>
      <c r="N1966" s="12">
        <v>2023</v>
      </c>
      <c r="O1966" s="1"/>
      <c r="P1966" s="1"/>
      <c r="Q1966" s="13" t="s">
        <v>9951</v>
      </c>
      <c r="R1966" s="12" t="s">
        <v>9950</v>
      </c>
    </row>
    <row r="1967" spans="1:18" x14ac:dyDescent="0.25">
      <c r="A1967" s="29" t="s">
        <v>9339</v>
      </c>
      <c r="B1967" s="29" t="s">
        <v>9949</v>
      </c>
      <c r="C1967" s="29" t="s">
        <v>9954</v>
      </c>
      <c r="D1967" s="4"/>
      <c r="E1967" s="1"/>
      <c r="F1967" s="4"/>
      <c r="G1967" s="4"/>
      <c r="H1967" s="9"/>
      <c r="I1967" s="4"/>
      <c r="J1967" s="4"/>
      <c r="K1967" s="1"/>
      <c r="L1967" s="6"/>
      <c r="M1967" s="4"/>
      <c r="N1967" s="12">
        <v>2020</v>
      </c>
      <c r="O1967" s="1"/>
      <c r="P1967" s="1"/>
      <c r="Q1967" s="13" t="s">
        <v>9955</v>
      </c>
      <c r="R1967" s="12" t="s">
        <v>9953</v>
      </c>
    </row>
    <row r="1968" spans="1:18" x14ac:dyDescent="0.25">
      <c r="A1968" s="29" t="s">
        <v>9276</v>
      </c>
      <c r="B1968" s="29" t="s">
        <v>9952</v>
      </c>
      <c r="C1968" s="29" t="s">
        <v>9958</v>
      </c>
      <c r="D1968" s="4"/>
      <c r="E1968" s="1"/>
      <c r="F1968" s="4"/>
      <c r="G1968" s="4"/>
      <c r="H1968" s="9"/>
      <c r="I1968" s="4"/>
      <c r="J1968" s="4"/>
      <c r="K1968" s="1"/>
      <c r="L1968" s="6"/>
      <c r="M1968" s="4"/>
      <c r="N1968" s="12">
        <v>2022</v>
      </c>
      <c r="O1968" s="1"/>
      <c r="P1968" s="1"/>
      <c r="Q1968" s="13" t="s">
        <v>9959</v>
      </c>
      <c r="R1968" s="12" t="s">
        <v>9957</v>
      </c>
    </row>
    <row r="1969" spans="1:18" x14ac:dyDescent="0.25">
      <c r="A1969" s="15"/>
      <c r="B1969" s="29" t="s">
        <v>9956</v>
      </c>
      <c r="C1969" s="29" t="s">
        <v>9962</v>
      </c>
      <c r="D1969" s="4"/>
      <c r="E1969" s="1"/>
      <c r="F1969" s="4"/>
      <c r="G1969" s="4"/>
      <c r="H1969" s="9"/>
      <c r="I1969" s="4"/>
      <c r="J1969" s="4"/>
      <c r="K1969" s="1"/>
      <c r="L1969" s="6"/>
      <c r="M1969" s="4"/>
      <c r="N1969" s="12">
        <v>2020</v>
      </c>
      <c r="O1969" s="1"/>
      <c r="P1969" s="1"/>
      <c r="Q1969" s="13" t="s">
        <v>9963</v>
      </c>
      <c r="R1969" s="12" t="s">
        <v>9961</v>
      </c>
    </row>
    <row r="1970" spans="1:18" x14ac:dyDescent="0.25">
      <c r="A1970" s="29" t="s">
        <v>9481</v>
      </c>
      <c r="B1970" s="29" t="s">
        <v>9960</v>
      </c>
      <c r="C1970" s="29" t="s">
        <v>9966</v>
      </c>
      <c r="D1970" s="4"/>
      <c r="E1970" s="1"/>
      <c r="F1970" s="4"/>
      <c r="G1970" s="4"/>
      <c r="H1970" s="9"/>
      <c r="I1970" s="4"/>
      <c r="J1970" s="4"/>
      <c r="K1970" s="1"/>
      <c r="L1970" s="6"/>
      <c r="M1970" s="4"/>
      <c r="N1970" s="12">
        <v>2022</v>
      </c>
      <c r="O1970" s="1"/>
      <c r="P1970" s="1"/>
      <c r="Q1970" s="13" t="s">
        <v>9967</v>
      </c>
      <c r="R1970" s="12" t="s">
        <v>9965</v>
      </c>
    </row>
    <row r="1971" spans="1:18" x14ac:dyDescent="0.25">
      <c r="A1971" s="29" t="s">
        <v>9504</v>
      </c>
      <c r="B1971" s="29" t="s">
        <v>9964</v>
      </c>
      <c r="C1971" s="29" t="s">
        <v>9971</v>
      </c>
      <c r="D1971" s="4"/>
      <c r="E1971" s="1"/>
      <c r="F1971" s="4"/>
      <c r="G1971" s="4"/>
      <c r="H1971" s="9"/>
      <c r="I1971" s="4"/>
      <c r="J1971" s="4"/>
      <c r="K1971" s="1"/>
      <c r="L1971" s="6"/>
      <c r="M1971" s="4"/>
      <c r="N1971" s="12">
        <v>2019</v>
      </c>
      <c r="O1971" s="1"/>
      <c r="P1971" s="1"/>
      <c r="Q1971" s="13" t="s">
        <v>9972</v>
      </c>
      <c r="R1971" s="12" t="s">
        <v>9970</v>
      </c>
    </row>
    <row r="1972" spans="1:18" x14ac:dyDescent="0.25">
      <c r="A1972" s="29" t="s">
        <v>9968</v>
      </c>
      <c r="B1972" s="29" t="s">
        <v>9969</v>
      </c>
      <c r="C1972" s="29" t="s">
        <v>9973</v>
      </c>
      <c r="D1972" s="4"/>
      <c r="E1972" s="1"/>
      <c r="F1972" s="4"/>
      <c r="G1972" s="4"/>
      <c r="H1972" s="9"/>
      <c r="I1972" s="4"/>
      <c r="J1972" s="4"/>
      <c r="K1972" s="1"/>
      <c r="L1972" s="6"/>
      <c r="M1972" s="4"/>
      <c r="N1972" s="12">
        <v>2022</v>
      </c>
      <c r="O1972" s="1"/>
      <c r="P1972" s="1"/>
      <c r="Q1972" s="13" t="s">
        <v>9974</v>
      </c>
      <c r="R1972" s="12" t="s">
        <v>1117</v>
      </c>
    </row>
    <row r="1973" spans="1:18" x14ac:dyDescent="0.25">
      <c r="A1973" s="29" t="s">
        <v>523</v>
      </c>
      <c r="B1973" s="29" t="s">
        <v>1114</v>
      </c>
      <c r="C1973" s="29" t="s">
        <v>9978</v>
      </c>
      <c r="D1973" s="4"/>
      <c r="E1973" s="1"/>
      <c r="F1973" s="4"/>
      <c r="G1973" s="4"/>
      <c r="H1973" s="9"/>
      <c r="I1973" s="4"/>
      <c r="J1973" s="4"/>
      <c r="K1973" s="1"/>
      <c r="L1973" s="6"/>
      <c r="M1973" s="4"/>
      <c r="N1973" s="12">
        <v>2020</v>
      </c>
      <c r="O1973" s="1"/>
      <c r="P1973" s="1"/>
      <c r="Q1973" s="13" t="s">
        <v>9979</v>
      </c>
      <c r="R1973" s="12" t="s">
        <v>9977</v>
      </c>
    </row>
    <row r="1974" spans="1:18" x14ac:dyDescent="0.25">
      <c r="A1974" s="29" t="s">
        <v>9975</v>
      </c>
      <c r="B1974" s="29" t="s">
        <v>9976</v>
      </c>
      <c r="C1974" s="29" t="s">
        <v>9982</v>
      </c>
      <c r="D1974" s="4"/>
      <c r="E1974" s="1"/>
      <c r="F1974" s="4"/>
      <c r="G1974" s="4"/>
      <c r="H1974" s="9"/>
      <c r="I1974" s="4"/>
      <c r="J1974" s="4"/>
      <c r="K1974" s="1"/>
      <c r="L1974" s="6"/>
      <c r="M1974" s="4"/>
      <c r="N1974" s="12">
        <v>2022</v>
      </c>
      <c r="O1974" s="1"/>
      <c r="P1974" s="1"/>
      <c r="Q1974" s="13" t="s">
        <v>9983</v>
      </c>
      <c r="R1974" s="12" t="s">
        <v>9981</v>
      </c>
    </row>
    <row r="1975" spans="1:18" x14ac:dyDescent="0.25">
      <c r="A1975" s="15"/>
      <c r="B1975" s="29" t="s">
        <v>9980</v>
      </c>
      <c r="C1975" s="29" t="s">
        <v>9986</v>
      </c>
      <c r="D1975" s="4"/>
      <c r="E1975" s="1"/>
      <c r="F1975" s="4"/>
      <c r="G1975" s="4"/>
      <c r="H1975" s="9"/>
      <c r="I1975" s="4"/>
      <c r="J1975" s="4"/>
      <c r="K1975" s="1"/>
      <c r="L1975" s="6"/>
      <c r="M1975" s="4"/>
      <c r="N1975" s="12">
        <v>2022</v>
      </c>
      <c r="O1975" s="1"/>
      <c r="P1975" s="1"/>
      <c r="Q1975" s="13" t="s">
        <v>9987</v>
      </c>
      <c r="R1975" s="12" t="s">
        <v>9985</v>
      </c>
    </row>
    <row r="1976" spans="1:18" x14ac:dyDescent="0.25">
      <c r="A1976" s="29" t="s">
        <v>676</v>
      </c>
      <c r="B1976" s="29" t="s">
        <v>9984</v>
      </c>
      <c r="C1976" s="29" t="s">
        <v>9717</v>
      </c>
      <c r="D1976" s="4"/>
      <c r="E1976" s="1"/>
      <c r="F1976" s="4"/>
      <c r="G1976" s="4"/>
      <c r="H1976" s="9"/>
      <c r="I1976" s="4"/>
      <c r="J1976" s="4"/>
      <c r="K1976" s="1"/>
      <c r="L1976" s="6"/>
      <c r="M1976" s="4"/>
      <c r="N1976" s="12">
        <v>2022</v>
      </c>
      <c r="O1976" s="1"/>
      <c r="P1976" s="1"/>
      <c r="Q1976" s="13" t="s">
        <v>9989</v>
      </c>
      <c r="R1976" s="12" t="s">
        <v>9988</v>
      </c>
    </row>
    <row r="1977" spans="1:18" x14ac:dyDescent="0.25">
      <c r="A1977" s="29" t="s">
        <v>1870</v>
      </c>
      <c r="B1977" s="29" t="s">
        <v>9715</v>
      </c>
      <c r="C1977" s="29" t="s">
        <v>9990</v>
      </c>
      <c r="D1977" s="4"/>
      <c r="E1977" s="1"/>
      <c r="F1977" s="4"/>
      <c r="G1977" s="4"/>
      <c r="H1977" s="9"/>
      <c r="I1977" s="4"/>
      <c r="J1977" s="4"/>
      <c r="K1977" s="1"/>
      <c r="L1977" s="6"/>
      <c r="M1977" s="4"/>
      <c r="N1977" s="12">
        <v>2020</v>
      </c>
      <c r="O1977" s="1"/>
      <c r="P1977" s="1"/>
      <c r="Q1977" s="13" t="s">
        <v>9991</v>
      </c>
      <c r="R1977" s="12" t="s">
        <v>2789</v>
      </c>
    </row>
    <row r="1978" spans="1:18" x14ac:dyDescent="0.25">
      <c r="A1978" s="29" t="s">
        <v>2786</v>
      </c>
      <c r="B1978" s="29" t="s">
        <v>2785</v>
      </c>
      <c r="C1978" s="29" t="s">
        <v>9995</v>
      </c>
      <c r="D1978" s="4"/>
      <c r="E1978" s="1"/>
      <c r="F1978" s="4"/>
      <c r="G1978" s="4"/>
      <c r="H1978" s="9"/>
      <c r="I1978" s="4"/>
      <c r="J1978" s="4"/>
      <c r="K1978" s="1"/>
      <c r="L1978" s="6"/>
      <c r="M1978" s="4"/>
      <c r="N1978" s="12">
        <v>2018</v>
      </c>
      <c r="O1978" s="1"/>
      <c r="P1978" s="1"/>
      <c r="Q1978" s="13" t="s">
        <v>9996</v>
      </c>
      <c r="R1978" s="12" t="s">
        <v>9994</v>
      </c>
    </row>
    <row r="1979" spans="1:18" x14ac:dyDescent="0.25">
      <c r="A1979" s="29" t="s">
        <v>9992</v>
      </c>
      <c r="B1979" s="29" t="s">
        <v>9993</v>
      </c>
      <c r="C1979" s="29" t="s">
        <v>10000</v>
      </c>
      <c r="D1979" s="4"/>
      <c r="E1979" s="1"/>
      <c r="F1979" s="4"/>
      <c r="G1979" s="4"/>
      <c r="H1979" s="9"/>
      <c r="I1979" s="4"/>
      <c r="J1979" s="4"/>
      <c r="K1979" s="1"/>
      <c r="L1979" s="6"/>
      <c r="M1979" s="4"/>
      <c r="N1979" s="12">
        <v>2022</v>
      </c>
      <c r="O1979" s="1"/>
      <c r="P1979" s="1"/>
      <c r="Q1979" s="13" t="s">
        <v>10001</v>
      </c>
      <c r="R1979" s="12" t="s">
        <v>9999</v>
      </c>
    </row>
    <row r="1980" spans="1:18" x14ac:dyDescent="0.25">
      <c r="A1980" s="29" t="s">
        <v>9997</v>
      </c>
      <c r="B1980" s="29" t="s">
        <v>9998</v>
      </c>
      <c r="C1980" s="29" t="s">
        <v>10004</v>
      </c>
      <c r="D1980" s="4"/>
      <c r="E1980" s="1"/>
      <c r="F1980" s="4"/>
      <c r="G1980" s="4"/>
      <c r="H1980" s="9"/>
      <c r="I1980" s="4"/>
      <c r="J1980" s="4"/>
      <c r="K1980" s="1"/>
      <c r="L1980" s="6"/>
      <c r="M1980" s="4"/>
      <c r="N1980" s="12">
        <v>2022</v>
      </c>
      <c r="O1980" s="1"/>
      <c r="P1980" s="1"/>
      <c r="Q1980" s="13" t="s">
        <v>10005</v>
      </c>
      <c r="R1980" s="12" t="s">
        <v>10003</v>
      </c>
    </row>
    <row r="1981" spans="1:18" x14ac:dyDescent="0.25">
      <c r="A1981" s="29" t="s">
        <v>803</v>
      </c>
      <c r="B1981" s="29" t="s">
        <v>10002</v>
      </c>
      <c r="C1981" s="29" t="s">
        <v>10008</v>
      </c>
      <c r="D1981" s="4"/>
      <c r="E1981" s="1"/>
      <c r="F1981" s="4"/>
      <c r="G1981" s="4"/>
      <c r="H1981" s="9"/>
      <c r="I1981" s="4"/>
      <c r="J1981" s="4"/>
      <c r="K1981" s="1"/>
      <c r="L1981" s="6"/>
      <c r="M1981" s="4"/>
      <c r="N1981" s="12">
        <v>2022</v>
      </c>
      <c r="O1981" s="1"/>
      <c r="P1981" s="1"/>
      <c r="Q1981" s="13" t="s">
        <v>10009</v>
      </c>
      <c r="R1981" s="12" t="s">
        <v>10007</v>
      </c>
    </row>
    <row r="1982" spans="1:18" x14ac:dyDescent="0.25">
      <c r="A1982" s="29" t="s">
        <v>9403</v>
      </c>
      <c r="B1982" s="29" t="s">
        <v>10006</v>
      </c>
      <c r="C1982" s="29" t="s">
        <v>10012</v>
      </c>
      <c r="D1982" s="4"/>
      <c r="E1982" s="1"/>
      <c r="F1982" s="4"/>
      <c r="G1982" s="4"/>
      <c r="H1982" s="9"/>
      <c r="I1982" s="4"/>
      <c r="J1982" s="4"/>
      <c r="K1982" s="1"/>
      <c r="L1982" s="6"/>
      <c r="M1982" s="4"/>
      <c r="N1982" s="12">
        <v>2021</v>
      </c>
      <c r="O1982" s="1"/>
      <c r="P1982" s="1"/>
      <c r="Q1982" s="13" t="s">
        <v>10013</v>
      </c>
      <c r="R1982" s="12" t="s">
        <v>10011</v>
      </c>
    </row>
    <row r="1983" spans="1:18" x14ac:dyDescent="0.25">
      <c r="A1983" s="29" t="s">
        <v>9290</v>
      </c>
      <c r="B1983" s="29" t="s">
        <v>10010</v>
      </c>
      <c r="C1983" s="29" t="s">
        <v>10014</v>
      </c>
      <c r="D1983" s="4"/>
      <c r="E1983" s="1"/>
      <c r="F1983" s="4"/>
      <c r="G1983" s="4"/>
      <c r="H1983" s="9"/>
      <c r="I1983" s="4"/>
      <c r="J1983" s="4"/>
      <c r="K1983" s="1"/>
      <c r="L1983" s="6"/>
      <c r="M1983" s="4"/>
      <c r="N1983" s="12">
        <v>2022</v>
      </c>
      <c r="O1983" s="1"/>
      <c r="P1983" s="1"/>
      <c r="Q1983" s="13" t="s">
        <v>10015</v>
      </c>
      <c r="R1983" s="12" t="s">
        <v>1017</v>
      </c>
    </row>
    <row r="1984" spans="1:18" x14ac:dyDescent="0.25">
      <c r="A1984" s="29" t="s">
        <v>9276</v>
      </c>
      <c r="B1984" s="29" t="s">
        <v>1013</v>
      </c>
      <c r="C1984" s="29" t="s">
        <v>10018</v>
      </c>
      <c r="D1984" s="4"/>
      <c r="E1984" s="1"/>
      <c r="F1984" s="4"/>
      <c r="G1984" s="4"/>
      <c r="H1984" s="9"/>
      <c r="I1984" s="4"/>
      <c r="J1984" s="4"/>
      <c r="K1984" s="1"/>
      <c r="L1984" s="6"/>
      <c r="M1984" s="4"/>
      <c r="N1984" s="12">
        <v>2022</v>
      </c>
      <c r="O1984" s="1"/>
      <c r="P1984" s="1"/>
      <c r="Q1984" s="13" t="s">
        <v>10019</v>
      </c>
      <c r="R1984" s="12" t="s">
        <v>10017</v>
      </c>
    </row>
    <row r="1985" spans="1:18" x14ac:dyDescent="0.25">
      <c r="A1985" s="29" t="s">
        <v>9839</v>
      </c>
      <c r="B1985" s="29" t="s">
        <v>10016</v>
      </c>
      <c r="C1985" s="29" t="s">
        <v>10022</v>
      </c>
      <c r="D1985" s="4"/>
      <c r="E1985" s="1"/>
      <c r="F1985" s="4"/>
      <c r="G1985" s="4"/>
      <c r="H1985" s="9"/>
      <c r="I1985" s="4"/>
      <c r="J1985" s="4"/>
      <c r="K1985" s="1"/>
      <c r="L1985" s="6"/>
      <c r="M1985" s="4"/>
      <c r="N1985" s="12">
        <v>2019</v>
      </c>
      <c r="O1985" s="1"/>
      <c r="P1985" s="1"/>
      <c r="Q1985" s="13" t="s">
        <v>10023</v>
      </c>
      <c r="R1985" s="12" t="s">
        <v>10021</v>
      </c>
    </row>
    <row r="1986" spans="1:18" x14ac:dyDescent="0.25">
      <c r="A1986" s="15"/>
      <c r="B1986" s="29" t="s">
        <v>10020</v>
      </c>
      <c r="C1986" s="29" t="s">
        <v>10026</v>
      </c>
      <c r="D1986" s="4"/>
      <c r="E1986" s="1"/>
      <c r="F1986" s="4"/>
      <c r="G1986" s="4"/>
      <c r="H1986" s="9"/>
      <c r="I1986" s="4"/>
      <c r="J1986" s="4"/>
      <c r="K1986" s="1"/>
      <c r="L1986" s="6"/>
      <c r="M1986" s="4"/>
      <c r="N1986" s="12">
        <v>2021</v>
      </c>
      <c r="O1986" s="1"/>
      <c r="P1986" s="1"/>
      <c r="Q1986" s="13" t="s">
        <v>10027</v>
      </c>
      <c r="R1986" s="12" t="s">
        <v>10025</v>
      </c>
    </row>
    <row r="1987" spans="1:18" x14ac:dyDescent="0.25">
      <c r="A1987" s="29" t="s">
        <v>9290</v>
      </c>
      <c r="B1987" s="29" t="s">
        <v>10024</v>
      </c>
      <c r="C1987" s="29" t="s">
        <v>10030</v>
      </c>
      <c r="D1987" s="4"/>
      <c r="E1987" s="1"/>
      <c r="F1987" s="4"/>
      <c r="G1987" s="4"/>
      <c r="H1987" s="9"/>
      <c r="I1987" s="4"/>
      <c r="J1987" s="4"/>
      <c r="K1987" s="1"/>
      <c r="L1987" s="6"/>
      <c r="M1987" s="4"/>
      <c r="N1987" s="12">
        <v>2022</v>
      </c>
      <c r="O1987" s="1"/>
      <c r="P1987" s="1"/>
      <c r="Q1987" s="13" t="s">
        <v>10031</v>
      </c>
      <c r="R1987" s="12" t="s">
        <v>10029</v>
      </c>
    </row>
    <row r="1988" spans="1:18" x14ac:dyDescent="0.25">
      <c r="A1988" s="29" t="s">
        <v>9276</v>
      </c>
      <c r="B1988" s="29" t="s">
        <v>10028</v>
      </c>
      <c r="C1988" s="29" t="s">
        <v>10034</v>
      </c>
      <c r="D1988" s="4"/>
      <c r="E1988" s="1"/>
      <c r="F1988" s="4"/>
      <c r="G1988" s="4"/>
      <c r="H1988" s="9"/>
      <c r="I1988" s="4"/>
      <c r="J1988" s="4"/>
      <c r="K1988" s="1"/>
      <c r="L1988" s="6"/>
      <c r="M1988" s="4"/>
      <c r="N1988" s="12">
        <v>2018</v>
      </c>
      <c r="O1988" s="1"/>
      <c r="P1988" s="1"/>
      <c r="Q1988" s="13" t="s">
        <v>10035</v>
      </c>
      <c r="R1988" s="12" t="s">
        <v>5901</v>
      </c>
    </row>
    <row r="1989" spans="1:18" x14ac:dyDescent="0.25">
      <c r="A1989" s="29" t="s">
        <v>10032</v>
      </c>
      <c r="B1989" s="29" t="s">
        <v>10033</v>
      </c>
      <c r="C1989" s="29" t="s">
        <v>10038</v>
      </c>
      <c r="D1989" s="4"/>
      <c r="E1989" s="1"/>
      <c r="F1989" s="4"/>
      <c r="G1989" s="4"/>
      <c r="H1989" s="9"/>
      <c r="I1989" s="4"/>
      <c r="J1989" s="4"/>
      <c r="K1989" s="1"/>
      <c r="L1989" s="6"/>
      <c r="M1989" s="4"/>
      <c r="N1989" s="12">
        <v>2021</v>
      </c>
      <c r="O1989" s="1"/>
      <c r="P1989" s="1"/>
      <c r="Q1989" s="13" t="s">
        <v>10039</v>
      </c>
      <c r="R1989" s="12" t="s">
        <v>10037</v>
      </c>
    </row>
    <row r="1990" spans="1:18" x14ac:dyDescent="0.25">
      <c r="A1990" s="29" t="s">
        <v>136</v>
      </c>
      <c r="B1990" s="29" t="s">
        <v>10036</v>
      </c>
      <c r="C1990" s="29" t="s">
        <v>10042</v>
      </c>
      <c r="D1990" s="4"/>
      <c r="E1990" s="1"/>
      <c r="F1990" s="4"/>
      <c r="G1990" s="4"/>
      <c r="H1990" s="9"/>
      <c r="I1990" s="4"/>
      <c r="J1990" s="4"/>
      <c r="K1990" s="1"/>
      <c r="L1990" s="6"/>
      <c r="M1990" s="4"/>
      <c r="N1990" s="12">
        <v>2021</v>
      </c>
      <c r="O1990" s="1"/>
      <c r="P1990" s="1"/>
      <c r="Q1990" s="13" t="s">
        <v>10043</v>
      </c>
      <c r="R1990" s="12" t="s">
        <v>10041</v>
      </c>
    </row>
    <row r="1991" spans="1:18" x14ac:dyDescent="0.25">
      <c r="A1991" s="15"/>
      <c r="B1991" s="29" t="s">
        <v>10040</v>
      </c>
      <c r="C1991" s="29" t="s">
        <v>10044</v>
      </c>
      <c r="D1991" s="4"/>
      <c r="E1991" s="1"/>
      <c r="F1991" s="4"/>
      <c r="G1991" s="4"/>
      <c r="H1991" s="9"/>
      <c r="I1991" s="4"/>
      <c r="J1991" s="4"/>
      <c r="K1991" s="1"/>
      <c r="L1991" s="6"/>
      <c r="M1991" s="4"/>
      <c r="N1991" s="12">
        <v>2021</v>
      </c>
      <c r="O1991" s="1"/>
      <c r="P1991" s="1"/>
      <c r="Q1991" s="13" t="s">
        <v>10045</v>
      </c>
      <c r="R1991" s="12" t="s">
        <v>123</v>
      </c>
    </row>
    <row r="1992" spans="1:18" x14ac:dyDescent="0.25">
      <c r="A1992" s="29" t="s">
        <v>582</v>
      </c>
      <c r="B1992" s="29" t="s">
        <v>121</v>
      </c>
      <c r="C1992" s="29" t="s">
        <v>9847</v>
      </c>
      <c r="D1992" s="4"/>
      <c r="E1992" s="1"/>
      <c r="F1992" s="4"/>
      <c r="G1992" s="4"/>
      <c r="H1992" s="9"/>
      <c r="I1992" s="4"/>
      <c r="J1992" s="4"/>
      <c r="K1992" s="1"/>
      <c r="L1992" s="6"/>
      <c r="M1992" s="4"/>
      <c r="N1992" s="12">
        <v>2022</v>
      </c>
      <c r="O1992" s="1"/>
      <c r="P1992" s="1"/>
      <c r="Q1992" s="13" t="s">
        <v>10049</v>
      </c>
      <c r="R1992" s="12" t="s">
        <v>10048</v>
      </c>
    </row>
    <row r="1993" spans="1:18" x14ac:dyDescent="0.25">
      <c r="A1993" s="29" t="s">
        <v>10046</v>
      </c>
      <c r="B1993" s="29" t="s">
        <v>10047</v>
      </c>
      <c r="C1993" s="29" t="s">
        <v>10052</v>
      </c>
      <c r="D1993" s="4"/>
      <c r="E1993" s="1"/>
      <c r="F1993" s="4"/>
      <c r="G1993" s="4"/>
      <c r="H1993" s="9"/>
      <c r="I1993" s="4"/>
      <c r="J1993" s="4"/>
      <c r="K1993" s="1"/>
      <c r="L1993" s="6"/>
      <c r="M1993" s="4"/>
      <c r="N1993" s="12">
        <v>2021</v>
      </c>
      <c r="O1993" s="1"/>
      <c r="P1993" s="1"/>
      <c r="Q1993" s="13" t="s">
        <v>10053</v>
      </c>
      <c r="R1993" s="12" t="s">
        <v>10051</v>
      </c>
    </row>
    <row r="1994" spans="1:18" x14ac:dyDescent="0.25">
      <c r="A1994" s="29" t="s">
        <v>9460</v>
      </c>
      <c r="B1994" s="29" t="s">
        <v>10050</v>
      </c>
      <c r="C1994" s="29" t="s">
        <v>10054</v>
      </c>
      <c r="D1994" s="4"/>
      <c r="E1994" s="1"/>
      <c r="F1994" s="4"/>
      <c r="G1994" s="4"/>
      <c r="H1994" s="9"/>
      <c r="I1994" s="4"/>
      <c r="J1994" s="4"/>
      <c r="K1994" s="1"/>
      <c r="L1994" s="6"/>
      <c r="M1994" s="4"/>
      <c r="N1994" s="12">
        <v>2022</v>
      </c>
      <c r="O1994" s="1"/>
      <c r="P1994" s="1"/>
      <c r="Q1994" s="13" t="s">
        <v>10055</v>
      </c>
      <c r="R1994" s="12" t="s">
        <v>863</v>
      </c>
    </row>
    <row r="1995" spans="1:18" x14ac:dyDescent="0.25">
      <c r="A1995" s="29" t="s">
        <v>136</v>
      </c>
      <c r="B1995" s="29" t="s">
        <v>861</v>
      </c>
      <c r="C1995" s="29" t="s">
        <v>10058</v>
      </c>
      <c r="D1995" s="4"/>
      <c r="E1995" s="1"/>
      <c r="F1995" s="4"/>
      <c r="G1995" s="4"/>
      <c r="H1995" s="9"/>
      <c r="I1995" s="4"/>
      <c r="J1995" s="4"/>
      <c r="K1995" s="1"/>
      <c r="L1995" s="6"/>
      <c r="M1995" s="4"/>
      <c r="N1995" s="12">
        <v>2019</v>
      </c>
      <c r="O1995" s="1"/>
      <c r="P1995" s="1"/>
      <c r="Q1995" s="13" t="s">
        <v>10059</v>
      </c>
      <c r="R1995" s="12" t="s">
        <v>10057</v>
      </c>
    </row>
    <row r="1996" spans="1:18" x14ac:dyDescent="0.25">
      <c r="A1996" s="29" t="s">
        <v>9839</v>
      </c>
      <c r="B1996" s="29" t="s">
        <v>10056</v>
      </c>
      <c r="C1996" s="29" t="s">
        <v>10062</v>
      </c>
      <c r="D1996" s="4"/>
      <c r="E1996" s="1"/>
      <c r="F1996" s="4"/>
      <c r="G1996" s="4"/>
      <c r="H1996" s="9"/>
      <c r="I1996" s="4"/>
      <c r="J1996" s="4"/>
      <c r="K1996" s="1"/>
      <c r="L1996" s="6"/>
      <c r="M1996" s="4"/>
      <c r="N1996" s="12">
        <v>2021</v>
      </c>
      <c r="O1996" s="1"/>
      <c r="P1996" s="1"/>
      <c r="Q1996" s="13" t="s">
        <v>10063</v>
      </c>
      <c r="R1996" s="12" t="s">
        <v>10061</v>
      </c>
    </row>
    <row r="1997" spans="1:18" x14ac:dyDescent="0.25">
      <c r="A1997" s="29" t="s">
        <v>9464</v>
      </c>
      <c r="B1997" s="29" t="s">
        <v>10060</v>
      </c>
      <c r="C1997" s="29" t="s">
        <v>10066</v>
      </c>
      <c r="D1997" s="4"/>
      <c r="E1997" s="1"/>
      <c r="F1997" s="4"/>
      <c r="G1997" s="4"/>
      <c r="H1997" s="9"/>
      <c r="I1997" s="4"/>
      <c r="J1997" s="4"/>
      <c r="K1997" s="1"/>
      <c r="L1997" s="6"/>
      <c r="M1997" s="4"/>
      <c r="N1997" s="12">
        <v>2020</v>
      </c>
      <c r="O1997" s="1"/>
      <c r="P1997" s="1"/>
      <c r="Q1997" s="13" t="s">
        <v>10067</v>
      </c>
      <c r="R1997" s="12" t="s">
        <v>10065</v>
      </c>
    </row>
    <row r="1998" spans="1:18" x14ac:dyDescent="0.25">
      <c r="A1998" s="29" t="s">
        <v>9975</v>
      </c>
      <c r="B1998" s="29" t="s">
        <v>10064</v>
      </c>
      <c r="C1998" s="29" t="s">
        <v>10070</v>
      </c>
      <c r="D1998" s="4"/>
      <c r="E1998" s="1"/>
      <c r="F1998" s="4"/>
      <c r="G1998" s="4"/>
      <c r="H1998" s="9"/>
      <c r="I1998" s="4"/>
      <c r="J1998" s="4"/>
      <c r="K1998" s="1"/>
      <c r="L1998" s="6"/>
      <c r="M1998" s="4"/>
      <c r="N1998" s="12">
        <v>2022</v>
      </c>
      <c r="O1998" s="1"/>
      <c r="P1998" s="1"/>
      <c r="Q1998" s="13" t="s">
        <v>10071</v>
      </c>
      <c r="R1998" s="12" t="s">
        <v>10069</v>
      </c>
    </row>
    <row r="1999" spans="1:18" x14ac:dyDescent="0.25">
      <c r="A1999" s="29" t="s">
        <v>136</v>
      </c>
      <c r="B1999" s="29" t="s">
        <v>10068</v>
      </c>
      <c r="C1999" s="29" t="s">
        <v>10073</v>
      </c>
      <c r="D1999" s="4"/>
      <c r="E1999" s="1"/>
      <c r="F1999" s="4"/>
      <c r="G1999" s="4"/>
      <c r="H1999" s="9"/>
      <c r="I1999" s="4"/>
      <c r="J1999" s="4"/>
      <c r="K1999" s="1"/>
      <c r="L1999" s="6"/>
      <c r="M1999" s="4"/>
      <c r="N1999" s="12">
        <v>2022</v>
      </c>
      <c r="O1999" s="1"/>
      <c r="P1999" s="1"/>
      <c r="Q1999" s="13" t="s">
        <v>10074</v>
      </c>
      <c r="R1999" s="12" t="s">
        <v>1875</v>
      </c>
    </row>
    <row r="2000" spans="1:18" x14ac:dyDescent="0.25">
      <c r="A2000" s="29" t="s">
        <v>9544</v>
      </c>
      <c r="B2000" s="29" t="s">
        <v>10072</v>
      </c>
      <c r="C2000" s="29" t="s">
        <v>10077</v>
      </c>
      <c r="D2000" s="4"/>
      <c r="E2000" s="1"/>
      <c r="F2000" s="4"/>
      <c r="G2000" s="4"/>
      <c r="H2000" s="9"/>
      <c r="I2000" s="4"/>
      <c r="J2000" s="4"/>
      <c r="K2000" s="1"/>
      <c r="L2000" s="6"/>
      <c r="M2000" s="4"/>
      <c r="N2000" s="12">
        <v>2022</v>
      </c>
      <c r="O2000" s="1"/>
      <c r="P2000" s="1"/>
      <c r="Q2000" s="13" t="s">
        <v>10078</v>
      </c>
      <c r="R2000" s="12" t="s">
        <v>10076</v>
      </c>
    </row>
    <row r="2001" spans="1:18" x14ac:dyDescent="0.25">
      <c r="A2001" s="15"/>
      <c r="B2001" s="29" t="s">
        <v>10075</v>
      </c>
      <c r="C2001" s="29" t="s">
        <v>10079</v>
      </c>
      <c r="D2001" s="4"/>
      <c r="E2001" s="1"/>
      <c r="F2001" s="4"/>
      <c r="G2001" s="4"/>
      <c r="H2001" s="9"/>
      <c r="I2001" s="4"/>
      <c r="J2001" s="4"/>
      <c r="K2001" s="1"/>
      <c r="L2001" s="6"/>
      <c r="M2001" s="4"/>
      <c r="N2001" s="12">
        <v>2022</v>
      </c>
      <c r="O2001" s="1"/>
      <c r="P2001" s="1"/>
      <c r="Q2001" s="13" t="s">
        <v>10080</v>
      </c>
      <c r="R2001" s="12" t="s">
        <v>1633</v>
      </c>
    </row>
    <row r="2002" spans="1:18" x14ac:dyDescent="0.25">
      <c r="A2002" s="29" t="s">
        <v>9351</v>
      </c>
      <c r="B2002" s="29" t="s">
        <v>1629</v>
      </c>
      <c r="C2002" s="29" t="s">
        <v>10084</v>
      </c>
      <c r="D2002" s="4"/>
      <c r="E2002" s="1"/>
      <c r="F2002" s="4"/>
      <c r="G2002" s="4"/>
      <c r="H2002" s="9"/>
      <c r="I2002" s="4"/>
      <c r="J2002" s="4"/>
      <c r="K2002" s="1"/>
      <c r="L2002" s="6"/>
      <c r="M2002" s="4"/>
      <c r="N2002" s="12">
        <v>2022</v>
      </c>
      <c r="O2002" s="1"/>
      <c r="P2002" s="1"/>
      <c r="Q2002" s="13" t="s">
        <v>10085</v>
      </c>
      <c r="R2002" s="12" t="s">
        <v>10083</v>
      </c>
    </row>
    <row r="2003" spans="1:18" x14ac:dyDescent="0.25">
      <c r="A2003" s="29" t="s">
        <v>10081</v>
      </c>
      <c r="B2003" s="29" t="s">
        <v>10082</v>
      </c>
      <c r="C2003" s="29" t="s">
        <v>10088</v>
      </c>
      <c r="D2003" s="4"/>
      <c r="E2003" s="1"/>
      <c r="F2003" s="4"/>
      <c r="G2003" s="4"/>
      <c r="H2003" s="9"/>
      <c r="I2003" s="4"/>
      <c r="J2003" s="4"/>
      <c r="K2003" s="1"/>
      <c r="L2003" s="6"/>
      <c r="M2003" s="4"/>
      <c r="N2003" s="12">
        <v>2021</v>
      </c>
      <c r="O2003" s="1"/>
      <c r="P2003" s="1"/>
      <c r="Q2003" s="13" t="s">
        <v>10089</v>
      </c>
      <c r="R2003" s="12" t="s">
        <v>10087</v>
      </c>
    </row>
    <row r="2004" spans="1:18" x14ac:dyDescent="0.25">
      <c r="A2004" s="15"/>
      <c r="B2004" s="29" t="s">
        <v>10086</v>
      </c>
      <c r="C2004" s="29" t="s">
        <v>9995</v>
      </c>
      <c r="D2004" s="4"/>
      <c r="E2004" s="1"/>
      <c r="F2004" s="4"/>
      <c r="G2004" s="4"/>
      <c r="H2004" s="9"/>
      <c r="I2004" s="4"/>
      <c r="J2004" s="4"/>
      <c r="K2004" s="1"/>
      <c r="L2004" s="6"/>
      <c r="M2004" s="4"/>
      <c r="N2004" s="12">
        <v>2018</v>
      </c>
      <c r="O2004" s="1"/>
      <c r="P2004" s="1"/>
      <c r="Q2004" s="13" t="s">
        <v>10092</v>
      </c>
      <c r="R2004" s="12" t="s">
        <v>10091</v>
      </c>
    </row>
    <row r="2005" spans="1:18" x14ac:dyDescent="0.25">
      <c r="A2005" s="29" t="s">
        <v>9992</v>
      </c>
      <c r="B2005" s="29" t="s">
        <v>10090</v>
      </c>
      <c r="C2005" s="29" t="s">
        <v>10095</v>
      </c>
      <c r="D2005" s="4"/>
      <c r="E2005" s="1"/>
      <c r="F2005" s="4"/>
      <c r="G2005" s="4"/>
      <c r="H2005" s="9"/>
      <c r="I2005" s="4"/>
      <c r="J2005" s="4"/>
      <c r="K2005" s="1"/>
      <c r="L2005" s="6"/>
      <c r="M2005" s="4"/>
      <c r="N2005" s="12">
        <v>2022</v>
      </c>
      <c r="O2005" s="1"/>
      <c r="P2005" s="1"/>
      <c r="Q2005" s="13" t="s">
        <v>10096</v>
      </c>
      <c r="R2005" s="12" t="s">
        <v>10094</v>
      </c>
    </row>
    <row r="2006" spans="1:18" x14ac:dyDescent="0.25">
      <c r="A2006" s="15"/>
      <c r="B2006" s="29" t="s">
        <v>10093</v>
      </c>
      <c r="C2006" s="29" t="s">
        <v>10097</v>
      </c>
      <c r="D2006" s="4"/>
      <c r="E2006" s="1"/>
      <c r="F2006" s="4"/>
      <c r="G2006" s="4"/>
      <c r="H2006" s="9"/>
      <c r="I2006" s="4"/>
      <c r="J2006" s="4"/>
      <c r="K2006" s="1"/>
      <c r="L2006" s="6"/>
      <c r="M2006" s="4"/>
      <c r="N2006" s="12">
        <v>2022</v>
      </c>
      <c r="O2006" s="1"/>
      <c r="P2006" s="1"/>
      <c r="Q2006" s="13" t="s">
        <v>10098</v>
      </c>
      <c r="R2006" s="12" t="s">
        <v>118</v>
      </c>
    </row>
    <row r="2007" spans="1:18" x14ac:dyDescent="0.25">
      <c r="A2007" s="29" t="s">
        <v>136</v>
      </c>
      <c r="B2007" s="29" t="s">
        <v>116</v>
      </c>
      <c r="C2007" s="29" t="s">
        <v>10099</v>
      </c>
      <c r="D2007" s="4"/>
      <c r="E2007" s="1"/>
      <c r="F2007" s="4"/>
      <c r="G2007" s="4"/>
      <c r="H2007" s="9"/>
      <c r="I2007" s="4"/>
      <c r="J2007" s="4"/>
      <c r="K2007" s="1"/>
      <c r="L2007" s="6"/>
      <c r="M2007" s="4"/>
      <c r="N2007" s="12">
        <v>2020</v>
      </c>
      <c r="O2007" s="1"/>
      <c r="P2007" s="1"/>
      <c r="Q2007" s="13" t="s">
        <v>10100</v>
      </c>
      <c r="R2007" s="12" t="s">
        <v>3654</v>
      </c>
    </row>
    <row r="2008" spans="1:18" x14ac:dyDescent="0.25">
      <c r="A2008" s="29" t="s">
        <v>179</v>
      </c>
      <c r="B2008" s="29" t="s">
        <v>3651</v>
      </c>
      <c r="C2008" s="29" t="s">
        <v>10103</v>
      </c>
      <c r="D2008" s="4"/>
      <c r="E2008" s="1"/>
      <c r="F2008" s="4"/>
      <c r="G2008" s="4"/>
      <c r="H2008" s="9"/>
      <c r="I2008" s="4"/>
      <c r="J2008" s="4"/>
      <c r="K2008" s="1"/>
      <c r="L2008" s="6"/>
      <c r="M2008" s="4"/>
      <c r="N2008" s="12">
        <v>2020</v>
      </c>
      <c r="O2008" s="1"/>
      <c r="P2008" s="1"/>
      <c r="Q2008" s="13" t="s">
        <v>10104</v>
      </c>
      <c r="R2008" s="12" t="s">
        <v>10102</v>
      </c>
    </row>
    <row r="2009" spans="1:18" x14ac:dyDescent="0.25">
      <c r="A2009" s="29" t="s">
        <v>136</v>
      </c>
      <c r="B2009" s="29" t="s">
        <v>10101</v>
      </c>
      <c r="C2009" s="29" t="s">
        <v>10107</v>
      </c>
      <c r="D2009" s="4"/>
      <c r="E2009" s="1"/>
      <c r="F2009" s="4"/>
      <c r="G2009" s="4"/>
      <c r="H2009" s="9"/>
      <c r="I2009" s="4"/>
      <c r="J2009" s="4"/>
      <c r="K2009" s="1"/>
      <c r="L2009" s="6"/>
      <c r="M2009" s="4"/>
      <c r="N2009" s="12">
        <v>2020</v>
      </c>
      <c r="O2009" s="1"/>
      <c r="P2009" s="1"/>
      <c r="Q2009" s="13" t="s">
        <v>10108</v>
      </c>
      <c r="R2009" s="12" t="s">
        <v>10106</v>
      </c>
    </row>
    <row r="2010" spans="1:18" x14ac:dyDescent="0.25">
      <c r="A2010" s="29" t="s">
        <v>523</v>
      </c>
      <c r="B2010" s="29" t="s">
        <v>10105</v>
      </c>
      <c r="C2010" s="29" t="s">
        <v>10109</v>
      </c>
      <c r="D2010" s="4"/>
      <c r="E2010" s="1"/>
      <c r="F2010" s="4"/>
      <c r="G2010" s="4"/>
      <c r="H2010" s="9"/>
      <c r="I2010" s="4"/>
      <c r="J2010" s="4"/>
      <c r="K2010" s="1"/>
      <c r="L2010" s="6"/>
      <c r="M2010" s="4"/>
      <c r="N2010" s="12">
        <v>2021</v>
      </c>
      <c r="O2010" s="1"/>
      <c r="P2010" s="1"/>
      <c r="Q2010" s="13" t="s">
        <v>10110</v>
      </c>
      <c r="R2010" s="12" t="s">
        <v>2583</v>
      </c>
    </row>
    <row r="2011" spans="1:18" x14ac:dyDescent="0.25">
      <c r="A2011" s="29" t="s">
        <v>136</v>
      </c>
      <c r="B2011" s="29" t="s">
        <v>2581</v>
      </c>
      <c r="C2011" s="29" t="s">
        <v>10113</v>
      </c>
      <c r="D2011" s="4"/>
      <c r="E2011" s="1"/>
      <c r="F2011" s="4"/>
      <c r="G2011" s="4"/>
      <c r="H2011" s="9"/>
      <c r="I2011" s="4"/>
      <c r="J2011" s="4"/>
      <c r="K2011" s="1"/>
      <c r="L2011" s="6"/>
      <c r="M2011" s="4"/>
      <c r="N2011" s="12">
        <v>2023</v>
      </c>
      <c r="O2011" s="1"/>
      <c r="P2011" s="1"/>
      <c r="Q2011" s="13" t="s">
        <v>10114</v>
      </c>
      <c r="R2011" s="12" t="s">
        <v>10112</v>
      </c>
    </row>
    <row r="2012" spans="1:18" x14ac:dyDescent="0.25">
      <c r="A2012" s="29" t="s">
        <v>1547</v>
      </c>
      <c r="B2012" s="29" t="s">
        <v>10111</v>
      </c>
      <c r="C2012" s="29" t="s">
        <v>10117</v>
      </c>
      <c r="D2012" s="4"/>
      <c r="E2012" s="1"/>
      <c r="F2012" s="4"/>
      <c r="G2012" s="4"/>
      <c r="H2012" s="9"/>
      <c r="I2012" s="4"/>
      <c r="J2012" s="4"/>
      <c r="K2012" s="1"/>
      <c r="L2012" s="6"/>
      <c r="M2012" s="4"/>
      <c r="N2012" s="12">
        <v>2021</v>
      </c>
      <c r="O2012" s="1"/>
      <c r="P2012" s="1"/>
      <c r="Q2012" s="13" t="s">
        <v>10118</v>
      </c>
      <c r="R2012" s="12" t="s">
        <v>10116</v>
      </c>
    </row>
    <row r="2013" spans="1:18" x14ac:dyDescent="0.25">
      <c r="A2013" s="15"/>
      <c r="B2013" s="29" t="s">
        <v>10115</v>
      </c>
      <c r="C2013" s="29" t="s">
        <v>10121</v>
      </c>
      <c r="D2013" s="4"/>
      <c r="E2013" s="1"/>
      <c r="F2013" s="4"/>
      <c r="G2013" s="4"/>
      <c r="H2013" s="9"/>
      <c r="I2013" s="4"/>
      <c r="J2013" s="4"/>
      <c r="K2013" s="1"/>
      <c r="L2013" s="6"/>
      <c r="M2013" s="4"/>
      <c r="N2013" s="12">
        <v>2021</v>
      </c>
      <c r="O2013" s="1"/>
      <c r="P2013" s="1"/>
      <c r="Q2013" s="13" t="s">
        <v>10122</v>
      </c>
      <c r="R2013" s="12" t="s">
        <v>10120</v>
      </c>
    </row>
    <row r="2014" spans="1:18" x14ac:dyDescent="0.25">
      <c r="A2014" s="29" t="s">
        <v>136</v>
      </c>
      <c r="B2014" s="29" t="s">
        <v>10119</v>
      </c>
      <c r="C2014" s="29" t="s">
        <v>10125</v>
      </c>
      <c r="D2014" s="4"/>
      <c r="E2014" s="1"/>
      <c r="F2014" s="4"/>
      <c r="G2014" s="4"/>
      <c r="H2014" s="9"/>
      <c r="I2014" s="4"/>
      <c r="J2014" s="4"/>
      <c r="K2014" s="1"/>
      <c r="L2014" s="6"/>
      <c r="M2014" s="4"/>
      <c r="N2014" s="12">
        <v>2023</v>
      </c>
      <c r="O2014" s="1"/>
      <c r="P2014" s="1"/>
      <c r="Q2014" s="13" t="s">
        <v>10126</v>
      </c>
      <c r="R2014" s="12" t="s">
        <v>10124</v>
      </c>
    </row>
    <row r="2015" spans="1:18" x14ac:dyDescent="0.25">
      <c r="A2015" s="29" t="s">
        <v>676</v>
      </c>
      <c r="B2015" s="29" t="s">
        <v>10123</v>
      </c>
      <c r="C2015" s="29" t="s">
        <v>10127</v>
      </c>
      <c r="D2015" s="4"/>
      <c r="E2015" s="1"/>
      <c r="F2015" s="4"/>
      <c r="G2015" s="4"/>
      <c r="H2015" s="9"/>
      <c r="I2015" s="4"/>
      <c r="J2015" s="4"/>
      <c r="K2015" s="1"/>
      <c r="L2015" s="6"/>
      <c r="M2015" s="4"/>
      <c r="N2015" s="12">
        <v>2022</v>
      </c>
      <c r="O2015" s="1"/>
      <c r="P2015" s="1"/>
      <c r="Q2015" s="13" t="s">
        <v>10128</v>
      </c>
      <c r="R2015" s="12" t="s">
        <v>726</v>
      </c>
    </row>
    <row r="2016" spans="1:18" x14ac:dyDescent="0.25">
      <c r="A2016" s="29" t="s">
        <v>136</v>
      </c>
      <c r="B2016" s="29" t="s">
        <v>724</v>
      </c>
      <c r="C2016" s="29" t="s">
        <v>10131</v>
      </c>
      <c r="D2016" s="4"/>
      <c r="E2016" s="1"/>
      <c r="F2016" s="4"/>
      <c r="G2016" s="4"/>
      <c r="H2016" s="9"/>
      <c r="I2016" s="4"/>
      <c r="J2016" s="4"/>
      <c r="K2016" s="1"/>
      <c r="L2016" s="6"/>
      <c r="M2016" s="4"/>
      <c r="N2016" s="12">
        <v>2023</v>
      </c>
      <c r="O2016" s="1"/>
      <c r="P2016" s="1"/>
      <c r="Q2016" s="13" t="s">
        <v>10132</v>
      </c>
      <c r="R2016" s="12" t="s">
        <v>10130</v>
      </c>
    </row>
    <row r="2017" spans="1:18" x14ac:dyDescent="0.25">
      <c r="A2017" s="15"/>
      <c r="B2017" s="29" t="s">
        <v>10129</v>
      </c>
      <c r="C2017" s="29" t="s">
        <v>10133</v>
      </c>
      <c r="D2017" s="4"/>
      <c r="E2017" s="1"/>
      <c r="F2017" s="4"/>
      <c r="G2017" s="4"/>
      <c r="H2017" s="9"/>
      <c r="I2017" s="4"/>
      <c r="J2017" s="4"/>
      <c r="K2017" s="1"/>
      <c r="L2017" s="6"/>
      <c r="M2017" s="4"/>
      <c r="N2017" s="12">
        <v>2023</v>
      </c>
      <c r="O2017" s="1"/>
      <c r="P2017" s="1"/>
      <c r="Q2017" s="13" t="s">
        <v>10134</v>
      </c>
      <c r="R2017" s="12" t="s">
        <v>781</v>
      </c>
    </row>
    <row r="2018" spans="1:18" x14ac:dyDescent="0.25">
      <c r="A2018" s="29" t="s">
        <v>691</v>
      </c>
      <c r="B2018" s="29" t="s">
        <v>779</v>
      </c>
      <c r="C2018" s="29" t="s">
        <v>10136</v>
      </c>
      <c r="D2018" s="4"/>
      <c r="E2018" s="1"/>
      <c r="F2018" s="4"/>
      <c r="G2018" s="4"/>
      <c r="H2018" s="9"/>
      <c r="I2018" s="4"/>
      <c r="J2018" s="4"/>
      <c r="K2018" s="1"/>
      <c r="L2018" s="6"/>
      <c r="M2018" s="4"/>
      <c r="N2018" s="12">
        <v>2021</v>
      </c>
      <c r="O2018" s="1"/>
      <c r="P2018" s="1"/>
      <c r="Q2018" s="13" t="s">
        <v>10137</v>
      </c>
      <c r="R2018" s="12" t="s">
        <v>3696</v>
      </c>
    </row>
    <row r="2019" spans="1:18" x14ac:dyDescent="0.25">
      <c r="A2019" s="29" t="s">
        <v>10135</v>
      </c>
      <c r="B2019" s="29" t="s">
        <v>3693</v>
      </c>
      <c r="C2019" s="29" t="s">
        <v>10141</v>
      </c>
      <c r="D2019" s="4"/>
      <c r="E2019" s="1"/>
      <c r="F2019" s="4"/>
      <c r="G2019" s="4"/>
      <c r="H2019" s="9"/>
      <c r="I2019" s="4"/>
      <c r="J2019" s="4"/>
      <c r="K2019" s="1"/>
      <c r="L2019" s="6"/>
      <c r="M2019" s="4"/>
      <c r="N2019" s="12">
        <v>2021</v>
      </c>
      <c r="O2019" s="1"/>
      <c r="P2019" s="1"/>
      <c r="Q2019" s="13" t="s">
        <v>10142</v>
      </c>
      <c r="R2019" s="12" t="s">
        <v>10140</v>
      </c>
    </row>
    <row r="2020" spans="1:18" x14ac:dyDescent="0.25">
      <c r="A2020" s="29" t="s">
        <v>10138</v>
      </c>
      <c r="B2020" s="29" t="s">
        <v>10139</v>
      </c>
      <c r="C2020" s="29" t="s">
        <v>10145</v>
      </c>
      <c r="D2020" s="4"/>
      <c r="E2020" s="1"/>
      <c r="F2020" s="4"/>
      <c r="G2020" s="4"/>
      <c r="H2020" s="9"/>
      <c r="I2020" s="4"/>
      <c r="J2020" s="4"/>
      <c r="K2020" s="1"/>
      <c r="L2020" s="6"/>
      <c r="M2020" s="4"/>
      <c r="N2020" s="12">
        <v>2022</v>
      </c>
      <c r="O2020" s="1"/>
      <c r="P2020" s="1"/>
      <c r="Q2020" s="13" t="s">
        <v>10146</v>
      </c>
      <c r="R2020" s="12" t="s">
        <v>10144</v>
      </c>
    </row>
    <row r="2021" spans="1:18" x14ac:dyDescent="0.25">
      <c r="A2021" s="15"/>
      <c r="B2021" s="29" t="s">
        <v>10143</v>
      </c>
      <c r="C2021" s="29" t="s">
        <v>10150</v>
      </c>
      <c r="D2021" s="4"/>
      <c r="E2021" s="1"/>
      <c r="F2021" s="4"/>
      <c r="G2021" s="4"/>
      <c r="H2021" s="9"/>
      <c r="I2021" s="4"/>
      <c r="J2021" s="4"/>
      <c r="K2021" s="1"/>
      <c r="L2021" s="6"/>
      <c r="M2021" s="4"/>
      <c r="N2021" s="12">
        <v>2022</v>
      </c>
      <c r="O2021" s="1"/>
      <c r="P2021" s="1"/>
      <c r="Q2021" s="13" t="s">
        <v>10151</v>
      </c>
      <c r="R2021" s="12" t="s">
        <v>10149</v>
      </c>
    </row>
    <row r="2022" spans="1:18" x14ac:dyDescent="0.25">
      <c r="A2022" s="29" t="s">
        <v>10147</v>
      </c>
      <c r="B2022" s="29" t="s">
        <v>10148</v>
      </c>
      <c r="C2022" s="29" t="s">
        <v>10154</v>
      </c>
      <c r="D2022" s="4"/>
      <c r="E2022" s="1"/>
      <c r="F2022" s="4"/>
      <c r="G2022" s="4"/>
      <c r="H2022" s="9"/>
      <c r="I2022" s="4"/>
      <c r="J2022" s="4"/>
      <c r="K2022" s="1"/>
      <c r="L2022" s="6"/>
      <c r="M2022" s="4"/>
      <c r="N2022" s="12">
        <v>2022</v>
      </c>
      <c r="O2022" s="1"/>
      <c r="P2022" s="1"/>
      <c r="Q2022" s="13" t="s">
        <v>10155</v>
      </c>
      <c r="R2022" s="12" t="s">
        <v>10153</v>
      </c>
    </row>
    <row r="2023" spans="1:18" x14ac:dyDescent="0.25">
      <c r="A2023" s="29" t="s">
        <v>9875</v>
      </c>
      <c r="B2023" s="29" t="s">
        <v>10152</v>
      </c>
      <c r="C2023" s="29" t="s">
        <v>10158</v>
      </c>
      <c r="D2023" s="4"/>
      <c r="E2023" s="1"/>
      <c r="F2023" s="4"/>
      <c r="G2023" s="4"/>
      <c r="H2023" s="9"/>
      <c r="I2023" s="4"/>
      <c r="J2023" s="4"/>
      <c r="K2023" s="1"/>
      <c r="L2023" s="6"/>
      <c r="M2023" s="4"/>
      <c r="N2023" s="12">
        <v>2023</v>
      </c>
      <c r="O2023" s="1"/>
      <c r="P2023" s="1"/>
      <c r="Q2023" s="13" t="s">
        <v>10159</v>
      </c>
      <c r="R2023" s="12" t="s">
        <v>10157</v>
      </c>
    </row>
    <row r="2024" spans="1:18" x14ac:dyDescent="0.25">
      <c r="A2024" s="29" t="s">
        <v>136</v>
      </c>
      <c r="B2024" s="29" t="s">
        <v>10156</v>
      </c>
      <c r="C2024" s="29" t="s">
        <v>10162</v>
      </c>
      <c r="D2024" s="4"/>
      <c r="E2024" s="1"/>
      <c r="F2024" s="4"/>
      <c r="G2024" s="4"/>
      <c r="H2024" s="9"/>
      <c r="I2024" s="4"/>
      <c r="J2024" s="4"/>
      <c r="K2024" s="1"/>
      <c r="L2024" s="6"/>
      <c r="M2024" s="4"/>
      <c r="N2024" s="12">
        <v>2021</v>
      </c>
      <c r="O2024" s="1"/>
      <c r="P2024" s="1"/>
      <c r="Q2024" s="13" t="s">
        <v>10163</v>
      </c>
      <c r="R2024" s="12" t="s">
        <v>10161</v>
      </c>
    </row>
    <row r="2025" spans="1:18" x14ac:dyDescent="0.25">
      <c r="A2025" s="15"/>
      <c r="B2025" s="29" t="s">
        <v>10160</v>
      </c>
      <c r="C2025" s="29" t="s">
        <v>10167</v>
      </c>
      <c r="D2025" s="4"/>
      <c r="E2025" s="1"/>
      <c r="F2025" s="4"/>
      <c r="G2025" s="4"/>
      <c r="H2025" s="9"/>
      <c r="I2025" s="4"/>
      <c r="J2025" s="4"/>
      <c r="K2025" s="1"/>
      <c r="L2025" s="6"/>
      <c r="M2025" s="4"/>
      <c r="N2025" s="12">
        <v>2020</v>
      </c>
      <c r="O2025" s="1"/>
      <c r="P2025" s="1"/>
      <c r="Q2025" s="13" t="s">
        <v>10168</v>
      </c>
      <c r="R2025" s="12" t="s">
        <v>10166</v>
      </c>
    </row>
    <row r="2026" spans="1:18" x14ac:dyDescent="0.25">
      <c r="A2026" s="29" t="s">
        <v>10164</v>
      </c>
      <c r="B2026" s="29" t="s">
        <v>10165</v>
      </c>
      <c r="C2026" s="29" t="s">
        <v>9455</v>
      </c>
      <c r="D2026" s="4"/>
      <c r="E2026" s="1"/>
      <c r="F2026" s="4"/>
      <c r="G2026" s="4"/>
      <c r="H2026" s="9"/>
      <c r="I2026" s="4"/>
      <c r="J2026" s="4"/>
      <c r="K2026" s="1"/>
      <c r="L2026" s="6"/>
      <c r="M2026" s="4"/>
      <c r="N2026" s="12">
        <v>2022</v>
      </c>
      <c r="O2026" s="1"/>
      <c r="P2026" s="1"/>
      <c r="Q2026" s="13" t="s">
        <v>10171</v>
      </c>
      <c r="R2026" s="12" t="s">
        <v>10170</v>
      </c>
    </row>
    <row r="2027" spans="1:18" x14ac:dyDescent="0.25">
      <c r="A2027" s="29" t="s">
        <v>9453</v>
      </c>
      <c r="B2027" s="29" t="s">
        <v>10169</v>
      </c>
      <c r="C2027" s="29" t="s">
        <v>10172</v>
      </c>
      <c r="D2027" s="4"/>
      <c r="E2027" s="1"/>
      <c r="F2027" s="4"/>
      <c r="G2027" s="4"/>
      <c r="H2027" s="9"/>
      <c r="I2027" s="4"/>
      <c r="J2027" s="4"/>
      <c r="K2027" s="1"/>
      <c r="L2027" s="6"/>
      <c r="M2027" s="4"/>
      <c r="N2027" s="12">
        <v>2021</v>
      </c>
      <c r="O2027" s="1"/>
      <c r="P2027" s="1"/>
      <c r="Q2027" s="13" t="s">
        <v>10173</v>
      </c>
      <c r="R2027" s="12" t="s">
        <v>3547</v>
      </c>
    </row>
    <row r="2028" spans="1:18" x14ac:dyDescent="0.25">
      <c r="A2028" s="29" t="s">
        <v>523</v>
      </c>
      <c r="B2028" s="29" t="s">
        <v>3544</v>
      </c>
      <c r="C2028" s="29" t="s">
        <v>10176</v>
      </c>
      <c r="D2028" s="4"/>
      <c r="E2028" s="1"/>
      <c r="F2028" s="4"/>
      <c r="G2028" s="4"/>
      <c r="H2028" s="9"/>
      <c r="I2028" s="4"/>
      <c r="J2028" s="4"/>
      <c r="K2028" s="1"/>
      <c r="L2028" s="6"/>
      <c r="M2028" s="4"/>
      <c r="N2028" s="12">
        <v>2021</v>
      </c>
      <c r="O2028" s="1"/>
      <c r="P2028" s="1"/>
      <c r="Q2028" s="13" t="s">
        <v>10177</v>
      </c>
      <c r="R2028" s="12" t="s">
        <v>10175</v>
      </c>
    </row>
    <row r="2029" spans="1:18" x14ac:dyDescent="0.25">
      <c r="A2029" s="15"/>
      <c r="B2029" s="29" t="s">
        <v>10174</v>
      </c>
      <c r="C2029" s="29" t="s">
        <v>10180</v>
      </c>
      <c r="D2029" s="4"/>
      <c r="E2029" s="1"/>
      <c r="F2029" s="4"/>
      <c r="G2029" s="4"/>
      <c r="H2029" s="9"/>
      <c r="I2029" s="4"/>
      <c r="J2029" s="4"/>
      <c r="K2029" s="1"/>
      <c r="L2029" s="6"/>
      <c r="M2029" s="4"/>
      <c r="N2029" s="12">
        <v>2022</v>
      </c>
      <c r="O2029" s="1"/>
      <c r="P2029" s="1"/>
      <c r="Q2029" s="13" t="s">
        <v>10181</v>
      </c>
      <c r="R2029" s="12" t="s">
        <v>10179</v>
      </c>
    </row>
    <row r="2030" spans="1:18" x14ac:dyDescent="0.25">
      <c r="A2030" s="15"/>
      <c r="B2030" s="29" t="s">
        <v>10178</v>
      </c>
      <c r="C2030" s="29" t="s">
        <v>10184</v>
      </c>
      <c r="D2030" s="4"/>
      <c r="E2030" s="1"/>
      <c r="F2030" s="4"/>
      <c r="G2030" s="4"/>
      <c r="H2030" s="9"/>
      <c r="I2030" s="4"/>
      <c r="J2030" s="4"/>
      <c r="K2030" s="1"/>
      <c r="L2030" s="6"/>
      <c r="M2030" s="4"/>
      <c r="N2030" s="12">
        <v>2021</v>
      </c>
      <c r="O2030" s="1"/>
      <c r="P2030" s="1"/>
      <c r="Q2030" s="13" t="s">
        <v>10185</v>
      </c>
      <c r="R2030" s="12" t="s">
        <v>10183</v>
      </c>
    </row>
    <row r="2031" spans="1:18" x14ac:dyDescent="0.25">
      <c r="A2031" s="29" t="s">
        <v>1870</v>
      </c>
      <c r="B2031" s="29" t="s">
        <v>10182</v>
      </c>
      <c r="C2031" s="29" t="s">
        <v>10188</v>
      </c>
      <c r="D2031" s="4"/>
      <c r="E2031" s="1"/>
      <c r="F2031" s="4"/>
      <c r="G2031" s="4"/>
      <c r="H2031" s="9"/>
      <c r="I2031" s="4"/>
      <c r="J2031" s="4"/>
      <c r="K2031" s="1"/>
      <c r="L2031" s="6"/>
      <c r="M2031" s="4"/>
      <c r="N2031" s="12">
        <v>2022</v>
      </c>
      <c r="O2031" s="1"/>
      <c r="P2031" s="1"/>
      <c r="Q2031" s="13" t="s">
        <v>10189</v>
      </c>
      <c r="R2031" s="12" t="s">
        <v>10187</v>
      </c>
    </row>
    <row r="2032" spans="1:18" x14ac:dyDescent="0.25">
      <c r="A2032" s="29" t="s">
        <v>9331</v>
      </c>
      <c r="B2032" s="29" t="s">
        <v>10186</v>
      </c>
      <c r="C2032" s="29" t="s">
        <v>10192</v>
      </c>
      <c r="D2032" s="4"/>
      <c r="E2032" s="1"/>
      <c r="F2032" s="4"/>
      <c r="G2032" s="4"/>
      <c r="H2032" s="9"/>
      <c r="I2032" s="4"/>
      <c r="J2032" s="4"/>
      <c r="K2032" s="1"/>
      <c r="L2032" s="6"/>
      <c r="M2032" s="4"/>
      <c r="N2032" s="12">
        <v>2021</v>
      </c>
      <c r="O2032" s="1"/>
      <c r="P2032" s="1"/>
      <c r="Q2032" s="13" t="s">
        <v>10193</v>
      </c>
      <c r="R2032" s="12" t="s">
        <v>10191</v>
      </c>
    </row>
    <row r="2033" spans="1:18" x14ac:dyDescent="0.25">
      <c r="A2033" s="29" t="s">
        <v>9648</v>
      </c>
      <c r="B2033" s="29" t="s">
        <v>10190</v>
      </c>
      <c r="C2033" s="29" t="s">
        <v>9497</v>
      </c>
      <c r="D2033" s="4"/>
      <c r="E2033" s="1"/>
      <c r="F2033" s="4"/>
      <c r="G2033" s="4"/>
      <c r="H2033" s="9"/>
      <c r="I2033" s="4"/>
      <c r="J2033" s="4"/>
      <c r="K2033" s="1"/>
      <c r="L2033" s="6"/>
      <c r="M2033" s="4"/>
      <c r="N2033" s="12">
        <v>2020</v>
      </c>
      <c r="O2033" s="1"/>
      <c r="P2033" s="1"/>
      <c r="Q2033" s="13" t="s">
        <v>10196</v>
      </c>
      <c r="R2033" s="12" t="s">
        <v>10195</v>
      </c>
    </row>
    <row r="2034" spans="1:18" x14ac:dyDescent="0.25">
      <c r="A2034" s="29" t="s">
        <v>9495</v>
      </c>
      <c r="B2034" s="29" t="s">
        <v>10194</v>
      </c>
      <c r="C2034" s="29" t="s">
        <v>10197</v>
      </c>
      <c r="D2034" s="4"/>
      <c r="E2034" s="1"/>
      <c r="F2034" s="4"/>
      <c r="G2034" s="4"/>
      <c r="H2034" s="9"/>
      <c r="I2034" s="4"/>
      <c r="J2034" s="4"/>
      <c r="K2034" s="1"/>
      <c r="L2034" s="6"/>
      <c r="M2034" s="4"/>
      <c r="N2034" s="12">
        <v>2022</v>
      </c>
      <c r="O2034" s="1"/>
      <c r="P2034" s="1"/>
      <c r="Q2034" s="13" t="s">
        <v>10198</v>
      </c>
      <c r="R2034" s="12" t="s">
        <v>411</v>
      </c>
    </row>
    <row r="2035" spans="1:18" x14ac:dyDescent="0.25">
      <c r="A2035" s="29" t="s">
        <v>407</v>
      </c>
      <c r="B2035" s="29" t="s">
        <v>406</v>
      </c>
      <c r="C2035" s="29" t="s">
        <v>10199</v>
      </c>
      <c r="D2035" s="4"/>
      <c r="E2035" s="1"/>
      <c r="F2035" s="4"/>
      <c r="G2035" s="4"/>
      <c r="H2035" s="9"/>
      <c r="I2035" s="4"/>
      <c r="J2035" s="4"/>
      <c r="K2035" s="1"/>
      <c r="L2035" s="6"/>
      <c r="M2035" s="4"/>
      <c r="N2035" s="12">
        <v>2021</v>
      </c>
      <c r="O2035" s="1"/>
      <c r="P2035" s="1"/>
      <c r="Q2035" s="13" t="s">
        <v>10200</v>
      </c>
      <c r="R2035" s="12" t="s">
        <v>1439</v>
      </c>
    </row>
    <row r="2036" spans="1:18" x14ac:dyDescent="0.25">
      <c r="A2036" s="29" t="s">
        <v>523</v>
      </c>
      <c r="B2036" s="29" t="s">
        <v>1436</v>
      </c>
      <c r="C2036" s="29" t="s">
        <v>9455</v>
      </c>
      <c r="D2036" s="4"/>
      <c r="E2036" s="1"/>
      <c r="F2036" s="4"/>
      <c r="G2036" s="4"/>
      <c r="H2036" s="9"/>
      <c r="I2036" s="4"/>
      <c r="J2036" s="4"/>
      <c r="K2036" s="1"/>
      <c r="L2036" s="6"/>
      <c r="M2036" s="4"/>
      <c r="N2036" s="12">
        <v>2022</v>
      </c>
      <c r="O2036" s="1"/>
      <c r="P2036" s="1"/>
      <c r="Q2036" s="13" t="s">
        <v>10203</v>
      </c>
      <c r="R2036" s="12" t="s">
        <v>10202</v>
      </c>
    </row>
    <row r="2037" spans="1:18" x14ac:dyDescent="0.25">
      <c r="A2037" s="29" t="s">
        <v>9453</v>
      </c>
      <c r="B2037" s="29" t="s">
        <v>10201</v>
      </c>
      <c r="C2037" s="29" t="s">
        <v>10207</v>
      </c>
      <c r="D2037" s="4"/>
      <c r="E2037" s="1"/>
      <c r="F2037" s="4"/>
      <c r="G2037" s="4"/>
      <c r="H2037" s="9"/>
      <c r="I2037" s="4"/>
      <c r="J2037" s="4"/>
      <c r="K2037" s="1"/>
      <c r="L2037" s="6"/>
      <c r="M2037" s="4"/>
      <c r="N2037" s="12">
        <v>2022</v>
      </c>
      <c r="O2037" s="1"/>
      <c r="P2037" s="1"/>
      <c r="Q2037" s="13" t="s">
        <v>10208</v>
      </c>
      <c r="R2037" s="12" t="s">
        <v>10206</v>
      </c>
    </row>
    <row r="2038" spans="1:18" x14ac:dyDescent="0.25">
      <c r="A2038" s="29" t="s">
        <v>10204</v>
      </c>
      <c r="B2038" s="29" t="s">
        <v>10205</v>
      </c>
      <c r="C2038" s="29" t="s">
        <v>10211</v>
      </c>
      <c r="D2038" s="4"/>
      <c r="E2038" s="1"/>
      <c r="F2038" s="4"/>
      <c r="G2038" s="4"/>
      <c r="H2038" s="9"/>
      <c r="I2038" s="4"/>
      <c r="J2038" s="4"/>
      <c r="K2038" s="1"/>
      <c r="L2038" s="6"/>
      <c r="M2038" s="4"/>
      <c r="N2038" s="12">
        <v>2022</v>
      </c>
      <c r="O2038" s="1"/>
      <c r="P2038" s="1"/>
      <c r="Q2038" s="13" t="s">
        <v>10212</v>
      </c>
      <c r="R2038" s="12" t="s">
        <v>10210</v>
      </c>
    </row>
    <row r="2039" spans="1:18" x14ac:dyDescent="0.25">
      <c r="A2039" s="15"/>
      <c r="B2039" s="29" t="s">
        <v>10209</v>
      </c>
      <c r="C2039" s="29" t="s">
        <v>9847</v>
      </c>
      <c r="D2039" s="4"/>
      <c r="E2039" s="1"/>
      <c r="F2039" s="4"/>
      <c r="G2039" s="4"/>
      <c r="H2039" s="9"/>
      <c r="I2039" s="4"/>
      <c r="J2039" s="4"/>
      <c r="K2039" s="1"/>
      <c r="L2039" s="6"/>
      <c r="M2039" s="4"/>
      <c r="N2039" s="12">
        <v>2021</v>
      </c>
      <c r="O2039" s="1"/>
      <c r="P2039" s="1"/>
      <c r="Q2039" s="13" t="s">
        <v>10215</v>
      </c>
      <c r="R2039" s="12" t="s">
        <v>10214</v>
      </c>
    </row>
    <row r="2040" spans="1:18" x14ac:dyDescent="0.25">
      <c r="A2040" s="29" t="s">
        <v>9893</v>
      </c>
      <c r="B2040" s="29" t="s">
        <v>10213</v>
      </c>
      <c r="C2040" s="29" t="s">
        <v>10219</v>
      </c>
      <c r="D2040" s="4"/>
      <c r="E2040" s="1"/>
      <c r="F2040" s="4"/>
      <c r="G2040" s="4"/>
      <c r="H2040" s="9"/>
      <c r="I2040" s="4"/>
      <c r="J2040" s="4"/>
      <c r="K2040" s="1"/>
      <c r="L2040" s="6"/>
      <c r="M2040" s="4"/>
      <c r="N2040" s="12">
        <v>2019</v>
      </c>
      <c r="O2040" s="1"/>
      <c r="P2040" s="1"/>
      <c r="Q2040" s="13" t="s">
        <v>10220</v>
      </c>
      <c r="R2040" s="12" t="s">
        <v>10218</v>
      </c>
    </row>
    <row r="2041" spans="1:18" x14ac:dyDescent="0.25">
      <c r="A2041" s="29" t="s">
        <v>10216</v>
      </c>
      <c r="B2041" s="29" t="s">
        <v>10217</v>
      </c>
      <c r="C2041" s="29" t="s">
        <v>10223</v>
      </c>
      <c r="D2041" s="4"/>
      <c r="E2041" s="1"/>
      <c r="F2041" s="4"/>
      <c r="G2041" s="4"/>
      <c r="H2041" s="9"/>
      <c r="I2041" s="4"/>
      <c r="J2041" s="4"/>
      <c r="K2041" s="1"/>
      <c r="L2041" s="6"/>
      <c r="M2041" s="4"/>
      <c r="N2041" s="12">
        <v>2021</v>
      </c>
      <c r="O2041" s="1"/>
      <c r="P2041" s="1"/>
      <c r="Q2041" s="13" t="s">
        <v>10224</v>
      </c>
      <c r="R2041" s="12" t="s">
        <v>10222</v>
      </c>
    </row>
    <row r="2042" spans="1:18" x14ac:dyDescent="0.25">
      <c r="A2042" s="29" t="s">
        <v>2974</v>
      </c>
      <c r="B2042" s="29" t="s">
        <v>10221</v>
      </c>
      <c r="C2042" s="29" t="s">
        <v>10225</v>
      </c>
      <c r="D2042" s="4"/>
      <c r="E2042" s="1"/>
      <c r="F2042" s="4"/>
      <c r="G2042" s="4"/>
      <c r="H2042" s="9"/>
      <c r="I2042" s="4"/>
      <c r="J2042" s="4"/>
      <c r="K2042" s="1"/>
      <c r="L2042" s="6"/>
      <c r="M2042" s="4"/>
      <c r="N2042" s="12">
        <v>2020</v>
      </c>
      <c r="O2042" s="1"/>
      <c r="P2042" s="1"/>
      <c r="Q2042" s="13" t="s">
        <v>10226</v>
      </c>
      <c r="R2042" s="12" t="s">
        <v>4989</v>
      </c>
    </row>
    <row r="2043" spans="1:18" x14ac:dyDescent="0.25">
      <c r="A2043" s="29" t="s">
        <v>1637</v>
      </c>
      <c r="B2043" s="29" t="s">
        <v>4985</v>
      </c>
      <c r="C2043" s="29" t="s">
        <v>10229</v>
      </c>
      <c r="D2043" s="4"/>
      <c r="E2043" s="1"/>
      <c r="F2043" s="4"/>
      <c r="G2043" s="4"/>
      <c r="H2043" s="9"/>
      <c r="I2043" s="4"/>
      <c r="J2043" s="4"/>
      <c r="K2043" s="1"/>
      <c r="L2043" s="6"/>
      <c r="M2043" s="4"/>
      <c r="N2043" s="12">
        <v>2023</v>
      </c>
      <c r="O2043" s="1"/>
      <c r="P2043" s="1"/>
      <c r="Q2043" s="13" t="s">
        <v>10230</v>
      </c>
      <c r="R2043" s="12" t="s">
        <v>10228</v>
      </c>
    </row>
    <row r="2044" spans="1:18" x14ac:dyDescent="0.25">
      <c r="A2044" s="29" t="s">
        <v>9726</v>
      </c>
      <c r="B2044" s="29" t="s">
        <v>10227</v>
      </c>
      <c r="C2044" s="29" t="s">
        <v>10231</v>
      </c>
      <c r="D2044" s="4"/>
      <c r="E2044" s="1"/>
      <c r="F2044" s="4"/>
      <c r="G2044" s="4"/>
      <c r="H2044" s="9"/>
      <c r="I2044" s="4"/>
      <c r="J2044" s="4"/>
      <c r="K2044" s="1"/>
      <c r="L2044" s="6"/>
      <c r="M2044" s="4"/>
      <c r="N2044" s="12">
        <v>2020</v>
      </c>
      <c r="O2044" s="1"/>
      <c r="P2044" s="1"/>
      <c r="Q2044" s="13" t="s">
        <v>10232</v>
      </c>
      <c r="R2044" s="12" t="s">
        <v>3690</v>
      </c>
    </row>
    <row r="2045" spans="1:18" x14ac:dyDescent="0.25">
      <c r="A2045" s="29" t="s">
        <v>136</v>
      </c>
      <c r="B2045" s="29" t="s">
        <v>3687</v>
      </c>
      <c r="C2045" s="29" t="s">
        <v>10236</v>
      </c>
      <c r="D2045" s="4"/>
      <c r="E2045" s="1"/>
      <c r="F2045" s="4"/>
      <c r="G2045" s="4"/>
      <c r="H2045" s="9"/>
      <c r="I2045" s="4"/>
      <c r="J2045" s="4"/>
      <c r="K2045" s="1"/>
      <c r="L2045" s="6"/>
      <c r="M2045" s="4"/>
      <c r="N2045" s="12">
        <v>2020</v>
      </c>
      <c r="O2045" s="1"/>
      <c r="P2045" s="1"/>
      <c r="Q2045" s="13" t="s">
        <v>10237</v>
      </c>
      <c r="R2045" s="12" t="s">
        <v>10235</v>
      </c>
    </row>
    <row r="2046" spans="1:18" x14ac:dyDescent="0.25">
      <c r="A2046" s="29" t="s">
        <v>10233</v>
      </c>
      <c r="B2046" s="29" t="s">
        <v>10234</v>
      </c>
      <c r="C2046" s="29" t="s">
        <v>10241</v>
      </c>
      <c r="D2046" s="4"/>
      <c r="E2046" s="1"/>
      <c r="F2046" s="4"/>
      <c r="G2046" s="4"/>
      <c r="H2046" s="9"/>
      <c r="I2046" s="4"/>
      <c r="J2046" s="4"/>
      <c r="K2046" s="1"/>
      <c r="L2046" s="6"/>
      <c r="M2046" s="4"/>
      <c r="N2046" s="12">
        <v>2020</v>
      </c>
      <c r="O2046" s="1"/>
      <c r="P2046" s="1"/>
      <c r="Q2046" s="13" t="s">
        <v>10242</v>
      </c>
      <c r="R2046" s="12" t="s">
        <v>10240</v>
      </c>
    </row>
    <row r="2047" spans="1:18" x14ac:dyDescent="0.25">
      <c r="A2047" s="29" t="s">
        <v>10238</v>
      </c>
      <c r="B2047" s="29" t="s">
        <v>10239</v>
      </c>
      <c r="C2047" s="29" t="s">
        <v>10245</v>
      </c>
      <c r="D2047" s="4"/>
      <c r="E2047" s="1"/>
      <c r="F2047" s="4"/>
      <c r="G2047" s="4"/>
      <c r="H2047" s="9"/>
      <c r="I2047" s="4"/>
      <c r="J2047" s="4"/>
      <c r="K2047" s="1"/>
      <c r="L2047" s="6"/>
      <c r="M2047" s="4"/>
      <c r="N2047" s="12">
        <v>2021</v>
      </c>
      <c r="O2047" s="1"/>
      <c r="P2047" s="1"/>
      <c r="Q2047" s="13" t="s">
        <v>10246</v>
      </c>
      <c r="R2047" s="12" t="s">
        <v>10244</v>
      </c>
    </row>
    <row r="2048" spans="1:18" x14ac:dyDescent="0.25">
      <c r="A2048" s="29" t="s">
        <v>10135</v>
      </c>
      <c r="B2048" s="29" t="s">
        <v>10243</v>
      </c>
      <c r="C2048" s="29" t="s">
        <v>10249</v>
      </c>
      <c r="D2048" s="4"/>
      <c r="E2048" s="1"/>
      <c r="F2048" s="4"/>
      <c r="G2048" s="4"/>
      <c r="H2048" s="9"/>
      <c r="I2048" s="4"/>
      <c r="J2048" s="4"/>
      <c r="K2048" s="1"/>
      <c r="L2048" s="6"/>
      <c r="M2048" s="4"/>
      <c r="N2048" s="12">
        <v>2020</v>
      </c>
      <c r="O2048" s="1"/>
      <c r="P2048" s="1"/>
      <c r="Q2048" s="13" t="s">
        <v>10250</v>
      </c>
      <c r="R2048" s="12" t="s">
        <v>10248</v>
      </c>
    </row>
    <row r="2049" spans="1:18" x14ac:dyDescent="0.25">
      <c r="A2049" s="29" t="s">
        <v>523</v>
      </c>
      <c r="B2049" s="29" t="s">
        <v>10247</v>
      </c>
      <c r="C2049" s="29" t="s">
        <v>10253</v>
      </c>
      <c r="D2049" s="4"/>
      <c r="E2049" s="1"/>
      <c r="F2049" s="4"/>
      <c r="G2049" s="4"/>
      <c r="H2049" s="9"/>
      <c r="I2049" s="4"/>
      <c r="J2049" s="4"/>
      <c r="K2049" s="1"/>
      <c r="L2049" s="6"/>
      <c r="M2049" s="4"/>
      <c r="N2049" s="12">
        <v>2022</v>
      </c>
      <c r="O2049" s="1"/>
      <c r="P2049" s="1"/>
      <c r="Q2049" s="13" t="s">
        <v>10254</v>
      </c>
      <c r="R2049" s="12" t="s">
        <v>10252</v>
      </c>
    </row>
    <row r="2050" spans="1:18" x14ac:dyDescent="0.25">
      <c r="A2050" s="29" t="s">
        <v>9782</v>
      </c>
      <c r="B2050" s="29" t="s">
        <v>10251</v>
      </c>
      <c r="C2050" s="29" t="s">
        <v>10258</v>
      </c>
      <c r="D2050" s="4"/>
      <c r="E2050" s="1"/>
      <c r="F2050" s="4"/>
      <c r="G2050" s="4"/>
      <c r="H2050" s="9"/>
      <c r="I2050" s="4"/>
      <c r="J2050" s="4"/>
      <c r="K2050" s="1"/>
      <c r="L2050" s="6"/>
      <c r="M2050" s="4"/>
      <c r="N2050" s="12">
        <v>2018</v>
      </c>
      <c r="O2050" s="1"/>
      <c r="P2050" s="1"/>
      <c r="Q2050" s="13" t="s">
        <v>10259</v>
      </c>
      <c r="R2050" s="12" t="s">
        <v>10257</v>
      </c>
    </row>
    <row r="2051" spans="1:18" x14ac:dyDescent="0.25">
      <c r="A2051" s="29" t="s">
        <v>10255</v>
      </c>
      <c r="B2051" s="29" t="s">
        <v>10256</v>
      </c>
      <c r="C2051" s="29" t="s">
        <v>10263</v>
      </c>
      <c r="D2051" s="4"/>
      <c r="E2051" s="1"/>
      <c r="F2051" s="4"/>
      <c r="G2051" s="4"/>
      <c r="H2051" s="9"/>
      <c r="I2051" s="4"/>
      <c r="J2051" s="4"/>
      <c r="K2051" s="1"/>
      <c r="L2051" s="6"/>
      <c r="M2051" s="4"/>
      <c r="N2051" s="12">
        <v>2022</v>
      </c>
      <c r="O2051" s="1"/>
      <c r="P2051" s="1"/>
      <c r="Q2051" s="13" t="s">
        <v>10264</v>
      </c>
      <c r="R2051" s="12" t="s">
        <v>10262</v>
      </c>
    </row>
    <row r="2052" spans="1:18" x14ac:dyDescent="0.25">
      <c r="A2052" s="29" t="s">
        <v>10260</v>
      </c>
      <c r="B2052" s="29" t="s">
        <v>10261</v>
      </c>
      <c r="C2052" s="29" t="s">
        <v>10265</v>
      </c>
      <c r="D2052" s="4"/>
      <c r="E2052" s="1"/>
      <c r="F2052" s="4"/>
      <c r="G2052" s="4"/>
      <c r="H2052" s="9"/>
      <c r="I2052" s="4"/>
      <c r="J2052" s="4"/>
      <c r="K2052" s="1"/>
      <c r="L2052" s="6"/>
      <c r="M2052" s="4"/>
      <c r="N2052" s="12">
        <v>2021</v>
      </c>
      <c r="O2052" s="1"/>
      <c r="P2052" s="1"/>
      <c r="Q2052" s="13" t="s">
        <v>10266</v>
      </c>
      <c r="R2052" s="12" t="s">
        <v>1520</v>
      </c>
    </row>
    <row r="2053" spans="1:18" x14ac:dyDescent="0.25">
      <c r="A2053" s="29" t="s">
        <v>523</v>
      </c>
      <c r="B2053" s="29" t="s">
        <v>1517</v>
      </c>
      <c r="C2053" s="29" t="s">
        <v>10269</v>
      </c>
      <c r="D2053" s="4"/>
      <c r="E2053" s="1"/>
      <c r="F2053" s="4"/>
      <c r="G2053" s="4"/>
      <c r="H2053" s="9"/>
      <c r="I2053" s="4"/>
      <c r="J2053" s="4"/>
      <c r="K2053" s="1"/>
      <c r="L2053" s="6"/>
      <c r="M2053" s="4"/>
      <c r="N2053" s="12">
        <v>2022</v>
      </c>
      <c r="O2053" s="1"/>
      <c r="P2053" s="1"/>
      <c r="Q2053" s="13" t="s">
        <v>10270</v>
      </c>
      <c r="R2053" s="12" t="s">
        <v>10268</v>
      </c>
    </row>
    <row r="2054" spans="1:18" x14ac:dyDescent="0.25">
      <c r="A2054" s="29" t="s">
        <v>676</v>
      </c>
      <c r="B2054" s="29" t="s">
        <v>10267</v>
      </c>
      <c r="C2054" s="29" t="s">
        <v>10271</v>
      </c>
      <c r="D2054" s="4"/>
      <c r="E2054" s="1"/>
      <c r="F2054" s="4"/>
      <c r="G2054" s="4"/>
      <c r="H2054" s="9"/>
      <c r="I2054" s="4"/>
      <c r="J2054" s="4"/>
      <c r="K2054" s="1"/>
      <c r="L2054" s="6"/>
      <c r="M2054" s="4"/>
      <c r="N2054" s="12">
        <v>2020</v>
      </c>
      <c r="O2054" s="1"/>
      <c r="P2054" s="1"/>
      <c r="Q2054" s="13" t="s">
        <v>10272</v>
      </c>
      <c r="R2054" s="12" t="s">
        <v>3619</v>
      </c>
    </row>
    <row r="2055" spans="1:18" x14ac:dyDescent="0.25">
      <c r="A2055" s="29" t="s">
        <v>136</v>
      </c>
      <c r="B2055" s="29" t="s">
        <v>3616</v>
      </c>
      <c r="C2055" s="29" t="s">
        <v>10275</v>
      </c>
      <c r="D2055" s="4"/>
      <c r="E2055" s="1"/>
      <c r="F2055" s="4"/>
      <c r="G2055" s="4"/>
      <c r="H2055" s="9"/>
      <c r="I2055" s="4"/>
      <c r="J2055" s="4"/>
      <c r="K2055" s="1"/>
      <c r="L2055" s="6"/>
      <c r="M2055" s="4"/>
      <c r="N2055" s="12">
        <v>2022</v>
      </c>
      <c r="O2055" s="1"/>
      <c r="P2055" s="1"/>
      <c r="Q2055" s="13" t="s">
        <v>10276</v>
      </c>
      <c r="R2055" s="12" t="s">
        <v>10274</v>
      </c>
    </row>
    <row r="2056" spans="1:18" x14ac:dyDescent="0.25">
      <c r="A2056" s="29" t="s">
        <v>9499</v>
      </c>
      <c r="B2056" s="29" t="s">
        <v>10273</v>
      </c>
      <c r="C2056" s="29" t="s">
        <v>10280</v>
      </c>
      <c r="D2056" s="4"/>
      <c r="E2056" s="1"/>
      <c r="F2056" s="4"/>
      <c r="G2056" s="4"/>
      <c r="H2056" s="9"/>
      <c r="I2056" s="4"/>
      <c r="J2056" s="4"/>
      <c r="K2056" s="1"/>
      <c r="L2056" s="6"/>
      <c r="M2056" s="4"/>
      <c r="N2056" s="12">
        <v>2022</v>
      </c>
      <c r="O2056" s="1"/>
      <c r="P2056" s="1"/>
      <c r="Q2056" s="13" t="s">
        <v>10281</v>
      </c>
      <c r="R2056" s="12" t="s">
        <v>10279</v>
      </c>
    </row>
    <row r="2057" spans="1:18" x14ac:dyDescent="0.25">
      <c r="A2057" s="29" t="s">
        <v>10277</v>
      </c>
      <c r="B2057" s="29" t="s">
        <v>10278</v>
      </c>
      <c r="C2057" s="29" t="s">
        <v>9397</v>
      </c>
      <c r="D2057" s="4"/>
      <c r="E2057" s="1"/>
      <c r="F2057" s="4"/>
      <c r="G2057" s="4"/>
      <c r="H2057" s="9"/>
      <c r="I2057" s="4"/>
      <c r="J2057" s="4"/>
      <c r="K2057" s="1"/>
      <c r="L2057" s="6"/>
      <c r="M2057" s="4"/>
      <c r="N2057" s="12">
        <v>2022</v>
      </c>
      <c r="O2057" s="1"/>
      <c r="P2057" s="1"/>
      <c r="Q2057" s="13" t="s">
        <v>10284</v>
      </c>
      <c r="R2057" s="12" t="s">
        <v>10283</v>
      </c>
    </row>
    <row r="2058" spans="1:18" x14ac:dyDescent="0.25">
      <c r="A2058" s="29" t="s">
        <v>9395</v>
      </c>
      <c r="B2058" s="29" t="s">
        <v>10282</v>
      </c>
      <c r="C2058" s="29" t="s">
        <v>9906</v>
      </c>
      <c r="D2058" s="4"/>
      <c r="E2058" s="1"/>
      <c r="F2058" s="4"/>
      <c r="G2058" s="4"/>
      <c r="H2058" s="9"/>
      <c r="I2058" s="4"/>
      <c r="J2058" s="4"/>
      <c r="K2058" s="1"/>
      <c r="L2058" s="6"/>
      <c r="M2058" s="4"/>
      <c r="N2058" s="12">
        <v>2021</v>
      </c>
      <c r="O2058" s="1"/>
      <c r="P2058" s="1"/>
      <c r="Q2058" s="13" t="s">
        <v>10287</v>
      </c>
      <c r="R2058" s="12" t="s">
        <v>10286</v>
      </c>
    </row>
    <row r="2059" spans="1:18" x14ac:dyDescent="0.25">
      <c r="A2059" s="29" t="s">
        <v>9904</v>
      </c>
      <c r="B2059" s="29" t="s">
        <v>10285</v>
      </c>
      <c r="C2059" s="29" t="s">
        <v>10288</v>
      </c>
      <c r="D2059" s="4"/>
      <c r="E2059" s="1"/>
      <c r="F2059" s="4"/>
      <c r="G2059" s="4"/>
      <c r="H2059" s="9"/>
      <c r="I2059" s="4"/>
      <c r="J2059" s="4"/>
      <c r="K2059" s="1"/>
      <c r="L2059" s="6"/>
      <c r="M2059" s="4"/>
      <c r="N2059" s="12">
        <v>2021</v>
      </c>
      <c r="O2059" s="1"/>
      <c r="P2059" s="1"/>
      <c r="Q2059" s="13" t="s">
        <v>10289</v>
      </c>
      <c r="R2059" s="12" t="s">
        <v>2543</v>
      </c>
    </row>
    <row r="2060" spans="1:18" x14ac:dyDescent="0.25">
      <c r="A2060" s="29" t="s">
        <v>136</v>
      </c>
      <c r="B2060" s="29" t="s">
        <v>2541</v>
      </c>
      <c r="C2060" s="29" t="s">
        <v>10292</v>
      </c>
      <c r="D2060" s="4"/>
      <c r="E2060" s="1"/>
      <c r="F2060" s="4"/>
      <c r="G2060" s="4"/>
      <c r="H2060" s="9"/>
      <c r="I2060" s="4"/>
      <c r="J2060" s="4"/>
      <c r="K2060" s="1"/>
      <c r="L2060" s="6"/>
      <c r="M2060" s="4"/>
      <c r="N2060" s="12">
        <v>2021</v>
      </c>
      <c r="O2060" s="1"/>
      <c r="P2060" s="1"/>
      <c r="Q2060" s="13" t="s">
        <v>10293</v>
      </c>
      <c r="R2060" s="12" t="s">
        <v>10291</v>
      </c>
    </row>
    <row r="2061" spans="1:18" x14ac:dyDescent="0.25">
      <c r="A2061" s="29" t="s">
        <v>4461</v>
      </c>
      <c r="B2061" s="29" t="s">
        <v>10290</v>
      </c>
      <c r="C2061" s="29" t="s">
        <v>10296</v>
      </c>
      <c r="D2061" s="4"/>
      <c r="E2061" s="1"/>
      <c r="F2061" s="4"/>
      <c r="G2061" s="4"/>
      <c r="H2061" s="9"/>
      <c r="I2061" s="4"/>
      <c r="J2061" s="4"/>
      <c r="K2061" s="1"/>
      <c r="L2061" s="6"/>
      <c r="M2061" s="4"/>
      <c r="N2061" s="12">
        <v>2023</v>
      </c>
      <c r="O2061" s="1"/>
      <c r="P2061" s="1"/>
      <c r="Q2061" s="13" t="s">
        <v>10297</v>
      </c>
      <c r="R2061" s="12" t="s">
        <v>10295</v>
      </c>
    </row>
    <row r="2062" spans="1:18" x14ac:dyDescent="0.25">
      <c r="A2062" s="15"/>
      <c r="B2062" s="29" t="s">
        <v>10294</v>
      </c>
      <c r="C2062" s="29" t="s">
        <v>9397</v>
      </c>
      <c r="D2062" s="4"/>
      <c r="E2062" s="1"/>
      <c r="F2062" s="4"/>
      <c r="G2062" s="4"/>
      <c r="H2062" s="9"/>
      <c r="I2062" s="4"/>
      <c r="J2062" s="4"/>
      <c r="K2062" s="1"/>
      <c r="L2062" s="6"/>
      <c r="M2062" s="4"/>
      <c r="N2062" s="12">
        <v>2022</v>
      </c>
      <c r="O2062" s="1"/>
      <c r="P2062" s="1"/>
      <c r="Q2062" s="13" t="s">
        <v>10300</v>
      </c>
      <c r="R2062" s="12" t="s">
        <v>10299</v>
      </c>
    </row>
    <row r="2063" spans="1:18" x14ac:dyDescent="0.25">
      <c r="A2063" s="29" t="s">
        <v>9395</v>
      </c>
      <c r="B2063" s="29" t="s">
        <v>10298</v>
      </c>
      <c r="C2063" s="29" t="s">
        <v>10303</v>
      </c>
      <c r="D2063" s="4"/>
      <c r="E2063" s="1"/>
      <c r="F2063" s="4"/>
      <c r="G2063" s="4"/>
      <c r="H2063" s="9"/>
      <c r="I2063" s="4"/>
      <c r="J2063" s="4"/>
      <c r="K2063" s="1"/>
      <c r="L2063" s="6"/>
      <c r="M2063" s="4"/>
      <c r="N2063" s="12">
        <v>2020</v>
      </c>
      <c r="O2063" s="1"/>
      <c r="P2063" s="1"/>
      <c r="Q2063" s="13" t="s">
        <v>10304</v>
      </c>
      <c r="R2063" s="12" t="s">
        <v>10302</v>
      </c>
    </row>
    <row r="2064" spans="1:18" x14ac:dyDescent="0.25">
      <c r="A2064" s="29" t="s">
        <v>136</v>
      </c>
      <c r="B2064" s="29" t="s">
        <v>10301</v>
      </c>
      <c r="C2064" s="29" t="s">
        <v>10307</v>
      </c>
      <c r="D2064" s="4"/>
      <c r="E2064" s="1"/>
      <c r="F2064" s="4"/>
      <c r="G2064" s="4"/>
      <c r="H2064" s="9"/>
      <c r="I2064" s="4"/>
      <c r="J2064" s="4"/>
      <c r="K2064" s="1"/>
      <c r="L2064" s="6"/>
      <c r="M2064" s="4"/>
      <c r="N2064" s="12">
        <v>2019</v>
      </c>
      <c r="O2064" s="1"/>
      <c r="P2064" s="1"/>
      <c r="Q2064" s="13" t="s">
        <v>10308</v>
      </c>
      <c r="R2064" s="12" t="s">
        <v>10306</v>
      </c>
    </row>
    <row r="2065" spans="1:18" x14ac:dyDescent="0.25">
      <c r="A2065" s="29" t="s">
        <v>136</v>
      </c>
      <c r="B2065" s="29" t="s">
        <v>10305</v>
      </c>
      <c r="C2065" s="29" t="s">
        <v>10310</v>
      </c>
      <c r="D2065" s="4"/>
      <c r="E2065" s="1"/>
      <c r="F2065" s="4"/>
      <c r="G2065" s="4"/>
      <c r="H2065" s="9"/>
      <c r="I2065" s="4"/>
      <c r="J2065" s="4"/>
      <c r="K2065" s="1"/>
      <c r="L2065" s="6"/>
      <c r="M2065" s="4"/>
      <c r="N2065" s="12">
        <v>2020</v>
      </c>
      <c r="O2065" s="1"/>
      <c r="P2065" s="1"/>
      <c r="Q2065" s="13" t="s">
        <v>10311</v>
      </c>
      <c r="R2065" s="12" t="s">
        <v>4479</v>
      </c>
    </row>
    <row r="2066" spans="1:18" x14ac:dyDescent="0.25">
      <c r="A2066" s="29" t="s">
        <v>10309</v>
      </c>
      <c r="B2066" s="29" t="s">
        <v>4475</v>
      </c>
      <c r="C2066" s="29" t="s">
        <v>10314</v>
      </c>
      <c r="D2066" s="4"/>
      <c r="E2066" s="1"/>
      <c r="F2066" s="4"/>
      <c r="G2066" s="4"/>
      <c r="H2066" s="9"/>
      <c r="I2066" s="4"/>
      <c r="J2066" s="4"/>
      <c r="K2066" s="1"/>
      <c r="L2066" s="6"/>
      <c r="M2066" s="4"/>
      <c r="N2066" s="12">
        <v>2020</v>
      </c>
      <c r="O2066" s="1"/>
      <c r="P2066" s="1"/>
      <c r="Q2066" s="13" t="s">
        <v>10315</v>
      </c>
      <c r="R2066" s="12" t="s">
        <v>4970</v>
      </c>
    </row>
    <row r="2067" spans="1:18" x14ac:dyDescent="0.25">
      <c r="A2067" s="29" t="s">
        <v>10312</v>
      </c>
      <c r="B2067" s="29" t="s">
        <v>10313</v>
      </c>
      <c r="C2067" s="29" t="s">
        <v>10319</v>
      </c>
      <c r="D2067" s="4"/>
      <c r="E2067" s="1"/>
      <c r="F2067" s="4"/>
      <c r="G2067" s="4"/>
      <c r="H2067" s="9"/>
      <c r="I2067" s="4"/>
      <c r="J2067" s="4"/>
      <c r="K2067" s="1"/>
      <c r="L2067" s="6"/>
      <c r="M2067" s="4"/>
      <c r="N2067" s="12">
        <v>2021</v>
      </c>
      <c r="O2067" s="1"/>
      <c r="P2067" s="1"/>
      <c r="Q2067" s="13" t="s">
        <v>10320</v>
      </c>
      <c r="R2067" s="12" t="s">
        <v>10318</v>
      </c>
    </row>
    <row r="2068" spans="1:18" x14ac:dyDescent="0.25">
      <c r="A2068" s="29" t="s">
        <v>10316</v>
      </c>
      <c r="B2068" s="29" t="s">
        <v>10317</v>
      </c>
      <c r="C2068" s="29" t="s">
        <v>10323</v>
      </c>
      <c r="D2068" s="4"/>
      <c r="E2068" s="1"/>
      <c r="F2068" s="4"/>
      <c r="G2068" s="4"/>
      <c r="H2068" s="9"/>
      <c r="I2068" s="4"/>
      <c r="J2068" s="4"/>
      <c r="K2068" s="1"/>
      <c r="L2068" s="6"/>
      <c r="M2068" s="4"/>
      <c r="N2068" s="12">
        <v>2023</v>
      </c>
      <c r="O2068" s="1"/>
      <c r="P2068" s="1"/>
      <c r="Q2068" s="13" t="s">
        <v>10324</v>
      </c>
      <c r="R2068" s="12" t="s">
        <v>10322</v>
      </c>
    </row>
    <row r="2069" spans="1:18" x14ac:dyDescent="0.25">
      <c r="A2069" s="29" t="s">
        <v>9649</v>
      </c>
      <c r="B2069" s="29" t="s">
        <v>10321</v>
      </c>
      <c r="C2069" s="29" t="s">
        <v>10327</v>
      </c>
      <c r="D2069" s="4"/>
      <c r="E2069" s="1"/>
      <c r="F2069" s="4"/>
      <c r="G2069" s="4"/>
      <c r="H2069" s="9"/>
      <c r="I2069" s="4"/>
      <c r="J2069" s="4"/>
      <c r="K2069" s="1"/>
      <c r="L2069" s="6"/>
      <c r="M2069" s="4"/>
      <c r="N2069" s="12">
        <v>2022</v>
      </c>
      <c r="O2069" s="1"/>
      <c r="P2069" s="1"/>
      <c r="Q2069" s="13" t="s">
        <v>10328</v>
      </c>
      <c r="R2069" s="12" t="s">
        <v>10326</v>
      </c>
    </row>
    <row r="2070" spans="1:18" x14ac:dyDescent="0.25">
      <c r="A2070" s="15"/>
      <c r="B2070" s="29" t="s">
        <v>10325</v>
      </c>
      <c r="C2070" s="29" t="s">
        <v>10331</v>
      </c>
      <c r="D2070" s="4"/>
      <c r="E2070" s="1"/>
      <c r="F2070" s="4"/>
      <c r="G2070" s="4"/>
      <c r="H2070" s="9"/>
      <c r="I2070" s="4"/>
      <c r="J2070" s="4"/>
      <c r="K2070" s="1"/>
      <c r="L2070" s="6"/>
      <c r="M2070" s="4"/>
      <c r="N2070" s="12">
        <v>2019</v>
      </c>
      <c r="O2070" s="1"/>
      <c r="P2070" s="1"/>
      <c r="Q2070" s="13" t="s">
        <v>10332</v>
      </c>
      <c r="R2070" s="12" t="s">
        <v>10330</v>
      </c>
    </row>
    <row r="2071" spans="1:18" x14ac:dyDescent="0.25">
      <c r="A2071" s="29" t="s">
        <v>136</v>
      </c>
      <c r="B2071" s="29" t="s">
        <v>10329</v>
      </c>
      <c r="C2071" s="29" t="s">
        <v>10335</v>
      </c>
      <c r="D2071" s="4"/>
      <c r="E2071" s="1"/>
      <c r="F2071" s="4"/>
      <c r="G2071" s="4"/>
      <c r="H2071" s="9"/>
      <c r="I2071" s="4"/>
      <c r="J2071" s="4"/>
      <c r="K2071" s="1"/>
      <c r="L2071" s="6"/>
      <c r="M2071" s="4"/>
      <c r="N2071" s="12">
        <v>2014</v>
      </c>
      <c r="O2071" s="1"/>
      <c r="P2071" s="1"/>
      <c r="Q2071" s="13" t="s">
        <v>10336</v>
      </c>
      <c r="R2071" s="12" t="s">
        <v>10334</v>
      </c>
    </row>
    <row r="2072" spans="1:18" x14ac:dyDescent="0.25">
      <c r="A2072" s="29" t="s">
        <v>523</v>
      </c>
      <c r="B2072" s="29" t="s">
        <v>10333</v>
      </c>
      <c r="C2072" s="29" t="s">
        <v>10339</v>
      </c>
      <c r="D2072" s="4"/>
      <c r="E2072" s="1"/>
      <c r="F2072" s="4"/>
      <c r="G2072" s="4"/>
      <c r="H2072" s="9"/>
      <c r="I2072" s="4"/>
      <c r="J2072" s="4"/>
      <c r="K2072" s="1"/>
      <c r="L2072" s="6"/>
      <c r="M2072" s="4"/>
      <c r="N2072" s="12">
        <v>2022</v>
      </c>
      <c r="O2072" s="1"/>
      <c r="P2072" s="1"/>
      <c r="Q2072" s="13" t="s">
        <v>10340</v>
      </c>
      <c r="R2072" s="12" t="s">
        <v>10338</v>
      </c>
    </row>
    <row r="2073" spans="1:18" x14ac:dyDescent="0.25">
      <c r="A2073" s="29" t="s">
        <v>136</v>
      </c>
      <c r="B2073" s="29" t="s">
        <v>10337</v>
      </c>
      <c r="C2073" s="29" t="s">
        <v>10343</v>
      </c>
      <c r="D2073" s="4"/>
      <c r="E2073" s="1"/>
      <c r="F2073" s="4"/>
      <c r="G2073" s="4"/>
      <c r="H2073" s="9"/>
      <c r="I2073" s="4"/>
      <c r="J2073" s="4"/>
      <c r="K2073" s="1"/>
      <c r="L2073" s="6"/>
      <c r="M2073" s="4"/>
      <c r="N2073" s="12">
        <v>2022</v>
      </c>
      <c r="O2073" s="1"/>
      <c r="P2073" s="1"/>
      <c r="Q2073" s="13" t="s">
        <v>10344</v>
      </c>
      <c r="R2073" s="12" t="s">
        <v>10342</v>
      </c>
    </row>
    <row r="2074" spans="1:18" x14ac:dyDescent="0.25">
      <c r="A2074" s="29" t="s">
        <v>523</v>
      </c>
      <c r="B2074" s="29" t="s">
        <v>10341</v>
      </c>
      <c r="C2074" s="29" t="s">
        <v>10347</v>
      </c>
      <c r="D2074" s="4"/>
      <c r="E2074" s="1"/>
      <c r="F2074" s="4"/>
      <c r="G2074" s="4"/>
      <c r="H2074" s="9"/>
      <c r="I2074" s="4"/>
      <c r="J2074" s="4"/>
      <c r="K2074" s="1"/>
      <c r="L2074" s="6"/>
      <c r="M2074" s="4"/>
      <c r="N2074" s="12">
        <v>2017</v>
      </c>
      <c r="O2074" s="1"/>
      <c r="P2074" s="1"/>
      <c r="Q2074" s="13" t="s">
        <v>10348</v>
      </c>
      <c r="R2074" s="12" t="s">
        <v>10346</v>
      </c>
    </row>
    <row r="2075" spans="1:18" x14ac:dyDescent="0.25">
      <c r="A2075" s="29" t="s">
        <v>691</v>
      </c>
      <c r="B2075" s="29" t="s">
        <v>10345</v>
      </c>
      <c r="C2075" s="29" t="s">
        <v>10352</v>
      </c>
      <c r="D2075" s="4"/>
      <c r="E2075" s="1"/>
      <c r="F2075" s="4"/>
      <c r="G2075" s="4"/>
      <c r="H2075" s="9"/>
      <c r="I2075" s="4"/>
      <c r="J2075" s="4"/>
      <c r="K2075" s="1"/>
      <c r="L2075" s="6"/>
      <c r="M2075" s="4"/>
      <c r="N2075" s="12">
        <v>2019</v>
      </c>
      <c r="O2075" s="1"/>
      <c r="P2075" s="1"/>
      <c r="Q2075" s="13" t="s">
        <v>10353</v>
      </c>
      <c r="R2075" s="12" t="s">
        <v>10351</v>
      </c>
    </row>
    <row r="2076" spans="1:18" x14ac:dyDescent="0.25">
      <c r="A2076" s="29" t="s">
        <v>10349</v>
      </c>
      <c r="B2076" s="29" t="s">
        <v>10350</v>
      </c>
      <c r="C2076" s="29" t="s">
        <v>10356</v>
      </c>
      <c r="D2076" s="4"/>
      <c r="E2076" s="1"/>
      <c r="F2076" s="4"/>
      <c r="G2076" s="4"/>
      <c r="H2076" s="9"/>
      <c r="I2076" s="4"/>
      <c r="J2076" s="4"/>
      <c r="K2076" s="1"/>
      <c r="L2076" s="6"/>
      <c r="M2076" s="4"/>
      <c r="N2076" s="12">
        <v>2019</v>
      </c>
      <c r="O2076" s="1"/>
      <c r="P2076" s="1"/>
      <c r="Q2076" s="13" t="s">
        <v>10357</v>
      </c>
      <c r="R2076" s="12" t="s">
        <v>10355</v>
      </c>
    </row>
    <row r="2077" spans="1:18" x14ac:dyDescent="0.25">
      <c r="A2077" s="29" t="s">
        <v>523</v>
      </c>
      <c r="B2077" s="29" t="s">
        <v>10354</v>
      </c>
      <c r="C2077" s="29" t="s">
        <v>10360</v>
      </c>
      <c r="D2077" s="4"/>
      <c r="E2077" s="1"/>
      <c r="F2077" s="4"/>
      <c r="G2077" s="4"/>
      <c r="H2077" s="9"/>
      <c r="I2077" s="4"/>
      <c r="J2077" s="4"/>
      <c r="K2077" s="1"/>
      <c r="L2077" s="6"/>
      <c r="M2077" s="4"/>
      <c r="N2077" s="12">
        <v>2020</v>
      </c>
      <c r="O2077" s="1"/>
      <c r="P2077" s="1"/>
      <c r="Q2077" s="13" t="s">
        <v>10361</v>
      </c>
      <c r="R2077" s="12" t="s">
        <v>10359</v>
      </c>
    </row>
    <row r="2078" spans="1:18" x14ac:dyDescent="0.25">
      <c r="A2078" s="29" t="s">
        <v>629</v>
      </c>
      <c r="B2078" s="29" t="s">
        <v>10358</v>
      </c>
      <c r="C2078" s="29" t="s">
        <v>10364</v>
      </c>
      <c r="D2078" s="4"/>
      <c r="E2078" s="1"/>
      <c r="F2078" s="4"/>
      <c r="G2078" s="4"/>
      <c r="H2078" s="9"/>
      <c r="I2078" s="4"/>
      <c r="J2078" s="4"/>
      <c r="K2078" s="1"/>
      <c r="L2078" s="6"/>
      <c r="M2078" s="4"/>
      <c r="N2078" s="12">
        <v>2021</v>
      </c>
      <c r="O2078" s="1"/>
      <c r="P2078" s="1"/>
      <c r="Q2078" s="13" t="s">
        <v>10365</v>
      </c>
      <c r="R2078" s="12" t="s">
        <v>10363</v>
      </c>
    </row>
    <row r="2079" spans="1:18" x14ac:dyDescent="0.25">
      <c r="A2079" s="29" t="s">
        <v>10135</v>
      </c>
      <c r="B2079" s="29" t="s">
        <v>10362</v>
      </c>
      <c r="C2079" s="29" t="s">
        <v>10369</v>
      </c>
      <c r="D2079" s="4"/>
      <c r="E2079" s="1"/>
      <c r="F2079" s="4"/>
      <c r="G2079" s="4"/>
      <c r="H2079" s="9"/>
      <c r="I2079" s="4"/>
      <c r="J2079" s="4"/>
      <c r="K2079" s="1"/>
      <c r="L2079" s="6"/>
      <c r="M2079" s="4"/>
      <c r="N2079" s="12">
        <v>2019</v>
      </c>
      <c r="O2079" s="1"/>
      <c r="P2079" s="1"/>
      <c r="Q2079" s="13" t="s">
        <v>10370</v>
      </c>
      <c r="R2079" s="12" t="s">
        <v>10368</v>
      </c>
    </row>
    <row r="2080" spans="1:18" x14ac:dyDescent="0.25">
      <c r="A2080" s="29" t="s">
        <v>10366</v>
      </c>
      <c r="B2080" s="29" t="s">
        <v>10367</v>
      </c>
      <c r="C2080" s="29" t="s">
        <v>10167</v>
      </c>
      <c r="D2080" s="4"/>
      <c r="E2080" s="1"/>
      <c r="F2080" s="4"/>
      <c r="G2080" s="4"/>
      <c r="H2080" s="9"/>
      <c r="I2080" s="4"/>
      <c r="J2080" s="4"/>
      <c r="K2080" s="1"/>
      <c r="L2080" s="6"/>
      <c r="M2080" s="4"/>
      <c r="N2080" s="12">
        <v>2020</v>
      </c>
      <c r="O2080" s="1"/>
      <c r="P2080" s="1"/>
      <c r="Q2080" s="13" t="s">
        <v>10373</v>
      </c>
      <c r="R2080" s="12" t="s">
        <v>10372</v>
      </c>
    </row>
    <row r="2081" spans="1:18" x14ac:dyDescent="0.25">
      <c r="A2081" s="29" t="s">
        <v>10164</v>
      </c>
      <c r="B2081" s="29" t="s">
        <v>10371</v>
      </c>
      <c r="C2081" s="29" t="s">
        <v>10376</v>
      </c>
      <c r="D2081" s="4"/>
      <c r="E2081" s="1"/>
      <c r="F2081" s="4"/>
      <c r="G2081" s="4"/>
      <c r="H2081" s="9"/>
      <c r="I2081" s="4"/>
      <c r="J2081" s="4"/>
      <c r="K2081" s="1"/>
      <c r="L2081" s="6"/>
      <c r="M2081" s="4"/>
      <c r="N2081" s="12">
        <v>2021</v>
      </c>
      <c r="O2081" s="1"/>
      <c r="P2081" s="1"/>
      <c r="Q2081" s="13" t="s">
        <v>10377</v>
      </c>
      <c r="R2081" s="12" t="s">
        <v>10375</v>
      </c>
    </row>
    <row r="2082" spans="1:18" x14ac:dyDescent="0.25">
      <c r="A2082" s="29" t="s">
        <v>9367</v>
      </c>
      <c r="B2082" s="29" t="s">
        <v>10374</v>
      </c>
      <c r="C2082" s="29" t="s">
        <v>10380</v>
      </c>
      <c r="D2082" s="4"/>
      <c r="E2082" s="1"/>
      <c r="F2082" s="4"/>
      <c r="G2082" s="4"/>
      <c r="H2082" s="9"/>
      <c r="I2082" s="4"/>
      <c r="J2082" s="4"/>
      <c r="K2082" s="1"/>
      <c r="L2082" s="6"/>
      <c r="M2082" s="4"/>
      <c r="N2082" s="12">
        <v>2022</v>
      </c>
      <c r="O2082" s="1"/>
      <c r="P2082" s="1"/>
      <c r="Q2082" s="13" t="s">
        <v>10381</v>
      </c>
      <c r="R2082" s="12" t="s">
        <v>10379</v>
      </c>
    </row>
    <row r="2083" spans="1:18" x14ac:dyDescent="0.25">
      <c r="A2083" s="29" t="s">
        <v>523</v>
      </c>
      <c r="B2083" s="29" t="s">
        <v>10378</v>
      </c>
      <c r="C2083" s="29" t="s">
        <v>10382</v>
      </c>
      <c r="D2083" s="4"/>
      <c r="E2083" s="1"/>
      <c r="F2083" s="4"/>
      <c r="G2083" s="4"/>
      <c r="H2083" s="9"/>
      <c r="I2083" s="4"/>
      <c r="J2083" s="4"/>
      <c r="K2083" s="1"/>
      <c r="L2083" s="6"/>
      <c r="M2083" s="4"/>
      <c r="N2083" s="12">
        <v>2022</v>
      </c>
      <c r="O2083" s="1"/>
      <c r="P2083" s="1"/>
      <c r="Q2083" s="13" t="s">
        <v>10383</v>
      </c>
      <c r="R2083" s="12" t="s">
        <v>1037</v>
      </c>
    </row>
    <row r="2084" spans="1:18" x14ac:dyDescent="0.25">
      <c r="A2084" s="29" t="s">
        <v>1033</v>
      </c>
      <c r="B2084" s="29" t="s">
        <v>1032</v>
      </c>
      <c r="C2084" s="29" t="s">
        <v>10008</v>
      </c>
      <c r="D2084" s="4"/>
      <c r="E2084" s="1"/>
      <c r="F2084" s="4"/>
      <c r="G2084" s="4"/>
      <c r="H2084" s="9"/>
      <c r="I2084" s="4"/>
      <c r="J2084" s="4"/>
      <c r="K2084" s="1"/>
      <c r="L2084" s="6"/>
      <c r="M2084" s="4"/>
      <c r="N2084" s="12">
        <v>2022</v>
      </c>
      <c r="O2084" s="1"/>
      <c r="P2084" s="1"/>
      <c r="Q2084" s="13" t="s">
        <v>10386</v>
      </c>
      <c r="R2084" s="12" t="s">
        <v>10385</v>
      </c>
    </row>
    <row r="2085" spans="1:18" x14ac:dyDescent="0.25">
      <c r="A2085" s="29" t="s">
        <v>9403</v>
      </c>
      <c r="B2085" s="29" t="s">
        <v>10384</v>
      </c>
      <c r="C2085" s="29" t="s">
        <v>10388</v>
      </c>
      <c r="D2085" s="4"/>
      <c r="E2085" s="1"/>
      <c r="F2085" s="4"/>
      <c r="G2085" s="4"/>
      <c r="H2085" s="9"/>
      <c r="I2085" s="4"/>
      <c r="J2085" s="4"/>
      <c r="K2085" s="1"/>
      <c r="L2085" s="6"/>
      <c r="M2085" s="4"/>
      <c r="N2085" s="12">
        <v>2020</v>
      </c>
      <c r="O2085" s="1"/>
      <c r="P2085" s="1"/>
      <c r="Q2085" s="13" t="s">
        <v>10389</v>
      </c>
      <c r="R2085" s="12" t="s">
        <v>3899</v>
      </c>
    </row>
    <row r="2086" spans="1:18" x14ac:dyDescent="0.25">
      <c r="A2086" s="29" t="s">
        <v>10387</v>
      </c>
      <c r="B2086" s="29" t="s">
        <v>3895</v>
      </c>
      <c r="C2086" s="29" t="s">
        <v>10008</v>
      </c>
      <c r="D2086" s="4"/>
      <c r="E2086" s="1"/>
      <c r="F2086" s="4"/>
      <c r="G2086" s="4"/>
      <c r="H2086" s="9"/>
      <c r="I2086" s="4"/>
      <c r="J2086" s="4"/>
      <c r="K2086" s="1"/>
      <c r="L2086" s="6"/>
      <c r="M2086" s="4"/>
      <c r="N2086" s="12">
        <v>2022</v>
      </c>
      <c r="O2086" s="1"/>
      <c r="P2086" s="1"/>
      <c r="Q2086" s="13" t="s">
        <v>10392</v>
      </c>
      <c r="R2086" s="12" t="s">
        <v>10391</v>
      </c>
    </row>
    <row r="2087" spans="1:18" x14ac:dyDescent="0.25">
      <c r="A2087" s="29" t="s">
        <v>9403</v>
      </c>
      <c r="B2087" s="29" t="s">
        <v>10390</v>
      </c>
      <c r="C2087" s="29" t="s">
        <v>10395</v>
      </c>
      <c r="D2087" s="4"/>
      <c r="E2087" s="1"/>
      <c r="F2087" s="4"/>
      <c r="G2087" s="4"/>
      <c r="H2087" s="9"/>
      <c r="I2087" s="4"/>
      <c r="J2087" s="4"/>
      <c r="K2087" s="1"/>
      <c r="L2087" s="6"/>
      <c r="M2087" s="4"/>
      <c r="N2087" s="12">
        <v>2022</v>
      </c>
      <c r="O2087" s="1"/>
      <c r="P2087" s="1"/>
      <c r="Q2087" s="13" t="s">
        <v>10396</v>
      </c>
      <c r="R2087" s="12" t="s">
        <v>10394</v>
      </c>
    </row>
    <row r="2088" spans="1:18" x14ac:dyDescent="0.25">
      <c r="A2088" s="15"/>
      <c r="B2088" s="29" t="s">
        <v>10393</v>
      </c>
      <c r="C2088" s="29" t="s">
        <v>10400</v>
      </c>
      <c r="D2088" s="4"/>
      <c r="E2088" s="1"/>
      <c r="F2088" s="4"/>
      <c r="G2088" s="4"/>
      <c r="H2088" s="9"/>
      <c r="I2088" s="4"/>
      <c r="J2088" s="4"/>
      <c r="K2088" s="1"/>
      <c r="L2088" s="6"/>
      <c r="M2088" s="4"/>
      <c r="N2088" s="12">
        <v>2020</v>
      </c>
      <c r="O2088" s="1"/>
      <c r="P2088" s="1"/>
      <c r="Q2088" s="13" t="s">
        <v>10401</v>
      </c>
      <c r="R2088" s="12" t="s">
        <v>10399</v>
      </c>
    </row>
    <row r="2089" spans="1:18" x14ac:dyDescent="0.25">
      <c r="A2089" s="29" t="s">
        <v>10397</v>
      </c>
      <c r="B2089" s="29" t="s">
        <v>10398</v>
      </c>
      <c r="C2089" s="29" t="s">
        <v>10404</v>
      </c>
      <c r="D2089" s="4"/>
      <c r="E2089" s="1"/>
      <c r="F2089" s="4"/>
      <c r="G2089" s="4"/>
      <c r="H2089" s="9"/>
      <c r="I2089" s="4"/>
      <c r="J2089" s="4"/>
      <c r="K2089" s="1"/>
      <c r="L2089" s="6"/>
      <c r="M2089" s="4"/>
      <c r="N2089" s="12">
        <v>2018</v>
      </c>
      <c r="O2089" s="1"/>
      <c r="P2089" s="1"/>
      <c r="Q2089" s="13" t="s">
        <v>10405</v>
      </c>
      <c r="R2089" s="12" t="s">
        <v>10403</v>
      </c>
    </row>
    <row r="2090" spans="1:18" x14ac:dyDescent="0.25">
      <c r="A2090" s="29" t="s">
        <v>9335</v>
      </c>
      <c r="B2090" s="29" t="s">
        <v>10402</v>
      </c>
      <c r="C2090" s="29" t="s">
        <v>10408</v>
      </c>
      <c r="D2090" s="4"/>
      <c r="E2090" s="1"/>
      <c r="F2090" s="4"/>
      <c r="G2090" s="4"/>
      <c r="H2090" s="9"/>
      <c r="I2090" s="4"/>
      <c r="J2090" s="4"/>
      <c r="K2090" s="1"/>
      <c r="L2090" s="6"/>
      <c r="M2090" s="4"/>
      <c r="N2090" s="12">
        <v>2020</v>
      </c>
      <c r="O2090" s="1"/>
      <c r="P2090" s="1"/>
      <c r="Q2090" s="13" t="s">
        <v>10409</v>
      </c>
      <c r="R2090" s="12" t="s">
        <v>10407</v>
      </c>
    </row>
    <row r="2091" spans="1:18" x14ac:dyDescent="0.25">
      <c r="A2091" s="29" t="s">
        <v>523</v>
      </c>
      <c r="B2091" s="29" t="s">
        <v>10406</v>
      </c>
      <c r="C2091" s="29" t="s">
        <v>10412</v>
      </c>
      <c r="D2091" s="4"/>
      <c r="E2091" s="1"/>
      <c r="F2091" s="4"/>
      <c r="G2091" s="4"/>
      <c r="H2091" s="9"/>
      <c r="I2091" s="4"/>
      <c r="J2091" s="4"/>
      <c r="K2091" s="1"/>
      <c r="L2091" s="6"/>
      <c r="M2091" s="4"/>
      <c r="N2091" s="12">
        <v>2020</v>
      </c>
      <c r="O2091" s="1"/>
      <c r="P2091" s="1"/>
      <c r="Q2091" s="13" t="s">
        <v>10413</v>
      </c>
      <c r="R2091" s="12" t="s">
        <v>10411</v>
      </c>
    </row>
    <row r="2092" spans="1:18" x14ac:dyDescent="0.25">
      <c r="A2092" s="29" t="s">
        <v>9866</v>
      </c>
      <c r="B2092" s="29" t="s">
        <v>10410</v>
      </c>
      <c r="C2092" s="29" t="s">
        <v>10416</v>
      </c>
      <c r="D2092" s="4"/>
      <c r="E2092" s="1"/>
      <c r="F2092" s="4"/>
      <c r="G2092" s="4"/>
      <c r="H2092" s="9"/>
      <c r="I2092" s="4"/>
      <c r="J2092" s="4"/>
      <c r="K2092" s="1"/>
      <c r="L2092" s="6"/>
      <c r="M2092" s="4"/>
      <c r="N2092" s="12">
        <v>2022</v>
      </c>
      <c r="O2092" s="1"/>
      <c r="P2092" s="1"/>
      <c r="Q2092" s="13" t="s">
        <v>10417</v>
      </c>
      <c r="R2092" s="12" t="s">
        <v>10415</v>
      </c>
    </row>
    <row r="2093" spans="1:18" x14ac:dyDescent="0.25">
      <c r="A2093" s="29" t="s">
        <v>1870</v>
      </c>
      <c r="B2093" s="29" t="s">
        <v>10414</v>
      </c>
      <c r="C2093" s="29" t="s">
        <v>10420</v>
      </c>
      <c r="D2093" s="4"/>
      <c r="E2093" s="1"/>
      <c r="F2093" s="4"/>
      <c r="G2093" s="4"/>
      <c r="H2093" s="9"/>
      <c r="I2093" s="4"/>
      <c r="J2093" s="4"/>
      <c r="K2093" s="1"/>
      <c r="L2093" s="6"/>
      <c r="M2093" s="4"/>
      <c r="N2093" s="12">
        <v>2022</v>
      </c>
      <c r="O2093" s="1"/>
      <c r="P2093" s="1"/>
      <c r="Q2093" s="13" t="s">
        <v>10421</v>
      </c>
      <c r="R2093" s="12" t="s">
        <v>10419</v>
      </c>
    </row>
    <row r="2094" spans="1:18" x14ac:dyDescent="0.25">
      <c r="A2094" s="29" t="s">
        <v>523</v>
      </c>
      <c r="B2094" s="29" t="s">
        <v>10418</v>
      </c>
      <c r="C2094" s="29" t="s">
        <v>10424</v>
      </c>
      <c r="D2094" s="4"/>
      <c r="E2094" s="1"/>
      <c r="F2094" s="4"/>
      <c r="G2094" s="4"/>
      <c r="H2094" s="9"/>
      <c r="I2094" s="4"/>
      <c r="J2094" s="4"/>
      <c r="K2094" s="1"/>
      <c r="L2094" s="6"/>
      <c r="M2094" s="4"/>
      <c r="N2094" s="12">
        <v>2022</v>
      </c>
      <c r="O2094" s="1"/>
      <c r="P2094" s="1"/>
      <c r="Q2094" s="13" t="s">
        <v>10425</v>
      </c>
      <c r="R2094" s="12" t="s">
        <v>10423</v>
      </c>
    </row>
    <row r="2095" spans="1:18" x14ac:dyDescent="0.25">
      <c r="A2095" s="15"/>
      <c r="B2095" s="29" t="s">
        <v>10422</v>
      </c>
      <c r="C2095" s="29" t="s">
        <v>10429</v>
      </c>
      <c r="D2095" s="4"/>
      <c r="E2095" s="1"/>
      <c r="F2095" s="4"/>
      <c r="G2095" s="4"/>
      <c r="H2095" s="9"/>
      <c r="I2095" s="4"/>
      <c r="J2095" s="4"/>
      <c r="K2095" s="1"/>
      <c r="L2095" s="6"/>
      <c r="M2095" s="4"/>
      <c r="N2095" s="12">
        <v>2018</v>
      </c>
      <c r="O2095" s="1"/>
      <c r="P2095" s="1"/>
      <c r="Q2095" s="13" t="s">
        <v>10430</v>
      </c>
      <c r="R2095" s="12" t="s">
        <v>10428</v>
      </c>
    </row>
    <row r="2096" spans="1:18" x14ac:dyDescent="0.25">
      <c r="A2096" s="29" t="s">
        <v>10426</v>
      </c>
      <c r="B2096" s="29" t="s">
        <v>10427</v>
      </c>
      <c r="C2096" s="29" t="s">
        <v>10433</v>
      </c>
      <c r="D2096" s="4"/>
      <c r="E2096" s="1"/>
      <c r="F2096" s="4"/>
      <c r="G2096" s="4"/>
      <c r="H2096" s="9"/>
      <c r="I2096" s="4"/>
      <c r="J2096" s="4"/>
      <c r="K2096" s="1"/>
      <c r="L2096" s="6"/>
      <c r="M2096" s="4"/>
      <c r="N2096" s="12">
        <v>2021</v>
      </c>
      <c r="O2096" s="1"/>
      <c r="P2096" s="1"/>
      <c r="Q2096" s="13" t="s">
        <v>10434</v>
      </c>
      <c r="R2096" s="12" t="s">
        <v>10432</v>
      </c>
    </row>
    <row r="2097" spans="1:18" x14ac:dyDescent="0.25">
      <c r="A2097" s="29" t="s">
        <v>9722</v>
      </c>
      <c r="B2097" s="29" t="s">
        <v>10431</v>
      </c>
      <c r="C2097" s="29" t="s">
        <v>10436</v>
      </c>
      <c r="D2097" s="4"/>
      <c r="E2097" s="1"/>
      <c r="F2097" s="4"/>
      <c r="G2097" s="4"/>
      <c r="H2097" s="9"/>
      <c r="I2097" s="4"/>
      <c r="J2097" s="4"/>
      <c r="K2097" s="1"/>
      <c r="L2097" s="6"/>
      <c r="M2097" s="4"/>
      <c r="N2097" s="12">
        <v>2020</v>
      </c>
      <c r="O2097" s="1"/>
      <c r="P2097" s="1"/>
      <c r="Q2097" s="13" t="s">
        <v>10437</v>
      </c>
      <c r="R2097" s="12" t="s">
        <v>5030</v>
      </c>
    </row>
    <row r="2098" spans="1:18" x14ac:dyDescent="0.25">
      <c r="A2098" s="29" t="s">
        <v>10435</v>
      </c>
      <c r="B2098" s="29" t="s">
        <v>5026</v>
      </c>
      <c r="C2098" s="29" t="s">
        <v>10438</v>
      </c>
      <c r="D2098" s="4"/>
      <c r="E2098" s="1"/>
      <c r="F2098" s="4"/>
      <c r="G2098" s="4"/>
      <c r="H2098" s="9"/>
      <c r="I2098" s="4"/>
      <c r="J2098" s="4"/>
      <c r="K2098" s="1"/>
      <c r="L2098" s="6"/>
      <c r="M2098" s="4"/>
      <c r="N2098" s="12">
        <v>2020</v>
      </c>
      <c r="O2098" s="1"/>
      <c r="P2098" s="1"/>
      <c r="Q2098" s="13" t="s">
        <v>10439</v>
      </c>
      <c r="R2098" s="12" t="s">
        <v>4598</v>
      </c>
    </row>
    <row r="2099" spans="1:18" x14ac:dyDescent="0.25">
      <c r="A2099" s="29" t="s">
        <v>136</v>
      </c>
      <c r="B2099" s="29" t="s">
        <v>4595</v>
      </c>
      <c r="C2099" s="29" t="s">
        <v>10442</v>
      </c>
      <c r="D2099" s="4"/>
      <c r="E2099" s="1"/>
      <c r="F2099" s="4"/>
      <c r="G2099" s="4"/>
      <c r="H2099" s="9"/>
      <c r="I2099" s="4"/>
      <c r="J2099" s="4"/>
      <c r="K2099" s="1"/>
      <c r="L2099" s="6"/>
      <c r="M2099" s="4"/>
      <c r="N2099" s="12">
        <v>2018</v>
      </c>
      <c r="O2099" s="1"/>
      <c r="P2099" s="1"/>
      <c r="Q2099" s="13" t="s">
        <v>10443</v>
      </c>
      <c r="R2099" s="12" t="s">
        <v>10441</v>
      </c>
    </row>
    <row r="2100" spans="1:18" x14ac:dyDescent="0.25">
      <c r="A2100" s="29" t="s">
        <v>136</v>
      </c>
      <c r="B2100" s="29" t="s">
        <v>10440</v>
      </c>
      <c r="C2100" s="29" t="s">
        <v>10446</v>
      </c>
      <c r="D2100" s="4"/>
      <c r="E2100" s="1"/>
      <c r="F2100" s="4"/>
      <c r="G2100" s="4"/>
      <c r="H2100" s="9"/>
      <c r="I2100" s="4"/>
      <c r="J2100" s="4"/>
      <c r="K2100" s="1"/>
      <c r="L2100" s="6"/>
      <c r="M2100" s="4"/>
      <c r="N2100" s="12">
        <v>2021</v>
      </c>
      <c r="O2100" s="1"/>
      <c r="P2100" s="1"/>
      <c r="Q2100" s="13" t="s">
        <v>10447</v>
      </c>
      <c r="R2100" s="12" t="s">
        <v>10445</v>
      </c>
    </row>
    <row r="2101" spans="1:18" x14ac:dyDescent="0.25">
      <c r="A2101" s="15"/>
      <c r="B2101" s="29" t="s">
        <v>10444</v>
      </c>
      <c r="C2101" s="29" t="s">
        <v>10450</v>
      </c>
      <c r="D2101" s="4"/>
      <c r="E2101" s="1"/>
      <c r="F2101" s="4"/>
      <c r="G2101" s="4"/>
      <c r="H2101" s="9"/>
      <c r="I2101" s="4"/>
      <c r="J2101" s="4"/>
      <c r="K2101" s="1"/>
      <c r="L2101" s="6"/>
      <c r="M2101" s="4"/>
      <c r="N2101" s="12">
        <v>2022</v>
      </c>
      <c r="O2101" s="1"/>
      <c r="P2101" s="1"/>
      <c r="Q2101" s="13" t="s">
        <v>10451</v>
      </c>
      <c r="R2101" s="12" t="s">
        <v>10449</v>
      </c>
    </row>
    <row r="2102" spans="1:18" x14ac:dyDescent="0.25">
      <c r="A2102" s="29" t="s">
        <v>9315</v>
      </c>
      <c r="B2102" s="29" t="s">
        <v>10448</v>
      </c>
      <c r="C2102" s="29" t="s">
        <v>10455</v>
      </c>
      <c r="D2102" s="4"/>
      <c r="E2102" s="1"/>
      <c r="F2102" s="4"/>
      <c r="G2102" s="4"/>
      <c r="H2102" s="9"/>
      <c r="I2102" s="4"/>
      <c r="J2102" s="4"/>
      <c r="K2102" s="1"/>
      <c r="L2102" s="6"/>
      <c r="M2102" s="4"/>
      <c r="N2102" s="12">
        <v>2019</v>
      </c>
      <c r="O2102" s="1"/>
      <c r="P2102" s="1"/>
      <c r="Q2102" s="13" t="s">
        <v>10456</v>
      </c>
      <c r="R2102" s="12" t="s">
        <v>10454</v>
      </c>
    </row>
    <row r="2103" spans="1:18" x14ac:dyDescent="0.25">
      <c r="A2103" s="29" t="s">
        <v>10452</v>
      </c>
      <c r="B2103" s="29" t="s">
        <v>10453</v>
      </c>
      <c r="C2103" s="29" t="s">
        <v>10459</v>
      </c>
      <c r="D2103" s="4"/>
      <c r="E2103" s="1"/>
      <c r="F2103" s="4"/>
      <c r="G2103" s="4"/>
      <c r="H2103" s="9"/>
      <c r="I2103" s="4"/>
      <c r="J2103" s="4"/>
      <c r="K2103" s="1"/>
      <c r="L2103" s="6"/>
      <c r="M2103" s="4"/>
      <c r="N2103" s="12">
        <v>2023</v>
      </c>
      <c r="O2103" s="1"/>
      <c r="P2103" s="1"/>
      <c r="Q2103" s="13" t="s">
        <v>10460</v>
      </c>
      <c r="R2103" s="12" t="s">
        <v>10458</v>
      </c>
    </row>
    <row r="2104" spans="1:18" x14ac:dyDescent="0.25">
      <c r="A2104" s="15"/>
      <c r="B2104" s="29" t="s">
        <v>10457</v>
      </c>
      <c r="C2104" s="29" t="s">
        <v>10461</v>
      </c>
      <c r="D2104" s="4"/>
      <c r="E2104" s="1"/>
      <c r="F2104" s="4"/>
      <c r="G2104" s="4"/>
      <c r="H2104" s="9"/>
      <c r="I2104" s="4"/>
      <c r="J2104" s="4"/>
      <c r="K2104" s="1"/>
      <c r="L2104" s="6"/>
      <c r="M2104" s="4"/>
      <c r="N2104" s="12">
        <v>2022</v>
      </c>
      <c r="O2104" s="1"/>
      <c r="P2104" s="1"/>
      <c r="Q2104" s="13" t="s">
        <v>10462</v>
      </c>
      <c r="R2104" s="12" t="s">
        <v>776</v>
      </c>
    </row>
    <row r="2105" spans="1:18" x14ac:dyDescent="0.25">
      <c r="A2105" s="29" t="s">
        <v>136</v>
      </c>
      <c r="B2105" s="29" t="s">
        <v>774</v>
      </c>
      <c r="C2105" s="29" t="s">
        <v>10465</v>
      </c>
      <c r="D2105" s="4"/>
      <c r="E2105" s="1"/>
      <c r="F2105" s="4"/>
      <c r="G2105" s="4"/>
      <c r="H2105" s="9"/>
      <c r="I2105" s="4"/>
      <c r="J2105" s="4"/>
      <c r="K2105" s="1"/>
      <c r="L2105" s="6"/>
      <c r="M2105" s="4"/>
      <c r="N2105" s="12">
        <v>2018</v>
      </c>
      <c r="O2105" s="1"/>
      <c r="P2105" s="1"/>
      <c r="Q2105" s="13" t="s">
        <v>10466</v>
      </c>
      <c r="R2105" s="12" t="s">
        <v>10464</v>
      </c>
    </row>
    <row r="2106" spans="1:18" x14ac:dyDescent="0.25">
      <c r="A2106" s="29" t="s">
        <v>136</v>
      </c>
      <c r="B2106" s="29" t="s">
        <v>10463</v>
      </c>
      <c r="C2106" s="29" t="s">
        <v>10469</v>
      </c>
      <c r="D2106" s="4"/>
      <c r="E2106" s="1"/>
      <c r="F2106" s="4"/>
      <c r="G2106" s="4"/>
      <c r="H2106" s="9"/>
      <c r="I2106" s="4"/>
      <c r="J2106" s="4"/>
      <c r="K2106" s="1"/>
      <c r="L2106" s="6"/>
      <c r="M2106" s="4"/>
      <c r="N2106" s="12">
        <v>2021</v>
      </c>
      <c r="O2106" s="1"/>
      <c r="P2106" s="1"/>
      <c r="Q2106" s="13" t="s">
        <v>10470</v>
      </c>
      <c r="R2106" s="12" t="s">
        <v>10468</v>
      </c>
    </row>
    <row r="2107" spans="1:18" x14ac:dyDescent="0.25">
      <c r="A2107" s="29" t="s">
        <v>9388</v>
      </c>
      <c r="B2107" s="29" t="s">
        <v>10467</v>
      </c>
      <c r="C2107" s="29" t="s">
        <v>10473</v>
      </c>
      <c r="D2107" s="4"/>
      <c r="E2107" s="1"/>
      <c r="F2107" s="4"/>
      <c r="G2107" s="4"/>
      <c r="H2107" s="9"/>
      <c r="I2107" s="4"/>
      <c r="J2107" s="4"/>
      <c r="K2107" s="1"/>
      <c r="L2107" s="6"/>
      <c r="M2107" s="4"/>
      <c r="N2107" s="12">
        <v>2021</v>
      </c>
      <c r="O2107" s="1"/>
      <c r="P2107" s="1"/>
      <c r="Q2107" s="13" t="s">
        <v>10474</v>
      </c>
      <c r="R2107" s="12" t="s">
        <v>10472</v>
      </c>
    </row>
    <row r="2108" spans="1:18" x14ac:dyDescent="0.25">
      <c r="A2108" s="29" t="s">
        <v>136</v>
      </c>
      <c r="B2108" s="29" t="s">
        <v>10471</v>
      </c>
      <c r="C2108" s="29" t="s">
        <v>10478</v>
      </c>
      <c r="D2108" s="4"/>
      <c r="E2108" s="1"/>
      <c r="F2108" s="4"/>
      <c r="G2108" s="4"/>
      <c r="H2108" s="9"/>
      <c r="I2108" s="4"/>
      <c r="J2108" s="4"/>
      <c r="K2108" s="1"/>
      <c r="L2108" s="6"/>
      <c r="M2108" s="4"/>
      <c r="N2108" s="12">
        <v>2017</v>
      </c>
      <c r="O2108" s="1"/>
      <c r="P2108" s="1"/>
      <c r="Q2108" s="13" t="s">
        <v>10479</v>
      </c>
      <c r="R2108" s="12" t="s">
        <v>10477</v>
      </c>
    </row>
    <row r="2109" spans="1:18" x14ac:dyDescent="0.25">
      <c r="A2109" s="29" t="s">
        <v>10475</v>
      </c>
      <c r="B2109" s="29" t="s">
        <v>10476</v>
      </c>
      <c r="C2109" s="29" t="s">
        <v>10482</v>
      </c>
      <c r="D2109" s="4"/>
      <c r="E2109" s="1"/>
      <c r="F2109" s="4"/>
      <c r="G2109" s="4"/>
      <c r="H2109" s="9"/>
      <c r="I2109" s="4"/>
      <c r="J2109" s="4"/>
      <c r="K2109" s="1"/>
      <c r="L2109" s="6"/>
      <c r="M2109" s="4"/>
      <c r="N2109" s="12">
        <v>2020</v>
      </c>
      <c r="O2109" s="1"/>
      <c r="P2109" s="1"/>
      <c r="Q2109" s="13" t="s">
        <v>10483</v>
      </c>
      <c r="R2109" s="12" t="s">
        <v>3920</v>
      </c>
    </row>
    <row r="2110" spans="1:18" x14ac:dyDescent="0.25">
      <c r="A2110" s="29" t="s">
        <v>10480</v>
      </c>
      <c r="B2110" s="29" t="s">
        <v>10481</v>
      </c>
      <c r="C2110" s="29" t="s">
        <v>10484</v>
      </c>
      <c r="D2110" s="4"/>
      <c r="E2110" s="1"/>
      <c r="F2110" s="4"/>
      <c r="G2110" s="4"/>
      <c r="H2110" s="9"/>
      <c r="I2110" s="4"/>
      <c r="J2110" s="4"/>
      <c r="K2110" s="1"/>
      <c r="L2110" s="6"/>
      <c r="M2110" s="4"/>
      <c r="N2110" s="12">
        <v>2022</v>
      </c>
      <c r="O2110" s="1"/>
      <c r="P2110" s="1"/>
      <c r="Q2110" s="13" t="s">
        <v>10485</v>
      </c>
      <c r="R2110" s="12" t="s">
        <v>807</v>
      </c>
    </row>
    <row r="2111" spans="1:18" x14ac:dyDescent="0.25">
      <c r="A2111" s="29" t="s">
        <v>803</v>
      </c>
      <c r="B2111" s="29" t="s">
        <v>802</v>
      </c>
      <c r="C2111" s="29" t="s">
        <v>10488</v>
      </c>
      <c r="D2111" s="4"/>
      <c r="E2111" s="1"/>
      <c r="F2111" s="4"/>
      <c r="G2111" s="4"/>
      <c r="H2111" s="9"/>
      <c r="I2111" s="4"/>
      <c r="J2111" s="4"/>
      <c r="K2111" s="1"/>
      <c r="L2111" s="6"/>
      <c r="M2111" s="4"/>
      <c r="N2111" s="12">
        <v>2019</v>
      </c>
      <c r="O2111" s="1"/>
      <c r="P2111" s="1"/>
      <c r="Q2111" s="13" t="s">
        <v>10489</v>
      </c>
      <c r="R2111" s="12" t="s">
        <v>10487</v>
      </c>
    </row>
    <row r="2112" spans="1:18" x14ac:dyDescent="0.25">
      <c r="A2112" s="29" t="s">
        <v>9331</v>
      </c>
      <c r="B2112" s="29" t="s">
        <v>10486</v>
      </c>
      <c r="C2112" s="29" t="s">
        <v>9720</v>
      </c>
      <c r="D2112" s="4"/>
      <c r="E2112" s="1"/>
      <c r="F2112" s="4"/>
      <c r="G2112" s="4"/>
      <c r="H2112" s="9"/>
      <c r="I2112" s="4"/>
      <c r="J2112" s="4"/>
      <c r="K2112" s="1"/>
      <c r="L2112" s="6"/>
      <c r="M2112" s="4"/>
      <c r="N2112" s="12">
        <v>2019</v>
      </c>
      <c r="O2112" s="1"/>
      <c r="P2112" s="1"/>
      <c r="Q2112" s="13" t="s">
        <v>10492</v>
      </c>
      <c r="R2112" s="12" t="s">
        <v>10491</v>
      </c>
    </row>
    <row r="2113" spans="1:18" x14ac:dyDescent="0.25">
      <c r="A2113" s="29" t="s">
        <v>4265</v>
      </c>
      <c r="B2113" s="29" t="s">
        <v>10490</v>
      </c>
      <c r="C2113" s="29" t="s">
        <v>9924</v>
      </c>
      <c r="D2113" s="4"/>
      <c r="E2113" s="1"/>
      <c r="F2113" s="4"/>
      <c r="G2113" s="4"/>
      <c r="H2113" s="9"/>
      <c r="I2113" s="4"/>
      <c r="J2113" s="4"/>
      <c r="K2113" s="1"/>
      <c r="L2113" s="6"/>
      <c r="M2113" s="4"/>
      <c r="N2113" s="12">
        <v>2021</v>
      </c>
      <c r="O2113" s="1"/>
      <c r="P2113" s="1"/>
      <c r="Q2113" s="13" t="s">
        <v>10495</v>
      </c>
      <c r="R2113" s="12" t="s">
        <v>10494</v>
      </c>
    </row>
    <row r="2114" spans="1:18" x14ac:dyDescent="0.25">
      <c r="A2114" s="29" t="s">
        <v>9922</v>
      </c>
      <c r="B2114" s="29" t="s">
        <v>10493</v>
      </c>
      <c r="C2114" s="29" t="s">
        <v>10498</v>
      </c>
      <c r="D2114" s="4"/>
      <c r="E2114" s="1"/>
      <c r="F2114" s="4"/>
      <c r="G2114" s="4"/>
      <c r="H2114" s="9"/>
      <c r="I2114" s="4"/>
      <c r="J2114" s="4"/>
      <c r="K2114" s="1"/>
      <c r="L2114" s="6"/>
      <c r="M2114" s="4"/>
      <c r="N2114" s="12">
        <v>2022</v>
      </c>
      <c r="O2114" s="1"/>
      <c r="P2114" s="1"/>
      <c r="Q2114" s="13" t="s">
        <v>10499</v>
      </c>
      <c r="R2114" s="12" t="s">
        <v>10497</v>
      </c>
    </row>
    <row r="2115" spans="1:18" x14ac:dyDescent="0.25">
      <c r="A2115" s="15"/>
      <c r="B2115" s="29" t="s">
        <v>10496</v>
      </c>
      <c r="C2115" s="29" t="s">
        <v>10500</v>
      </c>
      <c r="D2115" s="4"/>
      <c r="E2115" s="1"/>
      <c r="F2115" s="4"/>
      <c r="G2115" s="4"/>
      <c r="H2115" s="9"/>
      <c r="I2115" s="4"/>
      <c r="J2115" s="4"/>
      <c r="K2115" s="1"/>
      <c r="L2115" s="6"/>
      <c r="M2115" s="4"/>
      <c r="N2115" s="12">
        <v>2021</v>
      </c>
      <c r="O2115" s="1"/>
      <c r="P2115" s="1"/>
      <c r="Q2115" s="13" t="s">
        <v>10501</v>
      </c>
      <c r="R2115" s="12" t="s">
        <v>2138</v>
      </c>
    </row>
    <row r="2116" spans="1:18" x14ac:dyDescent="0.25">
      <c r="A2116" s="29" t="s">
        <v>2134</v>
      </c>
      <c r="B2116" s="29" t="s">
        <v>2133</v>
      </c>
      <c r="C2116" s="29" t="s">
        <v>10504</v>
      </c>
      <c r="D2116" s="4"/>
      <c r="E2116" s="1"/>
      <c r="F2116" s="4"/>
      <c r="G2116" s="4"/>
      <c r="H2116" s="9"/>
      <c r="I2116" s="4"/>
      <c r="J2116" s="4"/>
      <c r="K2116" s="1"/>
      <c r="L2116" s="6"/>
      <c r="M2116" s="4"/>
      <c r="N2116" s="12">
        <v>2023</v>
      </c>
      <c r="O2116" s="1"/>
      <c r="P2116" s="1"/>
      <c r="Q2116" s="13" t="s">
        <v>10505</v>
      </c>
      <c r="R2116" s="12" t="s">
        <v>10503</v>
      </c>
    </row>
    <row r="2117" spans="1:18" x14ac:dyDescent="0.25">
      <c r="A2117" s="29" t="s">
        <v>9487</v>
      </c>
      <c r="B2117" s="29" t="s">
        <v>10502</v>
      </c>
      <c r="C2117" s="29" t="s">
        <v>10507</v>
      </c>
      <c r="D2117" s="4"/>
      <c r="E2117" s="1"/>
      <c r="F2117" s="4"/>
      <c r="G2117" s="4"/>
      <c r="H2117" s="9"/>
      <c r="I2117" s="4"/>
      <c r="J2117" s="4"/>
      <c r="K2117" s="1"/>
      <c r="L2117" s="6"/>
      <c r="M2117" s="4"/>
      <c r="N2117" s="12">
        <v>2022</v>
      </c>
      <c r="O2117" s="1"/>
      <c r="P2117" s="1"/>
      <c r="Q2117" s="13" t="s">
        <v>10508</v>
      </c>
      <c r="R2117" s="12" t="s">
        <v>385</v>
      </c>
    </row>
    <row r="2118" spans="1:18" x14ac:dyDescent="0.25">
      <c r="A2118" s="29" t="s">
        <v>136</v>
      </c>
      <c r="B2118" s="29" t="s">
        <v>10506</v>
      </c>
      <c r="C2118" s="29" t="s">
        <v>10511</v>
      </c>
      <c r="D2118" s="4"/>
      <c r="E2118" s="1"/>
      <c r="F2118" s="4"/>
      <c r="G2118" s="4"/>
      <c r="H2118" s="9"/>
      <c r="I2118" s="4"/>
      <c r="J2118" s="4"/>
      <c r="K2118" s="1"/>
      <c r="L2118" s="6"/>
      <c r="M2118" s="4"/>
      <c r="N2118" s="12">
        <v>2021</v>
      </c>
      <c r="O2118" s="1"/>
      <c r="P2118" s="1"/>
      <c r="Q2118" s="13" t="s">
        <v>10512</v>
      </c>
      <c r="R2118" s="12" t="s">
        <v>10510</v>
      </c>
    </row>
    <row r="2119" spans="1:18" x14ac:dyDescent="0.25">
      <c r="A2119" s="15"/>
      <c r="B2119" s="29" t="s">
        <v>10509</v>
      </c>
      <c r="C2119" s="29" t="s">
        <v>9497</v>
      </c>
      <c r="D2119" s="4"/>
      <c r="E2119" s="1"/>
      <c r="F2119" s="4"/>
      <c r="G2119" s="4"/>
      <c r="H2119" s="9"/>
      <c r="I2119" s="4"/>
      <c r="J2119" s="4"/>
      <c r="K2119" s="1"/>
      <c r="L2119" s="6"/>
      <c r="M2119" s="4"/>
      <c r="N2119" s="12">
        <v>2020</v>
      </c>
      <c r="O2119" s="1"/>
      <c r="P2119" s="1"/>
      <c r="Q2119" s="13" t="s">
        <v>10515</v>
      </c>
      <c r="R2119" s="12" t="s">
        <v>10514</v>
      </c>
    </row>
    <row r="2120" spans="1:18" x14ac:dyDescent="0.25">
      <c r="A2120" s="29" t="s">
        <v>9495</v>
      </c>
      <c r="B2120" s="29" t="s">
        <v>10513</v>
      </c>
      <c r="C2120" s="29" t="s">
        <v>10180</v>
      </c>
      <c r="D2120" s="4"/>
      <c r="E2120" s="1"/>
      <c r="F2120" s="4"/>
      <c r="G2120" s="4"/>
      <c r="H2120" s="9"/>
      <c r="I2120" s="4"/>
      <c r="J2120" s="4"/>
      <c r="K2120" s="1"/>
      <c r="L2120" s="6"/>
      <c r="M2120" s="4"/>
      <c r="N2120" s="12">
        <v>2022</v>
      </c>
      <c r="O2120" s="1"/>
      <c r="P2120" s="1"/>
      <c r="Q2120" s="13" t="s">
        <v>10518</v>
      </c>
      <c r="R2120" s="12" t="s">
        <v>10517</v>
      </c>
    </row>
    <row r="2121" spans="1:18" x14ac:dyDescent="0.25">
      <c r="A2121" s="29" t="s">
        <v>10178</v>
      </c>
      <c r="B2121" s="29" t="s">
        <v>10516</v>
      </c>
      <c r="C2121" s="29" t="s">
        <v>10521</v>
      </c>
      <c r="D2121" s="4"/>
      <c r="E2121" s="1"/>
      <c r="F2121" s="4"/>
      <c r="G2121" s="4"/>
      <c r="H2121" s="9"/>
      <c r="I2121" s="4"/>
      <c r="J2121" s="4"/>
      <c r="K2121" s="1"/>
      <c r="L2121" s="6"/>
      <c r="M2121" s="4"/>
      <c r="N2121" s="12">
        <v>2022</v>
      </c>
      <c r="O2121" s="1"/>
      <c r="P2121" s="1"/>
      <c r="Q2121" s="13" t="s">
        <v>10522</v>
      </c>
      <c r="R2121" s="12" t="s">
        <v>10520</v>
      </c>
    </row>
    <row r="2122" spans="1:18" x14ac:dyDescent="0.25">
      <c r="A2122" s="29" t="s">
        <v>136</v>
      </c>
      <c r="B2122" s="29" t="s">
        <v>10519</v>
      </c>
      <c r="C2122" s="29" t="s">
        <v>10526</v>
      </c>
      <c r="D2122" s="4"/>
      <c r="E2122" s="1"/>
      <c r="F2122" s="4"/>
      <c r="G2122" s="4"/>
      <c r="H2122" s="9"/>
      <c r="I2122" s="4"/>
      <c r="J2122" s="4"/>
      <c r="K2122" s="1"/>
      <c r="L2122" s="6"/>
      <c r="M2122" s="4"/>
      <c r="N2122" s="12">
        <v>2020</v>
      </c>
      <c r="O2122" s="1"/>
      <c r="P2122" s="1"/>
      <c r="Q2122" s="13" t="s">
        <v>10527</v>
      </c>
      <c r="R2122" s="12" t="s">
        <v>10525</v>
      </c>
    </row>
    <row r="2123" spans="1:18" x14ac:dyDescent="0.25">
      <c r="A2123" s="29" t="s">
        <v>10523</v>
      </c>
      <c r="B2123" s="29" t="s">
        <v>10524</v>
      </c>
      <c r="C2123" s="29" t="s">
        <v>10529</v>
      </c>
      <c r="D2123" s="4"/>
      <c r="E2123" s="1"/>
      <c r="F2123" s="4"/>
      <c r="G2123" s="4"/>
      <c r="H2123" s="9"/>
      <c r="I2123" s="4"/>
      <c r="J2123" s="4"/>
      <c r="K2123" s="1"/>
      <c r="L2123" s="6"/>
      <c r="M2123" s="4"/>
      <c r="N2123" s="12">
        <v>2018</v>
      </c>
      <c r="O2123" s="1"/>
      <c r="P2123" s="1"/>
      <c r="Q2123" s="13" t="s">
        <v>10530</v>
      </c>
      <c r="R2123" s="12" t="s">
        <v>5192</v>
      </c>
    </row>
    <row r="2124" spans="1:18" x14ac:dyDescent="0.25">
      <c r="A2124" s="29" t="s">
        <v>9791</v>
      </c>
      <c r="B2124" s="29" t="s">
        <v>10528</v>
      </c>
      <c r="C2124" s="29" t="s">
        <v>10533</v>
      </c>
      <c r="D2124" s="4"/>
      <c r="E2124" s="1"/>
      <c r="F2124" s="4"/>
      <c r="G2124" s="4"/>
      <c r="H2124" s="9"/>
      <c r="I2124" s="4"/>
      <c r="J2124" s="4"/>
      <c r="K2124" s="1"/>
      <c r="L2124" s="6"/>
      <c r="M2124" s="4"/>
      <c r="N2124" s="12">
        <v>2022</v>
      </c>
      <c r="O2124" s="1"/>
      <c r="P2124" s="1"/>
      <c r="Q2124" s="13" t="s">
        <v>10534</v>
      </c>
      <c r="R2124" s="12" t="s">
        <v>10532</v>
      </c>
    </row>
    <row r="2125" spans="1:18" x14ac:dyDescent="0.25">
      <c r="A2125" s="29" t="s">
        <v>10138</v>
      </c>
      <c r="B2125" s="29" t="s">
        <v>10531</v>
      </c>
      <c r="C2125" s="29" t="s">
        <v>10538</v>
      </c>
      <c r="D2125" s="4"/>
      <c r="E2125" s="1"/>
      <c r="F2125" s="4"/>
      <c r="G2125" s="4"/>
      <c r="H2125" s="9"/>
      <c r="I2125" s="4"/>
      <c r="J2125" s="4"/>
      <c r="K2125" s="1"/>
      <c r="L2125" s="6"/>
      <c r="M2125" s="4"/>
      <c r="N2125" s="12">
        <v>2021</v>
      </c>
      <c r="O2125" s="1"/>
      <c r="P2125" s="1"/>
      <c r="Q2125" s="13" t="s">
        <v>10539</v>
      </c>
      <c r="R2125" s="12" t="s">
        <v>10537</v>
      </c>
    </row>
    <row r="2126" spans="1:18" x14ac:dyDescent="0.25">
      <c r="A2126" s="29" t="s">
        <v>10535</v>
      </c>
      <c r="B2126" s="29" t="s">
        <v>10536</v>
      </c>
      <c r="C2126" s="29" t="s">
        <v>10542</v>
      </c>
      <c r="D2126" s="4"/>
      <c r="E2126" s="1"/>
      <c r="F2126" s="4"/>
      <c r="G2126" s="4"/>
      <c r="H2126" s="9"/>
      <c r="I2126" s="4"/>
      <c r="J2126" s="4"/>
      <c r="K2126" s="1"/>
      <c r="L2126" s="6"/>
      <c r="M2126" s="4"/>
      <c r="N2126" s="12">
        <v>2022</v>
      </c>
      <c r="O2126" s="1"/>
      <c r="P2126" s="1"/>
      <c r="Q2126" s="13" t="s">
        <v>10543</v>
      </c>
      <c r="R2126" s="12" t="s">
        <v>10541</v>
      </c>
    </row>
    <row r="2127" spans="1:18" x14ac:dyDescent="0.25">
      <c r="A2127" s="15"/>
      <c r="B2127" s="29" t="s">
        <v>10540</v>
      </c>
      <c r="C2127" s="29" t="s">
        <v>10547</v>
      </c>
      <c r="D2127" s="4"/>
      <c r="E2127" s="1"/>
      <c r="F2127" s="4"/>
      <c r="G2127" s="4"/>
      <c r="H2127" s="9"/>
      <c r="I2127" s="4"/>
      <c r="J2127" s="4"/>
      <c r="K2127" s="1"/>
      <c r="L2127" s="6"/>
      <c r="M2127" s="4"/>
      <c r="N2127" s="12">
        <v>2020</v>
      </c>
      <c r="O2127" s="1"/>
      <c r="P2127" s="1"/>
      <c r="Q2127" s="13" t="s">
        <v>10548</v>
      </c>
      <c r="R2127" s="12" t="s">
        <v>10546</v>
      </c>
    </row>
    <row r="2128" spans="1:18" x14ac:dyDescent="0.25">
      <c r="A2128" s="29" t="s">
        <v>10544</v>
      </c>
      <c r="B2128" s="29" t="s">
        <v>10545</v>
      </c>
      <c r="C2128" s="29" t="s">
        <v>10551</v>
      </c>
      <c r="D2128" s="4"/>
      <c r="E2128" s="1"/>
      <c r="F2128" s="4"/>
      <c r="G2128" s="4"/>
      <c r="H2128" s="9"/>
      <c r="I2128" s="4"/>
      <c r="J2128" s="4"/>
      <c r="K2128" s="1"/>
      <c r="L2128" s="6"/>
      <c r="M2128" s="4"/>
      <c r="N2128" s="12">
        <v>2023</v>
      </c>
      <c r="O2128" s="1"/>
      <c r="P2128" s="1"/>
      <c r="Q2128" s="13" t="s">
        <v>10552</v>
      </c>
      <c r="R2128" s="12" t="s">
        <v>10550</v>
      </c>
    </row>
    <row r="2129" spans="1:18" x14ac:dyDescent="0.25">
      <c r="A2129" s="29" t="s">
        <v>9371</v>
      </c>
      <c r="B2129" s="29" t="s">
        <v>10549</v>
      </c>
      <c r="C2129" s="29" t="s">
        <v>10555</v>
      </c>
      <c r="D2129" s="4"/>
      <c r="E2129" s="1"/>
      <c r="F2129" s="4"/>
      <c r="G2129" s="4"/>
      <c r="H2129" s="9"/>
      <c r="I2129" s="4"/>
      <c r="J2129" s="4"/>
      <c r="K2129" s="1"/>
      <c r="L2129" s="6"/>
      <c r="M2129" s="4"/>
      <c r="N2129" s="12">
        <v>2020</v>
      </c>
      <c r="O2129" s="1"/>
      <c r="P2129" s="1"/>
      <c r="Q2129" s="13" t="s">
        <v>10556</v>
      </c>
      <c r="R2129" s="12" t="s">
        <v>10554</v>
      </c>
    </row>
    <row r="2130" spans="1:18" x14ac:dyDescent="0.25">
      <c r="A2130" s="29" t="s">
        <v>136</v>
      </c>
      <c r="B2130" s="29" t="s">
        <v>10553</v>
      </c>
      <c r="C2130" s="29" t="s">
        <v>10559</v>
      </c>
      <c r="D2130" s="4"/>
      <c r="E2130" s="1"/>
      <c r="F2130" s="4"/>
      <c r="G2130" s="4"/>
      <c r="H2130" s="9"/>
      <c r="I2130" s="4"/>
      <c r="J2130" s="4"/>
      <c r="K2130" s="1"/>
      <c r="L2130" s="6"/>
      <c r="M2130" s="4"/>
      <c r="N2130" s="12">
        <v>2022</v>
      </c>
      <c r="O2130" s="1"/>
      <c r="P2130" s="1"/>
      <c r="Q2130" s="13" t="s">
        <v>10560</v>
      </c>
      <c r="R2130" s="12" t="s">
        <v>10558</v>
      </c>
    </row>
    <row r="2131" spans="1:18" x14ac:dyDescent="0.25">
      <c r="A2131" s="29" t="s">
        <v>9433</v>
      </c>
      <c r="B2131" s="29" t="s">
        <v>10557</v>
      </c>
      <c r="C2131" s="29" t="s">
        <v>9292</v>
      </c>
      <c r="D2131" s="4"/>
      <c r="E2131" s="1"/>
      <c r="F2131" s="4"/>
      <c r="G2131" s="4"/>
      <c r="H2131" s="9"/>
      <c r="I2131" s="4"/>
      <c r="J2131" s="4"/>
      <c r="K2131" s="1"/>
      <c r="L2131" s="6"/>
      <c r="M2131" s="4"/>
      <c r="N2131" s="12">
        <v>2021</v>
      </c>
      <c r="O2131" s="1"/>
      <c r="P2131" s="1"/>
      <c r="Q2131" s="13" t="s">
        <v>10563</v>
      </c>
      <c r="R2131" s="12" t="s">
        <v>10562</v>
      </c>
    </row>
    <row r="2132" spans="1:18" x14ac:dyDescent="0.25">
      <c r="A2132" s="29" t="s">
        <v>9290</v>
      </c>
      <c r="B2132" s="29" t="s">
        <v>10561</v>
      </c>
      <c r="C2132" s="29" t="s">
        <v>10566</v>
      </c>
      <c r="D2132" s="4"/>
      <c r="E2132" s="1"/>
      <c r="F2132" s="4"/>
      <c r="G2132" s="4"/>
      <c r="H2132" s="9"/>
      <c r="I2132" s="4"/>
      <c r="J2132" s="4"/>
      <c r="K2132" s="1"/>
      <c r="L2132" s="6"/>
      <c r="M2132" s="4"/>
      <c r="N2132" s="12">
        <v>2021</v>
      </c>
      <c r="O2132" s="1"/>
      <c r="P2132" s="1"/>
      <c r="Q2132" s="13" t="s">
        <v>10567</v>
      </c>
      <c r="R2132" s="12" t="s">
        <v>10565</v>
      </c>
    </row>
    <row r="2133" spans="1:18" x14ac:dyDescent="0.25">
      <c r="A2133" s="29" t="s">
        <v>136</v>
      </c>
      <c r="B2133" s="29" t="s">
        <v>10564</v>
      </c>
      <c r="C2133" s="29" t="s">
        <v>10571</v>
      </c>
      <c r="D2133" s="4"/>
      <c r="E2133" s="1"/>
      <c r="F2133" s="4"/>
      <c r="G2133" s="4"/>
      <c r="H2133" s="9"/>
      <c r="I2133" s="4"/>
      <c r="J2133" s="4"/>
      <c r="K2133" s="1"/>
      <c r="L2133" s="6"/>
      <c r="M2133" s="4"/>
      <c r="N2133" s="12">
        <v>2021</v>
      </c>
      <c r="O2133" s="1"/>
      <c r="P2133" s="1"/>
      <c r="Q2133" s="13" t="s">
        <v>10572</v>
      </c>
      <c r="R2133" s="12" t="s">
        <v>10570</v>
      </c>
    </row>
    <row r="2134" spans="1:18" x14ac:dyDescent="0.25">
      <c r="A2134" s="29" t="s">
        <v>10568</v>
      </c>
      <c r="B2134" s="29" t="s">
        <v>10569</v>
      </c>
      <c r="C2134" s="29" t="s">
        <v>10573</v>
      </c>
      <c r="D2134" s="4"/>
      <c r="E2134" s="1"/>
      <c r="F2134" s="4"/>
      <c r="G2134" s="4"/>
      <c r="H2134" s="9"/>
      <c r="I2134" s="4"/>
      <c r="J2134" s="4"/>
      <c r="K2134" s="1"/>
      <c r="L2134" s="6"/>
      <c r="M2134" s="4"/>
      <c r="N2134" s="12">
        <v>2022</v>
      </c>
      <c r="O2134" s="1"/>
      <c r="P2134" s="1"/>
      <c r="Q2134" s="13" t="s">
        <v>10574</v>
      </c>
      <c r="R2134" s="12" t="s">
        <v>223</v>
      </c>
    </row>
    <row r="2135" spans="1:18" x14ac:dyDescent="0.25">
      <c r="A2135" s="29" t="s">
        <v>219</v>
      </c>
      <c r="B2135" s="29" t="s">
        <v>218</v>
      </c>
      <c r="C2135" s="29" t="s">
        <v>10575</v>
      </c>
      <c r="D2135" s="4"/>
      <c r="E2135" s="1"/>
      <c r="F2135" s="4"/>
      <c r="G2135" s="4"/>
      <c r="H2135" s="9"/>
      <c r="I2135" s="4"/>
      <c r="J2135" s="4"/>
      <c r="K2135" s="1"/>
      <c r="L2135" s="6"/>
      <c r="M2135" s="4"/>
      <c r="N2135" s="12">
        <v>2020</v>
      </c>
      <c r="O2135" s="1"/>
      <c r="P2135" s="1"/>
      <c r="Q2135" s="13" t="s">
        <v>10576</v>
      </c>
      <c r="R2135" s="12" t="s">
        <v>3982</v>
      </c>
    </row>
    <row r="2136" spans="1:18" x14ac:dyDescent="0.25">
      <c r="A2136" s="29" t="s">
        <v>136</v>
      </c>
      <c r="B2136" s="29" t="s">
        <v>3979</v>
      </c>
      <c r="C2136" s="29" t="s">
        <v>10579</v>
      </c>
      <c r="D2136" s="4"/>
      <c r="E2136" s="1"/>
      <c r="F2136" s="4"/>
      <c r="G2136" s="4"/>
      <c r="H2136" s="9"/>
      <c r="I2136" s="4"/>
      <c r="J2136" s="4"/>
      <c r="K2136" s="1"/>
      <c r="L2136" s="6"/>
      <c r="M2136" s="4"/>
      <c r="N2136" s="12">
        <v>2021</v>
      </c>
      <c r="O2136" s="1"/>
      <c r="P2136" s="1"/>
      <c r="Q2136" s="13" t="s">
        <v>10580</v>
      </c>
      <c r="R2136" s="12" t="s">
        <v>10578</v>
      </c>
    </row>
    <row r="2137" spans="1:18" x14ac:dyDescent="0.25">
      <c r="A2137" s="29" t="s">
        <v>136</v>
      </c>
      <c r="B2137" s="29" t="s">
        <v>10577</v>
      </c>
      <c r="C2137" s="29" t="s">
        <v>10584</v>
      </c>
      <c r="D2137" s="4"/>
      <c r="E2137" s="1"/>
      <c r="F2137" s="4"/>
      <c r="G2137" s="4"/>
      <c r="H2137" s="9"/>
      <c r="I2137" s="4"/>
      <c r="J2137" s="4"/>
      <c r="K2137" s="1"/>
      <c r="L2137" s="6"/>
      <c r="M2137" s="4"/>
      <c r="N2137" s="12">
        <v>2022</v>
      </c>
      <c r="O2137" s="1"/>
      <c r="P2137" s="1"/>
      <c r="Q2137" s="13" t="s">
        <v>10585</v>
      </c>
      <c r="R2137" s="12" t="s">
        <v>10583</v>
      </c>
    </row>
    <row r="2138" spans="1:18" x14ac:dyDescent="0.25">
      <c r="A2138" s="29" t="s">
        <v>10581</v>
      </c>
      <c r="B2138" s="29" t="s">
        <v>10582</v>
      </c>
      <c r="C2138" s="29" t="s">
        <v>10586</v>
      </c>
      <c r="D2138" s="4"/>
      <c r="E2138" s="1"/>
      <c r="F2138" s="4"/>
      <c r="G2138" s="4"/>
      <c r="H2138" s="9"/>
      <c r="I2138" s="4"/>
      <c r="J2138" s="4"/>
      <c r="K2138" s="1"/>
      <c r="L2138" s="6"/>
      <c r="M2138" s="4"/>
      <c r="N2138" s="12">
        <v>2020</v>
      </c>
      <c r="O2138" s="1"/>
      <c r="P2138" s="1"/>
      <c r="Q2138" s="13" t="s">
        <v>10587</v>
      </c>
      <c r="R2138" s="12" t="s">
        <v>3678</v>
      </c>
    </row>
    <row r="2139" spans="1:18" x14ac:dyDescent="0.25">
      <c r="A2139" s="29" t="s">
        <v>136</v>
      </c>
      <c r="B2139" s="29" t="s">
        <v>3675</v>
      </c>
      <c r="C2139" s="29" t="s">
        <v>10590</v>
      </c>
      <c r="D2139" s="4"/>
      <c r="E2139" s="1"/>
      <c r="F2139" s="4"/>
      <c r="G2139" s="4"/>
      <c r="H2139" s="9"/>
      <c r="I2139" s="4"/>
      <c r="J2139" s="4"/>
      <c r="K2139" s="1"/>
      <c r="L2139" s="6"/>
      <c r="M2139" s="4"/>
      <c r="N2139" s="12">
        <v>2021</v>
      </c>
      <c r="O2139" s="1"/>
      <c r="P2139" s="1"/>
      <c r="Q2139" s="13" t="s">
        <v>10591</v>
      </c>
      <c r="R2139" s="12" t="s">
        <v>10589</v>
      </c>
    </row>
    <row r="2140" spans="1:18" x14ac:dyDescent="0.25">
      <c r="A2140" s="15"/>
      <c r="B2140" s="29" t="s">
        <v>10588</v>
      </c>
      <c r="C2140" s="29" t="s">
        <v>10594</v>
      </c>
      <c r="D2140" s="4"/>
      <c r="E2140" s="1"/>
      <c r="F2140" s="4"/>
      <c r="G2140" s="4"/>
      <c r="H2140" s="9"/>
      <c r="I2140" s="4"/>
      <c r="J2140" s="4"/>
      <c r="K2140" s="1"/>
      <c r="L2140" s="6"/>
      <c r="M2140" s="4"/>
      <c r="N2140" s="12">
        <v>2020</v>
      </c>
      <c r="O2140" s="1"/>
      <c r="P2140" s="1"/>
      <c r="Q2140" s="13" t="s">
        <v>10595</v>
      </c>
      <c r="R2140" s="12" t="s">
        <v>10593</v>
      </c>
    </row>
    <row r="2141" spans="1:18" x14ac:dyDescent="0.25">
      <c r="A2141" s="29" t="s">
        <v>136</v>
      </c>
      <c r="B2141" s="29" t="s">
        <v>10592</v>
      </c>
      <c r="C2141" s="29" t="s">
        <v>10598</v>
      </c>
      <c r="D2141" s="4"/>
      <c r="E2141" s="1"/>
      <c r="F2141" s="4"/>
      <c r="G2141" s="4"/>
      <c r="H2141" s="9"/>
      <c r="I2141" s="4"/>
      <c r="J2141" s="4"/>
      <c r="K2141" s="1"/>
      <c r="L2141" s="6"/>
      <c r="M2141" s="4"/>
      <c r="N2141" s="12">
        <v>2022</v>
      </c>
      <c r="O2141" s="1"/>
      <c r="P2141" s="1"/>
      <c r="Q2141" s="13" t="s">
        <v>10599</v>
      </c>
      <c r="R2141" s="12" t="s">
        <v>10597</v>
      </c>
    </row>
    <row r="2142" spans="1:18" x14ac:dyDescent="0.25">
      <c r="A2142" s="29" t="s">
        <v>803</v>
      </c>
      <c r="B2142" s="29" t="s">
        <v>10596</v>
      </c>
      <c r="C2142" s="29" t="s">
        <v>10603</v>
      </c>
      <c r="D2142" s="4"/>
      <c r="E2142" s="1"/>
      <c r="F2142" s="4"/>
      <c r="G2142" s="4"/>
      <c r="H2142" s="9"/>
      <c r="I2142" s="4"/>
      <c r="J2142" s="4"/>
      <c r="K2142" s="1"/>
      <c r="L2142" s="6"/>
      <c r="M2142" s="4"/>
      <c r="N2142" s="12">
        <v>2021</v>
      </c>
      <c r="O2142" s="1"/>
      <c r="P2142" s="1"/>
      <c r="Q2142" s="13" t="s">
        <v>10604</v>
      </c>
      <c r="R2142" s="12" t="s">
        <v>10602</v>
      </c>
    </row>
    <row r="2143" spans="1:18" x14ac:dyDescent="0.25">
      <c r="A2143" s="29" t="s">
        <v>10600</v>
      </c>
      <c r="B2143" s="29" t="s">
        <v>10601</v>
      </c>
      <c r="C2143" s="29" t="s">
        <v>10607</v>
      </c>
      <c r="D2143" s="4"/>
      <c r="E2143" s="1"/>
      <c r="F2143" s="4"/>
      <c r="G2143" s="4"/>
      <c r="H2143" s="9"/>
      <c r="I2143" s="4"/>
      <c r="J2143" s="4"/>
      <c r="K2143" s="1"/>
      <c r="L2143" s="6"/>
      <c r="M2143" s="4"/>
      <c r="N2143" s="12">
        <v>2019</v>
      </c>
      <c r="O2143" s="1"/>
      <c r="P2143" s="1"/>
      <c r="Q2143" s="13" t="s">
        <v>10608</v>
      </c>
      <c r="R2143" s="12" t="s">
        <v>10606</v>
      </c>
    </row>
    <row r="2144" spans="1:18" x14ac:dyDescent="0.25">
      <c r="A2144" s="29" t="s">
        <v>136</v>
      </c>
      <c r="B2144" s="29" t="s">
        <v>10605</v>
      </c>
      <c r="C2144" s="29" t="s">
        <v>10611</v>
      </c>
      <c r="D2144" s="4"/>
      <c r="E2144" s="1"/>
      <c r="F2144" s="4"/>
      <c r="G2144" s="4"/>
      <c r="H2144" s="9"/>
      <c r="I2144" s="4"/>
      <c r="J2144" s="4"/>
      <c r="K2144" s="1"/>
      <c r="L2144" s="6"/>
      <c r="M2144" s="4"/>
      <c r="N2144" s="12">
        <v>2020</v>
      </c>
      <c r="O2144" s="1"/>
      <c r="P2144" s="1"/>
      <c r="Q2144" s="13" t="s">
        <v>10612</v>
      </c>
      <c r="R2144" s="12" t="s">
        <v>10610</v>
      </c>
    </row>
    <row r="2145" spans="1:18" x14ac:dyDescent="0.25">
      <c r="A2145" s="29" t="s">
        <v>136</v>
      </c>
      <c r="B2145" s="29" t="s">
        <v>10609</v>
      </c>
      <c r="C2145" s="29" t="s">
        <v>10167</v>
      </c>
      <c r="D2145" s="4"/>
      <c r="E2145" s="1"/>
      <c r="F2145" s="4"/>
      <c r="G2145" s="4"/>
      <c r="H2145" s="9"/>
      <c r="I2145" s="4"/>
      <c r="J2145" s="4"/>
      <c r="K2145" s="1"/>
      <c r="L2145" s="6"/>
      <c r="M2145" s="4"/>
      <c r="N2145" s="12">
        <v>2020</v>
      </c>
      <c r="O2145" s="1"/>
      <c r="P2145" s="1"/>
      <c r="Q2145" s="13" t="s">
        <v>10615</v>
      </c>
      <c r="R2145" s="12" t="s">
        <v>10614</v>
      </c>
    </row>
    <row r="2146" spans="1:18" x14ac:dyDescent="0.25">
      <c r="A2146" s="29" t="s">
        <v>10164</v>
      </c>
      <c r="B2146" s="29" t="s">
        <v>10613</v>
      </c>
      <c r="C2146" s="29" t="s">
        <v>10618</v>
      </c>
      <c r="D2146" s="4"/>
      <c r="E2146" s="1"/>
      <c r="F2146" s="4"/>
      <c r="G2146" s="4"/>
      <c r="H2146" s="9"/>
      <c r="I2146" s="4"/>
      <c r="J2146" s="4"/>
      <c r="K2146" s="1"/>
      <c r="L2146" s="6"/>
      <c r="M2146" s="4"/>
      <c r="N2146" s="12">
        <v>2020</v>
      </c>
      <c r="O2146" s="1"/>
      <c r="P2146" s="1"/>
      <c r="Q2146" s="13" t="s">
        <v>10619</v>
      </c>
      <c r="R2146" s="12" t="s">
        <v>10617</v>
      </c>
    </row>
    <row r="2147" spans="1:18" x14ac:dyDescent="0.25">
      <c r="A2147" s="29" t="s">
        <v>10600</v>
      </c>
      <c r="B2147" s="29" t="s">
        <v>10616</v>
      </c>
      <c r="C2147" s="29" t="s">
        <v>10622</v>
      </c>
      <c r="D2147" s="4"/>
      <c r="E2147" s="1"/>
      <c r="F2147" s="4"/>
      <c r="G2147" s="4"/>
      <c r="H2147" s="9"/>
      <c r="I2147" s="4"/>
      <c r="J2147" s="4"/>
      <c r="K2147" s="1"/>
      <c r="L2147" s="6"/>
      <c r="M2147" s="4"/>
      <c r="N2147" s="12">
        <v>2022</v>
      </c>
      <c r="O2147" s="1"/>
      <c r="P2147" s="1"/>
      <c r="Q2147" s="13" t="s">
        <v>10623</v>
      </c>
      <c r="R2147" s="12" t="s">
        <v>10621</v>
      </c>
    </row>
    <row r="2148" spans="1:18" x14ac:dyDescent="0.25">
      <c r="A2148" s="29" t="s">
        <v>9358</v>
      </c>
      <c r="B2148" s="29" t="s">
        <v>10620</v>
      </c>
      <c r="C2148" s="29" t="s">
        <v>10167</v>
      </c>
      <c r="D2148" s="4"/>
      <c r="E2148" s="1"/>
      <c r="F2148" s="4"/>
      <c r="G2148" s="4"/>
      <c r="H2148" s="9"/>
      <c r="I2148" s="4"/>
      <c r="J2148" s="4"/>
      <c r="K2148" s="1"/>
      <c r="L2148" s="6"/>
      <c r="M2148" s="4"/>
      <c r="N2148" s="12">
        <v>2020</v>
      </c>
      <c r="O2148" s="1"/>
      <c r="P2148" s="1"/>
      <c r="Q2148" s="13" t="s">
        <v>10626</v>
      </c>
      <c r="R2148" s="12" t="s">
        <v>10625</v>
      </c>
    </row>
    <row r="2149" spans="1:18" x14ac:dyDescent="0.25">
      <c r="A2149" s="29" t="s">
        <v>10164</v>
      </c>
      <c r="B2149" s="29" t="s">
        <v>10624</v>
      </c>
      <c r="C2149" s="29" t="s">
        <v>10629</v>
      </c>
      <c r="D2149" s="4"/>
      <c r="E2149" s="1"/>
      <c r="F2149" s="4"/>
      <c r="G2149" s="4"/>
      <c r="H2149" s="9"/>
      <c r="I2149" s="4"/>
      <c r="J2149" s="4"/>
      <c r="K2149" s="1"/>
      <c r="L2149" s="6"/>
      <c r="M2149" s="4"/>
      <c r="N2149" s="12">
        <v>2021</v>
      </c>
      <c r="O2149" s="1"/>
      <c r="P2149" s="1"/>
      <c r="Q2149" s="13" t="s">
        <v>10630</v>
      </c>
      <c r="R2149" s="12" t="s">
        <v>10628</v>
      </c>
    </row>
    <row r="2150" spans="1:18" x14ac:dyDescent="0.25">
      <c r="A2150" s="29" t="s">
        <v>2166</v>
      </c>
      <c r="B2150" s="29" t="s">
        <v>10627</v>
      </c>
      <c r="C2150" s="29" t="s">
        <v>10631</v>
      </c>
      <c r="D2150" s="4"/>
      <c r="E2150" s="1"/>
      <c r="F2150" s="4"/>
      <c r="G2150" s="4"/>
      <c r="H2150" s="9"/>
      <c r="I2150" s="4"/>
      <c r="J2150" s="4"/>
      <c r="K2150" s="1"/>
      <c r="L2150" s="6"/>
      <c r="M2150" s="4"/>
      <c r="N2150" s="12">
        <v>2017</v>
      </c>
      <c r="O2150" s="1"/>
      <c r="P2150" s="1"/>
      <c r="Q2150" s="13" t="s">
        <v>10632</v>
      </c>
      <c r="R2150" s="12" t="s">
        <v>5883</v>
      </c>
    </row>
    <row r="2151" spans="1:18" x14ac:dyDescent="0.25">
      <c r="A2151" s="29" t="s">
        <v>523</v>
      </c>
      <c r="B2151" s="29" t="s">
        <v>5880</v>
      </c>
      <c r="C2151" s="29" t="s">
        <v>10635</v>
      </c>
      <c r="D2151" s="4"/>
      <c r="E2151" s="1"/>
      <c r="F2151" s="4"/>
      <c r="G2151" s="4"/>
      <c r="H2151" s="9"/>
      <c r="I2151" s="4"/>
      <c r="J2151" s="4"/>
      <c r="K2151" s="1"/>
      <c r="L2151" s="6"/>
      <c r="M2151" s="4"/>
      <c r="N2151" s="12">
        <v>2021</v>
      </c>
      <c r="O2151" s="1"/>
      <c r="P2151" s="1"/>
      <c r="Q2151" s="13" t="s">
        <v>10636</v>
      </c>
      <c r="R2151" s="12" t="s">
        <v>10634</v>
      </c>
    </row>
    <row r="2152" spans="1:18" x14ac:dyDescent="0.25">
      <c r="A2152" s="15"/>
      <c r="B2152" s="29" t="s">
        <v>10633</v>
      </c>
      <c r="C2152" s="29" t="s">
        <v>10639</v>
      </c>
      <c r="D2152" s="4"/>
      <c r="E2152" s="1"/>
      <c r="F2152" s="4"/>
      <c r="G2152" s="4"/>
      <c r="H2152" s="9"/>
      <c r="I2152" s="4"/>
      <c r="J2152" s="4"/>
      <c r="K2152" s="1"/>
      <c r="L2152" s="6"/>
      <c r="M2152" s="4"/>
      <c r="N2152" s="12">
        <v>2022</v>
      </c>
      <c r="O2152" s="1"/>
      <c r="P2152" s="1"/>
      <c r="Q2152" s="13" t="s">
        <v>10640</v>
      </c>
      <c r="R2152" s="12" t="s">
        <v>10638</v>
      </c>
    </row>
    <row r="2153" spans="1:18" x14ac:dyDescent="0.25">
      <c r="A2153" s="29" t="s">
        <v>136</v>
      </c>
      <c r="B2153" s="29" t="s">
        <v>10637</v>
      </c>
      <c r="C2153" s="29" t="s">
        <v>10643</v>
      </c>
      <c r="D2153" s="4"/>
      <c r="E2153" s="1"/>
      <c r="F2153" s="4"/>
      <c r="G2153" s="4"/>
      <c r="H2153" s="9"/>
      <c r="I2153" s="4"/>
      <c r="J2153" s="4"/>
      <c r="K2153" s="1"/>
      <c r="L2153" s="6"/>
      <c r="M2153" s="4"/>
      <c r="N2153" s="12">
        <v>2022</v>
      </c>
      <c r="O2153" s="1"/>
      <c r="P2153" s="1"/>
      <c r="Q2153" s="13" t="s">
        <v>10644</v>
      </c>
      <c r="R2153" s="12" t="s">
        <v>10642</v>
      </c>
    </row>
    <row r="2154" spans="1:18" x14ac:dyDescent="0.25">
      <c r="A2154" s="29" t="s">
        <v>10544</v>
      </c>
      <c r="B2154" s="29" t="s">
        <v>10641</v>
      </c>
      <c r="C2154" s="29" t="s">
        <v>10647</v>
      </c>
      <c r="D2154" s="4"/>
      <c r="E2154" s="1"/>
      <c r="F2154" s="4"/>
      <c r="G2154" s="4"/>
      <c r="H2154" s="9"/>
      <c r="I2154" s="4"/>
      <c r="J2154" s="4"/>
      <c r="K2154" s="1"/>
      <c r="L2154" s="6"/>
      <c r="M2154" s="4"/>
      <c r="N2154" s="12">
        <v>2019</v>
      </c>
      <c r="O2154" s="1"/>
      <c r="P2154" s="1"/>
      <c r="Q2154" s="13" t="s">
        <v>10648</v>
      </c>
      <c r="R2154" s="12" t="s">
        <v>10646</v>
      </c>
    </row>
    <row r="2155" spans="1:18" x14ac:dyDescent="0.25">
      <c r="A2155" s="15"/>
      <c r="B2155" s="29" t="s">
        <v>10645</v>
      </c>
      <c r="C2155" s="29" t="s">
        <v>10652</v>
      </c>
      <c r="D2155" s="4"/>
      <c r="E2155" s="1"/>
      <c r="F2155" s="4"/>
      <c r="G2155" s="4"/>
      <c r="H2155" s="9"/>
      <c r="I2155" s="4"/>
      <c r="J2155" s="4"/>
      <c r="K2155" s="1"/>
      <c r="L2155" s="6"/>
      <c r="M2155" s="4"/>
      <c r="N2155" s="12">
        <v>2016</v>
      </c>
      <c r="O2155" s="1"/>
      <c r="P2155" s="1"/>
      <c r="Q2155" s="13" t="s">
        <v>10653</v>
      </c>
      <c r="R2155" s="12" t="s">
        <v>10651</v>
      </c>
    </row>
    <row r="2156" spans="1:18" x14ac:dyDescent="0.25">
      <c r="A2156" s="29" t="s">
        <v>10649</v>
      </c>
      <c r="B2156" s="29" t="s">
        <v>10650</v>
      </c>
      <c r="C2156" s="29" t="s">
        <v>10656</v>
      </c>
      <c r="D2156" s="4"/>
      <c r="E2156" s="1"/>
      <c r="F2156" s="4"/>
      <c r="G2156" s="4"/>
      <c r="H2156" s="9"/>
      <c r="I2156" s="4"/>
      <c r="J2156" s="4"/>
      <c r="K2156" s="1"/>
      <c r="L2156" s="6"/>
      <c r="M2156" s="4"/>
      <c r="N2156" s="12">
        <v>2022</v>
      </c>
      <c r="O2156" s="1"/>
      <c r="P2156" s="1"/>
      <c r="Q2156" s="13" t="s">
        <v>10657</v>
      </c>
      <c r="R2156" s="12" t="s">
        <v>10655</v>
      </c>
    </row>
    <row r="2157" spans="1:18" x14ac:dyDescent="0.25">
      <c r="A2157" s="29" t="s">
        <v>136</v>
      </c>
      <c r="B2157" s="29" t="s">
        <v>10654</v>
      </c>
      <c r="C2157" s="29" t="s">
        <v>10660</v>
      </c>
      <c r="D2157" s="4"/>
      <c r="E2157" s="1"/>
      <c r="F2157" s="4"/>
      <c r="G2157" s="4"/>
      <c r="H2157" s="9"/>
      <c r="I2157" s="4"/>
      <c r="J2157" s="4"/>
      <c r="K2157" s="1"/>
      <c r="L2157" s="6"/>
      <c r="M2157" s="4"/>
      <c r="N2157" s="12">
        <v>2021</v>
      </c>
      <c r="O2157" s="1"/>
      <c r="P2157" s="1"/>
      <c r="Q2157" s="13" t="s">
        <v>10661</v>
      </c>
      <c r="R2157" s="12" t="s">
        <v>10659</v>
      </c>
    </row>
    <row r="2158" spans="1:18" x14ac:dyDescent="0.25">
      <c r="A2158" s="29" t="s">
        <v>9460</v>
      </c>
      <c r="B2158" s="29" t="s">
        <v>10658</v>
      </c>
      <c r="C2158" s="29" t="s">
        <v>10664</v>
      </c>
      <c r="D2158" s="4"/>
      <c r="E2158" s="1"/>
      <c r="F2158" s="4"/>
      <c r="G2158" s="4"/>
      <c r="H2158" s="9"/>
      <c r="I2158" s="4"/>
      <c r="J2158" s="4"/>
      <c r="K2158" s="1"/>
      <c r="L2158" s="6"/>
      <c r="M2158" s="4"/>
      <c r="N2158" s="12">
        <v>2018</v>
      </c>
      <c r="O2158" s="1"/>
      <c r="P2158" s="1"/>
      <c r="Q2158" s="13" t="s">
        <v>10665</v>
      </c>
      <c r="R2158" s="12" t="s">
        <v>10663</v>
      </c>
    </row>
    <row r="2159" spans="1:18" x14ac:dyDescent="0.25">
      <c r="A2159" s="29" t="s">
        <v>523</v>
      </c>
      <c r="B2159" s="29" t="s">
        <v>10662</v>
      </c>
      <c r="C2159" s="29" t="s">
        <v>10666</v>
      </c>
      <c r="D2159" s="4"/>
      <c r="E2159" s="1"/>
      <c r="F2159" s="4"/>
      <c r="G2159" s="4"/>
      <c r="H2159" s="9"/>
      <c r="I2159" s="4"/>
      <c r="J2159" s="4"/>
      <c r="K2159" s="1"/>
      <c r="L2159" s="6"/>
      <c r="M2159" s="4"/>
      <c r="N2159" s="12">
        <v>2021</v>
      </c>
      <c r="O2159" s="1"/>
      <c r="P2159" s="1"/>
      <c r="Q2159" s="13" t="s">
        <v>10667</v>
      </c>
      <c r="R2159" s="12" t="s">
        <v>3516</v>
      </c>
    </row>
    <row r="2160" spans="1:18" x14ac:dyDescent="0.25">
      <c r="A2160" s="29" t="s">
        <v>9315</v>
      </c>
      <c r="B2160" s="29" t="s">
        <v>3512</v>
      </c>
      <c r="C2160" s="29" t="s">
        <v>10670</v>
      </c>
      <c r="D2160" s="4"/>
      <c r="E2160" s="1"/>
      <c r="F2160" s="4"/>
      <c r="G2160" s="4"/>
      <c r="H2160" s="9"/>
      <c r="I2160" s="4"/>
      <c r="J2160" s="4"/>
      <c r="K2160" s="1"/>
      <c r="L2160" s="6"/>
      <c r="M2160" s="4"/>
      <c r="N2160" s="12">
        <v>2022</v>
      </c>
      <c r="O2160" s="1"/>
      <c r="P2160" s="1"/>
      <c r="Q2160" s="13" t="s">
        <v>10671</v>
      </c>
      <c r="R2160" s="12" t="s">
        <v>10669</v>
      </c>
    </row>
    <row r="2161" spans="1:18" x14ac:dyDescent="0.25">
      <c r="A2161" s="29" t="s">
        <v>136</v>
      </c>
      <c r="B2161" s="29" t="s">
        <v>10668</v>
      </c>
      <c r="C2161" s="29" t="s">
        <v>10672</v>
      </c>
      <c r="D2161" s="4"/>
      <c r="E2161" s="1"/>
      <c r="F2161" s="4"/>
      <c r="G2161" s="4"/>
      <c r="H2161" s="9"/>
      <c r="I2161" s="4"/>
      <c r="J2161" s="4"/>
      <c r="K2161" s="1"/>
      <c r="L2161" s="6"/>
      <c r="M2161" s="4"/>
      <c r="N2161" s="12">
        <v>2020</v>
      </c>
      <c r="O2161" s="1"/>
      <c r="P2161" s="1"/>
      <c r="Q2161" s="13" t="s">
        <v>10673</v>
      </c>
      <c r="R2161" s="12" t="s">
        <v>4737</v>
      </c>
    </row>
    <row r="2162" spans="1:18" x14ac:dyDescent="0.25">
      <c r="A2162" s="29" t="s">
        <v>9491</v>
      </c>
      <c r="B2162" s="29" t="s">
        <v>4733</v>
      </c>
      <c r="C2162" s="29" t="s">
        <v>10677</v>
      </c>
      <c r="D2162" s="4"/>
      <c r="E2162" s="1"/>
      <c r="F2162" s="4"/>
      <c r="G2162" s="4"/>
      <c r="H2162" s="9"/>
      <c r="I2162" s="4"/>
      <c r="J2162" s="4"/>
      <c r="K2162" s="1"/>
      <c r="L2162" s="6"/>
      <c r="M2162" s="4"/>
      <c r="N2162" s="12">
        <v>2019</v>
      </c>
      <c r="O2162" s="1"/>
      <c r="P2162" s="1"/>
      <c r="Q2162" s="13" t="s">
        <v>10678</v>
      </c>
      <c r="R2162" s="12" t="s">
        <v>10676</v>
      </c>
    </row>
    <row r="2163" spans="1:18" x14ac:dyDescent="0.25">
      <c r="A2163" s="29" t="s">
        <v>10674</v>
      </c>
      <c r="B2163" s="29" t="s">
        <v>10675</v>
      </c>
      <c r="C2163" s="29" t="s">
        <v>10681</v>
      </c>
      <c r="D2163" s="4"/>
      <c r="E2163" s="1"/>
      <c r="F2163" s="4"/>
      <c r="G2163" s="4"/>
      <c r="H2163" s="9"/>
      <c r="I2163" s="4"/>
      <c r="J2163" s="4"/>
      <c r="K2163" s="1"/>
      <c r="L2163" s="6"/>
      <c r="M2163" s="4"/>
      <c r="N2163" s="12">
        <v>2021</v>
      </c>
      <c r="O2163" s="1"/>
      <c r="P2163" s="1"/>
      <c r="Q2163" s="13" t="s">
        <v>10682</v>
      </c>
      <c r="R2163" s="12" t="s">
        <v>10680</v>
      </c>
    </row>
    <row r="2164" spans="1:18" x14ac:dyDescent="0.25">
      <c r="A2164" s="15"/>
      <c r="B2164" s="29" t="s">
        <v>10679</v>
      </c>
      <c r="C2164" s="29" t="s">
        <v>10685</v>
      </c>
      <c r="D2164" s="4"/>
      <c r="E2164" s="1"/>
      <c r="F2164" s="4"/>
      <c r="G2164" s="4"/>
      <c r="H2164" s="9"/>
      <c r="I2164" s="4"/>
      <c r="J2164" s="4"/>
      <c r="K2164" s="1"/>
      <c r="L2164" s="6"/>
      <c r="M2164" s="4"/>
      <c r="N2164" s="12">
        <v>2022</v>
      </c>
      <c r="O2164" s="1"/>
      <c r="P2164" s="1"/>
      <c r="Q2164" s="13" t="s">
        <v>10686</v>
      </c>
      <c r="R2164" s="12" t="s">
        <v>10684</v>
      </c>
    </row>
    <row r="2165" spans="1:18" x14ac:dyDescent="0.25">
      <c r="A2165" s="29" t="s">
        <v>582</v>
      </c>
      <c r="B2165" s="29" t="s">
        <v>10683</v>
      </c>
      <c r="C2165" s="29" t="s">
        <v>10689</v>
      </c>
      <c r="D2165" s="4"/>
      <c r="E2165" s="1"/>
      <c r="F2165" s="4"/>
      <c r="G2165" s="4"/>
      <c r="H2165" s="9"/>
      <c r="I2165" s="4"/>
      <c r="J2165" s="4"/>
      <c r="K2165" s="1"/>
      <c r="L2165" s="6"/>
      <c r="M2165" s="4"/>
      <c r="N2165" s="12">
        <v>2022</v>
      </c>
      <c r="O2165" s="1"/>
      <c r="P2165" s="1"/>
      <c r="Q2165" s="13" t="s">
        <v>10690</v>
      </c>
      <c r="R2165" s="12" t="s">
        <v>10688</v>
      </c>
    </row>
    <row r="2166" spans="1:18" x14ac:dyDescent="0.25">
      <c r="A2166" s="29" t="s">
        <v>136</v>
      </c>
      <c r="B2166" s="29" t="s">
        <v>10687</v>
      </c>
      <c r="C2166" s="29" t="s">
        <v>10693</v>
      </c>
      <c r="D2166" s="4"/>
      <c r="E2166" s="1"/>
      <c r="F2166" s="4"/>
      <c r="G2166" s="4"/>
      <c r="H2166" s="9"/>
      <c r="I2166" s="4"/>
      <c r="J2166" s="4"/>
      <c r="K2166" s="1"/>
      <c r="L2166" s="6"/>
      <c r="M2166" s="4"/>
      <c r="N2166" s="12">
        <v>2018</v>
      </c>
      <c r="O2166" s="1"/>
      <c r="P2166" s="1"/>
      <c r="Q2166" s="13" t="s">
        <v>10694</v>
      </c>
      <c r="R2166" s="12" t="s">
        <v>10692</v>
      </c>
    </row>
    <row r="2167" spans="1:18" x14ac:dyDescent="0.25">
      <c r="A2167" s="29" t="s">
        <v>9276</v>
      </c>
      <c r="B2167" s="29" t="s">
        <v>10691</v>
      </c>
      <c r="C2167" s="29" t="s">
        <v>10695</v>
      </c>
      <c r="D2167" s="4"/>
      <c r="E2167" s="1"/>
      <c r="F2167" s="4"/>
      <c r="G2167" s="4"/>
      <c r="H2167" s="9"/>
      <c r="I2167" s="4"/>
      <c r="J2167" s="4"/>
      <c r="K2167" s="1"/>
      <c r="L2167" s="6"/>
      <c r="M2167" s="4"/>
      <c r="N2167" s="12">
        <v>2022</v>
      </c>
      <c r="O2167" s="1"/>
      <c r="P2167" s="1"/>
      <c r="Q2167" s="13" t="s">
        <v>10696</v>
      </c>
      <c r="R2167" s="12" t="s">
        <v>694</v>
      </c>
    </row>
    <row r="2168" spans="1:18" x14ac:dyDescent="0.25">
      <c r="A2168" s="29" t="s">
        <v>691</v>
      </c>
      <c r="B2168" s="29" t="s">
        <v>690</v>
      </c>
      <c r="C2168" s="29" t="s">
        <v>10699</v>
      </c>
      <c r="D2168" s="4"/>
      <c r="E2168" s="1"/>
      <c r="F2168" s="4"/>
      <c r="G2168" s="4"/>
      <c r="H2168" s="9"/>
      <c r="I2168" s="4"/>
      <c r="J2168" s="4"/>
      <c r="K2168" s="1"/>
      <c r="L2168" s="6"/>
      <c r="M2168" s="4"/>
      <c r="N2168" s="12">
        <v>2022</v>
      </c>
      <c r="O2168" s="1"/>
      <c r="P2168" s="1"/>
      <c r="Q2168" s="13" t="s">
        <v>10700</v>
      </c>
      <c r="R2168" s="12" t="s">
        <v>10698</v>
      </c>
    </row>
    <row r="2169" spans="1:18" x14ac:dyDescent="0.25">
      <c r="A2169" s="29" t="s">
        <v>9481</v>
      </c>
      <c r="B2169" s="29" t="s">
        <v>10697</v>
      </c>
      <c r="C2169" s="29" t="s">
        <v>10703</v>
      </c>
      <c r="D2169" s="4"/>
      <c r="E2169" s="1"/>
      <c r="F2169" s="4"/>
      <c r="G2169" s="4"/>
      <c r="H2169" s="9"/>
      <c r="I2169" s="4"/>
      <c r="J2169" s="4"/>
      <c r="K2169" s="1"/>
      <c r="L2169" s="6"/>
      <c r="M2169" s="4"/>
      <c r="N2169" s="12">
        <v>2018</v>
      </c>
      <c r="O2169" s="1"/>
      <c r="P2169" s="1"/>
      <c r="Q2169" s="13" t="s">
        <v>10704</v>
      </c>
      <c r="R2169" s="12" t="s">
        <v>10702</v>
      </c>
    </row>
    <row r="2170" spans="1:18" x14ac:dyDescent="0.25">
      <c r="A2170" s="29" t="s">
        <v>523</v>
      </c>
      <c r="B2170" s="29" t="s">
        <v>10701</v>
      </c>
      <c r="C2170" s="29" t="s">
        <v>10707</v>
      </c>
      <c r="D2170" s="4"/>
      <c r="E2170" s="1"/>
      <c r="F2170" s="4"/>
      <c r="G2170" s="4"/>
      <c r="H2170" s="9"/>
      <c r="I2170" s="4"/>
      <c r="J2170" s="4"/>
      <c r="K2170" s="1"/>
      <c r="L2170" s="6"/>
      <c r="M2170" s="4"/>
      <c r="N2170" s="12">
        <v>2021</v>
      </c>
      <c r="O2170" s="1"/>
      <c r="P2170" s="1"/>
      <c r="Q2170" s="13" t="s">
        <v>10708</v>
      </c>
      <c r="R2170" s="12" t="s">
        <v>10706</v>
      </c>
    </row>
    <row r="2171" spans="1:18" x14ac:dyDescent="0.25">
      <c r="A2171" s="29" t="s">
        <v>9481</v>
      </c>
      <c r="B2171" s="29" t="s">
        <v>10705</v>
      </c>
      <c r="C2171" s="29" t="s">
        <v>10712</v>
      </c>
      <c r="D2171" s="4"/>
      <c r="E2171" s="1"/>
      <c r="F2171" s="4"/>
      <c r="G2171" s="4"/>
      <c r="H2171" s="9"/>
      <c r="I2171" s="4"/>
      <c r="J2171" s="4"/>
      <c r="K2171" s="1"/>
      <c r="L2171" s="6"/>
      <c r="M2171" s="4"/>
      <c r="N2171" s="12">
        <v>2021</v>
      </c>
      <c r="O2171" s="1"/>
      <c r="P2171" s="1"/>
      <c r="Q2171" s="13" t="s">
        <v>10713</v>
      </c>
      <c r="R2171" s="12" t="s">
        <v>10711</v>
      </c>
    </row>
    <row r="2172" spans="1:18" x14ac:dyDescent="0.25">
      <c r="A2172" s="29" t="s">
        <v>10709</v>
      </c>
      <c r="B2172" s="29" t="s">
        <v>10710</v>
      </c>
      <c r="C2172" s="29" t="s">
        <v>10716</v>
      </c>
      <c r="D2172" s="4"/>
      <c r="E2172" s="1"/>
      <c r="F2172" s="4"/>
      <c r="G2172" s="4"/>
      <c r="H2172" s="9"/>
      <c r="I2172" s="4"/>
      <c r="J2172" s="4"/>
      <c r="K2172" s="1"/>
      <c r="L2172" s="6"/>
      <c r="M2172" s="4"/>
      <c r="N2172" s="12">
        <v>2020</v>
      </c>
      <c r="O2172" s="1"/>
      <c r="P2172" s="1"/>
      <c r="Q2172" s="13" t="s">
        <v>10717</v>
      </c>
      <c r="R2172" s="12" t="s">
        <v>10715</v>
      </c>
    </row>
    <row r="2173" spans="1:18" x14ac:dyDescent="0.25">
      <c r="A2173" s="29" t="s">
        <v>523</v>
      </c>
      <c r="B2173" s="29" t="s">
        <v>10714</v>
      </c>
      <c r="C2173" s="29" t="s">
        <v>10720</v>
      </c>
      <c r="D2173" s="4"/>
      <c r="E2173" s="1"/>
      <c r="F2173" s="4"/>
      <c r="G2173" s="4"/>
      <c r="H2173" s="9"/>
      <c r="I2173" s="4"/>
      <c r="J2173" s="4"/>
      <c r="K2173" s="1"/>
      <c r="L2173" s="6"/>
      <c r="M2173" s="4"/>
      <c r="N2173" s="12">
        <v>2022</v>
      </c>
      <c r="O2173" s="1"/>
      <c r="P2173" s="1"/>
      <c r="Q2173" s="13" t="s">
        <v>10721</v>
      </c>
      <c r="R2173" s="12" t="s">
        <v>10719</v>
      </c>
    </row>
    <row r="2174" spans="1:18" x14ac:dyDescent="0.25">
      <c r="A2174" s="29" t="s">
        <v>2502</v>
      </c>
      <c r="B2174" s="29" t="s">
        <v>10718</v>
      </c>
      <c r="C2174" s="29" t="s">
        <v>10724</v>
      </c>
      <c r="D2174" s="4"/>
      <c r="E2174" s="1"/>
      <c r="F2174" s="4"/>
      <c r="G2174" s="4"/>
      <c r="H2174" s="9"/>
      <c r="I2174" s="4"/>
      <c r="J2174" s="4"/>
      <c r="K2174" s="1"/>
      <c r="L2174" s="6"/>
      <c r="M2174" s="4"/>
      <c r="N2174" s="12">
        <v>2022</v>
      </c>
      <c r="O2174" s="1"/>
      <c r="P2174" s="1"/>
      <c r="Q2174" s="13" t="s">
        <v>10725</v>
      </c>
      <c r="R2174" s="12" t="s">
        <v>10723</v>
      </c>
    </row>
    <row r="2175" spans="1:18" x14ac:dyDescent="0.25">
      <c r="A2175" s="29" t="s">
        <v>676</v>
      </c>
      <c r="B2175" s="29" t="s">
        <v>10722</v>
      </c>
      <c r="C2175" s="29" t="s">
        <v>10162</v>
      </c>
      <c r="D2175" s="4"/>
      <c r="E2175" s="1"/>
      <c r="F2175" s="4"/>
      <c r="G2175" s="4"/>
      <c r="H2175" s="9"/>
      <c r="I2175" s="4"/>
      <c r="J2175" s="4"/>
      <c r="K2175" s="1"/>
      <c r="L2175" s="6"/>
      <c r="M2175" s="4"/>
      <c r="N2175" s="12">
        <v>2021</v>
      </c>
      <c r="O2175" s="1"/>
      <c r="P2175" s="1"/>
      <c r="Q2175" s="13" t="s">
        <v>10728</v>
      </c>
      <c r="R2175" s="12" t="s">
        <v>10727</v>
      </c>
    </row>
    <row r="2176" spans="1:18" x14ac:dyDescent="0.25">
      <c r="A2176" s="29" t="s">
        <v>10160</v>
      </c>
      <c r="B2176" s="29" t="s">
        <v>10726</v>
      </c>
      <c r="C2176" s="29" t="s">
        <v>10731</v>
      </c>
      <c r="D2176" s="4"/>
      <c r="E2176" s="1"/>
      <c r="F2176" s="4"/>
      <c r="G2176" s="4"/>
      <c r="H2176" s="9"/>
      <c r="I2176" s="4"/>
      <c r="J2176" s="4"/>
      <c r="K2176" s="1"/>
      <c r="L2176" s="6"/>
      <c r="M2176" s="4"/>
      <c r="N2176" s="12">
        <v>2021</v>
      </c>
      <c r="O2176" s="1"/>
      <c r="P2176" s="1"/>
      <c r="Q2176" s="13" t="s">
        <v>10732</v>
      </c>
      <c r="R2176" s="12" t="s">
        <v>10730</v>
      </c>
    </row>
    <row r="2177" spans="1:18" x14ac:dyDescent="0.25">
      <c r="A2177" s="15"/>
      <c r="B2177" s="29" t="s">
        <v>10729</v>
      </c>
      <c r="C2177" s="29" t="s">
        <v>10736</v>
      </c>
      <c r="D2177" s="4"/>
      <c r="E2177" s="1"/>
      <c r="F2177" s="4"/>
      <c r="G2177" s="4"/>
      <c r="H2177" s="9"/>
      <c r="I2177" s="4"/>
      <c r="J2177" s="4"/>
      <c r="K2177" s="1"/>
      <c r="L2177" s="6"/>
      <c r="M2177" s="4"/>
      <c r="N2177" s="12">
        <v>2018</v>
      </c>
      <c r="O2177" s="1"/>
      <c r="P2177" s="1"/>
      <c r="Q2177" s="13" t="s">
        <v>10737</v>
      </c>
      <c r="R2177" s="12" t="s">
        <v>10735</v>
      </c>
    </row>
    <row r="2178" spans="1:18" x14ac:dyDescent="0.25">
      <c r="A2178" s="29" t="s">
        <v>10733</v>
      </c>
      <c r="B2178" s="29" t="s">
        <v>10734</v>
      </c>
      <c r="C2178" s="29" t="s">
        <v>10738</v>
      </c>
      <c r="D2178" s="4"/>
      <c r="E2178" s="1"/>
      <c r="F2178" s="4"/>
      <c r="G2178" s="4"/>
      <c r="H2178" s="9"/>
      <c r="I2178" s="4"/>
      <c r="J2178" s="4"/>
      <c r="K2178" s="1"/>
      <c r="L2178" s="6"/>
      <c r="M2178" s="4"/>
      <c r="N2178" s="12">
        <v>2021</v>
      </c>
      <c r="O2178" s="1"/>
      <c r="P2178" s="1"/>
      <c r="Q2178" s="13" t="s">
        <v>10739</v>
      </c>
      <c r="R2178" s="12" t="s">
        <v>2675</v>
      </c>
    </row>
    <row r="2179" spans="1:18" x14ac:dyDescent="0.25">
      <c r="A2179" s="29" t="s">
        <v>2166</v>
      </c>
      <c r="B2179" s="29" t="s">
        <v>2672</v>
      </c>
      <c r="C2179" s="29" t="s">
        <v>10741</v>
      </c>
      <c r="D2179" s="4"/>
      <c r="E2179" s="1"/>
      <c r="F2179" s="4"/>
      <c r="G2179" s="4"/>
      <c r="H2179" s="9"/>
      <c r="I2179" s="4"/>
      <c r="J2179" s="4"/>
      <c r="K2179" s="1"/>
      <c r="L2179" s="6"/>
      <c r="M2179" s="4"/>
      <c r="N2179" s="12">
        <v>2018</v>
      </c>
      <c r="O2179" s="1"/>
      <c r="P2179" s="1"/>
      <c r="Q2179" s="13" t="s">
        <v>10742</v>
      </c>
      <c r="R2179" s="12" t="s">
        <v>6090</v>
      </c>
    </row>
    <row r="2180" spans="1:18" x14ac:dyDescent="0.25">
      <c r="A2180" s="29" t="s">
        <v>9519</v>
      </c>
      <c r="B2180" s="29" t="s">
        <v>10740</v>
      </c>
      <c r="C2180" s="29" t="s">
        <v>10622</v>
      </c>
      <c r="D2180" s="4"/>
      <c r="E2180" s="1"/>
      <c r="F2180" s="4"/>
      <c r="G2180" s="4"/>
      <c r="H2180" s="9"/>
      <c r="I2180" s="4"/>
      <c r="J2180" s="4"/>
      <c r="K2180" s="1"/>
      <c r="L2180" s="6"/>
      <c r="M2180" s="4"/>
      <c r="N2180" s="12">
        <v>2022</v>
      </c>
      <c r="O2180" s="1"/>
      <c r="P2180" s="1"/>
      <c r="Q2180" s="13" t="s">
        <v>10743</v>
      </c>
      <c r="R2180" s="12" t="s">
        <v>1551</v>
      </c>
    </row>
    <row r="2181" spans="1:18" x14ac:dyDescent="0.25">
      <c r="A2181" s="29" t="s">
        <v>9579</v>
      </c>
      <c r="B2181" s="29" t="s">
        <v>1546</v>
      </c>
      <c r="C2181" s="29" t="s">
        <v>10746</v>
      </c>
      <c r="D2181" s="4"/>
      <c r="E2181" s="1"/>
      <c r="F2181" s="4"/>
      <c r="G2181" s="4"/>
      <c r="H2181" s="9"/>
      <c r="I2181" s="4"/>
      <c r="J2181" s="4"/>
      <c r="K2181" s="1"/>
      <c r="L2181" s="6"/>
      <c r="M2181" s="4"/>
      <c r="N2181" s="12">
        <v>2020</v>
      </c>
      <c r="O2181" s="1"/>
      <c r="P2181" s="1"/>
      <c r="Q2181" s="13" t="s">
        <v>10747</v>
      </c>
      <c r="R2181" s="12" t="s">
        <v>10745</v>
      </c>
    </row>
    <row r="2182" spans="1:18" x14ac:dyDescent="0.25">
      <c r="A2182" s="29" t="s">
        <v>523</v>
      </c>
      <c r="B2182" s="29" t="s">
        <v>10744</v>
      </c>
      <c r="C2182" s="29" t="s">
        <v>10751</v>
      </c>
      <c r="D2182" s="4"/>
      <c r="E2182" s="1"/>
      <c r="F2182" s="4"/>
      <c r="G2182" s="4"/>
      <c r="H2182" s="9"/>
      <c r="I2182" s="4"/>
      <c r="J2182" s="4"/>
      <c r="K2182" s="1"/>
      <c r="L2182" s="6"/>
      <c r="M2182" s="4"/>
      <c r="N2182" s="12">
        <v>2019</v>
      </c>
      <c r="O2182" s="1"/>
      <c r="P2182" s="1"/>
      <c r="Q2182" s="13" t="s">
        <v>10752</v>
      </c>
      <c r="R2182" s="12" t="s">
        <v>10750</v>
      </c>
    </row>
    <row r="2183" spans="1:18" x14ac:dyDescent="0.25">
      <c r="A2183" s="29" t="s">
        <v>10748</v>
      </c>
      <c r="B2183" s="29" t="s">
        <v>10749</v>
      </c>
      <c r="C2183" s="29" t="s">
        <v>10756</v>
      </c>
      <c r="D2183" s="4"/>
      <c r="E2183" s="1"/>
      <c r="F2183" s="4"/>
      <c r="G2183" s="4"/>
      <c r="H2183" s="9"/>
      <c r="I2183" s="4"/>
      <c r="J2183" s="4"/>
      <c r="K2183" s="1"/>
      <c r="L2183" s="6"/>
      <c r="M2183" s="4"/>
      <c r="N2183" s="12">
        <v>2020</v>
      </c>
      <c r="O2183" s="1"/>
      <c r="P2183" s="1"/>
      <c r="Q2183" s="13" t="s">
        <v>10757</v>
      </c>
      <c r="R2183" s="12" t="s">
        <v>10755</v>
      </c>
    </row>
    <row r="2184" spans="1:18" x14ac:dyDescent="0.25">
      <c r="A2184" s="29" t="s">
        <v>10753</v>
      </c>
      <c r="B2184" s="29" t="s">
        <v>10754</v>
      </c>
      <c r="C2184" s="29" t="s">
        <v>9455</v>
      </c>
      <c r="D2184" s="4"/>
      <c r="E2184" s="1"/>
      <c r="F2184" s="4"/>
      <c r="G2184" s="4"/>
      <c r="H2184" s="9"/>
      <c r="I2184" s="4"/>
      <c r="J2184" s="4"/>
      <c r="K2184" s="1"/>
      <c r="L2184" s="6"/>
      <c r="M2184" s="4"/>
      <c r="N2184" s="12">
        <v>2022</v>
      </c>
      <c r="O2184" s="1"/>
      <c r="P2184" s="1"/>
      <c r="Q2184" s="13" t="s">
        <v>10760</v>
      </c>
      <c r="R2184" s="12" t="s">
        <v>10759</v>
      </c>
    </row>
    <row r="2185" spans="1:18" x14ac:dyDescent="0.25">
      <c r="A2185" s="29" t="s">
        <v>9453</v>
      </c>
      <c r="B2185" s="29" t="s">
        <v>10758</v>
      </c>
      <c r="C2185" s="29" t="s">
        <v>10762</v>
      </c>
      <c r="D2185" s="4"/>
      <c r="E2185" s="1"/>
      <c r="F2185" s="4"/>
      <c r="G2185" s="4"/>
      <c r="H2185" s="9"/>
      <c r="I2185" s="4"/>
      <c r="J2185" s="4"/>
      <c r="K2185" s="1"/>
      <c r="L2185" s="6"/>
      <c r="M2185" s="4"/>
      <c r="N2185" s="12">
        <v>2021</v>
      </c>
      <c r="O2185" s="1"/>
      <c r="P2185" s="1"/>
      <c r="Q2185" s="13" t="s">
        <v>10763</v>
      </c>
      <c r="R2185" s="12" t="s">
        <v>3868</v>
      </c>
    </row>
    <row r="2186" spans="1:18" x14ac:dyDescent="0.25">
      <c r="A2186" s="29" t="s">
        <v>10761</v>
      </c>
      <c r="B2186" s="29" t="s">
        <v>3864</v>
      </c>
      <c r="C2186" s="29" t="s">
        <v>10766</v>
      </c>
      <c r="D2186" s="4"/>
      <c r="E2186" s="1"/>
      <c r="F2186" s="4"/>
      <c r="G2186" s="4"/>
      <c r="H2186" s="9"/>
      <c r="I2186" s="4"/>
      <c r="J2186" s="4"/>
      <c r="K2186" s="1"/>
      <c r="L2186" s="6"/>
      <c r="M2186" s="4"/>
      <c r="N2186" s="12">
        <v>2019</v>
      </c>
      <c r="O2186" s="1"/>
      <c r="P2186" s="1"/>
      <c r="Q2186" s="13" t="s">
        <v>10767</v>
      </c>
      <c r="R2186" s="12" t="s">
        <v>10765</v>
      </c>
    </row>
    <row r="2187" spans="1:18" x14ac:dyDescent="0.25">
      <c r="A2187" s="15"/>
      <c r="B2187" s="29" t="s">
        <v>10764</v>
      </c>
      <c r="C2187" s="29" t="s">
        <v>10770</v>
      </c>
      <c r="D2187" s="4"/>
      <c r="E2187" s="1"/>
      <c r="F2187" s="4"/>
      <c r="G2187" s="4"/>
      <c r="H2187" s="9"/>
      <c r="I2187" s="4"/>
      <c r="J2187" s="4"/>
      <c r="K2187" s="1"/>
      <c r="L2187" s="6"/>
      <c r="M2187" s="4"/>
      <c r="N2187" s="12">
        <v>2020</v>
      </c>
      <c r="O2187" s="1"/>
      <c r="P2187" s="1"/>
      <c r="Q2187" s="13" t="s">
        <v>10771</v>
      </c>
      <c r="R2187" s="12" t="s">
        <v>10769</v>
      </c>
    </row>
    <row r="2188" spans="1:18" x14ac:dyDescent="0.25">
      <c r="A2188" s="29" t="s">
        <v>136</v>
      </c>
      <c r="B2188" s="29" t="s">
        <v>10768</v>
      </c>
      <c r="C2188" s="29" t="s">
        <v>10774</v>
      </c>
      <c r="D2188" s="4"/>
      <c r="E2188" s="1"/>
      <c r="F2188" s="4"/>
      <c r="G2188" s="4"/>
      <c r="H2188" s="9"/>
      <c r="I2188" s="4"/>
      <c r="J2188" s="4"/>
      <c r="K2188" s="1"/>
      <c r="L2188" s="6"/>
      <c r="M2188" s="4"/>
      <c r="N2188" s="12">
        <v>2018</v>
      </c>
      <c r="O2188" s="1"/>
      <c r="P2188" s="1"/>
      <c r="Q2188" s="13" t="s">
        <v>10775</v>
      </c>
      <c r="R2188" s="12" t="s">
        <v>10773</v>
      </c>
    </row>
    <row r="2189" spans="1:18" x14ac:dyDescent="0.25">
      <c r="A2189" s="29" t="s">
        <v>136</v>
      </c>
      <c r="B2189" s="29" t="s">
        <v>10772</v>
      </c>
      <c r="C2189" s="29" t="s">
        <v>10778</v>
      </c>
      <c r="D2189" s="4"/>
      <c r="E2189" s="1"/>
      <c r="F2189" s="4"/>
      <c r="G2189" s="4"/>
      <c r="H2189" s="9"/>
      <c r="I2189" s="4"/>
      <c r="J2189" s="4"/>
      <c r="K2189" s="1"/>
      <c r="L2189" s="6"/>
      <c r="M2189" s="4"/>
      <c r="N2189" s="12">
        <v>2022</v>
      </c>
      <c r="O2189" s="1"/>
      <c r="P2189" s="1"/>
      <c r="Q2189" s="13" t="s">
        <v>10779</v>
      </c>
      <c r="R2189" s="12" t="s">
        <v>10777</v>
      </c>
    </row>
    <row r="2190" spans="1:18" x14ac:dyDescent="0.25">
      <c r="A2190" s="15"/>
      <c r="B2190" s="29" t="s">
        <v>10776</v>
      </c>
      <c r="C2190" s="29" t="s">
        <v>10783</v>
      </c>
      <c r="D2190" s="4"/>
      <c r="E2190" s="1"/>
      <c r="F2190" s="4"/>
      <c r="G2190" s="4"/>
      <c r="H2190" s="9"/>
      <c r="I2190" s="4"/>
      <c r="J2190" s="4"/>
      <c r="K2190" s="1"/>
      <c r="L2190" s="6"/>
      <c r="M2190" s="4"/>
      <c r="N2190" s="12">
        <v>2020</v>
      </c>
      <c r="O2190" s="1"/>
      <c r="P2190" s="1"/>
      <c r="Q2190" s="13" t="s">
        <v>10784</v>
      </c>
      <c r="R2190" s="12" t="s">
        <v>10782</v>
      </c>
    </row>
    <row r="2191" spans="1:18" x14ac:dyDescent="0.25">
      <c r="A2191" s="29" t="s">
        <v>10780</v>
      </c>
      <c r="B2191" s="29" t="s">
        <v>10781</v>
      </c>
      <c r="C2191" s="29" t="s">
        <v>10788</v>
      </c>
      <c r="D2191" s="4"/>
      <c r="E2191" s="1"/>
      <c r="F2191" s="4"/>
      <c r="G2191" s="4"/>
      <c r="H2191" s="9"/>
      <c r="I2191" s="4"/>
      <c r="J2191" s="4"/>
      <c r="K2191" s="1"/>
      <c r="L2191" s="6"/>
      <c r="M2191" s="4"/>
      <c r="N2191" s="12">
        <v>2023</v>
      </c>
      <c r="O2191" s="1"/>
      <c r="P2191" s="1"/>
      <c r="Q2191" s="13" t="s">
        <v>10789</v>
      </c>
      <c r="R2191" s="12" t="s">
        <v>10787</v>
      </c>
    </row>
    <row r="2192" spans="1:18" x14ac:dyDescent="0.25">
      <c r="A2192" s="29" t="s">
        <v>10785</v>
      </c>
      <c r="B2192" s="29" t="s">
        <v>10786</v>
      </c>
      <c r="C2192" s="29" t="s">
        <v>9847</v>
      </c>
      <c r="D2192" s="4"/>
      <c r="E2192" s="1"/>
      <c r="F2192" s="4"/>
      <c r="G2192" s="4"/>
      <c r="H2192" s="9"/>
      <c r="I2192" s="4"/>
      <c r="J2192" s="4"/>
      <c r="K2192" s="1"/>
      <c r="L2192" s="6"/>
      <c r="M2192" s="4"/>
      <c r="N2192" s="12">
        <v>2023</v>
      </c>
      <c r="O2192" s="1"/>
      <c r="P2192" s="1"/>
      <c r="Q2192" s="13" t="s">
        <v>10792</v>
      </c>
      <c r="R2192" s="12" t="s">
        <v>10791</v>
      </c>
    </row>
    <row r="2193" spans="1:18" x14ac:dyDescent="0.25">
      <c r="A2193" s="29" t="s">
        <v>9845</v>
      </c>
      <c r="B2193" s="29" t="s">
        <v>10790</v>
      </c>
      <c r="C2193" s="29" t="s">
        <v>10795</v>
      </c>
      <c r="D2193" s="4"/>
      <c r="E2193" s="1"/>
      <c r="F2193" s="4"/>
      <c r="G2193" s="4"/>
      <c r="H2193" s="9"/>
      <c r="I2193" s="4"/>
      <c r="J2193" s="4"/>
      <c r="K2193" s="1"/>
      <c r="L2193" s="6"/>
      <c r="M2193" s="4"/>
      <c r="N2193" s="12">
        <v>2020</v>
      </c>
      <c r="O2193" s="1"/>
      <c r="P2193" s="1"/>
      <c r="Q2193" s="13" t="s">
        <v>10796</v>
      </c>
      <c r="R2193" s="12" t="s">
        <v>10794</v>
      </c>
    </row>
    <row r="2194" spans="1:18" x14ac:dyDescent="0.25">
      <c r="A2194" s="29" t="s">
        <v>136</v>
      </c>
      <c r="B2194" s="29" t="s">
        <v>10793</v>
      </c>
      <c r="C2194" s="29" t="s">
        <v>10042</v>
      </c>
      <c r="D2194" s="4"/>
      <c r="E2194" s="1"/>
      <c r="F2194" s="4"/>
      <c r="G2194" s="4"/>
      <c r="H2194" s="9"/>
      <c r="I2194" s="4"/>
      <c r="J2194" s="4"/>
      <c r="K2194" s="1"/>
      <c r="L2194" s="6"/>
      <c r="M2194" s="4"/>
      <c r="N2194" s="12">
        <v>2021</v>
      </c>
      <c r="O2194" s="1"/>
      <c r="P2194" s="1"/>
      <c r="Q2194" s="13" t="s">
        <v>10799</v>
      </c>
      <c r="R2194" s="12" t="s">
        <v>10798</v>
      </c>
    </row>
    <row r="2195" spans="1:18" x14ac:dyDescent="0.25">
      <c r="A2195" s="29" t="s">
        <v>10040</v>
      </c>
      <c r="B2195" s="29" t="s">
        <v>10797</v>
      </c>
      <c r="C2195" s="29" t="s">
        <v>10802</v>
      </c>
      <c r="D2195" s="4"/>
      <c r="E2195" s="1"/>
      <c r="F2195" s="4"/>
      <c r="G2195" s="4"/>
      <c r="H2195" s="9"/>
      <c r="I2195" s="4"/>
      <c r="J2195" s="4"/>
      <c r="K2195" s="1"/>
      <c r="L2195" s="6"/>
      <c r="M2195" s="4"/>
      <c r="N2195" s="12">
        <v>2022</v>
      </c>
      <c r="O2195" s="1"/>
      <c r="P2195" s="1"/>
      <c r="Q2195" s="13" t="s">
        <v>10803</v>
      </c>
      <c r="R2195" s="12" t="s">
        <v>10801</v>
      </c>
    </row>
    <row r="2196" spans="1:18" x14ac:dyDescent="0.25">
      <c r="A2196" s="29" t="s">
        <v>136</v>
      </c>
      <c r="B2196" s="29" t="s">
        <v>10800</v>
      </c>
      <c r="C2196" s="29" t="s">
        <v>10807</v>
      </c>
      <c r="D2196" s="4"/>
      <c r="E2196" s="1"/>
      <c r="F2196" s="4"/>
      <c r="G2196" s="4"/>
      <c r="H2196" s="9"/>
      <c r="I2196" s="4"/>
      <c r="J2196" s="4"/>
      <c r="K2196" s="1"/>
      <c r="L2196" s="6"/>
      <c r="M2196" s="4"/>
      <c r="N2196" s="12">
        <v>2020</v>
      </c>
      <c r="O2196" s="1"/>
      <c r="P2196" s="1"/>
      <c r="Q2196" s="13" t="s">
        <v>10808</v>
      </c>
      <c r="R2196" s="12" t="s">
        <v>10806</v>
      </c>
    </row>
    <row r="2197" spans="1:18" x14ac:dyDescent="0.25">
      <c r="A2197" s="29" t="s">
        <v>10804</v>
      </c>
      <c r="B2197" s="29" t="s">
        <v>10805</v>
      </c>
      <c r="C2197" s="29" t="s">
        <v>10811</v>
      </c>
      <c r="D2197" s="4"/>
      <c r="E2197" s="1"/>
      <c r="F2197" s="4"/>
      <c r="G2197" s="4"/>
      <c r="H2197" s="9"/>
      <c r="I2197" s="4"/>
      <c r="J2197" s="4"/>
      <c r="K2197" s="1"/>
      <c r="L2197" s="6"/>
      <c r="M2197" s="4"/>
      <c r="N2197" s="12">
        <v>2022</v>
      </c>
      <c r="O2197" s="1"/>
      <c r="P2197" s="1"/>
      <c r="Q2197" s="13" t="s">
        <v>10812</v>
      </c>
      <c r="R2197" s="12" t="s">
        <v>10810</v>
      </c>
    </row>
    <row r="2198" spans="1:18" x14ac:dyDescent="0.25">
      <c r="A2198" s="29" t="s">
        <v>9984</v>
      </c>
      <c r="B2198" s="29" t="s">
        <v>10809</v>
      </c>
      <c r="C2198" s="29" t="s">
        <v>10813</v>
      </c>
      <c r="D2198" s="4"/>
      <c r="E2198" s="1"/>
      <c r="F2198" s="4"/>
      <c r="G2198" s="4"/>
      <c r="H2198" s="9"/>
      <c r="I2198" s="4"/>
      <c r="J2198" s="4"/>
      <c r="K2198" s="1"/>
      <c r="L2198" s="6"/>
      <c r="M2198" s="4"/>
      <c r="N2198" s="12">
        <v>2022</v>
      </c>
      <c r="O2198" s="1"/>
      <c r="P2198" s="1"/>
      <c r="Q2198" s="13" t="s">
        <v>10814</v>
      </c>
      <c r="R2198" s="12" t="s">
        <v>1010</v>
      </c>
    </row>
    <row r="2199" spans="1:18" x14ac:dyDescent="0.25">
      <c r="A2199" s="29" t="s">
        <v>136</v>
      </c>
      <c r="B2199" s="29" t="s">
        <v>1008</v>
      </c>
      <c r="C2199" s="29" t="s">
        <v>10817</v>
      </c>
      <c r="D2199" s="4"/>
      <c r="E2199" s="1"/>
      <c r="F2199" s="4"/>
      <c r="G2199" s="4"/>
      <c r="H2199" s="9"/>
      <c r="I2199" s="4"/>
      <c r="J2199" s="4"/>
      <c r="K2199" s="1"/>
      <c r="L2199" s="6"/>
      <c r="M2199" s="4"/>
      <c r="N2199" s="12">
        <v>2022</v>
      </c>
      <c r="O2199" s="1"/>
      <c r="P2199" s="1"/>
      <c r="Q2199" s="13" t="s">
        <v>10818</v>
      </c>
      <c r="R2199" s="12" t="s">
        <v>10816</v>
      </c>
    </row>
    <row r="2200" spans="1:18" x14ac:dyDescent="0.25">
      <c r="A2200" s="15"/>
      <c r="B2200" s="29" t="s">
        <v>10815</v>
      </c>
      <c r="C2200" s="29" t="s">
        <v>10821</v>
      </c>
      <c r="D2200" s="4"/>
      <c r="E2200" s="1"/>
      <c r="F2200" s="4"/>
      <c r="G2200" s="4"/>
      <c r="H2200" s="9"/>
      <c r="I2200" s="4"/>
      <c r="J2200" s="4"/>
      <c r="K2200" s="1"/>
      <c r="L2200" s="6"/>
      <c r="M2200" s="4"/>
      <c r="N2200" s="12">
        <v>2021</v>
      </c>
      <c r="O2200" s="1"/>
      <c r="P2200" s="1"/>
      <c r="Q2200" s="13" t="s">
        <v>10822</v>
      </c>
      <c r="R2200" s="12" t="s">
        <v>10820</v>
      </c>
    </row>
    <row r="2201" spans="1:18" x14ac:dyDescent="0.25">
      <c r="A2201" s="29" t="s">
        <v>9722</v>
      </c>
      <c r="B2201" s="29" t="s">
        <v>10819</v>
      </c>
      <c r="C2201" s="29" t="s">
        <v>10826</v>
      </c>
      <c r="D2201" s="4"/>
      <c r="E2201" s="1"/>
      <c r="F2201" s="4"/>
      <c r="G2201" s="4"/>
      <c r="H2201" s="9"/>
      <c r="I2201" s="4"/>
      <c r="J2201" s="4"/>
      <c r="K2201" s="1"/>
      <c r="L2201" s="6"/>
      <c r="M2201" s="4"/>
      <c r="N2201" s="12">
        <v>2014</v>
      </c>
      <c r="O2201" s="1"/>
      <c r="P2201" s="1"/>
      <c r="Q2201" s="13" t="s">
        <v>10827</v>
      </c>
      <c r="R2201" s="12" t="s">
        <v>10825</v>
      </c>
    </row>
    <row r="2202" spans="1:18" x14ac:dyDescent="0.25">
      <c r="A2202" s="29" t="s">
        <v>10823</v>
      </c>
      <c r="B2202" s="29" t="s">
        <v>10824</v>
      </c>
      <c r="C2202" s="29" t="s">
        <v>10830</v>
      </c>
      <c r="D2202" s="4"/>
      <c r="E2202" s="1"/>
      <c r="F2202" s="4"/>
      <c r="G2202" s="4"/>
      <c r="H2202" s="9"/>
      <c r="I2202" s="4"/>
      <c r="J2202" s="4"/>
      <c r="K2202" s="1"/>
      <c r="L2202" s="6"/>
      <c r="M2202" s="4"/>
      <c r="N2202" s="12">
        <v>2022</v>
      </c>
      <c r="O2202" s="1"/>
      <c r="P2202" s="1"/>
      <c r="Q2202" s="13" t="s">
        <v>10831</v>
      </c>
      <c r="R2202" s="12" t="s">
        <v>10829</v>
      </c>
    </row>
    <row r="2203" spans="1:18" x14ac:dyDescent="0.25">
      <c r="A2203" s="15"/>
      <c r="B2203" s="29" t="s">
        <v>10828</v>
      </c>
      <c r="C2203" s="29" t="s">
        <v>10162</v>
      </c>
      <c r="D2203" s="4"/>
      <c r="E2203" s="1"/>
      <c r="F2203" s="4"/>
      <c r="G2203" s="4"/>
      <c r="H2203" s="9"/>
      <c r="I2203" s="4"/>
      <c r="J2203" s="4"/>
      <c r="K2203" s="1"/>
      <c r="L2203" s="6"/>
      <c r="M2203" s="4"/>
      <c r="N2203" s="12">
        <v>2021</v>
      </c>
      <c r="O2203" s="1"/>
      <c r="P2203" s="1"/>
      <c r="Q2203" s="13" t="s">
        <v>10834</v>
      </c>
      <c r="R2203" s="12" t="s">
        <v>10833</v>
      </c>
    </row>
    <row r="2204" spans="1:18" x14ac:dyDescent="0.25">
      <c r="A2204" s="29" t="s">
        <v>10160</v>
      </c>
      <c r="B2204" s="29" t="s">
        <v>10832</v>
      </c>
      <c r="C2204" s="29" t="s">
        <v>10837</v>
      </c>
      <c r="D2204" s="4"/>
      <c r="E2204" s="1"/>
      <c r="F2204" s="4"/>
      <c r="G2204" s="4"/>
      <c r="H2204" s="9"/>
      <c r="I2204" s="4"/>
      <c r="J2204" s="4"/>
      <c r="K2204" s="1"/>
      <c r="L2204" s="6"/>
      <c r="M2204" s="4"/>
      <c r="N2204" s="12">
        <v>2022</v>
      </c>
      <c r="O2204" s="1"/>
      <c r="P2204" s="1"/>
      <c r="Q2204" s="13" t="s">
        <v>10838</v>
      </c>
      <c r="R2204" s="12" t="s">
        <v>10836</v>
      </c>
    </row>
    <row r="2205" spans="1:18" x14ac:dyDescent="0.25">
      <c r="A2205" s="29" t="s">
        <v>10081</v>
      </c>
      <c r="B2205" s="29" t="s">
        <v>10835</v>
      </c>
      <c r="C2205" s="29" t="s">
        <v>10841</v>
      </c>
      <c r="D2205" s="4"/>
      <c r="E2205" s="1"/>
      <c r="F2205" s="4"/>
      <c r="G2205" s="4"/>
      <c r="H2205" s="9"/>
      <c r="I2205" s="4"/>
      <c r="J2205" s="4"/>
      <c r="K2205" s="1"/>
      <c r="L2205" s="6"/>
      <c r="M2205" s="4"/>
      <c r="N2205" s="12">
        <v>2018</v>
      </c>
      <c r="O2205" s="1"/>
      <c r="P2205" s="1"/>
      <c r="Q2205" s="13" t="s">
        <v>10842</v>
      </c>
      <c r="R2205" s="12" t="s">
        <v>10840</v>
      </c>
    </row>
    <row r="2206" spans="1:18" x14ac:dyDescent="0.25">
      <c r="A2206" s="29" t="s">
        <v>10544</v>
      </c>
      <c r="B2206" s="29" t="s">
        <v>10839</v>
      </c>
      <c r="C2206" s="29" t="s">
        <v>10845</v>
      </c>
      <c r="D2206" s="4"/>
      <c r="E2206" s="1"/>
      <c r="F2206" s="4"/>
      <c r="G2206" s="4"/>
      <c r="H2206" s="9"/>
      <c r="I2206" s="4"/>
      <c r="J2206" s="4"/>
      <c r="K2206" s="1"/>
      <c r="L2206" s="6"/>
      <c r="M2206" s="4"/>
      <c r="N2206" s="12">
        <v>2017</v>
      </c>
      <c r="O2206" s="1"/>
      <c r="P2206" s="1"/>
      <c r="Q2206" s="13" t="s">
        <v>10846</v>
      </c>
      <c r="R2206" s="12" t="s">
        <v>10844</v>
      </c>
    </row>
    <row r="2207" spans="1:18" x14ac:dyDescent="0.25">
      <c r="A2207" s="29" t="s">
        <v>9519</v>
      </c>
      <c r="B2207" s="29" t="s">
        <v>10843</v>
      </c>
      <c r="C2207" s="29" t="s">
        <v>10850</v>
      </c>
      <c r="D2207" s="4"/>
      <c r="E2207" s="1"/>
      <c r="F2207" s="4"/>
      <c r="G2207" s="4"/>
      <c r="H2207" s="9"/>
      <c r="I2207" s="4"/>
      <c r="J2207" s="4"/>
      <c r="K2207" s="1"/>
      <c r="L2207" s="6"/>
      <c r="M2207" s="4"/>
      <c r="N2207" s="12">
        <v>2020</v>
      </c>
      <c r="O2207" s="1"/>
      <c r="P2207" s="1"/>
      <c r="Q2207" s="13" t="s">
        <v>10851</v>
      </c>
      <c r="R2207" s="12" t="s">
        <v>10849</v>
      </c>
    </row>
    <row r="2208" spans="1:18" x14ac:dyDescent="0.25">
      <c r="A2208" s="29" t="s">
        <v>10847</v>
      </c>
      <c r="B2208" s="29" t="s">
        <v>10848</v>
      </c>
      <c r="C2208" s="29" t="s">
        <v>10854</v>
      </c>
      <c r="D2208" s="4"/>
      <c r="E2208" s="1"/>
      <c r="F2208" s="4"/>
      <c r="G2208" s="4"/>
      <c r="H2208" s="9"/>
      <c r="I2208" s="4"/>
      <c r="J2208" s="4"/>
      <c r="K2208" s="1"/>
      <c r="L2208" s="6"/>
      <c r="M2208" s="4"/>
      <c r="N2208" s="12">
        <v>2021</v>
      </c>
      <c r="O2208" s="1"/>
      <c r="P2208" s="1"/>
      <c r="Q2208" s="13" t="s">
        <v>10855</v>
      </c>
      <c r="R2208" s="12" t="s">
        <v>10853</v>
      </c>
    </row>
    <row r="2209" spans="1:18" x14ac:dyDescent="0.25">
      <c r="A2209" s="29" t="s">
        <v>10138</v>
      </c>
      <c r="B2209" s="29" t="s">
        <v>10852</v>
      </c>
      <c r="C2209" s="29" t="s">
        <v>10858</v>
      </c>
      <c r="D2209" s="4"/>
      <c r="E2209" s="1"/>
      <c r="F2209" s="4"/>
      <c r="G2209" s="4"/>
      <c r="H2209" s="9"/>
      <c r="I2209" s="4"/>
      <c r="J2209" s="4"/>
      <c r="K2209" s="1"/>
      <c r="L2209" s="6"/>
      <c r="M2209" s="4"/>
      <c r="N2209" s="12">
        <v>2021</v>
      </c>
      <c r="O2209" s="1"/>
      <c r="P2209" s="1"/>
      <c r="Q2209" s="13" t="s">
        <v>10859</v>
      </c>
      <c r="R2209" s="12" t="s">
        <v>10857</v>
      </c>
    </row>
    <row r="2210" spans="1:18" x14ac:dyDescent="0.25">
      <c r="A2210" s="29" t="s">
        <v>9512</v>
      </c>
      <c r="B2210" s="29" t="s">
        <v>10856</v>
      </c>
      <c r="C2210" s="29" t="s">
        <v>10862</v>
      </c>
      <c r="D2210" s="4"/>
      <c r="E2210" s="1"/>
      <c r="F2210" s="4"/>
      <c r="G2210" s="4"/>
      <c r="H2210" s="9"/>
      <c r="I2210" s="4"/>
      <c r="J2210" s="4"/>
      <c r="K2210" s="1"/>
      <c r="L2210" s="6"/>
      <c r="M2210" s="4"/>
      <c r="N2210" s="12">
        <v>2020</v>
      </c>
      <c r="O2210" s="1"/>
      <c r="P2210" s="1"/>
      <c r="Q2210" s="13" t="s">
        <v>10863</v>
      </c>
      <c r="R2210" s="12" t="s">
        <v>10861</v>
      </c>
    </row>
    <row r="2211" spans="1:18" x14ac:dyDescent="0.25">
      <c r="A2211" s="29" t="s">
        <v>9782</v>
      </c>
      <c r="B2211" s="29" t="s">
        <v>10860</v>
      </c>
      <c r="C2211" s="29" t="s">
        <v>9397</v>
      </c>
      <c r="D2211" s="4"/>
      <c r="E2211" s="1"/>
      <c r="F2211" s="4"/>
      <c r="G2211" s="4"/>
      <c r="H2211" s="9"/>
      <c r="I2211" s="4"/>
      <c r="J2211" s="4"/>
      <c r="K2211" s="1"/>
      <c r="L2211" s="6"/>
      <c r="M2211" s="4"/>
      <c r="N2211" s="12">
        <v>2022</v>
      </c>
      <c r="O2211" s="1"/>
      <c r="P2211" s="1"/>
      <c r="Q2211" s="13" t="s">
        <v>10866</v>
      </c>
      <c r="R2211" s="12" t="s">
        <v>10865</v>
      </c>
    </row>
    <row r="2212" spans="1:18" x14ac:dyDescent="0.25">
      <c r="A2212" s="29" t="s">
        <v>9395</v>
      </c>
      <c r="B2212" s="29" t="s">
        <v>10864</v>
      </c>
      <c r="C2212" s="29" t="s">
        <v>10869</v>
      </c>
      <c r="D2212" s="4"/>
      <c r="E2212" s="1"/>
      <c r="F2212" s="4"/>
      <c r="G2212" s="4"/>
      <c r="H2212" s="9"/>
      <c r="I2212" s="4"/>
      <c r="J2212" s="4"/>
      <c r="K2212" s="1"/>
      <c r="L2212" s="6"/>
      <c r="M2212" s="4"/>
      <c r="N2212" s="12">
        <v>2022</v>
      </c>
      <c r="O2212" s="1"/>
      <c r="P2212" s="1"/>
      <c r="Q2212" s="13" t="s">
        <v>10870</v>
      </c>
      <c r="R2212" s="12" t="s">
        <v>10868</v>
      </c>
    </row>
    <row r="2213" spans="1:18" x14ac:dyDescent="0.25">
      <c r="A2213" s="29" t="s">
        <v>407</v>
      </c>
      <c r="B2213" s="29" t="s">
        <v>10867</v>
      </c>
      <c r="C2213" s="29" t="s">
        <v>10873</v>
      </c>
      <c r="D2213" s="4"/>
      <c r="E2213" s="1"/>
      <c r="F2213" s="4"/>
      <c r="G2213" s="4"/>
      <c r="H2213" s="9"/>
      <c r="I2213" s="4"/>
      <c r="J2213" s="4"/>
      <c r="K2213" s="1"/>
      <c r="L2213" s="6"/>
      <c r="M2213" s="4"/>
      <c r="N2213" s="12">
        <v>2015</v>
      </c>
      <c r="O2213" s="1"/>
      <c r="P2213" s="1"/>
      <c r="Q2213" s="13" t="s">
        <v>10874</v>
      </c>
      <c r="R2213" s="12" t="s">
        <v>10872</v>
      </c>
    </row>
    <row r="2214" spans="1:18" x14ac:dyDescent="0.25">
      <c r="A2214" s="29" t="s">
        <v>691</v>
      </c>
      <c r="B2214" s="29" t="s">
        <v>10871</v>
      </c>
      <c r="C2214" s="29" t="s">
        <v>10878</v>
      </c>
      <c r="D2214" s="4"/>
      <c r="E2214" s="1"/>
      <c r="F2214" s="4"/>
      <c r="G2214" s="4"/>
      <c r="H2214" s="9"/>
      <c r="I2214" s="4"/>
      <c r="J2214" s="4"/>
      <c r="K2214" s="1"/>
      <c r="L2214" s="6"/>
      <c r="M2214" s="4"/>
      <c r="N2214" s="12">
        <v>2012</v>
      </c>
      <c r="O2214" s="1"/>
      <c r="P2214" s="1"/>
      <c r="Q2214" s="13" t="s">
        <v>10879</v>
      </c>
      <c r="R2214" s="12" t="s">
        <v>10877</v>
      </c>
    </row>
    <row r="2215" spans="1:18" x14ac:dyDescent="0.25">
      <c r="A2215" s="29" t="s">
        <v>10875</v>
      </c>
      <c r="B2215" s="29" t="s">
        <v>10876</v>
      </c>
      <c r="C2215" s="29" t="s">
        <v>10883</v>
      </c>
      <c r="D2215" s="4"/>
      <c r="E2215" s="1"/>
      <c r="F2215" s="4"/>
      <c r="G2215" s="4"/>
      <c r="H2215" s="9"/>
      <c r="I2215" s="4"/>
      <c r="J2215" s="4"/>
      <c r="K2215" s="1"/>
      <c r="L2215" s="6"/>
      <c r="M2215" s="4"/>
      <c r="N2215" s="12">
        <v>2019</v>
      </c>
      <c r="O2215" s="1"/>
      <c r="P2215" s="1"/>
      <c r="Q2215" s="13" t="s">
        <v>10884</v>
      </c>
      <c r="R2215" s="12" t="s">
        <v>10882</v>
      </c>
    </row>
    <row r="2216" spans="1:18" x14ac:dyDescent="0.25">
      <c r="A2216" s="29" t="s">
        <v>10880</v>
      </c>
      <c r="B2216" s="29" t="s">
        <v>10881</v>
      </c>
      <c r="C2216" s="29" t="s">
        <v>10008</v>
      </c>
      <c r="D2216" s="4"/>
      <c r="E2216" s="1"/>
      <c r="F2216" s="4"/>
      <c r="G2216" s="4"/>
      <c r="H2216" s="9"/>
      <c r="I2216" s="4"/>
      <c r="J2216" s="4"/>
      <c r="K2216" s="1"/>
      <c r="L2216" s="6"/>
      <c r="M2216" s="4"/>
      <c r="N2216" s="12">
        <v>2019</v>
      </c>
      <c r="O2216" s="1"/>
      <c r="P2216" s="1"/>
      <c r="Q2216" s="13" t="s">
        <v>10888</v>
      </c>
      <c r="R2216" s="12" t="s">
        <v>10887</v>
      </c>
    </row>
    <row r="2217" spans="1:18" x14ac:dyDescent="0.25">
      <c r="A2217" s="29" t="s">
        <v>10885</v>
      </c>
      <c r="B2217" s="29" t="s">
        <v>10886</v>
      </c>
      <c r="C2217" s="29" t="s">
        <v>10891</v>
      </c>
      <c r="D2217" s="4"/>
      <c r="E2217" s="1"/>
      <c r="F2217" s="4"/>
      <c r="G2217" s="4"/>
      <c r="H2217" s="9"/>
      <c r="I2217" s="4"/>
      <c r="J2217" s="4"/>
      <c r="K2217" s="1"/>
      <c r="L2217" s="6"/>
      <c r="M2217" s="4"/>
      <c r="N2217" s="12">
        <v>2020</v>
      </c>
      <c r="O2217" s="1"/>
      <c r="P2217" s="1"/>
      <c r="Q2217" s="13" t="s">
        <v>10892</v>
      </c>
      <c r="R2217" s="12" t="s">
        <v>10890</v>
      </c>
    </row>
    <row r="2218" spans="1:18" x14ac:dyDescent="0.25">
      <c r="A2218" s="29" t="s">
        <v>9481</v>
      </c>
      <c r="B2218" s="29" t="s">
        <v>10889</v>
      </c>
      <c r="C2218" s="29" t="s">
        <v>10896</v>
      </c>
      <c r="D2218" s="4"/>
      <c r="E2218" s="1"/>
      <c r="F2218" s="4"/>
      <c r="G2218" s="4"/>
      <c r="H2218" s="9"/>
      <c r="I2218" s="4"/>
      <c r="J2218" s="4"/>
      <c r="K2218" s="1"/>
      <c r="L2218" s="6"/>
      <c r="M2218" s="4"/>
      <c r="N2218" s="12">
        <v>2015</v>
      </c>
      <c r="O2218" s="1"/>
      <c r="P2218" s="1"/>
      <c r="Q2218" s="13" t="s">
        <v>10897</v>
      </c>
      <c r="R2218" s="12" t="s">
        <v>10895</v>
      </c>
    </row>
    <row r="2219" spans="1:18" x14ac:dyDescent="0.25">
      <c r="A2219" s="29" t="s">
        <v>10893</v>
      </c>
      <c r="B2219" s="29" t="s">
        <v>10894</v>
      </c>
      <c r="C2219" s="29" t="s">
        <v>10900</v>
      </c>
      <c r="D2219" s="4"/>
      <c r="E2219" s="1"/>
      <c r="F2219" s="4"/>
      <c r="G2219" s="4"/>
      <c r="H2219" s="9"/>
      <c r="I2219" s="4"/>
      <c r="J2219" s="4"/>
      <c r="K2219" s="1"/>
      <c r="L2219" s="6"/>
      <c r="M2219" s="4"/>
      <c r="N2219" s="12">
        <v>2022</v>
      </c>
      <c r="O2219" s="1"/>
      <c r="P2219" s="1"/>
      <c r="Q2219" s="13" t="s">
        <v>10901</v>
      </c>
      <c r="R2219" s="12" t="s">
        <v>10899</v>
      </c>
    </row>
    <row r="2220" spans="1:18" x14ac:dyDescent="0.25">
      <c r="A2220" s="15"/>
      <c r="B2220" s="29" t="s">
        <v>10898</v>
      </c>
      <c r="C2220" s="29" t="s">
        <v>10905</v>
      </c>
      <c r="D2220" s="4"/>
      <c r="E2220" s="1"/>
      <c r="F2220" s="4"/>
      <c r="G2220" s="4"/>
      <c r="H2220" s="9"/>
      <c r="I2220" s="4"/>
      <c r="J2220" s="4"/>
      <c r="K2220" s="1"/>
      <c r="L2220" s="6"/>
      <c r="M2220" s="4"/>
      <c r="N2220" s="12">
        <v>2019</v>
      </c>
      <c r="O2220" s="1"/>
      <c r="P2220" s="1"/>
      <c r="Q2220" s="13" t="s">
        <v>10906</v>
      </c>
      <c r="R2220" s="12" t="s">
        <v>10904</v>
      </c>
    </row>
    <row r="2221" spans="1:18" x14ac:dyDescent="0.25">
      <c r="A2221" s="29" t="s">
        <v>10902</v>
      </c>
      <c r="B2221" s="29" t="s">
        <v>10903</v>
      </c>
      <c r="C2221" s="29" t="s">
        <v>10909</v>
      </c>
      <c r="D2221" s="4"/>
      <c r="E2221" s="1"/>
      <c r="F2221" s="4"/>
      <c r="G2221" s="4"/>
      <c r="H2221" s="9"/>
      <c r="I2221" s="4"/>
      <c r="J2221" s="4"/>
      <c r="K2221" s="1"/>
      <c r="L2221" s="6"/>
      <c r="M2221" s="4"/>
      <c r="N2221" s="12">
        <v>2021</v>
      </c>
      <c r="O2221" s="1"/>
      <c r="P2221" s="1"/>
      <c r="Q2221" s="13" t="s">
        <v>10910</v>
      </c>
      <c r="R2221" s="12" t="s">
        <v>10908</v>
      </c>
    </row>
    <row r="2222" spans="1:18" x14ac:dyDescent="0.25">
      <c r="A2222" s="15"/>
      <c r="B2222" s="29" t="s">
        <v>10907</v>
      </c>
      <c r="C2222" s="29" t="s">
        <v>10913</v>
      </c>
      <c r="D2222" s="4"/>
      <c r="E2222" s="1"/>
      <c r="F2222" s="4"/>
      <c r="G2222" s="4"/>
      <c r="H2222" s="9"/>
      <c r="I2222" s="4"/>
      <c r="J2222" s="4"/>
      <c r="K2222" s="1"/>
      <c r="L2222" s="6"/>
      <c r="M2222" s="4"/>
      <c r="N2222" s="12">
        <v>2022</v>
      </c>
      <c r="O2222" s="1"/>
      <c r="P2222" s="1"/>
      <c r="Q2222" s="13" t="s">
        <v>10914</v>
      </c>
      <c r="R2222" s="12" t="s">
        <v>10912</v>
      </c>
    </row>
    <row r="2223" spans="1:18" x14ac:dyDescent="0.25">
      <c r="A2223" s="29" t="s">
        <v>9481</v>
      </c>
      <c r="B2223" s="29" t="s">
        <v>10911</v>
      </c>
      <c r="C2223" s="29" t="s">
        <v>10917</v>
      </c>
      <c r="D2223" s="4"/>
      <c r="E2223" s="1"/>
      <c r="F2223" s="4"/>
      <c r="G2223" s="4"/>
      <c r="H2223" s="9"/>
      <c r="I2223" s="4"/>
      <c r="J2223" s="4"/>
      <c r="K2223" s="1"/>
      <c r="L2223" s="6"/>
      <c r="M2223" s="4"/>
      <c r="N2223" s="12">
        <v>2018</v>
      </c>
      <c r="O2223" s="1"/>
      <c r="P2223" s="1"/>
      <c r="Q2223" s="13" t="s">
        <v>10918</v>
      </c>
      <c r="R2223" s="12" t="s">
        <v>10916</v>
      </c>
    </row>
    <row r="2224" spans="1:18" x14ac:dyDescent="0.25">
      <c r="A2224" s="29" t="s">
        <v>9481</v>
      </c>
      <c r="B2224" s="29" t="s">
        <v>10915</v>
      </c>
      <c r="C2224" s="29" t="s">
        <v>10921</v>
      </c>
      <c r="D2224" s="4"/>
      <c r="E2224" s="1"/>
      <c r="F2224" s="4"/>
      <c r="G2224" s="4"/>
      <c r="H2224" s="9"/>
      <c r="I2224" s="4"/>
      <c r="J2224" s="4"/>
      <c r="K2224" s="1"/>
      <c r="L2224" s="6"/>
      <c r="M2224" s="4"/>
      <c r="N2224" s="12">
        <v>2020</v>
      </c>
      <c r="O2224" s="1"/>
      <c r="P2224" s="1"/>
      <c r="Q2224" s="13" t="s">
        <v>10922</v>
      </c>
      <c r="R2224" s="12" t="s">
        <v>10920</v>
      </c>
    </row>
    <row r="2225" spans="1:18" x14ac:dyDescent="0.25">
      <c r="A2225" s="29" t="s">
        <v>9335</v>
      </c>
      <c r="B2225" s="29" t="s">
        <v>10919</v>
      </c>
      <c r="C2225" s="29" t="s">
        <v>10925</v>
      </c>
      <c r="D2225" s="4"/>
      <c r="E2225" s="1"/>
      <c r="F2225" s="4"/>
      <c r="G2225" s="4"/>
      <c r="H2225" s="9"/>
      <c r="I2225" s="4"/>
      <c r="J2225" s="4"/>
      <c r="K2225" s="1"/>
      <c r="L2225" s="6"/>
      <c r="M2225" s="4"/>
      <c r="N2225" s="12">
        <v>2021</v>
      </c>
      <c r="O2225" s="1"/>
      <c r="P2225" s="1"/>
      <c r="Q2225" s="13" t="s">
        <v>10926</v>
      </c>
      <c r="R2225" s="12" t="s">
        <v>10924</v>
      </c>
    </row>
    <row r="2226" spans="1:18" x14ac:dyDescent="0.25">
      <c r="A2226" s="15"/>
      <c r="B2226" s="29" t="s">
        <v>10923</v>
      </c>
      <c r="C2226" s="29" t="s">
        <v>10929</v>
      </c>
      <c r="D2226" s="4"/>
      <c r="E2226" s="1"/>
      <c r="F2226" s="4"/>
      <c r="G2226" s="4"/>
      <c r="H2226" s="9"/>
      <c r="I2226" s="4"/>
      <c r="J2226" s="4"/>
      <c r="K2226" s="1"/>
      <c r="L2226" s="6"/>
      <c r="M2226" s="4"/>
      <c r="N2226" s="12">
        <v>2022</v>
      </c>
      <c r="O2226" s="1"/>
      <c r="P2226" s="1"/>
      <c r="Q2226" s="13" t="s">
        <v>10930</v>
      </c>
      <c r="R2226" s="12" t="s">
        <v>10928</v>
      </c>
    </row>
    <row r="2227" spans="1:18" x14ac:dyDescent="0.25">
      <c r="A2227" s="29" t="s">
        <v>9624</v>
      </c>
      <c r="B2227" s="29" t="s">
        <v>10927</v>
      </c>
      <c r="C2227" s="29" t="s">
        <v>10933</v>
      </c>
      <c r="D2227" s="4"/>
      <c r="E2227" s="1"/>
      <c r="F2227" s="4"/>
      <c r="G2227" s="4"/>
      <c r="H2227" s="9"/>
      <c r="I2227" s="4"/>
      <c r="J2227" s="4"/>
      <c r="K2227" s="1"/>
      <c r="L2227" s="6"/>
      <c r="M2227" s="4"/>
      <c r="N2227" s="12">
        <v>2022</v>
      </c>
      <c r="O2227" s="1"/>
      <c r="P2227" s="1"/>
      <c r="Q2227" s="13" t="s">
        <v>10934</v>
      </c>
      <c r="R2227" s="12" t="s">
        <v>10932</v>
      </c>
    </row>
    <row r="2228" spans="1:18" x14ac:dyDescent="0.25">
      <c r="A2228" s="29" t="s">
        <v>10535</v>
      </c>
      <c r="B2228" s="29" t="s">
        <v>10931</v>
      </c>
      <c r="C2228" s="29" t="s">
        <v>10938</v>
      </c>
      <c r="D2228" s="4"/>
      <c r="E2228" s="1"/>
      <c r="F2228" s="4"/>
      <c r="G2228" s="4"/>
      <c r="H2228" s="9"/>
      <c r="I2228" s="4"/>
      <c r="J2228" s="4"/>
      <c r="K2228" s="1"/>
      <c r="L2228" s="6"/>
      <c r="M2228" s="4"/>
      <c r="N2228" s="12">
        <v>2019</v>
      </c>
      <c r="O2228" s="1"/>
      <c r="P2228" s="1"/>
      <c r="Q2228" s="13" t="s">
        <v>10939</v>
      </c>
      <c r="R2228" s="12" t="s">
        <v>10937</v>
      </c>
    </row>
    <row r="2229" spans="1:18" x14ac:dyDescent="0.25">
      <c r="A2229" s="29" t="s">
        <v>10935</v>
      </c>
      <c r="B2229" s="29" t="s">
        <v>10936</v>
      </c>
      <c r="C2229" s="29" t="s">
        <v>10943</v>
      </c>
      <c r="D2229" s="4"/>
      <c r="E2229" s="1"/>
      <c r="F2229" s="4"/>
      <c r="G2229" s="4"/>
      <c r="H2229" s="9"/>
      <c r="I2229" s="4"/>
      <c r="J2229" s="4"/>
      <c r="K2229" s="1"/>
      <c r="L2229" s="6"/>
      <c r="M2229" s="4"/>
      <c r="N2229" s="12">
        <v>2019</v>
      </c>
      <c r="O2229" s="1"/>
      <c r="P2229" s="1"/>
      <c r="Q2229" s="13" t="s">
        <v>10944</v>
      </c>
      <c r="R2229" s="12" t="s">
        <v>10942</v>
      </c>
    </row>
    <row r="2230" spans="1:18" x14ac:dyDescent="0.25">
      <c r="A2230" s="29" t="s">
        <v>10940</v>
      </c>
      <c r="B2230" s="29" t="s">
        <v>10941</v>
      </c>
      <c r="C2230" s="29" t="s">
        <v>10352</v>
      </c>
      <c r="D2230" s="4"/>
      <c r="E2230" s="1"/>
      <c r="F2230" s="4"/>
      <c r="G2230" s="4"/>
      <c r="H2230" s="9"/>
      <c r="I2230" s="4"/>
      <c r="J2230" s="4"/>
      <c r="K2230" s="1"/>
      <c r="L2230" s="6"/>
      <c r="M2230" s="4"/>
      <c r="N2230" s="12">
        <v>2019</v>
      </c>
      <c r="O2230" s="1"/>
      <c r="P2230" s="1"/>
      <c r="Q2230" s="13" t="s">
        <v>10947</v>
      </c>
      <c r="R2230" s="12" t="s">
        <v>10946</v>
      </c>
    </row>
    <row r="2231" spans="1:18" x14ac:dyDescent="0.25">
      <c r="A2231" s="29" t="s">
        <v>10350</v>
      </c>
      <c r="B2231" s="29" t="s">
        <v>10945</v>
      </c>
      <c r="C2231" s="29" t="s">
        <v>10950</v>
      </c>
      <c r="D2231" s="4"/>
      <c r="E2231" s="1"/>
      <c r="F2231" s="4"/>
      <c r="G2231" s="4"/>
      <c r="H2231" s="9"/>
      <c r="I2231" s="4"/>
      <c r="J2231" s="4"/>
      <c r="K2231" s="1"/>
      <c r="L2231" s="6"/>
      <c r="M2231" s="4"/>
      <c r="N2231" s="12">
        <v>2021</v>
      </c>
      <c r="O2231" s="1"/>
      <c r="P2231" s="1"/>
      <c r="Q2231" s="13" t="s">
        <v>10951</v>
      </c>
      <c r="R2231" s="12" t="s">
        <v>10949</v>
      </c>
    </row>
    <row r="2232" spans="1:18" x14ac:dyDescent="0.25">
      <c r="A2232" s="29" t="s">
        <v>9737</v>
      </c>
      <c r="B2232" s="29" t="s">
        <v>10948</v>
      </c>
      <c r="C2232" s="29" t="s">
        <v>10954</v>
      </c>
      <c r="D2232" s="4"/>
      <c r="E2232" s="1"/>
      <c r="F2232" s="4"/>
      <c r="G2232" s="4"/>
      <c r="H2232" s="9"/>
      <c r="I2232" s="4"/>
      <c r="J2232" s="4"/>
      <c r="K2232" s="1"/>
      <c r="L2232" s="6"/>
      <c r="M2232" s="4"/>
      <c r="N2232" s="12">
        <v>2021</v>
      </c>
      <c r="O2232" s="1"/>
      <c r="P2232" s="1"/>
      <c r="Q2232" s="13" t="s">
        <v>10955</v>
      </c>
      <c r="R2232" s="12" t="s">
        <v>10953</v>
      </c>
    </row>
    <row r="2233" spans="1:18" x14ac:dyDescent="0.25">
      <c r="A2233" s="29" t="s">
        <v>9637</v>
      </c>
      <c r="B2233" s="29" t="s">
        <v>10952</v>
      </c>
      <c r="C2233" s="29" t="s">
        <v>10736</v>
      </c>
      <c r="D2233" s="4"/>
      <c r="E2233" s="1"/>
      <c r="F2233" s="4"/>
      <c r="G2233" s="4"/>
      <c r="H2233" s="9"/>
      <c r="I2233" s="4"/>
      <c r="J2233" s="4"/>
      <c r="K2233" s="1"/>
      <c r="L2233" s="6"/>
      <c r="M2233" s="4"/>
      <c r="N2233" s="12">
        <v>2018</v>
      </c>
      <c r="O2233" s="1"/>
      <c r="P2233" s="1"/>
      <c r="Q2233" s="13" t="s">
        <v>10958</v>
      </c>
      <c r="R2233" s="12" t="s">
        <v>10957</v>
      </c>
    </row>
    <row r="2234" spans="1:18" x14ac:dyDescent="0.25">
      <c r="A2234" s="29" t="s">
        <v>10733</v>
      </c>
      <c r="B2234" s="29" t="s">
        <v>10956</v>
      </c>
      <c r="C2234" s="29" t="s">
        <v>10961</v>
      </c>
      <c r="D2234" s="4"/>
      <c r="E2234" s="1"/>
      <c r="F2234" s="4"/>
      <c r="G2234" s="4"/>
      <c r="H2234" s="9"/>
      <c r="I2234" s="4"/>
      <c r="J2234" s="4"/>
      <c r="K2234" s="1"/>
      <c r="L2234" s="6"/>
      <c r="M2234" s="4"/>
      <c r="N2234" s="12">
        <v>2021</v>
      </c>
      <c r="O2234" s="1"/>
      <c r="P2234" s="1"/>
      <c r="Q2234" s="13" t="s">
        <v>10962</v>
      </c>
      <c r="R2234" s="12" t="s">
        <v>10960</v>
      </c>
    </row>
    <row r="2235" spans="1:18" x14ac:dyDescent="0.25">
      <c r="A2235" s="29" t="s">
        <v>9592</v>
      </c>
      <c r="B2235" s="29" t="s">
        <v>10959</v>
      </c>
      <c r="C2235" s="29" t="s">
        <v>10966</v>
      </c>
      <c r="D2235" s="4"/>
      <c r="E2235" s="1"/>
      <c r="F2235" s="4"/>
      <c r="G2235" s="4"/>
      <c r="H2235" s="9"/>
      <c r="I2235" s="4"/>
      <c r="J2235" s="4"/>
      <c r="K2235" s="1"/>
      <c r="L2235" s="6"/>
      <c r="M2235" s="4"/>
      <c r="N2235" s="12">
        <v>2016</v>
      </c>
      <c r="O2235" s="1"/>
      <c r="P2235" s="1"/>
      <c r="Q2235" s="13" t="s">
        <v>10967</v>
      </c>
      <c r="R2235" s="12" t="s">
        <v>10965</v>
      </c>
    </row>
    <row r="2236" spans="1:18" x14ac:dyDescent="0.25">
      <c r="A2236" s="29" t="s">
        <v>10963</v>
      </c>
      <c r="B2236" s="29" t="s">
        <v>10964</v>
      </c>
      <c r="C2236" s="29" t="s">
        <v>10970</v>
      </c>
      <c r="D2236" s="4"/>
      <c r="E2236" s="1"/>
      <c r="F2236" s="4"/>
      <c r="G2236" s="4"/>
      <c r="H2236" s="9"/>
      <c r="I2236" s="4"/>
      <c r="J2236" s="4"/>
      <c r="K2236" s="1"/>
      <c r="L2236" s="6"/>
      <c r="M2236" s="4"/>
      <c r="N2236" s="12">
        <v>2021</v>
      </c>
      <c r="O2236" s="1"/>
      <c r="P2236" s="1"/>
      <c r="Q2236" s="13" t="s">
        <v>10971</v>
      </c>
      <c r="R2236" s="12" t="s">
        <v>10969</v>
      </c>
    </row>
    <row r="2237" spans="1:18" x14ac:dyDescent="0.25">
      <c r="A2237" s="29" t="s">
        <v>9331</v>
      </c>
      <c r="B2237" s="29" t="s">
        <v>10968</v>
      </c>
      <c r="C2237" s="29" t="s">
        <v>10974</v>
      </c>
      <c r="D2237" s="4"/>
      <c r="E2237" s="1"/>
      <c r="F2237" s="4"/>
      <c r="G2237" s="4"/>
      <c r="H2237" s="9"/>
      <c r="I2237" s="4"/>
      <c r="J2237" s="4"/>
      <c r="K2237" s="1"/>
      <c r="L2237" s="6"/>
      <c r="M2237" s="4"/>
      <c r="N2237" s="12">
        <v>2022</v>
      </c>
      <c r="O2237" s="1"/>
      <c r="P2237" s="1"/>
      <c r="Q2237" s="13" t="s">
        <v>10975</v>
      </c>
      <c r="R2237" s="12" t="s">
        <v>10973</v>
      </c>
    </row>
    <row r="2238" spans="1:18" x14ac:dyDescent="0.25">
      <c r="A2238" s="29" t="s">
        <v>2134</v>
      </c>
      <c r="B2238" s="29" t="s">
        <v>10972</v>
      </c>
      <c r="C2238" s="29" t="s">
        <v>9397</v>
      </c>
      <c r="D2238" s="4"/>
      <c r="E2238" s="1"/>
      <c r="F2238" s="4"/>
      <c r="G2238" s="4"/>
      <c r="H2238" s="9"/>
      <c r="I2238" s="4"/>
      <c r="J2238" s="4"/>
      <c r="K2238" s="1"/>
      <c r="L2238" s="6"/>
      <c r="M2238" s="4"/>
      <c r="N2238" s="12">
        <v>2022</v>
      </c>
      <c r="O2238" s="1"/>
      <c r="P2238" s="1"/>
      <c r="Q2238" s="13" t="s">
        <v>10978</v>
      </c>
      <c r="R2238" s="12" t="s">
        <v>10977</v>
      </c>
    </row>
    <row r="2239" spans="1:18" x14ac:dyDescent="0.25">
      <c r="A2239" s="29" t="s">
        <v>9395</v>
      </c>
      <c r="B2239" s="29" t="s">
        <v>10976</v>
      </c>
      <c r="C2239" s="29" t="s">
        <v>10982</v>
      </c>
      <c r="D2239" s="4"/>
      <c r="E2239" s="1"/>
      <c r="F2239" s="4"/>
      <c r="G2239" s="4"/>
      <c r="H2239" s="9"/>
      <c r="I2239" s="4"/>
      <c r="J2239" s="4"/>
      <c r="K2239" s="1"/>
      <c r="L2239" s="6"/>
      <c r="M2239" s="4"/>
      <c r="N2239" s="12">
        <v>2018</v>
      </c>
      <c r="O2239" s="1"/>
      <c r="P2239" s="1"/>
      <c r="Q2239" s="13" t="s">
        <v>10983</v>
      </c>
      <c r="R2239" s="12" t="s">
        <v>10981</v>
      </c>
    </row>
    <row r="2240" spans="1:18" x14ac:dyDescent="0.25">
      <c r="A2240" s="29" t="s">
        <v>10979</v>
      </c>
      <c r="B2240" s="29" t="s">
        <v>10980</v>
      </c>
      <c r="C2240" s="29" t="s">
        <v>10987</v>
      </c>
      <c r="D2240" s="4"/>
      <c r="E2240" s="1"/>
      <c r="F2240" s="4"/>
      <c r="G2240" s="4"/>
      <c r="H2240" s="9"/>
      <c r="I2240" s="4"/>
      <c r="J2240" s="4"/>
      <c r="K2240" s="1"/>
      <c r="L2240" s="6"/>
      <c r="M2240" s="4"/>
      <c r="N2240" s="12">
        <v>2019</v>
      </c>
      <c r="O2240" s="1"/>
      <c r="P2240" s="1"/>
      <c r="Q2240" s="13" t="s">
        <v>10988</v>
      </c>
      <c r="R2240" s="12" t="s">
        <v>10986</v>
      </c>
    </row>
    <row r="2241" spans="1:18" x14ac:dyDescent="0.25">
      <c r="A2241" s="29" t="s">
        <v>10984</v>
      </c>
      <c r="B2241" s="29" t="s">
        <v>10985</v>
      </c>
      <c r="C2241" s="29" t="s">
        <v>10992</v>
      </c>
      <c r="D2241" s="4"/>
      <c r="E2241" s="1"/>
      <c r="F2241" s="4"/>
      <c r="G2241" s="4"/>
      <c r="H2241" s="9"/>
      <c r="I2241" s="4"/>
      <c r="J2241" s="4"/>
      <c r="K2241" s="1"/>
      <c r="L2241" s="6"/>
      <c r="M2241" s="4"/>
      <c r="N2241" s="12">
        <v>2022</v>
      </c>
      <c r="O2241" s="1"/>
      <c r="P2241" s="1"/>
      <c r="Q2241" s="13" t="s">
        <v>10993</v>
      </c>
      <c r="R2241" s="12" t="s">
        <v>10991</v>
      </c>
    </row>
    <row r="2242" spans="1:18" x14ac:dyDescent="0.25">
      <c r="A2242" s="29" t="s">
        <v>10989</v>
      </c>
      <c r="B2242" s="29" t="s">
        <v>10990</v>
      </c>
      <c r="C2242" s="29" t="s">
        <v>10817</v>
      </c>
      <c r="D2242" s="4"/>
      <c r="E2242" s="1"/>
      <c r="F2242" s="4"/>
      <c r="G2242" s="4"/>
      <c r="H2242" s="9"/>
      <c r="I2242" s="4"/>
      <c r="J2242" s="4"/>
      <c r="K2242" s="1"/>
      <c r="L2242" s="6"/>
      <c r="M2242" s="4"/>
      <c r="N2242" s="12">
        <v>2022</v>
      </c>
      <c r="O2242" s="1"/>
      <c r="P2242" s="1"/>
      <c r="Q2242" s="13" t="s">
        <v>10996</v>
      </c>
      <c r="R2242" s="12" t="s">
        <v>10995</v>
      </c>
    </row>
    <row r="2243" spans="1:18" x14ac:dyDescent="0.25">
      <c r="A2243" s="29" t="s">
        <v>10815</v>
      </c>
      <c r="B2243" s="29" t="s">
        <v>10994</v>
      </c>
      <c r="C2243" s="29" t="s">
        <v>10999</v>
      </c>
      <c r="D2243" s="4"/>
      <c r="E2243" s="1"/>
      <c r="F2243" s="4"/>
      <c r="G2243" s="4"/>
      <c r="H2243" s="9"/>
      <c r="I2243" s="4"/>
      <c r="J2243" s="4"/>
      <c r="K2243" s="1"/>
      <c r="L2243" s="6"/>
      <c r="M2243" s="4"/>
      <c r="N2243" s="12">
        <v>2022</v>
      </c>
      <c r="O2243" s="1"/>
      <c r="P2243" s="1"/>
      <c r="Q2243" s="13" t="s">
        <v>11000</v>
      </c>
      <c r="R2243" s="12" t="s">
        <v>10998</v>
      </c>
    </row>
    <row r="2244" spans="1:18" x14ac:dyDescent="0.25">
      <c r="A2244" s="29" t="s">
        <v>9926</v>
      </c>
      <c r="B2244" s="29" t="s">
        <v>10997</v>
      </c>
      <c r="C2244" s="29" t="s">
        <v>11003</v>
      </c>
      <c r="D2244" s="4"/>
      <c r="E2244" s="1"/>
      <c r="F2244" s="4"/>
      <c r="G2244" s="4"/>
      <c r="H2244" s="9"/>
      <c r="I2244" s="4"/>
      <c r="J2244" s="4"/>
      <c r="K2244" s="1"/>
      <c r="L2244" s="6"/>
      <c r="M2244" s="4"/>
      <c r="N2244" s="12">
        <v>2022</v>
      </c>
      <c r="O2244" s="1"/>
      <c r="P2244" s="1"/>
      <c r="Q2244" s="13" t="s">
        <v>11004</v>
      </c>
      <c r="R2244" s="12" t="s">
        <v>11002</v>
      </c>
    </row>
    <row r="2245" spans="1:18" x14ac:dyDescent="0.25">
      <c r="A2245" s="29" t="s">
        <v>136</v>
      </c>
      <c r="B2245" s="29" t="s">
        <v>11001</v>
      </c>
      <c r="C2245" s="29" t="s">
        <v>11007</v>
      </c>
      <c r="D2245" s="4"/>
      <c r="E2245" s="1"/>
      <c r="F2245" s="4"/>
      <c r="G2245" s="4"/>
      <c r="H2245" s="9"/>
      <c r="I2245" s="4"/>
      <c r="J2245" s="4"/>
      <c r="K2245" s="1"/>
      <c r="L2245" s="6"/>
      <c r="M2245" s="4"/>
      <c r="N2245" s="12">
        <v>2022</v>
      </c>
      <c r="O2245" s="1"/>
      <c r="P2245" s="1"/>
      <c r="Q2245" s="13" t="s">
        <v>11008</v>
      </c>
      <c r="R2245" s="12" t="s">
        <v>11006</v>
      </c>
    </row>
    <row r="2246" spans="1:18" x14ac:dyDescent="0.25">
      <c r="A2246" s="15"/>
      <c r="B2246" s="29" t="s">
        <v>11005</v>
      </c>
      <c r="C2246" s="29" t="s">
        <v>11011</v>
      </c>
      <c r="D2246" s="4"/>
      <c r="E2246" s="1"/>
      <c r="F2246" s="4"/>
      <c r="G2246" s="4"/>
      <c r="H2246" s="9"/>
      <c r="I2246" s="4"/>
      <c r="J2246" s="4"/>
      <c r="K2246" s="1"/>
      <c r="L2246" s="6"/>
      <c r="M2246" s="4"/>
      <c r="N2246" s="12">
        <v>2022</v>
      </c>
      <c r="O2246" s="1"/>
      <c r="P2246" s="1"/>
      <c r="Q2246" s="13" t="s">
        <v>11012</v>
      </c>
      <c r="R2246" s="12" t="s">
        <v>11010</v>
      </c>
    </row>
    <row r="2247" spans="1:18" x14ac:dyDescent="0.25">
      <c r="A2247" s="29" t="s">
        <v>10205</v>
      </c>
      <c r="B2247" s="29" t="s">
        <v>11009</v>
      </c>
      <c r="C2247" s="29" t="s">
        <v>11015</v>
      </c>
      <c r="D2247" s="4"/>
      <c r="E2247" s="1"/>
      <c r="F2247" s="4"/>
      <c r="G2247" s="4"/>
      <c r="H2247" s="9"/>
      <c r="I2247" s="4"/>
      <c r="J2247" s="4"/>
      <c r="K2247" s="1"/>
      <c r="L2247" s="6"/>
      <c r="M2247" s="4"/>
      <c r="N2247" s="12">
        <v>2019</v>
      </c>
      <c r="O2247" s="1"/>
      <c r="P2247" s="1"/>
      <c r="Q2247" s="13" t="s">
        <v>11016</v>
      </c>
      <c r="R2247" s="12" t="s">
        <v>11014</v>
      </c>
    </row>
    <row r="2248" spans="1:18" x14ac:dyDescent="0.25">
      <c r="A2248" s="15"/>
      <c r="B2248" s="29" t="s">
        <v>11013</v>
      </c>
      <c r="C2248" s="29" t="s">
        <v>11019</v>
      </c>
      <c r="D2248" s="4"/>
      <c r="E2248" s="1"/>
      <c r="F2248" s="4"/>
      <c r="G2248" s="4"/>
      <c r="H2248" s="9"/>
      <c r="I2248" s="4"/>
      <c r="J2248" s="4"/>
      <c r="K2248" s="1"/>
      <c r="L2248" s="6"/>
      <c r="M2248" s="4"/>
      <c r="N2248" s="12">
        <v>2021</v>
      </c>
      <c r="O2248" s="1"/>
      <c r="P2248" s="1"/>
      <c r="Q2248" s="13" t="s">
        <v>11020</v>
      </c>
      <c r="R2248" s="12" t="s">
        <v>11018</v>
      </c>
    </row>
    <row r="2249" spans="1:18" x14ac:dyDescent="0.25">
      <c r="A2249" s="29" t="s">
        <v>9609</v>
      </c>
      <c r="B2249" s="29" t="s">
        <v>11017</v>
      </c>
      <c r="C2249" s="29" t="s">
        <v>9497</v>
      </c>
      <c r="D2249" s="4"/>
      <c r="E2249" s="1"/>
      <c r="F2249" s="4"/>
      <c r="G2249" s="4"/>
      <c r="H2249" s="9"/>
      <c r="I2249" s="4"/>
      <c r="J2249" s="4"/>
      <c r="K2249" s="1"/>
      <c r="L2249" s="6"/>
      <c r="M2249" s="4"/>
      <c r="N2249" s="12">
        <v>2020</v>
      </c>
      <c r="O2249" s="1"/>
      <c r="P2249" s="1"/>
      <c r="Q2249" s="13" t="s">
        <v>11023</v>
      </c>
      <c r="R2249" s="12" t="s">
        <v>11022</v>
      </c>
    </row>
    <row r="2250" spans="1:18" x14ac:dyDescent="0.25">
      <c r="A2250" s="29" t="s">
        <v>9495</v>
      </c>
      <c r="B2250" s="29" t="s">
        <v>11021</v>
      </c>
      <c r="C2250" s="29" t="s">
        <v>11026</v>
      </c>
      <c r="D2250" s="4"/>
      <c r="E2250" s="1"/>
      <c r="F2250" s="4"/>
      <c r="G2250" s="4"/>
      <c r="H2250" s="9"/>
      <c r="I2250" s="4"/>
      <c r="J2250" s="4"/>
      <c r="K2250" s="1"/>
      <c r="L2250" s="6"/>
      <c r="M2250" s="4"/>
      <c r="N2250" s="12">
        <v>2022</v>
      </c>
      <c r="O2250" s="1"/>
      <c r="P2250" s="1"/>
      <c r="Q2250" s="13" t="s">
        <v>11027</v>
      </c>
      <c r="R2250" s="12" t="s">
        <v>11025</v>
      </c>
    </row>
    <row r="2251" spans="1:18" x14ac:dyDescent="0.25">
      <c r="A2251" s="29" t="s">
        <v>9276</v>
      </c>
      <c r="B2251" s="29" t="s">
        <v>11024</v>
      </c>
      <c r="C2251" s="29" t="s">
        <v>11031</v>
      </c>
      <c r="D2251" s="4"/>
      <c r="E2251" s="1"/>
      <c r="F2251" s="4"/>
      <c r="G2251" s="4"/>
      <c r="H2251" s="9"/>
      <c r="I2251" s="4"/>
      <c r="J2251" s="4"/>
      <c r="K2251" s="1"/>
      <c r="L2251" s="6"/>
      <c r="M2251" s="4"/>
      <c r="N2251" s="12">
        <v>2021</v>
      </c>
      <c r="O2251" s="1"/>
      <c r="P2251" s="1"/>
      <c r="Q2251" s="13" t="s">
        <v>11032</v>
      </c>
      <c r="R2251" s="12" t="s">
        <v>11030</v>
      </c>
    </row>
    <row r="2252" spans="1:18" x14ac:dyDescent="0.25">
      <c r="A2252" s="29" t="s">
        <v>11028</v>
      </c>
      <c r="B2252" s="29" t="s">
        <v>11029</v>
      </c>
      <c r="C2252" s="29" t="s">
        <v>11035</v>
      </c>
      <c r="D2252" s="4"/>
      <c r="E2252" s="1"/>
      <c r="F2252" s="4"/>
      <c r="G2252" s="4"/>
      <c r="H2252" s="9"/>
      <c r="I2252" s="4"/>
      <c r="J2252" s="4"/>
      <c r="K2252" s="1"/>
      <c r="L2252" s="6"/>
      <c r="M2252" s="4"/>
      <c r="N2252" s="12">
        <v>2022</v>
      </c>
      <c r="O2252" s="1"/>
      <c r="P2252" s="1"/>
      <c r="Q2252" s="13" t="s">
        <v>11036</v>
      </c>
      <c r="R2252" s="12" t="s">
        <v>11034</v>
      </c>
    </row>
    <row r="2253" spans="1:18" x14ac:dyDescent="0.25">
      <c r="A2253" s="29" t="s">
        <v>9331</v>
      </c>
      <c r="B2253" s="29" t="s">
        <v>11033</v>
      </c>
      <c r="C2253" s="29" t="s">
        <v>10263</v>
      </c>
      <c r="D2253" s="4"/>
      <c r="E2253" s="1"/>
      <c r="F2253" s="4"/>
      <c r="G2253" s="4"/>
      <c r="H2253" s="9"/>
      <c r="I2253" s="4"/>
      <c r="J2253" s="4"/>
      <c r="K2253" s="1"/>
      <c r="L2253" s="6"/>
      <c r="M2253" s="4"/>
      <c r="N2253" s="12">
        <v>2022</v>
      </c>
      <c r="O2253" s="1"/>
      <c r="P2253" s="1"/>
      <c r="Q2253" s="13" t="s">
        <v>11040</v>
      </c>
      <c r="R2253" s="12" t="s">
        <v>11039</v>
      </c>
    </row>
    <row r="2254" spans="1:18" x14ac:dyDescent="0.25">
      <c r="A2254" s="29" t="s">
        <v>11037</v>
      </c>
      <c r="B2254" s="29" t="s">
        <v>11038</v>
      </c>
      <c r="C2254" s="14"/>
      <c r="D2254" s="4"/>
      <c r="E2254" s="1"/>
      <c r="F2254" s="4"/>
      <c r="G2254" s="4"/>
      <c r="H2254" s="9"/>
      <c r="I2254" s="4"/>
      <c r="J2254" s="4"/>
      <c r="K2254" s="1"/>
      <c r="L2254" s="6"/>
      <c r="M2254" s="4"/>
      <c r="N2254" s="4"/>
      <c r="O2254" s="1"/>
      <c r="P2254" s="1"/>
      <c r="Q2254" s="1"/>
      <c r="R2254" s="4"/>
    </row>
    <row r="2255" spans="1:18" x14ac:dyDescent="0.25">
      <c r="A2255" s="1"/>
      <c r="B2255" s="4"/>
      <c r="C2255" s="1"/>
      <c r="D2255" s="4"/>
      <c r="E2255" s="1"/>
      <c r="F2255" s="4"/>
      <c r="G2255" s="4"/>
      <c r="H2255" s="9"/>
      <c r="I2255" s="4"/>
      <c r="J2255" s="4"/>
      <c r="K2255" s="1"/>
      <c r="L2255" s="6"/>
      <c r="M2255" s="4"/>
      <c r="N2255" s="4"/>
      <c r="O2255" s="1"/>
      <c r="P2255" s="1"/>
      <c r="Q2255" s="1"/>
      <c r="R2255" s="4"/>
    </row>
    <row r="2256" spans="1:18" x14ac:dyDescent="0.25">
      <c r="A2256" s="1"/>
      <c r="B2256" s="4"/>
      <c r="C2256" s="1"/>
      <c r="D2256" s="4"/>
      <c r="E2256" s="1"/>
      <c r="F2256" s="4"/>
      <c r="G2256" s="4"/>
      <c r="H2256" s="9"/>
      <c r="I2256" s="4"/>
      <c r="J2256" s="4"/>
      <c r="K2256" s="1"/>
      <c r="L2256" s="6"/>
      <c r="M2256" s="4"/>
      <c r="N2256" s="4"/>
      <c r="O2256" s="1"/>
      <c r="P2256" s="1"/>
      <c r="Q2256" s="1"/>
      <c r="R2256" s="4"/>
    </row>
    <row r="2257" spans="1:18" x14ac:dyDescent="0.25">
      <c r="A2257" s="1"/>
      <c r="B2257" s="4"/>
      <c r="C2257" s="1"/>
      <c r="D2257" s="4"/>
      <c r="E2257" s="1"/>
      <c r="F2257" s="4"/>
      <c r="G2257" s="4"/>
      <c r="H2257" s="9"/>
      <c r="I2257" s="4"/>
      <c r="J2257" s="4"/>
      <c r="K2257" s="1"/>
      <c r="L2257" s="6"/>
      <c r="M2257" s="4"/>
      <c r="N2257" s="4"/>
      <c r="O2257" s="1"/>
      <c r="P2257" s="1"/>
      <c r="Q2257" s="1"/>
      <c r="R2257" s="4"/>
    </row>
    <row r="2258" spans="1:18" x14ac:dyDescent="0.25">
      <c r="A2258" s="1"/>
      <c r="B2258" s="4"/>
      <c r="C2258" s="1"/>
      <c r="D2258" s="4"/>
      <c r="E2258" s="1"/>
      <c r="F2258" s="4"/>
      <c r="G2258" s="4"/>
      <c r="H2258" s="9"/>
      <c r="I2258" s="4"/>
      <c r="J2258" s="4"/>
      <c r="K2258" s="1"/>
      <c r="L2258" s="6"/>
      <c r="M2258" s="4"/>
      <c r="N2258" s="4"/>
      <c r="O2258" s="1"/>
      <c r="P2258" s="1"/>
      <c r="Q2258" s="1"/>
      <c r="R2258" s="4"/>
    </row>
    <row r="2259" spans="1:18" x14ac:dyDescent="0.25">
      <c r="A2259" s="1"/>
      <c r="B2259" s="4"/>
      <c r="C2259" s="1"/>
      <c r="D2259" s="4"/>
      <c r="E2259" s="1"/>
      <c r="F2259" s="4"/>
      <c r="G2259" s="4"/>
      <c r="H2259" s="9"/>
      <c r="I2259" s="4"/>
      <c r="J2259" s="4"/>
      <c r="K2259" s="1"/>
      <c r="L2259" s="6"/>
      <c r="M2259" s="4"/>
      <c r="N2259" s="4"/>
      <c r="O2259" s="1"/>
      <c r="P2259" s="1"/>
      <c r="Q2259" s="1"/>
      <c r="R2259" s="4"/>
    </row>
    <row r="2260" spans="1:18" x14ac:dyDescent="0.25">
      <c r="A2260" s="1"/>
      <c r="B2260" s="4"/>
      <c r="C2260" s="1"/>
      <c r="D2260" s="4"/>
      <c r="E2260" s="1"/>
      <c r="F2260" s="4"/>
      <c r="G2260" s="4"/>
      <c r="H2260" s="9"/>
      <c r="I2260" s="4"/>
      <c r="J2260" s="4"/>
      <c r="K2260" s="1"/>
      <c r="L2260" s="6"/>
      <c r="M2260" s="4"/>
      <c r="N2260" s="4"/>
      <c r="O2260" s="1"/>
      <c r="P2260" s="1"/>
      <c r="Q2260" s="1"/>
      <c r="R2260" s="4"/>
    </row>
    <row r="2261" spans="1:18" x14ac:dyDescent="0.25">
      <c r="A2261" s="1"/>
      <c r="B2261" s="4"/>
      <c r="C2261" s="1"/>
      <c r="D2261" s="4"/>
      <c r="E2261" s="1"/>
      <c r="F2261" s="4"/>
      <c r="G2261" s="4"/>
      <c r="H2261" s="9"/>
      <c r="I2261" s="4"/>
      <c r="J2261" s="4"/>
      <c r="K2261" s="1"/>
      <c r="L2261" s="6"/>
      <c r="M2261" s="4"/>
      <c r="N2261" s="4"/>
      <c r="O2261" s="1"/>
      <c r="P2261" s="1"/>
      <c r="Q2261" s="1"/>
      <c r="R2261" s="4"/>
    </row>
    <row r="2262" spans="1:18" x14ac:dyDescent="0.25">
      <c r="A2262" s="1"/>
      <c r="B2262" s="4"/>
      <c r="C2262" s="1"/>
      <c r="D2262" s="4"/>
      <c r="E2262" s="1"/>
      <c r="F2262" s="4"/>
      <c r="G2262" s="4"/>
      <c r="H2262" s="9"/>
      <c r="I2262" s="4"/>
      <c r="J2262" s="4"/>
      <c r="K2262" s="1"/>
      <c r="L2262" s="6"/>
      <c r="M2262" s="4"/>
      <c r="N2262" s="4"/>
      <c r="O2262" s="1"/>
      <c r="P2262" s="1"/>
      <c r="Q2262" s="1"/>
      <c r="R2262" s="4"/>
    </row>
    <row r="2263" spans="1:18" x14ac:dyDescent="0.25">
      <c r="A2263" s="1"/>
      <c r="B2263" s="4"/>
      <c r="C2263" s="1"/>
      <c r="D2263" s="4"/>
      <c r="E2263" s="1"/>
      <c r="F2263" s="4"/>
      <c r="G2263" s="4"/>
      <c r="H2263" s="9"/>
      <c r="I2263" s="4"/>
      <c r="J2263" s="4"/>
      <c r="K2263" s="1"/>
      <c r="L2263" s="6"/>
      <c r="M2263" s="4"/>
      <c r="N2263" s="4"/>
      <c r="O2263" s="1"/>
      <c r="P2263" s="1"/>
      <c r="Q2263" s="1"/>
      <c r="R2263" s="4"/>
    </row>
    <row r="2264" spans="1:18" x14ac:dyDescent="0.25">
      <c r="A2264" s="1"/>
      <c r="B2264" s="4"/>
      <c r="C2264" s="1"/>
      <c r="D2264" s="4"/>
      <c r="E2264" s="1"/>
      <c r="F2264" s="4"/>
      <c r="G2264" s="4"/>
      <c r="H2264" s="9"/>
      <c r="I2264" s="4"/>
      <c r="J2264" s="4"/>
      <c r="K2264" s="1"/>
      <c r="L2264" s="6"/>
      <c r="M2264" s="4"/>
      <c r="N2264" s="4"/>
      <c r="O2264" s="1"/>
      <c r="P2264" s="1"/>
      <c r="Q2264" s="1"/>
      <c r="R2264" s="4"/>
    </row>
    <row r="2265" spans="1:18" x14ac:dyDescent="0.25">
      <c r="A2265" s="1"/>
      <c r="B2265" s="4"/>
      <c r="C2265" s="1"/>
      <c r="D2265" s="4"/>
      <c r="E2265" s="1"/>
      <c r="F2265" s="4"/>
      <c r="G2265" s="4"/>
      <c r="H2265" s="9"/>
      <c r="I2265" s="4"/>
      <c r="J2265" s="4"/>
      <c r="K2265" s="1"/>
      <c r="L2265" s="6"/>
      <c r="M2265" s="4"/>
      <c r="N2265" s="4"/>
      <c r="O2265" s="1"/>
      <c r="P2265" s="1"/>
      <c r="Q2265" s="1"/>
      <c r="R2265" s="4"/>
    </row>
    <row r="2266" spans="1:18" x14ac:dyDescent="0.25">
      <c r="A2266" s="1"/>
      <c r="B2266" s="4"/>
      <c r="C2266" s="1"/>
      <c r="D2266" s="4"/>
      <c r="E2266" s="1"/>
      <c r="F2266" s="4"/>
      <c r="G2266" s="4"/>
      <c r="H2266" s="9"/>
      <c r="I2266" s="4"/>
      <c r="J2266" s="4"/>
      <c r="K2266" s="1"/>
      <c r="L2266" s="6"/>
      <c r="M2266" s="4"/>
      <c r="N2266" s="4"/>
      <c r="O2266" s="1"/>
      <c r="P2266" s="1"/>
      <c r="Q2266" s="1"/>
      <c r="R2266" s="4"/>
    </row>
    <row r="2267" spans="1:18" x14ac:dyDescent="0.25">
      <c r="A2267" s="1"/>
      <c r="B2267" s="4"/>
      <c r="C2267" s="1"/>
      <c r="D2267" s="4"/>
      <c r="E2267" s="1"/>
      <c r="F2267" s="4"/>
      <c r="G2267" s="4"/>
      <c r="H2267" s="9"/>
      <c r="I2267" s="4"/>
      <c r="J2267" s="4"/>
      <c r="K2267" s="1"/>
      <c r="L2267" s="6"/>
      <c r="M2267" s="4"/>
      <c r="N2267" s="4"/>
      <c r="O2267" s="1"/>
      <c r="P2267" s="1"/>
      <c r="Q2267" s="1"/>
      <c r="R2267" s="4"/>
    </row>
    <row r="2268" spans="1:18" x14ac:dyDescent="0.25">
      <c r="A2268" s="1"/>
      <c r="B2268" s="4"/>
      <c r="C2268" s="1"/>
      <c r="D2268" s="4"/>
      <c r="E2268" s="1"/>
      <c r="F2268" s="4"/>
      <c r="G2268" s="4"/>
      <c r="H2268" s="9"/>
      <c r="I2268" s="4"/>
      <c r="J2268" s="4"/>
      <c r="K2268" s="1"/>
      <c r="L2268" s="6"/>
      <c r="M2268" s="4"/>
      <c r="N2268" s="4"/>
      <c r="O2268" s="1"/>
      <c r="P2268" s="1"/>
      <c r="Q2268" s="1"/>
      <c r="R2268" s="4"/>
    </row>
    <row r="2269" spans="1:18" x14ac:dyDescent="0.25">
      <c r="A2269" s="1"/>
      <c r="B2269" s="4"/>
      <c r="C2269" s="1"/>
      <c r="D2269" s="4"/>
      <c r="E2269" s="1"/>
      <c r="F2269" s="4"/>
      <c r="G2269" s="4"/>
      <c r="H2269" s="9"/>
      <c r="I2269" s="4"/>
      <c r="J2269" s="4"/>
      <c r="K2269" s="1"/>
      <c r="L2269" s="6"/>
      <c r="M2269" s="4"/>
      <c r="N2269" s="4"/>
      <c r="O2269" s="1"/>
      <c r="P2269" s="1"/>
      <c r="Q2269" s="1"/>
      <c r="R2269" s="4"/>
    </row>
    <row r="2270" spans="1:18" x14ac:dyDescent="0.25">
      <c r="A2270" s="1"/>
      <c r="B2270" s="4"/>
      <c r="C2270" s="1"/>
      <c r="D2270" s="4"/>
      <c r="E2270" s="1"/>
      <c r="F2270" s="4"/>
      <c r="G2270" s="4"/>
      <c r="H2270" s="9"/>
      <c r="I2270" s="4"/>
      <c r="J2270" s="4"/>
      <c r="K2270" s="1"/>
      <c r="L2270" s="6"/>
      <c r="M2270" s="4"/>
      <c r="N2270" s="4"/>
      <c r="O2270" s="1"/>
      <c r="P2270" s="1"/>
      <c r="Q2270" s="1"/>
      <c r="R2270" s="4"/>
    </row>
    <row r="2271" spans="1:18" x14ac:dyDescent="0.25">
      <c r="A2271" s="1"/>
      <c r="B2271" s="4"/>
      <c r="C2271" s="1"/>
      <c r="D2271" s="4"/>
      <c r="E2271" s="1"/>
      <c r="F2271" s="4"/>
      <c r="G2271" s="4"/>
      <c r="H2271" s="9"/>
      <c r="I2271" s="4"/>
      <c r="J2271" s="4"/>
      <c r="K2271" s="1"/>
      <c r="L2271" s="6"/>
      <c r="M2271" s="4"/>
      <c r="N2271" s="4"/>
      <c r="O2271" s="1"/>
      <c r="P2271" s="1"/>
      <c r="Q2271" s="1"/>
      <c r="R2271" s="4"/>
    </row>
    <row r="2272" spans="1:18" x14ac:dyDescent="0.25">
      <c r="A2272" s="1"/>
      <c r="B2272" s="4"/>
      <c r="C2272" s="1"/>
      <c r="D2272" s="4"/>
      <c r="E2272" s="1"/>
      <c r="F2272" s="4"/>
      <c r="G2272" s="4"/>
      <c r="H2272" s="9"/>
      <c r="I2272" s="4"/>
      <c r="J2272" s="4"/>
      <c r="K2272" s="1"/>
      <c r="L2272" s="6"/>
      <c r="M2272" s="4"/>
      <c r="N2272" s="4"/>
      <c r="O2272" s="1"/>
      <c r="P2272" s="1"/>
      <c r="Q2272" s="1"/>
      <c r="R2272" s="4"/>
    </row>
    <row r="2273" spans="1:18" x14ac:dyDescent="0.25">
      <c r="A2273" s="1"/>
      <c r="B2273" s="4"/>
      <c r="C2273" s="1"/>
      <c r="D2273" s="4"/>
      <c r="E2273" s="1"/>
      <c r="F2273" s="4"/>
      <c r="G2273" s="4"/>
      <c r="H2273" s="9"/>
      <c r="I2273" s="4"/>
      <c r="J2273" s="4"/>
      <c r="K2273" s="1"/>
      <c r="L2273" s="6"/>
      <c r="M2273" s="4"/>
      <c r="N2273" s="4"/>
      <c r="O2273" s="1"/>
      <c r="P2273" s="1"/>
      <c r="Q2273" s="1"/>
      <c r="R2273" s="4"/>
    </row>
    <row r="2274" spans="1:18" x14ac:dyDescent="0.25">
      <c r="A2274" s="1"/>
      <c r="B2274" s="4"/>
      <c r="C2274" s="1"/>
      <c r="D2274" s="4"/>
      <c r="E2274" s="1"/>
      <c r="F2274" s="4"/>
      <c r="G2274" s="4"/>
      <c r="H2274" s="9"/>
      <c r="I2274" s="4"/>
      <c r="J2274" s="4"/>
      <c r="K2274" s="1"/>
      <c r="L2274" s="6"/>
      <c r="M2274" s="4"/>
      <c r="N2274" s="4"/>
      <c r="O2274" s="1"/>
      <c r="P2274" s="1"/>
      <c r="Q2274" s="1"/>
      <c r="R2274" s="4"/>
    </row>
    <row r="2275" spans="1:18" x14ac:dyDescent="0.25">
      <c r="A2275" s="1"/>
      <c r="B2275" s="4"/>
      <c r="C2275" s="1"/>
      <c r="D2275" s="4"/>
      <c r="E2275" s="1"/>
      <c r="F2275" s="4"/>
      <c r="G2275" s="4"/>
      <c r="H2275" s="9"/>
      <c r="I2275" s="4"/>
      <c r="J2275" s="4"/>
      <c r="K2275" s="1"/>
      <c r="L2275" s="6"/>
      <c r="M2275" s="4"/>
      <c r="N2275" s="4"/>
      <c r="O2275" s="1"/>
      <c r="P2275" s="1"/>
      <c r="Q2275" s="1"/>
      <c r="R2275" s="4"/>
    </row>
    <row r="2276" spans="1:18" x14ac:dyDescent="0.25">
      <c r="A2276" s="1"/>
      <c r="B2276" s="4"/>
      <c r="C2276" s="1"/>
      <c r="D2276" s="4"/>
      <c r="E2276" s="1"/>
      <c r="F2276" s="4"/>
      <c r="G2276" s="4"/>
      <c r="H2276" s="9"/>
      <c r="I2276" s="4"/>
      <c r="J2276" s="4"/>
      <c r="K2276" s="1"/>
      <c r="L2276" s="6"/>
      <c r="M2276" s="4"/>
      <c r="N2276" s="4"/>
      <c r="O2276" s="1"/>
      <c r="P2276" s="1"/>
      <c r="Q2276" s="1"/>
      <c r="R2276" s="4"/>
    </row>
    <row r="2277" spans="1:18" x14ac:dyDescent="0.25">
      <c r="A2277" s="1"/>
      <c r="B2277" s="4"/>
      <c r="C2277" s="1"/>
      <c r="D2277" s="4"/>
      <c r="E2277" s="1"/>
      <c r="F2277" s="4"/>
      <c r="G2277" s="4"/>
      <c r="H2277" s="9"/>
      <c r="I2277" s="4"/>
      <c r="J2277" s="4"/>
      <c r="K2277" s="1"/>
      <c r="L2277" s="6"/>
      <c r="M2277" s="4"/>
      <c r="N2277" s="4"/>
      <c r="O2277" s="1"/>
      <c r="P2277" s="1"/>
      <c r="Q2277" s="1"/>
      <c r="R2277" s="4"/>
    </row>
    <row r="2278" spans="1:18" x14ac:dyDescent="0.25">
      <c r="A2278" s="1"/>
      <c r="B2278" s="4"/>
      <c r="C2278" s="1"/>
      <c r="D2278" s="4"/>
      <c r="E2278" s="1"/>
      <c r="F2278" s="4"/>
      <c r="G2278" s="4"/>
      <c r="H2278" s="9"/>
      <c r="I2278" s="4"/>
      <c r="J2278" s="4"/>
      <c r="K2278" s="1"/>
      <c r="L2278" s="6"/>
      <c r="M2278" s="4"/>
      <c r="N2278" s="4"/>
      <c r="O2278" s="1"/>
      <c r="P2278" s="1"/>
      <c r="Q2278" s="1"/>
      <c r="R2278" s="4"/>
    </row>
    <row r="2279" spans="1:18" x14ac:dyDescent="0.25">
      <c r="A2279" s="1"/>
      <c r="B2279" s="4"/>
      <c r="C2279" s="1"/>
      <c r="D2279" s="4"/>
      <c r="E2279" s="1"/>
      <c r="F2279" s="4"/>
      <c r="G2279" s="4"/>
      <c r="H2279" s="9"/>
      <c r="I2279" s="4"/>
      <c r="J2279" s="4"/>
      <c r="K2279" s="1"/>
      <c r="L2279" s="6"/>
      <c r="M2279" s="4"/>
      <c r="N2279" s="4"/>
      <c r="O2279" s="1"/>
      <c r="P2279" s="1"/>
      <c r="Q2279" s="1"/>
      <c r="R2279" s="4"/>
    </row>
    <row r="2280" spans="1:18" x14ac:dyDescent="0.25">
      <c r="A2280" s="1"/>
      <c r="B2280" s="4"/>
      <c r="C2280" s="1"/>
      <c r="D2280" s="4"/>
      <c r="E2280" s="1"/>
      <c r="F2280" s="4"/>
      <c r="G2280" s="4"/>
      <c r="H2280" s="9"/>
      <c r="I2280" s="4"/>
      <c r="J2280" s="4"/>
      <c r="K2280" s="1"/>
      <c r="L2280" s="6"/>
      <c r="M2280" s="4"/>
      <c r="N2280" s="4"/>
      <c r="O2280" s="1"/>
      <c r="P2280" s="1"/>
      <c r="Q2280" s="1"/>
      <c r="R2280" s="4"/>
    </row>
    <row r="2281" spans="1:18" x14ac:dyDescent="0.25">
      <c r="A2281" s="1"/>
      <c r="B2281" s="4"/>
      <c r="C2281" s="1"/>
      <c r="D2281" s="4"/>
      <c r="E2281" s="1"/>
      <c r="F2281" s="4"/>
      <c r="G2281" s="4"/>
      <c r="H2281" s="9"/>
      <c r="I2281" s="4"/>
      <c r="J2281" s="4"/>
      <c r="K2281" s="1"/>
      <c r="L2281" s="6"/>
      <c r="M2281" s="4"/>
      <c r="N2281" s="4"/>
      <c r="O2281" s="1"/>
      <c r="P2281" s="1"/>
      <c r="Q2281" s="1"/>
      <c r="R2281" s="4"/>
    </row>
    <row r="2282" spans="1:18" x14ac:dyDescent="0.25">
      <c r="A2282" s="1"/>
      <c r="B2282" s="4"/>
      <c r="C2282" s="1"/>
      <c r="D2282" s="4"/>
      <c r="E2282" s="1"/>
      <c r="F2282" s="4"/>
      <c r="G2282" s="4"/>
      <c r="H2282" s="9"/>
      <c r="I2282" s="4"/>
      <c r="J2282" s="4"/>
      <c r="K2282" s="1"/>
      <c r="L2282" s="6"/>
      <c r="M2282" s="4"/>
      <c r="N2282" s="4"/>
      <c r="O2282" s="1"/>
      <c r="P2282" s="1"/>
      <c r="Q2282" s="1"/>
      <c r="R2282" s="4"/>
    </row>
    <row r="2283" spans="1:18" x14ac:dyDescent="0.25">
      <c r="A2283" s="1"/>
      <c r="B2283" s="4"/>
      <c r="C2283" s="1"/>
      <c r="D2283" s="4"/>
      <c r="E2283" s="1"/>
      <c r="F2283" s="4"/>
      <c r="G2283" s="4"/>
      <c r="H2283" s="9"/>
      <c r="I2283" s="4"/>
      <c r="J2283" s="4"/>
      <c r="K2283" s="1"/>
      <c r="L2283" s="6"/>
      <c r="M2283" s="4"/>
      <c r="N2283" s="4"/>
      <c r="O2283" s="1"/>
      <c r="P2283" s="1"/>
      <c r="Q2283" s="1"/>
      <c r="R2283" s="4"/>
    </row>
    <row r="2284" spans="1:18" x14ac:dyDescent="0.25">
      <c r="A2284" s="1"/>
      <c r="B2284" s="4"/>
      <c r="C2284" s="1"/>
      <c r="D2284" s="4"/>
      <c r="E2284" s="1"/>
      <c r="F2284" s="4"/>
      <c r="G2284" s="4"/>
      <c r="H2284" s="9"/>
      <c r="I2284" s="4"/>
      <c r="J2284" s="4"/>
      <c r="K2284" s="1"/>
      <c r="L2284" s="6"/>
      <c r="M2284" s="4"/>
      <c r="N2284" s="4"/>
      <c r="O2284" s="1"/>
      <c r="P2284" s="1"/>
      <c r="Q2284" s="1"/>
      <c r="R2284" s="4"/>
    </row>
    <row r="2285" spans="1:18" x14ac:dyDescent="0.25">
      <c r="A2285" s="1"/>
      <c r="B2285" s="4"/>
      <c r="C2285" s="1"/>
      <c r="D2285" s="4"/>
      <c r="E2285" s="1"/>
      <c r="F2285" s="4"/>
      <c r="G2285" s="4"/>
      <c r="H2285" s="9"/>
      <c r="I2285" s="4"/>
      <c r="J2285" s="4"/>
      <c r="K2285" s="1"/>
      <c r="L2285" s="6"/>
      <c r="M2285" s="4"/>
      <c r="N2285" s="4"/>
      <c r="O2285" s="1"/>
      <c r="P2285" s="1"/>
      <c r="Q2285" s="1"/>
      <c r="R2285" s="4"/>
    </row>
    <row r="2286" spans="1:18" x14ac:dyDescent="0.25">
      <c r="A2286" s="1"/>
      <c r="B2286" s="4"/>
      <c r="C2286" s="1"/>
      <c r="D2286" s="4"/>
      <c r="E2286" s="1"/>
      <c r="F2286" s="4"/>
      <c r="G2286" s="4"/>
      <c r="H2286" s="9"/>
      <c r="I2286" s="4"/>
      <c r="J2286" s="4"/>
      <c r="K2286" s="1"/>
      <c r="L2286" s="6"/>
      <c r="M2286" s="4"/>
      <c r="N2286" s="4"/>
      <c r="O2286" s="1"/>
      <c r="P2286" s="1"/>
      <c r="Q2286" s="1"/>
      <c r="R2286" s="4"/>
    </row>
    <row r="2287" spans="1:18" x14ac:dyDescent="0.25">
      <c r="A2287" s="1"/>
      <c r="B2287" s="4"/>
      <c r="C2287" s="1"/>
      <c r="D2287" s="4"/>
      <c r="E2287" s="1"/>
      <c r="F2287" s="4"/>
      <c r="G2287" s="4"/>
      <c r="H2287" s="9"/>
      <c r="I2287" s="4"/>
      <c r="J2287" s="4"/>
      <c r="K2287" s="1"/>
      <c r="L2287" s="6"/>
      <c r="M2287" s="4"/>
      <c r="N2287" s="4"/>
      <c r="O2287" s="1"/>
      <c r="P2287" s="1"/>
      <c r="Q2287" s="1"/>
      <c r="R2287" s="4"/>
    </row>
    <row r="2288" spans="1:18" x14ac:dyDescent="0.25">
      <c r="A2288" s="1"/>
      <c r="B2288" s="4"/>
      <c r="C2288" s="1"/>
      <c r="D2288" s="4"/>
      <c r="E2288" s="1"/>
      <c r="F2288" s="4"/>
      <c r="G2288" s="4"/>
      <c r="H2288" s="9"/>
      <c r="I2288" s="4"/>
      <c r="J2288" s="4"/>
      <c r="K2288" s="1"/>
      <c r="L2288" s="6"/>
      <c r="M2288" s="4"/>
      <c r="N2288" s="4"/>
      <c r="O2288" s="1"/>
      <c r="P2288" s="1"/>
      <c r="Q2288" s="1"/>
      <c r="R2288" s="4"/>
    </row>
    <row r="2289" spans="1:18" x14ac:dyDescent="0.25">
      <c r="A2289" s="1"/>
      <c r="B2289" s="4"/>
      <c r="C2289" s="1"/>
      <c r="D2289" s="4"/>
      <c r="E2289" s="1"/>
      <c r="F2289" s="4"/>
      <c r="G2289" s="4"/>
      <c r="H2289" s="9"/>
      <c r="I2289" s="4"/>
      <c r="J2289" s="4"/>
      <c r="K2289" s="1"/>
      <c r="L2289" s="6"/>
      <c r="M2289" s="4"/>
      <c r="N2289" s="4"/>
      <c r="O2289" s="1"/>
      <c r="P2289" s="1"/>
      <c r="Q2289" s="1"/>
      <c r="R2289" s="4"/>
    </row>
    <row r="2290" spans="1:18" x14ac:dyDescent="0.25">
      <c r="A2290" s="1"/>
      <c r="B2290" s="4"/>
      <c r="C2290" s="1"/>
      <c r="D2290" s="4"/>
      <c r="E2290" s="1"/>
      <c r="F2290" s="4"/>
      <c r="G2290" s="4"/>
      <c r="H2290" s="9"/>
      <c r="I2290" s="4"/>
      <c r="J2290" s="4"/>
      <c r="K2290" s="1"/>
      <c r="L2290" s="6"/>
      <c r="M2290" s="4"/>
      <c r="N2290" s="4"/>
      <c r="O2290" s="1"/>
      <c r="P2290" s="1"/>
      <c r="Q2290" s="1"/>
      <c r="R2290" s="4"/>
    </row>
    <row r="2291" spans="1:18" x14ac:dyDescent="0.25">
      <c r="A2291" s="1"/>
      <c r="B2291" s="4"/>
      <c r="C2291" s="1"/>
      <c r="D2291" s="4"/>
      <c r="E2291" s="1"/>
      <c r="F2291" s="4"/>
      <c r="G2291" s="4"/>
      <c r="H2291" s="9"/>
      <c r="I2291" s="4"/>
      <c r="J2291" s="4"/>
      <c r="K2291" s="1"/>
      <c r="L2291" s="6"/>
      <c r="M2291" s="4"/>
      <c r="N2291" s="4"/>
      <c r="O2291" s="1"/>
      <c r="P2291" s="1"/>
      <c r="Q2291" s="1"/>
      <c r="R2291" s="4"/>
    </row>
    <row r="2292" spans="1:18" x14ac:dyDescent="0.25">
      <c r="A2292" s="1"/>
      <c r="B2292" s="4"/>
      <c r="C2292" s="1"/>
      <c r="D2292" s="4"/>
      <c r="E2292" s="1"/>
      <c r="F2292" s="4"/>
      <c r="G2292" s="4"/>
      <c r="H2292" s="9"/>
      <c r="I2292" s="4"/>
      <c r="J2292" s="4"/>
      <c r="K2292" s="1"/>
      <c r="L2292" s="6"/>
      <c r="M2292" s="4"/>
      <c r="N2292" s="4"/>
      <c r="O2292" s="1"/>
      <c r="P2292" s="1"/>
      <c r="Q2292" s="1"/>
      <c r="R2292" s="4"/>
    </row>
    <row r="2293" spans="1:18" x14ac:dyDescent="0.25">
      <c r="A2293" s="1"/>
      <c r="B2293" s="4"/>
      <c r="C2293" s="1"/>
      <c r="D2293" s="4"/>
      <c r="E2293" s="1"/>
      <c r="F2293" s="4"/>
      <c r="G2293" s="4"/>
      <c r="H2293" s="9"/>
      <c r="I2293" s="4"/>
      <c r="J2293" s="4"/>
      <c r="K2293" s="1"/>
      <c r="L2293" s="6"/>
      <c r="M2293" s="4"/>
      <c r="N2293" s="4"/>
      <c r="O2293" s="1"/>
      <c r="P2293" s="1"/>
      <c r="Q2293" s="1"/>
      <c r="R2293" s="4"/>
    </row>
    <row r="2294" spans="1:18" x14ac:dyDescent="0.25">
      <c r="A2294" s="1"/>
      <c r="B2294" s="4"/>
      <c r="C2294" s="1"/>
      <c r="D2294" s="4"/>
      <c r="E2294" s="1"/>
      <c r="F2294" s="4"/>
      <c r="G2294" s="4"/>
      <c r="H2294" s="9"/>
      <c r="I2294" s="4"/>
      <c r="J2294" s="4"/>
      <c r="K2294" s="1"/>
      <c r="L2294" s="6"/>
      <c r="M2294" s="4"/>
      <c r="N2294" s="4"/>
      <c r="O2294" s="1"/>
      <c r="P2294" s="1"/>
      <c r="Q2294" s="1"/>
      <c r="R2294" s="4"/>
    </row>
    <row r="2295" spans="1:18" x14ac:dyDescent="0.25">
      <c r="A2295" s="1"/>
      <c r="B2295" s="4"/>
      <c r="C2295" s="1"/>
      <c r="D2295" s="4"/>
      <c r="E2295" s="1"/>
      <c r="F2295" s="4"/>
      <c r="G2295" s="4"/>
      <c r="H2295" s="9"/>
      <c r="I2295" s="4"/>
      <c r="J2295" s="4"/>
      <c r="K2295" s="1"/>
      <c r="L2295" s="6"/>
      <c r="M2295" s="4"/>
      <c r="N2295" s="4"/>
      <c r="O2295" s="1"/>
      <c r="P2295" s="1"/>
      <c r="Q2295" s="1"/>
      <c r="R2295" s="4"/>
    </row>
    <row r="2296" spans="1:18" x14ac:dyDescent="0.25">
      <c r="A2296" s="1"/>
      <c r="B2296" s="4"/>
      <c r="C2296" s="1"/>
      <c r="D2296" s="4"/>
      <c r="E2296" s="1"/>
      <c r="F2296" s="4"/>
      <c r="G2296" s="4"/>
      <c r="H2296" s="9"/>
      <c r="I2296" s="4"/>
      <c r="J2296" s="4"/>
      <c r="K2296" s="1"/>
      <c r="L2296" s="6"/>
      <c r="M2296" s="4"/>
      <c r="N2296" s="4"/>
      <c r="O2296" s="1"/>
      <c r="P2296" s="1"/>
      <c r="Q2296" s="1"/>
      <c r="R2296" s="4"/>
    </row>
    <row r="2297" spans="1:18" x14ac:dyDescent="0.25">
      <c r="A2297" s="1"/>
      <c r="B2297" s="4"/>
      <c r="C2297" s="1"/>
      <c r="D2297" s="4"/>
      <c r="E2297" s="1"/>
      <c r="F2297" s="4"/>
      <c r="G2297" s="4"/>
      <c r="H2297" s="9"/>
      <c r="I2297" s="4"/>
      <c r="J2297" s="4"/>
      <c r="K2297" s="1"/>
      <c r="L2297" s="6"/>
      <c r="M2297" s="4"/>
      <c r="N2297" s="4"/>
      <c r="O2297" s="1"/>
      <c r="P2297" s="1"/>
      <c r="Q2297" s="1"/>
      <c r="R2297" s="4"/>
    </row>
    <row r="2298" spans="1:18" x14ac:dyDescent="0.25">
      <c r="A2298" s="1"/>
      <c r="B2298" s="4"/>
      <c r="C2298" s="1"/>
      <c r="D2298" s="4"/>
      <c r="E2298" s="1"/>
      <c r="F2298" s="4"/>
      <c r="G2298" s="4"/>
      <c r="H2298" s="9"/>
      <c r="I2298" s="4"/>
      <c r="J2298" s="4"/>
      <c r="K2298" s="1"/>
      <c r="L2298" s="6"/>
      <c r="M2298" s="4"/>
      <c r="N2298" s="4"/>
      <c r="O2298" s="1"/>
      <c r="P2298" s="1"/>
      <c r="Q2298" s="1"/>
      <c r="R2298" s="4"/>
    </row>
    <row r="2299" spans="1:18" x14ac:dyDescent="0.25">
      <c r="A2299" s="1"/>
      <c r="B2299" s="4"/>
      <c r="C2299" s="1"/>
      <c r="D2299" s="4"/>
      <c r="E2299" s="1"/>
      <c r="F2299" s="4"/>
      <c r="G2299" s="4"/>
      <c r="H2299" s="9"/>
      <c r="I2299" s="4"/>
      <c r="J2299" s="4"/>
      <c r="K2299" s="1"/>
      <c r="L2299" s="6"/>
      <c r="M2299" s="4"/>
      <c r="N2299" s="4"/>
      <c r="O2299" s="1"/>
      <c r="P2299" s="1"/>
      <c r="Q2299" s="1"/>
      <c r="R2299" s="4"/>
    </row>
    <row r="2300" spans="1:18" x14ac:dyDescent="0.25">
      <c r="A2300" s="1"/>
      <c r="B2300" s="4"/>
      <c r="C2300" s="1"/>
      <c r="D2300" s="4"/>
      <c r="E2300" s="1"/>
      <c r="F2300" s="4"/>
      <c r="G2300" s="4"/>
      <c r="H2300" s="9"/>
      <c r="I2300" s="4"/>
      <c r="J2300" s="4"/>
      <c r="K2300" s="1"/>
      <c r="L2300" s="6"/>
      <c r="M2300" s="4"/>
      <c r="N2300" s="4"/>
      <c r="O2300" s="1"/>
      <c r="P2300" s="1"/>
      <c r="Q2300" s="1"/>
      <c r="R2300" s="4"/>
    </row>
    <row r="2301" spans="1:18" x14ac:dyDescent="0.25">
      <c r="A2301" s="1"/>
      <c r="B2301" s="4"/>
      <c r="C2301" s="1"/>
      <c r="D2301" s="4"/>
      <c r="E2301" s="1"/>
      <c r="F2301" s="4"/>
      <c r="G2301" s="4"/>
      <c r="H2301" s="9"/>
      <c r="I2301" s="4"/>
      <c r="J2301" s="4"/>
      <c r="K2301" s="1"/>
      <c r="L2301" s="6"/>
      <c r="M2301" s="4"/>
      <c r="N2301" s="4"/>
      <c r="O2301" s="1"/>
      <c r="P2301" s="1"/>
      <c r="Q2301" s="1"/>
      <c r="R2301" s="4"/>
    </row>
    <row r="2302" spans="1:18" x14ac:dyDescent="0.25">
      <c r="A2302" s="1"/>
      <c r="B2302" s="4"/>
      <c r="C2302" s="1"/>
      <c r="D2302" s="4"/>
      <c r="E2302" s="1"/>
      <c r="F2302" s="4"/>
      <c r="G2302" s="4"/>
      <c r="H2302" s="9"/>
      <c r="I2302" s="4"/>
      <c r="J2302" s="4"/>
      <c r="K2302" s="1"/>
      <c r="L2302" s="6"/>
      <c r="M2302" s="4"/>
      <c r="N2302" s="4"/>
      <c r="O2302" s="1"/>
      <c r="P2302" s="1"/>
      <c r="Q2302" s="1"/>
      <c r="R2302" s="4"/>
    </row>
    <row r="2303" spans="1:18" x14ac:dyDescent="0.25">
      <c r="A2303" s="1"/>
      <c r="B2303" s="4"/>
      <c r="C2303" s="1"/>
      <c r="D2303" s="4"/>
      <c r="E2303" s="1"/>
      <c r="F2303" s="4"/>
      <c r="G2303" s="4"/>
      <c r="H2303" s="9"/>
      <c r="I2303" s="4"/>
      <c r="J2303" s="4"/>
      <c r="K2303" s="1"/>
      <c r="L2303" s="6"/>
      <c r="M2303" s="4"/>
      <c r="N2303" s="4"/>
      <c r="O2303" s="1"/>
      <c r="P2303" s="1"/>
      <c r="Q2303" s="1"/>
      <c r="R2303" s="4"/>
    </row>
    <row r="2304" spans="1:18" x14ac:dyDescent="0.25">
      <c r="A2304" s="1"/>
      <c r="B2304" s="4"/>
      <c r="C2304" s="1"/>
      <c r="D2304" s="4"/>
      <c r="E2304" s="1"/>
      <c r="F2304" s="4"/>
      <c r="G2304" s="4"/>
      <c r="H2304" s="9"/>
      <c r="I2304" s="4"/>
      <c r="J2304" s="4"/>
      <c r="K2304" s="1"/>
      <c r="L2304" s="6"/>
      <c r="M2304" s="4"/>
      <c r="N2304" s="4"/>
      <c r="O2304" s="1"/>
      <c r="P2304" s="1"/>
      <c r="Q2304" s="1"/>
      <c r="R2304" s="4"/>
    </row>
    <row r="2305" spans="1:18" x14ac:dyDescent="0.25">
      <c r="A2305" s="1"/>
      <c r="B2305" s="4"/>
      <c r="C2305" s="1"/>
      <c r="D2305" s="4"/>
      <c r="E2305" s="1"/>
      <c r="F2305" s="4"/>
      <c r="G2305" s="4"/>
      <c r="H2305" s="9"/>
      <c r="I2305" s="4"/>
      <c r="J2305" s="4"/>
      <c r="K2305" s="1"/>
      <c r="L2305" s="6"/>
      <c r="M2305" s="4"/>
      <c r="N2305" s="4"/>
      <c r="O2305" s="1"/>
      <c r="P2305" s="1"/>
      <c r="Q2305" s="1"/>
      <c r="R2305" s="4"/>
    </row>
    <row r="2306" spans="1:18" x14ac:dyDescent="0.25">
      <c r="A2306" s="1"/>
      <c r="B2306" s="4"/>
      <c r="C2306" s="1"/>
      <c r="D2306" s="4"/>
      <c r="E2306" s="1"/>
      <c r="F2306" s="4"/>
      <c r="G2306" s="4"/>
      <c r="H2306" s="9"/>
      <c r="I2306" s="4"/>
      <c r="J2306" s="4"/>
      <c r="K2306" s="1"/>
      <c r="L2306" s="6"/>
      <c r="M2306" s="4"/>
      <c r="N2306" s="4"/>
      <c r="O2306" s="1"/>
      <c r="P2306" s="1"/>
      <c r="Q2306" s="1"/>
      <c r="R2306" s="4"/>
    </row>
    <row r="2307" spans="1:18" x14ac:dyDescent="0.25">
      <c r="A2307" s="1"/>
      <c r="B2307" s="4"/>
      <c r="C2307" s="1"/>
      <c r="D2307" s="4"/>
      <c r="E2307" s="1"/>
      <c r="F2307" s="4"/>
      <c r="G2307" s="4"/>
      <c r="H2307" s="9"/>
      <c r="I2307" s="4"/>
      <c r="J2307" s="4"/>
      <c r="K2307" s="1"/>
      <c r="L2307" s="6"/>
      <c r="M2307" s="4"/>
      <c r="N2307" s="4"/>
      <c r="O2307" s="1"/>
      <c r="P2307" s="1"/>
      <c r="Q2307" s="1"/>
      <c r="R2307" s="4"/>
    </row>
    <row r="2308" spans="1:18" x14ac:dyDescent="0.25">
      <c r="A2308" s="1"/>
      <c r="B2308" s="4"/>
      <c r="C2308" s="1"/>
      <c r="D2308" s="4"/>
      <c r="E2308" s="1"/>
      <c r="F2308" s="4"/>
      <c r="G2308" s="4"/>
      <c r="H2308" s="9"/>
      <c r="I2308" s="4"/>
      <c r="J2308" s="4"/>
      <c r="K2308" s="1"/>
      <c r="L2308" s="6"/>
      <c r="M2308" s="4"/>
      <c r="N2308" s="4"/>
      <c r="O2308" s="1"/>
      <c r="P2308" s="1"/>
      <c r="Q2308" s="1"/>
      <c r="R2308" s="4"/>
    </row>
    <row r="2309" spans="1:18" x14ac:dyDescent="0.25">
      <c r="A2309" s="1"/>
      <c r="B2309" s="4"/>
      <c r="C2309" s="1"/>
      <c r="D2309" s="4"/>
      <c r="E2309" s="1"/>
      <c r="F2309" s="4"/>
      <c r="G2309" s="4"/>
      <c r="H2309" s="9"/>
      <c r="I2309" s="4"/>
      <c r="J2309" s="4"/>
      <c r="K2309" s="1"/>
      <c r="L2309" s="6"/>
      <c r="M2309" s="4"/>
      <c r="N2309" s="4"/>
      <c r="O2309" s="1"/>
      <c r="P2309" s="1"/>
      <c r="Q2309" s="1"/>
      <c r="R2309" s="4"/>
    </row>
    <row r="2310" spans="1:18" x14ac:dyDescent="0.25">
      <c r="A2310" s="1"/>
      <c r="B2310" s="4"/>
      <c r="C2310" s="1"/>
      <c r="D2310" s="4"/>
      <c r="E2310" s="1"/>
      <c r="F2310" s="4"/>
      <c r="G2310" s="4"/>
      <c r="H2310" s="9"/>
      <c r="I2310" s="4"/>
      <c r="J2310" s="4"/>
      <c r="K2310" s="1"/>
      <c r="L2310" s="6"/>
      <c r="M2310" s="4"/>
      <c r="N2310" s="4"/>
      <c r="O2310" s="1"/>
      <c r="P2310" s="1"/>
      <c r="Q2310" s="1"/>
      <c r="R2310" s="4"/>
    </row>
    <row r="2311" spans="1:18" x14ac:dyDescent="0.25">
      <c r="A2311" s="1"/>
      <c r="B2311" s="4"/>
      <c r="C2311" s="1"/>
      <c r="D2311" s="4"/>
      <c r="E2311" s="1"/>
      <c r="F2311" s="4"/>
      <c r="G2311" s="4"/>
      <c r="H2311" s="9"/>
      <c r="I2311" s="4"/>
      <c r="J2311" s="4"/>
      <c r="K2311" s="1"/>
      <c r="L2311" s="6"/>
      <c r="M2311" s="4"/>
      <c r="N2311" s="4"/>
      <c r="O2311" s="1"/>
      <c r="P2311" s="1"/>
      <c r="Q2311" s="1"/>
      <c r="R2311" s="4"/>
    </row>
    <row r="2312" spans="1:18" x14ac:dyDescent="0.25">
      <c r="A2312" s="1"/>
      <c r="B2312" s="4"/>
      <c r="C2312" s="1"/>
      <c r="D2312" s="4"/>
      <c r="E2312" s="1"/>
      <c r="F2312" s="4"/>
      <c r="G2312" s="4"/>
      <c r="H2312" s="9"/>
      <c r="I2312" s="4"/>
      <c r="J2312" s="4"/>
      <c r="K2312" s="1"/>
      <c r="L2312" s="6"/>
      <c r="M2312" s="4"/>
      <c r="N2312" s="4"/>
      <c r="O2312" s="1"/>
      <c r="P2312" s="1"/>
      <c r="Q2312" s="1"/>
      <c r="R2312" s="4"/>
    </row>
    <row r="2313" spans="1:18" x14ac:dyDescent="0.25">
      <c r="A2313" s="1"/>
      <c r="B2313" s="4"/>
      <c r="C2313" s="1"/>
      <c r="D2313" s="4"/>
      <c r="E2313" s="1"/>
      <c r="F2313" s="4"/>
      <c r="G2313" s="4"/>
      <c r="H2313" s="9"/>
      <c r="I2313" s="4"/>
      <c r="J2313" s="4"/>
      <c r="K2313" s="1"/>
      <c r="L2313" s="6"/>
      <c r="M2313" s="4"/>
      <c r="N2313" s="4"/>
      <c r="O2313" s="1"/>
      <c r="P2313" s="1"/>
      <c r="Q2313" s="1"/>
      <c r="R2313" s="4"/>
    </row>
    <row r="2314" spans="1:18" x14ac:dyDescent="0.25">
      <c r="A2314" s="1"/>
      <c r="B2314" s="4"/>
      <c r="C2314" s="1"/>
      <c r="D2314" s="4"/>
      <c r="E2314" s="1"/>
      <c r="F2314" s="4"/>
      <c r="G2314" s="4"/>
      <c r="H2314" s="9"/>
      <c r="I2314" s="4"/>
      <c r="J2314" s="4"/>
      <c r="K2314" s="1"/>
      <c r="L2314" s="6"/>
      <c r="M2314" s="4"/>
      <c r="N2314" s="4"/>
      <c r="O2314" s="1"/>
      <c r="P2314" s="1"/>
      <c r="Q2314" s="1"/>
      <c r="R2314" s="4"/>
    </row>
    <row r="2315" spans="1:18" x14ac:dyDescent="0.25">
      <c r="A2315" s="1"/>
      <c r="B2315" s="4"/>
      <c r="C2315" s="1"/>
      <c r="D2315" s="4"/>
      <c r="E2315" s="1"/>
      <c r="F2315" s="4"/>
      <c r="G2315" s="4"/>
      <c r="H2315" s="9"/>
      <c r="I2315" s="4"/>
      <c r="J2315" s="4"/>
      <c r="K2315" s="1"/>
      <c r="L2315" s="6"/>
      <c r="M2315" s="4"/>
      <c r="N2315" s="4"/>
      <c r="O2315" s="1"/>
      <c r="P2315" s="1"/>
      <c r="Q2315" s="1"/>
      <c r="R2315" s="4"/>
    </row>
    <row r="2316" spans="1:18" x14ac:dyDescent="0.25">
      <c r="A2316" s="1"/>
      <c r="B2316" s="4"/>
      <c r="C2316" s="1"/>
      <c r="D2316" s="4"/>
      <c r="E2316" s="1"/>
      <c r="F2316" s="4"/>
      <c r="G2316" s="4"/>
      <c r="H2316" s="9"/>
      <c r="I2316" s="4"/>
      <c r="J2316" s="4"/>
      <c r="K2316" s="1"/>
      <c r="L2316" s="6"/>
      <c r="M2316" s="4"/>
      <c r="N2316" s="4"/>
      <c r="O2316" s="1"/>
      <c r="P2316" s="1"/>
      <c r="Q2316" s="1"/>
      <c r="R2316" s="4"/>
    </row>
    <row r="2317" spans="1:18" x14ac:dyDescent="0.25">
      <c r="A2317" s="1"/>
      <c r="B2317" s="4"/>
      <c r="C2317" s="1"/>
      <c r="D2317" s="4"/>
      <c r="E2317" s="1"/>
      <c r="F2317" s="4"/>
      <c r="G2317" s="4"/>
      <c r="H2317" s="9"/>
      <c r="I2317" s="4"/>
      <c r="J2317" s="4"/>
      <c r="K2317" s="1"/>
      <c r="L2317" s="6"/>
      <c r="M2317" s="4"/>
      <c r="N2317" s="4"/>
      <c r="O2317" s="1"/>
      <c r="P2317" s="1"/>
      <c r="Q2317" s="1"/>
      <c r="R2317" s="4"/>
    </row>
    <row r="2318" spans="1:18" x14ac:dyDescent="0.25">
      <c r="A2318" s="1"/>
      <c r="B2318" s="4"/>
      <c r="C2318" s="1"/>
      <c r="D2318" s="4"/>
      <c r="E2318" s="1"/>
      <c r="F2318" s="4"/>
      <c r="G2318" s="4"/>
      <c r="H2318" s="9"/>
      <c r="I2318" s="4"/>
      <c r="J2318" s="4"/>
      <c r="K2318" s="1"/>
      <c r="L2318" s="6"/>
      <c r="M2318" s="4"/>
      <c r="N2318" s="4"/>
      <c r="O2318" s="1"/>
      <c r="P2318" s="1"/>
      <c r="Q2318" s="1"/>
      <c r="R2318" s="4"/>
    </row>
    <row r="2319" spans="1:18" x14ac:dyDescent="0.25">
      <c r="A2319" s="1"/>
      <c r="B2319" s="4"/>
      <c r="C2319" s="1"/>
      <c r="D2319" s="4"/>
      <c r="E2319" s="1"/>
      <c r="F2319" s="4"/>
      <c r="G2319" s="4"/>
      <c r="H2319" s="9"/>
      <c r="I2319" s="4"/>
      <c r="J2319" s="4"/>
      <c r="K2319" s="1"/>
      <c r="L2319" s="6"/>
      <c r="M2319" s="4"/>
      <c r="N2319" s="4"/>
      <c r="O2319" s="1"/>
      <c r="P2319" s="1"/>
      <c r="Q2319" s="1"/>
      <c r="R2319" s="4"/>
    </row>
    <row r="2320" spans="1:18" x14ac:dyDescent="0.25">
      <c r="A2320" s="1"/>
      <c r="B2320" s="4"/>
      <c r="C2320" s="1"/>
      <c r="D2320" s="4"/>
      <c r="E2320" s="1"/>
      <c r="F2320" s="4"/>
      <c r="G2320" s="4"/>
      <c r="H2320" s="9"/>
      <c r="I2320" s="4"/>
      <c r="J2320" s="4"/>
      <c r="K2320" s="1"/>
      <c r="L2320" s="6"/>
      <c r="M2320" s="4"/>
      <c r="N2320" s="4"/>
      <c r="O2320" s="1"/>
      <c r="P2320" s="1"/>
      <c r="Q2320" s="1"/>
      <c r="R2320" s="4"/>
    </row>
    <row r="2321" spans="1:18" x14ac:dyDescent="0.25">
      <c r="A2321" s="1"/>
      <c r="B2321" s="4"/>
      <c r="C2321" s="1"/>
      <c r="D2321" s="4"/>
      <c r="E2321" s="1"/>
      <c r="F2321" s="4"/>
      <c r="G2321" s="4"/>
      <c r="H2321" s="9"/>
      <c r="I2321" s="4"/>
      <c r="J2321" s="4"/>
      <c r="K2321" s="1"/>
      <c r="L2321" s="6"/>
      <c r="M2321" s="4"/>
      <c r="N2321" s="4"/>
      <c r="O2321" s="1"/>
      <c r="P2321" s="1"/>
      <c r="Q2321" s="1"/>
      <c r="R2321" s="4"/>
    </row>
    <row r="2322" spans="1:18" x14ac:dyDescent="0.25">
      <c r="A2322" s="1"/>
      <c r="B2322" s="4"/>
      <c r="C2322" s="1"/>
      <c r="D2322" s="4"/>
      <c r="E2322" s="1"/>
      <c r="F2322" s="4"/>
      <c r="G2322" s="4"/>
      <c r="H2322" s="9"/>
      <c r="I2322" s="4"/>
      <c r="J2322" s="4"/>
      <c r="K2322" s="1"/>
      <c r="L2322" s="6"/>
      <c r="M2322" s="4"/>
      <c r="N2322" s="4"/>
      <c r="O2322" s="1"/>
      <c r="P2322" s="1"/>
      <c r="Q2322" s="1"/>
      <c r="R2322" s="4"/>
    </row>
    <row r="2323" spans="1:18" x14ac:dyDescent="0.25">
      <c r="A2323" s="1"/>
      <c r="B2323" s="4"/>
      <c r="C2323" s="1"/>
      <c r="D2323" s="4"/>
      <c r="E2323" s="1"/>
      <c r="F2323" s="4"/>
      <c r="G2323" s="4"/>
      <c r="H2323" s="9"/>
      <c r="I2323" s="4"/>
      <c r="J2323" s="4"/>
      <c r="K2323" s="1"/>
      <c r="L2323" s="6"/>
      <c r="M2323" s="4"/>
      <c r="N2323" s="4"/>
      <c r="O2323" s="1"/>
      <c r="P2323" s="1"/>
      <c r="Q2323" s="1"/>
      <c r="R2323" s="4"/>
    </row>
    <row r="2324" spans="1:18" x14ac:dyDescent="0.25">
      <c r="A2324" s="1"/>
      <c r="B2324" s="4"/>
      <c r="C2324" s="1"/>
      <c r="D2324" s="4"/>
      <c r="E2324" s="1"/>
      <c r="F2324" s="4"/>
      <c r="G2324" s="4"/>
      <c r="H2324" s="9"/>
      <c r="I2324" s="4"/>
      <c r="J2324" s="4"/>
      <c r="K2324" s="1"/>
      <c r="L2324" s="6"/>
      <c r="M2324" s="4"/>
      <c r="N2324" s="4"/>
      <c r="O2324" s="1"/>
      <c r="P2324" s="1"/>
      <c r="Q2324" s="1"/>
      <c r="R2324" s="4"/>
    </row>
    <row r="2325" spans="1:18" x14ac:dyDescent="0.25">
      <c r="A2325" s="1"/>
      <c r="B2325" s="4"/>
      <c r="C2325" s="1"/>
      <c r="D2325" s="4"/>
      <c r="E2325" s="1"/>
      <c r="F2325" s="4"/>
      <c r="G2325" s="4"/>
      <c r="H2325" s="9"/>
      <c r="I2325" s="4"/>
      <c r="J2325" s="4"/>
      <c r="K2325" s="1"/>
      <c r="L2325" s="6"/>
      <c r="M2325" s="4"/>
      <c r="N2325" s="4"/>
      <c r="O2325" s="1"/>
      <c r="P2325" s="1"/>
      <c r="Q2325" s="1"/>
      <c r="R2325" s="4"/>
    </row>
    <row r="2326" spans="1:18" x14ac:dyDescent="0.25">
      <c r="A2326" s="1"/>
      <c r="B2326" s="4"/>
      <c r="C2326" s="1"/>
      <c r="D2326" s="4"/>
      <c r="E2326" s="1"/>
      <c r="F2326" s="4"/>
      <c r="G2326" s="4"/>
      <c r="H2326" s="9"/>
      <c r="I2326" s="4"/>
      <c r="J2326" s="4"/>
      <c r="K2326" s="1"/>
      <c r="L2326" s="6"/>
      <c r="M2326" s="4"/>
      <c r="N2326" s="4"/>
      <c r="O2326" s="1"/>
      <c r="P2326" s="1"/>
      <c r="Q2326" s="1"/>
      <c r="R2326" s="4"/>
    </row>
    <row r="2327" spans="1:18" x14ac:dyDescent="0.25">
      <c r="A2327" s="1"/>
      <c r="B2327" s="4"/>
      <c r="C2327" s="1"/>
      <c r="D2327" s="4"/>
      <c r="E2327" s="1"/>
      <c r="F2327" s="4"/>
      <c r="G2327" s="4"/>
      <c r="H2327" s="9"/>
      <c r="I2327" s="4"/>
      <c r="J2327" s="4"/>
      <c r="K2327" s="1"/>
      <c r="L2327" s="6"/>
      <c r="M2327" s="4"/>
      <c r="N2327" s="4"/>
      <c r="O2327" s="1"/>
      <c r="P2327" s="1"/>
      <c r="Q2327" s="1"/>
      <c r="R2327" s="4"/>
    </row>
    <row r="2328" spans="1:18" x14ac:dyDescent="0.25">
      <c r="A2328" s="1"/>
      <c r="B2328" s="4"/>
      <c r="C2328" s="1"/>
      <c r="D2328" s="4"/>
      <c r="E2328" s="1"/>
      <c r="F2328" s="4"/>
      <c r="G2328" s="4"/>
      <c r="H2328" s="9"/>
      <c r="I2328" s="4"/>
      <c r="J2328" s="4"/>
      <c r="K2328" s="1"/>
      <c r="L2328" s="6"/>
      <c r="M2328" s="4"/>
      <c r="N2328" s="4"/>
      <c r="O2328" s="1"/>
      <c r="P2328" s="1"/>
      <c r="Q2328" s="1"/>
      <c r="R2328" s="4"/>
    </row>
    <row r="2329" spans="1:18" x14ac:dyDescent="0.25">
      <c r="A2329" s="1"/>
      <c r="B2329" s="4"/>
      <c r="C2329" s="1"/>
      <c r="D2329" s="4"/>
      <c r="E2329" s="1"/>
      <c r="F2329" s="4"/>
      <c r="G2329" s="4"/>
      <c r="H2329" s="9"/>
      <c r="I2329" s="4"/>
      <c r="J2329" s="4"/>
      <c r="K2329" s="1"/>
      <c r="L2329" s="6"/>
      <c r="M2329" s="4"/>
      <c r="N2329" s="4"/>
      <c r="O2329" s="1"/>
      <c r="P2329" s="1"/>
      <c r="Q2329" s="1"/>
      <c r="R2329" s="4"/>
    </row>
    <row r="2330" spans="1:18" x14ac:dyDescent="0.25">
      <c r="A2330" s="1"/>
      <c r="B2330" s="4"/>
      <c r="C2330" s="1"/>
      <c r="D2330" s="4"/>
      <c r="E2330" s="1"/>
      <c r="F2330" s="4"/>
      <c r="G2330" s="4"/>
      <c r="H2330" s="9"/>
      <c r="I2330" s="4"/>
      <c r="J2330" s="4"/>
      <c r="K2330" s="1"/>
      <c r="L2330" s="6"/>
      <c r="M2330" s="4"/>
      <c r="N2330" s="4"/>
      <c r="O2330" s="1"/>
      <c r="P2330" s="1"/>
      <c r="Q2330" s="1"/>
      <c r="R2330" s="4"/>
    </row>
    <row r="2331" spans="1:18" x14ac:dyDescent="0.25">
      <c r="A2331" s="1"/>
      <c r="B2331" s="4"/>
      <c r="C2331" s="1"/>
      <c r="D2331" s="4"/>
      <c r="E2331" s="1"/>
      <c r="F2331" s="4"/>
      <c r="G2331" s="4"/>
      <c r="H2331" s="9"/>
      <c r="I2331" s="4"/>
      <c r="J2331" s="4"/>
      <c r="K2331" s="1"/>
      <c r="L2331" s="6"/>
      <c r="M2331" s="4"/>
      <c r="N2331" s="4"/>
      <c r="O2331" s="1"/>
      <c r="P2331" s="1"/>
      <c r="Q2331" s="1"/>
      <c r="R2331" s="4"/>
    </row>
    <row r="2332" spans="1:18" x14ac:dyDescent="0.25">
      <c r="A2332" s="1"/>
      <c r="B2332" s="4"/>
      <c r="C2332" s="1"/>
      <c r="D2332" s="4"/>
      <c r="E2332" s="1"/>
      <c r="F2332" s="4"/>
      <c r="G2332" s="4"/>
      <c r="H2332" s="9"/>
      <c r="I2332" s="4"/>
      <c r="J2332" s="4"/>
      <c r="K2332" s="1"/>
      <c r="L2332" s="6"/>
      <c r="M2332" s="4"/>
      <c r="N2332" s="4"/>
      <c r="O2332" s="1"/>
      <c r="P2332" s="1"/>
      <c r="Q2332" s="1"/>
      <c r="R2332" s="4"/>
    </row>
    <row r="2333" spans="1:18" x14ac:dyDescent="0.25">
      <c r="A2333" s="1"/>
      <c r="B2333" s="4"/>
      <c r="C2333" s="1"/>
      <c r="D2333" s="4"/>
      <c r="E2333" s="1"/>
      <c r="F2333" s="4"/>
      <c r="G2333" s="4"/>
      <c r="H2333" s="9"/>
      <c r="I2333" s="4"/>
      <c r="J2333" s="4"/>
      <c r="K2333" s="1"/>
      <c r="L2333" s="6"/>
      <c r="M2333" s="4"/>
      <c r="N2333" s="4"/>
      <c r="O2333" s="1"/>
      <c r="P2333" s="1"/>
      <c r="Q2333" s="1"/>
      <c r="R2333" s="4"/>
    </row>
    <row r="2334" spans="1:18" x14ac:dyDescent="0.25">
      <c r="A2334" s="1"/>
      <c r="B2334" s="4"/>
      <c r="C2334" s="1"/>
      <c r="D2334" s="4"/>
      <c r="E2334" s="1"/>
      <c r="F2334" s="4"/>
      <c r="G2334" s="4"/>
      <c r="H2334" s="9"/>
      <c r="I2334" s="4"/>
      <c r="J2334" s="4"/>
      <c r="K2334" s="1"/>
      <c r="L2334" s="6"/>
      <c r="M2334" s="4"/>
      <c r="N2334" s="4"/>
      <c r="O2334" s="1"/>
      <c r="P2334" s="1"/>
      <c r="Q2334" s="1"/>
      <c r="R2334" s="4"/>
    </row>
    <row r="2335" spans="1:18" x14ac:dyDescent="0.25">
      <c r="A2335" s="1"/>
      <c r="B2335" s="4"/>
      <c r="C2335" s="1"/>
      <c r="D2335" s="4"/>
      <c r="E2335" s="1"/>
      <c r="F2335" s="4"/>
      <c r="G2335" s="4"/>
      <c r="H2335" s="9"/>
      <c r="I2335" s="4"/>
      <c r="J2335" s="4"/>
      <c r="K2335" s="1"/>
      <c r="L2335" s="6"/>
      <c r="M2335" s="4"/>
      <c r="N2335" s="4"/>
      <c r="O2335" s="1"/>
      <c r="P2335" s="1"/>
      <c r="Q2335" s="1"/>
      <c r="R2335" s="4"/>
    </row>
    <row r="2336" spans="1:18" x14ac:dyDescent="0.25">
      <c r="A2336" s="1"/>
      <c r="B2336" s="4"/>
      <c r="C2336" s="1"/>
      <c r="D2336" s="4"/>
      <c r="E2336" s="1"/>
      <c r="F2336" s="4"/>
      <c r="G2336" s="4"/>
      <c r="H2336" s="9"/>
      <c r="I2336" s="4"/>
      <c r="J2336" s="4"/>
      <c r="K2336" s="1"/>
      <c r="L2336" s="6"/>
      <c r="M2336" s="4"/>
      <c r="N2336" s="4"/>
      <c r="O2336" s="1"/>
      <c r="P2336" s="1"/>
      <c r="Q2336" s="1"/>
      <c r="R2336" s="4"/>
    </row>
    <row r="2337" spans="1:18" x14ac:dyDescent="0.25">
      <c r="A2337" s="1"/>
      <c r="B2337" s="4"/>
      <c r="C2337" s="1"/>
      <c r="D2337" s="4"/>
      <c r="E2337" s="1"/>
      <c r="F2337" s="4"/>
      <c r="G2337" s="4"/>
      <c r="H2337" s="9"/>
      <c r="I2337" s="4"/>
      <c r="J2337" s="4"/>
      <c r="K2337" s="1"/>
      <c r="L2337" s="6"/>
      <c r="M2337" s="4"/>
      <c r="N2337" s="4"/>
      <c r="O2337" s="1"/>
      <c r="P2337" s="1"/>
      <c r="Q2337" s="1"/>
      <c r="R2337" s="4"/>
    </row>
    <row r="2338" spans="1:18" x14ac:dyDescent="0.25">
      <c r="A2338" s="1"/>
      <c r="B2338" s="4"/>
      <c r="C2338" s="1"/>
      <c r="D2338" s="4"/>
      <c r="E2338" s="1"/>
      <c r="F2338" s="4"/>
      <c r="G2338" s="4"/>
      <c r="H2338" s="9"/>
      <c r="I2338" s="4"/>
      <c r="J2338" s="4"/>
      <c r="K2338" s="1"/>
      <c r="L2338" s="6"/>
      <c r="M2338" s="4"/>
      <c r="N2338" s="4"/>
      <c r="O2338" s="1"/>
      <c r="P2338" s="1"/>
      <c r="Q2338" s="1"/>
      <c r="R2338" s="4"/>
    </row>
    <row r="2339" spans="1:18" x14ac:dyDescent="0.25">
      <c r="A2339" s="1"/>
      <c r="B2339" s="4"/>
      <c r="C2339" s="1"/>
      <c r="D2339" s="4"/>
      <c r="E2339" s="1"/>
      <c r="F2339" s="4"/>
      <c r="G2339" s="4"/>
      <c r="H2339" s="9"/>
      <c r="I2339" s="4"/>
      <c r="J2339" s="4"/>
      <c r="K2339" s="1"/>
      <c r="L2339" s="6"/>
      <c r="M2339" s="4"/>
      <c r="N2339" s="4"/>
      <c r="O2339" s="1"/>
      <c r="P2339" s="1"/>
      <c r="Q2339" s="1"/>
      <c r="R2339" s="4"/>
    </row>
    <row r="2340" spans="1:18" x14ac:dyDescent="0.25">
      <c r="A2340" s="1"/>
      <c r="B2340" s="4"/>
      <c r="C2340" s="1"/>
      <c r="D2340" s="4"/>
      <c r="E2340" s="1"/>
      <c r="F2340" s="4"/>
      <c r="G2340" s="4"/>
      <c r="H2340" s="9"/>
      <c r="I2340" s="4"/>
      <c r="J2340" s="4"/>
      <c r="K2340" s="1"/>
      <c r="L2340" s="6"/>
      <c r="M2340" s="4"/>
      <c r="N2340" s="4"/>
      <c r="O2340" s="1"/>
      <c r="P2340" s="1"/>
      <c r="Q2340" s="1"/>
      <c r="R2340" s="4"/>
    </row>
    <row r="2341" spans="1:18" x14ac:dyDescent="0.25">
      <c r="A2341" s="1"/>
      <c r="B2341" s="4"/>
      <c r="C2341" s="1"/>
      <c r="D2341" s="4"/>
      <c r="E2341" s="1"/>
      <c r="F2341" s="4"/>
      <c r="G2341" s="4"/>
      <c r="H2341" s="9"/>
      <c r="I2341" s="4"/>
      <c r="J2341" s="4"/>
      <c r="K2341" s="1"/>
      <c r="L2341" s="6"/>
      <c r="M2341" s="4"/>
      <c r="N2341" s="4"/>
      <c r="O2341" s="1"/>
      <c r="P2341" s="1"/>
      <c r="Q2341" s="1"/>
      <c r="R2341" s="4"/>
    </row>
    <row r="2342" spans="1:18" x14ac:dyDescent="0.25">
      <c r="A2342" s="1"/>
      <c r="B2342" s="4"/>
      <c r="C2342" s="1"/>
      <c r="D2342" s="4"/>
      <c r="E2342" s="1"/>
      <c r="F2342" s="4"/>
      <c r="G2342" s="4"/>
      <c r="H2342" s="9"/>
      <c r="I2342" s="4"/>
      <c r="J2342" s="4"/>
      <c r="K2342" s="1"/>
      <c r="L2342" s="6"/>
      <c r="M2342" s="4"/>
      <c r="N2342" s="4"/>
      <c r="O2342" s="1"/>
      <c r="P2342" s="1"/>
      <c r="Q2342" s="1"/>
      <c r="R2342" s="4"/>
    </row>
    <row r="2343" spans="1:18" x14ac:dyDescent="0.25">
      <c r="A2343" s="1"/>
      <c r="B2343" s="4"/>
      <c r="C2343" s="1"/>
      <c r="D2343" s="4"/>
      <c r="E2343" s="1"/>
      <c r="F2343" s="4"/>
      <c r="G2343" s="4"/>
      <c r="H2343" s="9"/>
      <c r="I2343" s="4"/>
      <c r="J2343" s="4"/>
      <c r="K2343" s="1"/>
      <c r="L2343" s="6"/>
      <c r="M2343" s="4"/>
      <c r="N2343" s="4"/>
      <c r="O2343" s="1"/>
      <c r="P2343" s="1"/>
      <c r="Q2343" s="1"/>
      <c r="R2343" s="4"/>
    </row>
    <row r="2344" spans="1:18" x14ac:dyDescent="0.25">
      <c r="A2344" s="1"/>
      <c r="B2344" s="4"/>
      <c r="C2344" s="1"/>
      <c r="D2344" s="4"/>
      <c r="E2344" s="1"/>
      <c r="F2344" s="4"/>
      <c r="G2344" s="4"/>
      <c r="H2344" s="9"/>
      <c r="I2344" s="4"/>
      <c r="J2344" s="4"/>
      <c r="K2344" s="1"/>
      <c r="L2344" s="6"/>
      <c r="M2344" s="4"/>
      <c r="N2344" s="4"/>
      <c r="O2344" s="1"/>
      <c r="P2344" s="1"/>
      <c r="Q2344" s="1"/>
      <c r="R2344" s="4"/>
    </row>
    <row r="2345" spans="1:18" x14ac:dyDescent="0.25">
      <c r="A2345" s="1"/>
      <c r="B2345" s="4"/>
      <c r="C2345" s="1"/>
      <c r="D2345" s="4"/>
      <c r="E2345" s="1"/>
      <c r="F2345" s="4"/>
      <c r="G2345" s="4"/>
      <c r="H2345" s="9"/>
      <c r="I2345" s="4"/>
      <c r="J2345" s="4"/>
      <c r="K2345" s="1"/>
      <c r="L2345" s="6"/>
      <c r="M2345" s="4"/>
      <c r="N2345" s="4"/>
      <c r="O2345" s="1"/>
      <c r="P2345" s="1"/>
      <c r="Q2345" s="1"/>
      <c r="R2345" s="4"/>
    </row>
    <row r="2346" spans="1:18" x14ac:dyDescent="0.25">
      <c r="A2346" s="1"/>
      <c r="B2346" s="4"/>
      <c r="C2346" s="1"/>
      <c r="D2346" s="4"/>
      <c r="E2346" s="1"/>
      <c r="F2346" s="4"/>
      <c r="G2346" s="4"/>
      <c r="H2346" s="9"/>
      <c r="I2346" s="4"/>
      <c r="J2346" s="4"/>
      <c r="K2346" s="1"/>
      <c r="L2346" s="6"/>
      <c r="M2346" s="4"/>
      <c r="N2346" s="4"/>
      <c r="O2346" s="1"/>
      <c r="P2346" s="1"/>
      <c r="Q2346" s="1"/>
      <c r="R2346" s="4"/>
    </row>
    <row r="2347" spans="1:18" x14ac:dyDescent="0.25">
      <c r="A2347" s="1"/>
      <c r="B2347" s="4"/>
      <c r="C2347" s="1"/>
      <c r="D2347" s="4"/>
      <c r="E2347" s="1"/>
      <c r="F2347" s="4"/>
      <c r="G2347" s="4"/>
      <c r="H2347" s="9"/>
      <c r="I2347" s="4"/>
      <c r="J2347" s="4"/>
      <c r="K2347" s="1"/>
      <c r="L2347" s="6"/>
      <c r="M2347" s="4"/>
      <c r="N2347" s="4"/>
      <c r="O2347" s="1"/>
      <c r="P2347" s="1"/>
      <c r="Q2347" s="1"/>
      <c r="R2347" s="4"/>
    </row>
    <row r="2348" spans="1:18" x14ac:dyDescent="0.25">
      <c r="A2348" s="1"/>
      <c r="B2348" s="4"/>
      <c r="C2348" s="1"/>
      <c r="D2348" s="4"/>
      <c r="E2348" s="1"/>
      <c r="F2348" s="4"/>
      <c r="G2348" s="4"/>
      <c r="H2348" s="9"/>
      <c r="I2348" s="4"/>
      <c r="J2348" s="4"/>
      <c r="K2348" s="1"/>
      <c r="L2348" s="6"/>
      <c r="M2348" s="4"/>
      <c r="N2348" s="4"/>
      <c r="O2348" s="1"/>
      <c r="P2348" s="1"/>
      <c r="Q2348" s="1"/>
      <c r="R2348" s="4"/>
    </row>
    <row r="2349" spans="1:18" x14ac:dyDescent="0.25">
      <c r="A2349" s="1"/>
      <c r="B2349" s="4"/>
      <c r="C2349" s="1"/>
      <c r="D2349" s="4"/>
      <c r="E2349" s="1"/>
      <c r="F2349" s="4"/>
      <c r="G2349" s="4"/>
      <c r="H2349" s="9"/>
      <c r="I2349" s="4"/>
      <c r="J2349" s="4"/>
      <c r="K2349" s="1"/>
      <c r="L2349" s="6"/>
      <c r="M2349" s="4"/>
      <c r="N2349" s="4"/>
      <c r="O2349" s="1"/>
      <c r="P2349" s="1"/>
      <c r="Q2349" s="1"/>
      <c r="R2349" s="4"/>
    </row>
    <row r="2350" spans="1:18" x14ac:dyDescent="0.25">
      <c r="A2350" s="1"/>
      <c r="B2350" s="4"/>
      <c r="C2350" s="1"/>
      <c r="D2350" s="4"/>
      <c r="E2350" s="1"/>
      <c r="F2350" s="4"/>
      <c r="G2350" s="4"/>
      <c r="H2350" s="9"/>
      <c r="I2350" s="4"/>
      <c r="J2350" s="4"/>
      <c r="K2350" s="1"/>
      <c r="L2350" s="6"/>
      <c r="M2350" s="4"/>
      <c r="N2350" s="4"/>
      <c r="O2350" s="1"/>
      <c r="P2350" s="1"/>
      <c r="Q2350" s="1"/>
      <c r="R2350" s="4"/>
    </row>
  </sheetData>
  <hyperlinks>
    <hyperlink ref="K2" r:id="rId1" xr:uid="{00000000-0004-0000-0600-000000000000}"/>
    <hyperlink ref="K3" r:id="rId2" xr:uid="{00000000-0004-0000-0600-000001000000}"/>
    <hyperlink ref="K4" r:id="rId3" xr:uid="{00000000-0004-0000-0600-000002000000}"/>
    <hyperlink ref="K5" r:id="rId4" xr:uid="{00000000-0004-0000-0600-000003000000}"/>
    <hyperlink ref="K6" r:id="rId5" xr:uid="{00000000-0004-0000-0600-000004000000}"/>
    <hyperlink ref="K7" r:id="rId6" xr:uid="{00000000-0004-0000-0600-000005000000}"/>
    <hyperlink ref="K8" r:id="rId7" xr:uid="{00000000-0004-0000-0600-000006000000}"/>
    <hyperlink ref="K9" r:id="rId8" xr:uid="{00000000-0004-0000-0600-000007000000}"/>
    <hyperlink ref="K10" r:id="rId9" xr:uid="{00000000-0004-0000-0600-000008000000}"/>
    <hyperlink ref="K11" r:id="rId10" xr:uid="{00000000-0004-0000-0600-000009000000}"/>
    <hyperlink ref="K12" r:id="rId11" xr:uid="{00000000-0004-0000-0600-00000A000000}"/>
    <hyperlink ref="K13" r:id="rId12" xr:uid="{00000000-0004-0000-0600-00000B000000}"/>
    <hyperlink ref="K14" r:id="rId13" xr:uid="{00000000-0004-0000-0600-00000C000000}"/>
    <hyperlink ref="K15" r:id="rId14" xr:uid="{00000000-0004-0000-0600-00000D000000}"/>
    <hyperlink ref="K16" r:id="rId15" xr:uid="{00000000-0004-0000-0600-00000E000000}"/>
    <hyperlink ref="K17" r:id="rId16" xr:uid="{00000000-0004-0000-0600-00000F000000}"/>
    <hyperlink ref="K18" r:id="rId17" xr:uid="{00000000-0004-0000-0600-000010000000}"/>
    <hyperlink ref="K19" r:id="rId18" xr:uid="{00000000-0004-0000-0600-000011000000}"/>
    <hyperlink ref="N20" r:id="rId19" xr:uid="{00000000-0004-0000-0600-000012000000}"/>
    <hyperlink ref="N21" r:id="rId20" xr:uid="{00000000-0004-0000-0600-000013000000}"/>
    <hyperlink ref="N22" r:id="rId21" xr:uid="{00000000-0004-0000-0600-000014000000}"/>
    <hyperlink ref="N23" r:id="rId22" xr:uid="{00000000-0004-0000-0600-000015000000}"/>
    <hyperlink ref="N24" r:id="rId23" xr:uid="{00000000-0004-0000-0600-000016000000}"/>
    <hyperlink ref="N25" r:id="rId24" xr:uid="{00000000-0004-0000-0600-000017000000}"/>
    <hyperlink ref="N26" r:id="rId25" xr:uid="{00000000-0004-0000-0600-000018000000}"/>
    <hyperlink ref="N27" r:id="rId26" xr:uid="{00000000-0004-0000-0600-000019000000}"/>
    <hyperlink ref="N28" r:id="rId27" xr:uid="{00000000-0004-0000-0600-00001A000000}"/>
    <hyperlink ref="N29" r:id="rId28" xr:uid="{00000000-0004-0000-0600-00001B000000}"/>
    <hyperlink ref="N30" r:id="rId29" xr:uid="{00000000-0004-0000-0600-00001C000000}"/>
    <hyperlink ref="N31" r:id="rId30" xr:uid="{00000000-0004-0000-0600-00001D000000}"/>
    <hyperlink ref="N32" r:id="rId31" xr:uid="{00000000-0004-0000-0600-00001E000000}"/>
    <hyperlink ref="N33" r:id="rId32" xr:uid="{00000000-0004-0000-0600-00001F000000}"/>
    <hyperlink ref="N34" r:id="rId33" xr:uid="{00000000-0004-0000-0600-000020000000}"/>
    <hyperlink ref="N35" r:id="rId34" xr:uid="{00000000-0004-0000-0600-000021000000}"/>
    <hyperlink ref="N36" r:id="rId35" xr:uid="{00000000-0004-0000-0600-000022000000}"/>
    <hyperlink ref="N37" r:id="rId36" xr:uid="{00000000-0004-0000-0600-000023000000}"/>
    <hyperlink ref="N38" r:id="rId37" xr:uid="{00000000-0004-0000-0600-000024000000}"/>
    <hyperlink ref="N39" r:id="rId38" xr:uid="{00000000-0004-0000-0600-000025000000}"/>
    <hyperlink ref="N40" r:id="rId39" xr:uid="{00000000-0004-0000-0600-000026000000}"/>
    <hyperlink ref="N41" r:id="rId40" xr:uid="{00000000-0004-0000-0600-000027000000}"/>
    <hyperlink ref="N42" r:id="rId41" xr:uid="{00000000-0004-0000-0600-000028000000}"/>
    <hyperlink ref="N43" r:id="rId42" xr:uid="{00000000-0004-0000-0600-000029000000}"/>
    <hyperlink ref="N44" r:id="rId43" xr:uid="{00000000-0004-0000-0600-00002A000000}"/>
    <hyperlink ref="N45" r:id="rId44" xr:uid="{00000000-0004-0000-0600-00002B000000}"/>
    <hyperlink ref="N46" r:id="rId45" xr:uid="{00000000-0004-0000-0600-00002C000000}"/>
    <hyperlink ref="N47" r:id="rId46" xr:uid="{00000000-0004-0000-0600-00002D000000}"/>
    <hyperlink ref="N48" r:id="rId47" xr:uid="{00000000-0004-0000-0600-00002E000000}"/>
    <hyperlink ref="N49" r:id="rId48" xr:uid="{00000000-0004-0000-0600-00002F000000}"/>
    <hyperlink ref="N50" r:id="rId49" xr:uid="{00000000-0004-0000-0600-000030000000}"/>
    <hyperlink ref="N51" r:id="rId50" xr:uid="{00000000-0004-0000-0600-000031000000}"/>
    <hyperlink ref="N52" r:id="rId51" xr:uid="{00000000-0004-0000-0600-000032000000}"/>
    <hyperlink ref="N53" r:id="rId52" xr:uid="{00000000-0004-0000-0600-000033000000}"/>
    <hyperlink ref="N54" r:id="rId53" xr:uid="{00000000-0004-0000-0600-000034000000}"/>
    <hyperlink ref="N55" r:id="rId54" xr:uid="{00000000-0004-0000-0600-000035000000}"/>
    <hyperlink ref="N56" r:id="rId55" xr:uid="{00000000-0004-0000-0600-000036000000}"/>
    <hyperlink ref="N57" r:id="rId56" xr:uid="{00000000-0004-0000-0600-000037000000}"/>
    <hyperlink ref="N58" r:id="rId57" xr:uid="{00000000-0004-0000-0600-000038000000}"/>
    <hyperlink ref="N59" r:id="rId58" xr:uid="{00000000-0004-0000-0600-000039000000}"/>
    <hyperlink ref="N60" r:id="rId59" xr:uid="{00000000-0004-0000-0600-00003A000000}"/>
    <hyperlink ref="N61" r:id="rId60" xr:uid="{00000000-0004-0000-0600-00003B000000}"/>
    <hyperlink ref="N62" r:id="rId61" xr:uid="{00000000-0004-0000-0600-00003C000000}"/>
    <hyperlink ref="N63" r:id="rId62" xr:uid="{00000000-0004-0000-0600-00003D000000}"/>
    <hyperlink ref="N64" r:id="rId63" xr:uid="{00000000-0004-0000-0600-00003E000000}"/>
    <hyperlink ref="N65" r:id="rId64" xr:uid="{00000000-0004-0000-0600-00003F000000}"/>
    <hyperlink ref="N66" r:id="rId65" xr:uid="{00000000-0004-0000-0600-000040000000}"/>
    <hyperlink ref="N67" r:id="rId66" xr:uid="{00000000-0004-0000-0600-000041000000}"/>
    <hyperlink ref="N68" r:id="rId67" xr:uid="{00000000-0004-0000-0600-000042000000}"/>
    <hyperlink ref="N69" r:id="rId68" xr:uid="{00000000-0004-0000-0600-000043000000}"/>
    <hyperlink ref="N70" r:id="rId69" xr:uid="{00000000-0004-0000-0600-000044000000}"/>
    <hyperlink ref="N71" r:id="rId70" xr:uid="{00000000-0004-0000-0600-000045000000}"/>
    <hyperlink ref="N72" r:id="rId71" xr:uid="{00000000-0004-0000-0600-000046000000}"/>
    <hyperlink ref="N73" r:id="rId72" xr:uid="{00000000-0004-0000-0600-000047000000}"/>
    <hyperlink ref="N74" r:id="rId73" xr:uid="{00000000-0004-0000-0600-000048000000}"/>
    <hyperlink ref="N75" r:id="rId74" xr:uid="{00000000-0004-0000-0600-000049000000}"/>
    <hyperlink ref="N76" r:id="rId75" xr:uid="{00000000-0004-0000-0600-00004A000000}"/>
    <hyperlink ref="N77" r:id="rId76" xr:uid="{00000000-0004-0000-0600-00004B000000}"/>
    <hyperlink ref="N78" r:id="rId77" xr:uid="{00000000-0004-0000-0600-00004C000000}"/>
    <hyperlink ref="N79" r:id="rId78" xr:uid="{00000000-0004-0000-0600-00004D000000}"/>
    <hyperlink ref="N80" r:id="rId79" xr:uid="{00000000-0004-0000-0600-00004E000000}"/>
    <hyperlink ref="N81" r:id="rId80" xr:uid="{00000000-0004-0000-0600-00004F000000}"/>
    <hyperlink ref="N82" r:id="rId81" xr:uid="{00000000-0004-0000-0600-000050000000}"/>
    <hyperlink ref="N83" r:id="rId82" xr:uid="{00000000-0004-0000-0600-000051000000}"/>
    <hyperlink ref="N84" r:id="rId83" xr:uid="{00000000-0004-0000-0600-000052000000}"/>
    <hyperlink ref="N85" r:id="rId84" xr:uid="{00000000-0004-0000-0600-000053000000}"/>
    <hyperlink ref="N86" r:id="rId85" xr:uid="{00000000-0004-0000-0600-000054000000}"/>
    <hyperlink ref="N87" r:id="rId86" xr:uid="{00000000-0004-0000-0600-000055000000}"/>
    <hyperlink ref="N88" r:id="rId87" xr:uid="{00000000-0004-0000-0600-000056000000}"/>
    <hyperlink ref="N89" r:id="rId88" xr:uid="{00000000-0004-0000-0600-000057000000}"/>
    <hyperlink ref="N90" r:id="rId89" xr:uid="{00000000-0004-0000-0600-000058000000}"/>
    <hyperlink ref="N91" r:id="rId90" xr:uid="{00000000-0004-0000-0600-000059000000}"/>
    <hyperlink ref="N92" r:id="rId91" xr:uid="{00000000-0004-0000-0600-00005A000000}"/>
    <hyperlink ref="N93" r:id="rId92" xr:uid="{00000000-0004-0000-0600-00005B000000}"/>
    <hyperlink ref="N94" r:id="rId93" xr:uid="{00000000-0004-0000-0600-00005C000000}"/>
    <hyperlink ref="N95" r:id="rId94" xr:uid="{00000000-0004-0000-0600-00005D000000}"/>
    <hyperlink ref="N96" r:id="rId95" xr:uid="{00000000-0004-0000-0600-00005E000000}"/>
    <hyperlink ref="N97" r:id="rId96" xr:uid="{00000000-0004-0000-0600-00005F000000}"/>
    <hyperlink ref="N98" r:id="rId97" xr:uid="{00000000-0004-0000-0600-000060000000}"/>
    <hyperlink ref="N99" r:id="rId98" xr:uid="{00000000-0004-0000-0600-000061000000}"/>
    <hyperlink ref="N100" r:id="rId99" xr:uid="{00000000-0004-0000-0600-000062000000}"/>
    <hyperlink ref="N101" r:id="rId100" xr:uid="{00000000-0004-0000-0600-000063000000}"/>
    <hyperlink ref="N102" r:id="rId101" xr:uid="{00000000-0004-0000-0600-000064000000}"/>
    <hyperlink ref="N103" r:id="rId102" xr:uid="{00000000-0004-0000-0600-000065000000}"/>
    <hyperlink ref="N104" r:id="rId103" xr:uid="{00000000-0004-0000-0600-000066000000}"/>
    <hyperlink ref="N105" r:id="rId104" xr:uid="{00000000-0004-0000-0600-000067000000}"/>
    <hyperlink ref="N106" r:id="rId105" xr:uid="{00000000-0004-0000-0600-000068000000}"/>
    <hyperlink ref="N107" r:id="rId106" xr:uid="{00000000-0004-0000-0600-000069000000}"/>
    <hyperlink ref="N108" r:id="rId107" xr:uid="{00000000-0004-0000-0600-00006A000000}"/>
    <hyperlink ref="N109" r:id="rId108" xr:uid="{00000000-0004-0000-0600-00006B000000}"/>
    <hyperlink ref="N110" r:id="rId109" xr:uid="{00000000-0004-0000-0600-00006C000000}"/>
    <hyperlink ref="N111" r:id="rId110" xr:uid="{00000000-0004-0000-0600-00006D000000}"/>
    <hyperlink ref="N112" r:id="rId111" xr:uid="{00000000-0004-0000-0600-00006E000000}"/>
    <hyperlink ref="N113" r:id="rId112" xr:uid="{00000000-0004-0000-0600-00006F000000}"/>
    <hyperlink ref="N114" r:id="rId113" xr:uid="{00000000-0004-0000-0600-000070000000}"/>
    <hyperlink ref="N115" r:id="rId114" xr:uid="{00000000-0004-0000-0600-000071000000}"/>
    <hyperlink ref="N116" r:id="rId115" xr:uid="{00000000-0004-0000-0600-000072000000}"/>
    <hyperlink ref="N117" r:id="rId116" xr:uid="{00000000-0004-0000-0600-000073000000}"/>
    <hyperlink ref="N118" r:id="rId117" xr:uid="{00000000-0004-0000-0600-000074000000}"/>
    <hyperlink ref="N119" r:id="rId118" xr:uid="{00000000-0004-0000-0600-000075000000}"/>
    <hyperlink ref="N120" r:id="rId119" xr:uid="{00000000-0004-0000-0600-000076000000}"/>
    <hyperlink ref="N121" r:id="rId120" xr:uid="{00000000-0004-0000-0600-000077000000}"/>
    <hyperlink ref="N122" r:id="rId121" xr:uid="{00000000-0004-0000-0600-000078000000}"/>
    <hyperlink ref="N123" r:id="rId122" xr:uid="{00000000-0004-0000-0600-000079000000}"/>
    <hyperlink ref="N124" r:id="rId123" xr:uid="{00000000-0004-0000-0600-00007A000000}"/>
    <hyperlink ref="N125" r:id="rId124" xr:uid="{00000000-0004-0000-0600-00007B000000}"/>
    <hyperlink ref="N126" r:id="rId125" xr:uid="{00000000-0004-0000-0600-00007C000000}"/>
    <hyperlink ref="N127" r:id="rId126" xr:uid="{00000000-0004-0000-0600-00007D000000}"/>
    <hyperlink ref="N128" r:id="rId127" xr:uid="{00000000-0004-0000-0600-00007E000000}"/>
    <hyperlink ref="N129" r:id="rId128" xr:uid="{00000000-0004-0000-0600-00007F000000}"/>
    <hyperlink ref="N130" r:id="rId129" xr:uid="{00000000-0004-0000-0600-000080000000}"/>
    <hyperlink ref="N131" r:id="rId130" xr:uid="{00000000-0004-0000-0600-000081000000}"/>
    <hyperlink ref="N132" r:id="rId131" xr:uid="{00000000-0004-0000-0600-000082000000}"/>
    <hyperlink ref="N133" r:id="rId132" xr:uid="{00000000-0004-0000-0600-000083000000}"/>
    <hyperlink ref="N134" r:id="rId133" xr:uid="{00000000-0004-0000-0600-000084000000}"/>
    <hyperlink ref="N135" r:id="rId134" xr:uid="{00000000-0004-0000-0600-000085000000}"/>
    <hyperlink ref="N136" r:id="rId135" xr:uid="{00000000-0004-0000-0600-000086000000}"/>
    <hyperlink ref="N137" r:id="rId136" xr:uid="{00000000-0004-0000-0600-000087000000}"/>
    <hyperlink ref="N138" r:id="rId137" xr:uid="{00000000-0004-0000-0600-000088000000}"/>
    <hyperlink ref="N139" r:id="rId138" xr:uid="{00000000-0004-0000-0600-000089000000}"/>
    <hyperlink ref="N140" r:id="rId139" xr:uid="{00000000-0004-0000-0600-00008A000000}"/>
    <hyperlink ref="N141" r:id="rId140" xr:uid="{00000000-0004-0000-0600-00008B000000}"/>
    <hyperlink ref="N142" r:id="rId141" xr:uid="{00000000-0004-0000-0600-00008C000000}"/>
    <hyperlink ref="N143" r:id="rId142" xr:uid="{00000000-0004-0000-0600-00008D000000}"/>
    <hyperlink ref="N144" r:id="rId143" xr:uid="{00000000-0004-0000-0600-00008E000000}"/>
    <hyperlink ref="N145" r:id="rId144" xr:uid="{00000000-0004-0000-0600-00008F000000}"/>
    <hyperlink ref="N146" r:id="rId145" xr:uid="{00000000-0004-0000-0600-000090000000}"/>
    <hyperlink ref="N147" r:id="rId146" xr:uid="{00000000-0004-0000-0600-000091000000}"/>
    <hyperlink ref="N148" r:id="rId147" xr:uid="{00000000-0004-0000-0600-000092000000}"/>
    <hyperlink ref="N149" r:id="rId148" xr:uid="{00000000-0004-0000-0600-000093000000}"/>
    <hyperlink ref="N150" r:id="rId149" xr:uid="{00000000-0004-0000-0600-000094000000}"/>
    <hyperlink ref="N151" r:id="rId150" xr:uid="{00000000-0004-0000-0600-000095000000}"/>
    <hyperlink ref="N152" r:id="rId151" xr:uid="{00000000-0004-0000-0600-000096000000}"/>
    <hyperlink ref="N153" r:id="rId152" xr:uid="{00000000-0004-0000-0600-000097000000}"/>
    <hyperlink ref="N154" r:id="rId153" xr:uid="{00000000-0004-0000-0600-000098000000}"/>
    <hyperlink ref="N155" r:id="rId154" xr:uid="{00000000-0004-0000-0600-000099000000}"/>
    <hyperlink ref="N156" r:id="rId155" xr:uid="{00000000-0004-0000-0600-00009A000000}"/>
    <hyperlink ref="N157" r:id="rId156" xr:uid="{00000000-0004-0000-0600-00009B000000}"/>
    <hyperlink ref="N158" r:id="rId157" xr:uid="{00000000-0004-0000-0600-00009C000000}"/>
    <hyperlink ref="N159" r:id="rId158" xr:uid="{00000000-0004-0000-0600-00009D000000}"/>
    <hyperlink ref="N160" r:id="rId159" xr:uid="{00000000-0004-0000-0600-00009E000000}"/>
    <hyperlink ref="N161" r:id="rId160" xr:uid="{00000000-0004-0000-0600-00009F000000}"/>
    <hyperlink ref="N162" r:id="rId161" xr:uid="{00000000-0004-0000-0600-0000A0000000}"/>
    <hyperlink ref="N163" r:id="rId162" xr:uid="{00000000-0004-0000-0600-0000A1000000}"/>
    <hyperlink ref="N164" r:id="rId163" xr:uid="{00000000-0004-0000-0600-0000A2000000}"/>
    <hyperlink ref="N165" r:id="rId164" xr:uid="{00000000-0004-0000-0600-0000A3000000}"/>
    <hyperlink ref="N166" r:id="rId165" xr:uid="{00000000-0004-0000-0600-0000A4000000}"/>
    <hyperlink ref="N167" r:id="rId166" xr:uid="{00000000-0004-0000-0600-0000A5000000}"/>
    <hyperlink ref="N168" r:id="rId167" xr:uid="{00000000-0004-0000-0600-0000A6000000}"/>
    <hyperlink ref="N169" r:id="rId168" xr:uid="{00000000-0004-0000-0600-0000A7000000}"/>
    <hyperlink ref="N170" r:id="rId169" xr:uid="{00000000-0004-0000-0600-0000A8000000}"/>
    <hyperlink ref="N171" r:id="rId170" xr:uid="{00000000-0004-0000-0600-0000A9000000}"/>
    <hyperlink ref="N172" r:id="rId171" xr:uid="{00000000-0004-0000-0600-0000AA000000}"/>
    <hyperlink ref="N173" r:id="rId172" xr:uid="{00000000-0004-0000-0600-0000AB000000}"/>
    <hyperlink ref="N174" r:id="rId173" xr:uid="{00000000-0004-0000-0600-0000AC000000}"/>
    <hyperlink ref="N175" r:id="rId174" xr:uid="{00000000-0004-0000-0600-0000AD000000}"/>
    <hyperlink ref="N176" r:id="rId175" xr:uid="{00000000-0004-0000-0600-0000AE000000}"/>
    <hyperlink ref="N177" r:id="rId176" xr:uid="{00000000-0004-0000-0600-0000AF000000}"/>
    <hyperlink ref="N178" r:id="rId177" xr:uid="{00000000-0004-0000-0600-0000B0000000}"/>
    <hyperlink ref="N179" r:id="rId178" xr:uid="{00000000-0004-0000-0600-0000B1000000}"/>
    <hyperlink ref="N180" r:id="rId179" xr:uid="{00000000-0004-0000-0600-0000B2000000}"/>
    <hyperlink ref="N181" r:id="rId180" xr:uid="{00000000-0004-0000-0600-0000B3000000}"/>
    <hyperlink ref="N182" r:id="rId181" xr:uid="{00000000-0004-0000-0600-0000B4000000}"/>
    <hyperlink ref="N183" r:id="rId182" xr:uid="{00000000-0004-0000-0600-0000B5000000}"/>
    <hyperlink ref="N184" r:id="rId183" xr:uid="{00000000-0004-0000-0600-0000B6000000}"/>
    <hyperlink ref="N185" r:id="rId184" xr:uid="{00000000-0004-0000-0600-0000B7000000}"/>
    <hyperlink ref="N186" r:id="rId185" xr:uid="{00000000-0004-0000-0600-0000B8000000}"/>
    <hyperlink ref="N187" r:id="rId186" xr:uid="{00000000-0004-0000-0600-0000B9000000}"/>
    <hyperlink ref="N188" r:id="rId187" xr:uid="{00000000-0004-0000-0600-0000BA000000}"/>
    <hyperlink ref="N189" r:id="rId188" xr:uid="{00000000-0004-0000-0600-0000BB000000}"/>
    <hyperlink ref="N190" r:id="rId189" xr:uid="{00000000-0004-0000-0600-0000BC000000}"/>
    <hyperlink ref="N191" r:id="rId190" xr:uid="{00000000-0004-0000-0600-0000BD000000}"/>
    <hyperlink ref="N192" r:id="rId191" xr:uid="{00000000-0004-0000-0600-0000BE000000}"/>
    <hyperlink ref="N193" r:id="rId192" xr:uid="{00000000-0004-0000-0600-0000BF000000}"/>
    <hyperlink ref="N194" r:id="rId193" xr:uid="{00000000-0004-0000-0600-0000C0000000}"/>
    <hyperlink ref="N195" r:id="rId194" xr:uid="{00000000-0004-0000-0600-0000C1000000}"/>
    <hyperlink ref="N196" r:id="rId195" xr:uid="{00000000-0004-0000-0600-0000C2000000}"/>
    <hyperlink ref="N197" r:id="rId196" xr:uid="{00000000-0004-0000-0600-0000C3000000}"/>
    <hyperlink ref="N198" r:id="rId197" xr:uid="{00000000-0004-0000-0600-0000C4000000}"/>
    <hyperlink ref="N199" r:id="rId198" xr:uid="{00000000-0004-0000-0600-0000C5000000}"/>
    <hyperlink ref="N200" r:id="rId199" xr:uid="{00000000-0004-0000-0600-0000C6000000}"/>
    <hyperlink ref="N201" r:id="rId200" xr:uid="{00000000-0004-0000-0600-0000C7000000}"/>
    <hyperlink ref="N202" r:id="rId201" xr:uid="{00000000-0004-0000-0600-0000C8000000}"/>
    <hyperlink ref="N203" r:id="rId202" xr:uid="{00000000-0004-0000-0600-0000C9000000}"/>
    <hyperlink ref="N204" r:id="rId203" xr:uid="{00000000-0004-0000-0600-0000CA000000}"/>
    <hyperlink ref="N205" r:id="rId204" xr:uid="{00000000-0004-0000-0600-0000CB000000}"/>
    <hyperlink ref="N206" r:id="rId205" xr:uid="{00000000-0004-0000-0600-0000CC000000}"/>
    <hyperlink ref="N207" r:id="rId206" xr:uid="{00000000-0004-0000-0600-0000CD000000}"/>
    <hyperlink ref="N208" r:id="rId207" xr:uid="{00000000-0004-0000-0600-0000CE000000}"/>
    <hyperlink ref="N209" r:id="rId208" xr:uid="{00000000-0004-0000-0600-0000CF000000}"/>
    <hyperlink ref="N210" r:id="rId209" xr:uid="{00000000-0004-0000-0600-0000D0000000}"/>
    <hyperlink ref="N211" r:id="rId210" xr:uid="{00000000-0004-0000-0600-0000D1000000}"/>
    <hyperlink ref="N212" r:id="rId211" xr:uid="{00000000-0004-0000-0600-0000D2000000}"/>
    <hyperlink ref="N213" r:id="rId212" xr:uid="{00000000-0004-0000-0600-0000D3000000}"/>
    <hyperlink ref="N214" r:id="rId213" xr:uid="{00000000-0004-0000-0600-0000D4000000}"/>
    <hyperlink ref="N215" r:id="rId214" xr:uid="{00000000-0004-0000-0600-0000D5000000}"/>
    <hyperlink ref="N216" r:id="rId215" xr:uid="{00000000-0004-0000-0600-0000D6000000}"/>
    <hyperlink ref="N217" r:id="rId216" xr:uid="{00000000-0004-0000-0600-0000D7000000}"/>
    <hyperlink ref="N218" r:id="rId217" xr:uid="{00000000-0004-0000-0600-0000D8000000}"/>
    <hyperlink ref="N219" r:id="rId218" xr:uid="{00000000-0004-0000-0600-0000D9000000}"/>
    <hyperlink ref="N220" r:id="rId219" xr:uid="{00000000-0004-0000-0600-0000DA000000}"/>
    <hyperlink ref="N221" r:id="rId220" xr:uid="{00000000-0004-0000-0600-0000DB000000}"/>
    <hyperlink ref="N222" r:id="rId221" xr:uid="{00000000-0004-0000-0600-0000DC000000}"/>
    <hyperlink ref="N223" r:id="rId222" xr:uid="{00000000-0004-0000-0600-0000DD000000}"/>
    <hyperlink ref="N224" r:id="rId223" xr:uid="{00000000-0004-0000-0600-0000DE000000}"/>
    <hyperlink ref="N225" r:id="rId224" xr:uid="{00000000-0004-0000-0600-0000DF000000}"/>
    <hyperlink ref="N226" r:id="rId225" xr:uid="{00000000-0004-0000-0600-0000E0000000}"/>
    <hyperlink ref="N227" r:id="rId226" xr:uid="{00000000-0004-0000-0600-0000E1000000}"/>
    <hyperlink ref="N228" r:id="rId227" xr:uid="{00000000-0004-0000-0600-0000E2000000}"/>
    <hyperlink ref="N229" r:id="rId228" xr:uid="{00000000-0004-0000-0600-0000E3000000}"/>
    <hyperlink ref="N230" r:id="rId229" xr:uid="{00000000-0004-0000-0600-0000E4000000}"/>
    <hyperlink ref="N231" r:id="rId230" xr:uid="{00000000-0004-0000-0600-0000E5000000}"/>
    <hyperlink ref="N232" r:id="rId231" xr:uid="{00000000-0004-0000-0600-0000E6000000}"/>
    <hyperlink ref="N233" r:id="rId232" xr:uid="{00000000-0004-0000-0600-0000E7000000}"/>
    <hyperlink ref="N234" r:id="rId233" xr:uid="{00000000-0004-0000-0600-0000E8000000}"/>
    <hyperlink ref="N235" r:id="rId234" xr:uid="{00000000-0004-0000-0600-0000E9000000}"/>
    <hyperlink ref="N236" r:id="rId235" xr:uid="{00000000-0004-0000-0600-0000EA000000}"/>
    <hyperlink ref="N237" r:id="rId236" xr:uid="{00000000-0004-0000-0600-0000EB000000}"/>
    <hyperlink ref="N238" r:id="rId237" xr:uid="{00000000-0004-0000-0600-0000EC000000}"/>
    <hyperlink ref="N239" r:id="rId238" xr:uid="{00000000-0004-0000-0600-0000ED000000}"/>
    <hyperlink ref="N240" r:id="rId239" xr:uid="{00000000-0004-0000-0600-0000EE000000}"/>
    <hyperlink ref="N241" r:id="rId240" xr:uid="{00000000-0004-0000-0600-0000EF000000}"/>
    <hyperlink ref="N242" r:id="rId241" xr:uid="{00000000-0004-0000-0600-0000F0000000}"/>
    <hyperlink ref="N243" r:id="rId242" xr:uid="{00000000-0004-0000-0600-0000F1000000}"/>
    <hyperlink ref="N244" r:id="rId243" xr:uid="{00000000-0004-0000-0600-0000F2000000}"/>
    <hyperlink ref="N245" r:id="rId244" xr:uid="{00000000-0004-0000-0600-0000F3000000}"/>
    <hyperlink ref="N246" r:id="rId245" xr:uid="{00000000-0004-0000-0600-0000F4000000}"/>
    <hyperlink ref="N247" r:id="rId246" xr:uid="{00000000-0004-0000-0600-0000F5000000}"/>
    <hyperlink ref="N248" r:id="rId247" xr:uid="{00000000-0004-0000-0600-0000F6000000}"/>
    <hyperlink ref="N249" r:id="rId248" xr:uid="{00000000-0004-0000-0600-0000F7000000}"/>
    <hyperlink ref="N250" r:id="rId249" xr:uid="{00000000-0004-0000-0600-0000F8000000}"/>
    <hyperlink ref="N251" r:id="rId250" xr:uid="{00000000-0004-0000-0600-0000F9000000}"/>
    <hyperlink ref="N252" r:id="rId251" xr:uid="{00000000-0004-0000-0600-0000FA000000}"/>
    <hyperlink ref="N253" r:id="rId252" xr:uid="{00000000-0004-0000-0600-0000FB000000}"/>
    <hyperlink ref="N254" r:id="rId253" xr:uid="{00000000-0004-0000-0600-0000FC000000}"/>
    <hyperlink ref="N255" r:id="rId254" xr:uid="{00000000-0004-0000-0600-0000FD000000}"/>
    <hyperlink ref="N256" r:id="rId255" xr:uid="{00000000-0004-0000-0600-0000FE000000}"/>
    <hyperlink ref="N257" r:id="rId256" xr:uid="{00000000-0004-0000-0600-0000FF000000}"/>
    <hyperlink ref="N258" r:id="rId257" xr:uid="{00000000-0004-0000-0600-000000010000}"/>
    <hyperlink ref="N259" r:id="rId258" xr:uid="{00000000-0004-0000-0600-000001010000}"/>
    <hyperlink ref="N260" r:id="rId259" xr:uid="{00000000-0004-0000-0600-000002010000}"/>
    <hyperlink ref="N261" r:id="rId260" xr:uid="{00000000-0004-0000-0600-000003010000}"/>
    <hyperlink ref="N262" r:id="rId261" xr:uid="{00000000-0004-0000-0600-000004010000}"/>
    <hyperlink ref="N263" r:id="rId262" xr:uid="{00000000-0004-0000-0600-000005010000}"/>
    <hyperlink ref="N264" r:id="rId263" xr:uid="{00000000-0004-0000-0600-000006010000}"/>
    <hyperlink ref="N265" r:id="rId264" xr:uid="{00000000-0004-0000-0600-000007010000}"/>
    <hyperlink ref="N266" r:id="rId265" xr:uid="{00000000-0004-0000-0600-000008010000}"/>
    <hyperlink ref="N267" r:id="rId266" xr:uid="{00000000-0004-0000-0600-000009010000}"/>
    <hyperlink ref="N268" r:id="rId267" xr:uid="{00000000-0004-0000-0600-00000A010000}"/>
    <hyperlink ref="N269" r:id="rId268" xr:uid="{00000000-0004-0000-0600-00000B010000}"/>
    <hyperlink ref="N270" r:id="rId269" xr:uid="{00000000-0004-0000-0600-00000C010000}"/>
    <hyperlink ref="N271" r:id="rId270" xr:uid="{00000000-0004-0000-0600-00000D010000}"/>
    <hyperlink ref="N272" r:id="rId271" xr:uid="{00000000-0004-0000-0600-00000E010000}"/>
    <hyperlink ref="N273" r:id="rId272" xr:uid="{00000000-0004-0000-0600-00000F010000}"/>
    <hyperlink ref="N274" r:id="rId273" xr:uid="{00000000-0004-0000-0600-000010010000}"/>
    <hyperlink ref="N275" r:id="rId274" xr:uid="{00000000-0004-0000-0600-000011010000}"/>
    <hyperlink ref="N276" r:id="rId275" xr:uid="{00000000-0004-0000-0600-000012010000}"/>
    <hyperlink ref="N277" r:id="rId276" xr:uid="{00000000-0004-0000-0600-000013010000}"/>
    <hyperlink ref="N278" r:id="rId277" xr:uid="{00000000-0004-0000-0600-000014010000}"/>
    <hyperlink ref="N279" r:id="rId278" xr:uid="{00000000-0004-0000-0600-000015010000}"/>
    <hyperlink ref="N280" r:id="rId279" xr:uid="{00000000-0004-0000-0600-000016010000}"/>
    <hyperlink ref="N281" r:id="rId280" xr:uid="{00000000-0004-0000-0600-000017010000}"/>
    <hyperlink ref="N282" r:id="rId281" xr:uid="{00000000-0004-0000-0600-000018010000}"/>
    <hyperlink ref="N283" r:id="rId282" xr:uid="{00000000-0004-0000-0600-000019010000}"/>
    <hyperlink ref="N284" r:id="rId283" xr:uid="{00000000-0004-0000-0600-00001A010000}"/>
    <hyperlink ref="N285" r:id="rId284" xr:uid="{00000000-0004-0000-0600-00001B010000}"/>
    <hyperlink ref="N286" r:id="rId285" xr:uid="{00000000-0004-0000-0600-00001C010000}"/>
    <hyperlink ref="N287" r:id="rId286" xr:uid="{00000000-0004-0000-0600-00001D010000}"/>
    <hyperlink ref="N288" r:id="rId287" xr:uid="{00000000-0004-0000-0600-00001E010000}"/>
    <hyperlink ref="N289" r:id="rId288" xr:uid="{00000000-0004-0000-0600-00001F010000}"/>
    <hyperlink ref="N290" r:id="rId289" xr:uid="{00000000-0004-0000-0600-000020010000}"/>
    <hyperlink ref="N291" r:id="rId290" xr:uid="{00000000-0004-0000-0600-000021010000}"/>
    <hyperlink ref="N292" r:id="rId291" xr:uid="{00000000-0004-0000-0600-000022010000}"/>
    <hyperlink ref="N293" r:id="rId292" xr:uid="{00000000-0004-0000-0600-000023010000}"/>
    <hyperlink ref="N294" r:id="rId293" xr:uid="{00000000-0004-0000-0600-000024010000}"/>
    <hyperlink ref="N295" r:id="rId294" xr:uid="{00000000-0004-0000-0600-000025010000}"/>
    <hyperlink ref="N296" r:id="rId295" xr:uid="{00000000-0004-0000-0600-000026010000}"/>
    <hyperlink ref="N297" r:id="rId296" xr:uid="{00000000-0004-0000-0600-000027010000}"/>
    <hyperlink ref="N298" r:id="rId297" xr:uid="{00000000-0004-0000-0600-000028010000}"/>
    <hyperlink ref="N299" r:id="rId298" xr:uid="{00000000-0004-0000-0600-000029010000}"/>
    <hyperlink ref="N300" r:id="rId299" xr:uid="{00000000-0004-0000-0600-00002A010000}"/>
    <hyperlink ref="N301" r:id="rId300" xr:uid="{00000000-0004-0000-0600-00002B010000}"/>
    <hyperlink ref="N302" r:id="rId301" xr:uid="{00000000-0004-0000-0600-00002C010000}"/>
    <hyperlink ref="N303" r:id="rId302" xr:uid="{00000000-0004-0000-0600-00002D010000}"/>
    <hyperlink ref="N304" r:id="rId303" xr:uid="{00000000-0004-0000-0600-00002E010000}"/>
    <hyperlink ref="N305" r:id="rId304" xr:uid="{00000000-0004-0000-0600-00002F010000}"/>
    <hyperlink ref="N306" r:id="rId305" xr:uid="{00000000-0004-0000-0600-000030010000}"/>
    <hyperlink ref="N307" r:id="rId306" xr:uid="{00000000-0004-0000-0600-000031010000}"/>
    <hyperlink ref="N308" r:id="rId307" xr:uid="{00000000-0004-0000-0600-000032010000}"/>
    <hyperlink ref="N309" r:id="rId308" xr:uid="{00000000-0004-0000-0600-000033010000}"/>
    <hyperlink ref="N310" r:id="rId309" xr:uid="{00000000-0004-0000-0600-000034010000}"/>
    <hyperlink ref="N311" r:id="rId310" xr:uid="{00000000-0004-0000-0600-000035010000}"/>
    <hyperlink ref="N312" r:id="rId311" xr:uid="{00000000-0004-0000-0600-000036010000}"/>
    <hyperlink ref="N313" r:id="rId312" xr:uid="{00000000-0004-0000-0600-000037010000}"/>
    <hyperlink ref="N314" r:id="rId313" xr:uid="{00000000-0004-0000-0600-000038010000}"/>
    <hyperlink ref="N315" r:id="rId314" xr:uid="{00000000-0004-0000-0600-000039010000}"/>
    <hyperlink ref="N316" r:id="rId315" xr:uid="{00000000-0004-0000-0600-00003A010000}"/>
    <hyperlink ref="N317" r:id="rId316" xr:uid="{00000000-0004-0000-0600-00003B010000}"/>
    <hyperlink ref="N318" r:id="rId317" xr:uid="{00000000-0004-0000-0600-00003C010000}"/>
    <hyperlink ref="N319" r:id="rId318" xr:uid="{00000000-0004-0000-0600-00003D010000}"/>
    <hyperlink ref="N320" r:id="rId319" xr:uid="{00000000-0004-0000-0600-00003E010000}"/>
    <hyperlink ref="N321" r:id="rId320" xr:uid="{00000000-0004-0000-0600-00003F010000}"/>
    <hyperlink ref="N322" r:id="rId321" xr:uid="{00000000-0004-0000-0600-000040010000}"/>
    <hyperlink ref="N323" r:id="rId322" xr:uid="{00000000-0004-0000-0600-000041010000}"/>
    <hyperlink ref="N324" r:id="rId323" xr:uid="{00000000-0004-0000-0600-000042010000}"/>
    <hyperlink ref="N325" r:id="rId324" xr:uid="{00000000-0004-0000-0600-000043010000}"/>
    <hyperlink ref="N326" r:id="rId325" xr:uid="{00000000-0004-0000-0600-000044010000}"/>
    <hyperlink ref="N327" r:id="rId326" xr:uid="{00000000-0004-0000-0600-000045010000}"/>
    <hyperlink ref="N328" r:id="rId327" xr:uid="{00000000-0004-0000-0600-000046010000}"/>
    <hyperlink ref="N329" r:id="rId328" xr:uid="{00000000-0004-0000-0600-000047010000}"/>
    <hyperlink ref="N330" r:id="rId329" xr:uid="{00000000-0004-0000-0600-000048010000}"/>
    <hyperlink ref="N331" r:id="rId330" xr:uid="{00000000-0004-0000-0600-000049010000}"/>
    <hyperlink ref="N332" r:id="rId331" xr:uid="{00000000-0004-0000-0600-00004A010000}"/>
    <hyperlink ref="N333" r:id="rId332" xr:uid="{00000000-0004-0000-0600-00004B010000}"/>
    <hyperlink ref="N334" r:id="rId333" xr:uid="{00000000-0004-0000-0600-00004C010000}"/>
    <hyperlink ref="N335" r:id="rId334" xr:uid="{00000000-0004-0000-0600-00004D010000}"/>
    <hyperlink ref="N336" r:id="rId335" xr:uid="{00000000-0004-0000-0600-00004E010000}"/>
    <hyperlink ref="N337" r:id="rId336" xr:uid="{00000000-0004-0000-0600-00004F010000}"/>
    <hyperlink ref="N338" r:id="rId337" xr:uid="{00000000-0004-0000-0600-000050010000}"/>
    <hyperlink ref="N339" r:id="rId338" xr:uid="{00000000-0004-0000-0600-000051010000}"/>
    <hyperlink ref="N340" r:id="rId339" xr:uid="{00000000-0004-0000-0600-000052010000}"/>
    <hyperlink ref="N341" r:id="rId340" xr:uid="{00000000-0004-0000-0600-000053010000}"/>
    <hyperlink ref="N342" r:id="rId341" xr:uid="{00000000-0004-0000-0600-000054010000}"/>
    <hyperlink ref="N343" r:id="rId342" xr:uid="{00000000-0004-0000-0600-000055010000}"/>
    <hyperlink ref="N344" r:id="rId343" xr:uid="{00000000-0004-0000-0600-000056010000}"/>
    <hyperlink ref="N345" r:id="rId344" xr:uid="{00000000-0004-0000-0600-000057010000}"/>
    <hyperlink ref="N346" r:id="rId345" xr:uid="{00000000-0004-0000-0600-000058010000}"/>
    <hyperlink ref="N347" r:id="rId346" xr:uid="{00000000-0004-0000-0600-000059010000}"/>
    <hyperlink ref="N348" r:id="rId347" xr:uid="{00000000-0004-0000-0600-00005A010000}"/>
    <hyperlink ref="N349" r:id="rId348" xr:uid="{00000000-0004-0000-0600-00005B010000}"/>
    <hyperlink ref="N350" r:id="rId349" xr:uid="{00000000-0004-0000-0600-00005C010000}"/>
    <hyperlink ref="N351" r:id="rId350" xr:uid="{00000000-0004-0000-0600-00005D010000}"/>
    <hyperlink ref="N352" r:id="rId351" xr:uid="{00000000-0004-0000-0600-00005E010000}"/>
    <hyperlink ref="N353" r:id="rId352" xr:uid="{00000000-0004-0000-0600-00005F010000}"/>
    <hyperlink ref="N354" r:id="rId353" xr:uid="{00000000-0004-0000-0600-000060010000}"/>
    <hyperlink ref="N355" r:id="rId354" xr:uid="{00000000-0004-0000-0600-000061010000}"/>
    <hyperlink ref="N356" r:id="rId355" xr:uid="{00000000-0004-0000-0600-000062010000}"/>
    <hyperlink ref="N357" r:id="rId356" xr:uid="{00000000-0004-0000-0600-000063010000}"/>
    <hyperlink ref="N358" r:id="rId357" xr:uid="{00000000-0004-0000-0600-000064010000}"/>
    <hyperlink ref="N359" r:id="rId358" xr:uid="{00000000-0004-0000-0600-000065010000}"/>
    <hyperlink ref="N360" r:id="rId359" xr:uid="{00000000-0004-0000-0600-000066010000}"/>
    <hyperlink ref="N361" r:id="rId360" xr:uid="{00000000-0004-0000-0600-000067010000}"/>
    <hyperlink ref="N362" r:id="rId361" xr:uid="{00000000-0004-0000-0600-000068010000}"/>
    <hyperlink ref="N363" r:id="rId362" xr:uid="{00000000-0004-0000-0600-000069010000}"/>
    <hyperlink ref="N364" r:id="rId363" xr:uid="{00000000-0004-0000-0600-00006A010000}"/>
    <hyperlink ref="N365" r:id="rId364" xr:uid="{00000000-0004-0000-0600-00006B010000}"/>
    <hyperlink ref="N366" r:id="rId365" xr:uid="{00000000-0004-0000-0600-00006C010000}"/>
    <hyperlink ref="N367" r:id="rId366" xr:uid="{00000000-0004-0000-0600-00006D010000}"/>
    <hyperlink ref="N368" r:id="rId367" xr:uid="{00000000-0004-0000-0600-00006E010000}"/>
    <hyperlink ref="N369" r:id="rId368" xr:uid="{00000000-0004-0000-0600-00006F010000}"/>
    <hyperlink ref="N370" r:id="rId369" xr:uid="{00000000-0004-0000-0600-000070010000}"/>
    <hyperlink ref="N371" r:id="rId370" xr:uid="{00000000-0004-0000-0600-000071010000}"/>
    <hyperlink ref="N372" r:id="rId371" xr:uid="{00000000-0004-0000-0600-000072010000}"/>
    <hyperlink ref="N373" r:id="rId372" xr:uid="{00000000-0004-0000-0600-000073010000}"/>
    <hyperlink ref="N374" r:id="rId373" xr:uid="{00000000-0004-0000-0600-000074010000}"/>
    <hyperlink ref="N375" r:id="rId374" xr:uid="{00000000-0004-0000-0600-000075010000}"/>
    <hyperlink ref="N376" r:id="rId375" xr:uid="{00000000-0004-0000-0600-000076010000}"/>
    <hyperlink ref="N377" r:id="rId376" xr:uid="{00000000-0004-0000-0600-000077010000}"/>
    <hyperlink ref="N378" r:id="rId377" xr:uid="{00000000-0004-0000-0600-000078010000}"/>
    <hyperlink ref="N379" r:id="rId378" xr:uid="{00000000-0004-0000-0600-000079010000}"/>
    <hyperlink ref="N380" r:id="rId379" xr:uid="{00000000-0004-0000-0600-00007A010000}"/>
    <hyperlink ref="N381" r:id="rId380" xr:uid="{00000000-0004-0000-0600-00007B010000}"/>
    <hyperlink ref="N382" r:id="rId381" xr:uid="{00000000-0004-0000-0600-00007C010000}"/>
    <hyperlink ref="N383" r:id="rId382" xr:uid="{00000000-0004-0000-0600-00007D010000}"/>
    <hyperlink ref="N384" r:id="rId383" xr:uid="{00000000-0004-0000-0600-00007E010000}"/>
    <hyperlink ref="N385" r:id="rId384" xr:uid="{00000000-0004-0000-0600-00007F010000}"/>
    <hyperlink ref="N386" r:id="rId385" xr:uid="{00000000-0004-0000-0600-000080010000}"/>
    <hyperlink ref="N387" r:id="rId386" xr:uid="{00000000-0004-0000-0600-000081010000}"/>
    <hyperlink ref="N388" r:id="rId387" xr:uid="{00000000-0004-0000-0600-000082010000}"/>
    <hyperlink ref="N389" r:id="rId388" xr:uid="{00000000-0004-0000-0600-000083010000}"/>
    <hyperlink ref="N390" r:id="rId389" xr:uid="{00000000-0004-0000-0600-000084010000}"/>
    <hyperlink ref="N391" r:id="rId390" xr:uid="{00000000-0004-0000-0600-000085010000}"/>
    <hyperlink ref="N392" r:id="rId391" xr:uid="{00000000-0004-0000-0600-000086010000}"/>
    <hyperlink ref="N393" r:id="rId392" xr:uid="{00000000-0004-0000-0600-000087010000}"/>
    <hyperlink ref="N394" r:id="rId393" xr:uid="{00000000-0004-0000-0600-000088010000}"/>
    <hyperlink ref="N395" r:id="rId394" xr:uid="{00000000-0004-0000-0600-000089010000}"/>
    <hyperlink ref="N396" r:id="rId395" xr:uid="{00000000-0004-0000-0600-00008A010000}"/>
    <hyperlink ref="N397" r:id="rId396" xr:uid="{00000000-0004-0000-0600-00008B010000}"/>
    <hyperlink ref="N398" r:id="rId397" xr:uid="{00000000-0004-0000-0600-00008C010000}"/>
    <hyperlink ref="N399" r:id="rId398" xr:uid="{00000000-0004-0000-0600-00008D010000}"/>
    <hyperlink ref="N400" r:id="rId399" xr:uid="{00000000-0004-0000-0600-00008E010000}"/>
    <hyperlink ref="N401" r:id="rId400" xr:uid="{00000000-0004-0000-0600-00008F010000}"/>
    <hyperlink ref="N402" r:id="rId401" xr:uid="{00000000-0004-0000-0600-000090010000}"/>
    <hyperlink ref="N403" r:id="rId402" xr:uid="{00000000-0004-0000-0600-000091010000}"/>
    <hyperlink ref="N404" r:id="rId403" xr:uid="{00000000-0004-0000-0600-000092010000}"/>
    <hyperlink ref="N405" r:id="rId404" xr:uid="{00000000-0004-0000-0600-000093010000}"/>
    <hyperlink ref="N406" r:id="rId405" xr:uid="{00000000-0004-0000-0600-000094010000}"/>
    <hyperlink ref="N407" r:id="rId406" xr:uid="{00000000-0004-0000-0600-000095010000}"/>
    <hyperlink ref="N408" r:id="rId407" xr:uid="{00000000-0004-0000-0600-000096010000}"/>
    <hyperlink ref="N409" r:id="rId408" xr:uid="{00000000-0004-0000-0600-000097010000}"/>
    <hyperlink ref="N410" r:id="rId409" xr:uid="{00000000-0004-0000-0600-000098010000}"/>
    <hyperlink ref="N411" r:id="rId410" xr:uid="{00000000-0004-0000-0600-000099010000}"/>
    <hyperlink ref="N412" r:id="rId411" xr:uid="{00000000-0004-0000-0600-00009A010000}"/>
    <hyperlink ref="N413" r:id="rId412" xr:uid="{00000000-0004-0000-0600-00009B010000}"/>
    <hyperlink ref="N414" r:id="rId413" xr:uid="{00000000-0004-0000-0600-00009C010000}"/>
    <hyperlink ref="N415" r:id="rId414" xr:uid="{00000000-0004-0000-0600-00009D010000}"/>
    <hyperlink ref="N416" r:id="rId415" xr:uid="{00000000-0004-0000-0600-00009E010000}"/>
    <hyperlink ref="N417" r:id="rId416" xr:uid="{00000000-0004-0000-0600-00009F010000}"/>
    <hyperlink ref="N418" r:id="rId417" xr:uid="{00000000-0004-0000-0600-0000A0010000}"/>
    <hyperlink ref="N419" r:id="rId418" xr:uid="{00000000-0004-0000-0600-0000A1010000}"/>
    <hyperlink ref="N420" r:id="rId419" xr:uid="{00000000-0004-0000-0600-0000A2010000}"/>
    <hyperlink ref="N421" r:id="rId420" xr:uid="{00000000-0004-0000-0600-0000A3010000}"/>
    <hyperlink ref="N422" r:id="rId421" xr:uid="{00000000-0004-0000-0600-0000A4010000}"/>
    <hyperlink ref="N423" r:id="rId422" xr:uid="{00000000-0004-0000-0600-0000A5010000}"/>
    <hyperlink ref="N424" r:id="rId423" xr:uid="{00000000-0004-0000-0600-0000A6010000}"/>
    <hyperlink ref="N425" r:id="rId424" xr:uid="{00000000-0004-0000-0600-0000A7010000}"/>
    <hyperlink ref="N426" r:id="rId425" xr:uid="{00000000-0004-0000-0600-0000A8010000}"/>
    <hyperlink ref="N427" r:id="rId426" xr:uid="{00000000-0004-0000-0600-0000A9010000}"/>
    <hyperlink ref="N428" r:id="rId427" xr:uid="{00000000-0004-0000-0600-0000AA010000}"/>
    <hyperlink ref="N429" r:id="rId428" xr:uid="{00000000-0004-0000-0600-0000AB010000}"/>
    <hyperlink ref="N430" r:id="rId429" xr:uid="{00000000-0004-0000-0600-0000AC010000}"/>
    <hyperlink ref="N431" r:id="rId430" xr:uid="{00000000-0004-0000-0600-0000AD010000}"/>
    <hyperlink ref="N432" r:id="rId431" xr:uid="{00000000-0004-0000-0600-0000AE010000}"/>
    <hyperlink ref="N433" r:id="rId432" xr:uid="{00000000-0004-0000-0600-0000AF010000}"/>
    <hyperlink ref="N434" r:id="rId433" xr:uid="{00000000-0004-0000-0600-0000B0010000}"/>
    <hyperlink ref="N435" r:id="rId434" xr:uid="{00000000-0004-0000-0600-0000B1010000}"/>
    <hyperlink ref="N436" r:id="rId435" xr:uid="{00000000-0004-0000-0600-0000B2010000}"/>
    <hyperlink ref="N437" r:id="rId436" xr:uid="{00000000-0004-0000-0600-0000B3010000}"/>
    <hyperlink ref="N438" r:id="rId437" xr:uid="{00000000-0004-0000-0600-0000B4010000}"/>
    <hyperlink ref="N439" r:id="rId438" xr:uid="{00000000-0004-0000-0600-0000B5010000}"/>
    <hyperlink ref="N440" r:id="rId439" xr:uid="{00000000-0004-0000-0600-0000B6010000}"/>
    <hyperlink ref="N441" r:id="rId440" xr:uid="{00000000-0004-0000-0600-0000B7010000}"/>
    <hyperlink ref="N442" r:id="rId441" xr:uid="{00000000-0004-0000-0600-0000B8010000}"/>
    <hyperlink ref="N443" r:id="rId442" xr:uid="{00000000-0004-0000-0600-0000B9010000}"/>
    <hyperlink ref="N444" r:id="rId443" xr:uid="{00000000-0004-0000-0600-0000BA010000}"/>
    <hyperlink ref="N445" r:id="rId444" xr:uid="{00000000-0004-0000-0600-0000BB010000}"/>
    <hyperlink ref="N446" r:id="rId445" xr:uid="{00000000-0004-0000-0600-0000BC010000}"/>
    <hyperlink ref="N447" r:id="rId446" xr:uid="{00000000-0004-0000-0600-0000BD010000}"/>
    <hyperlink ref="N448" r:id="rId447" xr:uid="{00000000-0004-0000-0600-0000BE010000}"/>
    <hyperlink ref="N449" r:id="rId448" xr:uid="{00000000-0004-0000-0600-0000BF010000}"/>
    <hyperlink ref="N450" r:id="rId449" xr:uid="{00000000-0004-0000-0600-0000C0010000}"/>
    <hyperlink ref="N451" r:id="rId450" xr:uid="{00000000-0004-0000-0600-0000C1010000}"/>
    <hyperlink ref="N452" r:id="rId451" xr:uid="{00000000-0004-0000-0600-0000C2010000}"/>
    <hyperlink ref="N453" r:id="rId452" xr:uid="{00000000-0004-0000-0600-0000C3010000}"/>
    <hyperlink ref="N454" r:id="rId453" xr:uid="{00000000-0004-0000-0600-0000C4010000}"/>
    <hyperlink ref="N455" r:id="rId454" xr:uid="{00000000-0004-0000-0600-0000C5010000}"/>
    <hyperlink ref="N456" r:id="rId455" xr:uid="{00000000-0004-0000-0600-0000C6010000}"/>
    <hyperlink ref="N457" r:id="rId456" xr:uid="{00000000-0004-0000-0600-0000C7010000}"/>
    <hyperlink ref="N458" r:id="rId457" xr:uid="{00000000-0004-0000-0600-0000C8010000}"/>
    <hyperlink ref="N459" r:id="rId458" xr:uid="{00000000-0004-0000-0600-0000C9010000}"/>
    <hyperlink ref="N460" r:id="rId459" xr:uid="{00000000-0004-0000-0600-0000CA010000}"/>
    <hyperlink ref="N461" r:id="rId460" xr:uid="{00000000-0004-0000-0600-0000CB010000}"/>
    <hyperlink ref="N462" r:id="rId461" xr:uid="{00000000-0004-0000-0600-0000CC010000}"/>
    <hyperlink ref="N463" r:id="rId462" xr:uid="{00000000-0004-0000-0600-0000CD010000}"/>
    <hyperlink ref="N464" r:id="rId463" xr:uid="{00000000-0004-0000-0600-0000CE010000}"/>
    <hyperlink ref="N465" r:id="rId464" xr:uid="{00000000-0004-0000-0600-0000CF010000}"/>
    <hyperlink ref="N466" r:id="rId465" xr:uid="{00000000-0004-0000-0600-0000D0010000}"/>
    <hyperlink ref="N467" r:id="rId466" xr:uid="{00000000-0004-0000-0600-0000D1010000}"/>
    <hyperlink ref="N468" r:id="rId467" xr:uid="{00000000-0004-0000-0600-0000D2010000}"/>
    <hyperlink ref="N469" r:id="rId468" xr:uid="{00000000-0004-0000-0600-0000D3010000}"/>
    <hyperlink ref="N470" r:id="rId469" xr:uid="{00000000-0004-0000-0600-0000D4010000}"/>
    <hyperlink ref="N471" r:id="rId470" xr:uid="{00000000-0004-0000-0600-0000D5010000}"/>
    <hyperlink ref="N472" r:id="rId471" xr:uid="{00000000-0004-0000-0600-0000D6010000}"/>
    <hyperlink ref="N473" r:id="rId472" xr:uid="{00000000-0004-0000-0600-0000D7010000}"/>
    <hyperlink ref="N474" r:id="rId473" xr:uid="{00000000-0004-0000-0600-0000D8010000}"/>
    <hyperlink ref="N475" r:id="rId474" xr:uid="{00000000-0004-0000-0600-0000D9010000}"/>
    <hyperlink ref="N476" r:id="rId475" xr:uid="{00000000-0004-0000-0600-0000DA010000}"/>
    <hyperlink ref="N477" r:id="rId476" xr:uid="{00000000-0004-0000-0600-0000DB010000}"/>
    <hyperlink ref="N478" r:id="rId477" xr:uid="{00000000-0004-0000-0600-0000DC010000}"/>
    <hyperlink ref="N479" r:id="rId478" xr:uid="{00000000-0004-0000-0600-0000DD010000}"/>
    <hyperlink ref="N480" r:id="rId479" xr:uid="{00000000-0004-0000-0600-0000DE010000}"/>
    <hyperlink ref="N481" r:id="rId480" xr:uid="{00000000-0004-0000-0600-0000DF010000}"/>
    <hyperlink ref="N482" r:id="rId481" xr:uid="{00000000-0004-0000-0600-0000E0010000}"/>
    <hyperlink ref="N483" r:id="rId482" xr:uid="{00000000-0004-0000-0600-0000E1010000}"/>
    <hyperlink ref="N484" r:id="rId483" xr:uid="{00000000-0004-0000-0600-0000E2010000}"/>
    <hyperlink ref="N485" r:id="rId484" xr:uid="{00000000-0004-0000-0600-0000E3010000}"/>
    <hyperlink ref="N486" r:id="rId485" xr:uid="{00000000-0004-0000-0600-0000E4010000}"/>
    <hyperlink ref="N487" r:id="rId486" xr:uid="{00000000-0004-0000-0600-0000E5010000}"/>
    <hyperlink ref="N488" r:id="rId487" xr:uid="{00000000-0004-0000-0600-0000E6010000}"/>
    <hyperlink ref="N489" r:id="rId488" xr:uid="{00000000-0004-0000-0600-0000E7010000}"/>
    <hyperlink ref="N490" r:id="rId489" xr:uid="{00000000-0004-0000-0600-0000E8010000}"/>
    <hyperlink ref="N491" r:id="rId490" xr:uid="{00000000-0004-0000-0600-0000E9010000}"/>
    <hyperlink ref="N492" r:id="rId491" xr:uid="{00000000-0004-0000-0600-0000EA010000}"/>
    <hyperlink ref="N493" r:id="rId492" xr:uid="{00000000-0004-0000-0600-0000EB010000}"/>
    <hyperlink ref="N494" r:id="rId493" xr:uid="{00000000-0004-0000-0600-0000EC010000}"/>
    <hyperlink ref="N495" r:id="rId494" xr:uid="{00000000-0004-0000-0600-0000ED010000}"/>
    <hyperlink ref="N496" r:id="rId495" xr:uid="{00000000-0004-0000-0600-0000EE010000}"/>
    <hyperlink ref="N497" r:id="rId496" xr:uid="{00000000-0004-0000-0600-0000EF010000}"/>
    <hyperlink ref="N498" r:id="rId497" xr:uid="{00000000-0004-0000-0600-0000F0010000}"/>
    <hyperlink ref="N499" r:id="rId498" xr:uid="{00000000-0004-0000-0600-0000F1010000}"/>
    <hyperlink ref="N500" r:id="rId499" xr:uid="{00000000-0004-0000-0600-0000F2010000}"/>
    <hyperlink ref="N501" r:id="rId500" xr:uid="{00000000-0004-0000-0600-0000F3010000}"/>
    <hyperlink ref="N502" r:id="rId501" xr:uid="{00000000-0004-0000-0600-0000F4010000}"/>
    <hyperlink ref="N503" r:id="rId502" xr:uid="{00000000-0004-0000-0600-0000F5010000}"/>
    <hyperlink ref="N504" r:id="rId503" xr:uid="{00000000-0004-0000-0600-0000F6010000}"/>
    <hyperlink ref="N505" r:id="rId504" xr:uid="{00000000-0004-0000-0600-0000F7010000}"/>
    <hyperlink ref="N506" r:id="rId505" xr:uid="{00000000-0004-0000-0600-0000F8010000}"/>
    <hyperlink ref="N507" r:id="rId506" xr:uid="{00000000-0004-0000-0600-0000F9010000}"/>
    <hyperlink ref="N508" r:id="rId507" xr:uid="{00000000-0004-0000-0600-0000FA010000}"/>
    <hyperlink ref="N509" r:id="rId508" xr:uid="{00000000-0004-0000-0600-0000FB010000}"/>
    <hyperlink ref="N510" r:id="rId509" xr:uid="{00000000-0004-0000-0600-0000FC010000}"/>
    <hyperlink ref="N511" r:id="rId510" xr:uid="{00000000-0004-0000-0600-0000FD010000}"/>
    <hyperlink ref="N512" r:id="rId511" xr:uid="{00000000-0004-0000-0600-0000FE010000}"/>
    <hyperlink ref="N513" r:id="rId512" xr:uid="{00000000-0004-0000-0600-0000FF010000}"/>
    <hyperlink ref="N514" r:id="rId513" xr:uid="{00000000-0004-0000-0600-000000020000}"/>
    <hyperlink ref="N515" r:id="rId514" xr:uid="{00000000-0004-0000-0600-000001020000}"/>
    <hyperlink ref="N516" r:id="rId515" xr:uid="{00000000-0004-0000-0600-000002020000}"/>
    <hyperlink ref="N517" r:id="rId516" xr:uid="{00000000-0004-0000-0600-000003020000}"/>
    <hyperlink ref="N518" r:id="rId517" xr:uid="{00000000-0004-0000-0600-000004020000}"/>
    <hyperlink ref="N519" r:id="rId518" xr:uid="{00000000-0004-0000-0600-000005020000}"/>
    <hyperlink ref="N520" r:id="rId519" xr:uid="{00000000-0004-0000-0600-000006020000}"/>
    <hyperlink ref="N521" r:id="rId520" xr:uid="{00000000-0004-0000-0600-000007020000}"/>
    <hyperlink ref="N522" r:id="rId521" xr:uid="{00000000-0004-0000-0600-000008020000}"/>
    <hyperlink ref="N523" r:id="rId522" xr:uid="{00000000-0004-0000-0600-000009020000}"/>
    <hyperlink ref="N524" r:id="rId523" xr:uid="{00000000-0004-0000-0600-00000A020000}"/>
    <hyperlink ref="N525" r:id="rId524" xr:uid="{00000000-0004-0000-0600-00000B020000}"/>
    <hyperlink ref="N526" r:id="rId525" xr:uid="{00000000-0004-0000-0600-00000C020000}"/>
    <hyperlink ref="N527" r:id="rId526" xr:uid="{00000000-0004-0000-0600-00000D020000}"/>
    <hyperlink ref="N528" r:id="rId527" xr:uid="{00000000-0004-0000-0600-00000E020000}"/>
    <hyperlink ref="N529" r:id="rId528" xr:uid="{00000000-0004-0000-0600-00000F020000}"/>
    <hyperlink ref="N530" r:id="rId529" xr:uid="{00000000-0004-0000-0600-000010020000}"/>
    <hyperlink ref="N531" r:id="rId530" xr:uid="{00000000-0004-0000-0600-000011020000}"/>
    <hyperlink ref="N532" r:id="rId531" xr:uid="{00000000-0004-0000-0600-000012020000}"/>
    <hyperlink ref="N533" r:id="rId532" xr:uid="{00000000-0004-0000-0600-000013020000}"/>
    <hyperlink ref="N534" r:id="rId533" xr:uid="{00000000-0004-0000-0600-000014020000}"/>
    <hyperlink ref="N535" r:id="rId534" xr:uid="{00000000-0004-0000-0600-000015020000}"/>
    <hyperlink ref="N536" r:id="rId535" xr:uid="{00000000-0004-0000-0600-000016020000}"/>
    <hyperlink ref="N537" r:id="rId536" xr:uid="{00000000-0004-0000-0600-000017020000}"/>
    <hyperlink ref="N538" r:id="rId537" xr:uid="{00000000-0004-0000-0600-000018020000}"/>
    <hyperlink ref="N539" r:id="rId538" xr:uid="{00000000-0004-0000-0600-000019020000}"/>
    <hyperlink ref="N540" r:id="rId539" xr:uid="{00000000-0004-0000-0600-00001A020000}"/>
    <hyperlink ref="N541" r:id="rId540" xr:uid="{00000000-0004-0000-0600-00001B020000}"/>
    <hyperlink ref="N542" r:id="rId541" xr:uid="{00000000-0004-0000-0600-00001C020000}"/>
    <hyperlink ref="N543" r:id="rId542" xr:uid="{00000000-0004-0000-0600-00001D020000}"/>
    <hyperlink ref="N544" r:id="rId543" xr:uid="{00000000-0004-0000-0600-00001E020000}"/>
    <hyperlink ref="N545" r:id="rId544" xr:uid="{00000000-0004-0000-0600-00001F020000}"/>
    <hyperlink ref="N546" r:id="rId545" xr:uid="{00000000-0004-0000-0600-000020020000}"/>
    <hyperlink ref="N547" r:id="rId546" xr:uid="{00000000-0004-0000-0600-000021020000}"/>
    <hyperlink ref="N548" r:id="rId547" xr:uid="{00000000-0004-0000-0600-000022020000}"/>
    <hyperlink ref="N549" r:id="rId548" xr:uid="{00000000-0004-0000-0600-000023020000}"/>
    <hyperlink ref="N550" r:id="rId549" xr:uid="{00000000-0004-0000-0600-000024020000}"/>
    <hyperlink ref="N551" r:id="rId550" xr:uid="{00000000-0004-0000-0600-000025020000}"/>
    <hyperlink ref="N552" r:id="rId551" xr:uid="{00000000-0004-0000-0600-000026020000}"/>
    <hyperlink ref="N553" r:id="rId552" xr:uid="{00000000-0004-0000-0600-000027020000}"/>
    <hyperlink ref="N554" r:id="rId553" xr:uid="{00000000-0004-0000-0600-000028020000}"/>
    <hyperlink ref="N555" r:id="rId554" xr:uid="{00000000-0004-0000-0600-000029020000}"/>
    <hyperlink ref="N556" r:id="rId555" xr:uid="{00000000-0004-0000-0600-00002A020000}"/>
    <hyperlink ref="N557" r:id="rId556" xr:uid="{00000000-0004-0000-0600-00002B020000}"/>
    <hyperlink ref="N558" r:id="rId557" xr:uid="{00000000-0004-0000-0600-00002C020000}"/>
    <hyperlink ref="N559" r:id="rId558" xr:uid="{00000000-0004-0000-0600-00002D020000}"/>
    <hyperlink ref="N560" r:id="rId559" xr:uid="{00000000-0004-0000-0600-00002E020000}"/>
    <hyperlink ref="N561" r:id="rId560" xr:uid="{00000000-0004-0000-0600-00002F020000}"/>
    <hyperlink ref="N562" r:id="rId561" xr:uid="{00000000-0004-0000-0600-000030020000}"/>
    <hyperlink ref="N563" r:id="rId562" xr:uid="{00000000-0004-0000-0600-000031020000}"/>
    <hyperlink ref="N564" r:id="rId563" xr:uid="{00000000-0004-0000-0600-000032020000}"/>
    <hyperlink ref="N565" r:id="rId564" xr:uid="{00000000-0004-0000-0600-000033020000}"/>
    <hyperlink ref="N566" r:id="rId565" xr:uid="{00000000-0004-0000-0600-000034020000}"/>
    <hyperlink ref="N567" r:id="rId566" xr:uid="{00000000-0004-0000-0600-000035020000}"/>
    <hyperlink ref="N568" r:id="rId567" xr:uid="{00000000-0004-0000-0600-000036020000}"/>
    <hyperlink ref="N569" r:id="rId568" xr:uid="{00000000-0004-0000-0600-000037020000}"/>
    <hyperlink ref="N570" r:id="rId569" xr:uid="{00000000-0004-0000-0600-000038020000}"/>
    <hyperlink ref="N571" r:id="rId570" xr:uid="{00000000-0004-0000-0600-000039020000}"/>
    <hyperlink ref="N572" r:id="rId571" xr:uid="{00000000-0004-0000-0600-00003A020000}"/>
    <hyperlink ref="N573" r:id="rId572" xr:uid="{00000000-0004-0000-0600-00003B020000}"/>
    <hyperlink ref="N574" r:id="rId573" xr:uid="{00000000-0004-0000-0600-00003C020000}"/>
    <hyperlink ref="N575" r:id="rId574" xr:uid="{00000000-0004-0000-0600-00003D020000}"/>
    <hyperlink ref="N576" r:id="rId575" xr:uid="{00000000-0004-0000-0600-00003E020000}"/>
    <hyperlink ref="N577" r:id="rId576" xr:uid="{00000000-0004-0000-0600-00003F020000}"/>
    <hyperlink ref="N578" r:id="rId577" xr:uid="{00000000-0004-0000-0600-000040020000}"/>
    <hyperlink ref="N579" r:id="rId578" xr:uid="{00000000-0004-0000-0600-000041020000}"/>
    <hyperlink ref="N580" r:id="rId579" xr:uid="{00000000-0004-0000-0600-000042020000}"/>
    <hyperlink ref="N581" r:id="rId580" xr:uid="{00000000-0004-0000-0600-000043020000}"/>
    <hyperlink ref="N582" r:id="rId581" xr:uid="{00000000-0004-0000-0600-000044020000}"/>
    <hyperlink ref="N583" r:id="rId582" xr:uid="{00000000-0004-0000-0600-000045020000}"/>
    <hyperlink ref="N584" r:id="rId583" xr:uid="{00000000-0004-0000-0600-000046020000}"/>
    <hyperlink ref="N585" r:id="rId584" xr:uid="{00000000-0004-0000-0600-000047020000}"/>
    <hyperlink ref="N586" r:id="rId585" xr:uid="{00000000-0004-0000-0600-000048020000}"/>
    <hyperlink ref="N587" r:id="rId586" xr:uid="{00000000-0004-0000-0600-000049020000}"/>
    <hyperlink ref="N588" r:id="rId587" xr:uid="{00000000-0004-0000-0600-00004A020000}"/>
    <hyperlink ref="N589" r:id="rId588" xr:uid="{00000000-0004-0000-0600-00004B020000}"/>
    <hyperlink ref="N590" r:id="rId589" xr:uid="{00000000-0004-0000-0600-00004C020000}"/>
    <hyperlink ref="N591" r:id="rId590" xr:uid="{00000000-0004-0000-0600-00004D020000}"/>
    <hyperlink ref="N592" r:id="rId591" xr:uid="{00000000-0004-0000-0600-00004E020000}"/>
    <hyperlink ref="N593" r:id="rId592" xr:uid="{00000000-0004-0000-0600-00004F020000}"/>
    <hyperlink ref="N594" r:id="rId593" xr:uid="{00000000-0004-0000-0600-000050020000}"/>
    <hyperlink ref="N595" r:id="rId594" xr:uid="{00000000-0004-0000-0600-000051020000}"/>
    <hyperlink ref="N596" r:id="rId595" xr:uid="{00000000-0004-0000-0600-000052020000}"/>
    <hyperlink ref="N597" r:id="rId596" xr:uid="{00000000-0004-0000-0600-000053020000}"/>
    <hyperlink ref="N598" r:id="rId597" xr:uid="{00000000-0004-0000-0600-000054020000}"/>
    <hyperlink ref="N599" r:id="rId598" xr:uid="{00000000-0004-0000-0600-000055020000}"/>
    <hyperlink ref="N600" r:id="rId599" xr:uid="{00000000-0004-0000-0600-000056020000}"/>
    <hyperlink ref="N601" r:id="rId600" xr:uid="{00000000-0004-0000-0600-000057020000}"/>
    <hyperlink ref="N602" r:id="rId601" xr:uid="{00000000-0004-0000-0600-000058020000}"/>
    <hyperlink ref="N603" r:id="rId602" xr:uid="{00000000-0004-0000-0600-000059020000}"/>
    <hyperlink ref="N604" r:id="rId603" xr:uid="{00000000-0004-0000-0600-00005A020000}"/>
    <hyperlink ref="N605" r:id="rId604" xr:uid="{00000000-0004-0000-0600-00005B020000}"/>
    <hyperlink ref="N606" r:id="rId605" xr:uid="{00000000-0004-0000-0600-00005C020000}"/>
    <hyperlink ref="N607" r:id="rId606" xr:uid="{00000000-0004-0000-0600-00005D020000}"/>
    <hyperlink ref="N608" r:id="rId607" xr:uid="{00000000-0004-0000-0600-00005E020000}"/>
    <hyperlink ref="N609" r:id="rId608" xr:uid="{00000000-0004-0000-0600-00005F020000}"/>
    <hyperlink ref="N610" r:id="rId609" xr:uid="{00000000-0004-0000-0600-000060020000}"/>
    <hyperlink ref="N611" r:id="rId610" xr:uid="{00000000-0004-0000-0600-000061020000}"/>
    <hyperlink ref="N612" r:id="rId611" xr:uid="{00000000-0004-0000-0600-000062020000}"/>
    <hyperlink ref="N613" r:id="rId612" xr:uid="{00000000-0004-0000-0600-000063020000}"/>
    <hyperlink ref="N614" r:id="rId613" xr:uid="{00000000-0004-0000-0600-000064020000}"/>
    <hyperlink ref="N615" r:id="rId614" xr:uid="{00000000-0004-0000-0600-000065020000}"/>
    <hyperlink ref="N616" r:id="rId615" xr:uid="{00000000-0004-0000-0600-000066020000}"/>
    <hyperlink ref="N617" r:id="rId616" xr:uid="{00000000-0004-0000-0600-000067020000}"/>
    <hyperlink ref="N618" r:id="rId617" xr:uid="{00000000-0004-0000-0600-000068020000}"/>
    <hyperlink ref="N619" r:id="rId618" xr:uid="{00000000-0004-0000-0600-000069020000}"/>
    <hyperlink ref="N620" r:id="rId619" xr:uid="{00000000-0004-0000-0600-00006A020000}"/>
    <hyperlink ref="N621" r:id="rId620" xr:uid="{00000000-0004-0000-0600-00006B020000}"/>
    <hyperlink ref="N622" r:id="rId621" xr:uid="{00000000-0004-0000-0600-00006C020000}"/>
    <hyperlink ref="N623" r:id="rId622" xr:uid="{00000000-0004-0000-0600-00006D020000}"/>
    <hyperlink ref="N624" r:id="rId623" xr:uid="{00000000-0004-0000-0600-00006E020000}"/>
    <hyperlink ref="N625" r:id="rId624" xr:uid="{00000000-0004-0000-0600-00006F020000}"/>
    <hyperlink ref="N626" r:id="rId625" xr:uid="{00000000-0004-0000-0600-000070020000}"/>
    <hyperlink ref="N627" r:id="rId626" xr:uid="{00000000-0004-0000-0600-000071020000}"/>
    <hyperlink ref="N628" r:id="rId627" xr:uid="{00000000-0004-0000-0600-000072020000}"/>
    <hyperlink ref="N629" r:id="rId628" xr:uid="{00000000-0004-0000-0600-000073020000}"/>
    <hyperlink ref="N630" r:id="rId629" xr:uid="{00000000-0004-0000-0600-000074020000}"/>
    <hyperlink ref="N631" r:id="rId630" xr:uid="{00000000-0004-0000-0600-000075020000}"/>
    <hyperlink ref="N632" r:id="rId631" xr:uid="{00000000-0004-0000-0600-000076020000}"/>
    <hyperlink ref="N633" r:id="rId632" xr:uid="{00000000-0004-0000-0600-000077020000}"/>
    <hyperlink ref="N634" r:id="rId633" xr:uid="{00000000-0004-0000-0600-000078020000}"/>
    <hyperlink ref="N635" r:id="rId634" xr:uid="{00000000-0004-0000-0600-000079020000}"/>
    <hyperlink ref="N636" r:id="rId635" xr:uid="{00000000-0004-0000-0600-00007A020000}"/>
    <hyperlink ref="N637" r:id="rId636" xr:uid="{00000000-0004-0000-0600-00007B020000}"/>
    <hyperlink ref="N638" r:id="rId637" xr:uid="{00000000-0004-0000-0600-00007C020000}"/>
    <hyperlink ref="N639" r:id="rId638" xr:uid="{00000000-0004-0000-0600-00007D020000}"/>
    <hyperlink ref="N640" r:id="rId639" xr:uid="{00000000-0004-0000-0600-00007E020000}"/>
    <hyperlink ref="N641" r:id="rId640" xr:uid="{00000000-0004-0000-0600-00007F020000}"/>
    <hyperlink ref="N642" r:id="rId641" xr:uid="{00000000-0004-0000-0600-000080020000}"/>
    <hyperlink ref="N643" r:id="rId642" xr:uid="{00000000-0004-0000-0600-000081020000}"/>
    <hyperlink ref="N644" r:id="rId643" xr:uid="{00000000-0004-0000-0600-000082020000}"/>
    <hyperlink ref="N645" r:id="rId644" xr:uid="{00000000-0004-0000-0600-000083020000}"/>
    <hyperlink ref="N646" r:id="rId645" xr:uid="{00000000-0004-0000-0600-000084020000}"/>
    <hyperlink ref="N647" r:id="rId646" xr:uid="{00000000-0004-0000-0600-000085020000}"/>
    <hyperlink ref="N648" r:id="rId647" xr:uid="{00000000-0004-0000-0600-000086020000}"/>
    <hyperlink ref="N649" r:id="rId648" xr:uid="{00000000-0004-0000-0600-000087020000}"/>
    <hyperlink ref="N650" r:id="rId649" xr:uid="{00000000-0004-0000-0600-000088020000}"/>
    <hyperlink ref="N651" r:id="rId650" xr:uid="{00000000-0004-0000-0600-000089020000}"/>
    <hyperlink ref="N652" r:id="rId651" xr:uid="{00000000-0004-0000-0600-00008A020000}"/>
    <hyperlink ref="N653" r:id="rId652" xr:uid="{00000000-0004-0000-0600-00008B020000}"/>
    <hyperlink ref="N654" r:id="rId653" xr:uid="{00000000-0004-0000-0600-00008C020000}"/>
    <hyperlink ref="N655" r:id="rId654" xr:uid="{00000000-0004-0000-0600-00008D020000}"/>
    <hyperlink ref="N656" r:id="rId655" xr:uid="{00000000-0004-0000-0600-00008E020000}"/>
    <hyperlink ref="N657" r:id="rId656" xr:uid="{00000000-0004-0000-0600-00008F020000}"/>
    <hyperlink ref="N658" r:id="rId657" xr:uid="{00000000-0004-0000-0600-000090020000}"/>
    <hyperlink ref="N659" r:id="rId658" xr:uid="{00000000-0004-0000-0600-000091020000}"/>
    <hyperlink ref="N660" r:id="rId659" xr:uid="{00000000-0004-0000-0600-000092020000}"/>
    <hyperlink ref="N661" r:id="rId660" xr:uid="{00000000-0004-0000-0600-000093020000}"/>
    <hyperlink ref="N662" r:id="rId661" xr:uid="{00000000-0004-0000-0600-000094020000}"/>
    <hyperlink ref="N663" r:id="rId662" xr:uid="{00000000-0004-0000-0600-000095020000}"/>
    <hyperlink ref="N664" r:id="rId663" xr:uid="{00000000-0004-0000-0600-000096020000}"/>
    <hyperlink ref="N665" r:id="rId664" xr:uid="{00000000-0004-0000-0600-000097020000}"/>
    <hyperlink ref="N666" r:id="rId665" xr:uid="{00000000-0004-0000-0600-000098020000}"/>
    <hyperlink ref="N667" r:id="rId666" xr:uid="{00000000-0004-0000-0600-000099020000}"/>
    <hyperlink ref="N668" r:id="rId667" xr:uid="{00000000-0004-0000-0600-00009A020000}"/>
    <hyperlink ref="N669" r:id="rId668" xr:uid="{00000000-0004-0000-0600-00009B020000}"/>
    <hyperlink ref="N670" r:id="rId669" xr:uid="{00000000-0004-0000-0600-00009C020000}"/>
    <hyperlink ref="N671" r:id="rId670" xr:uid="{00000000-0004-0000-0600-00009D020000}"/>
    <hyperlink ref="N672" r:id="rId671" xr:uid="{00000000-0004-0000-0600-00009E020000}"/>
    <hyperlink ref="N673" r:id="rId672" xr:uid="{00000000-0004-0000-0600-00009F020000}"/>
    <hyperlink ref="N674" r:id="rId673" xr:uid="{00000000-0004-0000-0600-0000A0020000}"/>
    <hyperlink ref="N675" r:id="rId674" xr:uid="{00000000-0004-0000-0600-0000A1020000}"/>
    <hyperlink ref="N676" r:id="rId675" xr:uid="{00000000-0004-0000-0600-0000A2020000}"/>
    <hyperlink ref="N677" r:id="rId676" xr:uid="{00000000-0004-0000-0600-0000A3020000}"/>
    <hyperlink ref="N678" r:id="rId677" xr:uid="{00000000-0004-0000-0600-0000A4020000}"/>
    <hyperlink ref="N679" r:id="rId678" xr:uid="{00000000-0004-0000-0600-0000A5020000}"/>
    <hyperlink ref="N680" r:id="rId679" xr:uid="{00000000-0004-0000-0600-0000A6020000}"/>
    <hyperlink ref="N681" r:id="rId680" xr:uid="{00000000-0004-0000-0600-0000A7020000}"/>
    <hyperlink ref="N682" r:id="rId681" xr:uid="{00000000-0004-0000-0600-0000A8020000}"/>
    <hyperlink ref="N683" r:id="rId682" xr:uid="{00000000-0004-0000-0600-0000A9020000}"/>
    <hyperlink ref="N684" r:id="rId683" xr:uid="{00000000-0004-0000-0600-0000AA020000}"/>
    <hyperlink ref="N685" r:id="rId684" xr:uid="{00000000-0004-0000-0600-0000AB020000}"/>
    <hyperlink ref="N686" r:id="rId685" xr:uid="{00000000-0004-0000-0600-0000AC020000}"/>
    <hyperlink ref="N687" r:id="rId686" xr:uid="{00000000-0004-0000-0600-0000AD020000}"/>
    <hyperlink ref="N688" r:id="rId687" xr:uid="{00000000-0004-0000-0600-0000AE020000}"/>
    <hyperlink ref="N689" r:id="rId688" xr:uid="{00000000-0004-0000-0600-0000AF020000}"/>
    <hyperlink ref="N690" r:id="rId689" xr:uid="{00000000-0004-0000-0600-0000B0020000}"/>
    <hyperlink ref="N691" r:id="rId690" xr:uid="{00000000-0004-0000-0600-0000B1020000}"/>
    <hyperlink ref="N692" r:id="rId691" xr:uid="{00000000-0004-0000-0600-0000B2020000}"/>
    <hyperlink ref="N693" r:id="rId692" xr:uid="{00000000-0004-0000-0600-0000B3020000}"/>
    <hyperlink ref="N694" r:id="rId693" xr:uid="{00000000-0004-0000-0600-0000B4020000}"/>
    <hyperlink ref="N695" r:id="rId694" xr:uid="{00000000-0004-0000-0600-0000B5020000}"/>
    <hyperlink ref="N696" r:id="rId695" xr:uid="{00000000-0004-0000-0600-0000B6020000}"/>
    <hyperlink ref="N697" r:id="rId696" xr:uid="{00000000-0004-0000-0600-0000B7020000}"/>
    <hyperlink ref="N698" r:id="rId697" xr:uid="{00000000-0004-0000-0600-0000B8020000}"/>
    <hyperlink ref="N699" r:id="rId698" xr:uid="{00000000-0004-0000-0600-0000B9020000}"/>
    <hyperlink ref="N700" r:id="rId699" xr:uid="{00000000-0004-0000-0600-0000BA020000}"/>
    <hyperlink ref="N701" r:id="rId700" xr:uid="{00000000-0004-0000-0600-0000BB020000}"/>
    <hyperlink ref="N702" r:id="rId701" xr:uid="{00000000-0004-0000-0600-0000BC020000}"/>
    <hyperlink ref="N703" r:id="rId702" xr:uid="{00000000-0004-0000-0600-0000BD020000}"/>
    <hyperlink ref="N704" r:id="rId703" xr:uid="{00000000-0004-0000-0600-0000BE020000}"/>
    <hyperlink ref="N705" r:id="rId704" xr:uid="{00000000-0004-0000-0600-0000BF020000}"/>
    <hyperlink ref="N706" r:id="rId705" xr:uid="{00000000-0004-0000-0600-0000C0020000}"/>
    <hyperlink ref="N707" r:id="rId706" xr:uid="{00000000-0004-0000-0600-0000C1020000}"/>
    <hyperlink ref="N708" r:id="rId707" xr:uid="{00000000-0004-0000-0600-0000C2020000}"/>
    <hyperlink ref="N709" r:id="rId708" xr:uid="{00000000-0004-0000-0600-0000C3020000}"/>
    <hyperlink ref="N710" r:id="rId709" xr:uid="{00000000-0004-0000-0600-0000C4020000}"/>
    <hyperlink ref="N711" r:id="rId710" xr:uid="{00000000-0004-0000-0600-0000C5020000}"/>
    <hyperlink ref="N712" r:id="rId711" xr:uid="{00000000-0004-0000-0600-0000C6020000}"/>
    <hyperlink ref="N713" r:id="rId712" xr:uid="{00000000-0004-0000-0600-0000C7020000}"/>
    <hyperlink ref="N714" r:id="rId713" xr:uid="{00000000-0004-0000-0600-0000C8020000}"/>
    <hyperlink ref="N715" r:id="rId714" xr:uid="{00000000-0004-0000-0600-0000C9020000}"/>
    <hyperlink ref="N716" r:id="rId715" xr:uid="{00000000-0004-0000-0600-0000CA020000}"/>
    <hyperlink ref="N717" r:id="rId716" xr:uid="{00000000-0004-0000-0600-0000CB020000}"/>
    <hyperlink ref="N718" r:id="rId717" xr:uid="{00000000-0004-0000-0600-0000CC020000}"/>
    <hyperlink ref="N719" r:id="rId718" xr:uid="{00000000-0004-0000-0600-0000CD020000}"/>
    <hyperlink ref="N720" r:id="rId719" xr:uid="{00000000-0004-0000-0600-0000CE020000}"/>
    <hyperlink ref="N721" r:id="rId720" xr:uid="{00000000-0004-0000-0600-0000CF020000}"/>
    <hyperlink ref="N722" r:id="rId721" xr:uid="{00000000-0004-0000-0600-0000D0020000}"/>
    <hyperlink ref="N723" r:id="rId722" xr:uid="{00000000-0004-0000-0600-0000D1020000}"/>
    <hyperlink ref="N724" r:id="rId723" xr:uid="{00000000-0004-0000-0600-0000D2020000}"/>
    <hyperlink ref="N725" r:id="rId724" xr:uid="{00000000-0004-0000-0600-0000D3020000}"/>
    <hyperlink ref="N726" r:id="rId725" xr:uid="{00000000-0004-0000-0600-0000D4020000}"/>
    <hyperlink ref="N727" r:id="rId726" xr:uid="{00000000-0004-0000-0600-0000D5020000}"/>
    <hyperlink ref="N728" r:id="rId727" xr:uid="{00000000-0004-0000-0600-0000D6020000}"/>
    <hyperlink ref="N729" r:id="rId728" xr:uid="{00000000-0004-0000-0600-0000D7020000}"/>
    <hyperlink ref="N730" r:id="rId729" xr:uid="{00000000-0004-0000-0600-0000D8020000}"/>
    <hyperlink ref="N731" r:id="rId730" xr:uid="{00000000-0004-0000-0600-0000D9020000}"/>
    <hyperlink ref="N732" r:id="rId731" xr:uid="{00000000-0004-0000-0600-0000DA020000}"/>
    <hyperlink ref="N733" r:id="rId732" xr:uid="{00000000-0004-0000-0600-0000DB020000}"/>
    <hyperlink ref="N734" r:id="rId733" xr:uid="{00000000-0004-0000-0600-0000DC020000}"/>
    <hyperlink ref="N735" r:id="rId734" xr:uid="{00000000-0004-0000-0600-0000DD020000}"/>
    <hyperlink ref="N736" r:id="rId735" xr:uid="{00000000-0004-0000-0600-0000DE020000}"/>
    <hyperlink ref="N737" r:id="rId736" xr:uid="{00000000-0004-0000-0600-0000DF020000}"/>
    <hyperlink ref="N738" r:id="rId737" xr:uid="{00000000-0004-0000-0600-0000E0020000}"/>
    <hyperlink ref="N739" r:id="rId738" xr:uid="{00000000-0004-0000-0600-0000E1020000}"/>
    <hyperlink ref="N740" r:id="rId739" xr:uid="{00000000-0004-0000-0600-0000E2020000}"/>
    <hyperlink ref="N741" r:id="rId740" xr:uid="{00000000-0004-0000-0600-0000E3020000}"/>
    <hyperlink ref="N742" r:id="rId741" xr:uid="{00000000-0004-0000-0600-0000E4020000}"/>
    <hyperlink ref="N743" r:id="rId742" xr:uid="{00000000-0004-0000-0600-0000E5020000}"/>
    <hyperlink ref="N744" r:id="rId743" xr:uid="{00000000-0004-0000-0600-0000E6020000}"/>
    <hyperlink ref="N745" r:id="rId744" xr:uid="{00000000-0004-0000-0600-0000E7020000}"/>
    <hyperlink ref="N746" r:id="rId745" xr:uid="{00000000-0004-0000-0600-0000E8020000}"/>
    <hyperlink ref="N747" r:id="rId746" xr:uid="{00000000-0004-0000-0600-0000E9020000}"/>
    <hyperlink ref="N748" r:id="rId747" xr:uid="{00000000-0004-0000-0600-0000EA020000}"/>
    <hyperlink ref="N749" r:id="rId748" xr:uid="{00000000-0004-0000-0600-0000EB020000}"/>
    <hyperlink ref="N750" r:id="rId749" xr:uid="{00000000-0004-0000-0600-0000EC020000}"/>
    <hyperlink ref="N751" r:id="rId750" xr:uid="{00000000-0004-0000-0600-0000ED020000}"/>
    <hyperlink ref="N752" r:id="rId751" xr:uid="{00000000-0004-0000-0600-0000EE020000}"/>
    <hyperlink ref="N753" r:id="rId752" xr:uid="{00000000-0004-0000-0600-0000EF020000}"/>
    <hyperlink ref="N754" r:id="rId753" xr:uid="{00000000-0004-0000-0600-0000F0020000}"/>
    <hyperlink ref="N755" r:id="rId754" xr:uid="{00000000-0004-0000-0600-0000F1020000}"/>
    <hyperlink ref="N756" r:id="rId755" xr:uid="{00000000-0004-0000-0600-0000F2020000}"/>
    <hyperlink ref="N757" r:id="rId756" xr:uid="{00000000-0004-0000-0600-0000F3020000}"/>
    <hyperlink ref="N758" r:id="rId757" xr:uid="{00000000-0004-0000-0600-0000F4020000}"/>
    <hyperlink ref="N759" r:id="rId758" xr:uid="{00000000-0004-0000-0600-0000F5020000}"/>
    <hyperlink ref="N760" r:id="rId759" xr:uid="{00000000-0004-0000-0600-0000F6020000}"/>
    <hyperlink ref="N761" r:id="rId760" xr:uid="{00000000-0004-0000-0600-0000F7020000}"/>
    <hyperlink ref="N762" r:id="rId761" xr:uid="{00000000-0004-0000-0600-0000F8020000}"/>
    <hyperlink ref="N763" r:id="rId762" xr:uid="{00000000-0004-0000-0600-0000F9020000}"/>
    <hyperlink ref="N764" r:id="rId763" xr:uid="{00000000-0004-0000-0600-0000FA020000}"/>
    <hyperlink ref="N765" r:id="rId764" xr:uid="{00000000-0004-0000-0600-0000FB020000}"/>
    <hyperlink ref="N766" r:id="rId765" xr:uid="{00000000-0004-0000-0600-0000FC020000}"/>
    <hyperlink ref="N767" r:id="rId766" xr:uid="{00000000-0004-0000-0600-0000FD020000}"/>
    <hyperlink ref="N768" r:id="rId767" xr:uid="{00000000-0004-0000-0600-0000FE020000}"/>
    <hyperlink ref="N769" r:id="rId768" xr:uid="{00000000-0004-0000-0600-0000FF020000}"/>
    <hyperlink ref="N770" r:id="rId769" xr:uid="{00000000-0004-0000-0600-000000030000}"/>
    <hyperlink ref="N771" r:id="rId770" xr:uid="{00000000-0004-0000-0600-000001030000}"/>
    <hyperlink ref="N772" r:id="rId771" xr:uid="{00000000-0004-0000-0600-000002030000}"/>
    <hyperlink ref="N773" r:id="rId772" xr:uid="{00000000-0004-0000-0600-000003030000}"/>
    <hyperlink ref="N774" r:id="rId773" xr:uid="{00000000-0004-0000-0600-000004030000}"/>
    <hyperlink ref="N775" r:id="rId774" xr:uid="{00000000-0004-0000-0600-000005030000}"/>
    <hyperlink ref="N776" r:id="rId775" xr:uid="{00000000-0004-0000-0600-000006030000}"/>
    <hyperlink ref="N777" r:id="rId776" xr:uid="{00000000-0004-0000-0600-000007030000}"/>
    <hyperlink ref="N778" r:id="rId777" xr:uid="{00000000-0004-0000-0600-000008030000}"/>
    <hyperlink ref="N779" r:id="rId778" xr:uid="{00000000-0004-0000-0600-000009030000}"/>
    <hyperlink ref="N780" r:id="rId779" xr:uid="{00000000-0004-0000-0600-00000A030000}"/>
    <hyperlink ref="N781" r:id="rId780" xr:uid="{00000000-0004-0000-0600-00000B030000}"/>
    <hyperlink ref="N782" r:id="rId781" xr:uid="{00000000-0004-0000-0600-00000C030000}"/>
    <hyperlink ref="N783" r:id="rId782" xr:uid="{00000000-0004-0000-0600-00000D030000}"/>
    <hyperlink ref="N784" r:id="rId783" xr:uid="{00000000-0004-0000-0600-00000E030000}"/>
    <hyperlink ref="N785" r:id="rId784" xr:uid="{00000000-0004-0000-0600-00000F030000}"/>
    <hyperlink ref="N786" r:id="rId785" xr:uid="{00000000-0004-0000-0600-000010030000}"/>
    <hyperlink ref="N787" r:id="rId786" xr:uid="{00000000-0004-0000-0600-000011030000}"/>
    <hyperlink ref="N788" r:id="rId787" xr:uid="{00000000-0004-0000-0600-000012030000}"/>
    <hyperlink ref="N789" r:id="rId788" xr:uid="{00000000-0004-0000-0600-000013030000}"/>
    <hyperlink ref="N790" r:id="rId789" xr:uid="{00000000-0004-0000-0600-000014030000}"/>
    <hyperlink ref="N791" r:id="rId790" xr:uid="{00000000-0004-0000-0600-000015030000}"/>
    <hyperlink ref="N792" r:id="rId791" xr:uid="{00000000-0004-0000-0600-000016030000}"/>
    <hyperlink ref="N793" r:id="rId792" xr:uid="{00000000-0004-0000-0600-000017030000}"/>
    <hyperlink ref="N794" r:id="rId793" xr:uid="{00000000-0004-0000-0600-000018030000}"/>
    <hyperlink ref="N795" r:id="rId794" xr:uid="{00000000-0004-0000-0600-000019030000}"/>
    <hyperlink ref="N796" r:id="rId795" xr:uid="{00000000-0004-0000-0600-00001A030000}"/>
    <hyperlink ref="N797" r:id="rId796" xr:uid="{00000000-0004-0000-0600-00001B030000}"/>
    <hyperlink ref="N798" r:id="rId797" xr:uid="{00000000-0004-0000-0600-00001C030000}"/>
    <hyperlink ref="N799" r:id="rId798" xr:uid="{00000000-0004-0000-0600-00001D030000}"/>
    <hyperlink ref="N800" r:id="rId799" xr:uid="{00000000-0004-0000-0600-00001E030000}"/>
    <hyperlink ref="N801" r:id="rId800" xr:uid="{00000000-0004-0000-0600-00001F030000}"/>
    <hyperlink ref="N802" r:id="rId801" xr:uid="{00000000-0004-0000-0600-000020030000}"/>
    <hyperlink ref="N803" r:id="rId802" xr:uid="{00000000-0004-0000-0600-000021030000}"/>
    <hyperlink ref="N804" r:id="rId803" xr:uid="{00000000-0004-0000-0600-000022030000}"/>
    <hyperlink ref="N805" r:id="rId804" xr:uid="{00000000-0004-0000-0600-000023030000}"/>
    <hyperlink ref="N806" r:id="rId805" xr:uid="{00000000-0004-0000-0600-000024030000}"/>
    <hyperlink ref="N807" r:id="rId806" xr:uid="{00000000-0004-0000-0600-000025030000}"/>
    <hyperlink ref="N808" r:id="rId807" xr:uid="{00000000-0004-0000-0600-000026030000}"/>
    <hyperlink ref="N809" r:id="rId808" xr:uid="{00000000-0004-0000-0600-000027030000}"/>
    <hyperlink ref="N810" r:id="rId809" xr:uid="{00000000-0004-0000-0600-000028030000}"/>
    <hyperlink ref="N811" r:id="rId810" xr:uid="{00000000-0004-0000-0600-000029030000}"/>
    <hyperlink ref="N812" r:id="rId811" xr:uid="{00000000-0004-0000-0600-00002A030000}"/>
    <hyperlink ref="N813" r:id="rId812" xr:uid="{00000000-0004-0000-0600-00002B030000}"/>
    <hyperlink ref="N814" r:id="rId813" xr:uid="{00000000-0004-0000-0600-00002C030000}"/>
    <hyperlink ref="N815" r:id="rId814" xr:uid="{00000000-0004-0000-0600-00002D030000}"/>
    <hyperlink ref="N816" r:id="rId815" xr:uid="{00000000-0004-0000-0600-00002E030000}"/>
    <hyperlink ref="N817" r:id="rId816" xr:uid="{00000000-0004-0000-0600-00002F030000}"/>
    <hyperlink ref="N818" r:id="rId817" xr:uid="{00000000-0004-0000-0600-000030030000}"/>
    <hyperlink ref="N819" r:id="rId818" xr:uid="{00000000-0004-0000-0600-000031030000}"/>
    <hyperlink ref="N820" r:id="rId819" xr:uid="{00000000-0004-0000-0600-000032030000}"/>
    <hyperlink ref="N821" r:id="rId820" xr:uid="{00000000-0004-0000-0600-000033030000}"/>
    <hyperlink ref="N822" r:id="rId821" xr:uid="{00000000-0004-0000-0600-000034030000}"/>
    <hyperlink ref="N823" r:id="rId822" xr:uid="{00000000-0004-0000-0600-000035030000}"/>
    <hyperlink ref="N824" r:id="rId823" xr:uid="{00000000-0004-0000-0600-000036030000}"/>
    <hyperlink ref="N825" r:id="rId824" xr:uid="{00000000-0004-0000-0600-000037030000}"/>
    <hyperlink ref="N826" r:id="rId825" xr:uid="{00000000-0004-0000-0600-000038030000}"/>
    <hyperlink ref="N827" r:id="rId826" xr:uid="{00000000-0004-0000-0600-000039030000}"/>
    <hyperlink ref="N828" r:id="rId827" xr:uid="{00000000-0004-0000-0600-00003A030000}"/>
    <hyperlink ref="N829" r:id="rId828" xr:uid="{00000000-0004-0000-0600-00003B030000}"/>
    <hyperlink ref="N830" r:id="rId829" xr:uid="{00000000-0004-0000-0600-00003C030000}"/>
    <hyperlink ref="N831" r:id="rId830" xr:uid="{00000000-0004-0000-0600-00003D030000}"/>
    <hyperlink ref="N832" r:id="rId831" xr:uid="{00000000-0004-0000-0600-00003E030000}"/>
    <hyperlink ref="N833" r:id="rId832" xr:uid="{00000000-0004-0000-0600-00003F030000}"/>
    <hyperlink ref="N834" r:id="rId833" xr:uid="{00000000-0004-0000-0600-000040030000}"/>
    <hyperlink ref="N835" r:id="rId834" xr:uid="{00000000-0004-0000-0600-000041030000}"/>
    <hyperlink ref="N836" r:id="rId835" xr:uid="{00000000-0004-0000-0600-000042030000}"/>
    <hyperlink ref="N837" r:id="rId836" xr:uid="{00000000-0004-0000-0600-000043030000}"/>
    <hyperlink ref="N838" r:id="rId837" xr:uid="{00000000-0004-0000-0600-000044030000}"/>
    <hyperlink ref="N839" r:id="rId838" xr:uid="{00000000-0004-0000-0600-000045030000}"/>
    <hyperlink ref="N840" r:id="rId839" xr:uid="{00000000-0004-0000-0600-000046030000}"/>
    <hyperlink ref="N841" r:id="rId840" xr:uid="{00000000-0004-0000-0600-000047030000}"/>
    <hyperlink ref="N842" r:id="rId841" xr:uid="{00000000-0004-0000-0600-000048030000}"/>
    <hyperlink ref="N843" r:id="rId842" xr:uid="{00000000-0004-0000-0600-000049030000}"/>
    <hyperlink ref="N844" r:id="rId843" xr:uid="{00000000-0004-0000-0600-00004A030000}"/>
    <hyperlink ref="N845" r:id="rId844" xr:uid="{00000000-0004-0000-0600-00004B030000}"/>
    <hyperlink ref="N846" r:id="rId845" xr:uid="{00000000-0004-0000-0600-00004C030000}"/>
    <hyperlink ref="N847" r:id="rId846" xr:uid="{00000000-0004-0000-0600-00004D030000}"/>
    <hyperlink ref="N848" r:id="rId847" xr:uid="{00000000-0004-0000-0600-00004E030000}"/>
    <hyperlink ref="N849" r:id="rId848" xr:uid="{00000000-0004-0000-0600-00004F030000}"/>
    <hyperlink ref="N850" r:id="rId849" xr:uid="{00000000-0004-0000-0600-000050030000}"/>
    <hyperlink ref="N851" r:id="rId850" xr:uid="{00000000-0004-0000-0600-000051030000}"/>
    <hyperlink ref="N852" r:id="rId851" xr:uid="{00000000-0004-0000-0600-000052030000}"/>
    <hyperlink ref="N853" r:id="rId852" xr:uid="{00000000-0004-0000-0600-000053030000}"/>
    <hyperlink ref="N854" r:id="rId853" xr:uid="{00000000-0004-0000-0600-000054030000}"/>
    <hyperlink ref="N855" r:id="rId854" xr:uid="{00000000-0004-0000-0600-000055030000}"/>
    <hyperlink ref="N856" r:id="rId855" xr:uid="{00000000-0004-0000-0600-000056030000}"/>
    <hyperlink ref="N857" r:id="rId856" xr:uid="{00000000-0004-0000-0600-000057030000}"/>
    <hyperlink ref="N858" r:id="rId857" xr:uid="{00000000-0004-0000-0600-000058030000}"/>
    <hyperlink ref="N859" r:id="rId858" xr:uid="{00000000-0004-0000-0600-000059030000}"/>
    <hyperlink ref="N860" r:id="rId859" xr:uid="{00000000-0004-0000-0600-00005A030000}"/>
    <hyperlink ref="N861" r:id="rId860" xr:uid="{00000000-0004-0000-0600-00005B030000}"/>
    <hyperlink ref="N862" r:id="rId861" xr:uid="{00000000-0004-0000-0600-00005C030000}"/>
    <hyperlink ref="N863" r:id="rId862" xr:uid="{00000000-0004-0000-0600-00005D030000}"/>
    <hyperlink ref="N864" r:id="rId863" xr:uid="{00000000-0004-0000-0600-00005E030000}"/>
    <hyperlink ref="N865" r:id="rId864" xr:uid="{00000000-0004-0000-0600-00005F030000}"/>
    <hyperlink ref="N866" r:id="rId865" xr:uid="{00000000-0004-0000-0600-000060030000}"/>
    <hyperlink ref="N867" r:id="rId866" xr:uid="{00000000-0004-0000-0600-000061030000}"/>
    <hyperlink ref="N868" r:id="rId867" xr:uid="{00000000-0004-0000-0600-000062030000}"/>
    <hyperlink ref="N869" r:id="rId868" xr:uid="{00000000-0004-0000-0600-000063030000}"/>
    <hyperlink ref="N870" r:id="rId869" xr:uid="{00000000-0004-0000-0600-000064030000}"/>
    <hyperlink ref="N871" r:id="rId870" xr:uid="{00000000-0004-0000-0600-000065030000}"/>
    <hyperlink ref="N872" r:id="rId871" xr:uid="{00000000-0004-0000-0600-000066030000}"/>
    <hyperlink ref="N873" r:id="rId872" xr:uid="{00000000-0004-0000-0600-000067030000}"/>
    <hyperlink ref="N874" r:id="rId873" xr:uid="{00000000-0004-0000-0600-000068030000}"/>
    <hyperlink ref="N875" r:id="rId874" xr:uid="{00000000-0004-0000-0600-000069030000}"/>
    <hyperlink ref="N876" r:id="rId875" xr:uid="{00000000-0004-0000-0600-00006A030000}"/>
    <hyperlink ref="N877" r:id="rId876" xr:uid="{00000000-0004-0000-0600-00006B030000}"/>
    <hyperlink ref="N878" r:id="rId877" xr:uid="{00000000-0004-0000-0600-00006C030000}"/>
    <hyperlink ref="N879" r:id="rId878" xr:uid="{00000000-0004-0000-0600-00006D030000}"/>
    <hyperlink ref="N880" r:id="rId879" xr:uid="{00000000-0004-0000-0600-00006E030000}"/>
    <hyperlink ref="N881" r:id="rId880" xr:uid="{00000000-0004-0000-0600-00006F030000}"/>
    <hyperlink ref="N882" r:id="rId881" xr:uid="{00000000-0004-0000-0600-000070030000}"/>
    <hyperlink ref="N883" r:id="rId882" xr:uid="{00000000-0004-0000-0600-000071030000}"/>
    <hyperlink ref="N884" r:id="rId883" xr:uid="{00000000-0004-0000-0600-000072030000}"/>
    <hyperlink ref="N885" r:id="rId884" xr:uid="{00000000-0004-0000-0600-000073030000}"/>
    <hyperlink ref="N886" r:id="rId885" xr:uid="{00000000-0004-0000-0600-000074030000}"/>
    <hyperlink ref="N887" r:id="rId886" xr:uid="{00000000-0004-0000-0600-000075030000}"/>
    <hyperlink ref="N888" r:id="rId887" xr:uid="{00000000-0004-0000-0600-000076030000}"/>
    <hyperlink ref="N889" r:id="rId888" xr:uid="{00000000-0004-0000-0600-000077030000}"/>
    <hyperlink ref="N890" r:id="rId889" xr:uid="{00000000-0004-0000-0600-000078030000}"/>
    <hyperlink ref="N891" r:id="rId890" xr:uid="{00000000-0004-0000-0600-000079030000}"/>
    <hyperlink ref="N892" r:id="rId891" xr:uid="{00000000-0004-0000-0600-00007A030000}"/>
    <hyperlink ref="N893" r:id="rId892" xr:uid="{00000000-0004-0000-0600-00007B030000}"/>
    <hyperlink ref="N894" r:id="rId893" xr:uid="{00000000-0004-0000-0600-00007C030000}"/>
    <hyperlink ref="N895" r:id="rId894" xr:uid="{00000000-0004-0000-0600-00007D030000}"/>
    <hyperlink ref="N896" r:id="rId895" xr:uid="{00000000-0004-0000-0600-00007E030000}"/>
    <hyperlink ref="N897" r:id="rId896" xr:uid="{00000000-0004-0000-0600-00007F030000}"/>
    <hyperlink ref="N898" r:id="rId897" xr:uid="{00000000-0004-0000-0600-000080030000}"/>
    <hyperlink ref="N899" r:id="rId898" xr:uid="{00000000-0004-0000-0600-000081030000}"/>
    <hyperlink ref="N900" r:id="rId899" xr:uid="{00000000-0004-0000-0600-000082030000}"/>
    <hyperlink ref="N901" r:id="rId900" xr:uid="{00000000-0004-0000-0600-000083030000}"/>
    <hyperlink ref="N902" r:id="rId901" xr:uid="{00000000-0004-0000-0600-000084030000}"/>
    <hyperlink ref="N903" r:id="rId902" xr:uid="{00000000-0004-0000-0600-000085030000}"/>
    <hyperlink ref="N904" r:id="rId903" xr:uid="{00000000-0004-0000-0600-000086030000}"/>
    <hyperlink ref="N905" r:id="rId904" xr:uid="{00000000-0004-0000-0600-000087030000}"/>
    <hyperlink ref="N906" r:id="rId905" xr:uid="{00000000-0004-0000-0600-000088030000}"/>
    <hyperlink ref="N907" r:id="rId906" xr:uid="{00000000-0004-0000-0600-000089030000}"/>
    <hyperlink ref="N908" r:id="rId907" xr:uid="{00000000-0004-0000-0600-00008A030000}"/>
    <hyperlink ref="N909" r:id="rId908" xr:uid="{00000000-0004-0000-0600-00008B030000}"/>
    <hyperlink ref="N910" r:id="rId909" xr:uid="{00000000-0004-0000-0600-00008C030000}"/>
    <hyperlink ref="N911" r:id="rId910" xr:uid="{00000000-0004-0000-0600-00008D030000}"/>
    <hyperlink ref="N912" r:id="rId911" xr:uid="{00000000-0004-0000-0600-00008E030000}"/>
    <hyperlink ref="N913" r:id="rId912" xr:uid="{00000000-0004-0000-0600-00008F030000}"/>
    <hyperlink ref="N914" r:id="rId913" xr:uid="{00000000-0004-0000-0600-000090030000}"/>
    <hyperlink ref="N915" r:id="rId914" xr:uid="{00000000-0004-0000-0600-000091030000}"/>
    <hyperlink ref="N916" r:id="rId915" xr:uid="{00000000-0004-0000-0600-000092030000}"/>
    <hyperlink ref="N917" r:id="rId916" xr:uid="{00000000-0004-0000-0600-000093030000}"/>
    <hyperlink ref="N918" r:id="rId917" xr:uid="{00000000-0004-0000-0600-000094030000}"/>
    <hyperlink ref="N919" r:id="rId918" xr:uid="{00000000-0004-0000-0600-000095030000}"/>
    <hyperlink ref="N920" r:id="rId919" xr:uid="{00000000-0004-0000-0600-000096030000}"/>
    <hyperlink ref="N921" r:id="rId920" xr:uid="{00000000-0004-0000-0600-000097030000}"/>
    <hyperlink ref="N922" r:id="rId921" xr:uid="{00000000-0004-0000-0600-000098030000}"/>
    <hyperlink ref="N923" r:id="rId922" xr:uid="{00000000-0004-0000-0600-000099030000}"/>
    <hyperlink ref="N924" r:id="rId923" xr:uid="{00000000-0004-0000-0600-00009A030000}"/>
    <hyperlink ref="N925" r:id="rId924" xr:uid="{00000000-0004-0000-0600-00009B030000}"/>
    <hyperlink ref="N926" r:id="rId925" xr:uid="{00000000-0004-0000-0600-00009C030000}"/>
    <hyperlink ref="N927" r:id="rId926" xr:uid="{00000000-0004-0000-0600-00009D030000}"/>
    <hyperlink ref="N928" r:id="rId927" xr:uid="{00000000-0004-0000-0600-00009E030000}"/>
    <hyperlink ref="N929" r:id="rId928" xr:uid="{00000000-0004-0000-0600-00009F030000}"/>
    <hyperlink ref="N930" r:id="rId929" xr:uid="{00000000-0004-0000-0600-0000A0030000}"/>
    <hyperlink ref="N931" r:id="rId930" xr:uid="{00000000-0004-0000-0600-0000A1030000}"/>
    <hyperlink ref="N932" r:id="rId931" xr:uid="{00000000-0004-0000-0600-0000A2030000}"/>
    <hyperlink ref="N933" r:id="rId932" xr:uid="{00000000-0004-0000-0600-0000A3030000}"/>
    <hyperlink ref="N934" r:id="rId933" xr:uid="{00000000-0004-0000-0600-0000A4030000}"/>
    <hyperlink ref="N935" r:id="rId934" xr:uid="{00000000-0004-0000-0600-0000A5030000}"/>
    <hyperlink ref="N936" r:id="rId935" xr:uid="{00000000-0004-0000-0600-0000A6030000}"/>
    <hyperlink ref="N937" r:id="rId936" xr:uid="{00000000-0004-0000-0600-0000A7030000}"/>
    <hyperlink ref="N938" r:id="rId937" xr:uid="{00000000-0004-0000-0600-0000A8030000}"/>
    <hyperlink ref="N939" r:id="rId938" xr:uid="{00000000-0004-0000-0600-0000A9030000}"/>
    <hyperlink ref="N940" r:id="rId939" xr:uid="{00000000-0004-0000-0600-0000AA030000}"/>
    <hyperlink ref="N941" r:id="rId940" xr:uid="{00000000-0004-0000-0600-0000AB030000}"/>
    <hyperlink ref="N942" r:id="rId941" xr:uid="{00000000-0004-0000-0600-0000AC030000}"/>
    <hyperlink ref="N943" r:id="rId942" xr:uid="{00000000-0004-0000-0600-0000AD030000}"/>
    <hyperlink ref="N944" r:id="rId943" xr:uid="{00000000-0004-0000-0600-0000AE030000}"/>
    <hyperlink ref="N945" r:id="rId944" xr:uid="{00000000-0004-0000-0600-0000AF030000}"/>
    <hyperlink ref="N946" r:id="rId945" xr:uid="{00000000-0004-0000-0600-0000B0030000}"/>
    <hyperlink ref="N947" r:id="rId946" xr:uid="{00000000-0004-0000-0600-0000B1030000}"/>
    <hyperlink ref="N948" r:id="rId947" xr:uid="{00000000-0004-0000-0600-0000B2030000}"/>
    <hyperlink ref="N949" r:id="rId948" xr:uid="{00000000-0004-0000-0600-0000B3030000}"/>
    <hyperlink ref="N950" r:id="rId949" xr:uid="{00000000-0004-0000-0600-0000B4030000}"/>
    <hyperlink ref="N951" r:id="rId950" xr:uid="{00000000-0004-0000-0600-0000B5030000}"/>
    <hyperlink ref="N952" r:id="rId951" xr:uid="{00000000-0004-0000-0600-0000B6030000}"/>
    <hyperlink ref="N953" r:id="rId952" xr:uid="{00000000-0004-0000-0600-0000B7030000}"/>
    <hyperlink ref="N954" r:id="rId953" xr:uid="{00000000-0004-0000-0600-0000B8030000}"/>
    <hyperlink ref="N955" r:id="rId954" xr:uid="{00000000-0004-0000-0600-0000B9030000}"/>
    <hyperlink ref="N956" r:id="rId955" xr:uid="{00000000-0004-0000-0600-0000BA030000}"/>
    <hyperlink ref="N957" r:id="rId956" xr:uid="{00000000-0004-0000-0600-0000BB030000}"/>
    <hyperlink ref="N958" r:id="rId957" xr:uid="{00000000-0004-0000-0600-0000BC030000}"/>
    <hyperlink ref="N959" r:id="rId958" xr:uid="{00000000-0004-0000-0600-0000BD030000}"/>
    <hyperlink ref="N960" r:id="rId959" xr:uid="{00000000-0004-0000-0600-0000BE030000}"/>
    <hyperlink ref="N961" r:id="rId960" xr:uid="{00000000-0004-0000-0600-0000BF030000}"/>
    <hyperlink ref="N962" r:id="rId961" xr:uid="{00000000-0004-0000-0600-0000C0030000}"/>
    <hyperlink ref="N963" r:id="rId962" xr:uid="{00000000-0004-0000-0600-0000C1030000}"/>
    <hyperlink ref="N964" r:id="rId963" xr:uid="{00000000-0004-0000-0600-0000C2030000}"/>
    <hyperlink ref="N965" r:id="rId964" xr:uid="{00000000-0004-0000-0600-0000C3030000}"/>
    <hyperlink ref="N966" r:id="rId965" xr:uid="{00000000-0004-0000-0600-0000C4030000}"/>
    <hyperlink ref="N967" r:id="rId966" xr:uid="{00000000-0004-0000-0600-0000C5030000}"/>
    <hyperlink ref="N968" r:id="rId967" xr:uid="{00000000-0004-0000-0600-0000C6030000}"/>
    <hyperlink ref="N969" r:id="rId968" xr:uid="{00000000-0004-0000-0600-0000C7030000}"/>
    <hyperlink ref="N970" r:id="rId969" xr:uid="{00000000-0004-0000-0600-0000C8030000}"/>
    <hyperlink ref="O972" r:id="rId970" xr:uid="{00000000-0004-0000-0600-0000C9030000}"/>
    <hyperlink ref="O973" r:id="rId971" xr:uid="{00000000-0004-0000-0600-0000CA030000}"/>
    <hyperlink ref="O975" r:id="rId972" xr:uid="{00000000-0004-0000-0600-0000CB030000}"/>
    <hyperlink ref="O976" r:id="rId973" xr:uid="{00000000-0004-0000-0600-0000CC030000}"/>
    <hyperlink ref="O977" r:id="rId974" xr:uid="{00000000-0004-0000-0600-0000CD030000}"/>
    <hyperlink ref="O979" r:id="rId975" xr:uid="{00000000-0004-0000-0600-0000CE030000}"/>
    <hyperlink ref="O980" r:id="rId976" xr:uid="{00000000-0004-0000-0600-0000CF030000}"/>
    <hyperlink ref="O981" r:id="rId977" xr:uid="{00000000-0004-0000-0600-0000D0030000}"/>
    <hyperlink ref="O982" r:id="rId978" xr:uid="{00000000-0004-0000-0600-0000D1030000}"/>
    <hyperlink ref="O983" r:id="rId979" xr:uid="{00000000-0004-0000-0600-0000D2030000}"/>
    <hyperlink ref="O984" r:id="rId980" xr:uid="{00000000-0004-0000-0600-0000D3030000}"/>
    <hyperlink ref="O985" r:id="rId981" xr:uid="{00000000-0004-0000-0600-0000D4030000}"/>
    <hyperlink ref="O987" r:id="rId982" xr:uid="{00000000-0004-0000-0600-0000D5030000}"/>
    <hyperlink ref="O988" r:id="rId983" xr:uid="{00000000-0004-0000-0600-0000D6030000}"/>
    <hyperlink ref="O990" r:id="rId984" xr:uid="{00000000-0004-0000-0600-0000D7030000}"/>
    <hyperlink ref="O991" r:id="rId985" xr:uid="{00000000-0004-0000-0600-0000D8030000}"/>
    <hyperlink ref="O994" r:id="rId986" xr:uid="{00000000-0004-0000-0600-0000D9030000}"/>
    <hyperlink ref="O995" r:id="rId987" xr:uid="{00000000-0004-0000-0600-0000DA030000}"/>
    <hyperlink ref="O996" r:id="rId988" xr:uid="{00000000-0004-0000-0600-0000DB030000}"/>
    <hyperlink ref="O997" r:id="rId989" xr:uid="{00000000-0004-0000-0600-0000DC030000}"/>
    <hyperlink ref="O998" r:id="rId990" xr:uid="{00000000-0004-0000-0600-0000DD030000}"/>
    <hyperlink ref="O999" r:id="rId991" xr:uid="{00000000-0004-0000-0600-0000DE030000}"/>
    <hyperlink ref="O1000" r:id="rId992" xr:uid="{00000000-0004-0000-0600-0000DF030000}"/>
    <hyperlink ref="O1001" r:id="rId993" xr:uid="{00000000-0004-0000-0600-0000E0030000}"/>
    <hyperlink ref="O1002" r:id="rId994" xr:uid="{00000000-0004-0000-0600-0000E1030000}"/>
    <hyperlink ref="O1003" r:id="rId995" xr:uid="{00000000-0004-0000-0600-0000E2030000}"/>
    <hyperlink ref="O1004" r:id="rId996" xr:uid="{00000000-0004-0000-0600-0000E3030000}"/>
    <hyperlink ref="O1005" r:id="rId997" xr:uid="{00000000-0004-0000-0600-0000E4030000}"/>
    <hyperlink ref="O1006" r:id="rId998" xr:uid="{00000000-0004-0000-0600-0000E5030000}"/>
    <hyperlink ref="O1007" r:id="rId999" xr:uid="{00000000-0004-0000-0600-0000E6030000}"/>
    <hyperlink ref="O1008" r:id="rId1000" xr:uid="{00000000-0004-0000-0600-0000E7030000}"/>
    <hyperlink ref="O1009" r:id="rId1001" xr:uid="{00000000-0004-0000-0600-0000E8030000}"/>
    <hyperlink ref="O1010" r:id="rId1002" xr:uid="{00000000-0004-0000-0600-0000E9030000}"/>
    <hyperlink ref="O1011" r:id="rId1003" xr:uid="{00000000-0004-0000-0600-0000EA030000}"/>
    <hyperlink ref="O1012" r:id="rId1004" xr:uid="{00000000-0004-0000-0600-0000EB030000}"/>
    <hyperlink ref="O1014" r:id="rId1005" xr:uid="{00000000-0004-0000-0600-0000EC030000}"/>
    <hyperlink ref="O1015" r:id="rId1006" xr:uid="{00000000-0004-0000-0600-0000ED030000}"/>
    <hyperlink ref="O1016" r:id="rId1007" xr:uid="{00000000-0004-0000-0600-0000EE030000}"/>
    <hyperlink ref="O1017" r:id="rId1008" xr:uid="{00000000-0004-0000-0600-0000EF030000}"/>
    <hyperlink ref="O1019" r:id="rId1009" xr:uid="{00000000-0004-0000-0600-0000F0030000}"/>
    <hyperlink ref="O1020" r:id="rId1010" xr:uid="{00000000-0004-0000-0600-0000F1030000}"/>
    <hyperlink ref="O1021" r:id="rId1011" xr:uid="{00000000-0004-0000-0600-0000F2030000}"/>
    <hyperlink ref="O1023" r:id="rId1012" xr:uid="{00000000-0004-0000-0600-0000F3030000}"/>
    <hyperlink ref="O1024" r:id="rId1013" xr:uid="{00000000-0004-0000-0600-0000F4030000}"/>
    <hyperlink ref="O1025" r:id="rId1014" xr:uid="{00000000-0004-0000-0600-0000F5030000}"/>
    <hyperlink ref="O1026" r:id="rId1015" xr:uid="{00000000-0004-0000-0600-0000F6030000}"/>
    <hyperlink ref="O1027" r:id="rId1016" xr:uid="{00000000-0004-0000-0600-0000F7030000}"/>
    <hyperlink ref="O1028" r:id="rId1017" xr:uid="{00000000-0004-0000-0600-0000F8030000}"/>
    <hyperlink ref="O1029" r:id="rId1018" xr:uid="{00000000-0004-0000-0600-0000F9030000}"/>
    <hyperlink ref="O1031" r:id="rId1019" xr:uid="{00000000-0004-0000-0600-0000FA030000}"/>
    <hyperlink ref="O1032" r:id="rId1020" xr:uid="{00000000-0004-0000-0600-0000FB030000}"/>
    <hyperlink ref="O1033" r:id="rId1021" xr:uid="{00000000-0004-0000-0600-0000FC030000}"/>
    <hyperlink ref="O1035" r:id="rId1022" xr:uid="{00000000-0004-0000-0600-0000FD030000}"/>
    <hyperlink ref="O1036" r:id="rId1023" xr:uid="{00000000-0004-0000-0600-0000FE030000}"/>
    <hyperlink ref="O1037" r:id="rId1024" xr:uid="{00000000-0004-0000-0600-0000FF030000}"/>
    <hyperlink ref="O1038" r:id="rId1025" xr:uid="{00000000-0004-0000-0600-000000040000}"/>
    <hyperlink ref="O1039" r:id="rId1026" xr:uid="{00000000-0004-0000-0600-000001040000}"/>
    <hyperlink ref="O1040" r:id="rId1027" xr:uid="{00000000-0004-0000-0600-000002040000}"/>
    <hyperlink ref="O1041" r:id="rId1028" xr:uid="{00000000-0004-0000-0600-000003040000}"/>
    <hyperlink ref="O1042" r:id="rId1029" xr:uid="{00000000-0004-0000-0600-000004040000}"/>
    <hyperlink ref="O1043" r:id="rId1030" xr:uid="{00000000-0004-0000-0600-000005040000}"/>
    <hyperlink ref="O1044" r:id="rId1031" xr:uid="{00000000-0004-0000-0600-000006040000}"/>
    <hyperlink ref="O1045" r:id="rId1032" xr:uid="{00000000-0004-0000-0600-000007040000}"/>
    <hyperlink ref="O1046" r:id="rId1033" xr:uid="{00000000-0004-0000-0600-000008040000}"/>
    <hyperlink ref="O1047" r:id="rId1034" xr:uid="{00000000-0004-0000-0600-000009040000}"/>
    <hyperlink ref="O1048" r:id="rId1035" xr:uid="{00000000-0004-0000-0600-00000A040000}"/>
    <hyperlink ref="O1049" r:id="rId1036" xr:uid="{00000000-0004-0000-0600-00000B040000}"/>
    <hyperlink ref="O1050" r:id="rId1037" xr:uid="{00000000-0004-0000-0600-00000C040000}"/>
    <hyperlink ref="O1051" r:id="rId1038" xr:uid="{00000000-0004-0000-0600-00000D040000}"/>
    <hyperlink ref="O1052" r:id="rId1039" xr:uid="{00000000-0004-0000-0600-00000E040000}"/>
    <hyperlink ref="O1053" r:id="rId1040" xr:uid="{00000000-0004-0000-0600-00000F040000}"/>
    <hyperlink ref="O1054" r:id="rId1041" xr:uid="{00000000-0004-0000-0600-000010040000}"/>
    <hyperlink ref="O1055" r:id="rId1042" xr:uid="{00000000-0004-0000-0600-000011040000}"/>
    <hyperlink ref="O1056" r:id="rId1043" xr:uid="{00000000-0004-0000-0600-000012040000}"/>
    <hyperlink ref="O1057" r:id="rId1044" xr:uid="{00000000-0004-0000-0600-000013040000}"/>
    <hyperlink ref="O1059" r:id="rId1045" xr:uid="{00000000-0004-0000-0600-000014040000}"/>
    <hyperlink ref="O1060" r:id="rId1046" xr:uid="{00000000-0004-0000-0600-000015040000}"/>
    <hyperlink ref="O1061" r:id="rId1047" xr:uid="{00000000-0004-0000-0600-000016040000}"/>
    <hyperlink ref="O1062" r:id="rId1048" xr:uid="{00000000-0004-0000-0600-000017040000}"/>
    <hyperlink ref="O1064" r:id="rId1049" xr:uid="{00000000-0004-0000-0600-000018040000}"/>
    <hyperlink ref="O1065" r:id="rId1050" xr:uid="{00000000-0004-0000-0600-000019040000}"/>
    <hyperlink ref="O1066" r:id="rId1051" xr:uid="{00000000-0004-0000-0600-00001A040000}"/>
    <hyperlink ref="O1067" r:id="rId1052" xr:uid="{00000000-0004-0000-0600-00001B040000}"/>
    <hyperlink ref="O1068" r:id="rId1053" xr:uid="{00000000-0004-0000-0600-00001C040000}"/>
    <hyperlink ref="O1069" r:id="rId1054" xr:uid="{00000000-0004-0000-0600-00001D040000}"/>
    <hyperlink ref="O1070" r:id="rId1055" xr:uid="{00000000-0004-0000-0600-00001E040000}"/>
    <hyperlink ref="O1071" r:id="rId1056" xr:uid="{00000000-0004-0000-0600-00001F040000}"/>
    <hyperlink ref="O1072" r:id="rId1057" xr:uid="{00000000-0004-0000-0600-000020040000}"/>
    <hyperlink ref="O1073" r:id="rId1058" xr:uid="{00000000-0004-0000-0600-000021040000}"/>
    <hyperlink ref="O1074" r:id="rId1059" xr:uid="{00000000-0004-0000-0600-000022040000}"/>
    <hyperlink ref="O1075" r:id="rId1060" xr:uid="{00000000-0004-0000-0600-000023040000}"/>
    <hyperlink ref="O1076" r:id="rId1061" xr:uid="{00000000-0004-0000-0600-000024040000}"/>
    <hyperlink ref="O1077" r:id="rId1062" xr:uid="{00000000-0004-0000-0600-000025040000}"/>
    <hyperlink ref="O1078" r:id="rId1063" xr:uid="{00000000-0004-0000-0600-000026040000}"/>
    <hyperlink ref="O1079" r:id="rId1064" xr:uid="{00000000-0004-0000-0600-000027040000}"/>
    <hyperlink ref="O1080" r:id="rId1065" xr:uid="{00000000-0004-0000-0600-000028040000}"/>
    <hyperlink ref="O1081" r:id="rId1066" xr:uid="{00000000-0004-0000-0600-000029040000}"/>
    <hyperlink ref="O1082" r:id="rId1067" xr:uid="{00000000-0004-0000-0600-00002A040000}"/>
    <hyperlink ref="O1083" r:id="rId1068" xr:uid="{00000000-0004-0000-0600-00002B040000}"/>
    <hyperlink ref="O1084" r:id="rId1069" xr:uid="{00000000-0004-0000-0600-00002C040000}"/>
    <hyperlink ref="O1085" r:id="rId1070" xr:uid="{00000000-0004-0000-0600-00002D040000}"/>
    <hyperlink ref="O1086" r:id="rId1071" xr:uid="{00000000-0004-0000-0600-00002E040000}"/>
    <hyperlink ref="O1087" r:id="rId1072" xr:uid="{00000000-0004-0000-0600-00002F040000}"/>
    <hyperlink ref="O1088" r:id="rId1073" xr:uid="{00000000-0004-0000-0600-000030040000}"/>
    <hyperlink ref="O1089" r:id="rId1074" xr:uid="{00000000-0004-0000-0600-000031040000}"/>
    <hyperlink ref="O1090" r:id="rId1075" xr:uid="{00000000-0004-0000-0600-000032040000}"/>
    <hyperlink ref="O1091" r:id="rId1076" xr:uid="{00000000-0004-0000-0600-000033040000}"/>
    <hyperlink ref="O1092" r:id="rId1077" xr:uid="{00000000-0004-0000-0600-000034040000}"/>
    <hyperlink ref="O1093" r:id="rId1078" xr:uid="{00000000-0004-0000-0600-000035040000}"/>
    <hyperlink ref="O1094" r:id="rId1079" xr:uid="{00000000-0004-0000-0600-000036040000}"/>
    <hyperlink ref="O1095" r:id="rId1080" xr:uid="{00000000-0004-0000-0600-000037040000}"/>
    <hyperlink ref="O1096" r:id="rId1081" xr:uid="{00000000-0004-0000-0600-000038040000}"/>
    <hyperlink ref="O1097" r:id="rId1082" xr:uid="{00000000-0004-0000-0600-000039040000}"/>
    <hyperlink ref="O1098" r:id="rId1083" xr:uid="{00000000-0004-0000-0600-00003A040000}"/>
    <hyperlink ref="O1099" r:id="rId1084" xr:uid="{00000000-0004-0000-0600-00003B040000}"/>
    <hyperlink ref="O1101" r:id="rId1085" xr:uid="{00000000-0004-0000-0600-00003C040000}"/>
    <hyperlink ref="O1102" r:id="rId1086" xr:uid="{00000000-0004-0000-0600-00003D040000}"/>
    <hyperlink ref="O1103" r:id="rId1087" xr:uid="{00000000-0004-0000-0600-00003E040000}"/>
    <hyperlink ref="O1104" r:id="rId1088" xr:uid="{00000000-0004-0000-0600-00003F040000}"/>
    <hyperlink ref="O1105" r:id="rId1089" xr:uid="{00000000-0004-0000-0600-000040040000}"/>
    <hyperlink ref="O1107" r:id="rId1090" xr:uid="{00000000-0004-0000-0600-000041040000}"/>
    <hyperlink ref="O1108" r:id="rId1091" xr:uid="{00000000-0004-0000-0600-000042040000}"/>
    <hyperlink ref="O1109" r:id="rId1092" xr:uid="{00000000-0004-0000-0600-000043040000}"/>
    <hyperlink ref="O1110" r:id="rId1093" xr:uid="{00000000-0004-0000-0600-000044040000}"/>
    <hyperlink ref="O1111" r:id="rId1094" xr:uid="{00000000-0004-0000-0600-000045040000}"/>
    <hyperlink ref="O1112" r:id="rId1095" xr:uid="{00000000-0004-0000-0600-000046040000}"/>
    <hyperlink ref="O1113" r:id="rId1096" xr:uid="{00000000-0004-0000-0600-000047040000}"/>
    <hyperlink ref="O1114" r:id="rId1097" xr:uid="{00000000-0004-0000-0600-000048040000}"/>
    <hyperlink ref="O1115" r:id="rId1098" xr:uid="{00000000-0004-0000-0600-000049040000}"/>
    <hyperlink ref="O1116" r:id="rId1099" xr:uid="{00000000-0004-0000-0600-00004A040000}"/>
    <hyperlink ref="O1117" r:id="rId1100" xr:uid="{00000000-0004-0000-0600-00004B040000}"/>
    <hyperlink ref="O1118" r:id="rId1101" xr:uid="{00000000-0004-0000-0600-00004C040000}"/>
    <hyperlink ref="O1119" r:id="rId1102" xr:uid="{00000000-0004-0000-0600-00004D040000}"/>
    <hyperlink ref="O1120" r:id="rId1103" xr:uid="{00000000-0004-0000-0600-00004E040000}"/>
    <hyperlink ref="O1121" r:id="rId1104" xr:uid="{00000000-0004-0000-0600-00004F040000}"/>
    <hyperlink ref="O1122" r:id="rId1105" xr:uid="{00000000-0004-0000-0600-000050040000}"/>
    <hyperlink ref="O1124" r:id="rId1106" xr:uid="{00000000-0004-0000-0600-000051040000}"/>
    <hyperlink ref="O1125" r:id="rId1107" xr:uid="{00000000-0004-0000-0600-000052040000}"/>
    <hyperlink ref="O1126" r:id="rId1108" xr:uid="{00000000-0004-0000-0600-000053040000}"/>
    <hyperlink ref="O1127" r:id="rId1109" xr:uid="{00000000-0004-0000-0600-000054040000}"/>
    <hyperlink ref="O1128" r:id="rId1110" xr:uid="{00000000-0004-0000-0600-000055040000}"/>
    <hyperlink ref="O1132" r:id="rId1111" xr:uid="{00000000-0004-0000-0600-000056040000}"/>
    <hyperlink ref="O1133" r:id="rId1112" xr:uid="{00000000-0004-0000-0600-000057040000}"/>
    <hyperlink ref="O1134" r:id="rId1113" xr:uid="{00000000-0004-0000-0600-000058040000}"/>
    <hyperlink ref="O1135" r:id="rId1114" xr:uid="{00000000-0004-0000-0600-000059040000}"/>
    <hyperlink ref="O1136" r:id="rId1115" xr:uid="{00000000-0004-0000-0600-00005A040000}"/>
    <hyperlink ref="O1137" r:id="rId1116" xr:uid="{00000000-0004-0000-0600-00005B040000}"/>
    <hyperlink ref="O1138" r:id="rId1117" xr:uid="{00000000-0004-0000-0600-00005C040000}"/>
    <hyperlink ref="O1139" r:id="rId1118" xr:uid="{00000000-0004-0000-0600-00005D040000}"/>
    <hyperlink ref="O1140" r:id="rId1119" xr:uid="{00000000-0004-0000-0600-00005E040000}"/>
    <hyperlink ref="O1141" r:id="rId1120" xr:uid="{00000000-0004-0000-0600-00005F040000}"/>
    <hyperlink ref="O1142" r:id="rId1121" xr:uid="{00000000-0004-0000-0600-000060040000}"/>
    <hyperlink ref="O1143" r:id="rId1122" xr:uid="{00000000-0004-0000-0600-000061040000}"/>
    <hyperlink ref="O1144" r:id="rId1123" xr:uid="{00000000-0004-0000-0600-000062040000}"/>
    <hyperlink ref="O1145" r:id="rId1124" xr:uid="{00000000-0004-0000-0600-000063040000}"/>
    <hyperlink ref="O1146" r:id="rId1125" xr:uid="{00000000-0004-0000-0600-000064040000}"/>
    <hyperlink ref="O1147" r:id="rId1126" xr:uid="{00000000-0004-0000-0600-000065040000}"/>
    <hyperlink ref="O1148" r:id="rId1127" xr:uid="{00000000-0004-0000-0600-000066040000}"/>
    <hyperlink ref="O1149" r:id="rId1128" xr:uid="{00000000-0004-0000-0600-000067040000}"/>
    <hyperlink ref="O1151" r:id="rId1129" xr:uid="{00000000-0004-0000-0600-000068040000}"/>
    <hyperlink ref="O1152" r:id="rId1130" xr:uid="{00000000-0004-0000-0600-000069040000}"/>
    <hyperlink ref="O1153" r:id="rId1131" xr:uid="{00000000-0004-0000-0600-00006A040000}"/>
    <hyperlink ref="O1154" r:id="rId1132" xr:uid="{00000000-0004-0000-0600-00006B040000}"/>
    <hyperlink ref="O1155" r:id="rId1133" xr:uid="{00000000-0004-0000-0600-00006C040000}"/>
    <hyperlink ref="O1156" r:id="rId1134" xr:uid="{00000000-0004-0000-0600-00006D040000}"/>
    <hyperlink ref="O1157" r:id="rId1135" xr:uid="{00000000-0004-0000-0600-00006E040000}"/>
    <hyperlink ref="O1158" r:id="rId1136" xr:uid="{00000000-0004-0000-0600-00006F040000}"/>
    <hyperlink ref="O1159" r:id="rId1137" xr:uid="{00000000-0004-0000-0600-000070040000}"/>
    <hyperlink ref="O1160" r:id="rId1138" xr:uid="{00000000-0004-0000-0600-000071040000}"/>
    <hyperlink ref="O1161" r:id="rId1139" xr:uid="{00000000-0004-0000-0600-000072040000}"/>
    <hyperlink ref="O1162" r:id="rId1140" xr:uid="{00000000-0004-0000-0600-000073040000}"/>
    <hyperlink ref="O1163" r:id="rId1141" xr:uid="{00000000-0004-0000-0600-000074040000}"/>
    <hyperlink ref="O1164" r:id="rId1142" xr:uid="{00000000-0004-0000-0600-000075040000}"/>
    <hyperlink ref="O1165" r:id="rId1143" xr:uid="{00000000-0004-0000-0600-000076040000}"/>
    <hyperlink ref="O1166" r:id="rId1144" xr:uid="{00000000-0004-0000-0600-000077040000}"/>
    <hyperlink ref="O1167" r:id="rId1145" xr:uid="{00000000-0004-0000-0600-000078040000}"/>
    <hyperlink ref="O1168" r:id="rId1146" xr:uid="{00000000-0004-0000-0600-000079040000}"/>
    <hyperlink ref="O1169" r:id="rId1147" xr:uid="{00000000-0004-0000-0600-00007A040000}"/>
    <hyperlink ref="O1170" r:id="rId1148" xr:uid="{00000000-0004-0000-0600-00007B040000}"/>
    <hyperlink ref="O1172" r:id="rId1149" xr:uid="{00000000-0004-0000-0600-00007C040000}"/>
    <hyperlink ref="O1173" r:id="rId1150" xr:uid="{00000000-0004-0000-0600-00007D040000}"/>
    <hyperlink ref="O1174" r:id="rId1151" xr:uid="{00000000-0004-0000-0600-00007E040000}"/>
    <hyperlink ref="O1175" r:id="rId1152" xr:uid="{00000000-0004-0000-0600-00007F040000}"/>
    <hyperlink ref="O1176" r:id="rId1153" xr:uid="{00000000-0004-0000-0600-000080040000}"/>
    <hyperlink ref="O1177" r:id="rId1154" xr:uid="{00000000-0004-0000-0600-000081040000}"/>
    <hyperlink ref="O1179" r:id="rId1155" xr:uid="{00000000-0004-0000-0600-000082040000}"/>
    <hyperlink ref="O1180" r:id="rId1156" xr:uid="{00000000-0004-0000-0600-000083040000}"/>
    <hyperlink ref="O1181" r:id="rId1157" xr:uid="{00000000-0004-0000-0600-000084040000}"/>
    <hyperlink ref="O1182" r:id="rId1158" xr:uid="{00000000-0004-0000-0600-000085040000}"/>
    <hyperlink ref="O1183" r:id="rId1159" xr:uid="{00000000-0004-0000-0600-000086040000}"/>
    <hyperlink ref="O1184" r:id="rId1160" xr:uid="{00000000-0004-0000-0600-000087040000}"/>
    <hyperlink ref="O1185" r:id="rId1161" xr:uid="{00000000-0004-0000-0600-000088040000}"/>
    <hyperlink ref="O1186" r:id="rId1162" xr:uid="{00000000-0004-0000-0600-000089040000}"/>
    <hyperlink ref="O1187" r:id="rId1163" xr:uid="{00000000-0004-0000-0600-00008A040000}"/>
    <hyperlink ref="O1188" r:id="rId1164" xr:uid="{00000000-0004-0000-0600-00008B040000}"/>
    <hyperlink ref="O1189" r:id="rId1165" xr:uid="{00000000-0004-0000-0600-00008C040000}"/>
    <hyperlink ref="O1190" r:id="rId1166" xr:uid="{00000000-0004-0000-0600-00008D040000}"/>
    <hyperlink ref="O1191" r:id="rId1167" xr:uid="{00000000-0004-0000-0600-00008E040000}"/>
    <hyperlink ref="O1192" r:id="rId1168" xr:uid="{00000000-0004-0000-0600-00008F040000}"/>
    <hyperlink ref="O1193" r:id="rId1169" xr:uid="{00000000-0004-0000-0600-000090040000}"/>
    <hyperlink ref="O1194" r:id="rId1170" xr:uid="{00000000-0004-0000-0600-000091040000}"/>
    <hyperlink ref="O1195" r:id="rId1171" xr:uid="{00000000-0004-0000-0600-000092040000}"/>
    <hyperlink ref="O1196" r:id="rId1172" xr:uid="{00000000-0004-0000-0600-000093040000}"/>
    <hyperlink ref="O1197" r:id="rId1173" xr:uid="{00000000-0004-0000-0600-000094040000}"/>
    <hyperlink ref="O1198" r:id="rId1174" xr:uid="{00000000-0004-0000-0600-000095040000}"/>
    <hyperlink ref="O1199" r:id="rId1175" xr:uid="{00000000-0004-0000-0600-000096040000}"/>
    <hyperlink ref="O1200" r:id="rId1176" xr:uid="{00000000-0004-0000-0600-000097040000}"/>
    <hyperlink ref="O1202" r:id="rId1177" xr:uid="{00000000-0004-0000-0600-000098040000}"/>
    <hyperlink ref="O1203" r:id="rId1178" xr:uid="{00000000-0004-0000-0600-000099040000}"/>
    <hyperlink ref="O1204" r:id="rId1179" xr:uid="{00000000-0004-0000-0600-00009A040000}"/>
    <hyperlink ref="O1205" r:id="rId1180" xr:uid="{00000000-0004-0000-0600-00009B040000}"/>
    <hyperlink ref="O1206" r:id="rId1181" xr:uid="{00000000-0004-0000-0600-00009C040000}"/>
    <hyperlink ref="O1207" r:id="rId1182" xr:uid="{00000000-0004-0000-0600-00009D040000}"/>
    <hyperlink ref="O1208" r:id="rId1183" xr:uid="{00000000-0004-0000-0600-00009E040000}"/>
    <hyperlink ref="O1209" r:id="rId1184" xr:uid="{00000000-0004-0000-0600-00009F040000}"/>
    <hyperlink ref="O1210" r:id="rId1185" xr:uid="{00000000-0004-0000-0600-0000A0040000}"/>
    <hyperlink ref="O1211" r:id="rId1186" xr:uid="{00000000-0004-0000-0600-0000A1040000}"/>
    <hyperlink ref="O1212" r:id="rId1187" xr:uid="{00000000-0004-0000-0600-0000A2040000}"/>
    <hyperlink ref="O1213" r:id="rId1188" xr:uid="{00000000-0004-0000-0600-0000A3040000}"/>
    <hyperlink ref="O1214" r:id="rId1189" xr:uid="{00000000-0004-0000-0600-0000A4040000}"/>
    <hyperlink ref="O1215" r:id="rId1190" xr:uid="{00000000-0004-0000-0600-0000A5040000}"/>
    <hyperlink ref="O1216" r:id="rId1191" xr:uid="{00000000-0004-0000-0600-0000A6040000}"/>
    <hyperlink ref="O1217" r:id="rId1192" xr:uid="{00000000-0004-0000-0600-0000A7040000}"/>
    <hyperlink ref="O1218" r:id="rId1193" xr:uid="{00000000-0004-0000-0600-0000A8040000}"/>
    <hyperlink ref="O1219" r:id="rId1194" xr:uid="{00000000-0004-0000-0600-0000A9040000}"/>
    <hyperlink ref="O1220" r:id="rId1195" xr:uid="{00000000-0004-0000-0600-0000AA040000}"/>
    <hyperlink ref="O1221" r:id="rId1196" xr:uid="{00000000-0004-0000-0600-0000AB040000}"/>
    <hyperlink ref="O1222" r:id="rId1197" xr:uid="{00000000-0004-0000-0600-0000AC040000}"/>
    <hyperlink ref="O1223" r:id="rId1198" xr:uid="{00000000-0004-0000-0600-0000AD040000}"/>
    <hyperlink ref="O1224" r:id="rId1199" xr:uid="{00000000-0004-0000-0600-0000AE040000}"/>
    <hyperlink ref="O1226" r:id="rId1200" xr:uid="{00000000-0004-0000-0600-0000AF040000}"/>
    <hyperlink ref="O1227" r:id="rId1201" xr:uid="{00000000-0004-0000-0600-0000B0040000}"/>
    <hyperlink ref="O1228" r:id="rId1202" xr:uid="{00000000-0004-0000-0600-0000B1040000}"/>
    <hyperlink ref="O1230" r:id="rId1203" xr:uid="{00000000-0004-0000-0600-0000B2040000}"/>
    <hyperlink ref="O1231" r:id="rId1204" xr:uid="{00000000-0004-0000-0600-0000B3040000}"/>
    <hyperlink ref="O1232" r:id="rId1205" xr:uid="{00000000-0004-0000-0600-0000B4040000}"/>
    <hyperlink ref="O1233" r:id="rId1206" xr:uid="{00000000-0004-0000-0600-0000B5040000}"/>
    <hyperlink ref="O1234" r:id="rId1207" xr:uid="{00000000-0004-0000-0600-0000B6040000}"/>
    <hyperlink ref="O1235" r:id="rId1208" xr:uid="{00000000-0004-0000-0600-0000B7040000}"/>
    <hyperlink ref="O1236" r:id="rId1209" xr:uid="{00000000-0004-0000-0600-0000B8040000}"/>
    <hyperlink ref="O1237" r:id="rId1210" xr:uid="{00000000-0004-0000-0600-0000B9040000}"/>
    <hyperlink ref="O1238" r:id="rId1211" xr:uid="{00000000-0004-0000-0600-0000BA040000}"/>
    <hyperlink ref="O1239" r:id="rId1212" xr:uid="{00000000-0004-0000-0600-0000BB040000}"/>
    <hyperlink ref="O1240" r:id="rId1213" xr:uid="{00000000-0004-0000-0600-0000BC040000}"/>
    <hyperlink ref="O1241" r:id="rId1214" xr:uid="{00000000-0004-0000-0600-0000BD040000}"/>
    <hyperlink ref="O1242" r:id="rId1215" xr:uid="{00000000-0004-0000-0600-0000BE040000}"/>
    <hyperlink ref="O1243" r:id="rId1216" xr:uid="{00000000-0004-0000-0600-0000BF040000}"/>
    <hyperlink ref="O1244" r:id="rId1217" xr:uid="{00000000-0004-0000-0600-0000C0040000}"/>
    <hyperlink ref="O1245" r:id="rId1218" xr:uid="{00000000-0004-0000-0600-0000C1040000}"/>
    <hyperlink ref="O1246" r:id="rId1219" xr:uid="{00000000-0004-0000-0600-0000C2040000}"/>
    <hyperlink ref="O1247" r:id="rId1220" xr:uid="{00000000-0004-0000-0600-0000C3040000}"/>
    <hyperlink ref="O1248" r:id="rId1221" xr:uid="{00000000-0004-0000-0600-0000C4040000}"/>
    <hyperlink ref="O1249" r:id="rId1222" xr:uid="{00000000-0004-0000-0600-0000C5040000}"/>
    <hyperlink ref="O1250" r:id="rId1223" xr:uid="{00000000-0004-0000-0600-0000C6040000}"/>
    <hyperlink ref="O1251" r:id="rId1224" xr:uid="{00000000-0004-0000-0600-0000C7040000}"/>
    <hyperlink ref="O1252" r:id="rId1225" xr:uid="{00000000-0004-0000-0600-0000C8040000}"/>
    <hyperlink ref="O1253" r:id="rId1226" xr:uid="{00000000-0004-0000-0600-0000C9040000}"/>
    <hyperlink ref="O1254" r:id="rId1227" xr:uid="{00000000-0004-0000-0600-0000CA040000}"/>
    <hyperlink ref="O1256" r:id="rId1228" xr:uid="{00000000-0004-0000-0600-0000CB040000}"/>
    <hyperlink ref="O1257" r:id="rId1229" xr:uid="{00000000-0004-0000-0600-0000CC040000}"/>
    <hyperlink ref="O1258" r:id="rId1230" xr:uid="{00000000-0004-0000-0600-0000CD040000}"/>
    <hyperlink ref="O1259" r:id="rId1231" xr:uid="{00000000-0004-0000-0600-0000CE040000}"/>
    <hyperlink ref="O1260" r:id="rId1232" xr:uid="{00000000-0004-0000-0600-0000CF040000}"/>
    <hyperlink ref="O1261" r:id="rId1233" xr:uid="{00000000-0004-0000-0600-0000D0040000}"/>
    <hyperlink ref="O1262" r:id="rId1234" xr:uid="{00000000-0004-0000-0600-0000D1040000}"/>
    <hyperlink ref="O1263" r:id="rId1235" xr:uid="{00000000-0004-0000-0600-0000D2040000}"/>
    <hyperlink ref="O1264" r:id="rId1236" xr:uid="{00000000-0004-0000-0600-0000D3040000}"/>
    <hyperlink ref="O1265" r:id="rId1237" xr:uid="{00000000-0004-0000-0600-0000D4040000}"/>
    <hyperlink ref="O1266" r:id="rId1238" xr:uid="{00000000-0004-0000-0600-0000D5040000}"/>
    <hyperlink ref="O1267" r:id="rId1239" xr:uid="{00000000-0004-0000-0600-0000D6040000}"/>
    <hyperlink ref="O1268" r:id="rId1240" xr:uid="{00000000-0004-0000-0600-0000D7040000}"/>
    <hyperlink ref="O1269" r:id="rId1241" xr:uid="{00000000-0004-0000-0600-0000D8040000}"/>
    <hyperlink ref="O1270" r:id="rId1242" xr:uid="{00000000-0004-0000-0600-0000D9040000}"/>
    <hyperlink ref="O1271" r:id="rId1243" xr:uid="{00000000-0004-0000-0600-0000DA040000}"/>
    <hyperlink ref="O1272" r:id="rId1244" xr:uid="{00000000-0004-0000-0600-0000DB040000}"/>
    <hyperlink ref="O1273" r:id="rId1245" xr:uid="{00000000-0004-0000-0600-0000DC040000}"/>
    <hyperlink ref="O1274" r:id="rId1246" xr:uid="{00000000-0004-0000-0600-0000DD040000}"/>
    <hyperlink ref="O1275" r:id="rId1247" xr:uid="{00000000-0004-0000-0600-0000DE040000}"/>
    <hyperlink ref="O1276" r:id="rId1248" xr:uid="{00000000-0004-0000-0600-0000DF040000}"/>
    <hyperlink ref="O1277" r:id="rId1249" xr:uid="{00000000-0004-0000-0600-0000E0040000}"/>
    <hyperlink ref="O1278" r:id="rId1250" xr:uid="{00000000-0004-0000-0600-0000E1040000}"/>
    <hyperlink ref="O1279" r:id="rId1251" xr:uid="{00000000-0004-0000-0600-0000E2040000}"/>
    <hyperlink ref="O1280" r:id="rId1252" xr:uid="{00000000-0004-0000-0600-0000E3040000}"/>
    <hyperlink ref="O1281" r:id="rId1253" xr:uid="{00000000-0004-0000-0600-0000E4040000}"/>
    <hyperlink ref="O1282" r:id="rId1254" xr:uid="{00000000-0004-0000-0600-0000E5040000}"/>
    <hyperlink ref="O1283" r:id="rId1255" xr:uid="{00000000-0004-0000-0600-0000E6040000}"/>
    <hyperlink ref="O1284" r:id="rId1256" xr:uid="{00000000-0004-0000-0600-0000E7040000}"/>
    <hyperlink ref="O1285" r:id="rId1257" xr:uid="{00000000-0004-0000-0600-0000E8040000}"/>
    <hyperlink ref="O1286" r:id="rId1258" xr:uid="{00000000-0004-0000-0600-0000E9040000}"/>
    <hyperlink ref="O1287" r:id="rId1259" xr:uid="{00000000-0004-0000-0600-0000EA040000}"/>
    <hyperlink ref="O1288" r:id="rId1260" xr:uid="{00000000-0004-0000-0600-0000EB040000}"/>
    <hyperlink ref="O1289" r:id="rId1261" xr:uid="{00000000-0004-0000-0600-0000EC040000}"/>
    <hyperlink ref="O1290" r:id="rId1262" xr:uid="{00000000-0004-0000-0600-0000ED040000}"/>
    <hyperlink ref="O1291" r:id="rId1263" xr:uid="{00000000-0004-0000-0600-0000EE040000}"/>
    <hyperlink ref="O1292" r:id="rId1264" xr:uid="{00000000-0004-0000-0600-0000EF040000}"/>
    <hyperlink ref="O1293" r:id="rId1265" xr:uid="{00000000-0004-0000-0600-0000F0040000}"/>
    <hyperlink ref="O1294" r:id="rId1266" xr:uid="{00000000-0004-0000-0600-0000F1040000}"/>
    <hyperlink ref="O1295" r:id="rId1267" xr:uid="{00000000-0004-0000-0600-0000F2040000}"/>
    <hyperlink ref="O1296" r:id="rId1268" xr:uid="{00000000-0004-0000-0600-0000F3040000}"/>
    <hyperlink ref="O1297" r:id="rId1269" xr:uid="{00000000-0004-0000-0600-0000F4040000}"/>
    <hyperlink ref="O1298" r:id="rId1270" xr:uid="{00000000-0004-0000-0600-0000F5040000}"/>
    <hyperlink ref="O1299" r:id="rId1271" xr:uid="{00000000-0004-0000-0600-0000F6040000}"/>
    <hyperlink ref="O1300" r:id="rId1272" xr:uid="{00000000-0004-0000-0600-0000F7040000}"/>
    <hyperlink ref="O1301" r:id="rId1273" xr:uid="{00000000-0004-0000-0600-0000F8040000}"/>
    <hyperlink ref="O1302" r:id="rId1274" xr:uid="{00000000-0004-0000-0600-0000F9040000}"/>
    <hyperlink ref="O1303" r:id="rId1275" xr:uid="{00000000-0004-0000-0600-0000FA040000}"/>
    <hyperlink ref="O1304" r:id="rId1276" xr:uid="{00000000-0004-0000-0600-0000FB040000}"/>
    <hyperlink ref="O1306" r:id="rId1277" xr:uid="{00000000-0004-0000-0600-0000FC040000}"/>
    <hyperlink ref="O1307" r:id="rId1278" xr:uid="{00000000-0004-0000-0600-0000FD040000}"/>
    <hyperlink ref="O1308" r:id="rId1279" xr:uid="{00000000-0004-0000-0600-0000FE040000}"/>
    <hyperlink ref="O1309" r:id="rId1280" xr:uid="{00000000-0004-0000-0600-0000FF040000}"/>
    <hyperlink ref="O1310" r:id="rId1281" xr:uid="{00000000-0004-0000-0600-000000050000}"/>
    <hyperlink ref="O1312" r:id="rId1282" xr:uid="{00000000-0004-0000-0600-000001050000}"/>
    <hyperlink ref="O1313" r:id="rId1283" xr:uid="{00000000-0004-0000-0600-000002050000}"/>
    <hyperlink ref="O1314" r:id="rId1284" xr:uid="{00000000-0004-0000-0600-000003050000}"/>
    <hyperlink ref="O1315" r:id="rId1285" xr:uid="{00000000-0004-0000-0600-000004050000}"/>
    <hyperlink ref="O1316" r:id="rId1286" xr:uid="{00000000-0004-0000-0600-000005050000}"/>
    <hyperlink ref="O1317" r:id="rId1287" xr:uid="{00000000-0004-0000-0600-000006050000}"/>
    <hyperlink ref="O1319" r:id="rId1288" xr:uid="{00000000-0004-0000-0600-000007050000}"/>
    <hyperlink ref="O1320" r:id="rId1289" xr:uid="{00000000-0004-0000-0600-000008050000}"/>
    <hyperlink ref="O1321" r:id="rId1290" xr:uid="{00000000-0004-0000-0600-000009050000}"/>
    <hyperlink ref="O1323" r:id="rId1291" xr:uid="{00000000-0004-0000-0600-00000A050000}"/>
    <hyperlink ref="O1324" r:id="rId1292" xr:uid="{00000000-0004-0000-0600-00000B050000}"/>
    <hyperlink ref="O1325" r:id="rId1293" xr:uid="{00000000-0004-0000-0600-00000C050000}"/>
    <hyperlink ref="O1326" r:id="rId1294" xr:uid="{00000000-0004-0000-0600-00000D050000}"/>
    <hyperlink ref="O1327" r:id="rId1295" xr:uid="{00000000-0004-0000-0600-00000E050000}"/>
    <hyperlink ref="O1328" r:id="rId1296" xr:uid="{00000000-0004-0000-0600-00000F050000}"/>
    <hyperlink ref="O1329" r:id="rId1297" xr:uid="{00000000-0004-0000-0600-000010050000}"/>
    <hyperlink ref="O1330" r:id="rId1298" xr:uid="{00000000-0004-0000-0600-000011050000}"/>
    <hyperlink ref="O1331" r:id="rId1299" xr:uid="{00000000-0004-0000-0600-000012050000}"/>
    <hyperlink ref="O1332" r:id="rId1300" xr:uid="{00000000-0004-0000-0600-000013050000}"/>
    <hyperlink ref="O1333" r:id="rId1301" xr:uid="{00000000-0004-0000-0600-000014050000}"/>
    <hyperlink ref="O1334" r:id="rId1302" xr:uid="{00000000-0004-0000-0600-000015050000}"/>
    <hyperlink ref="O1336" r:id="rId1303" xr:uid="{00000000-0004-0000-0600-000016050000}"/>
    <hyperlink ref="O1337" r:id="rId1304" xr:uid="{00000000-0004-0000-0600-000017050000}"/>
    <hyperlink ref="O1338" r:id="rId1305" xr:uid="{00000000-0004-0000-0600-000018050000}"/>
    <hyperlink ref="O1340" r:id="rId1306" xr:uid="{00000000-0004-0000-0600-000019050000}"/>
    <hyperlink ref="O1341" r:id="rId1307" xr:uid="{00000000-0004-0000-0600-00001A050000}"/>
    <hyperlink ref="O1343" r:id="rId1308" xr:uid="{00000000-0004-0000-0600-00001B050000}"/>
    <hyperlink ref="O1344" r:id="rId1309" xr:uid="{00000000-0004-0000-0600-00001C050000}"/>
    <hyperlink ref="O1345" r:id="rId1310" xr:uid="{00000000-0004-0000-0600-00001D050000}"/>
    <hyperlink ref="O1346" r:id="rId1311" xr:uid="{00000000-0004-0000-0600-00001E050000}"/>
    <hyperlink ref="O1347" r:id="rId1312" xr:uid="{00000000-0004-0000-0600-00001F050000}"/>
    <hyperlink ref="O1348" r:id="rId1313" xr:uid="{00000000-0004-0000-0600-000020050000}"/>
    <hyperlink ref="O1349" r:id="rId1314" xr:uid="{00000000-0004-0000-0600-000021050000}"/>
    <hyperlink ref="O1351" r:id="rId1315" xr:uid="{00000000-0004-0000-0600-000022050000}"/>
    <hyperlink ref="O1352" r:id="rId1316" xr:uid="{00000000-0004-0000-0600-000023050000}"/>
    <hyperlink ref="O1354" r:id="rId1317" xr:uid="{00000000-0004-0000-0600-000024050000}"/>
    <hyperlink ref="P1355" r:id="rId1318" xr:uid="{00000000-0004-0000-0600-000025050000}"/>
    <hyperlink ref="P1356" r:id="rId1319" xr:uid="{00000000-0004-0000-0600-000026050000}"/>
    <hyperlink ref="P1357" r:id="rId1320" xr:uid="{00000000-0004-0000-0600-000027050000}"/>
    <hyperlink ref="P1358" r:id="rId1321" xr:uid="{00000000-0004-0000-0600-000028050000}"/>
    <hyperlink ref="P1359" r:id="rId1322" xr:uid="{00000000-0004-0000-0600-000029050000}"/>
    <hyperlink ref="P1360" r:id="rId1323" xr:uid="{00000000-0004-0000-0600-00002A050000}"/>
    <hyperlink ref="P1361" r:id="rId1324" xr:uid="{00000000-0004-0000-0600-00002B050000}"/>
    <hyperlink ref="P1362" r:id="rId1325" xr:uid="{00000000-0004-0000-0600-00002C050000}"/>
    <hyperlink ref="P1363" r:id="rId1326" xr:uid="{00000000-0004-0000-0600-00002D050000}"/>
    <hyperlink ref="P1364" r:id="rId1327" xr:uid="{00000000-0004-0000-0600-00002E050000}"/>
    <hyperlink ref="P1366" r:id="rId1328" xr:uid="{00000000-0004-0000-0600-00002F050000}"/>
    <hyperlink ref="P1367" r:id="rId1329" xr:uid="{00000000-0004-0000-0600-000030050000}"/>
    <hyperlink ref="P1368" r:id="rId1330" xr:uid="{00000000-0004-0000-0600-000031050000}"/>
    <hyperlink ref="P1369" r:id="rId1331" xr:uid="{00000000-0004-0000-0600-000032050000}"/>
    <hyperlink ref="P1370" r:id="rId1332" xr:uid="{00000000-0004-0000-0600-000033050000}"/>
    <hyperlink ref="P1371" r:id="rId1333" xr:uid="{00000000-0004-0000-0600-000034050000}"/>
    <hyperlink ref="P1373" r:id="rId1334" xr:uid="{00000000-0004-0000-0600-000035050000}"/>
    <hyperlink ref="P1374" r:id="rId1335" xr:uid="{00000000-0004-0000-0600-000036050000}"/>
    <hyperlink ref="P1375" r:id="rId1336" xr:uid="{00000000-0004-0000-0600-000037050000}"/>
    <hyperlink ref="P1376" r:id="rId1337" xr:uid="{00000000-0004-0000-0600-000038050000}"/>
    <hyperlink ref="P1377" r:id="rId1338" xr:uid="{00000000-0004-0000-0600-000039050000}"/>
    <hyperlink ref="P1378" r:id="rId1339" xr:uid="{00000000-0004-0000-0600-00003A050000}"/>
    <hyperlink ref="P1379" r:id="rId1340" xr:uid="{00000000-0004-0000-0600-00003B050000}"/>
    <hyperlink ref="P1380" r:id="rId1341" xr:uid="{00000000-0004-0000-0600-00003C050000}"/>
    <hyperlink ref="P1381" r:id="rId1342" xr:uid="{00000000-0004-0000-0600-00003D050000}"/>
    <hyperlink ref="P1382" r:id="rId1343" xr:uid="{00000000-0004-0000-0600-00003E050000}"/>
    <hyperlink ref="P1383" r:id="rId1344" xr:uid="{00000000-0004-0000-0600-00003F050000}"/>
    <hyperlink ref="P1384" r:id="rId1345" xr:uid="{00000000-0004-0000-0600-000040050000}"/>
    <hyperlink ref="P1385" r:id="rId1346" xr:uid="{00000000-0004-0000-0600-000041050000}"/>
    <hyperlink ref="P1386" r:id="rId1347" xr:uid="{00000000-0004-0000-0600-000042050000}"/>
    <hyperlink ref="P1387" r:id="rId1348" xr:uid="{00000000-0004-0000-0600-000043050000}"/>
    <hyperlink ref="P1388" r:id="rId1349" xr:uid="{00000000-0004-0000-0600-000044050000}"/>
    <hyperlink ref="P1389" r:id="rId1350" xr:uid="{00000000-0004-0000-0600-000045050000}"/>
    <hyperlink ref="P1390" r:id="rId1351" xr:uid="{00000000-0004-0000-0600-000046050000}"/>
    <hyperlink ref="P1391" r:id="rId1352" xr:uid="{00000000-0004-0000-0600-000047050000}"/>
    <hyperlink ref="P1393" r:id="rId1353" xr:uid="{00000000-0004-0000-0600-000048050000}"/>
    <hyperlink ref="P1394" r:id="rId1354" xr:uid="{00000000-0004-0000-0600-000049050000}"/>
    <hyperlink ref="P1395" r:id="rId1355" xr:uid="{00000000-0004-0000-0600-00004A050000}"/>
    <hyperlink ref="P1396" r:id="rId1356" xr:uid="{00000000-0004-0000-0600-00004B050000}"/>
    <hyperlink ref="P1397" r:id="rId1357" xr:uid="{00000000-0004-0000-0600-00004C050000}"/>
    <hyperlink ref="P1398" r:id="rId1358" xr:uid="{00000000-0004-0000-0600-00004D050000}"/>
    <hyperlink ref="P1399" r:id="rId1359" xr:uid="{00000000-0004-0000-0600-00004E050000}"/>
    <hyperlink ref="P1400" r:id="rId1360" xr:uid="{00000000-0004-0000-0600-00004F050000}"/>
    <hyperlink ref="P1401" r:id="rId1361" xr:uid="{00000000-0004-0000-0600-000050050000}"/>
    <hyperlink ref="P1402" r:id="rId1362" xr:uid="{00000000-0004-0000-0600-000051050000}"/>
    <hyperlink ref="P1403" r:id="rId1363" xr:uid="{00000000-0004-0000-0600-000052050000}"/>
    <hyperlink ref="P1404" r:id="rId1364" xr:uid="{00000000-0004-0000-0600-000053050000}"/>
    <hyperlink ref="P1405" r:id="rId1365" xr:uid="{00000000-0004-0000-0600-000054050000}"/>
    <hyperlink ref="P1406" r:id="rId1366" xr:uid="{00000000-0004-0000-0600-000055050000}"/>
    <hyperlink ref="P1407" r:id="rId1367" xr:uid="{00000000-0004-0000-0600-000056050000}"/>
    <hyperlink ref="P1408" r:id="rId1368" xr:uid="{00000000-0004-0000-0600-000057050000}"/>
    <hyperlink ref="P1409" r:id="rId1369" xr:uid="{00000000-0004-0000-0600-000058050000}"/>
    <hyperlink ref="P1410" r:id="rId1370" xr:uid="{00000000-0004-0000-0600-000059050000}"/>
    <hyperlink ref="P1411" r:id="rId1371" xr:uid="{00000000-0004-0000-0600-00005A050000}"/>
    <hyperlink ref="P1412" r:id="rId1372" xr:uid="{00000000-0004-0000-0600-00005B050000}"/>
    <hyperlink ref="P1413" r:id="rId1373" xr:uid="{00000000-0004-0000-0600-00005C050000}"/>
    <hyperlink ref="P1414" r:id="rId1374" xr:uid="{00000000-0004-0000-0600-00005D050000}"/>
    <hyperlink ref="P1415" r:id="rId1375" xr:uid="{00000000-0004-0000-0600-00005E050000}"/>
    <hyperlink ref="P1416" r:id="rId1376" xr:uid="{00000000-0004-0000-0600-00005F050000}"/>
    <hyperlink ref="P1417" r:id="rId1377" xr:uid="{00000000-0004-0000-0600-000060050000}"/>
    <hyperlink ref="P1418" r:id="rId1378" xr:uid="{00000000-0004-0000-0600-000061050000}"/>
    <hyperlink ref="P1419" r:id="rId1379" xr:uid="{00000000-0004-0000-0600-000062050000}"/>
    <hyperlink ref="P1421" r:id="rId1380" xr:uid="{00000000-0004-0000-0600-000063050000}"/>
    <hyperlink ref="P1422" r:id="rId1381" xr:uid="{00000000-0004-0000-0600-000064050000}"/>
    <hyperlink ref="P1423" r:id="rId1382" xr:uid="{00000000-0004-0000-0600-000065050000}"/>
    <hyperlink ref="P1424" r:id="rId1383" xr:uid="{00000000-0004-0000-0600-000066050000}"/>
    <hyperlink ref="P1425" r:id="rId1384" xr:uid="{00000000-0004-0000-0600-000067050000}"/>
    <hyperlink ref="P1426" r:id="rId1385" xr:uid="{00000000-0004-0000-0600-000068050000}"/>
    <hyperlink ref="P1427" r:id="rId1386" xr:uid="{00000000-0004-0000-0600-000069050000}"/>
    <hyperlink ref="P1428" r:id="rId1387" xr:uid="{00000000-0004-0000-0600-00006A050000}"/>
    <hyperlink ref="P1430" r:id="rId1388" xr:uid="{00000000-0004-0000-0600-00006B050000}"/>
    <hyperlink ref="P1432" r:id="rId1389" xr:uid="{00000000-0004-0000-0600-00006C050000}"/>
    <hyperlink ref="P1434" r:id="rId1390" xr:uid="{00000000-0004-0000-0600-00006D050000}"/>
    <hyperlink ref="P1435" r:id="rId1391" xr:uid="{00000000-0004-0000-0600-00006E050000}"/>
    <hyperlink ref="P1436" r:id="rId1392" xr:uid="{00000000-0004-0000-0600-00006F050000}"/>
    <hyperlink ref="P1437" r:id="rId1393" xr:uid="{00000000-0004-0000-0600-000070050000}"/>
    <hyperlink ref="P1440" r:id="rId1394" xr:uid="{00000000-0004-0000-0600-000071050000}"/>
    <hyperlink ref="P1442" r:id="rId1395" xr:uid="{00000000-0004-0000-0600-000072050000}"/>
    <hyperlink ref="P1443" r:id="rId1396" xr:uid="{00000000-0004-0000-0600-000073050000}"/>
    <hyperlink ref="P1444" r:id="rId1397" xr:uid="{00000000-0004-0000-0600-000074050000}"/>
    <hyperlink ref="P1445" r:id="rId1398" xr:uid="{00000000-0004-0000-0600-000075050000}"/>
    <hyperlink ref="P1446" r:id="rId1399" xr:uid="{00000000-0004-0000-0600-000076050000}"/>
    <hyperlink ref="P1447" r:id="rId1400" xr:uid="{00000000-0004-0000-0600-000077050000}"/>
    <hyperlink ref="P1448" r:id="rId1401" xr:uid="{00000000-0004-0000-0600-000078050000}"/>
    <hyperlink ref="P1449" r:id="rId1402" xr:uid="{00000000-0004-0000-0600-000079050000}"/>
    <hyperlink ref="P1450" r:id="rId1403" xr:uid="{00000000-0004-0000-0600-00007A050000}"/>
    <hyperlink ref="P1451" r:id="rId1404" xr:uid="{00000000-0004-0000-0600-00007B050000}"/>
    <hyperlink ref="P1452" r:id="rId1405" xr:uid="{00000000-0004-0000-0600-00007C050000}"/>
    <hyperlink ref="P1453" r:id="rId1406" xr:uid="{00000000-0004-0000-0600-00007D050000}"/>
    <hyperlink ref="P1454" r:id="rId1407" xr:uid="{00000000-0004-0000-0600-00007E050000}"/>
    <hyperlink ref="P1455" r:id="rId1408" xr:uid="{00000000-0004-0000-0600-00007F050000}"/>
    <hyperlink ref="P1456" r:id="rId1409" xr:uid="{00000000-0004-0000-0600-000080050000}"/>
    <hyperlink ref="P1457" r:id="rId1410" xr:uid="{00000000-0004-0000-0600-000081050000}"/>
    <hyperlink ref="P1458" r:id="rId1411" xr:uid="{00000000-0004-0000-0600-000082050000}"/>
    <hyperlink ref="P1459" r:id="rId1412" xr:uid="{00000000-0004-0000-0600-000083050000}"/>
    <hyperlink ref="P1460" r:id="rId1413" xr:uid="{00000000-0004-0000-0600-000084050000}"/>
    <hyperlink ref="P1461" r:id="rId1414" xr:uid="{00000000-0004-0000-0600-000085050000}"/>
    <hyperlink ref="P1462" r:id="rId1415" xr:uid="{00000000-0004-0000-0600-000086050000}"/>
    <hyperlink ref="P1463" r:id="rId1416" xr:uid="{00000000-0004-0000-0600-000087050000}"/>
    <hyperlink ref="P1464" r:id="rId1417" xr:uid="{00000000-0004-0000-0600-000088050000}"/>
    <hyperlink ref="P1465" r:id="rId1418" xr:uid="{00000000-0004-0000-0600-000089050000}"/>
    <hyperlink ref="P1466" r:id="rId1419" xr:uid="{00000000-0004-0000-0600-00008A050000}"/>
    <hyperlink ref="P1467" r:id="rId1420" xr:uid="{00000000-0004-0000-0600-00008B050000}"/>
    <hyperlink ref="P1468" r:id="rId1421" xr:uid="{00000000-0004-0000-0600-00008C050000}"/>
    <hyperlink ref="P1470" r:id="rId1422" xr:uid="{00000000-0004-0000-0600-00008D050000}"/>
    <hyperlink ref="P1471" r:id="rId1423" xr:uid="{00000000-0004-0000-0600-00008E050000}"/>
    <hyperlink ref="P1472" r:id="rId1424" xr:uid="{00000000-0004-0000-0600-00008F050000}"/>
    <hyperlink ref="P1473" r:id="rId1425" xr:uid="{00000000-0004-0000-0600-000090050000}"/>
    <hyperlink ref="P1474" r:id="rId1426" xr:uid="{00000000-0004-0000-0600-000091050000}"/>
    <hyperlink ref="P1475" r:id="rId1427" xr:uid="{00000000-0004-0000-0600-000092050000}"/>
    <hyperlink ref="P1476" r:id="rId1428" xr:uid="{00000000-0004-0000-0600-000093050000}"/>
    <hyperlink ref="P1477" r:id="rId1429" xr:uid="{00000000-0004-0000-0600-000094050000}"/>
    <hyperlink ref="P1478" r:id="rId1430" xr:uid="{00000000-0004-0000-0600-000095050000}"/>
    <hyperlink ref="P1479" r:id="rId1431" xr:uid="{00000000-0004-0000-0600-000096050000}"/>
    <hyperlink ref="P1480" r:id="rId1432" xr:uid="{00000000-0004-0000-0600-000097050000}"/>
    <hyperlink ref="P1481" r:id="rId1433" xr:uid="{00000000-0004-0000-0600-000098050000}"/>
    <hyperlink ref="P1482" r:id="rId1434" xr:uid="{00000000-0004-0000-0600-000099050000}"/>
    <hyperlink ref="P1483" r:id="rId1435" xr:uid="{00000000-0004-0000-0600-00009A050000}"/>
    <hyperlink ref="P1484" r:id="rId1436" xr:uid="{00000000-0004-0000-0600-00009B050000}"/>
    <hyperlink ref="P1485" r:id="rId1437" xr:uid="{00000000-0004-0000-0600-00009C050000}"/>
    <hyperlink ref="P1486" r:id="rId1438" xr:uid="{00000000-0004-0000-0600-00009D050000}"/>
    <hyperlink ref="P1487" r:id="rId1439" xr:uid="{00000000-0004-0000-0600-00009E050000}"/>
    <hyperlink ref="P1488" r:id="rId1440" xr:uid="{00000000-0004-0000-0600-00009F050000}"/>
    <hyperlink ref="P1489" r:id="rId1441" xr:uid="{00000000-0004-0000-0600-0000A0050000}"/>
    <hyperlink ref="P1490" r:id="rId1442" xr:uid="{00000000-0004-0000-0600-0000A1050000}"/>
    <hyperlink ref="P1491" r:id="rId1443" xr:uid="{00000000-0004-0000-0600-0000A2050000}"/>
    <hyperlink ref="P1492" r:id="rId1444" xr:uid="{00000000-0004-0000-0600-0000A3050000}"/>
    <hyperlink ref="P1493" r:id="rId1445" xr:uid="{00000000-0004-0000-0600-0000A4050000}"/>
    <hyperlink ref="P1494" r:id="rId1446" xr:uid="{00000000-0004-0000-0600-0000A5050000}"/>
    <hyperlink ref="P1495" r:id="rId1447" xr:uid="{00000000-0004-0000-0600-0000A6050000}"/>
    <hyperlink ref="P1496" r:id="rId1448" xr:uid="{00000000-0004-0000-0600-0000A7050000}"/>
    <hyperlink ref="P1497" r:id="rId1449" xr:uid="{00000000-0004-0000-0600-0000A8050000}"/>
    <hyperlink ref="P1498" r:id="rId1450" xr:uid="{00000000-0004-0000-0600-0000A9050000}"/>
    <hyperlink ref="P1499" r:id="rId1451" xr:uid="{00000000-0004-0000-0600-0000AA050000}"/>
    <hyperlink ref="P1500" r:id="rId1452" xr:uid="{00000000-0004-0000-0600-0000AB050000}"/>
    <hyperlink ref="P1501" r:id="rId1453" xr:uid="{00000000-0004-0000-0600-0000AC050000}"/>
    <hyperlink ref="P1503" r:id="rId1454" xr:uid="{00000000-0004-0000-0600-0000AD050000}"/>
    <hyperlink ref="P1504" r:id="rId1455" xr:uid="{00000000-0004-0000-0600-0000AE050000}"/>
    <hyperlink ref="P1506" r:id="rId1456" xr:uid="{00000000-0004-0000-0600-0000AF050000}"/>
    <hyperlink ref="P1507" r:id="rId1457" xr:uid="{00000000-0004-0000-0600-0000B0050000}"/>
    <hyperlink ref="P1508" r:id="rId1458" xr:uid="{00000000-0004-0000-0600-0000B1050000}"/>
    <hyperlink ref="P1509" r:id="rId1459" xr:uid="{00000000-0004-0000-0600-0000B2050000}"/>
    <hyperlink ref="P1510" r:id="rId1460" xr:uid="{00000000-0004-0000-0600-0000B3050000}"/>
    <hyperlink ref="P1511" r:id="rId1461" xr:uid="{00000000-0004-0000-0600-0000B4050000}"/>
    <hyperlink ref="P1512" r:id="rId1462" xr:uid="{00000000-0004-0000-0600-0000B5050000}"/>
    <hyperlink ref="P1513" r:id="rId1463" xr:uid="{00000000-0004-0000-0600-0000B6050000}"/>
    <hyperlink ref="P1514" r:id="rId1464" xr:uid="{00000000-0004-0000-0600-0000B7050000}"/>
    <hyperlink ref="P1515" r:id="rId1465" xr:uid="{00000000-0004-0000-0600-0000B8050000}"/>
    <hyperlink ref="P1516" r:id="rId1466" xr:uid="{00000000-0004-0000-0600-0000B9050000}"/>
    <hyperlink ref="P1517" r:id="rId1467" xr:uid="{00000000-0004-0000-0600-0000BA050000}"/>
    <hyperlink ref="P1518" r:id="rId1468" xr:uid="{00000000-0004-0000-0600-0000BB050000}"/>
    <hyperlink ref="P1519" r:id="rId1469" xr:uid="{00000000-0004-0000-0600-0000BC050000}"/>
    <hyperlink ref="P1520" r:id="rId1470" xr:uid="{00000000-0004-0000-0600-0000BD050000}"/>
    <hyperlink ref="P1521" r:id="rId1471" xr:uid="{00000000-0004-0000-0600-0000BE050000}"/>
    <hyperlink ref="P1522" r:id="rId1472" xr:uid="{00000000-0004-0000-0600-0000BF050000}"/>
    <hyperlink ref="P1523" r:id="rId1473" xr:uid="{00000000-0004-0000-0600-0000C0050000}"/>
    <hyperlink ref="P1524" r:id="rId1474" xr:uid="{00000000-0004-0000-0600-0000C1050000}"/>
    <hyperlink ref="P1525" r:id="rId1475" xr:uid="{00000000-0004-0000-0600-0000C2050000}"/>
    <hyperlink ref="P1526" r:id="rId1476" xr:uid="{00000000-0004-0000-0600-0000C3050000}"/>
    <hyperlink ref="P1527" r:id="rId1477" xr:uid="{00000000-0004-0000-0600-0000C4050000}"/>
    <hyperlink ref="P1528" r:id="rId1478" xr:uid="{00000000-0004-0000-0600-0000C5050000}"/>
    <hyperlink ref="P1529" r:id="rId1479" xr:uid="{00000000-0004-0000-0600-0000C6050000}"/>
    <hyperlink ref="P1530" r:id="rId1480" xr:uid="{00000000-0004-0000-0600-0000C7050000}"/>
    <hyperlink ref="P1531" r:id="rId1481" xr:uid="{00000000-0004-0000-0600-0000C8050000}"/>
    <hyperlink ref="P1532" r:id="rId1482" xr:uid="{00000000-0004-0000-0600-0000C9050000}"/>
    <hyperlink ref="P1534" r:id="rId1483" xr:uid="{00000000-0004-0000-0600-0000CA050000}"/>
    <hyperlink ref="P1535" r:id="rId1484" xr:uid="{00000000-0004-0000-0600-0000CB050000}"/>
    <hyperlink ref="P1536" r:id="rId1485" xr:uid="{00000000-0004-0000-0600-0000CC050000}"/>
    <hyperlink ref="P1537" r:id="rId1486" xr:uid="{00000000-0004-0000-0600-0000CD050000}"/>
    <hyperlink ref="P1539" r:id="rId1487" xr:uid="{00000000-0004-0000-0600-0000CE050000}"/>
    <hyperlink ref="P1540" r:id="rId1488" xr:uid="{00000000-0004-0000-0600-0000CF050000}"/>
    <hyperlink ref="P1542" r:id="rId1489" xr:uid="{00000000-0004-0000-0600-0000D0050000}"/>
    <hyperlink ref="P1543" r:id="rId1490" xr:uid="{00000000-0004-0000-0600-0000D1050000}"/>
    <hyperlink ref="P1544" r:id="rId1491" xr:uid="{00000000-0004-0000-0600-0000D2050000}"/>
    <hyperlink ref="P1545" r:id="rId1492" xr:uid="{00000000-0004-0000-0600-0000D3050000}"/>
    <hyperlink ref="P1546" r:id="rId1493" xr:uid="{00000000-0004-0000-0600-0000D4050000}"/>
    <hyperlink ref="P1547" r:id="rId1494" xr:uid="{00000000-0004-0000-0600-0000D5050000}"/>
    <hyperlink ref="P1548" r:id="rId1495" xr:uid="{00000000-0004-0000-0600-0000D6050000}"/>
    <hyperlink ref="P1549" r:id="rId1496" xr:uid="{00000000-0004-0000-0600-0000D7050000}"/>
    <hyperlink ref="P1550" r:id="rId1497" xr:uid="{00000000-0004-0000-0600-0000D8050000}"/>
    <hyperlink ref="P1551" r:id="rId1498" xr:uid="{00000000-0004-0000-0600-0000D9050000}"/>
    <hyperlink ref="P1552" r:id="rId1499" xr:uid="{00000000-0004-0000-0600-0000DA050000}"/>
    <hyperlink ref="P1553" r:id="rId1500" xr:uid="{00000000-0004-0000-0600-0000DB050000}"/>
    <hyperlink ref="P1554" r:id="rId1501" xr:uid="{00000000-0004-0000-0600-0000DC050000}"/>
    <hyperlink ref="P1555" r:id="rId1502" xr:uid="{00000000-0004-0000-0600-0000DD050000}"/>
    <hyperlink ref="P1556" r:id="rId1503" xr:uid="{00000000-0004-0000-0600-0000DE050000}"/>
    <hyperlink ref="P1557" r:id="rId1504" xr:uid="{00000000-0004-0000-0600-0000DF050000}"/>
    <hyperlink ref="P1558" r:id="rId1505" xr:uid="{00000000-0004-0000-0600-0000E0050000}"/>
    <hyperlink ref="P1559" r:id="rId1506" xr:uid="{00000000-0004-0000-0600-0000E1050000}"/>
    <hyperlink ref="P1560" r:id="rId1507" xr:uid="{00000000-0004-0000-0600-0000E2050000}"/>
    <hyperlink ref="P1561" r:id="rId1508" xr:uid="{00000000-0004-0000-0600-0000E3050000}"/>
    <hyperlink ref="P1562" r:id="rId1509" xr:uid="{00000000-0004-0000-0600-0000E4050000}"/>
    <hyperlink ref="P1563" r:id="rId1510" xr:uid="{00000000-0004-0000-0600-0000E5050000}"/>
    <hyperlink ref="P1564" r:id="rId1511" xr:uid="{00000000-0004-0000-0600-0000E6050000}"/>
    <hyperlink ref="P1565" r:id="rId1512" xr:uid="{00000000-0004-0000-0600-0000E7050000}"/>
    <hyperlink ref="P1566" r:id="rId1513" xr:uid="{00000000-0004-0000-0600-0000E8050000}"/>
    <hyperlink ref="P1567" r:id="rId1514" xr:uid="{00000000-0004-0000-0600-0000E9050000}"/>
    <hyperlink ref="P1568" r:id="rId1515" xr:uid="{00000000-0004-0000-0600-0000EA050000}"/>
    <hyperlink ref="P1569" r:id="rId1516" xr:uid="{00000000-0004-0000-0600-0000EB050000}"/>
    <hyperlink ref="P1570" r:id="rId1517" xr:uid="{00000000-0004-0000-0600-0000EC050000}"/>
    <hyperlink ref="P1571" r:id="rId1518" xr:uid="{00000000-0004-0000-0600-0000ED050000}"/>
    <hyperlink ref="P1572" r:id="rId1519" xr:uid="{00000000-0004-0000-0600-0000EE050000}"/>
    <hyperlink ref="P1573" r:id="rId1520" xr:uid="{00000000-0004-0000-0600-0000EF050000}"/>
    <hyperlink ref="P1574" r:id="rId1521" xr:uid="{00000000-0004-0000-0600-0000F0050000}"/>
    <hyperlink ref="P1575" r:id="rId1522" xr:uid="{00000000-0004-0000-0600-0000F1050000}"/>
    <hyperlink ref="P1576" r:id="rId1523" xr:uid="{00000000-0004-0000-0600-0000F2050000}"/>
    <hyperlink ref="P1577" r:id="rId1524" xr:uid="{00000000-0004-0000-0600-0000F3050000}"/>
    <hyperlink ref="P1578" r:id="rId1525" xr:uid="{00000000-0004-0000-0600-0000F4050000}"/>
    <hyperlink ref="P1579" r:id="rId1526" xr:uid="{00000000-0004-0000-0600-0000F5050000}"/>
    <hyperlink ref="P1580" r:id="rId1527" xr:uid="{00000000-0004-0000-0600-0000F6050000}"/>
    <hyperlink ref="P1581" r:id="rId1528" xr:uid="{00000000-0004-0000-0600-0000F7050000}"/>
    <hyperlink ref="P1582" r:id="rId1529" xr:uid="{00000000-0004-0000-0600-0000F8050000}"/>
    <hyperlink ref="P1583" r:id="rId1530" xr:uid="{00000000-0004-0000-0600-0000F9050000}"/>
    <hyperlink ref="P1584" r:id="rId1531" xr:uid="{00000000-0004-0000-0600-0000FA050000}"/>
    <hyperlink ref="P1585" r:id="rId1532" xr:uid="{00000000-0004-0000-0600-0000FB050000}"/>
    <hyperlink ref="P1586" r:id="rId1533" xr:uid="{00000000-0004-0000-0600-0000FC050000}"/>
    <hyperlink ref="P1587" r:id="rId1534" xr:uid="{00000000-0004-0000-0600-0000FD050000}"/>
    <hyperlink ref="P1588" r:id="rId1535" xr:uid="{00000000-0004-0000-0600-0000FE050000}"/>
    <hyperlink ref="P1589" r:id="rId1536" xr:uid="{00000000-0004-0000-0600-0000FF050000}"/>
    <hyperlink ref="P1590" r:id="rId1537" xr:uid="{00000000-0004-0000-0600-000000060000}"/>
    <hyperlink ref="P1591" r:id="rId1538" xr:uid="{00000000-0004-0000-0600-000001060000}"/>
    <hyperlink ref="P1592" r:id="rId1539" xr:uid="{00000000-0004-0000-0600-000002060000}"/>
    <hyperlink ref="P1594" r:id="rId1540" xr:uid="{00000000-0004-0000-0600-000003060000}"/>
    <hyperlink ref="P1595" r:id="rId1541" xr:uid="{00000000-0004-0000-0600-000004060000}"/>
    <hyperlink ref="P1596" r:id="rId1542" xr:uid="{00000000-0004-0000-0600-000005060000}"/>
    <hyperlink ref="P1600" r:id="rId1543" xr:uid="{00000000-0004-0000-0600-000006060000}"/>
    <hyperlink ref="P1602" r:id="rId1544" xr:uid="{00000000-0004-0000-0600-000007060000}"/>
    <hyperlink ref="P1603" r:id="rId1545" xr:uid="{00000000-0004-0000-0600-000008060000}"/>
    <hyperlink ref="P1604" r:id="rId1546" xr:uid="{00000000-0004-0000-0600-000009060000}"/>
    <hyperlink ref="P1605" r:id="rId1547" xr:uid="{00000000-0004-0000-0600-00000A060000}"/>
    <hyperlink ref="P1607" r:id="rId1548" xr:uid="{00000000-0004-0000-0600-00000B060000}"/>
    <hyperlink ref="P1608" r:id="rId1549" xr:uid="{00000000-0004-0000-0600-00000C060000}"/>
    <hyperlink ref="P1609" r:id="rId1550" xr:uid="{00000000-0004-0000-0600-00000D060000}"/>
    <hyperlink ref="P1611" r:id="rId1551" xr:uid="{00000000-0004-0000-0600-00000E060000}"/>
    <hyperlink ref="P1612" r:id="rId1552" xr:uid="{00000000-0004-0000-0600-00000F060000}"/>
    <hyperlink ref="P1613" r:id="rId1553" xr:uid="{00000000-0004-0000-0600-000010060000}"/>
    <hyperlink ref="P1614" r:id="rId1554" xr:uid="{00000000-0004-0000-0600-000011060000}"/>
    <hyperlink ref="P1615" r:id="rId1555" xr:uid="{00000000-0004-0000-0600-000012060000}"/>
    <hyperlink ref="P1616" r:id="rId1556" xr:uid="{00000000-0004-0000-0600-000013060000}"/>
    <hyperlink ref="P1617" r:id="rId1557" xr:uid="{00000000-0004-0000-0600-000014060000}"/>
    <hyperlink ref="Q1622" r:id="rId1558" xr:uid="{00000000-0004-0000-0600-000015060000}"/>
    <hyperlink ref="Q1623" r:id="rId1559" xr:uid="{00000000-0004-0000-0600-000016060000}"/>
    <hyperlink ref="Q1624" r:id="rId1560" xr:uid="{00000000-0004-0000-0600-000017060000}"/>
    <hyperlink ref="Q1625" r:id="rId1561" xr:uid="{00000000-0004-0000-0600-000018060000}"/>
    <hyperlink ref="Q1626" r:id="rId1562" xr:uid="{00000000-0004-0000-0600-000019060000}"/>
    <hyperlink ref="Q1627" r:id="rId1563" xr:uid="{00000000-0004-0000-0600-00001A060000}"/>
    <hyperlink ref="Q1628" r:id="rId1564" xr:uid="{00000000-0004-0000-0600-00001B060000}"/>
    <hyperlink ref="Q1629" r:id="rId1565" xr:uid="{00000000-0004-0000-0600-00001C060000}"/>
    <hyperlink ref="Q1630" r:id="rId1566" xr:uid="{00000000-0004-0000-0600-00001D060000}"/>
    <hyperlink ref="Q1631" r:id="rId1567" xr:uid="{00000000-0004-0000-0600-00001E060000}"/>
    <hyperlink ref="Q1632" r:id="rId1568" xr:uid="{00000000-0004-0000-0600-00001F060000}"/>
    <hyperlink ref="Q1633" r:id="rId1569" xr:uid="{00000000-0004-0000-0600-000020060000}"/>
    <hyperlink ref="Q1634" r:id="rId1570" xr:uid="{00000000-0004-0000-0600-000021060000}"/>
    <hyperlink ref="Q1635" r:id="rId1571" xr:uid="{00000000-0004-0000-0600-000022060000}"/>
    <hyperlink ref="Q1636" r:id="rId1572" xr:uid="{00000000-0004-0000-0600-000023060000}"/>
    <hyperlink ref="Q1637" r:id="rId1573" xr:uid="{00000000-0004-0000-0600-000024060000}"/>
    <hyperlink ref="Q1638" r:id="rId1574" xr:uid="{00000000-0004-0000-0600-000025060000}"/>
    <hyperlink ref="Q1639" r:id="rId1575" xr:uid="{00000000-0004-0000-0600-000026060000}"/>
    <hyperlink ref="Q1640" r:id="rId1576" xr:uid="{00000000-0004-0000-0600-000027060000}"/>
    <hyperlink ref="Q1641" r:id="rId1577" xr:uid="{00000000-0004-0000-0600-000028060000}"/>
    <hyperlink ref="Q1642" r:id="rId1578" xr:uid="{00000000-0004-0000-0600-000029060000}"/>
    <hyperlink ref="Q1643" r:id="rId1579" xr:uid="{00000000-0004-0000-0600-00002A060000}"/>
    <hyperlink ref="Q1644" r:id="rId1580" xr:uid="{00000000-0004-0000-0600-00002B060000}"/>
    <hyperlink ref="Q1645" r:id="rId1581" xr:uid="{00000000-0004-0000-0600-00002C060000}"/>
    <hyperlink ref="Q1646" r:id="rId1582" xr:uid="{00000000-0004-0000-0600-00002D060000}"/>
    <hyperlink ref="Q1647" r:id="rId1583" xr:uid="{00000000-0004-0000-0600-00002E060000}"/>
    <hyperlink ref="Q1648" r:id="rId1584" xr:uid="{00000000-0004-0000-0600-00002F060000}"/>
    <hyperlink ref="Q1649" r:id="rId1585" xr:uid="{00000000-0004-0000-0600-000030060000}"/>
    <hyperlink ref="Q1650" r:id="rId1586" xr:uid="{00000000-0004-0000-0600-000031060000}"/>
    <hyperlink ref="Q1651" r:id="rId1587" xr:uid="{00000000-0004-0000-0600-000032060000}"/>
    <hyperlink ref="Q1652" r:id="rId1588" xr:uid="{00000000-0004-0000-0600-000033060000}"/>
    <hyperlink ref="Q1653" r:id="rId1589" xr:uid="{00000000-0004-0000-0600-000034060000}"/>
    <hyperlink ref="Q1654" r:id="rId1590" xr:uid="{00000000-0004-0000-0600-000035060000}"/>
    <hyperlink ref="Q1655" r:id="rId1591" xr:uid="{00000000-0004-0000-0600-000036060000}"/>
    <hyperlink ref="Q1656" r:id="rId1592" xr:uid="{00000000-0004-0000-0600-000037060000}"/>
    <hyperlink ref="Q1657" r:id="rId1593" xr:uid="{00000000-0004-0000-0600-000038060000}"/>
    <hyperlink ref="Q1658" r:id="rId1594" xr:uid="{00000000-0004-0000-0600-000039060000}"/>
    <hyperlink ref="Q1659" r:id="rId1595" xr:uid="{00000000-0004-0000-0600-00003A060000}"/>
    <hyperlink ref="Q1660" r:id="rId1596" xr:uid="{00000000-0004-0000-0600-00003B060000}"/>
    <hyperlink ref="Q1661" r:id="rId1597" xr:uid="{00000000-0004-0000-0600-00003C060000}"/>
    <hyperlink ref="Q1662" r:id="rId1598" xr:uid="{00000000-0004-0000-0600-00003D060000}"/>
    <hyperlink ref="Q1663" r:id="rId1599" xr:uid="{00000000-0004-0000-0600-00003E060000}"/>
    <hyperlink ref="Q1664" r:id="rId1600" xr:uid="{00000000-0004-0000-0600-00003F060000}"/>
    <hyperlink ref="Q1665" r:id="rId1601" xr:uid="{00000000-0004-0000-0600-000040060000}"/>
    <hyperlink ref="Q1666" r:id="rId1602" xr:uid="{00000000-0004-0000-0600-000041060000}"/>
    <hyperlink ref="Q1667" r:id="rId1603" xr:uid="{00000000-0004-0000-0600-000042060000}"/>
    <hyperlink ref="Q1668" r:id="rId1604" xr:uid="{00000000-0004-0000-0600-000043060000}"/>
    <hyperlink ref="Q1669" r:id="rId1605" xr:uid="{00000000-0004-0000-0600-000044060000}"/>
    <hyperlink ref="Q1670" r:id="rId1606" xr:uid="{00000000-0004-0000-0600-000045060000}"/>
    <hyperlink ref="Q1671" r:id="rId1607" xr:uid="{00000000-0004-0000-0600-000046060000}"/>
    <hyperlink ref="Q1672" r:id="rId1608" xr:uid="{00000000-0004-0000-0600-000047060000}"/>
    <hyperlink ref="Q1673" r:id="rId1609" xr:uid="{00000000-0004-0000-0600-000048060000}"/>
    <hyperlink ref="Q1674" r:id="rId1610" xr:uid="{00000000-0004-0000-0600-000049060000}"/>
    <hyperlink ref="Q1675" r:id="rId1611" xr:uid="{00000000-0004-0000-0600-00004A060000}"/>
    <hyperlink ref="Q1676" r:id="rId1612" xr:uid="{00000000-0004-0000-0600-00004B060000}"/>
    <hyperlink ref="Q1677" r:id="rId1613" xr:uid="{00000000-0004-0000-0600-00004C060000}"/>
    <hyperlink ref="Q1678" r:id="rId1614" xr:uid="{00000000-0004-0000-0600-00004D060000}"/>
    <hyperlink ref="Q1679" r:id="rId1615" xr:uid="{00000000-0004-0000-0600-00004E060000}"/>
    <hyperlink ref="Q1680" r:id="rId1616" xr:uid="{00000000-0004-0000-0600-00004F060000}"/>
    <hyperlink ref="Q1681" r:id="rId1617" xr:uid="{00000000-0004-0000-0600-000050060000}"/>
    <hyperlink ref="Q1682" r:id="rId1618" xr:uid="{00000000-0004-0000-0600-000051060000}"/>
    <hyperlink ref="Q1683" r:id="rId1619" xr:uid="{00000000-0004-0000-0600-000052060000}"/>
    <hyperlink ref="Q1684" r:id="rId1620" xr:uid="{00000000-0004-0000-0600-000053060000}"/>
    <hyperlink ref="Q1685" r:id="rId1621" xr:uid="{00000000-0004-0000-0600-000054060000}"/>
    <hyperlink ref="Q1686" r:id="rId1622" xr:uid="{00000000-0004-0000-0600-000055060000}"/>
    <hyperlink ref="Q1687" r:id="rId1623" xr:uid="{00000000-0004-0000-0600-000056060000}"/>
    <hyperlink ref="Q1688" r:id="rId1624" xr:uid="{00000000-0004-0000-0600-000057060000}"/>
    <hyperlink ref="Q1689" r:id="rId1625" xr:uid="{00000000-0004-0000-0600-000058060000}"/>
    <hyperlink ref="Q1690" r:id="rId1626" xr:uid="{00000000-0004-0000-0600-000059060000}"/>
    <hyperlink ref="Q1691" r:id="rId1627" xr:uid="{00000000-0004-0000-0600-00005A060000}"/>
    <hyperlink ref="Q1692" r:id="rId1628" xr:uid="{00000000-0004-0000-0600-00005B060000}"/>
    <hyperlink ref="Q1693" r:id="rId1629" xr:uid="{00000000-0004-0000-0600-00005C060000}"/>
    <hyperlink ref="Q1694" r:id="rId1630" xr:uid="{00000000-0004-0000-0600-00005D060000}"/>
    <hyperlink ref="Q1695" r:id="rId1631" xr:uid="{00000000-0004-0000-0600-00005E060000}"/>
    <hyperlink ref="Q1696" r:id="rId1632" xr:uid="{00000000-0004-0000-0600-00005F060000}"/>
    <hyperlink ref="Q1697" r:id="rId1633" xr:uid="{00000000-0004-0000-0600-000060060000}"/>
    <hyperlink ref="Q1698" r:id="rId1634" xr:uid="{00000000-0004-0000-0600-000061060000}"/>
    <hyperlink ref="Q1699" r:id="rId1635" xr:uid="{00000000-0004-0000-0600-000062060000}"/>
    <hyperlink ref="Q1700" r:id="rId1636" xr:uid="{00000000-0004-0000-0600-000063060000}"/>
    <hyperlink ref="Q1701" r:id="rId1637" xr:uid="{00000000-0004-0000-0600-000064060000}"/>
    <hyperlink ref="Q1702" r:id="rId1638" xr:uid="{00000000-0004-0000-0600-000065060000}"/>
    <hyperlink ref="Q1703" r:id="rId1639" xr:uid="{00000000-0004-0000-0600-000066060000}"/>
    <hyperlink ref="Q1704" r:id="rId1640" xr:uid="{00000000-0004-0000-0600-000067060000}"/>
    <hyperlink ref="Q1705" r:id="rId1641" xr:uid="{00000000-0004-0000-0600-000068060000}"/>
    <hyperlink ref="Q1706" r:id="rId1642" xr:uid="{00000000-0004-0000-0600-000069060000}"/>
    <hyperlink ref="Q1707" r:id="rId1643" xr:uid="{00000000-0004-0000-0600-00006A060000}"/>
    <hyperlink ref="Q1708" r:id="rId1644" xr:uid="{00000000-0004-0000-0600-00006B060000}"/>
    <hyperlink ref="Q1709" r:id="rId1645" xr:uid="{00000000-0004-0000-0600-00006C060000}"/>
    <hyperlink ref="Q1710" r:id="rId1646" xr:uid="{00000000-0004-0000-0600-00006D060000}"/>
    <hyperlink ref="Q1711" r:id="rId1647" xr:uid="{00000000-0004-0000-0600-00006E060000}"/>
    <hyperlink ref="Q1712" r:id="rId1648" xr:uid="{00000000-0004-0000-0600-00006F060000}"/>
    <hyperlink ref="Q1713" r:id="rId1649" xr:uid="{00000000-0004-0000-0600-000070060000}"/>
    <hyperlink ref="Q1714" r:id="rId1650" xr:uid="{00000000-0004-0000-0600-000071060000}"/>
    <hyperlink ref="Q1715" r:id="rId1651" xr:uid="{00000000-0004-0000-0600-000072060000}"/>
    <hyperlink ref="Q1716" r:id="rId1652" xr:uid="{00000000-0004-0000-0600-000073060000}"/>
    <hyperlink ref="Q1717" r:id="rId1653" xr:uid="{00000000-0004-0000-0600-000074060000}"/>
    <hyperlink ref="Q1718" r:id="rId1654" xr:uid="{00000000-0004-0000-0600-000075060000}"/>
    <hyperlink ref="Q1719" r:id="rId1655" xr:uid="{00000000-0004-0000-0600-000076060000}"/>
    <hyperlink ref="Q1720" r:id="rId1656" xr:uid="{00000000-0004-0000-0600-000077060000}"/>
    <hyperlink ref="Q1721" r:id="rId1657" xr:uid="{00000000-0004-0000-0600-000078060000}"/>
    <hyperlink ref="Q1722" r:id="rId1658" xr:uid="{00000000-0004-0000-0600-000079060000}"/>
    <hyperlink ref="Q1723" r:id="rId1659" xr:uid="{00000000-0004-0000-0600-00007A060000}"/>
    <hyperlink ref="Q1724" r:id="rId1660" xr:uid="{00000000-0004-0000-0600-00007B060000}"/>
    <hyperlink ref="Q1725" r:id="rId1661" xr:uid="{00000000-0004-0000-0600-00007C060000}"/>
    <hyperlink ref="Q1726" r:id="rId1662" xr:uid="{00000000-0004-0000-0600-00007D060000}"/>
    <hyperlink ref="Q1727" r:id="rId1663" xr:uid="{00000000-0004-0000-0600-00007E060000}"/>
    <hyperlink ref="Q1728" r:id="rId1664" xr:uid="{00000000-0004-0000-0600-00007F060000}"/>
    <hyperlink ref="Q1729" r:id="rId1665" xr:uid="{00000000-0004-0000-0600-000080060000}"/>
    <hyperlink ref="Q1730" r:id="rId1666" xr:uid="{00000000-0004-0000-0600-000081060000}"/>
    <hyperlink ref="Q1731" r:id="rId1667" xr:uid="{00000000-0004-0000-0600-000082060000}"/>
    <hyperlink ref="Q1732" r:id="rId1668" xr:uid="{00000000-0004-0000-0600-000083060000}"/>
    <hyperlink ref="Q1733" r:id="rId1669" xr:uid="{00000000-0004-0000-0600-000084060000}"/>
    <hyperlink ref="Q1734" r:id="rId1670" xr:uid="{00000000-0004-0000-0600-000085060000}"/>
    <hyperlink ref="Q1735" r:id="rId1671" xr:uid="{00000000-0004-0000-0600-000086060000}"/>
    <hyperlink ref="Q1736" r:id="rId1672" xr:uid="{00000000-0004-0000-0600-000087060000}"/>
    <hyperlink ref="Q1737" r:id="rId1673" xr:uid="{00000000-0004-0000-0600-000088060000}"/>
    <hyperlink ref="Q1738" r:id="rId1674" xr:uid="{00000000-0004-0000-0600-000089060000}"/>
    <hyperlink ref="Q1739" r:id="rId1675" xr:uid="{00000000-0004-0000-0600-00008A060000}"/>
    <hyperlink ref="Q1740" r:id="rId1676" xr:uid="{00000000-0004-0000-0600-00008B060000}"/>
    <hyperlink ref="Q1741" r:id="rId1677" xr:uid="{00000000-0004-0000-0600-00008C060000}"/>
    <hyperlink ref="Q1742" r:id="rId1678" xr:uid="{00000000-0004-0000-0600-00008D060000}"/>
    <hyperlink ref="Q1743" r:id="rId1679" xr:uid="{00000000-0004-0000-0600-00008E060000}"/>
    <hyperlink ref="Q1744" r:id="rId1680" xr:uid="{00000000-0004-0000-0600-00008F060000}"/>
    <hyperlink ref="Q1745" r:id="rId1681" xr:uid="{00000000-0004-0000-0600-000090060000}"/>
    <hyperlink ref="Q1746" r:id="rId1682" xr:uid="{00000000-0004-0000-0600-000091060000}"/>
    <hyperlink ref="Q1747" r:id="rId1683" xr:uid="{00000000-0004-0000-0600-000092060000}"/>
    <hyperlink ref="Q1748" r:id="rId1684" xr:uid="{00000000-0004-0000-0600-000093060000}"/>
    <hyperlink ref="Q1749" r:id="rId1685" xr:uid="{00000000-0004-0000-0600-000094060000}"/>
    <hyperlink ref="Q1750" r:id="rId1686" xr:uid="{00000000-0004-0000-0600-000095060000}"/>
    <hyperlink ref="Q1751" r:id="rId1687" xr:uid="{00000000-0004-0000-0600-000096060000}"/>
    <hyperlink ref="Q1752" r:id="rId1688" xr:uid="{00000000-0004-0000-0600-000097060000}"/>
    <hyperlink ref="Q1753" r:id="rId1689" xr:uid="{00000000-0004-0000-0600-000098060000}"/>
    <hyperlink ref="Q1754" r:id="rId1690" xr:uid="{00000000-0004-0000-0600-000099060000}"/>
    <hyperlink ref="Q1755" r:id="rId1691" xr:uid="{00000000-0004-0000-0600-00009A060000}"/>
    <hyperlink ref="Q1756" r:id="rId1692" xr:uid="{00000000-0004-0000-0600-00009B060000}"/>
    <hyperlink ref="Q1757" r:id="rId1693" xr:uid="{00000000-0004-0000-0600-00009C060000}"/>
    <hyperlink ref="Q1758" r:id="rId1694" xr:uid="{00000000-0004-0000-0600-00009D060000}"/>
    <hyperlink ref="Q1759" r:id="rId1695" xr:uid="{00000000-0004-0000-0600-00009E060000}"/>
    <hyperlink ref="Q1760" r:id="rId1696" xr:uid="{00000000-0004-0000-0600-00009F060000}"/>
    <hyperlink ref="Q1761" r:id="rId1697" xr:uid="{00000000-0004-0000-0600-0000A0060000}"/>
    <hyperlink ref="Q1762" r:id="rId1698" xr:uid="{00000000-0004-0000-0600-0000A1060000}"/>
    <hyperlink ref="Q1763" r:id="rId1699" xr:uid="{00000000-0004-0000-0600-0000A2060000}"/>
    <hyperlink ref="Q1764" r:id="rId1700" xr:uid="{00000000-0004-0000-0600-0000A3060000}"/>
    <hyperlink ref="Q1765" r:id="rId1701" xr:uid="{00000000-0004-0000-0600-0000A4060000}"/>
    <hyperlink ref="Q1766" r:id="rId1702" xr:uid="{00000000-0004-0000-0600-0000A5060000}"/>
    <hyperlink ref="Q1767" r:id="rId1703" xr:uid="{00000000-0004-0000-0600-0000A6060000}"/>
    <hyperlink ref="Q1768" r:id="rId1704" xr:uid="{00000000-0004-0000-0600-0000A7060000}"/>
    <hyperlink ref="Q1769" r:id="rId1705" xr:uid="{00000000-0004-0000-0600-0000A8060000}"/>
    <hyperlink ref="Q1770" r:id="rId1706" xr:uid="{00000000-0004-0000-0600-0000A9060000}"/>
    <hyperlink ref="Q1771" r:id="rId1707" xr:uid="{00000000-0004-0000-0600-0000AA060000}"/>
    <hyperlink ref="Q1772" r:id="rId1708" xr:uid="{00000000-0004-0000-0600-0000AB060000}"/>
    <hyperlink ref="Q1773" r:id="rId1709" xr:uid="{00000000-0004-0000-0600-0000AC060000}"/>
    <hyperlink ref="Q1774" r:id="rId1710" xr:uid="{00000000-0004-0000-0600-0000AD060000}"/>
    <hyperlink ref="Q1775" r:id="rId1711" xr:uid="{00000000-0004-0000-0600-0000AE060000}"/>
    <hyperlink ref="Q1776" r:id="rId1712" xr:uid="{00000000-0004-0000-0600-0000AF060000}"/>
    <hyperlink ref="Q1777" r:id="rId1713" xr:uid="{00000000-0004-0000-0600-0000B0060000}"/>
    <hyperlink ref="Q1778" r:id="rId1714" xr:uid="{00000000-0004-0000-0600-0000B1060000}"/>
    <hyperlink ref="Q1780" r:id="rId1715" xr:uid="{00000000-0004-0000-0600-0000B2060000}"/>
    <hyperlink ref="Q1781" r:id="rId1716" xr:uid="{00000000-0004-0000-0600-0000B3060000}"/>
    <hyperlink ref="Q1782" r:id="rId1717" xr:uid="{00000000-0004-0000-0600-0000B4060000}"/>
    <hyperlink ref="Q1783" r:id="rId1718" xr:uid="{00000000-0004-0000-0600-0000B5060000}"/>
    <hyperlink ref="Q1784" r:id="rId1719" xr:uid="{00000000-0004-0000-0600-0000B6060000}"/>
    <hyperlink ref="Q1785" r:id="rId1720" xr:uid="{00000000-0004-0000-0600-0000B7060000}"/>
    <hyperlink ref="Q1786" r:id="rId1721" xr:uid="{00000000-0004-0000-0600-0000B8060000}"/>
    <hyperlink ref="Q1787" r:id="rId1722" xr:uid="{00000000-0004-0000-0600-0000B9060000}"/>
    <hyperlink ref="Q1788" r:id="rId1723" xr:uid="{00000000-0004-0000-0600-0000BA060000}"/>
    <hyperlink ref="Q1789" r:id="rId1724" xr:uid="{00000000-0004-0000-0600-0000BB060000}"/>
    <hyperlink ref="Q1790" r:id="rId1725" xr:uid="{00000000-0004-0000-0600-0000BC060000}"/>
    <hyperlink ref="Q1791" r:id="rId1726" xr:uid="{00000000-0004-0000-0600-0000BD060000}"/>
    <hyperlink ref="Q1792" r:id="rId1727" xr:uid="{00000000-0004-0000-0600-0000BE060000}"/>
    <hyperlink ref="Q1793" r:id="rId1728" xr:uid="{00000000-0004-0000-0600-0000BF060000}"/>
    <hyperlink ref="Q1794" r:id="rId1729" xr:uid="{00000000-0004-0000-0600-0000C0060000}"/>
    <hyperlink ref="Q1795" r:id="rId1730" xr:uid="{00000000-0004-0000-0600-0000C1060000}"/>
    <hyperlink ref="Q1796" r:id="rId1731" xr:uid="{00000000-0004-0000-0600-0000C2060000}"/>
    <hyperlink ref="Q1797" r:id="rId1732" xr:uid="{00000000-0004-0000-0600-0000C3060000}"/>
    <hyperlink ref="Q1798" r:id="rId1733" xr:uid="{00000000-0004-0000-0600-0000C4060000}"/>
    <hyperlink ref="Q1799" r:id="rId1734" xr:uid="{00000000-0004-0000-0600-0000C5060000}"/>
    <hyperlink ref="Q1800" r:id="rId1735" xr:uid="{00000000-0004-0000-0600-0000C6060000}"/>
    <hyperlink ref="Q1801" r:id="rId1736" xr:uid="{00000000-0004-0000-0600-0000C7060000}"/>
    <hyperlink ref="Q1802" r:id="rId1737" xr:uid="{00000000-0004-0000-0600-0000C8060000}"/>
    <hyperlink ref="Q1803" r:id="rId1738" xr:uid="{00000000-0004-0000-0600-0000C9060000}"/>
    <hyperlink ref="Q1804" r:id="rId1739" xr:uid="{00000000-0004-0000-0600-0000CA060000}"/>
    <hyperlink ref="Q1805" r:id="rId1740" xr:uid="{00000000-0004-0000-0600-0000CB060000}"/>
    <hyperlink ref="Q1806" r:id="rId1741" xr:uid="{00000000-0004-0000-0600-0000CC060000}"/>
    <hyperlink ref="Q1807" r:id="rId1742" xr:uid="{00000000-0004-0000-0600-0000CD060000}"/>
    <hyperlink ref="Q1808" r:id="rId1743" xr:uid="{00000000-0004-0000-0600-0000CE060000}"/>
    <hyperlink ref="Q1809" r:id="rId1744" xr:uid="{00000000-0004-0000-0600-0000CF060000}"/>
    <hyperlink ref="Q1810" r:id="rId1745" xr:uid="{00000000-0004-0000-0600-0000D0060000}"/>
    <hyperlink ref="Q1811" r:id="rId1746" xr:uid="{00000000-0004-0000-0600-0000D1060000}"/>
    <hyperlink ref="Q1812" r:id="rId1747" xr:uid="{00000000-0004-0000-0600-0000D2060000}"/>
    <hyperlink ref="Q1813" r:id="rId1748" xr:uid="{00000000-0004-0000-0600-0000D3060000}"/>
    <hyperlink ref="Q1814" r:id="rId1749" xr:uid="{00000000-0004-0000-0600-0000D4060000}"/>
    <hyperlink ref="Q1815" r:id="rId1750" xr:uid="{00000000-0004-0000-0600-0000D5060000}"/>
    <hyperlink ref="Q1816" r:id="rId1751" xr:uid="{00000000-0004-0000-0600-0000D6060000}"/>
    <hyperlink ref="Q1817" r:id="rId1752" xr:uid="{00000000-0004-0000-0600-0000D7060000}"/>
    <hyperlink ref="Q1818" r:id="rId1753" xr:uid="{00000000-0004-0000-0600-0000D8060000}"/>
    <hyperlink ref="Q1819" r:id="rId1754" xr:uid="{00000000-0004-0000-0600-0000D9060000}"/>
    <hyperlink ref="Q1820" r:id="rId1755" xr:uid="{00000000-0004-0000-0600-0000DA060000}"/>
    <hyperlink ref="Q1821" r:id="rId1756" xr:uid="{00000000-0004-0000-0600-0000DB060000}"/>
    <hyperlink ref="Q1822" r:id="rId1757" xr:uid="{00000000-0004-0000-0600-0000DC060000}"/>
    <hyperlink ref="Q1823" r:id="rId1758" xr:uid="{00000000-0004-0000-0600-0000DD060000}"/>
    <hyperlink ref="Q1824" r:id="rId1759" xr:uid="{00000000-0004-0000-0600-0000DE060000}"/>
    <hyperlink ref="Q1825" r:id="rId1760" xr:uid="{00000000-0004-0000-0600-0000DF060000}"/>
    <hyperlink ref="Q1826" r:id="rId1761" xr:uid="{00000000-0004-0000-0600-0000E0060000}"/>
    <hyperlink ref="Q1827" r:id="rId1762" xr:uid="{00000000-0004-0000-0600-0000E1060000}"/>
    <hyperlink ref="Q1828" r:id="rId1763" xr:uid="{00000000-0004-0000-0600-0000E2060000}"/>
    <hyperlink ref="Q1829" r:id="rId1764" xr:uid="{00000000-0004-0000-0600-0000E3060000}"/>
    <hyperlink ref="Q1830" r:id="rId1765" xr:uid="{00000000-0004-0000-0600-0000E4060000}"/>
    <hyperlink ref="Q1831" r:id="rId1766" xr:uid="{00000000-0004-0000-0600-0000E5060000}"/>
    <hyperlink ref="Q1832" r:id="rId1767" xr:uid="{00000000-0004-0000-0600-0000E6060000}"/>
    <hyperlink ref="Q1833" r:id="rId1768" xr:uid="{00000000-0004-0000-0600-0000E7060000}"/>
    <hyperlink ref="Q1834" r:id="rId1769" xr:uid="{00000000-0004-0000-0600-0000E8060000}"/>
    <hyperlink ref="Q1835" r:id="rId1770" xr:uid="{00000000-0004-0000-0600-0000E9060000}"/>
    <hyperlink ref="Q1836" r:id="rId1771" xr:uid="{00000000-0004-0000-0600-0000EA060000}"/>
    <hyperlink ref="Q1837" r:id="rId1772" xr:uid="{00000000-0004-0000-0600-0000EB060000}"/>
    <hyperlink ref="Q1838" r:id="rId1773" xr:uid="{00000000-0004-0000-0600-0000EC060000}"/>
    <hyperlink ref="Q1839" r:id="rId1774" xr:uid="{00000000-0004-0000-0600-0000ED060000}"/>
    <hyperlink ref="Q1840" r:id="rId1775" xr:uid="{00000000-0004-0000-0600-0000EE060000}"/>
    <hyperlink ref="Q1841" r:id="rId1776" xr:uid="{00000000-0004-0000-0600-0000EF060000}"/>
    <hyperlink ref="Q1842" r:id="rId1777" xr:uid="{00000000-0004-0000-0600-0000F0060000}"/>
    <hyperlink ref="Q1843" r:id="rId1778" xr:uid="{00000000-0004-0000-0600-0000F1060000}"/>
    <hyperlink ref="Q1844" r:id="rId1779" xr:uid="{00000000-0004-0000-0600-0000F2060000}"/>
    <hyperlink ref="Q1845" r:id="rId1780" xr:uid="{00000000-0004-0000-0600-0000F3060000}"/>
    <hyperlink ref="Q1846" r:id="rId1781" xr:uid="{00000000-0004-0000-0600-0000F4060000}"/>
    <hyperlink ref="Q1847" r:id="rId1782" xr:uid="{00000000-0004-0000-0600-0000F5060000}"/>
    <hyperlink ref="Q1848" r:id="rId1783" xr:uid="{00000000-0004-0000-0600-0000F6060000}"/>
    <hyperlink ref="Q1849" r:id="rId1784" xr:uid="{00000000-0004-0000-0600-0000F7060000}"/>
    <hyperlink ref="Q1850" r:id="rId1785" xr:uid="{00000000-0004-0000-0600-0000F8060000}"/>
    <hyperlink ref="Q1851" r:id="rId1786" xr:uid="{00000000-0004-0000-0600-0000F9060000}"/>
    <hyperlink ref="Q1852" r:id="rId1787" xr:uid="{00000000-0004-0000-0600-0000FA060000}"/>
    <hyperlink ref="Q1853" r:id="rId1788" xr:uid="{00000000-0004-0000-0600-0000FB060000}"/>
    <hyperlink ref="Q1854" r:id="rId1789" xr:uid="{00000000-0004-0000-0600-0000FC060000}"/>
    <hyperlink ref="Q1855" r:id="rId1790" xr:uid="{00000000-0004-0000-0600-0000FD060000}"/>
    <hyperlink ref="Q1856" r:id="rId1791" xr:uid="{00000000-0004-0000-0600-0000FE060000}"/>
    <hyperlink ref="Q1857" r:id="rId1792" xr:uid="{00000000-0004-0000-0600-0000FF060000}"/>
    <hyperlink ref="Q1858" r:id="rId1793" xr:uid="{00000000-0004-0000-0600-000000070000}"/>
    <hyperlink ref="Q1859" r:id="rId1794" xr:uid="{00000000-0004-0000-0600-000001070000}"/>
    <hyperlink ref="Q1860" r:id="rId1795" xr:uid="{00000000-0004-0000-0600-000002070000}"/>
    <hyperlink ref="Q1861" r:id="rId1796" xr:uid="{00000000-0004-0000-0600-000003070000}"/>
    <hyperlink ref="Q1862" r:id="rId1797" xr:uid="{00000000-0004-0000-0600-000004070000}"/>
    <hyperlink ref="Q1863" r:id="rId1798" xr:uid="{00000000-0004-0000-0600-000005070000}"/>
    <hyperlink ref="Q1864" r:id="rId1799" xr:uid="{00000000-0004-0000-0600-000006070000}"/>
    <hyperlink ref="Q1865" r:id="rId1800" xr:uid="{00000000-0004-0000-0600-000007070000}"/>
    <hyperlink ref="Q1866" r:id="rId1801" xr:uid="{00000000-0004-0000-0600-000008070000}"/>
    <hyperlink ref="Q1867" r:id="rId1802" xr:uid="{00000000-0004-0000-0600-000009070000}"/>
    <hyperlink ref="Q1868" r:id="rId1803" xr:uid="{00000000-0004-0000-0600-00000A070000}"/>
    <hyperlink ref="Q1869" r:id="rId1804" xr:uid="{00000000-0004-0000-0600-00000B070000}"/>
    <hyperlink ref="Q1870" r:id="rId1805" xr:uid="{00000000-0004-0000-0600-00000C070000}"/>
    <hyperlink ref="Q1871" r:id="rId1806" xr:uid="{00000000-0004-0000-0600-00000D070000}"/>
    <hyperlink ref="Q1872" r:id="rId1807" xr:uid="{00000000-0004-0000-0600-00000E070000}"/>
    <hyperlink ref="Q1873" r:id="rId1808" xr:uid="{00000000-0004-0000-0600-00000F070000}"/>
    <hyperlink ref="Q1874" r:id="rId1809" xr:uid="{00000000-0004-0000-0600-000010070000}"/>
    <hyperlink ref="Q1875" r:id="rId1810" xr:uid="{00000000-0004-0000-0600-000011070000}"/>
    <hyperlink ref="Q1876" r:id="rId1811" xr:uid="{00000000-0004-0000-0600-000012070000}"/>
    <hyperlink ref="Q1877" r:id="rId1812" xr:uid="{00000000-0004-0000-0600-000013070000}"/>
    <hyperlink ref="Q1878" r:id="rId1813" xr:uid="{00000000-0004-0000-0600-000014070000}"/>
    <hyperlink ref="Q1879" r:id="rId1814" xr:uid="{00000000-0004-0000-0600-000015070000}"/>
    <hyperlink ref="Q1880" r:id="rId1815" xr:uid="{00000000-0004-0000-0600-000016070000}"/>
    <hyperlink ref="Q1881" r:id="rId1816" xr:uid="{00000000-0004-0000-0600-000017070000}"/>
    <hyperlink ref="Q1882" r:id="rId1817" xr:uid="{00000000-0004-0000-0600-000018070000}"/>
    <hyperlink ref="Q1883" r:id="rId1818" xr:uid="{00000000-0004-0000-0600-000019070000}"/>
    <hyperlink ref="Q1884" r:id="rId1819" xr:uid="{00000000-0004-0000-0600-00001A070000}"/>
    <hyperlink ref="Q1885" r:id="rId1820" xr:uid="{00000000-0004-0000-0600-00001B070000}"/>
    <hyperlink ref="Q1886" r:id="rId1821" xr:uid="{00000000-0004-0000-0600-00001C070000}"/>
    <hyperlink ref="Q1887" r:id="rId1822" xr:uid="{00000000-0004-0000-0600-00001D070000}"/>
    <hyperlink ref="Q1888" r:id="rId1823" xr:uid="{00000000-0004-0000-0600-00001E070000}"/>
    <hyperlink ref="Q1889" r:id="rId1824" xr:uid="{00000000-0004-0000-0600-00001F070000}"/>
    <hyperlink ref="Q1890" r:id="rId1825" xr:uid="{00000000-0004-0000-0600-000020070000}"/>
    <hyperlink ref="Q1891" r:id="rId1826" xr:uid="{00000000-0004-0000-0600-000021070000}"/>
    <hyperlink ref="Q1892" r:id="rId1827" xr:uid="{00000000-0004-0000-0600-000022070000}"/>
    <hyperlink ref="Q1893" r:id="rId1828" xr:uid="{00000000-0004-0000-0600-000023070000}"/>
    <hyperlink ref="Q1894" r:id="rId1829" xr:uid="{00000000-0004-0000-0600-000024070000}"/>
    <hyperlink ref="Q1895" r:id="rId1830" xr:uid="{00000000-0004-0000-0600-000025070000}"/>
    <hyperlink ref="Q1896" r:id="rId1831" xr:uid="{00000000-0004-0000-0600-000026070000}"/>
    <hyperlink ref="Q1897" r:id="rId1832" xr:uid="{00000000-0004-0000-0600-000027070000}"/>
    <hyperlink ref="Q1898" r:id="rId1833" xr:uid="{00000000-0004-0000-0600-000028070000}"/>
    <hyperlink ref="Q1899" r:id="rId1834" xr:uid="{00000000-0004-0000-0600-000029070000}"/>
    <hyperlink ref="Q1900" r:id="rId1835" xr:uid="{00000000-0004-0000-0600-00002A070000}"/>
    <hyperlink ref="Q1901" r:id="rId1836" xr:uid="{00000000-0004-0000-0600-00002B070000}"/>
    <hyperlink ref="Q1902" r:id="rId1837" xr:uid="{00000000-0004-0000-0600-00002C070000}"/>
    <hyperlink ref="Q1903" r:id="rId1838" xr:uid="{00000000-0004-0000-0600-00002D070000}"/>
    <hyperlink ref="Q1904" r:id="rId1839" xr:uid="{00000000-0004-0000-0600-00002E070000}"/>
    <hyperlink ref="Q1905" r:id="rId1840" xr:uid="{00000000-0004-0000-0600-00002F070000}"/>
    <hyperlink ref="Q1906" r:id="rId1841" xr:uid="{00000000-0004-0000-0600-000030070000}"/>
    <hyperlink ref="Q1907" r:id="rId1842" xr:uid="{00000000-0004-0000-0600-000031070000}"/>
    <hyperlink ref="Q1908" r:id="rId1843" xr:uid="{00000000-0004-0000-0600-000032070000}"/>
    <hyperlink ref="Q1909" r:id="rId1844" xr:uid="{00000000-0004-0000-0600-000033070000}"/>
    <hyperlink ref="Q1910" r:id="rId1845" xr:uid="{00000000-0004-0000-0600-000034070000}"/>
    <hyperlink ref="Q1911" r:id="rId1846" xr:uid="{00000000-0004-0000-0600-000035070000}"/>
    <hyperlink ref="Q1912" r:id="rId1847" xr:uid="{00000000-0004-0000-0600-000036070000}"/>
    <hyperlink ref="Q1913" r:id="rId1848" xr:uid="{00000000-0004-0000-0600-000037070000}"/>
    <hyperlink ref="Q1914" r:id="rId1849" xr:uid="{00000000-0004-0000-0600-000038070000}"/>
    <hyperlink ref="Q1915" r:id="rId1850" xr:uid="{00000000-0004-0000-0600-000039070000}"/>
    <hyperlink ref="Q1916" r:id="rId1851" xr:uid="{00000000-0004-0000-0600-00003A070000}"/>
    <hyperlink ref="Q1917" r:id="rId1852" xr:uid="{00000000-0004-0000-0600-00003B070000}"/>
    <hyperlink ref="Q1918" r:id="rId1853" xr:uid="{00000000-0004-0000-0600-00003C070000}"/>
    <hyperlink ref="Q1919" r:id="rId1854" xr:uid="{00000000-0004-0000-0600-00003D070000}"/>
    <hyperlink ref="Q1920" r:id="rId1855" xr:uid="{00000000-0004-0000-0600-00003E070000}"/>
    <hyperlink ref="Q1921" r:id="rId1856" xr:uid="{00000000-0004-0000-0600-00003F070000}"/>
    <hyperlink ref="Q1922" r:id="rId1857" xr:uid="{00000000-0004-0000-0600-000040070000}"/>
    <hyperlink ref="Q1923" r:id="rId1858" xr:uid="{00000000-0004-0000-0600-000041070000}"/>
    <hyperlink ref="Q1924" r:id="rId1859" xr:uid="{00000000-0004-0000-0600-000042070000}"/>
    <hyperlink ref="Q1925" r:id="rId1860" xr:uid="{00000000-0004-0000-0600-000043070000}"/>
    <hyperlink ref="Q1926" r:id="rId1861" xr:uid="{00000000-0004-0000-0600-000044070000}"/>
    <hyperlink ref="Q1927" r:id="rId1862" xr:uid="{00000000-0004-0000-0600-000045070000}"/>
    <hyperlink ref="Q1928" r:id="rId1863" xr:uid="{00000000-0004-0000-0600-000046070000}"/>
    <hyperlink ref="Q1929" r:id="rId1864" xr:uid="{00000000-0004-0000-0600-000047070000}"/>
    <hyperlink ref="Q1930" r:id="rId1865" xr:uid="{00000000-0004-0000-0600-000048070000}"/>
    <hyperlink ref="Q1931" r:id="rId1866" xr:uid="{00000000-0004-0000-0600-000049070000}"/>
    <hyperlink ref="Q1932" r:id="rId1867" xr:uid="{00000000-0004-0000-0600-00004A070000}"/>
    <hyperlink ref="Q1933" r:id="rId1868" xr:uid="{00000000-0004-0000-0600-00004B070000}"/>
    <hyperlink ref="Q1934" r:id="rId1869" xr:uid="{00000000-0004-0000-0600-00004C070000}"/>
    <hyperlink ref="Q1935" r:id="rId1870" xr:uid="{00000000-0004-0000-0600-00004D070000}"/>
    <hyperlink ref="Q1936" r:id="rId1871" xr:uid="{00000000-0004-0000-0600-00004E070000}"/>
    <hyperlink ref="Q1937" r:id="rId1872" xr:uid="{00000000-0004-0000-0600-00004F070000}"/>
    <hyperlink ref="Q1938" r:id="rId1873" xr:uid="{00000000-0004-0000-0600-000050070000}"/>
    <hyperlink ref="Q1939" r:id="rId1874" xr:uid="{00000000-0004-0000-0600-000051070000}"/>
    <hyperlink ref="Q1940" r:id="rId1875" xr:uid="{00000000-0004-0000-0600-000052070000}"/>
    <hyperlink ref="Q1941" r:id="rId1876" xr:uid="{00000000-0004-0000-0600-000053070000}"/>
    <hyperlink ref="Q1942" r:id="rId1877" xr:uid="{00000000-0004-0000-0600-000054070000}"/>
    <hyperlink ref="Q1943" r:id="rId1878" xr:uid="{00000000-0004-0000-0600-000055070000}"/>
    <hyperlink ref="Q1944" r:id="rId1879" xr:uid="{00000000-0004-0000-0600-000056070000}"/>
    <hyperlink ref="Q1945" r:id="rId1880" xr:uid="{00000000-0004-0000-0600-000057070000}"/>
    <hyperlink ref="Q1946" r:id="rId1881" xr:uid="{00000000-0004-0000-0600-000058070000}"/>
    <hyperlink ref="Q1947" r:id="rId1882" xr:uid="{00000000-0004-0000-0600-000059070000}"/>
    <hyperlink ref="Q1948" r:id="rId1883" xr:uid="{00000000-0004-0000-0600-00005A070000}"/>
    <hyperlink ref="Q1949" r:id="rId1884" xr:uid="{00000000-0004-0000-0600-00005B070000}"/>
    <hyperlink ref="Q1950" r:id="rId1885" xr:uid="{00000000-0004-0000-0600-00005C070000}"/>
    <hyperlink ref="Q1951" r:id="rId1886" xr:uid="{00000000-0004-0000-0600-00005D070000}"/>
    <hyperlink ref="Q1952" r:id="rId1887" xr:uid="{00000000-0004-0000-0600-00005E070000}"/>
    <hyperlink ref="Q1953" r:id="rId1888" xr:uid="{00000000-0004-0000-0600-00005F070000}"/>
    <hyperlink ref="Q1954" r:id="rId1889" xr:uid="{00000000-0004-0000-0600-000060070000}"/>
    <hyperlink ref="Q1955" r:id="rId1890" xr:uid="{00000000-0004-0000-0600-000061070000}"/>
    <hyperlink ref="Q1956" r:id="rId1891" xr:uid="{00000000-0004-0000-0600-000062070000}"/>
    <hyperlink ref="Q1957" r:id="rId1892" xr:uid="{00000000-0004-0000-0600-000063070000}"/>
    <hyperlink ref="Q1958" r:id="rId1893" xr:uid="{00000000-0004-0000-0600-000064070000}"/>
    <hyperlink ref="Q1959" r:id="rId1894" xr:uid="{00000000-0004-0000-0600-000065070000}"/>
    <hyperlink ref="Q1960" r:id="rId1895" xr:uid="{00000000-0004-0000-0600-000066070000}"/>
    <hyperlink ref="Q1961" r:id="rId1896" xr:uid="{00000000-0004-0000-0600-000067070000}"/>
    <hyperlink ref="Q1962" r:id="rId1897" xr:uid="{00000000-0004-0000-0600-000068070000}"/>
    <hyperlink ref="Q1963" r:id="rId1898" xr:uid="{00000000-0004-0000-0600-000069070000}"/>
    <hyperlink ref="Q1964" r:id="rId1899" xr:uid="{00000000-0004-0000-0600-00006A070000}"/>
    <hyperlink ref="Q1965" r:id="rId1900" xr:uid="{00000000-0004-0000-0600-00006B070000}"/>
    <hyperlink ref="Q1966" r:id="rId1901" xr:uid="{00000000-0004-0000-0600-00006C070000}"/>
    <hyperlink ref="Q1967" r:id="rId1902" xr:uid="{00000000-0004-0000-0600-00006D070000}"/>
    <hyperlink ref="Q1968" r:id="rId1903" xr:uid="{00000000-0004-0000-0600-00006E070000}"/>
    <hyperlink ref="Q1969" r:id="rId1904" xr:uid="{00000000-0004-0000-0600-00006F070000}"/>
    <hyperlink ref="Q1970" r:id="rId1905" xr:uid="{00000000-0004-0000-0600-000070070000}"/>
    <hyperlink ref="Q1971" r:id="rId1906" xr:uid="{00000000-0004-0000-0600-000071070000}"/>
    <hyperlink ref="Q1972" r:id="rId1907" xr:uid="{00000000-0004-0000-0600-000072070000}"/>
    <hyperlink ref="Q1973" r:id="rId1908" xr:uid="{00000000-0004-0000-0600-000073070000}"/>
    <hyperlink ref="Q1974" r:id="rId1909" xr:uid="{00000000-0004-0000-0600-000074070000}"/>
    <hyperlink ref="Q1975" r:id="rId1910" xr:uid="{00000000-0004-0000-0600-000075070000}"/>
    <hyperlink ref="Q1976" r:id="rId1911" xr:uid="{00000000-0004-0000-0600-000076070000}"/>
    <hyperlink ref="Q1977" r:id="rId1912" xr:uid="{00000000-0004-0000-0600-000077070000}"/>
    <hyperlink ref="Q1978" r:id="rId1913" xr:uid="{00000000-0004-0000-0600-000078070000}"/>
    <hyperlink ref="Q1979" r:id="rId1914" xr:uid="{00000000-0004-0000-0600-000079070000}"/>
    <hyperlink ref="Q1980" r:id="rId1915" xr:uid="{00000000-0004-0000-0600-00007A070000}"/>
    <hyperlink ref="Q1981" r:id="rId1916" xr:uid="{00000000-0004-0000-0600-00007B070000}"/>
    <hyperlink ref="Q1982" r:id="rId1917" xr:uid="{00000000-0004-0000-0600-00007C070000}"/>
    <hyperlink ref="Q1983" r:id="rId1918" xr:uid="{00000000-0004-0000-0600-00007D070000}"/>
    <hyperlink ref="Q1984" r:id="rId1919" xr:uid="{00000000-0004-0000-0600-00007E070000}"/>
    <hyperlink ref="Q1985" r:id="rId1920" xr:uid="{00000000-0004-0000-0600-00007F070000}"/>
    <hyperlink ref="Q1986" r:id="rId1921" xr:uid="{00000000-0004-0000-0600-000080070000}"/>
    <hyperlink ref="Q1987" r:id="rId1922" xr:uid="{00000000-0004-0000-0600-000081070000}"/>
    <hyperlink ref="Q1988" r:id="rId1923" xr:uid="{00000000-0004-0000-0600-000082070000}"/>
    <hyperlink ref="Q1989" r:id="rId1924" xr:uid="{00000000-0004-0000-0600-000083070000}"/>
    <hyperlink ref="Q1990" r:id="rId1925" xr:uid="{00000000-0004-0000-0600-000084070000}"/>
    <hyperlink ref="Q1991" r:id="rId1926" xr:uid="{00000000-0004-0000-0600-000085070000}"/>
    <hyperlink ref="Q1992" r:id="rId1927" xr:uid="{00000000-0004-0000-0600-000086070000}"/>
    <hyperlink ref="Q1993" r:id="rId1928" xr:uid="{00000000-0004-0000-0600-000087070000}"/>
    <hyperlink ref="Q1994" r:id="rId1929" xr:uid="{00000000-0004-0000-0600-000088070000}"/>
    <hyperlink ref="Q1995" r:id="rId1930" xr:uid="{00000000-0004-0000-0600-000089070000}"/>
    <hyperlink ref="Q1996" r:id="rId1931" xr:uid="{00000000-0004-0000-0600-00008A070000}"/>
    <hyperlink ref="Q1997" r:id="rId1932" xr:uid="{00000000-0004-0000-0600-00008B070000}"/>
    <hyperlink ref="Q1998" r:id="rId1933" xr:uid="{00000000-0004-0000-0600-00008C070000}"/>
    <hyperlink ref="Q1999" r:id="rId1934" xr:uid="{00000000-0004-0000-0600-00008D070000}"/>
    <hyperlink ref="Q2000" r:id="rId1935" xr:uid="{00000000-0004-0000-0600-00008E070000}"/>
    <hyperlink ref="Q2001" r:id="rId1936" xr:uid="{00000000-0004-0000-0600-00008F070000}"/>
    <hyperlink ref="Q2002" r:id="rId1937" xr:uid="{00000000-0004-0000-0600-000090070000}"/>
    <hyperlink ref="Q2003" r:id="rId1938" xr:uid="{00000000-0004-0000-0600-000091070000}"/>
    <hyperlink ref="Q2004" r:id="rId1939" xr:uid="{00000000-0004-0000-0600-000092070000}"/>
    <hyperlink ref="Q2005" r:id="rId1940" xr:uid="{00000000-0004-0000-0600-000093070000}"/>
    <hyperlink ref="Q2006" r:id="rId1941" xr:uid="{00000000-0004-0000-0600-000094070000}"/>
    <hyperlink ref="Q2007" r:id="rId1942" xr:uid="{00000000-0004-0000-0600-000095070000}"/>
    <hyperlink ref="Q2008" r:id="rId1943" xr:uid="{00000000-0004-0000-0600-000096070000}"/>
    <hyperlink ref="Q2009" r:id="rId1944" xr:uid="{00000000-0004-0000-0600-000097070000}"/>
    <hyperlink ref="Q2010" r:id="rId1945" xr:uid="{00000000-0004-0000-0600-000098070000}"/>
    <hyperlink ref="Q2011" r:id="rId1946" xr:uid="{00000000-0004-0000-0600-000099070000}"/>
    <hyperlink ref="Q2012" r:id="rId1947" xr:uid="{00000000-0004-0000-0600-00009A070000}"/>
    <hyperlink ref="Q2013" r:id="rId1948" xr:uid="{00000000-0004-0000-0600-00009B070000}"/>
    <hyperlink ref="Q2014" r:id="rId1949" xr:uid="{00000000-0004-0000-0600-00009C070000}"/>
    <hyperlink ref="Q2015" r:id="rId1950" xr:uid="{00000000-0004-0000-0600-00009D070000}"/>
    <hyperlink ref="Q2016" r:id="rId1951" xr:uid="{00000000-0004-0000-0600-00009E070000}"/>
    <hyperlink ref="Q2017" r:id="rId1952" xr:uid="{00000000-0004-0000-0600-00009F070000}"/>
    <hyperlink ref="Q2018" r:id="rId1953" xr:uid="{00000000-0004-0000-0600-0000A0070000}"/>
    <hyperlink ref="Q2019" r:id="rId1954" xr:uid="{00000000-0004-0000-0600-0000A1070000}"/>
    <hyperlink ref="Q2020" r:id="rId1955" xr:uid="{00000000-0004-0000-0600-0000A2070000}"/>
    <hyperlink ref="Q2021" r:id="rId1956" xr:uid="{00000000-0004-0000-0600-0000A3070000}"/>
    <hyperlink ref="Q2022" r:id="rId1957" xr:uid="{00000000-0004-0000-0600-0000A4070000}"/>
    <hyperlink ref="Q2023" r:id="rId1958" xr:uid="{00000000-0004-0000-0600-0000A5070000}"/>
    <hyperlink ref="Q2024" r:id="rId1959" xr:uid="{00000000-0004-0000-0600-0000A6070000}"/>
    <hyperlink ref="Q2025" r:id="rId1960" xr:uid="{00000000-0004-0000-0600-0000A7070000}"/>
    <hyperlink ref="Q2026" r:id="rId1961" xr:uid="{00000000-0004-0000-0600-0000A8070000}"/>
    <hyperlink ref="Q2027" r:id="rId1962" xr:uid="{00000000-0004-0000-0600-0000A9070000}"/>
    <hyperlink ref="Q2028" r:id="rId1963" xr:uid="{00000000-0004-0000-0600-0000AA070000}"/>
    <hyperlink ref="Q2029" r:id="rId1964" xr:uid="{00000000-0004-0000-0600-0000AB070000}"/>
    <hyperlink ref="Q2030" r:id="rId1965" xr:uid="{00000000-0004-0000-0600-0000AC070000}"/>
    <hyperlink ref="Q2031" r:id="rId1966" xr:uid="{00000000-0004-0000-0600-0000AD070000}"/>
    <hyperlink ref="Q2032" r:id="rId1967" xr:uid="{00000000-0004-0000-0600-0000AE070000}"/>
    <hyperlink ref="Q2033" r:id="rId1968" xr:uid="{00000000-0004-0000-0600-0000AF070000}"/>
    <hyperlink ref="Q2034" r:id="rId1969" xr:uid="{00000000-0004-0000-0600-0000B0070000}"/>
    <hyperlink ref="Q2035" r:id="rId1970" xr:uid="{00000000-0004-0000-0600-0000B1070000}"/>
    <hyperlink ref="Q2036" r:id="rId1971" xr:uid="{00000000-0004-0000-0600-0000B2070000}"/>
    <hyperlink ref="Q2037" r:id="rId1972" xr:uid="{00000000-0004-0000-0600-0000B3070000}"/>
    <hyperlink ref="Q2038" r:id="rId1973" xr:uid="{00000000-0004-0000-0600-0000B4070000}"/>
    <hyperlink ref="Q2039" r:id="rId1974" xr:uid="{00000000-0004-0000-0600-0000B5070000}"/>
    <hyperlink ref="Q2040" r:id="rId1975" xr:uid="{00000000-0004-0000-0600-0000B6070000}"/>
    <hyperlink ref="Q2041" r:id="rId1976" xr:uid="{00000000-0004-0000-0600-0000B7070000}"/>
    <hyperlink ref="Q2042" r:id="rId1977" xr:uid="{00000000-0004-0000-0600-0000B8070000}"/>
    <hyperlink ref="Q2043" r:id="rId1978" xr:uid="{00000000-0004-0000-0600-0000B9070000}"/>
    <hyperlink ref="Q2044" r:id="rId1979" xr:uid="{00000000-0004-0000-0600-0000BA070000}"/>
    <hyperlink ref="Q2045" r:id="rId1980" xr:uid="{00000000-0004-0000-0600-0000BB070000}"/>
    <hyperlink ref="Q2046" r:id="rId1981" xr:uid="{00000000-0004-0000-0600-0000BC070000}"/>
    <hyperlink ref="Q2047" r:id="rId1982" xr:uid="{00000000-0004-0000-0600-0000BD070000}"/>
    <hyperlink ref="Q2048" r:id="rId1983" xr:uid="{00000000-0004-0000-0600-0000BE070000}"/>
    <hyperlink ref="Q2049" r:id="rId1984" xr:uid="{00000000-0004-0000-0600-0000BF070000}"/>
    <hyperlink ref="Q2050" r:id="rId1985" xr:uid="{00000000-0004-0000-0600-0000C0070000}"/>
    <hyperlink ref="Q2051" r:id="rId1986" xr:uid="{00000000-0004-0000-0600-0000C1070000}"/>
    <hyperlink ref="Q2052" r:id="rId1987" xr:uid="{00000000-0004-0000-0600-0000C2070000}"/>
    <hyperlink ref="Q2053" r:id="rId1988" xr:uid="{00000000-0004-0000-0600-0000C3070000}"/>
    <hyperlink ref="Q2054" r:id="rId1989" xr:uid="{00000000-0004-0000-0600-0000C4070000}"/>
    <hyperlink ref="Q2055" r:id="rId1990" xr:uid="{00000000-0004-0000-0600-0000C5070000}"/>
    <hyperlink ref="Q2056" r:id="rId1991" xr:uid="{00000000-0004-0000-0600-0000C6070000}"/>
    <hyperlink ref="Q2057" r:id="rId1992" xr:uid="{00000000-0004-0000-0600-0000C7070000}"/>
    <hyperlink ref="Q2058" r:id="rId1993" xr:uid="{00000000-0004-0000-0600-0000C8070000}"/>
    <hyperlink ref="Q2059" r:id="rId1994" xr:uid="{00000000-0004-0000-0600-0000C9070000}"/>
    <hyperlink ref="Q2060" r:id="rId1995" xr:uid="{00000000-0004-0000-0600-0000CA070000}"/>
    <hyperlink ref="Q2061" r:id="rId1996" xr:uid="{00000000-0004-0000-0600-0000CB070000}"/>
    <hyperlink ref="Q2062" r:id="rId1997" xr:uid="{00000000-0004-0000-0600-0000CC070000}"/>
    <hyperlink ref="Q2063" r:id="rId1998" xr:uid="{00000000-0004-0000-0600-0000CD070000}"/>
    <hyperlink ref="Q2064" r:id="rId1999" xr:uid="{00000000-0004-0000-0600-0000CE070000}"/>
    <hyperlink ref="Q2065" r:id="rId2000" xr:uid="{00000000-0004-0000-0600-0000CF070000}"/>
    <hyperlink ref="Q2066" r:id="rId2001" xr:uid="{00000000-0004-0000-0600-0000D0070000}"/>
    <hyperlink ref="Q2067" r:id="rId2002" xr:uid="{00000000-0004-0000-0600-0000D1070000}"/>
    <hyperlink ref="Q2068" r:id="rId2003" xr:uid="{00000000-0004-0000-0600-0000D2070000}"/>
    <hyperlink ref="Q2069" r:id="rId2004" xr:uid="{00000000-0004-0000-0600-0000D3070000}"/>
    <hyperlink ref="Q2070" r:id="rId2005" xr:uid="{00000000-0004-0000-0600-0000D4070000}"/>
    <hyperlink ref="Q2071" r:id="rId2006" xr:uid="{00000000-0004-0000-0600-0000D5070000}"/>
    <hyperlink ref="Q2072" r:id="rId2007" xr:uid="{00000000-0004-0000-0600-0000D6070000}"/>
    <hyperlink ref="Q2073" r:id="rId2008" xr:uid="{00000000-0004-0000-0600-0000D7070000}"/>
    <hyperlink ref="Q2074" r:id="rId2009" xr:uid="{00000000-0004-0000-0600-0000D8070000}"/>
    <hyperlink ref="Q2075" r:id="rId2010" xr:uid="{00000000-0004-0000-0600-0000D9070000}"/>
    <hyperlink ref="Q2076" r:id="rId2011" xr:uid="{00000000-0004-0000-0600-0000DA070000}"/>
    <hyperlink ref="Q2077" r:id="rId2012" xr:uid="{00000000-0004-0000-0600-0000DB070000}"/>
    <hyperlink ref="Q2078" r:id="rId2013" xr:uid="{00000000-0004-0000-0600-0000DC070000}"/>
    <hyperlink ref="Q2079" r:id="rId2014" xr:uid="{00000000-0004-0000-0600-0000DD070000}"/>
    <hyperlink ref="Q2080" r:id="rId2015" xr:uid="{00000000-0004-0000-0600-0000DE070000}"/>
    <hyperlink ref="Q2081" r:id="rId2016" xr:uid="{00000000-0004-0000-0600-0000DF070000}"/>
    <hyperlink ref="Q2082" r:id="rId2017" xr:uid="{00000000-0004-0000-0600-0000E0070000}"/>
    <hyperlink ref="Q2083" r:id="rId2018" xr:uid="{00000000-0004-0000-0600-0000E1070000}"/>
    <hyperlink ref="Q2084" r:id="rId2019" xr:uid="{00000000-0004-0000-0600-0000E2070000}"/>
    <hyperlink ref="Q2085" r:id="rId2020" xr:uid="{00000000-0004-0000-0600-0000E3070000}"/>
    <hyperlink ref="Q2086" r:id="rId2021" xr:uid="{00000000-0004-0000-0600-0000E4070000}"/>
    <hyperlink ref="Q2087" r:id="rId2022" xr:uid="{00000000-0004-0000-0600-0000E5070000}"/>
    <hyperlink ref="Q2088" r:id="rId2023" xr:uid="{00000000-0004-0000-0600-0000E6070000}"/>
    <hyperlink ref="Q2089" r:id="rId2024" xr:uid="{00000000-0004-0000-0600-0000E7070000}"/>
    <hyperlink ref="Q2090" r:id="rId2025" xr:uid="{00000000-0004-0000-0600-0000E8070000}"/>
    <hyperlink ref="Q2091" r:id="rId2026" xr:uid="{00000000-0004-0000-0600-0000E9070000}"/>
    <hyperlink ref="Q2092" r:id="rId2027" xr:uid="{00000000-0004-0000-0600-0000EA070000}"/>
    <hyperlink ref="Q2093" r:id="rId2028" xr:uid="{00000000-0004-0000-0600-0000EB070000}"/>
    <hyperlink ref="Q2094" r:id="rId2029" xr:uid="{00000000-0004-0000-0600-0000EC070000}"/>
    <hyperlink ref="Q2095" r:id="rId2030" xr:uid="{00000000-0004-0000-0600-0000ED070000}"/>
    <hyperlink ref="Q2096" r:id="rId2031" xr:uid="{00000000-0004-0000-0600-0000EE070000}"/>
    <hyperlink ref="Q2097" r:id="rId2032" xr:uid="{00000000-0004-0000-0600-0000EF070000}"/>
    <hyperlink ref="Q2098" r:id="rId2033" xr:uid="{00000000-0004-0000-0600-0000F0070000}"/>
    <hyperlink ref="Q2099" r:id="rId2034" xr:uid="{00000000-0004-0000-0600-0000F1070000}"/>
    <hyperlink ref="Q2100" r:id="rId2035" xr:uid="{00000000-0004-0000-0600-0000F2070000}"/>
    <hyperlink ref="Q2101" r:id="rId2036" xr:uid="{00000000-0004-0000-0600-0000F3070000}"/>
    <hyperlink ref="Q2102" r:id="rId2037" xr:uid="{00000000-0004-0000-0600-0000F4070000}"/>
    <hyperlink ref="Q2103" r:id="rId2038" xr:uid="{00000000-0004-0000-0600-0000F5070000}"/>
    <hyperlink ref="Q2104" r:id="rId2039" xr:uid="{00000000-0004-0000-0600-0000F6070000}"/>
    <hyperlink ref="Q2105" r:id="rId2040" xr:uid="{00000000-0004-0000-0600-0000F7070000}"/>
    <hyperlink ref="Q2106" r:id="rId2041" xr:uid="{00000000-0004-0000-0600-0000F8070000}"/>
    <hyperlink ref="Q2107" r:id="rId2042" xr:uid="{00000000-0004-0000-0600-0000F9070000}"/>
    <hyperlink ref="Q2108" r:id="rId2043" xr:uid="{00000000-0004-0000-0600-0000FA070000}"/>
    <hyperlink ref="Q2109" r:id="rId2044" xr:uid="{00000000-0004-0000-0600-0000FB070000}"/>
    <hyperlink ref="Q2110" r:id="rId2045" xr:uid="{00000000-0004-0000-0600-0000FC070000}"/>
    <hyperlink ref="Q2111" r:id="rId2046" xr:uid="{00000000-0004-0000-0600-0000FD070000}"/>
    <hyperlink ref="Q2112" r:id="rId2047" xr:uid="{00000000-0004-0000-0600-0000FE070000}"/>
    <hyperlink ref="Q2113" r:id="rId2048" xr:uid="{00000000-0004-0000-0600-0000FF070000}"/>
    <hyperlink ref="Q2114" r:id="rId2049" xr:uid="{00000000-0004-0000-0600-000000080000}"/>
    <hyperlink ref="Q2115" r:id="rId2050" xr:uid="{00000000-0004-0000-0600-000001080000}"/>
    <hyperlink ref="Q2116" r:id="rId2051" xr:uid="{00000000-0004-0000-0600-000002080000}"/>
    <hyperlink ref="Q2117" r:id="rId2052" xr:uid="{00000000-0004-0000-0600-000003080000}"/>
    <hyperlink ref="Q2118" r:id="rId2053" xr:uid="{00000000-0004-0000-0600-000004080000}"/>
    <hyperlink ref="Q2119" r:id="rId2054" xr:uid="{00000000-0004-0000-0600-000005080000}"/>
    <hyperlink ref="Q2120" r:id="rId2055" xr:uid="{00000000-0004-0000-0600-000006080000}"/>
    <hyperlink ref="Q2121" r:id="rId2056" xr:uid="{00000000-0004-0000-0600-000007080000}"/>
    <hyperlink ref="Q2122" r:id="rId2057" xr:uid="{00000000-0004-0000-0600-000008080000}"/>
    <hyperlink ref="Q2123" r:id="rId2058" xr:uid="{00000000-0004-0000-0600-000009080000}"/>
    <hyperlink ref="Q2124" r:id="rId2059" xr:uid="{00000000-0004-0000-0600-00000A080000}"/>
    <hyperlink ref="Q2125" r:id="rId2060" xr:uid="{00000000-0004-0000-0600-00000B080000}"/>
    <hyperlink ref="Q2126" r:id="rId2061" xr:uid="{00000000-0004-0000-0600-00000C080000}"/>
    <hyperlink ref="Q2127" r:id="rId2062" xr:uid="{00000000-0004-0000-0600-00000D080000}"/>
    <hyperlink ref="Q2128" r:id="rId2063" xr:uid="{00000000-0004-0000-0600-00000E080000}"/>
    <hyperlink ref="Q2129" r:id="rId2064" xr:uid="{00000000-0004-0000-0600-00000F080000}"/>
    <hyperlink ref="Q2130" r:id="rId2065" xr:uid="{00000000-0004-0000-0600-000010080000}"/>
    <hyperlink ref="Q2131" r:id="rId2066" xr:uid="{00000000-0004-0000-0600-000011080000}"/>
    <hyperlink ref="Q2132" r:id="rId2067" xr:uid="{00000000-0004-0000-0600-000012080000}"/>
    <hyperlink ref="Q2133" r:id="rId2068" xr:uid="{00000000-0004-0000-0600-000013080000}"/>
    <hyperlink ref="Q2134" r:id="rId2069" xr:uid="{00000000-0004-0000-0600-000014080000}"/>
    <hyperlink ref="Q2135" r:id="rId2070" xr:uid="{00000000-0004-0000-0600-000015080000}"/>
    <hyperlink ref="Q2136" r:id="rId2071" xr:uid="{00000000-0004-0000-0600-000016080000}"/>
    <hyperlink ref="Q2137" r:id="rId2072" xr:uid="{00000000-0004-0000-0600-000017080000}"/>
    <hyperlink ref="Q2138" r:id="rId2073" xr:uid="{00000000-0004-0000-0600-000018080000}"/>
    <hyperlink ref="Q2139" r:id="rId2074" xr:uid="{00000000-0004-0000-0600-000019080000}"/>
    <hyperlink ref="Q2140" r:id="rId2075" xr:uid="{00000000-0004-0000-0600-00001A080000}"/>
    <hyperlink ref="Q2141" r:id="rId2076" xr:uid="{00000000-0004-0000-0600-00001B080000}"/>
    <hyperlink ref="Q2142" r:id="rId2077" xr:uid="{00000000-0004-0000-0600-00001C080000}"/>
    <hyperlink ref="Q2143" r:id="rId2078" xr:uid="{00000000-0004-0000-0600-00001D080000}"/>
    <hyperlink ref="Q2144" r:id="rId2079" xr:uid="{00000000-0004-0000-0600-00001E080000}"/>
    <hyperlink ref="Q2145" r:id="rId2080" xr:uid="{00000000-0004-0000-0600-00001F080000}"/>
    <hyperlink ref="Q2146" r:id="rId2081" xr:uid="{00000000-0004-0000-0600-000020080000}"/>
    <hyperlink ref="Q2147" r:id="rId2082" xr:uid="{00000000-0004-0000-0600-000021080000}"/>
    <hyperlink ref="Q2148" r:id="rId2083" xr:uid="{00000000-0004-0000-0600-000022080000}"/>
    <hyperlink ref="Q2149" r:id="rId2084" xr:uid="{00000000-0004-0000-0600-000023080000}"/>
    <hyperlink ref="Q2150" r:id="rId2085" xr:uid="{00000000-0004-0000-0600-000024080000}"/>
    <hyperlink ref="Q2151" r:id="rId2086" xr:uid="{00000000-0004-0000-0600-000025080000}"/>
    <hyperlink ref="Q2152" r:id="rId2087" xr:uid="{00000000-0004-0000-0600-000026080000}"/>
    <hyperlink ref="Q2153" r:id="rId2088" xr:uid="{00000000-0004-0000-0600-000027080000}"/>
    <hyperlink ref="Q2154" r:id="rId2089" xr:uid="{00000000-0004-0000-0600-000028080000}"/>
    <hyperlink ref="Q2155" r:id="rId2090" xr:uid="{00000000-0004-0000-0600-000029080000}"/>
    <hyperlink ref="Q2156" r:id="rId2091" xr:uid="{00000000-0004-0000-0600-00002A080000}"/>
    <hyperlink ref="Q2157" r:id="rId2092" xr:uid="{00000000-0004-0000-0600-00002B080000}"/>
    <hyperlink ref="Q2158" r:id="rId2093" xr:uid="{00000000-0004-0000-0600-00002C080000}"/>
    <hyperlink ref="Q2159" r:id="rId2094" xr:uid="{00000000-0004-0000-0600-00002D080000}"/>
    <hyperlink ref="Q2160" r:id="rId2095" xr:uid="{00000000-0004-0000-0600-00002E080000}"/>
    <hyperlink ref="Q2161" r:id="rId2096" xr:uid="{00000000-0004-0000-0600-00002F080000}"/>
    <hyperlink ref="Q2162" r:id="rId2097" xr:uid="{00000000-0004-0000-0600-000030080000}"/>
    <hyperlink ref="Q2163" r:id="rId2098" xr:uid="{00000000-0004-0000-0600-000031080000}"/>
    <hyperlink ref="Q2164" r:id="rId2099" xr:uid="{00000000-0004-0000-0600-000032080000}"/>
    <hyperlink ref="Q2165" r:id="rId2100" xr:uid="{00000000-0004-0000-0600-000033080000}"/>
    <hyperlink ref="Q2166" r:id="rId2101" xr:uid="{00000000-0004-0000-0600-000034080000}"/>
    <hyperlink ref="Q2167" r:id="rId2102" xr:uid="{00000000-0004-0000-0600-000035080000}"/>
    <hyperlink ref="Q2168" r:id="rId2103" xr:uid="{00000000-0004-0000-0600-000036080000}"/>
    <hyperlink ref="Q2169" r:id="rId2104" xr:uid="{00000000-0004-0000-0600-000037080000}"/>
    <hyperlink ref="Q2170" r:id="rId2105" xr:uid="{00000000-0004-0000-0600-000038080000}"/>
    <hyperlink ref="Q2171" r:id="rId2106" xr:uid="{00000000-0004-0000-0600-000039080000}"/>
    <hyperlink ref="Q2172" r:id="rId2107" xr:uid="{00000000-0004-0000-0600-00003A080000}"/>
    <hyperlink ref="Q2173" r:id="rId2108" xr:uid="{00000000-0004-0000-0600-00003B080000}"/>
    <hyperlink ref="Q2174" r:id="rId2109" xr:uid="{00000000-0004-0000-0600-00003C080000}"/>
    <hyperlink ref="Q2175" r:id="rId2110" xr:uid="{00000000-0004-0000-0600-00003D080000}"/>
    <hyperlink ref="Q2176" r:id="rId2111" xr:uid="{00000000-0004-0000-0600-00003E080000}"/>
    <hyperlink ref="Q2177" r:id="rId2112" xr:uid="{00000000-0004-0000-0600-00003F080000}"/>
    <hyperlink ref="Q2178" r:id="rId2113" xr:uid="{00000000-0004-0000-0600-000040080000}"/>
    <hyperlink ref="Q2179" r:id="rId2114" xr:uid="{00000000-0004-0000-0600-000041080000}"/>
    <hyperlink ref="Q2180" r:id="rId2115" xr:uid="{00000000-0004-0000-0600-000042080000}"/>
    <hyperlink ref="Q2181" r:id="rId2116" xr:uid="{00000000-0004-0000-0600-000043080000}"/>
    <hyperlink ref="Q2182" r:id="rId2117" xr:uid="{00000000-0004-0000-0600-000044080000}"/>
    <hyperlink ref="Q2183" r:id="rId2118" xr:uid="{00000000-0004-0000-0600-000045080000}"/>
    <hyperlink ref="Q2184" r:id="rId2119" xr:uid="{00000000-0004-0000-0600-000046080000}"/>
    <hyperlink ref="Q2185" r:id="rId2120" xr:uid="{00000000-0004-0000-0600-000047080000}"/>
    <hyperlink ref="Q2186" r:id="rId2121" xr:uid="{00000000-0004-0000-0600-000048080000}"/>
    <hyperlink ref="Q2187" r:id="rId2122" xr:uid="{00000000-0004-0000-0600-000049080000}"/>
    <hyperlink ref="Q2188" r:id="rId2123" xr:uid="{00000000-0004-0000-0600-00004A080000}"/>
    <hyperlink ref="Q2189" r:id="rId2124" xr:uid="{00000000-0004-0000-0600-00004B080000}"/>
    <hyperlink ref="Q2190" r:id="rId2125" xr:uid="{00000000-0004-0000-0600-00004C080000}"/>
    <hyperlink ref="Q2191" r:id="rId2126" xr:uid="{00000000-0004-0000-0600-00004D080000}"/>
    <hyperlink ref="Q2192" r:id="rId2127" xr:uid="{00000000-0004-0000-0600-00004E080000}"/>
    <hyperlink ref="Q2193" r:id="rId2128" xr:uid="{00000000-0004-0000-0600-00004F080000}"/>
    <hyperlink ref="Q2194" r:id="rId2129" xr:uid="{00000000-0004-0000-0600-000050080000}"/>
    <hyperlink ref="Q2195" r:id="rId2130" xr:uid="{00000000-0004-0000-0600-000051080000}"/>
    <hyperlink ref="Q2196" r:id="rId2131" xr:uid="{00000000-0004-0000-0600-000052080000}"/>
    <hyperlink ref="Q2197" r:id="rId2132" xr:uid="{00000000-0004-0000-0600-000053080000}"/>
    <hyperlink ref="Q2198" r:id="rId2133" xr:uid="{00000000-0004-0000-0600-000054080000}"/>
    <hyperlink ref="Q2199" r:id="rId2134" xr:uid="{00000000-0004-0000-0600-000055080000}"/>
    <hyperlink ref="Q2200" r:id="rId2135" xr:uid="{00000000-0004-0000-0600-000056080000}"/>
    <hyperlink ref="Q2201" r:id="rId2136" xr:uid="{00000000-0004-0000-0600-000057080000}"/>
    <hyperlink ref="Q2202" r:id="rId2137" xr:uid="{00000000-0004-0000-0600-000058080000}"/>
    <hyperlink ref="Q2203" r:id="rId2138" xr:uid="{00000000-0004-0000-0600-000059080000}"/>
    <hyperlink ref="Q2204" r:id="rId2139" xr:uid="{00000000-0004-0000-0600-00005A080000}"/>
    <hyperlink ref="Q2205" r:id="rId2140" xr:uid="{00000000-0004-0000-0600-00005B080000}"/>
    <hyperlink ref="Q2206" r:id="rId2141" xr:uid="{00000000-0004-0000-0600-00005C080000}"/>
    <hyperlink ref="Q2207" r:id="rId2142" xr:uid="{00000000-0004-0000-0600-00005D080000}"/>
    <hyperlink ref="Q2208" r:id="rId2143" xr:uid="{00000000-0004-0000-0600-00005E080000}"/>
    <hyperlink ref="Q2209" r:id="rId2144" xr:uid="{00000000-0004-0000-0600-00005F080000}"/>
    <hyperlink ref="Q2210" r:id="rId2145" xr:uid="{00000000-0004-0000-0600-000060080000}"/>
    <hyperlink ref="Q2211" r:id="rId2146" xr:uid="{00000000-0004-0000-0600-000061080000}"/>
    <hyperlink ref="Q2212" r:id="rId2147" xr:uid="{00000000-0004-0000-0600-000062080000}"/>
    <hyperlink ref="Q2213" r:id="rId2148" xr:uid="{00000000-0004-0000-0600-000063080000}"/>
    <hyperlink ref="Q2214" r:id="rId2149" xr:uid="{00000000-0004-0000-0600-000064080000}"/>
    <hyperlink ref="Q2215" r:id="rId2150" xr:uid="{00000000-0004-0000-0600-000065080000}"/>
    <hyperlink ref="Q2216" r:id="rId2151" xr:uid="{00000000-0004-0000-0600-000066080000}"/>
    <hyperlink ref="Q2217" r:id="rId2152" xr:uid="{00000000-0004-0000-0600-000067080000}"/>
    <hyperlink ref="Q2218" r:id="rId2153" xr:uid="{00000000-0004-0000-0600-000068080000}"/>
    <hyperlink ref="Q2219" r:id="rId2154" xr:uid="{00000000-0004-0000-0600-000069080000}"/>
    <hyperlink ref="Q2220" r:id="rId2155" xr:uid="{00000000-0004-0000-0600-00006A080000}"/>
    <hyperlink ref="Q2221" r:id="rId2156" xr:uid="{00000000-0004-0000-0600-00006B080000}"/>
    <hyperlink ref="Q2222" r:id="rId2157" xr:uid="{00000000-0004-0000-0600-00006C080000}"/>
    <hyperlink ref="Q2223" r:id="rId2158" xr:uid="{00000000-0004-0000-0600-00006D080000}"/>
    <hyperlink ref="Q2224" r:id="rId2159" xr:uid="{00000000-0004-0000-0600-00006E080000}"/>
    <hyperlink ref="Q2225" r:id="rId2160" xr:uid="{00000000-0004-0000-0600-00006F080000}"/>
    <hyperlink ref="Q2226" r:id="rId2161" xr:uid="{00000000-0004-0000-0600-000070080000}"/>
    <hyperlink ref="Q2227" r:id="rId2162" xr:uid="{00000000-0004-0000-0600-000071080000}"/>
    <hyperlink ref="Q2228" r:id="rId2163" xr:uid="{00000000-0004-0000-0600-000072080000}"/>
    <hyperlink ref="Q2229" r:id="rId2164" xr:uid="{00000000-0004-0000-0600-000073080000}"/>
    <hyperlink ref="Q2230" r:id="rId2165" xr:uid="{00000000-0004-0000-0600-000074080000}"/>
    <hyperlink ref="Q2231" r:id="rId2166" xr:uid="{00000000-0004-0000-0600-000075080000}"/>
    <hyperlink ref="Q2232" r:id="rId2167" xr:uid="{00000000-0004-0000-0600-000076080000}"/>
    <hyperlink ref="Q2233" r:id="rId2168" xr:uid="{00000000-0004-0000-0600-000077080000}"/>
    <hyperlink ref="Q2234" r:id="rId2169" xr:uid="{00000000-0004-0000-0600-000078080000}"/>
    <hyperlink ref="Q2235" r:id="rId2170" xr:uid="{00000000-0004-0000-0600-000079080000}"/>
    <hyperlink ref="Q2236" r:id="rId2171" xr:uid="{00000000-0004-0000-0600-00007A080000}"/>
    <hyperlink ref="Q2237" r:id="rId2172" xr:uid="{00000000-0004-0000-0600-00007B080000}"/>
    <hyperlink ref="Q2238" r:id="rId2173" xr:uid="{00000000-0004-0000-0600-00007C080000}"/>
    <hyperlink ref="Q2239" r:id="rId2174" xr:uid="{00000000-0004-0000-0600-00007D080000}"/>
    <hyperlink ref="Q2240" r:id="rId2175" xr:uid="{00000000-0004-0000-0600-00007E080000}"/>
    <hyperlink ref="Q2241" r:id="rId2176" xr:uid="{00000000-0004-0000-0600-00007F080000}"/>
    <hyperlink ref="Q2242" r:id="rId2177" xr:uid="{00000000-0004-0000-0600-000080080000}"/>
    <hyperlink ref="Q2243" r:id="rId2178" xr:uid="{00000000-0004-0000-0600-000081080000}"/>
    <hyperlink ref="Q2244" r:id="rId2179" xr:uid="{00000000-0004-0000-0600-000082080000}"/>
    <hyperlink ref="Q2245" r:id="rId2180" xr:uid="{00000000-0004-0000-0600-000083080000}"/>
    <hyperlink ref="Q2246" r:id="rId2181" xr:uid="{00000000-0004-0000-0600-000084080000}"/>
    <hyperlink ref="Q2247" r:id="rId2182" xr:uid="{00000000-0004-0000-0600-000085080000}"/>
    <hyperlink ref="Q2248" r:id="rId2183" xr:uid="{00000000-0004-0000-0600-000086080000}"/>
    <hyperlink ref="Q2249" r:id="rId2184" xr:uid="{00000000-0004-0000-0600-000087080000}"/>
    <hyperlink ref="Q2250" r:id="rId2185" xr:uid="{00000000-0004-0000-0600-000088080000}"/>
    <hyperlink ref="Q2251" r:id="rId2186" xr:uid="{00000000-0004-0000-0600-000089080000}"/>
    <hyperlink ref="Q2252" r:id="rId2187" xr:uid="{00000000-0004-0000-0600-00008A080000}"/>
    <hyperlink ref="Q2253" r:id="rId2188" xr:uid="{00000000-0004-0000-0600-00008B08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2343"/>
  <sheetViews>
    <sheetView workbookViewId="0">
      <pane ySplit="1" topLeftCell="A2" activePane="bottomLeft" state="frozen"/>
      <selection pane="bottomLeft" activeCell="B3" sqref="B3"/>
    </sheetView>
  </sheetViews>
  <sheetFormatPr defaultColWidth="12.5703125" defaultRowHeight="15.75" customHeight="1" x14ac:dyDescent="0.2"/>
  <cols>
    <col min="1" max="1" width="100.85546875" customWidth="1"/>
    <col min="2" max="2" width="46.7109375" customWidth="1"/>
    <col min="11" max="11" width="22.85546875" customWidth="1"/>
    <col min="20" max="20" width="16.140625" customWidth="1"/>
  </cols>
  <sheetData>
    <row r="1" spans="1:27" ht="55.5" customHeight="1" x14ac:dyDescent="0.2">
      <c r="A1" s="30" t="s">
        <v>2</v>
      </c>
      <c r="B1" s="30" t="s">
        <v>1</v>
      </c>
      <c r="C1" s="30" t="s">
        <v>0</v>
      </c>
      <c r="D1" s="30" t="s">
        <v>3</v>
      </c>
      <c r="E1" s="30" t="s">
        <v>4</v>
      </c>
      <c r="F1" s="30" t="s">
        <v>5</v>
      </c>
      <c r="G1" s="30" t="s">
        <v>6</v>
      </c>
      <c r="H1" s="30" t="s">
        <v>7</v>
      </c>
      <c r="I1" s="30" t="s">
        <v>12683</v>
      </c>
      <c r="J1" s="30" t="s">
        <v>8</v>
      </c>
      <c r="K1" s="31" t="s">
        <v>132</v>
      </c>
      <c r="L1" s="31" t="s">
        <v>12684</v>
      </c>
      <c r="M1" s="30" t="s">
        <v>9</v>
      </c>
      <c r="N1" s="30" t="s">
        <v>10</v>
      </c>
      <c r="O1" s="30" t="s">
        <v>11</v>
      </c>
      <c r="P1" s="30" t="s">
        <v>12</v>
      </c>
      <c r="Q1" s="31" t="s">
        <v>12685</v>
      </c>
      <c r="R1" s="31" t="s">
        <v>12686</v>
      </c>
      <c r="S1" s="31" t="s">
        <v>6109</v>
      </c>
      <c r="T1" s="31" t="s">
        <v>12687</v>
      </c>
      <c r="U1" s="32"/>
      <c r="V1" s="32"/>
      <c r="W1" s="32"/>
      <c r="X1" s="32"/>
      <c r="Y1" s="32"/>
      <c r="Z1" s="32"/>
      <c r="AA1" s="32"/>
    </row>
    <row r="2" spans="1:27" x14ac:dyDescent="0.25">
      <c r="A2" s="33" t="s">
        <v>8305</v>
      </c>
      <c r="B2" s="33" t="s">
        <v>8304</v>
      </c>
      <c r="C2" s="33" t="s">
        <v>13</v>
      </c>
      <c r="D2" s="33" t="s">
        <v>4637</v>
      </c>
      <c r="E2" s="33">
        <v>2021</v>
      </c>
      <c r="F2" s="33">
        <v>38</v>
      </c>
      <c r="G2" s="33">
        <v>6</v>
      </c>
      <c r="H2" s="33" t="s">
        <v>8306</v>
      </c>
      <c r="I2" s="34"/>
      <c r="J2" s="35">
        <v>44501</v>
      </c>
      <c r="K2" s="34"/>
      <c r="L2" s="36"/>
      <c r="M2" s="33" t="s">
        <v>6207</v>
      </c>
      <c r="N2" s="37" t="s">
        <v>8307</v>
      </c>
      <c r="O2" s="33" t="s">
        <v>8308</v>
      </c>
      <c r="P2" s="33" t="s">
        <v>8309</v>
      </c>
      <c r="Q2" s="36"/>
      <c r="R2" s="36"/>
      <c r="S2" s="33" t="s">
        <v>8310</v>
      </c>
      <c r="T2" s="38" t="s">
        <v>12688</v>
      </c>
    </row>
    <row r="3" spans="1:27" x14ac:dyDescent="0.25">
      <c r="A3" s="39" t="s">
        <v>10839</v>
      </c>
      <c r="B3" s="39" t="s">
        <v>10841</v>
      </c>
      <c r="C3" s="39" t="s">
        <v>539</v>
      </c>
      <c r="D3" s="36"/>
      <c r="E3" s="39">
        <v>2018</v>
      </c>
      <c r="F3" s="40"/>
      <c r="G3" s="40"/>
      <c r="H3" s="36"/>
      <c r="I3" s="39" t="s">
        <v>10544</v>
      </c>
      <c r="J3" s="36"/>
      <c r="K3" s="36"/>
      <c r="L3" s="36"/>
      <c r="M3" s="34"/>
      <c r="N3" s="41" t="s">
        <v>10842</v>
      </c>
      <c r="O3" s="39" t="s">
        <v>10840</v>
      </c>
      <c r="P3" s="33"/>
      <c r="Q3" s="36"/>
      <c r="R3" s="34"/>
      <c r="S3" s="38"/>
      <c r="T3" s="38" t="s">
        <v>12689</v>
      </c>
    </row>
    <row r="4" spans="1:27" x14ac:dyDescent="0.25">
      <c r="A4" s="39" t="s">
        <v>10545</v>
      </c>
      <c r="B4" s="39" t="s">
        <v>10547</v>
      </c>
      <c r="C4" s="39" t="s">
        <v>539</v>
      </c>
      <c r="D4" s="36"/>
      <c r="E4" s="39">
        <v>2020</v>
      </c>
      <c r="F4" s="40"/>
      <c r="G4" s="40"/>
      <c r="H4" s="36"/>
      <c r="I4" s="39" t="s">
        <v>10544</v>
      </c>
      <c r="J4" s="36"/>
      <c r="K4" s="36"/>
      <c r="L4" s="36"/>
      <c r="M4" s="34"/>
      <c r="N4" s="41" t="s">
        <v>10548</v>
      </c>
      <c r="O4" s="39" t="s">
        <v>10546</v>
      </c>
      <c r="P4" s="33"/>
      <c r="Q4" s="36"/>
      <c r="R4" s="34"/>
      <c r="S4" s="38"/>
      <c r="T4" s="38" t="s">
        <v>12689</v>
      </c>
    </row>
    <row r="5" spans="1:27" x14ac:dyDescent="0.25">
      <c r="A5" s="33" t="s">
        <v>8349</v>
      </c>
      <c r="B5" s="34"/>
      <c r="C5" s="33" t="s">
        <v>13</v>
      </c>
      <c r="D5" s="33" t="s">
        <v>255</v>
      </c>
      <c r="E5" s="33">
        <v>2020</v>
      </c>
      <c r="F5" s="33">
        <v>46</v>
      </c>
      <c r="G5" s="33">
        <v>1</v>
      </c>
      <c r="H5" s="42">
        <v>44935</v>
      </c>
      <c r="I5" s="34"/>
      <c r="J5" s="43">
        <v>43831</v>
      </c>
      <c r="K5" s="34"/>
      <c r="L5" s="36"/>
      <c r="M5" s="33" t="s">
        <v>6115</v>
      </c>
      <c r="N5" s="37" t="s">
        <v>8350</v>
      </c>
      <c r="O5" s="33" t="s">
        <v>8351</v>
      </c>
      <c r="P5" s="33" t="s">
        <v>8352</v>
      </c>
      <c r="Q5" s="36"/>
      <c r="R5" s="34"/>
      <c r="S5" s="38"/>
      <c r="T5" s="38" t="s">
        <v>12688</v>
      </c>
    </row>
    <row r="6" spans="1:27" x14ac:dyDescent="0.25">
      <c r="A6" s="33" t="s">
        <v>8400</v>
      </c>
      <c r="B6" s="34"/>
      <c r="C6" s="33" t="s">
        <v>141</v>
      </c>
      <c r="D6" s="34"/>
      <c r="E6" s="33">
        <v>2019</v>
      </c>
      <c r="F6" s="34"/>
      <c r="G6" s="34"/>
      <c r="H6" s="42">
        <v>44939</v>
      </c>
      <c r="I6" s="33" t="s">
        <v>8400</v>
      </c>
      <c r="J6" s="43">
        <v>43617</v>
      </c>
      <c r="K6" s="36"/>
      <c r="L6" s="36"/>
      <c r="M6" s="34"/>
      <c r="N6" s="37" t="s">
        <v>8401</v>
      </c>
      <c r="O6" s="33" t="s">
        <v>8402</v>
      </c>
      <c r="P6" s="33" t="s">
        <v>8403</v>
      </c>
      <c r="Q6" s="36"/>
      <c r="R6" s="34"/>
      <c r="S6" s="38"/>
      <c r="T6" s="38" t="s">
        <v>12688</v>
      </c>
    </row>
    <row r="7" spans="1:27" x14ac:dyDescent="0.25">
      <c r="A7" s="33" t="s">
        <v>4936</v>
      </c>
      <c r="B7" s="34"/>
      <c r="C7" s="33" t="s">
        <v>13</v>
      </c>
      <c r="D7" s="33" t="s">
        <v>209</v>
      </c>
      <c r="E7" s="33">
        <v>2019</v>
      </c>
      <c r="F7" s="33" t="s">
        <v>4937</v>
      </c>
      <c r="G7" s="34"/>
      <c r="H7" s="34"/>
      <c r="I7" s="33" t="s">
        <v>137</v>
      </c>
      <c r="J7" s="33">
        <v>2019</v>
      </c>
      <c r="K7" s="34"/>
      <c r="L7" s="34"/>
      <c r="M7" s="33" t="s">
        <v>213</v>
      </c>
      <c r="N7" s="37" t="s">
        <v>4938</v>
      </c>
      <c r="O7" s="34"/>
      <c r="P7" s="33" t="s">
        <v>4939</v>
      </c>
      <c r="Q7" s="33" t="s">
        <v>157</v>
      </c>
      <c r="R7" s="34"/>
      <c r="S7" s="38"/>
      <c r="T7" s="38" t="s">
        <v>12690</v>
      </c>
    </row>
    <row r="8" spans="1:27" x14ac:dyDescent="0.25">
      <c r="A8" s="39" t="s">
        <v>10641</v>
      </c>
      <c r="B8" s="39" t="s">
        <v>10643</v>
      </c>
      <c r="C8" s="39" t="s">
        <v>539</v>
      </c>
      <c r="D8" s="36"/>
      <c r="E8" s="39">
        <v>2022</v>
      </c>
      <c r="F8" s="40"/>
      <c r="G8" s="40"/>
      <c r="H8" s="36"/>
      <c r="I8" s="39" t="s">
        <v>10544</v>
      </c>
      <c r="J8" s="36"/>
      <c r="K8" s="36"/>
      <c r="L8" s="36"/>
      <c r="M8" s="34"/>
      <c r="N8" s="41" t="s">
        <v>10644</v>
      </c>
      <c r="O8" s="39" t="s">
        <v>10642</v>
      </c>
      <c r="P8" s="33"/>
      <c r="Q8" s="36"/>
      <c r="R8" s="34"/>
      <c r="S8" s="38"/>
      <c r="T8" s="38" t="s">
        <v>12689</v>
      </c>
    </row>
    <row r="9" spans="1:27" x14ac:dyDescent="0.25">
      <c r="A9" s="33" t="s">
        <v>2684</v>
      </c>
      <c r="B9" s="34"/>
      <c r="C9" s="33" t="s">
        <v>13</v>
      </c>
      <c r="D9" s="33" t="s">
        <v>1870</v>
      </c>
      <c r="E9" s="33">
        <v>2021</v>
      </c>
      <c r="F9" s="33">
        <v>417</v>
      </c>
      <c r="G9" s="34"/>
      <c r="H9" s="34"/>
      <c r="I9" s="33" t="s">
        <v>212</v>
      </c>
      <c r="J9" s="33">
        <v>2021</v>
      </c>
      <c r="K9" s="34"/>
      <c r="L9" s="34"/>
      <c r="M9" s="33" t="s">
        <v>1873</v>
      </c>
      <c r="N9" s="37" t="s">
        <v>2685</v>
      </c>
      <c r="O9" s="34"/>
      <c r="P9" s="33" t="s">
        <v>2686</v>
      </c>
      <c r="Q9" s="33" t="s">
        <v>157</v>
      </c>
      <c r="R9" s="34"/>
      <c r="S9" s="38"/>
      <c r="T9" s="38" t="s">
        <v>12690</v>
      </c>
    </row>
    <row r="10" spans="1:27" x14ac:dyDescent="0.25">
      <c r="A10" s="33" t="s">
        <v>3786</v>
      </c>
      <c r="B10" s="34"/>
      <c r="C10" s="33" t="s">
        <v>13</v>
      </c>
      <c r="D10" s="33" t="s">
        <v>209</v>
      </c>
      <c r="E10" s="33">
        <v>2021</v>
      </c>
      <c r="F10" s="33" t="s">
        <v>3787</v>
      </c>
      <c r="G10" s="34"/>
      <c r="H10" s="34"/>
      <c r="I10" s="33" t="s">
        <v>212</v>
      </c>
      <c r="J10" s="33">
        <v>2021</v>
      </c>
      <c r="K10" s="34"/>
      <c r="L10" s="34"/>
      <c r="M10" s="33" t="s">
        <v>213</v>
      </c>
      <c r="N10" s="37" t="s">
        <v>3788</v>
      </c>
      <c r="O10" s="34"/>
      <c r="P10" s="33" t="s">
        <v>3789</v>
      </c>
      <c r="Q10" s="33" t="s">
        <v>157</v>
      </c>
      <c r="R10" s="34"/>
      <c r="S10" s="38"/>
      <c r="T10" s="38" t="s">
        <v>12690</v>
      </c>
    </row>
    <row r="11" spans="1:27" x14ac:dyDescent="0.25">
      <c r="A11" s="33" t="s">
        <v>11111</v>
      </c>
      <c r="B11" s="33" t="s">
        <v>11110</v>
      </c>
      <c r="C11" s="33" t="s">
        <v>141</v>
      </c>
      <c r="D11" s="34"/>
      <c r="E11" s="33">
        <v>2022</v>
      </c>
      <c r="F11" s="34"/>
      <c r="G11" s="34"/>
      <c r="H11" s="33" t="s">
        <v>11112</v>
      </c>
      <c r="I11" s="44" t="s">
        <v>12691</v>
      </c>
      <c r="J11" s="33">
        <v>2022</v>
      </c>
      <c r="K11" s="33">
        <v>9781450394130</v>
      </c>
      <c r="L11" s="33" t="s">
        <v>11118</v>
      </c>
      <c r="M11" s="34"/>
      <c r="N11" s="37" t="s">
        <v>11115</v>
      </c>
      <c r="O11" s="33" t="s">
        <v>566</v>
      </c>
      <c r="P11" s="33" t="s">
        <v>11116</v>
      </c>
      <c r="Q11" s="36"/>
      <c r="R11" s="36"/>
      <c r="S11" s="33" t="s">
        <v>11117</v>
      </c>
      <c r="T11" s="33" t="s">
        <v>12692</v>
      </c>
    </row>
    <row r="12" spans="1:27" x14ac:dyDescent="0.25">
      <c r="A12" s="33" t="s">
        <v>11111</v>
      </c>
      <c r="B12" s="33" t="s">
        <v>562</v>
      </c>
      <c r="C12" s="33" t="s">
        <v>141</v>
      </c>
      <c r="D12" s="34"/>
      <c r="E12" s="33">
        <v>2022</v>
      </c>
      <c r="F12" s="34"/>
      <c r="G12" s="34"/>
      <c r="H12" s="33" t="s">
        <v>564</v>
      </c>
      <c r="I12" s="33" t="s">
        <v>153</v>
      </c>
      <c r="J12" s="33">
        <v>2022</v>
      </c>
      <c r="K12" s="33">
        <v>9781450394130</v>
      </c>
      <c r="L12" s="34"/>
      <c r="M12" s="34"/>
      <c r="N12" s="37" t="s">
        <v>565</v>
      </c>
      <c r="O12" s="33" t="s">
        <v>566</v>
      </c>
      <c r="P12" s="33" t="s">
        <v>567</v>
      </c>
      <c r="Q12" s="33" t="s">
        <v>568</v>
      </c>
      <c r="R12" s="34"/>
      <c r="S12" s="38"/>
      <c r="T12" s="38" t="s">
        <v>12690</v>
      </c>
    </row>
    <row r="13" spans="1:27" x14ac:dyDescent="0.25">
      <c r="A13" s="33" t="s">
        <v>1054</v>
      </c>
      <c r="B13" s="34"/>
      <c r="C13" s="33" t="s">
        <v>13</v>
      </c>
      <c r="D13" s="33" t="s">
        <v>209</v>
      </c>
      <c r="E13" s="33">
        <v>2022</v>
      </c>
      <c r="F13" s="33" t="s">
        <v>1014</v>
      </c>
      <c r="G13" s="34"/>
      <c r="H13" s="34"/>
      <c r="I13" s="33" t="s">
        <v>212</v>
      </c>
      <c r="J13" s="33">
        <v>2022</v>
      </c>
      <c r="K13" s="34"/>
      <c r="L13" s="34"/>
      <c r="M13" s="33" t="s">
        <v>213</v>
      </c>
      <c r="N13" s="37" t="s">
        <v>1055</v>
      </c>
      <c r="O13" s="34"/>
      <c r="P13" s="33" t="s">
        <v>1056</v>
      </c>
      <c r="Q13" s="33" t="s">
        <v>157</v>
      </c>
      <c r="R13" s="34"/>
      <c r="S13" s="38"/>
      <c r="T13" s="38" t="s">
        <v>12690</v>
      </c>
    </row>
    <row r="14" spans="1:27" x14ac:dyDescent="0.25">
      <c r="A14" s="33" t="s">
        <v>5983</v>
      </c>
      <c r="B14" s="33" t="s">
        <v>5982</v>
      </c>
      <c r="C14" s="33" t="s">
        <v>13</v>
      </c>
      <c r="D14" s="33" t="s">
        <v>2974</v>
      </c>
      <c r="E14" s="33">
        <v>2016</v>
      </c>
      <c r="F14" s="33">
        <v>472</v>
      </c>
      <c r="G14" s="34"/>
      <c r="H14" s="33" t="s">
        <v>5984</v>
      </c>
      <c r="I14" s="33" t="s">
        <v>3998</v>
      </c>
      <c r="J14" s="33">
        <v>2016</v>
      </c>
      <c r="K14" s="34"/>
      <c r="L14" s="34"/>
      <c r="M14" s="33" t="s">
        <v>2976</v>
      </c>
      <c r="N14" s="37" t="s">
        <v>5985</v>
      </c>
      <c r="O14" s="33" t="s">
        <v>5986</v>
      </c>
      <c r="P14" s="33" t="s">
        <v>5987</v>
      </c>
      <c r="Q14" s="33" t="s">
        <v>818</v>
      </c>
      <c r="R14" s="34"/>
      <c r="S14" s="38"/>
      <c r="T14" s="38" t="s">
        <v>12690</v>
      </c>
    </row>
    <row r="15" spans="1:27" x14ac:dyDescent="0.25">
      <c r="A15" s="33" t="s">
        <v>10749</v>
      </c>
      <c r="B15" s="39" t="s">
        <v>10751</v>
      </c>
      <c r="C15" s="39" t="s">
        <v>9539</v>
      </c>
      <c r="D15" s="36"/>
      <c r="E15" s="39">
        <v>2019</v>
      </c>
      <c r="F15" s="40"/>
      <c r="G15" s="40"/>
      <c r="H15" s="36"/>
      <c r="I15" s="39" t="s">
        <v>10748</v>
      </c>
      <c r="J15" s="36"/>
      <c r="K15" s="36"/>
      <c r="L15" s="36"/>
      <c r="M15" s="34"/>
      <c r="N15" s="41" t="s">
        <v>10752</v>
      </c>
      <c r="O15" s="39" t="s">
        <v>10750</v>
      </c>
      <c r="P15" s="33"/>
      <c r="Q15" s="36"/>
      <c r="R15" s="34"/>
      <c r="S15" s="38"/>
      <c r="T15" s="38" t="s">
        <v>12689</v>
      </c>
    </row>
    <row r="16" spans="1:27" x14ac:dyDescent="0.25">
      <c r="A16" s="33" t="s">
        <v>8582</v>
      </c>
      <c r="B16" s="33" t="s">
        <v>8581</v>
      </c>
      <c r="C16" s="33" t="s">
        <v>13</v>
      </c>
      <c r="D16" s="33" t="s">
        <v>354</v>
      </c>
      <c r="E16" s="33">
        <v>2019</v>
      </c>
      <c r="F16" s="33">
        <v>147</v>
      </c>
      <c r="G16" s="36"/>
      <c r="H16" s="33" t="s">
        <v>8583</v>
      </c>
      <c r="I16" s="36"/>
      <c r="J16" s="33">
        <v>2019</v>
      </c>
      <c r="K16" s="34"/>
      <c r="L16" s="34"/>
      <c r="M16" s="33" t="s">
        <v>65</v>
      </c>
      <c r="N16" s="37" t="s">
        <v>8584</v>
      </c>
      <c r="O16" s="33" t="s">
        <v>8585</v>
      </c>
      <c r="P16" s="33" t="s">
        <v>8586</v>
      </c>
      <c r="Q16" s="36"/>
      <c r="R16" s="36"/>
      <c r="S16" s="33" t="s">
        <v>8587</v>
      </c>
      <c r="T16" s="38" t="s">
        <v>12693</v>
      </c>
    </row>
    <row r="17" spans="1:20" x14ac:dyDescent="0.25">
      <c r="A17" s="33" t="s">
        <v>8631</v>
      </c>
      <c r="B17" s="33" t="s">
        <v>8630</v>
      </c>
      <c r="C17" s="33" t="s">
        <v>13</v>
      </c>
      <c r="D17" s="33" t="s">
        <v>354</v>
      </c>
      <c r="E17" s="33">
        <v>2021</v>
      </c>
      <c r="F17" s="33">
        <v>180</v>
      </c>
      <c r="G17" s="36"/>
      <c r="H17" s="33">
        <v>111029</v>
      </c>
      <c r="I17" s="36"/>
      <c r="J17" s="33">
        <v>2021</v>
      </c>
      <c r="K17" s="34"/>
      <c r="L17" s="34"/>
      <c r="M17" s="33" t="s">
        <v>65</v>
      </c>
      <c r="N17" s="37" t="s">
        <v>8632</v>
      </c>
      <c r="O17" s="33" t="s">
        <v>8633</v>
      </c>
      <c r="P17" s="33" t="s">
        <v>8634</v>
      </c>
      <c r="Q17" s="36"/>
      <c r="R17" s="36"/>
      <c r="S17" s="33" t="s">
        <v>8635</v>
      </c>
      <c r="T17" s="38" t="s">
        <v>12693</v>
      </c>
    </row>
    <row r="18" spans="1:20" x14ac:dyDescent="0.25">
      <c r="A18" s="33" t="s">
        <v>7781</v>
      </c>
      <c r="B18" s="33" t="s">
        <v>7780</v>
      </c>
      <c r="C18" s="33" t="s">
        <v>141</v>
      </c>
      <c r="D18" s="34"/>
      <c r="E18" s="33">
        <v>2020</v>
      </c>
      <c r="F18" s="34"/>
      <c r="G18" s="34"/>
      <c r="H18" s="42">
        <v>44938</v>
      </c>
      <c r="I18" s="33" t="s">
        <v>7782</v>
      </c>
      <c r="J18" s="43">
        <v>43891</v>
      </c>
      <c r="K18" s="36"/>
      <c r="L18" s="36"/>
      <c r="M18" s="33" t="s">
        <v>2902</v>
      </c>
      <c r="N18" s="37" t="s">
        <v>7783</v>
      </c>
      <c r="O18" s="33" t="s">
        <v>7784</v>
      </c>
      <c r="P18" s="33" t="s">
        <v>7785</v>
      </c>
      <c r="Q18" s="36"/>
      <c r="R18" s="36"/>
      <c r="S18" s="33" t="s">
        <v>7786</v>
      </c>
      <c r="T18" s="38" t="s">
        <v>12688</v>
      </c>
    </row>
    <row r="19" spans="1:20" x14ac:dyDescent="0.25">
      <c r="A19" s="33" t="s">
        <v>11901</v>
      </c>
      <c r="B19" s="33" t="s">
        <v>11900</v>
      </c>
      <c r="C19" s="33" t="s">
        <v>141</v>
      </c>
      <c r="D19" s="34"/>
      <c r="E19" s="33">
        <v>2022</v>
      </c>
      <c r="F19" s="34"/>
      <c r="G19" s="34"/>
      <c r="H19" s="34"/>
      <c r="I19" s="44" t="s">
        <v>12694</v>
      </c>
      <c r="J19" s="33">
        <v>2022</v>
      </c>
      <c r="K19" s="33">
        <v>9781450396189</v>
      </c>
      <c r="L19" s="33" t="s">
        <v>11908</v>
      </c>
      <c r="M19" s="34"/>
      <c r="N19" s="37" t="s">
        <v>11904</v>
      </c>
      <c r="O19" s="33" t="s">
        <v>11905</v>
      </c>
      <c r="P19" s="33" t="s">
        <v>11906</v>
      </c>
      <c r="Q19" s="36"/>
      <c r="R19" s="36"/>
      <c r="S19" s="33" t="s">
        <v>11907</v>
      </c>
      <c r="T19" s="33" t="s">
        <v>12692</v>
      </c>
    </row>
    <row r="20" spans="1:20" x14ac:dyDescent="0.25">
      <c r="A20" s="33" t="s">
        <v>1299</v>
      </c>
      <c r="B20" s="33" t="s">
        <v>1298</v>
      </c>
      <c r="C20" s="33" t="s">
        <v>141</v>
      </c>
      <c r="D20" s="34"/>
      <c r="E20" s="33">
        <v>2022</v>
      </c>
      <c r="F20" s="34"/>
      <c r="G20" s="34"/>
      <c r="H20" s="33" t="s">
        <v>1300</v>
      </c>
      <c r="I20" s="33" t="s">
        <v>145</v>
      </c>
      <c r="J20" s="33">
        <v>2022</v>
      </c>
      <c r="K20" s="33">
        <v>9781450397353</v>
      </c>
      <c r="L20" s="34"/>
      <c r="M20" s="34"/>
      <c r="N20" s="37" t="s">
        <v>1301</v>
      </c>
      <c r="O20" s="33" t="s">
        <v>1302</v>
      </c>
      <c r="P20" s="33" t="s">
        <v>1303</v>
      </c>
      <c r="Q20" s="33" t="s">
        <v>157</v>
      </c>
      <c r="R20" s="34"/>
      <c r="S20" s="38"/>
      <c r="T20" s="38" t="s">
        <v>12690</v>
      </c>
    </row>
    <row r="21" spans="1:20" x14ac:dyDescent="0.25">
      <c r="A21" s="33" t="s">
        <v>11542</v>
      </c>
      <c r="B21" s="33" t="s">
        <v>11541</v>
      </c>
      <c r="C21" s="33" t="s">
        <v>141</v>
      </c>
      <c r="D21" s="34"/>
      <c r="E21" s="33">
        <v>2022</v>
      </c>
      <c r="F21" s="34"/>
      <c r="G21" s="34"/>
      <c r="H21" s="33" t="s">
        <v>11543</v>
      </c>
      <c r="I21" s="44" t="s">
        <v>12695</v>
      </c>
      <c r="J21" s="33">
        <v>2022</v>
      </c>
      <c r="K21" s="33">
        <v>9781450387132</v>
      </c>
      <c r="L21" s="33" t="s">
        <v>11549</v>
      </c>
      <c r="M21" s="34"/>
      <c r="N21" s="37" t="s">
        <v>11545</v>
      </c>
      <c r="O21" s="33" t="s">
        <v>11546</v>
      </c>
      <c r="P21" s="33" t="s">
        <v>11547</v>
      </c>
      <c r="Q21" s="36"/>
      <c r="R21" s="36"/>
      <c r="S21" s="33" t="s">
        <v>11548</v>
      </c>
      <c r="T21" s="33" t="s">
        <v>12692</v>
      </c>
    </row>
    <row r="22" spans="1:20" x14ac:dyDescent="0.25">
      <c r="A22" s="33" t="s">
        <v>4670</v>
      </c>
      <c r="B22" s="33" t="s">
        <v>4669</v>
      </c>
      <c r="C22" s="33" t="s">
        <v>13</v>
      </c>
      <c r="D22" s="33" t="s">
        <v>668</v>
      </c>
      <c r="E22" s="33">
        <v>2020</v>
      </c>
      <c r="F22" s="33">
        <v>8</v>
      </c>
      <c r="G22" s="34"/>
      <c r="H22" s="33" t="s">
        <v>4671</v>
      </c>
      <c r="I22" s="33" t="s">
        <v>257</v>
      </c>
      <c r="J22" s="33">
        <v>2020</v>
      </c>
      <c r="K22" s="34"/>
      <c r="L22" s="34"/>
      <c r="M22" s="33" t="s">
        <v>670</v>
      </c>
      <c r="N22" s="37" t="s">
        <v>4672</v>
      </c>
      <c r="O22" s="33" t="s">
        <v>4673</v>
      </c>
      <c r="P22" s="33" t="s">
        <v>4674</v>
      </c>
      <c r="Q22" s="33" t="s">
        <v>4675</v>
      </c>
      <c r="R22" s="34"/>
      <c r="S22" s="38"/>
      <c r="T22" s="38" t="s">
        <v>12690</v>
      </c>
    </row>
    <row r="23" spans="1:20" x14ac:dyDescent="0.25">
      <c r="A23" s="39" t="s">
        <v>3173</v>
      </c>
      <c r="B23" s="39" t="s">
        <v>9908</v>
      </c>
      <c r="C23" s="39" t="s">
        <v>9478</v>
      </c>
      <c r="D23" s="36"/>
      <c r="E23" s="39">
        <v>2021</v>
      </c>
      <c r="F23" s="39">
        <v>2</v>
      </c>
      <c r="G23" s="39">
        <v>1</v>
      </c>
      <c r="H23" s="36"/>
      <c r="I23" s="39" t="s">
        <v>2166</v>
      </c>
      <c r="J23" s="36"/>
      <c r="K23" s="36"/>
      <c r="L23" s="36"/>
      <c r="M23" s="34"/>
      <c r="N23" s="41" t="s">
        <v>9909</v>
      </c>
      <c r="O23" s="39" t="s">
        <v>3175</v>
      </c>
      <c r="P23" s="33"/>
      <c r="Q23" s="36"/>
      <c r="R23" s="34"/>
      <c r="S23" s="38"/>
      <c r="T23" s="38" t="s">
        <v>12689</v>
      </c>
    </row>
    <row r="24" spans="1:20" x14ac:dyDescent="0.25">
      <c r="A24" s="33" t="s">
        <v>3173</v>
      </c>
      <c r="B24" s="33" t="s">
        <v>3172</v>
      </c>
      <c r="C24" s="33" t="s">
        <v>13</v>
      </c>
      <c r="D24" s="33" t="s">
        <v>2166</v>
      </c>
      <c r="E24" s="33">
        <v>2021</v>
      </c>
      <c r="F24" s="33">
        <v>2</v>
      </c>
      <c r="G24" s="33">
        <v>1</v>
      </c>
      <c r="H24" s="34"/>
      <c r="I24" s="33" t="s">
        <v>137</v>
      </c>
      <c r="J24" s="33">
        <v>2021</v>
      </c>
      <c r="K24" s="34"/>
      <c r="L24" s="34"/>
      <c r="M24" s="33" t="s">
        <v>2167</v>
      </c>
      <c r="N24" s="37" t="s">
        <v>3174</v>
      </c>
      <c r="O24" s="33" t="s">
        <v>3175</v>
      </c>
      <c r="P24" s="33" t="s">
        <v>3176</v>
      </c>
      <c r="Q24" s="33" t="s">
        <v>1573</v>
      </c>
      <c r="R24" s="34"/>
      <c r="S24" s="38"/>
      <c r="T24" s="38" t="s">
        <v>12690</v>
      </c>
    </row>
    <row r="25" spans="1:20" x14ac:dyDescent="0.25">
      <c r="A25" s="33" t="s">
        <v>12301</v>
      </c>
      <c r="B25" s="33" t="s">
        <v>12300</v>
      </c>
      <c r="C25" s="33" t="s">
        <v>141</v>
      </c>
      <c r="D25" s="34"/>
      <c r="E25" s="33">
        <v>2019</v>
      </c>
      <c r="F25" s="34"/>
      <c r="G25" s="34"/>
      <c r="H25" s="33" t="s">
        <v>12302</v>
      </c>
      <c r="I25" s="44" t="s">
        <v>12696</v>
      </c>
      <c r="J25" s="33">
        <v>2019</v>
      </c>
      <c r="K25" s="33">
        <v>9781450368285</v>
      </c>
      <c r="L25" s="33" t="s">
        <v>11628</v>
      </c>
      <c r="M25" s="34"/>
      <c r="N25" s="37" t="s">
        <v>12303</v>
      </c>
      <c r="O25" s="33" t="s">
        <v>12304</v>
      </c>
      <c r="P25" s="33" t="s">
        <v>12305</v>
      </c>
      <c r="Q25" s="36"/>
      <c r="R25" s="36"/>
      <c r="S25" s="33" t="s">
        <v>12306</v>
      </c>
      <c r="T25" s="33" t="s">
        <v>12692</v>
      </c>
    </row>
    <row r="26" spans="1:20" x14ac:dyDescent="0.25">
      <c r="A26" s="33" t="s">
        <v>7587</v>
      </c>
      <c r="B26" s="33" t="s">
        <v>7586</v>
      </c>
      <c r="C26" s="33" t="s">
        <v>141</v>
      </c>
      <c r="D26" s="34"/>
      <c r="E26" s="33">
        <v>2022</v>
      </c>
      <c r="F26" s="34"/>
      <c r="G26" s="34"/>
      <c r="H26" s="33" t="s">
        <v>7588</v>
      </c>
      <c r="I26" s="33" t="s">
        <v>7589</v>
      </c>
      <c r="J26" s="35">
        <v>44835</v>
      </c>
      <c r="K26" s="36"/>
      <c r="L26" s="36"/>
      <c r="M26" s="33" t="s">
        <v>7590</v>
      </c>
      <c r="N26" s="37" t="s">
        <v>7591</v>
      </c>
      <c r="O26" s="33" t="s">
        <v>7592</v>
      </c>
      <c r="P26" s="33" t="s">
        <v>7593</v>
      </c>
      <c r="Q26" s="36"/>
      <c r="R26" s="36"/>
      <c r="S26" s="33" t="s">
        <v>7594</v>
      </c>
      <c r="T26" s="38" t="s">
        <v>12688</v>
      </c>
    </row>
    <row r="27" spans="1:20" x14ac:dyDescent="0.25">
      <c r="A27" s="33" t="s">
        <v>2605</v>
      </c>
      <c r="B27" s="33" t="s">
        <v>2604</v>
      </c>
      <c r="C27" s="33" t="s">
        <v>13</v>
      </c>
      <c r="D27" s="33" t="s">
        <v>347</v>
      </c>
      <c r="E27" s="33">
        <v>2021</v>
      </c>
      <c r="F27" s="33">
        <v>70</v>
      </c>
      <c r="G27" s="33">
        <v>4</v>
      </c>
      <c r="H27" s="33" t="s">
        <v>2606</v>
      </c>
      <c r="I27" s="33" t="s">
        <v>257</v>
      </c>
      <c r="J27" s="33">
        <v>2021</v>
      </c>
      <c r="K27" s="34"/>
      <c r="L27" s="34"/>
      <c r="M27" s="33" t="s">
        <v>92</v>
      </c>
      <c r="N27" s="37" t="s">
        <v>2607</v>
      </c>
      <c r="O27" s="33" t="s">
        <v>2608</v>
      </c>
      <c r="P27" s="33" t="s">
        <v>2609</v>
      </c>
      <c r="Q27" s="33" t="s">
        <v>2610</v>
      </c>
      <c r="R27" s="34"/>
      <c r="S27" s="38"/>
      <c r="T27" s="38" t="s">
        <v>12690</v>
      </c>
    </row>
    <row r="28" spans="1:20" x14ac:dyDescent="0.25">
      <c r="A28" s="33" t="s">
        <v>2725</v>
      </c>
      <c r="B28" s="33" t="s">
        <v>2724</v>
      </c>
      <c r="C28" s="33" t="s">
        <v>13</v>
      </c>
      <c r="D28" s="33" t="s">
        <v>354</v>
      </c>
      <c r="E28" s="33">
        <v>2020</v>
      </c>
      <c r="F28" s="33">
        <v>169</v>
      </c>
      <c r="G28" s="34"/>
      <c r="H28" s="34"/>
      <c r="I28" s="33" t="s">
        <v>355</v>
      </c>
      <c r="J28" s="33">
        <v>2020</v>
      </c>
      <c r="K28" s="34"/>
      <c r="L28" s="34"/>
      <c r="M28" s="33" t="s">
        <v>65</v>
      </c>
      <c r="N28" s="37" t="s">
        <v>2726</v>
      </c>
      <c r="O28" s="33" t="s">
        <v>2727</v>
      </c>
      <c r="P28" s="33" t="s">
        <v>2728</v>
      </c>
      <c r="Q28" s="33" t="s">
        <v>1573</v>
      </c>
      <c r="R28" s="34"/>
      <c r="S28" s="38"/>
      <c r="T28" s="38" t="s">
        <v>12690</v>
      </c>
    </row>
    <row r="29" spans="1:20" x14ac:dyDescent="0.25">
      <c r="A29" s="33" t="s">
        <v>618</v>
      </c>
      <c r="B29" s="33" t="s">
        <v>617</v>
      </c>
      <c r="C29" s="33" t="s">
        <v>141</v>
      </c>
      <c r="D29" s="34"/>
      <c r="E29" s="33">
        <v>2022</v>
      </c>
      <c r="F29" s="34"/>
      <c r="G29" s="34"/>
      <c r="H29" s="34"/>
      <c r="I29" s="33" t="s">
        <v>257</v>
      </c>
      <c r="J29" s="33">
        <v>2022</v>
      </c>
      <c r="K29" s="33">
        <v>9781665485104</v>
      </c>
      <c r="L29" s="34"/>
      <c r="M29" s="34"/>
      <c r="N29" s="37" t="s">
        <v>619</v>
      </c>
      <c r="O29" s="33" t="s">
        <v>620</v>
      </c>
      <c r="P29" s="33" t="s">
        <v>621</v>
      </c>
      <c r="Q29" s="33" t="s">
        <v>157</v>
      </c>
      <c r="R29" s="34"/>
      <c r="S29" s="38"/>
      <c r="T29" s="38" t="s">
        <v>12690</v>
      </c>
    </row>
    <row r="30" spans="1:20" x14ac:dyDescent="0.25">
      <c r="A30" s="33" t="s">
        <v>3178</v>
      </c>
      <c r="B30" s="33" t="s">
        <v>3177</v>
      </c>
      <c r="C30" s="33" t="s">
        <v>141</v>
      </c>
      <c r="D30" s="34"/>
      <c r="E30" s="33">
        <v>2020</v>
      </c>
      <c r="F30" s="34"/>
      <c r="G30" s="34"/>
      <c r="H30" s="33" t="s">
        <v>11176</v>
      </c>
      <c r="I30" s="44" t="s">
        <v>12697</v>
      </c>
      <c r="J30" s="33">
        <v>2020</v>
      </c>
      <c r="K30" s="33">
        <v>9781450371223</v>
      </c>
      <c r="L30" s="33" t="s">
        <v>11050</v>
      </c>
      <c r="M30" s="34"/>
      <c r="N30" s="37" t="s">
        <v>11177</v>
      </c>
      <c r="O30" s="33" t="s">
        <v>3181</v>
      </c>
      <c r="P30" s="33" t="s">
        <v>6244</v>
      </c>
      <c r="Q30" s="36"/>
      <c r="R30" s="36"/>
      <c r="S30" s="33" t="s">
        <v>11178</v>
      </c>
      <c r="T30" s="33" t="s">
        <v>12692</v>
      </c>
    </row>
    <row r="31" spans="1:20" x14ac:dyDescent="0.25">
      <c r="A31" s="33" t="s">
        <v>3178</v>
      </c>
      <c r="B31" s="33" t="s">
        <v>3177</v>
      </c>
      <c r="C31" s="33" t="s">
        <v>141</v>
      </c>
      <c r="D31" s="34"/>
      <c r="E31" s="33">
        <v>2020</v>
      </c>
      <c r="F31" s="34"/>
      <c r="G31" s="34"/>
      <c r="H31" s="33" t="s">
        <v>3179</v>
      </c>
      <c r="I31" s="33" t="s">
        <v>257</v>
      </c>
      <c r="J31" s="33">
        <v>2020</v>
      </c>
      <c r="K31" s="33">
        <v>9781450371223</v>
      </c>
      <c r="L31" s="34"/>
      <c r="M31" s="34"/>
      <c r="N31" s="37" t="s">
        <v>3180</v>
      </c>
      <c r="O31" s="33" t="s">
        <v>3181</v>
      </c>
      <c r="P31" s="33" t="s">
        <v>3182</v>
      </c>
      <c r="Q31" s="33" t="s">
        <v>157</v>
      </c>
      <c r="R31" s="34"/>
      <c r="S31" s="38"/>
      <c r="T31" s="38" t="s">
        <v>12690</v>
      </c>
    </row>
    <row r="32" spans="1:20" x14ac:dyDescent="0.25">
      <c r="A32" s="33" t="s">
        <v>3178</v>
      </c>
      <c r="B32" s="33" t="s">
        <v>3177</v>
      </c>
      <c r="C32" s="33" t="s">
        <v>141</v>
      </c>
      <c r="D32" s="34"/>
      <c r="E32" s="33">
        <v>2020</v>
      </c>
      <c r="F32" s="34"/>
      <c r="G32" s="34"/>
      <c r="H32" s="33" t="s">
        <v>3179</v>
      </c>
      <c r="I32" s="33" t="s">
        <v>196</v>
      </c>
      <c r="J32" s="33">
        <v>2020</v>
      </c>
      <c r="K32" s="33">
        <v>9781450371223</v>
      </c>
      <c r="L32" s="34"/>
      <c r="M32" s="33" t="s">
        <v>1458</v>
      </c>
      <c r="N32" s="37" t="s">
        <v>4764</v>
      </c>
      <c r="O32" s="33" t="s">
        <v>3181</v>
      </c>
      <c r="P32" s="33" t="s">
        <v>4765</v>
      </c>
      <c r="Q32" s="33" t="s">
        <v>176</v>
      </c>
      <c r="R32" s="34"/>
      <c r="S32" s="38"/>
      <c r="T32" s="38" t="s">
        <v>12690</v>
      </c>
    </row>
    <row r="33" spans="1:20" x14ac:dyDescent="0.25">
      <c r="A33" s="33" t="s">
        <v>3178</v>
      </c>
      <c r="B33" s="33" t="s">
        <v>6242</v>
      </c>
      <c r="C33" s="33" t="s">
        <v>141</v>
      </c>
      <c r="D33" s="34"/>
      <c r="E33" s="33">
        <v>2020</v>
      </c>
      <c r="F33" s="34"/>
      <c r="G33" s="34"/>
      <c r="H33" s="33" t="s">
        <v>6243</v>
      </c>
      <c r="I33" s="33" t="s">
        <v>6111</v>
      </c>
      <c r="J33" s="35">
        <v>44105</v>
      </c>
      <c r="K33" s="36"/>
      <c r="L33" s="36"/>
      <c r="M33" s="33" t="s">
        <v>6112</v>
      </c>
      <c r="N33" s="34"/>
      <c r="O33" s="34"/>
      <c r="P33" s="33" t="s">
        <v>6244</v>
      </c>
      <c r="Q33" s="36"/>
      <c r="R33" s="36"/>
      <c r="S33" s="33" t="s">
        <v>6245</v>
      </c>
      <c r="T33" s="38" t="s">
        <v>12688</v>
      </c>
    </row>
    <row r="34" spans="1:20" x14ac:dyDescent="0.25">
      <c r="A34" s="33" t="s">
        <v>8875</v>
      </c>
      <c r="B34" s="33" t="s">
        <v>8874</v>
      </c>
      <c r="C34" s="33" t="s">
        <v>13</v>
      </c>
      <c r="D34" s="33" t="s">
        <v>354</v>
      </c>
      <c r="E34" s="33">
        <v>2023</v>
      </c>
      <c r="F34" s="33">
        <v>198</v>
      </c>
      <c r="G34" s="36"/>
      <c r="H34" s="33">
        <v>111604</v>
      </c>
      <c r="I34" s="36"/>
      <c r="J34" s="33">
        <v>2023</v>
      </c>
      <c r="K34" s="34"/>
      <c r="L34" s="34"/>
      <c r="M34" s="33" t="s">
        <v>65</v>
      </c>
      <c r="N34" s="37" t="s">
        <v>8876</v>
      </c>
      <c r="O34" s="33" t="s">
        <v>8877</v>
      </c>
      <c r="P34" s="33" t="s">
        <v>8878</v>
      </c>
      <c r="Q34" s="36"/>
      <c r="R34" s="36"/>
      <c r="S34" s="33" t="s">
        <v>8879</v>
      </c>
      <c r="T34" s="38" t="s">
        <v>12693</v>
      </c>
    </row>
    <row r="35" spans="1:20" x14ac:dyDescent="0.25">
      <c r="A35" s="33" t="s">
        <v>2648</v>
      </c>
      <c r="B35" s="33" t="s">
        <v>2647</v>
      </c>
      <c r="C35" s="33" t="s">
        <v>141</v>
      </c>
      <c r="D35" s="34"/>
      <c r="E35" s="33">
        <v>2021</v>
      </c>
      <c r="F35" s="34"/>
      <c r="G35" s="34"/>
      <c r="H35" s="33" t="s">
        <v>7868</v>
      </c>
      <c r="I35" s="33" t="s">
        <v>7869</v>
      </c>
      <c r="J35" s="43">
        <v>44348</v>
      </c>
      <c r="K35" s="36"/>
      <c r="L35" s="36"/>
      <c r="M35" s="33" t="s">
        <v>7870</v>
      </c>
      <c r="N35" s="37" t="s">
        <v>7871</v>
      </c>
      <c r="O35" s="33" t="s">
        <v>2651</v>
      </c>
      <c r="P35" s="33" t="s">
        <v>7872</v>
      </c>
      <c r="Q35" s="36"/>
      <c r="R35" s="36"/>
      <c r="S35" s="33" t="s">
        <v>7873</v>
      </c>
      <c r="T35" s="38" t="s">
        <v>12688</v>
      </c>
    </row>
    <row r="36" spans="1:20" x14ac:dyDescent="0.25">
      <c r="A36" s="33" t="s">
        <v>2648</v>
      </c>
      <c r="B36" s="33" t="s">
        <v>2647</v>
      </c>
      <c r="C36" s="33" t="s">
        <v>141</v>
      </c>
      <c r="D36" s="34"/>
      <c r="E36" s="33">
        <v>2021</v>
      </c>
      <c r="F36" s="34"/>
      <c r="G36" s="34"/>
      <c r="H36" s="33" t="s">
        <v>2649</v>
      </c>
      <c r="I36" s="33" t="s">
        <v>257</v>
      </c>
      <c r="J36" s="33">
        <v>2021</v>
      </c>
      <c r="K36" s="33">
        <v>9781665435727</v>
      </c>
      <c r="L36" s="34"/>
      <c r="M36" s="34"/>
      <c r="N36" s="37" t="s">
        <v>2650</v>
      </c>
      <c r="O36" s="33" t="s">
        <v>2651</v>
      </c>
      <c r="P36" s="33" t="s">
        <v>2652</v>
      </c>
      <c r="Q36" s="33" t="s">
        <v>176</v>
      </c>
      <c r="R36" s="34"/>
      <c r="S36" s="38"/>
      <c r="T36" s="38" t="s">
        <v>12690</v>
      </c>
    </row>
    <row r="37" spans="1:20" x14ac:dyDescent="0.25">
      <c r="A37" s="33" t="s">
        <v>2883</v>
      </c>
      <c r="B37" s="33" t="s">
        <v>2882</v>
      </c>
      <c r="C37" s="33" t="s">
        <v>141</v>
      </c>
      <c r="D37" s="34"/>
      <c r="E37" s="33">
        <v>2020</v>
      </c>
      <c r="F37" s="33">
        <v>1587</v>
      </c>
      <c r="G37" s="34"/>
      <c r="H37" s="34"/>
      <c r="I37" s="33" t="s">
        <v>2884</v>
      </c>
      <c r="J37" s="33">
        <v>2020</v>
      </c>
      <c r="K37" s="34"/>
      <c r="L37" s="34"/>
      <c r="M37" s="33" t="s">
        <v>2438</v>
      </c>
      <c r="N37" s="37" t="s">
        <v>2885</v>
      </c>
      <c r="O37" s="33" t="s">
        <v>2886</v>
      </c>
      <c r="P37" s="33" t="s">
        <v>2887</v>
      </c>
      <c r="Q37" s="33" t="s">
        <v>568</v>
      </c>
      <c r="R37" s="34"/>
      <c r="S37" s="38"/>
      <c r="T37" s="38" t="s">
        <v>12690</v>
      </c>
    </row>
    <row r="38" spans="1:20" x14ac:dyDescent="0.25">
      <c r="A38" s="33" t="s">
        <v>6254</v>
      </c>
      <c r="B38" s="33" t="s">
        <v>6253</v>
      </c>
      <c r="C38" s="33" t="s">
        <v>141</v>
      </c>
      <c r="D38" s="34"/>
      <c r="E38" s="33">
        <v>2015</v>
      </c>
      <c r="F38" s="34"/>
      <c r="G38" s="34"/>
      <c r="H38" s="33" t="s">
        <v>6255</v>
      </c>
      <c r="I38" s="33" t="s">
        <v>6256</v>
      </c>
      <c r="J38" s="35">
        <v>42278</v>
      </c>
      <c r="K38" s="36"/>
      <c r="L38" s="36"/>
      <c r="M38" s="34"/>
      <c r="N38" s="37" t="s">
        <v>6257</v>
      </c>
      <c r="O38" s="33" t="s">
        <v>6258</v>
      </c>
      <c r="P38" s="33" t="s">
        <v>6259</v>
      </c>
      <c r="Q38" s="36"/>
      <c r="R38" s="36"/>
      <c r="S38" s="33" t="s">
        <v>6260</v>
      </c>
      <c r="T38" s="38" t="s">
        <v>12688</v>
      </c>
    </row>
    <row r="39" spans="1:20" x14ac:dyDescent="0.25">
      <c r="A39" s="33" t="s">
        <v>1222</v>
      </c>
      <c r="B39" s="33" t="s">
        <v>1221</v>
      </c>
      <c r="C39" s="33" t="s">
        <v>13</v>
      </c>
      <c r="D39" s="33" t="s">
        <v>354</v>
      </c>
      <c r="E39" s="33">
        <v>2023</v>
      </c>
      <c r="F39" s="33">
        <v>198</v>
      </c>
      <c r="G39" s="34"/>
      <c r="H39" s="34"/>
      <c r="I39" s="33" t="s">
        <v>355</v>
      </c>
      <c r="J39" s="33">
        <v>2023</v>
      </c>
      <c r="K39" s="34"/>
      <c r="L39" s="34"/>
      <c r="M39" s="33" t="s">
        <v>65</v>
      </c>
      <c r="N39" s="37" t="s">
        <v>1223</v>
      </c>
      <c r="O39" s="33" t="s">
        <v>1224</v>
      </c>
      <c r="P39" s="33" t="s">
        <v>1225</v>
      </c>
      <c r="Q39" s="33" t="s">
        <v>585</v>
      </c>
      <c r="R39" s="34"/>
      <c r="S39" s="38"/>
      <c r="T39" s="38" t="s">
        <v>12690</v>
      </c>
    </row>
    <row r="40" spans="1:20" x14ac:dyDescent="0.25">
      <c r="A40" s="33" t="s">
        <v>1172</v>
      </c>
      <c r="B40" s="33" t="s">
        <v>1171</v>
      </c>
      <c r="C40" s="33" t="s">
        <v>13</v>
      </c>
      <c r="D40" s="33" t="s">
        <v>971</v>
      </c>
      <c r="E40" s="33">
        <v>2023</v>
      </c>
      <c r="F40" s="33">
        <v>141</v>
      </c>
      <c r="G40" s="34"/>
      <c r="H40" s="33" t="s">
        <v>1173</v>
      </c>
      <c r="I40" s="33" t="s">
        <v>280</v>
      </c>
      <c r="J40" s="33">
        <v>2023</v>
      </c>
      <c r="K40" s="34"/>
      <c r="L40" s="34"/>
      <c r="M40" s="33" t="s">
        <v>973</v>
      </c>
      <c r="N40" s="37" t="s">
        <v>1174</v>
      </c>
      <c r="O40" s="33" t="s">
        <v>1175</v>
      </c>
      <c r="P40" s="33" t="s">
        <v>1176</v>
      </c>
      <c r="Q40" s="33" t="s">
        <v>157</v>
      </c>
      <c r="R40" s="34"/>
      <c r="S40" s="38"/>
      <c r="T40" s="38" t="s">
        <v>12690</v>
      </c>
    </row>
    <row r="41" spans="1:20" x14ac:dyDescent="0.25">
      <c r="A41" s="33" t="s">
        <v>7125</v>
      </c>
      <c r="B41" s="33" t="s">
        <v>7124</v>
      </c>
      <c r="C41" s="33" t="s">
        <v>141</v>
      </c>
      <c r="D41" s="34"/>
      <c r="E41" s="33">
        <v>2020</v>
      </c>
      <c r="F41" s="34"/>
      <c r="G41" s="34"/>
      <c r="H41" s="42">
        <v>44934</v>
      </c>
      <c r="I41" s="33" t="s">
        <v>7126</v>
      </c>
      <c r="J41" s="43">
        <v>44013</v>
      </c>
      <c r="K41" s="36"/>
      <c r="L41" s="36"/>
      <c r="M41" s="33" t="s">
        <v>6413</v>
      </c>
      <c r="N41" s="37" t="s">
        <v>7127</v>
      </c>
      <c r="O41" s="33" t="s">
        <v>7128</v>
      </c>
      <c r="P41" s="33" t="s">
        <v>7129</v>
      </c>
      <c r="Q41" s="36"/>
      <c r="R41" s="36"/>
      <c r="S41" s="33" t="s">
        <v>7130</v>
      </c>
      <c r="T41" s="38" t="s">
        <v>12688</v>
      </c>
    </row>
    <row r="42" spans="1:20" x14ac:dyDescent="0.25">
      <c r="A42" s="33" t="s">
        <v>1840</v>
      </c>
      <c r="B42" s="33" t="s">
        <v>1839</v>
      </c>
      <c r="C42" s="33" t="s">
        <v>13</v>
      </c>
      <c r="D42" s="33" t="s">
        <v>1306</v>
      </c>
      <c r="E42" s="33">
        <v>2022</v>
      </c>
      <c r="F42" s="33">
        <v>10</v>
      </c>
      <c r="G42" s="33">
        <v>1</v>
      </c>
      <c r="H42" s="34"/>
      <c r="I42" s="33" t="s">
        <v>228</v>
      </c>
      <c r="J42" s="33">
        <v>2022</v>
      </c>
      <c r="K42" s="34"/>
      <c r="L42" s="34"/>
      <c r="M42" s="33" t="s">
        <v>1307</v>
      </c>
      <c r="N42" s="37" t="s">
        <v>1841</v>
      </c>
      <c r="O42" s="33" t="s">
        <v>1842</v>
      </c>
      <c r="P42" s="33" t="s">
        <v>1843</v>
      </c>
      <c r="Q42" s="33" t="s">
        <v>1844</v>
      </c>
      <c r="R42" s="34"/>
      <c r="S42" s="38"/>
      <c r="T42" s="38" t="s">
        <v>12690</v>
      </c>
    </row>
    <row r="43" spans="1:20" x14ac:dyDescent="0.25">
      <c r="A43" s="33" t="s">
        <v>2949</v>
      </c>
      <c r="B43" s="33" t="s">
        <v>2948</v>
      </c>
      <c r="C43" s="33" t="s">
        <v>141</v>
      </c>
      <c r="D43" s="34"/>
      <c r="E43" s="33">
        <v>2021</v>
      </c>
      <c r="F43" s="34"/>
      <c r="G43" s="34"/>
      <c r="H43" s="33" t="s">
        <v>2950</v>
      </c>
      <c r="I43" s="33" t="s">
        <v>257</v>
      </c>
      <c r="J43" s="33">
        <v>2021</v>
      </c>
      <c r="K43" s="33">
        <v>9781665443913</v>
      </c>
      <c r="L43" s="34"/>
      <c r="M43" s="34"/>
      <c r="N43" s="37" t="s">
        <v>2951</v>
      </c>
      <c r="O43" s="33" t="s">
        <v>2952</v>
      </c>
      <c r="P43" s="33" t="s">
        <v>2953</v>
      </c>
      <c r="Q43" s="33" t="s">
        <v>157</v>
      </c>
      <c r="R43" s="34"/>
      <c r="S43" s="38"/>
      <c r="T43" s="38" t="s">
        <v>12690</v>
      </c>
    </row>
    <row r="44" spans="1:20" x14ac:dyDescent="0.25">
      <c r="A44" s="33" t="s">
        <v>8716</v>
      </c>
      <c r="B44" s="33" t="s">
        <v>8715</v>
      </c>
      <c r="C44" s="33" t="s">
        <v>13</v>
      </c>
      <c r="D44" s="33" t="s">
        <v>307</v>
      </c>
      <c r="E44" s="33">
        <v>2022</v>
      </c>
      <c r="F44" s="33">
        <v>147</v>
      </c>
      <c r="G44" s="36"/>
      <c r="H44" s="33">
        <v>106893</v>
      </c>
      <c r="I44" s="36"/>
      <c r="J44" s="33">
        <v>2022</v>
      </c>
      <c r="K44" s="34"/>
      <c r="L44" s="34"/>
      <c r="M44" s="33" t="s">
        <v>308</v>
      </c>
      <c r="N44" s="37" t="s">
        <v>8717</v>
      </c>
      <c r="O44" s="33" t="s">
        <v>8718</v>
      </c>
      <c r="P44" s="33" t="s">
        <v>8719</v>
      </c>
      <c r="Q44" s="36"/>
      <c r="R44" s="36"/>
      <c r="S44" s="33" t="s">
        <v>8720</v>
      </c>
      <c r="T44" s="38" t="s">
        <v>12693</v>
      </c>
    </row>
    <row r="45" spans="1:20" x14ac:dyDescent="0.25">
      <c r="A45" s="33" t="s">
        <v>5668</v>
      </c>
      <c r="B45" s="33" t="s">
        <v>5667</v>
      </c>
      <c r="C45" s="33" t="s">
        <v>141</v>
      </c>
      <c r="D45" s="34"/>
      <c r="E45" s="33">
        <v>2018</v>
      </c>
      <c r="F45" s="34"/>
      <c r="G45" s="34"/>
      <c r="H45" s="33" t="s">
        <v>7402</v>
      </c>
      <c r="I45" s="33" t="s">
        <v>7403</v>
      </c>
      <c r="J45" s="43">
        <v>43282</v>
      </c>
      <c r="K45" s="36"/>
      <c r="L45" s="36"/>
      <c r="M45" s="34"/>
      <c r="N45" s="37" t="s">
        <v>7404</v>
      </c>
      <c r="O45" s="33" t="s">
        <v>5671</v>
      </c>
      <c r="P45" s="33" t="s">
        <v>7405</v>
      </c>
      <c r="Q45" s="36"/>
      <c r="R45" s="36"/>
      <c r="S45" s="33" t="s">
        <v>7406</v>
      </c>
      <c r="T45" s="38" t="s">
        <v>12688</v>
      </c>
    </row>
    <row r="46" spans="1:20" x14ac:dyDescent="0.25">
      <c r="A46" s="33" t="s">
        <v>5668</v>
      </c>
      <c r="B46" s="33" t="s">
        <v>5667</v>
      </c>
      <c r="C46" s="33" t="s">
        <v>141</v>
      </c>
      <c r="D46" s="34"/>
      <c r="E46" s="33">
        <v>2018</v>
      </c>
      <c r="F46" s="34"/>
      <c r="G46" s="34"/>
      <c r="H46" s="33" t="s">
        <v>5669</v>
      </c>
      <c r="I46" s="33" t="s">
        <v>257</v>
      </c>
      <c r="J46" s="33">
        <v>2018</v>
      </c>
      <c r="K46" s="33">
        <v>9781538672327</v>
      </c>
      <c r="L46" s="34"/>
      <c r="M46" s="34"/>
      <c r="N46" s="37" t="s">
        <v>5670</v>
      </c>
      <c r="O46" s="33" t="s">
        <v>5671</v>
      </c>
      <c r="P46" s="33" t="s">
        <v>5672</v>
      </c>
      <c r="Q46" s="33" t="s">
        <v>1404</v>
      </c>
      <c r="R46" s="34"/>
      <c r="S46" s="38"/>
      <c r="T46" s="38" t="s">
        <v>12690</v>
      </c>
    </row>
    <row r="47" spans="1:20" x14ac:dyDescent="0.25">
      <c r="A47" s="39" t="s">
        <v>10800</v>
      </c>
      <c r="B47" s="39" t="s">
        <v>10802</v>
      </c>
      <c r="C47" s="39" t="s">
        <v>9478</v>
      </c>
      <c r="D47" s="36"/>
      <c r="E47" s="39">
        <v>2022</v>
      </c>
      <c r="F47" s="39">
        <v>27</v>
      </c>
      <c r="G47" s="39">
        <v>6</v>
      </c>
      <c r="H47" s="36"/>
      <c r="I47" s="39" t="s">
        <v>136</v>
      </c>
      <c r="J47" s="36"/>
      <c r="K47" s="36"/>
      <c r="L47" s="36"/>
      <c r="M47" s="34"/>
      <c r="N47" s="41" t="s">
        <v>10803</v>
      </c>
      <c r="O47" s="39" t="s">
        <v>10801</v>
      </c>
      <c r="P47" s="33"/>
      <c r="Q47" s="36"/>
      <c r="R47" s="34"/>
      <c r="S47" s="38"/>
      <c r="T47" s="38" t="s">
        <v>12689</v>
      </c>
    </row>
    <row r="48" spans="1:20" x14ac:dyDescent="0.25">
      <c r="A48" s="33" t="s">
        <v>11263</v>
      </c>
      <c r="B48" s="33" t="s">
        <v>6719</v>
      </c>
      <c r="C48" s="33" t="s">
        <v>141</v>
      </c>
      <c r="D48" s="34"/>
      <c r="E48" s="33">
        <v>2022</v>
      </c>
      <c r="F48" s="34"/>
      <c r="G48" s="34"/>
      <c r="H48" s="33" t="s">
        <v>11264</v>
      </c>
      <c r="I48" s="44" t="s">
        <v>12698</v>
      </c>
      <c r="J48" s="33">
        <v>2022</v>
      </c>
      <c r="K48" s="33">
        <v>9781450392983</v>
      </c>
      <c r="L48" s="33" t="s">
        <v>11270</v>
      </c>
      <c r="M48" s="34"/>
      <c r="N48" s="37" t="s">
        <v>11267</v>
      </c>
      <c r="O48" s="33" t="s">
        <v>6724</v>
      </c>
      <c r="P48" s="33" t="s">
        <v>11268</v>
      </c>
      <c r="Q48" s="36"/>
      <c r="R48" s="36"/>
      <c r="S48" s="33" t="s">
        <v>11269</v>
      </c>
      <c r="T48" s="33" t="s">
        <v>12692</v>
      </c>
    </row>
    <row r="49" spans="1:20" x14ac:dyDescent="0.25">
      <c r="A49" s="33" t="s">
        <v>11263</v>
      </c>
      <c r="B49" s="33" t="s">
        <v>6719</v>
      </c>
      <c r="C49" s="33" t="s">
        <v>141</v>
      </c>
      <c r="D49" s="34"/>
      <c r="E49" s="33">
        <v>2022</v>
      </c>
      <c r="F49" s="34"/>
      <c r="G49" s="34"/>
      <c r="H49" s="33" t="s">
        <v>6721</v>
      </c>
      <c r="I49" s="33" t="s">
        <v>6722</v>
      </c>
      <c r="J49" s="43">
        <v>44682</v>
      </c>
      <c r="K49" s="36"/>
      <c r="L49" s="36"/>
      <c r="M49" s="33" t="s">
        <v>6226</v>
      </c>
      <c r="N49" s="37" t="s">
        <v>6723</v>
      </c>
      <c r="O49" s="33" t="s">
        <v>6724</v>
      </c>
      <c r="P49" s="33" t="s">
        <v>6725</v>
      </c>
      <c r="Q49" s="36"/>
      <c r="R49" s="36"/>
      <c r="S49" s="33" t="s">
        <v>6726</v>
      </c>
      <c r="T49" s="38" t="s">
        <v>12688</v>
      </c>
    </row>
    <row r="50" spans="1:20" x14ac:dyDescent="0.25">
      <c r="A50" s="33" t="s">
        <v>3253</v>
      </c>
      <c r="B50" s="33" t="s">
        <v>3252</v>
      </c>
      <c r="C50" s="33" t="s">
        <v>141</v>
      </c>
      <c r="D50" s="34"/>
      <c r="E50" s="33">
        <v>2020</v>
      </c>
      <c r="F50" s="34"/>
      <c r="G50" s="34"/>
      <c r="H50" s="33" t="s">
        <v>3254</v>
      </c>
      <c r="I50" s="33" t="s">
        <v>153</v>
      </c>
      <c r="J50" s="33">
        <v>2020</v>
      </c>
      <c r="K50" s="33">
        <v>9781450370431</v>
      </c>
      <c r="L50" s="34"/>
      <c r="M50" s="34"/>
      <c r="N50" s="37" t="s">
        <v>3255</v>
      </c>
      <c r="O50" s="33" t="s">
        <v>3256</v>
      </c>
      <c r="P50" s="33" t="s">
        <v>3257</v>
      </c>
      <c r="Q50" s="33" t="s">
        <v>2804</v>
      </c>
      <c r="R50" s="34"/>
      <c r="S50" s="38"/>
      <c r="T50" s="38" t="s">
        <v>12690</v>
      </c>
    </row>
    <row r="51" spans="1:20" x14ac:dyDescent="0.25">
      <c r="A51" s="39" t="s">
        <v>2672</v>
      </c>
      <c r="B51" s="39" t="s">
        <v>10738</v>
      </c>
      <c r="C51" s="39" t="s">
        <v>9478</v>
      </c>
      <c r="D51" s="36"/>
      <c r="E51" s="39">
        <v>2021</v>
      </c>
      <c r="F51" s="39">
        <v>2</v>
      </c>
      <c r="G51" s="39">
        <v>1</v>
      </c>
      <c r="H51" s="36"/>
      <c r="I51" s="39" t="s">
        <v>2166</v>
      </c>
      <c r="J51" s="36"/>
      <c r="K51" s="36"/>
      <c r="L51" s="36"/>
      <c r="M51" s="34"/>
      <c r="N51" s="41" t="s">
        <v>10739</v>
      </c>
      <c r="O51" s="39" t="s">
        <v>2675</v>
      </c>
      <c r="P51" s="33"/>
      <c r="Q51" s="36"/>
      <c r="R51" s="34"/>
      <c r="S51" s="38"/>
      <c r="T51" s="38" t="s">
        <v>12689</v>
      </c>
    </row>
    <row r="52" spans="1:20" x14ac:dyDescent="0.25">
      <c r="A52" s="33" t="s">
        <v>2672</v>
      </c>
      <c r="B52" s="33" t="s">
        <v>2671</v>
      </c>
      <c r="C52" s="33" t="s">
        <v>141</v>
      </c>
      <c r="D52" s="34"/>
      <c r="E52" s="33">
        <v>2021</v>
      </c>
      <c r="F52" s="33">
        <v>2</v>
      </c>
      <c r="G52" s="34"/>
      <c r="H52" s="33" t="s">
        <v>2673</v>
      </c>
      <c r="I52" s="33" t="s">
        <v>137</v>
      </c>
      <c r="J52" s="33">
        <v>2021</v>
      </c>
      <c r="K52" s="33">
        <v>9781450393195</v>
      </c>
      <c r="L52" s="34"/>
      <c r="M52" s="33" t="s">
        <v>2167</v>
      </c>
      <c r="N52" s="37" t="s">
        <v>2674</v>
      </c>
      <c r="O52" s="33" t="s">
        <v>2675</v>
      </c>
      <c r="P52" s="33" t="s">
        <v>2676</v>
      </c>
      <c r="Q52" s="33" t="s">
        <v>1656</v>
      </c>
      <c r="R52" s="34"/>
      <c r="S52" s="38"/>
      <c r="T52" s="38" t="s">
        <v>12690</v>
      </c>
    </row>
    <row r="53" spans="1:20" x14ac:dyDescent="0.25">
      <c r="A53" s="39" t="s">
        <v>78</v>
      </c>
      <c r="B53" s="39" t="s">
        <v>9548</v>
      </c>
      <c r="C53" s="39" t="s">
        <v>9478</v>
      </c>
      <c r="D53" s="36"/>
      <c r="E53" s="39">
        <v>2022</v>
      </c>
      <c r="F53" s="39">
        <v>29</v>
      </c>
      <c r="G53" s="39">
        <v>2</v>
      </c>
      <c r="H53" s="36"/>
      <c r="I53" s="39" t="s">
        <v>582</v>
      </c>
      <c r="J53" s="36"/>
      <c r="K53" s="36"/>
      <c r="L53" s="36"/>
      <c r="M53" s="34"/>
      <c r="N53" s="41" t="s">
        <v>9549</v>
      </c>
      <c r="O53" s="39" t="s">
        <v>80</v>
      </c>
      <c r="P53" s="33"/>
      <c r="Q53" s="36"/>
      <c r="R53" s="34"/>
      <c r="S53" s="38"/>
      <c r="T53" s="38" t="s">
        <v>12689</v>
      </c>
    </row>
    <row r="54" spans="1:20" x14ac:dyDescent="0.25">
      <c r="A54" s="33" t="s">
        <v>78</v>
      </c>
      <c r="B54" s="33" t="s">
        <v>77</v>
      </c>
      <c r="C54" s="33" t="s">
        <v>13</v>
      </c>
      <c r="D54" s="33" t="s">
        <v>582</v>
      </c>
      <c r="E54" s="33">
        <v>2022</v>
      </c>
      <c r="F54" s="33">
        <v>29</v>
      </c>
      <c r="G54" s="33">
        <v>2</v>
      </c>
      <c r="H54" s="34"/>
      <c r="I54" s="33" t="s">
        <v>137</v>
      </c>
      <c r="J54" s="33">
        <v>2022</v>
      </c>
      <c r="K54" s="34"/>
      <c r="L54" s="34"/>
      <c r="M54" s="33" t="s">
        <v>58</v>
      </c>
      <c r="N54" s="37" t="s">
        <v>583</v>
      </c>
      <c r="O54" s="33" t="s">
        <v>80</v>
      </c>
      <c r="P54" s="33" t="s">
        <v>584</v>
      </c>
      <c r="Q54" s="33" t="s">
        <v>585</v>
      </c>
      <c r="R54" s="34"/>
      <c r="S54" s="38"/>
      <c r="T54" s="38" t="s">
        <v>12690</v>
      </c>
    </row>
    <row r="55" spans="1:20" x14ac:dyDescent="0.25">
      <c r="A55" s="33" t="s">
        <v>78</v>
      </c>
      <c r="B55" s="33" t="s">
        <v>77</v>
      </c>
      <c r="C55" s="33" t="s">
        <v>13</v>
      </c>
      <c r="D55" s="33" t="s">
        <v>57</v>
      </c>
      <c r="E55" s="33">
        <v>2022</v>
      </c>
      <c r="F55" s="33">
        <v>29</v>
      </c>
      <c r="G55" s="33">
        <v>2</v>
      </c>
      <c r="H55" s="34"/>
      <c r="I55" s="38" t="s">
        <v>12699</v>
      </c>
      <c r="J55" s="35">
        <v>44866</v>
      </c>
      <c r="K55" s="33" t="s">
        <v>58</v>
      </c>
      <c r="L55" s="38" t="s">
        <v>12699</v>
      </c>
      <c r="M55" s="38" t="s">
        <v>12699</v>
      </c>
      <c r="N55" s="37" t="s">
        <v>79</v>
      </c>
      <c r="O55" s="33" t="s">
        <v>80</v>
      </c>
      <c r="P55" s="33" t="s">
        <v>81</v>
      </c>
      <c r="Q55" s="38" t="s">
        <v>12699</v>
      </c>
      <c r="R55" s="38" t="s">
        <v>12699</v>
      </c>
      <c r="S55" s="38"/>
      <c r="T55" s="38" t="s">
        <v>12700</v>
      </c>
    </row>
    <row r="56" spans="1:20" x14ac:dyDescent="0.25">
      <c r="A56" s="33" t="s">
        <v>2044</v>
      </c>
      <c r="B56" s="33" t="s">
        <v>2043</v>
      </c>
      <c r="C56" s="33" t="s">
        <v>13</v>
      </c>
      <c r="D56" s="33" t="s">
        <v>2045</v>
      </c>
      <c r="E56" s="33">
        <v>2021</v>
      </c>
      <c r="F56" s="33">
        <v>33</v>
      </c>
      <c r="G56" s="33">
        <v>19</v>
      </c>
      <c r="H56" s="34"/>
      <c r="I56" s="33" t="s">
        <v>266</v>
      </c>
      <c r="J56" s="33">
        <v>2021</v>
      </c>
      <c r="K56" s="34"/>
      <c r="L56" s="34"/>
      <c r="M56" s="33" t="s">
        <v>2046</v>
      </c>
      <c r="N56" s="37" t="s">
        <v>2047</v>
      </c>
      <c r="O56" s="33" t="s">
        <v>2048</v>
      </c>
      <c r="P56" s="33" t="s">
        <v>2049</v>
      </c>
      <c r="Q56" s="33" t="s">
        <v>1598</v>
      </c>
      <c r="R56" s="34"/>
      <c r="S56" s="38"/>
      <c r="T56" s="38" t="s">
        <v>12690</v>
      </c>
    </row>
    <row r="57" spans="1:20" x14ac:dyDescent="0.25">
      <c r="A57" s="33" t="s">
        <v>12318</v>
      </c>
      <c r="B57" s="33" t="s">
        <v>4140</v>
      </c>
      <c r="C57" s="33" t="s">
        <v>141</v>
      </c>
      <c r="D57" s="34"/>
      <c r="E57" s="33">
        <v>2019</v>
      </c>
      <c r="F57" s="34"/>
      <c r="G57" s="34"/>
      <c r="H57" s="33" t="s">
        <v>12319</v>
      </c>
      <c r="I57" s="44" t="s">
        <v>12701</v>
      </c>
      <c r="J57" s="33">
        <v>2019</v>
      </c>
      <c r="K57" s="33">
        <v>9781450355728</v>
      </c>
      <c r="L57" s="33" t="s">
        <v>12324</v>
      </c>
      <c r="M57" s="34"/>
      <c r="N57" s="37" t="s">
        <v>12321</v>
      </c>
      <c r="O57" s="33" t="s">
        <v>4143</v>
      </c>
      <c r="P57" s="33" t="s">
        <v>12322</v>
      </c>
      <c r="Q57" s="36"/>
      <c r="R57" s="36"/>
      <c r="S57" s="33" t="s">
        <v>12323</v>
      </c>
      <c r="T57" s="33" t="s">
        <v>12692</v>
      </c>
    </row>
    <row r="58" spans="1:20" x14ac:dyDescent="0.25">
      <c r="A58" s="33" t="s">
        <v>12318</v>
      </c>
      <c r="B58" s="33" t="s">
        <v>4140</v>
      </c>
      <c r="C58" s="33" t="s">
        <v>141</v>
      </c>
      <c r="D58" s="34"/>
      <c r="E58" s="33">
        <v>2019</v>
      </c>
      <c r="F58" s="34"/>
      <c r="G58" s="34"/>
      <c r="H58" s="33" t="s">
        <v>1905</v>
      </c>
      <c r="I58" s="33" t="s">
        <v>153</v>
      </c>
      <c r="J58" s="33">
        <v>2019</v>
      </c>
      <c r="K58" s="33">
        <v>9781450355728</v>
      </c>
      <c r="L58" s="34"/>
      <c r="M58" s="34"/>
      <c r="N58" s="37" t="s">
        <v>4142</v>
      </c>
      <c r="O58" s="33" t="s">
        <v>4143</v>
      </c>
      <c r="P58" s="33" t="s">
        <v>4144</v>
      </c>
      <c r="Q58" s="33" t="s">
        <v>1887</v>
      </c>
      <c r="R58" s="34"/>
      <c r="S58" s="38"/>
      <c r="T58" s="38" t="s">
        <v>12690</v>
      </c>
    </row>
    <row r="59" spans="1:20" x14ac:dyDescent="0.25">
      <c r="A59" s="33" t="s">
        <v>5557</v>
      </c>
      <c r="B59" s="33" t="s">
        <v>5556</v>
      </c>
      <c r="C59" s="33" t="s">
        <v>141</v>
      </c>
      <c r="D59" s="34"/>
      <c r="E59" s="33">
        <v>2017</v>
      </c>
      <c r="F59" s="34"/>
      <c r="G59" s="34"/>
      <c r="H59" s="42">
        <v>45119</v>
      </c>
      <c r="I59" s="33" t="s">
        <v>6421</v>
      </c>
      <c r="J59" s="43">
        <v>42887</v>
      </c>
      <c r="K59" s="36"/>
      <c r="L59" s="36"/>
      <c r="M59" s="34"/>
      <c r="N59" s="37" t="s">
        <v>6422</v>
      </c>
      <c r="O59" s="33" t="s">
        <v>5559</v>
      </c>
      <c r="P59" s="33" t="s">
        <v>6423</v>
      </c>
      <c r="Q59" s="36"/>
      <c r="R59" s="36"/>
      <c r="S59" s="33" t="s">
        <v>6424</v>
      </c>
      <c r="T59" s="38" t="s">
        <v>12688</v>
      </c>
    </row>
    <row r="60" spans="1:20" x14ac:dyDescent="0.25">
      <c r="A60" s="33" t="s">
        <v>5557</v>
      </c>
      <c r="B60" s="33" t="s">
        <v>5556</v>
      </c>
      <c r="C60" s="33" t="s">
        <v>141</v>
      </c>
      <c r="D60" s="34"/>
      <c r="E60" s="33">
        <v>2017</v>
      </c>
      <c r="F60" s="34"/>
      <c r="G60" s="34"/>
      <c r="H60" s="33" t="s">
        <v>1977</v>
      </c>
      <c r="I60" s="33" t="s">
        <v>257</v>
      </c>
      <c r="J60" s="33">
        <v>2017</v>
      </c>
      <c r="K60" s="33">
        <v>9789531842235</v>
      </c>
      <c r="L60" s="34"/>
      <c r="M60" s="34"/>
      <c r="N60" s="37" t="s">
        <v>5558</v>
      </c>
      <c r="O60" s="33" t="s">
        <v>5559</v>
      </c>
      <c r="P60" s="33" t="s">
        <v>5560</v>
      </c>
      <c r="Q60" s="33" t="s">
        <v>1573</v>
      </c>
      <c r="R60" s="34"/>
      <c r="S60" s="38"/>
      <c r="T60" s="38" t="s">
        <v>12690</v>
      </c>
    </row>
    <row r="61" spans="1:20" x14ac:dyDescent="0.25">
      <c r="A61" s="33" t="s">
        <v>9119</v>
      </c>
      <c r="B61" s="33" t="s">
        <v>9118</v>
      </c>
      <c r="C61" s="33" t="s">
        <v>13</v>
      </c>
      <c r="D61" s="33" t="s">
        <v>307</v>
      </c>
      <c r="E61" s="33">
        <v>2020</v>
      </c>
      <c r="F61" s="33">
        <v>118</v>
      </c>
      <c r="G61" s="36"/>
      <c r="H61" s="33">
        <v>106218</v>
      </c>
      <c r="I61" s="36"/>
      <c r="J61" s="33">
        <v>2020</v>
      </c>
      <c r="K61" s="34"/>
      <c r="L61" s="34"/>
      <c r="M61" s="33" t="s">
        <v>308</v>
      </c>
      <c r="N61" s="37" t="s">
        <v>9120</v>
      </c>
      <c r="O61" s="33" t="s">
        <v>9121</v>
      </c>
      <c r="P61" s="33" t="s">
        <v>9122</v>
      </c>
      <c r="Q61" s="36"/>
      <c r="R61" s="36"/>
      <c r="S61" s="33" t="s">
        <v>9123</v>
      </c>
      <c r="T61" s="38" t="s">
        <v>12693</v>
      </c>
    </row>
    <row r="62" spans="1:20" x14ac:dyDescent="0.25">
      <c r="A62" s="33" t="s">
        <v>3325</v>
      </c>
      <c r="B62" s="33" t="s">
        <v>3324</v>
      </c>
      <c r="C62" s="33" t="s">
        <v>13</v>
      </c>
      <c r="D62" s="33" t="s">
        <v>3326</v>
      </c>
      <c r="E62" s="33">
        <v>2021</v>
      </c>
      <c r="F62" s="33">
        <v>13</v>
      </c>
      <c r="G62" s="33">
        <v>1</v>
      </c>
      <c r="H62" s="33" t="s">
        <v>3327</v>
      </c>
      <c r="I62" s="33" t="s">
        <v>3328</v>
      </c>
      <c r="J62" s="33">
        <v>2021</v>
      </c>
      <c r="K62" s="34"/>
      <c r="L62" s="34"/>
      <c r="M62" s="33" t="s">
        <v>3329</v>
      </c>
      <c r="N62" s="37" t="s">
        <v>3330</v>
      </c>
      <c r="O62" s="33" t="s">
        <v>3331</v>
      </c>
      <c r="P62" s="33" t="s">
        <v>3332</v>
      </c>
      <c r="Q62" s="33" t="s">
        <v>157</v>
      </c>
      <c r="R62" s="34"/>
      <c r="S62" s="38"/>
      <c r="T62" s="38" t="s">
        <v>12690</v>
      </c>
    </row>
    <row r="63" spans="1:20" x14ac:dyDescent="0.25">
      <c r="A63" s="39" t="s">
        <v>1517</v>
      </c>
      <c r="B63" s="39" t="s">
        <v>10265</v>
      </c>
      <c r="C63" s="39" t="s">
        <v>9478</v>
      </c>
      <c r="D63" s="36"/>
      <c r="E63" s="39">
        <v>2021</v>
      </c>
      <c r="F63" s="39">
        <v>29</v>
      </c>
      <c r="G63" s="39">
        <v>2</v>
      </c>
      <c r="H63" s="36"/>
      <c r="I63" s="39" t="s">
        <v>523</v>
      </c>
      <c r="J63" s="36"/>
      <c r="K63" s="36"/>
      <c r="L63" s="36"/>
      <c r="M63" s="34"/>
      <c r="N63" s="41" t="s">
        <v>10266</v>
      </c>
      <c r="O63" s="39" t="s">
        <v>1520</v>
      </c>
      <c r="P63" s="33"/>
      <c r="Q63" s="36"/>
      <c r="R63" s="34"/>
      <c r="S63" s="38"/>
      <c r="T63" s="38" t="s">
        <v>12689</v>
      </c>
    </row>
    <row r="64" spans="1:20" x14ac:dyDescent="0.25">
      <c r="A64" s="33" t="s">
        <v>1517</v>
      </c>
      <c r="B64" s="33" t="s">
        <v>1516</v>
      </c>
      <c r="C64" s="33" t="s">
        <v>13</v>
      </c>
      <c r="D64" s="33" t="s">
        <v>523</v>
      </c>
      <c r="E64" s="33">
        <v>2021</v>
      </c>
      <c r="F64" s="33">
        <v>29</v>
      </c>
      <c r="G64" s="33">
        <v>2</v>
      </c>
      <c r="H64" s="33" t="s">
        <v>1518</v>
      </c>
      <c r="I64" s="33" t="s">
        <v>137</v>
      </c>
      <c r="J64" s="33">
        <v>2021</v>
      </c>
      <c r="K64" s="34"/>
      <c r="L64" s="34"/>
      <c r="M64" s="33" t="s">
        <v>525</v>
      </c>
      <c r="N64" s="37" t="s">
        <v>1519</v>
      </c>
      <c r="O64" s="33" t="s">
        <v>1520</v>
      </c>
      <c r="P64" s="33" t="s">
        <v>1521</v>
      </c>
      <c r="Q64" s="33" t="s">
        <v>818</v>
      </c>
      <c r="R64" s="34"/>
      <c r="S64" s="38"/>
      <c r="T64" s="38" t="s">
        <v>12690</v>
      </c>
    </row>
    <row r="65" spans="1:20" x14ac:dyDescent="0.25">
      <c r="A65" s="33" t="s">
        <v>2931</v>
      </c>
      <c r="B65" s="33" t="s">
        <v>2930</v>
      </c>
      <c r="C65" s="33" t="s">
        <v>141</v>
      </c>
      <c r="D65" s="34"/>
      <c r="E65" s="33">
        <v>2021</v>
      </c>
      <c r="F65" s="33">
        <v>47</v>
      </c>
      <c r="G65" s="34"/>
      <c r="H65" s="33" t="s">
        <v>2932</v>
      </c>
      <c r="I65" s="33" t="s">
        <v>212</v>
      </c>
      <c r="J65" s="33">
        <v>2021</v>
      </c>
      <c r="K65" s="33">
        <v>9783030867966</v>
      </c>
      <c r="L65" s="34"/>
      <c r="M65" s="33" t="s">
        <v>2933</v>
      </c>
      <c r="N65" s="37" t="s">
        <v>2934</v>
      </c>
      <c r="O65" s="33" t="s">
        <v>2935</v>
      </c>
      <c r="P65" s="33" t="s">
        <v>2936</v>
      </c>
      <c r="Q65" s="33" t="s">
        <v>404</v>
      </c>
      <c r="R65" s="34"/>
      <c r="S65" s="38"/>
      <c r="T65" s="38" t="s">
        <v>12690</v>
      </c>
    </row>
    <row r="66" spans="1:20" x14ac:dyDescent="0.25">
      <c r="A66" s="39" t="s">
        <v>9851</v>
      </c>
      <c r="B66" s="39" t="s">
        <v>9853</v>
      </c>
      <c r="C66" s="39" t="s">
        <v>539</v>
      </c>
      <c r="D66" s="36"/>
      <c r="E66" s="39">
        <v>2022</v>
      </c>
      <c r="F66" s="40"/>
      <c r="G66" s="40"/>
      <c r="H66" s="36"/>
      <c r="I66" s="39" t="s">
        <v>9275</v>
      </c>
      <c r="J66" s="36"/>
      <c r="K66" s="36"/>
      <c r="L66" s="36"/>
      <c r="M66" s="34"/>
      <c r="N66" s="41" t="s">
        <v>9854</v>
      </c>
      <c r="O66" s="39" t="s">
        <v>9852</v>
      </c>
      <c r="P66" s="33"/>
      <c r="Q66" s="36"/>
      <c r="R66" s="34"/>
      <c r="S66" s="38"/>
      <c r="T66" s="38" t="s">
        <v>12689</v>
      </c>
    </row>
    <row r="67" spans="1:20" x14ac:dyDescent="0.25">
      <c r="A67" s="33" t="s">
        <v>690</v>
      </c>
      <c r="B67" s="33" t="s">
        <v>689</v>
      </c>
      <c r="C67" s="33" t="s">
        <v>13</v>
      </c>
      <c r="D67" s="33" t="s">
        <v>691</v>
      </c>
      <c r="E67" s="33">
        <v>2022</v>
      </c>
      <c r="F67" s="34"/>
      <c r="G67" s="34"/>
      <c r="H67" s="34"/>
      <c r="I67" s="33" t="s">
        <v>212</v>
      </c>
      <c r="J67" s="33">
        <v>2022</v>
      </c>
      <c r="K67" s="34"/>
      <c r="L67" s="34"/>
      <c r="M67" s="33" t="s">
        <v>692</v>
      </c>
      <c r="N67" s="37" t="s">
        <v>693</v>
      </c>
      <c r="O67" s="33" t="s">
        <v>694</v>
      </c>
      <c r="P67" s="33" t="s">
        <v>695</v>
      </c>
      <c r="Q67" s="33" t="s">
        <v>166</v>
      </c>
      <c r="R67" s="34"/>
      <c r="S67" s="38"/>
      <c r="T67" s="38" t="s">
        <v>12690</v>
      </c>
    </row>
    <row r="68" spans="1:20" x14ac:dyDescent="0.25">
      <c r="A68" s="39" t="s">
        <v>690</v>
      </c>
      <c r="B68" s="39" t="s">
        <v>10695</v>
      </c>
      <c r="C68" s="39" t="s">
        <v>9478</v>
      </c>
      <c r="D68" s="36"/>
      <c r="E68" s="39">
        <v>2022</v>
      </c>
      <c r="F68" s="40"/>
      <c r="G68" s="40"/>
      <c r="H68" s="36"/>
      <c r="I68" s="39" t="s">
        <v>691</v>
      </c>
      <c r="J68" s="36"/>
      <c r="K68" s="36"/>
      <c r="L68" s="36"/>
      <c r="M68" s="34"/>
      <c r="N68" s="41" t="s">
        <v>10696</v>
      </c>
      <c r="O68" s="39" t="s">
        <v>694</v>
      </c>
      <c r="P68" s="33"/>
      <c r="Q68" s="36"/>
      <c r="R68" s="34"/>
      <c r="S68" s="38"/>
      <c r="T68" s="38" t="s">
        <v>12689</v>
      </c>
    </row>
    <row r="69" spans="1:20" x14ac:dyDescent="0.25">
      <c r="A69" s="33" t="s">
        <v>2938</v>
      </c>
      <c r="B69" s="33" t="s">
        <v>2937</v>
      </c>
      <c r="C69" s="33" t="s">
        <v>13</v>
      </c>
      <c r="D69" s="33" t="s">
        <v>354</v>
      </c>
      <c r="E69" s="33">
        <v>2020</v>
      </c>
      <c r="F69" s="33">
        <v>169</v>
      </c>
      <c r="G69" s="36"/>
      <c r="H69" s="33">
        <v>110693</v>
      </c>
      <c r="I69" s="36"/>
      <c r="J69" s="33">
        <v>2020</v>
      </c>
      <c r="K69" s="34"/>
      <c r="L69" s="34"/>
      <c r="M69" s="33" t="s">
        <v>65</v>
      </c>
      <c r="N69" s="37" t="s">
        <v>8412</v>
      </c>
      <c r="O69" s="33" t="s">
        <v>2940</v>
      </c>
      <c r="P69" s="33" t="s">
        <v>8413</v>
      </c>
      <c r="Q69" s="36"/>
      <c r="R69" s="36"/>
      <c r="S69" s="33" t="s">
        <v>8414</v>
      </c>
      <c r="T69" s="38" t="s">
        <v>12693</v>
      </c>
    </row>
    <row r="70" spans="1:20" x14ac:dyDescent="0.25">
      <c r="A70" s="33" t="s">
        <v>2938</v>
      </c>
      <c r="B70" s="33" t="s">
        <v>2937</v>
      </c>
      <c r="C70" s="33" t="s">
        <v>13</v>
      </c>
      <c r="D70" s="33" t="s">
        <v>354</v>
      </c>
      <c r="E70" s="33">
        <v>2020</v>
      </c>
      <c r="F70" s="33">
        <v>169</v>
      </c>
      <c r="G70" s="34"/>
      <c r="H70" s="34"/>
      <c r="I70" s="33" t="s">
        <v>355</v>
      </c>
      <c r="J70" s="33">
        <v>2020</v>
      </c>
      <c r="K70" s="34"/>
      <c r="L70" s="34"/>
      <c r="M70" s="33" t="s">
        <v>65</v>
      </c>
      <c r="N70" s="37" t="s">
        <v>2939</v>
      </c>
      <c r="O70" s="33" t="s">
        <v>2940</v>
      </c>
      <c r="P70" s="33" t="s">
        <v>2941</v>
      </c>
      <c r="Q70" s="33" t="s">
        <v>2942</v>
      </c>
      <c r="R70" s="34"/>
      <c r="S70" s="38"/>
      <c r="T70" s="38" t="s">
        <v>12690</v>
      </c>
    </row>
    <row r="71" spans="1:20" x14ac:dyDescent="0.25">
      <c r="A71" s="33" t="s">
        <v>1728</v>
      </c>
      <c r="B71" s="33" t="s">
        <v>1727</v>
      </c>
      <c r="C71" s="33" t="s">
        <v>13</v>
      </c>
      <c r="D71" s="33" t="s">
        <v>255</v>
      </c>
      <c r="E71" s="33">
        <v>2021</v>
      </c>
      <c r="F71" s="33">
        <v>47</v>
      </c>
      <c r="G71" s="33">
        <v>6</v>
      </c>
      <c r="H71" s="33" t="s">
        <v>1729</v>
      </c>
      <c r="I71" s="33" t="s">
        <v>257</v>
      </c>
      <c r="J71" s="33">
        <v>2021</v>
      </c>
      <c r="K71" s="34"/>
      <c r="L71" s="34"/>
      <c r="M71" s="33" t="s">
        <v>18</v>
      </c>
      <c r="N71" s="37" t="s">
        <v>1730</v>
      </c>
      <c r="O71" s="33" t="s">
        <v>1731</v>
      </c>
      <c r="P71" s="33" t="s">
        <v>1732</v>
      </c>
      <c r="Q71" s="33" t="s">
        <v>1733</v>
      </c>
      <c r="R71" s="34"/>
      <c r="S71" s="38"/>
      <c r="T71" s="38" t="s">
        <v>12690</v>
      </c>
    </row>
    <row r="72" spans="1:20" x14ac:dyDescent="0.25">
      <c r="A72" s="33" t="s">
        <v>8617</v>
      </c>
      <c r="B72" s="33" t="s">
        <v>8616</v>
      </c>
      <c r="C72" s="33" t="s">
        <v>13</v>
      </c>
      <c r="D72" s="33" t="s">
        <v>307</v>
      </c>
      <c r="E72" s="33">
        <v>2020</v>
      </c>
      <c r="F72" s="33">
        <v>125</v>
      </c>
      <c r="G72" s="36"/>
      <c r="H72" s="33">
        <v>106333</v>
      </c>
      <c r="I72" s="36"/>
      <c r="J72" s="33">
        <v>2020</v>
      </c>
      <c r="K72" s="34"/>
      <c r="L72" s="34"/>
      <c r="M72" s="33" t="s">
        <v>308</v>
      </c>
      <c r="N72" s="37" t="s">
        <v>8618</v>
      </c>
      <c r="O72" s="33" t="s">
        <v>8619</v>
      </c>
      <c r="P72" s="33" t="s">
        <v>8620</v>
      </c>
      <c r="Q72" s="36"/>
      <c r="R72" s="36"/>
      <c r="S72" s="33" t="s">
        <v>8621</v>
      </c>
      <c r="T72" s="38" t="s">
        <v>12693</v>
      </c>
    </row>
    <row r="73" spans="1:20" x14ac:dyDescent="0.25">
      <c r="A73" s="33" t="s">
        <v>2838</v>
      </c>
      <c r="B73" s="33" t="s">
        <v>2837</v>
      </c>
      <c r="C73" s="33" t="s">
        <v>141</v>
      </c>
      <c r="D73" s="34"/>
      <c r="E73" s="33">
        <v>2020</v>
      </c>
      <c r="F73" s="34"/>
      <c r="G73" s="34"/>
      <c r="H73" s="34"/>
      <c r="I73" s="33" t="s">
        <v>196</v>
      </c>
      <c r="J73" s="33">
        <v>2020</v>
      </c>
      <c r="K73" s="33">
        <v>9781450375801</v>
      </c>
      <c r="L73" s="34"/>
      <c r="M73" s="33" t="s">
        <v>197</v>
      </c>
      <c r="N73" s="37" t="s">
        <v>2839</v>
      </c>
      <c r="O73" s="33" t="s">
        <v>2840</v>
      </c>
      <c r="P73" s="33" t="s">
        <v>2841</v>
      </c>
      <c r="Q73" s="33" t="s">
        <v>1094</v>
      </c>
      <c r="R73" s="34"/>
      <c r="S73" s="38"/>
      <c r="T73" s="38" t="s">
        <v>12690</v>
      </c>
    </row>
    <row r="74" spans="1:20" x14ac:dyDescent="0.25">
      <c r="A74" s="33" t="s">
        <v>4747</v>
      </c>
      <c r="B74" s="33" t="s">
        <v>4746</v>
      </c>
      <c r="C74" s="33" t="s">
        <v>13</v>
      </c>
      <c r="D74" s="33" t="s">
        <v>1827</v>
      </c>
      <c r="E74" s="33">
        <v>2019</v>
      </c>
      <c r="F74" s="33">
        <v>180</v>
      </c>
      <c r="G74" s="34"/>
      <c r="H74" s="33" t="s">
        <v>2975</v>
      </c>
      <c r="I74" s="33" t="s">
        <v>280</v>
      </c>
      <c r="J74" s="33">
        <v>2019</v>
      </c>
      <c r="K74" s="34"/>
      <c r="L74" s="34"/>
      <c r="M74" s="33" t="s">
        <v>1828</v>
      </c>
      <c r="N74" s="37" t="s">
        <v>4748</v>
      </c>
      <c r="O74" s="33" t="s">
        <v>4749</v>
      </c>
      <c r="P74" s="33" t="s">
        <v>4750</v>
      </c>
      <c r="Q74" s="33" t="s">
        <v>2942</v>
      </c>
      <c r="R74" s="34"/>
      <c r="S74" s="38"/>
      <c r="T74" s="38" t="s">
        <v>12690</v>
      </c>
    </row>
    <row r="75" spans="1:20" x14ac:dyDescent="0.25">
      <c r="A75" s="33" t="s">
        <v>12229</v>
      </c>
      <c r="B75" s="33" t="s">
        <v>12228</v>
      </c>
      <c r="C75" s="33" t="s">
        <v>141</v>
      </c>
      <c r="D75" s="34"/>
      <c r="E75" s="33">
        <v>2019</v>
      </c>
      <c r="F75" s="34"/>
      <c r="G75" s="34"/>
      <c r="H75" s="33" t="s">
        <v>12230</v>
      </c>
      <c r="I75" s="44" t="s">
        <v>12702</v>
      </c>
      <c r="J75" s="33">
        <v>2019</v>
      </c>
      <c r="K75" s="34"/>
      <c r="L75" s="33" t="s">
        <v>11464</v>
      </c>
      <c r="M75" s="34"/>
      <c r="N75" s="37" t="s">
        <v>12231</v>
      </c>
      <c r="O75" s="33" t="s">
        <v>12232</v>
      </c>
      <c r="P75" s="33" t="s">
        <v>12233</v>
      </c>
      <c r="Q75" s="36"/>
      <c r="R75" s="36"/>
      <c r="S75" s="33" t="s">
        <v>12234</v>
      </c>
      <c r="T75" s="33" t="s">
        <v>12692</v>
      </c>
    </row>
    <row r="76" spans="1:20" x14ac:dyDescent="0.25">
      <c r="A76" s="33" t="s">
        <v>6000</v>
      </c>
      <c r="B76" s="33" t="s">
        <v>5999</v>
      </c>
      <c r="C76" s="33" t="s">
        <v>13</v>
      </c>
      <c r="D76" s="33" t="s">
        <v>307</v>
      </c>
      <c r="E76" s="33">
        <v>2018</v>
      </c>
      <c r="F76" s="33">
        <v>99</v>
      </c>
      <c r="G76" s="34"/>
      <c r="H76" s="33" t="s">
        <v>3699</v>
      </c>
      <c r="I76" s="33" t="s">
        <v>280</v>
      </c>
      <c r="J76" s="33">
        <v>2018</v>
      </c>
      <c r="K76" s="34"/>
      <c r="L76" s="34"/>
      <c r="M76" s="33" t="s">
        <v>308</v>
      </c>
      <c r="N76" s="37" t="s">
        <v>6001</v>
      </c>
      <c r="O76" s="33" t="s">
        <v>6002</v>
      </c>
      <c r="P76" s="33" t="s">
        <v>6003</v>
      </c>
      <c r="Q76" s="33" t="s">
        <v>6004</v>
      </c>
      <c r="R76" s="34"/>
      <c r="S76" s="38"/>
      <c r="T76" s="38" t="s">
        <v>12690</v>
      </c>
    </row>
    <row r="77" spans="1:20" x14ac:dyDescent="0.25">
      <c r="A77" s="33" t="s">
        <v>6284</v>
      </c>
      <c r="B77" s="33" t="s">
        <v>6283</v>
      </c>
      <c r="C77" s="33" t="s">
        <v>13</v>
      </c>
      <c r="D77" s="33" t="s">
        <v>668</v>
      </c>
      <c r="E77" s="33">
        <v>2021</v>
      </c>
      <c r="F77" s="33">
        <v>9</v>
      </c>
      <c r="G77" s="34"/>
      <c r="H77" s="33" t="s">
        <v>6285</v>
      </c>
      <c r="I77" s="34"/>
      <c r="J77" s="33">
        <v>2021</v>
      </c>
      <c r="K77" s="36"/>
      <c r="L77" s="36"/>
      <c r="M77" s="33" t="s">
        <v>670</v>
      </c>
      <c r="N77" s="37" t="s">
        <v>6286</v>
      </c>
      <c r="O77" s="33" t="s">
        <v>6287</v>
      </c>
      <c r="P77" s="33" t="s">
        <v>6288</v>
      </c>
      <c r="Q77" s="36"/>
      <c r="R77" s="36"/>
      <c r="S77" s="33" t="s">
        <v>6289</v>
      </c>
      <c r="T77" s="38" t="s">
        <v>12688</v>
      </c>
    </row>
    <row r="78" spans="1:20" x14ac:dyDescent="0.25">
      <c r="A78" s="33" t="s">
        <v>2215</v>
      </c>
      <c r="B78" s="33" t="s">
        <v>2214</v>
      </c>
      <c r="C78" s="33" t="s">
        <v>13</v>
      </c>
      <c r="D78" s="33" t="s">
        <v>523</v>
      </c>
      <c r="E78" s="33">
        <v>2021</v>
      </c>
      <c r="F78" s="33">
        <v>29</v>
      </c>
      <c r="G78" s="33">
        <v>4</v>
      </c>
      <c r="H78" s="33" t="s">
        <v>2216</v>
      </c>
      <c r="I78" s="33" t="s">
        <v>137</v>
      </c>
      <c r="J78" s="33">
        <v>2021</v>
      </c>
      <c r="K78" s="34"/>
      <c r="L78" s="34"/>
      <c r="M78" s="33" t="s">
        <v>525</v>
      </c>
      <c r="N78" s="37" t="s">
        <v>2217</v>
      </c>
      <c r="O78" s="33" t="s">
        <v>2218</v>
      </c>
      <c r="P78" s="33" t="s">
        <v>2219</v>
      </c>
      <c r="Q78" s="33" t="s">
        <v>318</v>
      </c>
      <c r="R78" s="34"/>
      <c r="S78" s="38"/>
      <c r="T78" s="38" t="s">
        <v>12690</v>
      </c>
    </row>
    <row r="79" spans="1:20" x14ac:dyDescent="0.25">
      <c r="A79" s="39" t="s">
        <v>3675</v>
      </c>
      <c r="B79" s="39" t="s">
        <v>10586</v>
      </c>
      <c r="C79" s="39" t="s">
        <v>9478</v>
      </c>
      <c r="D79" s="36"/>
      <c r="E79" s="39">
        <v>2020</v>
      </c>
      <c r="F79" s="39">
        <v>25</v>
      </c>
      <c r="G79" s="39">
        <v>6</v>
      </c>
      <c r="H79" s="36"/>
      <c r="I79" s="39" t="s">
        <v>136</v>
      </c>
      <c r="J79" s="36"/>
      <c r="K79" s="36"/>
      <c r="L79" s="36"/>
      <c r="M79" s="34"/>
      <c r="N79" s="41" t="s">
        <v>10587</v>
      </c>
      <c r="O79" s="39" t="s">
        <v>3678</v>
      </c>
      <c r="P79" s="33"/>
      <c r="Q79" s="36"/>
      <c r="R79" s="34"/>
      <c r="S79" s="38"/>
      <c r="T79" s="38" t="s">
        <v>12689</v>
      </c>
    </row>
    <row r="80" spans="1:20" x14ac:dyDescent="0.25">
      <c r="A80" s="33" t="s">
        <v>3675</v>
      </c>
      <c r="B80" s="33" t="s">
        <v>3674</v>
      </c>
      <c r="C80" s="33" t="s">
        <v>13</v>
      </c>
      <c r="D80" s="33" t="s">
        <v>136</v>
      </c>
      <c r="E80" s="33">
        <v>2020</v>
      </c>
      <c r="F80" s="33">
        <v>25</v>
      </c>
      <c r="G80" s="33">
        <v>6</v>
      </c>
      <c r="H80" s="33" t="s">
        <v>3676</v>
      </c>
      <c r="I80" s="33" t="s">
        <v>137</v>
      </c>
      <c r="J80" s="33">
        <v>2020</v>
      </c>
      <c r="K80" s="34"/>
      <c r="L80" s="34"/>
      <c r="M80" s="33" t="s">
        <v>33</v>
      </c>
      <c r="N80" s="37" t="s">
        <v>3677</v>
      </c>
      <c r="O80" s="33" t="s">
        <v>3678</v>
      </c>
      <c r="P80" s="33" t="s">
        <v>3679</v>
      </c>
      <c r="Q80" s="33" t="s">
        <v>3680</v>
      </c>
      <c r="R80" s="34"/>
      <c r="S80" s="38"/>
      <c r="T80" s="38" t="s">
        <v>12690</v>
      </c>
    </row>
    <row r="81" spans="1:20" x14ac:dyDescent="0.25">
      <c r="A81" s="39" t="s">
        <v>235</v>
      </c>
      <c r="B81" s="39" t="s">
        <v>9873</v>
      </c>
      <c r="C81" s="39" t="s">
        <v>9478</v>
      </c>
      <c r="D81" s="36"/>
      <c r="E81" s="39">
        <v>2022</v>
      </c>
      <c r="F81" s="39">
        <v>27</v>
      </c>
      <c r="G81" s="39">
        <v>7</v>
      </c>
      <c r="H81" s="36"/>
      <c r="I81" s="39" t="s">
        <v>136</v>
      </c>
      <c r="J81" s="36"/>
      <c r="K81" s="36"/>
      <c r="L81" s="36"/>
      <c r="M81" s="34"/>
      <c r="N81" s="41" t="s">
        <v>9874</v>
      </c>
      <c r="O81" s="39" t="s">
        <v>237</v>
      </c>
      <c r="P81" s="33"/>
      <c r="Q81" s="36"/>
      <c r="R81" s="34"/>
      <c r="S81" s="38"/>
      <c r="T81" s="38" t="s">
        <v>12689</v>
      </c>
    </row>
    <row r="82" spans="1:20" x14ac:dyDescent="0.25">
      <c r="A82" s="33" t="s">
        <v>235</v>
      </c>
      <c r="B82" s="33" t="s">
        <v>234</v>
      </c>
      <c r="C82" s="33" t="s">
        <v>13</v>
      </c>
      <c r="D82" s="33" t="s">
        <v>136</v>
      </c>
      <c r="E82" s="33">
        <v>2022</v>
      </c>
      <c r="F82" s="33">
        <v>27</v>
      </c>
      <c r="G82" s="33">
        <v>7</v>
      </c>
      <c r="H82" s="34"/>
      <c r="I82" s="33" t="s">
        <v>137</v>
      </c>
      <c r="J82" s="33">
        <v>2022</v>
      </c>
      <c r="K82" s="34"/>
      <c r="L82" s="34"/>
      <c r="M82" s="33" t="s">
        <v>33</v>
      </c>
      <c r="N82" s="37" t="s">
        <v>236</v>
      </c>
      <c r="O82" s="33" t="s">
        <v>237</v>
      </c>
      <c r="P82" s="33" t="s">
        <v>238</v>
      </c>
      <c r="Q82" s="33" t="s">
        <v>166</v>
      </c>
      <c r="R82" s="34"/>
      <c r="S82" s="38"/>
      <c r="T82" s="38" t="s">
        <v>12690</v>
      </c>
    </row>
    <row r="83" spans="1:20" x14ac:dyDescent="0.25">
      <c r="A83" s="33" t="s">
        <v>2159</v>
      </c>
      <c r="B83" s="33" t="s">
        <v>2158</v>
      </c>
      <c r="C83" s="33" t="s">
        <v>13</v>
      </c>
      <c r="D83" s="33" t="s">
        <v>255</v>
      </c>
      <c r="E83" s="33">
        <v>2021</v>
      </c>
      <c r="F83" s="33">
        <v>47</v>
      </c>
      <c r="G83" s="33">
        <v>12</v>
      </c>
      <c r="H83" s="33" t="s">
        <v>6458</v>
      </c>
      <c r="I83" s="34"/>
      <c r="J83" s="35">
        <v>44531</v>
      </c>
      <c r="K83" s="36"/>
      <c r="L83" s="36"/>
      <c r="M83" s="33" t="s">
        <v>6115</v>
      </c>
      <c r="N83" s="37" t="s">
        <v>6459</v>
      </c>
      <c r="O83" s="33" t="s">
        <v>2162</v>
      </c>
      <c r="P83" s="33" t="s">
        <v>6460</v>
      </c>
      <c r="Q83" s="36"/>
      <c r="R83" s="36"/>
      <c r="S83" s="33" t="s">
        <v>6461</v>
      </c>
      <c r="T83" s="38" t="s">
        <v>12688</v>
      </c>
    </row>
    <row r="84" spans="1:20" x14ac:dyDescent="0.25">
      <c r="A84" s="33" t="s">
        <v>2159</v>
      </c>
      <c r="B84" s="33" t="s">
        <v>2158</v>
      </c>
      <c r="C84" s="33" t="s">
        <v>13</v>
      </c>
      <c r="D84" s="33" t="s">
        <v>255</v>
      </c>
      <c r="E84" s="33">
        <v>2021</v>
      </c>
      <c r="F84" s="33">
        <v>47</v>
      </c>
      <c r="G84" s="33">
        <v>12</v>
      </c>
      <c r="H84" s="33" t="s">
        <v>2160</v>
      </c>
      <c r="I84" s="33" t="s">
        <v>257</v>
      </c>
      <c r="J84" s="33">
        <v>2021</v>
      </c>
      <c r="K84" s="34"/>
      <c r="L84" s="34"/>
      <c r="M84" s="33" t="s">
        <v>18</v>
      </c>
      <c r="N84" s="37" t="s">
        <v>2161</v>
      </c>
      <c r="O84" s="33" t="s">
        <v>2162</v>
      </c>
      <c r="P84" s="33" t="s">
        <v>2163</v>
      </c>
      <c r="Q84" s="33" t="s">
        <v>1740</v>
      </c>
      <c r="R84" s="34"/>
      <c r="S84" s="38"/>
      <c r="T84" s="38" t="s">
        <v>12690</v>
      </c>
    </row>
    <row r="85" spans="1:20" x14ac:dyDescent="0.25">
      <c r="A85" s="33" t="s">
        <v>11488</v>
      </c>
      <c r="B85" s="33" t="s">
        <v>2171</v>
      </c>
      <c r="C85" s="33" t="s">
        <v>141</v>
      </c>
      <c r="D85" s="34"/>
      <c r="E85" s="33">
        <v>2021</v>
      </c>
      <c r="F85" s="34"/>
      <c r="G85" s="34"/>
      <c r="H85" s="33" t="s">
        <v>11489</v>
      </c>
      <c r="I85" s="44" t="s">
        <v>12703</v>
      </c>
      <c r="J85" s="33">
        <v>2021</v>
      </c>
      <c r="K85" s="33">
        <v>9781450390538</v>
      </c>
      <c r="L85" s="33" t="s">
        <v>11058</v>
      </c>
      <c r="M85" s="34"/>
      <c r="N85" s="37" t="s">
        <v>11490</v>
      </c>
      <c r="O85" s="33" t="s">
        <v>2175</v>
      </c>
      <c r="P85" s="33" t="s">
        <v>11491</v>
      </c>
      <c r="Q85" s="36"/>
      <c r="R85" s="36"/>
      <c r="S85" s="33" t="s">
        <v>11492</v>
      </c>
      <c r="T85" s="33" t="s">
        <v>12692</v>
      </c>
    </row>
    <row r="86" spans="1:20" x14ac:dyDescent="0.25">
      <c r="A86" s="33" t="s">
        <v>11488</v>
      </c>
      <c r="B86" s="33" t="s">
        <v>2171</v>
      </c>
      <c r="C86" s="33" t="s">
        <v>141</v>
      </c>
      <c r="D86" s="34"/>
      <c r="E86" s="33">
        <v>2021</v>
      </c>
      <c r="F86" s="34"/>
      <c r="G86" s="34"/>
      <c r="H86" s="33" t="s">
        <v>2173</v>
      </c>
      <c r="I86" s="33" t="s">
        <v>145</v>
      </c>
      <c r="J86" s="33">
        <v>2021</v>
      </c>
      <c r="K86" s="33">
        <v>9781450390538</v>
      </c>
      <c r="L86" s="34"/>
      <c r="M86" s="34"/>
      <c r="N86" s="37" t="s">
        <v>2174</v>
      </c>
      <c r="O86" s="33" t="s">
        <v>2175</v>
      </c>
      <c r="P86" s="33" t="s">
        <v>2176</v>
      </c>
      <c r="Q86" s="33" t="s">
        <v>520</v>
      </c>
      <c r="R86" s="34"/>
      <c r="S86" s="38"/>
      <c r="T86" s="38" t="s">
        <v>12690</v>
      </c>
    </row>
    <row r="87" spans="1:20" x14ac:dyDescent="0.25">
      <c r="A87" s="33" t="s">
        <v>2912</v>
      </c>
      <c r="B87" s="33" t="s">
        <v>1628</v>
      </c>
      <c r="C87" s="33" t="s">
        <v>141</v>
      </c>
      <c r="D87" s="34"/>
      <c r="E87" s="33">
        <v>2021</v>
      </c>
      <c r="F87" s="33">
        <v>3102</v>
      </c>
      <c r="G87" s="34"/>
      <c r="H87" s="34"/>
      <c r="I87" s="33" t="s">
        <v>613</v>
      </c>
      <c r="J87" s="33">
        <v>2021</v>
      </c>
      <c r="K87" s="34"/>
      <c r="L87" s="34"/>
      <c r="M87" s="33" t="s">
        <v>614</v>
      </c>
      <c r="N87" s="37" t="s">
        <v>2913</v>
      </c>
      <c r="O87" s="34"/>
      <c r="P87" s="33" t="s">
        <v>2914</v>
      </c>
      <c r="Q87" s="33" t="s">
        <v>157</v>
      </c>
      <c r="R87" s="34"/>
      <c r="S87" s="38"/>
      <c r="T87" s="38" t="s">
        <v>12690</v>
      </c>
    </row>
    <row r="88" spans="1:20" x14ac:dyDescent="0.25">
      <c r="A88" s="33" t="s">
        <v>1349</v>
      </c>
      <c r="B88" s="33" t="s">
        <v>1348</v>
      </c>
      <c r="C88" s="33" t="s">
        <v>13</v>
      </c>
      <c r="D88" s="33" t="s">
        <v>307</v>
      </c>
      <c r="E88" s="33">
        <v>2022</v>
      </c>
      <c r="F88" s="33">
        <v>142</v>
      </c>
      <c r="G88" s="34"/>
      <c r="H88" s="34"/>
      <c r="I88" s="33" t="s">
        <v>280</v>
      </c>
      <c r="J88" s="33">
        <v>2022</v>
      </c>
      <c r="K88" s="34"/>
      <c r="L88" s="34"/>
      <c r="M88" s="33" t="s">
        <v>308</v>
      </c>
      <c r="N88" s="37" t="s">
        <v>1350</v>
      </c>
      <c r="O88" s="33" t="s">
        <v>1351</v>
      </c>
      <c r="P88" s="33" t="s">
        <v>1352</v>
      </c>
      <c r="Q88" s="33" t="s">
        <v>206</v>
      </c>
      <c r="R88" s="34"/>
      <c r="S88" s="38"/>
      <c r="T88" s="38" t="s">
        <v>12690</v>
      </c>
    </row>
    <row r="89" spans="1:20" x14ac:dyDescent="0.25">
      <c r="A89" s="33" t="s">
        <v>5757</v>
      </c>
      <c r="B89" s="33" t="s">
        <v>5756</v>
      </c>
      <c r="C89" s="33" t="s">
        <v>141</v>
      </c>
      <c r="D89" s="34"/>
      <c r="E89" s="33">
        <v>2017</v>
      </c>
      <c r="F89" s="33" t="s">
        <v>5390</v>
      </c>
      <c r="G89" s="34"/>
      <c r="H89" s="33" t="s">
        <v>5758</v>
      </c>
      <c r="I89" s="33" t="s">
        <v>145</v>
      </c>
      <c r="J89" s="33">
        <v>2017</v>
      </c>
      <c r="K89" s="33">
        <v>9781450348041</v>
      </c>
      <c r="L89" s="34"/>
      <c r="M89" s="34"/>
      <c r="N89" s="37" t="s">
        <v>5759</v>
      </c>
      <c r="O89" s="33" t="s">
        <v>5760</v>
      </c>
      <c r="P89" s="33" t="s">
        <v>5761</v>
      </c>
      <c r="Q89" s="33" t="s">
        <v>5708</v>
      </c>
      <c r="R89" s="34"/>
      <c r="S89" s="38"/>
      <c r="T89" s="38" t="s">
        <v>12690</v>
      </c>
    </row>
    <row r="90" spans="1:20" x14ac:dyDescent="0.25">
      <c r="A90" s="33" t="s">
        <v>8122</v>
      </c>
      <c r="B90" s="33" t="s">
        <v>8121</v>
      </c>
      <c r="C90" s="33" t="s">
        <v>141</v>
      </c>
      <c r="D90" s="34"/>
      <c r="E90" s="33">
        <v>2019</v>
      </c>
      <c r="F90" s="34"/>
      <c r="G90" s="34"/>
      <c r="H90" s="33" t="s">
        <v>8123</v>
      </c>
      <c r="I90" s="33" t="s">
        <v>8124</v>
      </c>
      <c r="J90" s="35">
        <v>43800</v>
      </c>
      <c r="K90" s="34"/>
      <c r="L90" s="36"/>
      <c r="M90" s="34"/>
      <c r="N90" s="37" t="s">
        <v>8125</v>
      </c>
      <c r="O90" s="33" t="s">
        <v>8126</v>
      </c>
      <c r="P90" s="33" t="s">
        <v>8127</v>
      </c>
      <c r="Q90" s="36"/>
      <c r="R90" s="36"/>
      <c r="S90" s="33" t="s">
        <v>8128</v>
      </c>
      <c r="T90" s="38" t="s">
        <v>12688</v>
      </c>
    </row>
    <row r="91" spans="1:20" x14ac:dyDescent="0.25">
      <c r="A91" s="39" t="s">
        <v>10418</v>
      </c>
      <c r="B91" s="39" t="s">
        <v>10420</v>
      </c>
      <c r="C91" s="39" t="s">
        <v>9478</v>
      </c>
      <c r="D91" s="36"/>
      <c r="E91" s="39">
        <v>2022</v>
      </c>
      <c r="F91" s="39">
        <v>30</v>
      </c>
      <c r="G91" s="39">
        <v>3</v>
      </c>
      <c r="H91" s="36"/>
      <c r="I91" s="39" t="s">
        <v>523</v>
      </c>
      <c r="J91" s="36"/>
      <c r="K91" s="36"/>
      <c r="L91" s="36"/>
      <c r="M91" s="34"/>
      <c r="N91" s="41" t="s">
        <v>10421</v>
      </c>
      <c r="O91" s="39" t="s">
        <v>10419</v>
      </c>
      <c r="P91" s="33"/>
      <c r="Q91" s="36"/>
      <c r="R91" s="34"/>
      <c r="S91" s="38"/>
      <c r="T91" s="38" t="s">
        <v>12689</v>
      </c>
    </row>
    <row r="92" spans="1:20" x14ac:dyDescent="0.25">
      <c r="A92" s="33" t="s">
        <v>8456</v>
      </c>
      <c r="B92" s="33" t="s">
        <v>8455</v>
      </c>
      <c r="C92" s="33" t="s">
        <v>13</v>
      </c>
      <c r="D92" s="33" t="s">
        <v>307</v>
      </c>
      <c r="E92" s="33">
        <v>2019</v>
      </c>
      <c r="F92" s="33">
        <v>109</v>
      </c>
      <c r="G92" s="36"/>
      <c r="H92" s="33" t="s">
        <v>8457</v>
      </c>
      <c r="I92" s="36"/>
      <c r="J92" s="33">
        <v>2019</v>
      </c>
      <c r="K92" s="34"/>
      <c r="L92" s="34"/>
      <c r="M92" s="33" t="s">
        <v>308</v>
      </c>
      <c r="N92" s="37" t="s">
        <v>8458</v>
      </c>
      <c r="O92" s="33" t="s">
        <v>8459</v>
      </c>
      <c r="P92" s="33" t="s">
        <v>8460</v>
      </c>
      <c r="Q92" s="36"/>
      <c r="R92" s="36"/>
      <c r="S92" s="33" t="s">
        <v>8461</v>
      </c>
      <c r="T92" s="38" t="s">
        <v>12693</v>
      </c>
    </row>
    <row r="93" spans="1:20" x14ac:dyDescent="0.25">
      <c r="A93" s="39" t="s">
        <v>1546</v>
      </c>
      <c r="B93" s="39" t="s">
        <v>10622</v>
      </c>
      <c r="C93" s="39" t="s">
        <v>9539</v>
      </c>
      <c r="D93" s="36"/>
      <c r="E93" s="39">
        <v>2022</v>
      </c>
      <c r="F93" s="40"/>
      <c r="G93" s="40"/>
      <c r="H93" s="36"/>
      <c r="I93" s="39" t="s">
        <v>9579</v>
      </c>
      <c r="J93" s="36"/>
      <c r="K93" s="36"/>
      <c r="L93" s="36"/>
      <c r="M93" s="34"/>
      <c r="N93" s="41" t="s">
        <v>10743</v>
      </c>
      <c r="O93" s="39" t="s">
        <v>1551</v>
      </c>
      <c r="P93" s="33"/>
      <c r="Q93" s="36"/>
      <c r="R93" s="34"/>
      <c r="S93" s="38"/>
      <c r="T93" s="38" t="s">
        <v>12689</v>
      </c>
    </row>
    <row r="94" spans="1:20" x14ac:dyDescent="0.25">
      <c r="A94" s="33" t="s">
        <v>1546</v>
      </c>
      <c r="B94" s="33" t="s">
        <v>1545</v>
      </c>
      <c r="C94" s="33" t="s">
        <v>13</v>
      </c>
      <c r="D94" s="33" t="s">
        <v>1547</v>
      </c>
      <c r="E94" s="33">
        <v>2022</v>
      </c>
      <c r="F94" s="33">
        <v>881</v>
      </c>
      <c r="G94" s="34"/>
      <c r="H94" s="33" t="s">
        <v>1548</v>
      </c>
      <c r="I94" s="33" t="s">
        <v>212</v>
      </c>
      <c r="J94" s="33">
        <v>2022</v>
      </c>
      <c r="K94" s="34"/>
      <c r="L94" s="34"/>
      <c r="M94" s="33" t="s">
        <v>1549</v>
      </c>
      <c r="N94" s="37" t="s">
        <v>1550</v>
      </c>
      <c r="O94" s="33" t="s">
        <v>1551</v>
      </c>
      <c r="P94" s="33" t="s">
        <v>1552</v>
      </c>
      <c r="Q94" s="33" t="s">
        <v>157</v>
      </c>
      <c r="R94" s="34"/>
      <c r="S94" s="38"/>
      <c r="T94" s="38" t="s">
        <v>12690</v>
      </c>
    </row>
    <row r="95" spans="1:20" x14ac:dyDescent="0.25">
      <c r="A95" s="33" t="s">
        <v>6682</v>
      </c>
      <c r="B95" s="33" t="s">
        <v>3939</v>
      </c>
      <c r="C95" s="33" t="s">
        <v>141</v>
      </c>
      <c r="D95" s="34"/>
      <c r="E95" s="33">
        <v>2019</v>
      </c>
      <c r="F95" s="34"/>
      <c r="G95" s="34"/>
      <c r="H95" s="33" t="s">
        <v>3941</v>
      </c>
      <c r="I95" s="33" t="s">
        <v>257</v>
      </c>
      <c r="J95" s="33">
        <v>2019</v>
      </c>
      <c r="K95" s="33">
        <v>9781728151656</v>
      </c>
      <c r="L95" s="34"/>
      <c r="M95" s="34"/>
      <c r="N95" s="37" t="s">
        <v>3942</v>
      </c>
      <c r="O95" s="33" t="s">
        <v>3943</v>
      </c>
      <c r="P95" s="33" t="s">
        <v>3944</v>
      </c>
      <c r="Q95" s="33" t="s">
        <v>176</v>
      </c>
      <c r="R95" s="34"/>
      <c r="S95" s="38"/>
      <c r="T95" s="38" t="s">
        <v>12690</v>
      </c>
    </row>
    <row r="96" spans="1:20" x14ac:dyDescent="0.25">
      <c r="A96" s="33" t="s">
        <v>6682</v>
      </c>
      <c r="B96" s="33" t="s">
        <v>6681</v>
      </c>
      <c r="C96" s="33" t="s">
        <v>141</v>
      </c>
      <c r="D96" s="34"/>
      <c r="E96" s="33">
        <v>2019</v>
      </c>
      <c r="F96" s="34"/>
      <c r="G96" s="34"/>
      <c r="H96" s="33" t="s">
        <v>6683</v>
      </c>
      <c r="I96" s="33" t="s">
        <v>6684</v>
      </c>
      <c r="J96" s="43">
        <v>43709</v>
      </c>
      <c r="K96" s="36"/>
      <c r="L96" s="36"/>
      <c r="M96" s="34"/>
      <c r="N96" s="37" t="s">
        <v>6685</v>
      </c>
      <c r="O96" s="33" t="s">
        <v>3943</v>
      </c>
      <c r="P96" s="33" t="s">
        <v>6686</v>
      </c>
      <c r="Q96" s="36"/>
      <c r="R96" s="36"/>
      <c r="S96" s="33" t="s">
        <v>6687</v>
      </c>
      <c r="T96" s="38" t="s">
        <v>12688</v>
      </c>
    </row>
    <row r="97" spans="1:20" x14ac:dyDescent="0.25">
      <c r="A97" s="33" t="s">
        <v>2758</v>
      </c>
      <c r="B97" s="33" t="s">
        <v>2757</v>
      </c>
      <c r="C97" s="33" t="s">
        <v>13</v>
      </c>
      <c r="D97" s="33" t="s">
        <v>668</v>
      </c>
      <c r="E97" s="33">
        <v>2021</v>
      </c>
      <c r="F97" s="33">
        <v>9</v>
      </c>
      <c r="G97" s="34"/>
      <c r="H97" s="33" t="s">
        <v>2759</v>
      </c>
      <c r="I97" s="33" t="s">
        <v>257</v>
      </c>
      <c r="J97" s="33">
        <v>2021</v>
      </c>
      <c r="K97" s="34"/>
      <c r="L97" s="34"/>
      <c r="M97" s="33" t="s">
        <v>670</v>
      </c>
      <c r="N97" s="37" t="s">
        <v>2760</v>
      </c>
      <c r="O97" s="33" t="s">
        <v>2761</v>
      </c>
      <c r="P97" s="33" t="s">
        <v>2762</v>
      </c>
      <c r="Q97" s="33" t="s">
        <v>2763</v>
      </c>
      <c r="R97" s="34"/>
      <c r="S97" s="38"/>
      <c r="T97" s="38" t="s">
        <v>12690</v>
      </c>
    </row>
    <row r="98" spans="1:20" x14ac:dyDescent="0.25">
      <c r="A98" s="33" t="s">
        <v>1712</v>
      </c>
      <c r="B98" s="33" t="s">
        <v>1711</v>
      </c>
      <c r="C98" s="33" t="s">
        <v>13</v>
      </c>
      <c r="D98" s="33" t="s">
        <v>1713</v>
      </c>
      <c r="E98" s="33">
        <v>2022</v>
      </c>
      <c r="F98" s="33">
        <v>36</v>
      </c>
      <c r="G98" s="33">
        <v>1</v>
      </c>
      <c r="H98" s="34"/>
      <c r="I98" s="33" t="s">
        <v>1714</v>
      </c>
      <c r="J98" s="33">
        <v>2022</v>
      </c>
      <c r="K98" s="34"/>
      <c r="L98" s="34"/>
      <c r="M98" s="33" t="s">
        <v>1715</v>
      </c>
      <c r="N98" s="37" t="s">
        <v>1716</v>
      </c>
      <c r="O98" s="33" t="s">
        <v>1717</v>
      </c>
      <c r="P98" s="33" t="s">
        <v>1718</v>
      </c>
      <c r="Q98" s="33" t="s">
        <v>140</v>
      </c>
      <c r="R98" s="34"/>
      <c r="S98" s="38"/>
      <c r="T98" s="38" t="s">
        <v>12690</v>
      </c>
    </row>
    <row r="99" spans="1:20" x14ac:dyDescent="0.25">
      <c r="A99" s="33" t="s">
        <v>1354</v>
      </c>
      <c r="B99" s="33" t="s">
        <v>1353</v>
      </c>
      <c r="C99" s="33" t="s">
        <v>13</v>
      </c>
      <c r="D99" s="33" t="s">
        <v>1355</v>
      </c>
      <c r="E99" s="33">
        <v>2022</v>
      </c>
      <c r="F99" s="33">
        <v>201</v>
      </c>
      <c r="G99" s="34"/>
      <c r="H99" s="34"/>
      <c r="I99" s="33" t="s">
        <v>1060</v>
      </c>
      <c r="J99" s="33">
        <v>2022</v>
      </c>
      <c r="K99" s="34"/>
      <c r="L99" s="34"/>
      <c r="M99" s="33" t="s">
        <v>1356</v>
      </c>
      <c r="N99" s="37" t="s">
        <v>1357</v>
      </c>
      <c r="O99" s="33" t="s">
        <v>1358</v>
      </c>
      <c r="P99" s="33" t="s">
        <v>1359</v>
      </c>
      <c r="Q99" s="33" t="s">
        <v>318</v>
      </c>
      <c r="R99" s="34"/>
      <c r="S99" s="38"/>
      <c r="T99" s="38" t="s">
        <v>12690</v>
      </c>
    </row>
    <row r="100" spans="1:20" x14ac:dyDescent="0.25">
      <c r="A100" s="33" t="s">
        <v>12420</v>
      </c>
      <c r="B100" s="33" t="s">
        <v>12419</v>
      </c>
      <c r="C100" s="33" t="s">
        <v>141</v>
      </c>
      <c r="D100" s="34"/>
      <c r="E100" s="33">
        <v>2019</v>
      </c>
      <c r="F100" s="34"/>
      <c r="G100" s="34"/>
      <c r="H100" s="33" t="s">
        <v>12421</v>
      </c>
      <c r="I100" s="44" t="s">
        <v>12704</v>
      </c>
      <c r="J100" s="33">
        <v>2019</v>
      </c>
      <c r="K100" s="33">
        <v>9781450368506</v>
      </c>
      <c r="L100" s="33" t="s">
        <v>12427</v>
      </c>
      <c r="M100" s="34"/>
      <c r="N100" s="37" t="s">
        <v>12423</v>
      </c>
      <c r="O100" s="33" t="s">
        <v>12424</v>
      </c>
      <c r="P100" s="33" t="s">
        <v>12425</v>
      </c>
      <c r="Q100" s="36"/>
      <c r="R100" s="36"/>
      <c r="S100" s="33" t="s">
        <v>12426</v>
      </c>
      <c r="T100" s="33" t="s">
        <v>12692</v>
      </c>
    </row>
    <row r="101" spans="1:20" x14ac:dyDescent="0.25">
      <c r="A101" s="39" t="s">
        <v>10406</v>
      </c>
      <c r="B101" s="39" t="s">
        <v>10408</v>
      </c>
      <c r="C101" s="39" t="s">
        <v>9478</v>
      </c>
      <c r="D101" s="36"/>
      <c r="E101" s="39">
        <v>2020</v>
      </c>
      <c r="F101" s="39">
        <v>28</v>
      </c>
      <c r="G101" s="39">
        <v>3</v>
      </c>
      <c r="H101" s="36"/>
      <c r="I101" s="39" t="s">
        <v>523</v>
      </c>
      <c r="J101" s="36"/>
      <c r="K101" s="36"/>
      <c r="L101" s="36"/>
      <c r="M101" s="34"/>
      <c r="N101" s="41" t="s">
        <v>10409</v>
      </c>
      <c r="O101" s="39" t="s">
        <v>10407</v>
      </c>
      <c r="P101" s="33"/>
      <c r="Q101" s="36"/>
      <c r="R101" s="34"/>
      <c r="S101" s="38"/>
      <c r="T101" s="38" t="s">
        <v>12689</v>
      </c>
    </row>
    <row r="102" spans="1:20" x14ac:dyDescent="0.25">
      <c r="A102" s="33" t="s">
        <v>3731</v>
      </c>
      <c r="B102" s="33" t="s">
        <v>3730</v>
      </c>
      <c r="C102" s="33" t="s">
        <v>141</v>
      </c>
      <c r="D102" s="34"/>
      <c r="E102" s="33">
        <v>2021</v>
      </c>
      <c r="F102" s="45">
        <v>44531</v>
      </c>
      <c r="G102" s="34"/>
      <c r="H102" s="33" t="s">
        <v>3732</v>
      </c>
      <c r="I102" s="33" t="s">
        <v>3733</v>
      </c>
      <c r="J102" s="33">
        <v>2021</v>
      </c>
      <c r="K102" s="33">
        <v>9781665458139</v>
      </c>
      <c r="L102" s="34"/>
      <c r="M102" s="33" t="s">
        <v>3734</v>
      </c>
      <c r="N102" s="37" t="s">
        <v>3735</v>
      </c>
      <c r="O102" s="33" t="s">
        <v>3736</v>
      </c>
      <c r="P102" s="33" t="s">
        <v>3737</v>
      </c>
      <c r="Q102" s="33" t="s">
        <v>289</v>
      </c>
      <c r="R102" s="34"/>
      <c r="S102" s="38"/>
      <c r="T102" s="38" t="s">
        <v>12690</v>
      </c>
    </row>
    <row r="103" spans="1:20" x14ac:dyDescent="0.25">
      <c r="A103" s="33" t="s">
        <v>3731</v>
      </c>
      <c r="B103" s="33" t="s">
        <v>7197</v>
      </c>
      <c r="C103" s="33" t="s">
        <v>141</v>
      </c>
      <c r="D103" s="34"/>
      <c r="E103" s="33">
        <v>2021</v>
      </c>
      <c r="F103" s="34"/>
      <c r="G103" s="34"/>
      <c r="H103" s="33" t="s">
        <v>7198</v>
      </c>
      <c r="I103" s="33" t="s">
        <v>7199</v>
      </c>
      <c r="J103" s="35">
        <v>44531</v>
      </c>
      <c r="K103" s="36"/>
      <c r="L103" s="36"/>
      <c r="M103" s="33" t="s">
        <v>3734</v>
      </c>
      <c r="N103" s="37" t="s">
        <v>7200</v>
      </c>
      <c r="O103" s="33" t="s">
        <v>3736</v>
      </c>
      <c r="P103" s="33" t="s">
        <v>7201</v>
      </c>
      <c r="Q103" s="36"/>
      <c r="R103" s="36"/>
      <c r="S103" s="33" t="s">
        <v>7202</v>
      </c>
      <c r="T103" s="38" t="s">
        <v>12688</v>
      </c>
    </row>
    <row r="104" spans="1:20" x14ac:dyDescent="0.25">
      <c r="A104" s="33" t="s">
        <v>5855</v>
      </c>
      <c r="B104" s="33" t="s">
        <v>5854</v>
      </c>
      <c r="C104" s="33" t="s">
        <v>141</v>
      </c>
      <c r="D104" s="34"/>
      <c r="E104" s="33">
        <v>2018</v>
      </c>
      <c r="F104" s="45">
        <v>43282</v>
      </c>
      <c r="G104" s="34"/>
      <c r="H104" s="33" t="s">
        <v>5856</v>
      </c>
      <c r="I104" s="33" t="s">
        <v>933</v>
      </c>
      <c r="J104" s="33">
        <v>2018</v>
      </c>
      <c r="K104" s="33">
        <v>9781891706448</v>
      </c>
      <c r="L104" s="34"/>
      <c r="M104" s="33" t="s">
        <v>934</v>
      </c>
      <c r="N104" s="37" t="s">
        <v>5857</v>
      </c>
      <c r="O104" s="33" t="s">
        <v>5858</v>
      </c>
      <c r="P104" s="33" t="s">
        <v>5859</v>
      </c>
      <c r="Q104" s="33" t="s">
        <v>5860</v>
      </c>
      <c r="R104" s="34"/>
      <c r="S104" s="38"/>
      <c r="T104" s="38" t="s">
        <v>12690</v>
      </c>
    </row>
    <row r="105" spans="1:20" x14ac:dyDescent="0.25">
      <c r="A105" s="33" t="s">
        <v>11680</v>
      </c>
      <c r="B105" s="33" t="s">
        <v>2718</v>
      </c>
      <c r="C105" s="33" t="s">
        <v>141</v>
      </c>
      <c r="D105" s="34"/>
      <c r="E105" s="33">
        <v>2020</v>
      </c>
      <c r="F105" s="34"/>
      <c r="G105" s="34"/>
      <c r="H105" s="33" t="s">
        <v>11481</v>
      </c>
      <c r="I105" s="44" t="s">
        <v>12705</v>
      </c>
      <c r="J105" s="33">
        <v>2020</v>
      </c>
      <c r="K105" s="33">
        <v>9781450381246</v>
      </c>
      <c r="L105" s="33" t="s">
        <v>11686</v>
      </c>
      <c r="M105" s="34"/>
      <c r="N105" s="37" t="s">
        <v>11683</v>
      </c>
      <c r="O105" s="33" t="s">
        <v>2721</v>
      </c>
      <c r="P105" s="33" t="s">
        <v>11684</v>
      </c>
      <c r="Q105" s="36"/>
      <c r="R105" s="36"/>
      <c r="S105" s="33" t="s">
        <v>11685</v>
      </c>
      <c r="T105" s="33" t="s">
        <v>12692</v>
      </c>
    </row>
    <row r="106" spans="1:20" x14ac:dyDescent="0.25">
      <c r="A106" s="33" t="s">
        <v>11680</v>
      </c>
      <c r="B106" s="33" t="s">
        <v>2718</v>
      </c>
      <c r="C106" s="33" t="s">
        <v>141</v>
      </c>
      <c r="D106" s="34"/>
      <c r="E106" s="33">
        <v>2020</v>
      </c>
      <c r="F106" s="34"/>
      <c r="G106" s="34"/>
      <c r="H106" s="33" t="s">
        <v>750</v>
      </c>
      <c r="I106" s="33" t="s">
        <v>153</v>
      </c>
      <c r="J106" s="33">
        <v>2020</v>
      </c>
      <c r="K106" s="33">
        <v>9781450381246</v>
      </c>
      <c r="L106" s="34"/>
      <c r="M106" s="34"/>
      <c r="N106" s="37" t="s">
        <v>2720</v>
      </c>
      <c r="O106" s="33" t="s">
        <v>2721</v>
      </c>
      <c r="P106" s="33" t="s">
        <v>2722</v>
      </c>
      <c r="Q106" s="33" t="s">
        <v>2723</v>
      </c>
      <c r="R106" s="34"/>
      <c r="S106" s="38"/>
      <c r="T106" s="38" t="s">
        <v>12690</v>
      </c>
    </row>
    <row r="107" spans="1:20" x14ac:dyDescent="0.25">
      <c r="A107" s="33" t="s">
        <v>6298</v>
      </c>
      <c r="B107" s="33" t="s">
        <v>6297</v>
      </c>
      <c r="C107" s="33" t="s">
        <v>141</v>
      </c>
      <c r="D107" s="34"/>
      <c r="E107" s="33">
        <v>2021</v>
      </c>
      <c r="F107" s="34"/>
      <c r="G107" s="34"/>
      <c r="H107" s="33" t="s">
        <v>11409</v>
      </c>
      <c r="I107" s="44" t="s">
        <v>12706</v>
      </c>
      <c r="J107" s="33">
        <v>2021</v>
      </c>
      <c r="K107" s="34"/>
      <c r="L107" s="33" t="s">
        <v>11089</v>
      </c>
      <c r="M107" s="34"/>
      <c r="N107" s="37" t="s">
        <v>11412</v>
      </c>
      <c r="O107" s="33" t="s">
        <v>6302</v>
      </c>
      <c r="P107" s="33" t="s">
        <v>6303</v>
      </c>
      <c r="Q107" s="36"/>
      <c r="R107" s="36"/>
      <c r="S107" s="33" t="s">
        <v>11413</v>
      </c>
      <c r="T107" s="33" t="s">
        <v>12692</v>
      </c>
    </row>
    <row r="108" spans="1:20" x14ac:dyDescent="0.25">
      <c r="A108" s="33" t="s">
        <v>6298</v>
      </c>
      <c r="B108" s="33" t="s">
        <v>6297</v>
      </c>
      <c r="C108" s="33" t="s">
        <v>141</v>
      </c>
      <c r="D108" s="34"/>
      <c r="E108" s="33">
        <v>2021</v>
      </c>
      <c r="F108" s="34"/>
      <c r="G108" s="34"/>
      <c r="H108" s="33" t="s">
        <v>6299</v>
      </c>
      <c r="I108" s="33" t="s">
        <v>6300</v>
      </c>
      <c r="J108" s="43">
        <v>44317</v>
      </c>
      <c r="K108" s="36"/>
      <c r="L108" s="36"/>
      <c r="M108" s="33" t="s">
        <v>6112</v>
      </c>
      <c r="N108" s="37" t="s">
        <v>6301</v>
      </c>
      <c r="O108" s="33" t="s">
        <v>6302</v>
      </c>
      <c r="P108" s="33" t="s">
        <v>6303</v>
      </c>
      <c r="Q108" s="36"/>
      <c r="R108" s="36"/>
      <c r="S108" s="33" t="s">
        <v>6304</v>
      </c>
      <c r="T108" s="38" t="s">
        <v>12688</v>
      </c>
    </row>
    <row r="109" spans="1:20" x14ac:dyDescent="0.25">
      <c r="A109" s="33" t="s">
        <v>11164</v>
      </c>
      <c r="B109" s="33" t="s">
        <v>4251</v>
      </c>
      <c r="C109" s="33" t="s">
        <v>141</v>
      </c>
      <c r="D109" s="34"/>
      <c r="E109" s="33">
        <v>2019</v>
      </c>
      <c r="F109" s="34"/>
      <c r="G109" s="34"/>
      <c r="H109" s="33" t="s">
        <v>4253</v>
      </c>
      <c r="I109" s="33" t="s">
        <v>257</v>
      </c>
      <c r="J109" s="33">
        <v>2019</v>
      </c>
      <c r="K109" s="33">
        <v>9781728133713</v>
      </c>
      <c r="L109" s="34"/>
      <c r="M109" s="34"/>
      <c r="N109" s="37" t="s">
        <v>4254</v>
      </c>
      <c r="O109" s="33" t="s">
        <v>4255</v>
      </c>
      <c r="P109" s="33" t="s">
        <v>4256</v>
      </c>
      <c r="Q109" s="33" t="s">
        <v>2723</v>
      </c>
      <c r="R109" s="34"/>
      <c r="S109" s="38"/>
      <c r="T109" s="38" t="s">
        <v>12690</v>
      </c>
    </row>
    <row r="110" spans="1:20" x14ac:dyDescent="0.25">
      <c r="A110" s="33" t="s">
        <v>11164</v>
      </c>
      <c r="B110" s="33" t="s">
        <v>11163</v>
      </c>
      <c r="C110" s="33" t="s">
        <v>141</v>
      </c>
      <c r="D110" s="34"/>
      <c r="E110" s="33">
        <v>2019</v>
      </c>
      <c r="F110" s="34"/>
      <c r="G110" s="34"/>
      <c r="H110" s="33" t="s">
        <v>11165</v>
      </c>
      <c r="I110" s="44" t="s">
        <v>12707</v>
      </c>
      <c r="J110" s="33">
        <v>2019</v>
      </c>
      <c r="K110" s="34"/>
      <c r="L110" s="33" t="s">
        <v>11170</v>
      </c>
      <c r="M110" s="34"/>
      <c r="N110" s="37" t="s">
        <v>11167</v>
      </c>
      <c r="O110" s="33" t="s">
        <v>4255</v>
      </c>
      <c r="P110" s="33" t="s">
        <v>11168</v>
      </c>
      <c r="Q110" s="36"/>
      <c r="R110" s="36"/>
      <c r="S110" s="33" t="s">
        <v>11169</v>
      </c>
      <c r="T110" s="33" t="s">
        <v>12692</v>
      </c>
    </row>
    <row r="111" spans="1:20" x14ac:dyDescent="0.25">
      <c r="A111" s="33" t="s">
        <v>3971</v>
      </c>
      <c r="B111" s="33" t="s">
        <v>3970</v>
      </c>
      <c r="C111" s="33" t="s">
        <v>13</v>
      </c>
      <c r="D111" s="33" t="s">
        <v>3972</v>
      </c>
      <c r="E111" s="33">
        <v>2020</v>
      </c>
      <c r="F111" s="33">
        <v>30</v>
      </c>
      <c r="G111" s="33">
        <v>1</v>
      </c>
      <c r="H111" s="33" t="s">
        <v>3973</v>
      </c>
      <c r="I111" s="33" t="s">
        <v>137</v>
      </c>
      <c r="J111" s="33">
        <v>2020</v>
      </c>
      <c r="K111" s="34"/>
      <c r="L111" s="34"/>
      <c r="M111" s="33" t="s">
        <v>3974</v>
      </c>
      <c r="N111" s="37" t="s">
        <v>3975</v>
      </c>
      <c r="O111" s="33" t="s">
        <v>3976</v>
      </c>
      <c r="P111" s="33" t="s">
        <v>3977</v>
      </c>
      <c r="Q111" s="33" t="s">
        <v>1573</v>
      </c>
      <c r="R111" s="34"/>
      <c r="S111" s="38"/>
      <c r="T111" s="38" t="s">
        <v>12690</v>
      </c>
    </row>
    <row r="112" spans="1:20" x14ac:dyDescent="0.25">
      <c r="A112" s="33" t="s">
        <v>1720</v>
      </c>
      <c r="B112" s="33" t="s">
        <v>1719</v>
      </c>
      <c r="C112" s="33" t="s">
        <v>13</v>
      </c>
      <c r="D112" s="33" t="s">
        <v>1721</v>
      </c>
      <c r="E112" s="33">
        <v>2021</v>
      </c>
      <c r="F112" s="33">
        <v>63</v>
      </c>
      <c r="G112" s="33">
        <v>4</v>
      </c>
      <c r="H112" s="33" t="s">
        <v>1722</v>
      </c>
      <c r="I112" s="33" t="s">
        <v>590</v>
      </c>
      <c r="J112" s="33">
        <v>2021</v>
      </c>
      <c r="K112" s="34"/>
      <c r="L112" s="34"/>
      <c r="M112" s="33" t="s">
        <v>1723</v>
      </c>
      <c r="N112" s="37" t="s">
        <v>1724</v>
      </c>
      <c r="O112" s="33" t="s">
        <v>1725</v>
      </c>
      <c r="P112" s="33" t="s">
        <v>1726</v>
      </c>
      <c r="Q112" s="33" t="s">
        <v>585</v>
      </c>
      <c r="R112" s="34"/>
      <c r="S112" s="38"/>
      <c r="T112" s="38" t="s">
        <v>12690</v>
      </c>
    </row>
    <row r="113" spans="1:20" x14ac:dyDescent="0.25">
      <c r="A113" s="33" t="s">
        <v>6886</v>
      </c>
      <c r="B113" s="33" t="s">
        <v>6885</v>
      </c>
      <c r="C113" s="33" t="s">
        <v>141</v>
      </c>
      <c r="D113" s="34"/>
      <c r="E113" s="33">
        <v>2018</v>
      </c>
      <c r="F113" s="34"/>
      <c r="G113" s="34"/>
      <c r="H113" s="33" t="s">
        <v>6887</v>
      </c>
      <c r="I113" s="33" t="s">
        <v>6145</v>
      </c>
      <c r="J113" s="43">
        <v>43313</v>
      </c>
      <c r="K113" s="36"/>
      <c r="L113" s="36"/>
      <c r="M113" s="34"/>
      <c r="N113" s="37" t="s">
        <v>6888</v>
      </c>
      <c r="O113" s="33" t="s">
        <v>6889</v>
      </c>
      <c r="P113" s="33" t="s">
        <v>6890</v>
      </c>
      <c r="Q113" s="36"/>
      <c r="R113" s="36"/>
      <c r="S113" s="33" t="s">
        <v>6891</v>
      </c>
      <c r="T113" s="38" t="s">
        <v>12688</v>
      </c>
    </row>
    <row r="114" spans="1:20" x14ac:dyDescent="0.25">
      <c r="A114" s="33" t="s">
        <v>684</v>
      </c>
      <c r="B114" s="33" t="s">
        <v>683</v>
      </c>
      <c r="C114" s="33" t="s">
        <v>13</v>
      </c>
      <c r="D114" s="33" t="s">
        <v>8421</v>
      </c>
      <c r="E114" s="33">
        <v>2022</v>
      </c>
      <c r="F114" s="33">
        <v>115</v>
      </c>
      <c r="G114" s="36"/>
      <c r="H114" s="33" t="s">
        <v>8897</v>
      </c>
      <c r="I114" s="36"/>
      <c r="J114" s="33">
        <v>2022</v>
      </c>
      <c r="K114" s="34"/>
      <c r="L114" s="34"/>
      <c r="M114" s="33" t="s">
        <v>456</v>
      </c>
      <c r="N114" s="37" t="s">
        <v>8898</v>
      </c>
      <c r="O114" s="33" t="s">
        <v>687</v>
      </c>
      <c r="P114" s="33" t="s">
        <v>8899</v>
      </c>
      <c r="Q114" s="36"/>
      <c r="R114" s="36"/>
      <c r="S114" s="33" t="s">
        <v>8900</v>
      </c>
      <c r="T114" s="38" t="s">
        <v>12693</v>
      </c>
    </row>
    <row r="115" spans="1:20" x14ac:dyDescent="0.25">
      <c r="A115" s="33" t="s">
        <v>684</v>
      </c>
      <c r="B115" s="33" t="s">
        <v>683</v>
      </c>
      <c r="C115" s="33" t="s">
        <v>141</v>
      </c>
      <c r="D115" s="34"/>
      <c r="E115" s="33">
        <v>2022</v>
      </c>
      <c r="F115" s="33">
        <v>115</v>
      </c>
      <c r="G115" s="34"/>
      <c r="H115" s="33" t="s">
        <v>685</v>
      </c>
      <c r="I115" s="33" t="s">
        <v>280</v>
      </c>
      <c r="J115" s="33">
        <v>2022</v>
      </c>
      <c r="K115" s="34"/>
      <c r="L115" s="34"/>
      <c r="M115" s="33" t="s">
        <v>456</v>
      </c>
      <c r="N115" s="37" t="s">
        <v>686</v>
      </c>
      <c r="O115" s="33" t="s">
        <v>687</v>
      </c>
      <c r="P115" s="33" t="s">
        <v>688</v>
      </c>
      <c r="Q115" s="33" t="s">
        <v>285</v>
      </c>
      <c r="R115" s="34"/>
      <c r="S115" s="38"/>
      <c r="T115" s="38" t="s">
        <v>12690</v>
      </c>
    </row>
    <row r="116" spans="1:20" x14ac:dyDescent="0.25">
      <c r="A116" s="39" t="s">
        <v>10476</v>
      </c>
      <c r="B116" s="39" t="s">
        <v>10478</v>
      </c>
      <c r="C116" s="39" t="s">
        <v>9539</v>
      </c>
      <c r="D116" s="36"/>
      <c r="E116" s="39">
        <v>2017</v>
      </c>
      <c r="F116" s="40"/>
      <c r="G116" s="40"/>
      <c r="H116" s="36"/>
      <c r="I116" s="39" t="s">
        <v>10475</v>
      </c>
      <c r="J116" s="36"/>
      <c r="K116" s="36"/>
      <c r="L116" s="36"/>
      <c r="M116" s="34"/>
      <c r="N116" s="41" t="s">
        <v>10479</v>
      </c>
      <c r="O116" s="39" t="s">
        <v>10477</v>
      </c>
      <c r="P116" s="33"/>
      <c r="Q116" s="36"/>
      <c r="R116" s="34"/>
      <c r="S116" s="38"/>
      <c r="T116" s="38" t="s">
        <v>12689</v>
      </c>
    </row>
    <row r="117" spans="1:20" x14ac:dyDescent="0.25">
      <c r="A117" s="33" t="s">
        <v>12447</v>
      </c>
      <c r="B117" s="33" t="s">
        <v>12446</v>
      </c>
      <c r="C117" s="33" t="s">
        <v>141</v>
      </c>
      <c r="D117" s="34"/>
      <c r="E117" s="33">
        <v>2020</v>
      </c>
      <c r="F117" s="34"/>
      <c r="G117" s="34"/>
      <c r="H117" s="34"/>
      <c r="I117" s="44" t="s">
        <v>12708</v>
      </c>
      <c r="J117" s="33">
        <v>2020</v>
      </c>
      <c r="K117" s="33">
        <v>9781450377331</v>
      </c>
      <c r="L117" s="33" t="s">
        <v>12454</v>
      </c>
      <c r="M117" s="34"/>
      <c r="N117" s="37" t="s">
        <v>12450</v>
      </c>
      <c r="O117" s="33" t="s">
        <v>12451</v>
      </c>
      <c r="P117" s="33" t="s">
        <v>12452</v>
      </c>
      <c r="Q117" s="36"/>
      <c r="R117" s="36"/>
      <c r="S117" s="33" t="s">
        <v>12453</v>
      </c>
      <c r="T117" s="33" t="s">
        <v>12692</v>
      </c>
    </row>
    <row r="118" spans="1:20" x14ac:dyDescent="0.25">
      <c r="A118" s="33" t="s">
        <v>6950</v>
      </c>
      <c r="B118" s="33" t="s">
        <v>6949</v>
      </c>
      <c r="C118" s="33" t="s">
        <v>141</v>
      </c>
      <c r="D118" s="34"/>
      <c r="E118" s="33">
        <v>2018</v>
      </c>
      <c r="F118" s="34"/>
      <c r="G118" s="34"/>
      <c r="H118" s="33" t="s">
        <v>6951</v>
      </c>
      <c r="I118" s="33" t="s">
        <v>6952</v>
      </c>
      <c r="J118" s="43">
        <v>43313</v>
      </c>
      <c r="K118" s="36"/>
      <c r="L118" s="36"/>
      <c r="M118" s="34"/>
      <c r="N118" s="37" t="s">
        <v>6953</v>
      </c>
      <c r="O118" s="33" t="s">
        <v>6954</v>
      </c>
      <c r="P118" s="33" t="s">
        <v>6955</v>
      </c>
      <c r="Q118" s="36"/>
      <c r="R118" s="36"/>
      <c r="S118" s="33" t="s">
        <v>6956</v>
      </c>
      <c r="T118" s="38" t="s">
        <v>12688</v>
      </c>
    </row>
    <row r="119" spans="1:20" x14ac:dyDescent="0.25">
      <c r="A119" s="33" t="s">
        <v>5925</v>
      </c>
      <c r="B119" s="33" t="s">
        <v>5924</v>
      </c>
      <c r="C119" s="33" t="s">
        <v>13</v>
      </c>
      <c r="D119" s="33" t="s">
        <v>3475</v>
      </c>
      <c r="E119" s="33">
        <v>2019</v>
      </c>
      <c r="F119" s="33">
        <v>741</v>
      </c>
      <c r="G119" s="34"/>
      <c r="H119" s="33" t="s">
        <v>5926</v>
      </c>
      <c r="I119" s="33" t="s">
        <v>4155</v>
      </c>
      <c r="J119" s="33">
        <v>2019</v>
      </c>
      <c r="K119" s="34"/>
      <c r="L119" s="34"/>
      <c r="M119" s="33" t="s">
        <v>3478</v>
      </c>
      <c r="N119" s="37" t="s">
        <v>5927</v>
      </c>
      <c r="O119" s="33" t="s">
        <v>5928</v>
      </c>
      <c r="P119" s="33" t="s">
        <v>5929</v>
      </c>
      <c r="Q119" s="33" t="s">
        <v>5930</v>
      </c>
      <c r="R119" s="34"/>
      <c r="S119" s="38"/>
      <c r="T119" s="38" t="s">
        <v>12690</v>
      </c>
    </row>
    <row r="120" spans="1:20" x14ac:dyDescent="0.25">
      <c r="A120" s="33" t="s">
        <v>5353</v>
      </c>
      <c r="B120" s="33" t="s">
        <v>5352</v>
      </c>
      <c r="C120" s="33" t="s">
        <v>141</v>
      </c>
      <c r="D120" s="34"/>
      <c r="E120" s="33">
        <v>2016</v>
      </c>
      <c r="F120" s="33" t="s">
        <v>5354</v>
      </c>
      <c r="G120" s="34"/>
      <c r="H120" s="34"/>
      <c r="I120" s="33" t="s">
        <v>145</v>
      </c>
      <c r="J120" s="33">
        <v>2016</v>
      </c>
      <c r="K120" s="33">
        <v>9781450336918</v>
      </c>
      <c r="L120" s="34"/>
      <c r="M120" s="34"/>
      <c r="N120" s="37" t="s">
        <v>5355</v>
      </c>
      <c r="O120" s="33" t="s">
        <v>5356</v>
      </c>
      <c r="P120" s="33" t="s">
        <v>5357</v>
      </c>
      <c r="Q120" s="33" t="s">
        <v>5358</v>
      </c>
      <c r="R120" s="34"/>
      <c r="S120" s="38"/>
      <c r="T120" s="38" t="s">
        <v>12690</v>
      </c>
    </row>
    <row r="121" spans="1:20" x14ac:dyDescent="0.25">
      <c r="A121" s="33" t="s">
        <v>5225</v>
      </c>
      <c r="B121" s="33" t="s">
        <v>5224</v>
      </c>
      <c r="C121" s="33" t="s">
        <v>13</v>
      </c>
      <c r="D121" s="33" t="s">
        <v>5226</v>
      </c>
      <c r="E121" s="33">
        <v>2017</v>
      </c>
      <c r="F121" s="33">
        <v>23</v>
      </c>
      <c r="G121" s="33">
        <v>5</v>
      </c>
      <c r="H121" s="33" t="s">
        <v>5227</v>
      </c>
      <c r="I121" s="33" t="s">
        <v>5228</v>
      </c>
      <c r="J121" s="33">
        <v>2017</v>
      </c>
      <c r="K121" s="34"/>
      <c r="L121" s="34"/>
      <c r="M121" s="33" t="s">
        <v>5229</v>
      </c>
      <c r="N121" s="37" t="s">
        <v>5230</v>
      </c>
      <c r="O121" s="33" t="s">
        <v>5231</v>
      </c>
      <c r="P121" s="33" t="s">
        <v>5232</v>
      </c>
      <c r="Q121" s="33" t="s">
        <v>2420</v>
      </c>
      <c r="R121" s="34"/>
      <c r="S121" s="38"/>
      <c r="T121" s="38" t="s">
        <v>12690</v>
      </c>
    </row>
    <row r="122" spans="1:20" x14ac:dyDescent="0.25">
      <c r="A122" s="39" t="s">
        <v>9960</v>
      </c>
      <c r="B122" s="39" t="s">
        <v>9962</v>
      </c>
      <c r="C122" s="39" t="s">
        <v>9539</v>
      </c>
      <c r="D122" s="36"/>
      <c r="E122" s="39">
        <v>2020</v>
      </c>
      <c r="F122" s="40"/>
      <c r="G122" s="40"/>
      <c r="H122" s="36"/>
      <c r="I122" s="39" t="s">
        <v>9481</v>
      </c>
      <c r="J122" s="36"/>
      <c r="K122" s="36"/>
      <c r="L122" s="36"/>
      <c r="M122" s="34"/>
      <c r="N122" s="41" t="s">
        <v>9963</v>
      </c>
      <c r="O122" s="39" t="s">
        <v>9961</v>
      </c>
      <c r="P122" s="33"/>
      <c r="Q122" s="36"/>
      <c r="R122" s="34"/>
      <c r="S122" s="38"/>
      <c r="T122" s="38" t="s">
        <v>12689</v>
      </c>
    </row>
    <row r="123" spans="1:20" x14ac:dyDescent="0.25">
      <c r="A123" s="33" t="s">
        <v>102</v>
      </c>
      <c r="B123" s="33" t="s">
        <v>101</v>
      </c>
      <c r="C123" s="33" t="s">
        <v>13</v>
      </c>
      <c r="D123" s="33" t="s">
        <v>103</v>
      </c>
      <c r="E123" s="33">
        <v>2022</v>
      </c>
      <c r="F123" s="33">
        <v>10</v>
      </c>
      <c r="G123" s="33">
        <v>1</v>
      </c>
      <c r="H123" s="34"/>
      <c r="I123" s="38" t="s">
        <v>12699</v>
      </c>
      <c r="J123" s="33" t="s">
        <v>104</v>
      </c>
      <c r="K123" s="33" t="s">
        <v>105</v>
      </c>
      <c r="L123" s="38" t="s">
        <v>12699</v>
      </c>
      <c r="M123" s="38" t="s">
        <v>12699</v>
      </c>
      <c r="N123" s="37" t="s">
        <v>106</v>
      </c>
      <c r="O123" s="33" t="s">
        <v>107</v>
      </c>
      <c r="P123" s="33" t="s">
        <v>108</v>
      </c>
      <c r="Q123" s="38" t="s">
        <v>12699</v>
      </c>
      <c r="R123" s="38" t="s">
        <v>12699</v>
      </c>
      <c r="S123" s="38"/>
      <c r="T123" s="38" t="s">
        <v>12700</v>
      </c>
    </row>
    <row r="124" spans="1:20" x14ac:dyDescent="0.25">
      <c r="A124" s="39" t="s">
        <v>1032</v>
      </c>
      <c r="B124" s="39" t="s">
        <v>10382</v>
      </c>
      <c r="C124" s="39" t="s">
        <v>9478</v>
      </c>
      <c r="D124" s="36"/>
      <c r="E124" s="39">
        <v>2022</v>
      </c>
      <c r="F124" s="39">
        <v>47</v>
      </c>
      <c r="G124" s="39">
        <v>2</v>
      </c>
      <c r="H124" s="36"/>
      <c r="I124" s="39" t="s">
        <v>1033</v>
      </c>
      <c r="J124" s="36"/>
      <c r="K124" s="36"/>
      <c r="L124" s="36"/>
      <c r="M124" s="34"/>
      <c r="N124" s="41" t="s">
        <v>10383</v>
      </c>
      <c r="O124" s="39" t="s">
        <v>1037</v>
      </c>
      <c r="P124" s="33"/>
      <c r="Q124" s="36"/>
      <c r="R124" s="34"/>
      <c r="S124" s="38"/>
      <c r="T124" s="38" t="s">
        <v>12689</v>
      </c>
    </row>
    <row r="125" spans="1:20" x14ac:dyDescent="0.25">
      <c r="A125" s="33" t="s">
        <v>1032</v>
      </c>
      <c r="B125" s="33" t="s">
        <v>1031</v>
      </c>
      <c r="C125" s="33" t="s">
        <v>13</v>
      </c>
      <c r="D125" s="33" t="s">
        <v>1033</v>
      </c>
      <c r="E125" s="33">
        <v>2022</v>
      </c>
      <c r="F125" s="33">
        <v>47</v>
      </c>
      <c r="G125" s="33">
        <v>2</v>
      </c>
      <c r="H125" s="33" t="s">
        <v>1034</v>
      </c>
      <c r="I125" s="33" t="s">
        <v>212</v>
      </c>
      <c r="J125" s="33">
        <v>2022</v>
      </c>
      <c r="K125" s="34"/>
      <c r="L125" s="34"/>
      <c r="M125" s="33" t="s">
        <v>1035</v>
      </c>
      <c r="N125" s="37" t="s">
        <v>1036</v>
      </c>
      <c r="O125" s="33" t="s">
        <v>1037</v>
      </c>
      <c r="P125" s="33" t="s">
        <v>1038</v>
      </c>
      <c r="Q125" s="33" t="s">
        <v>176</v>
      </c>
      <c r="R125" s="34"/>
      <c r="S125" s="38"/>
      <c r="T125" s="38" t="s">
        <v>12690</v>
      </c>
    </row>
    <row r="126" spans="1:20" x14ac:dyDescent="0.25">
      <c r="A126" s="33" t="s">
        <v>1932</v>
      </c>
      <c r="B126" s="33" t="s">
        <v>1931</v>
      </c>
      <c r="C126" s="33" t="s">
        <v>539</v>
      </c>
      <c r="D126" s="34"/>
      <c r="E126" s="33">
        <v>2021</v>
      </c>
      <c r="F126" s="34"/>
      <c r="G126" s="34"/>
      <c r="H126" s="34"/>
      <c r="I126" s="33" t="s">
        <v>1465</v>
      </c>
      <c r="J126" s="33">
        <v>2021</v>
      </c>
      <c r="K126" s="33">
        <v>9781799869863</v>
      </c>
      <c r="L126" s="33">
        <v>9781799869856</v>
      </c>
      <c r="M126" s="34"/>
      <c r="N126" s="37" t="s">
        <v>1933</v>
      </c>
      <c r="O126" s="33" t="s">
        <v>1934</v>
      </c>
      <c r="P126" s="33" t="s">
        <v>1935</v>
      </c>
      <c r="Q126" s="33" t="s">
        <v>176</v>
      </c>
      <c r="R126" s="33" t="s">
        <v>1936</v>
      </c>
      <c r="S126" s="38"/>
      <c r="T126" s="38" t="s">
        <v>12690</v>
      </c>
    </row>
    <row r="127" spans="1:20" x14ac:dyDescent="0.25">
      <c r="A127" s="33" t="s">
        <v>8826</v>
      </c>
      <c r="B127" s="33" t="s">
        <v>8825</v>
      </c>
      <c r="C127" s="33" t="s">
        <v>13</v>
      </c>
      <c r="D127" s="33" t="s">
        <v>354</v>
      </c>
      <c r="E127" s="33">
        <v>2021</v>
      </c>
      <c r="F127" s="33">
        <v>180</v>
      </c>
      <c r="G127" s="36"/>
      <c r="H127" s="33">
        <v>111031</v>
      </c>
      <c r="I127" s="36"/>
      <c r="J127" s="33">
        <v>2021</v>
      </c>
      <c r="K127" s="34"/>
      <c r="L127" s="34"/>
      <c r="M127" s="33" t="s">
        <v>65</v>
      </c>
      <c r="N127" s="37" t="s">
        <v>8827</v>
      </c>
      <c r="O127" s="33" t="s">
        <v>8828</v>
      </c>
      <c r="P127" s="33" t="s">
        <v>8829</v>
      </c>
      <c r="Q127" s="36"/>
      <c r="R127" s="36"/>
      <c r="S127" s="33" t="s">
        <v>8830</v>
      </c>
      <c r="T127" s="38" t="s">
        <v>12693</v>
      </c>
    </row>
    <row r="128" spans="1:20" x14ac:dyDescent="0.25">
      <c r="A128" s="33" t="s">
        <v>9052</v>
      </c>
      <c r="B128" s="33" t="s">
        <v>9051</v>
      </c>
      <c r="C128" s="33" t="s">
        <v>13</v>
      </c>
      <c r="D128" s="33" t="s">
        <v>307</v>
      </c>
      <c r="E128" s="33">
        <v>2018</v>
      </c>
      <c r="F128" s="33">
        <v>102</v>
      </c>
      <c r="G128" s="36"/>
      <c r="H128" s="33" t="s">
        <v>9053</v>
      </c>
      <c r="I128" s="36"/>
      <c r="J128" s="33">
        <v>2018</v>
      </c>
      <c r="K128" s="34"/>
      <c r="L128" s="34"/>
      <c r="M128" s="33" t="s">
        <v>308</v>
      </c>
      <c r="N128" s="37" t="s">
        <v>9054</v>
      </c>
      <c r="O128" s="33" t="s">
        <v>9055</v>
      </c>
      <c r="P128" s="33" t="s">
        <v>9056</v>
      </c>
      <c r="Q128" s="36"/>
      <c r="R128" s="36"/>
      <c r="S128" s="33" t="s">
        <v>9057</v>
      </c>
      <c r="T128" s="38" t="s">
        <v>12693</v>
      </c>
    </row>
    <row r="129" spans="1:20" x14ac:dyDescent="0.25">
      <c r="A129" s="39" t="s">
        <v>10317</v>
      </c>
      <c r="B129" s="39" t="s">
        <v>10319</v>
      </c>
      <c r="C129" s="39" t="s">
        <v>9539</v>
      </c>
      <c r="D129" s="36"/>
      <c r="E129" s="39">
        <v>2021</v>
      </c>
      <c r="F129" s="40"/>
      <c r="G129" s="40"/>
      <c r="H129" s="36"/>
      <c r="I129" s="39" t="s">
        <v>10316</v>
      </c>
      <c r="J129" s="36"/>
      <c r="K129" s="36"/>
      <c r="L129" s="36"/>
      <c r="M129" s="34"/>
      <c r="N129" s="41" t="s">
        <v>10320</v>
      </c>
      <c r="O129" s="39" t="s">
        <v>10318</v>
      </c>
      <c r="P129" s="33"/>
      <c r="Q129" s="36"/>
      <c r="R129" s="34"/>
      <c r="S129" s="38"/>
      <c r="T129" s="38" t="s">
        <v>12689</v>
      </c>
    </row>
    <row r="130" spans="1:20" x14ac:dyDescent="0.25">
      <c r="A130" s="33" t="s">
        <v>2023</v>
      </c>
      <c r="B130" s="33" t="s">
        <v>2022</v>
      </c>
      <c r="C130" s="33" t="s">
        <v>13</v>
      </c>
      <c r="D130" s="33" t="s">
        <v>2024</v>
      </c>
      <c r="E130" s="33">
        <v>2022</v>
      </c>
      <c r="F130" s="33">
        <v>18</v>
      </c>
      <c r="G130" s="33">
        <v>2</v>
      </c>
      <c r="H130" s="33" t="s">
        <v>2025</v>
      </c>
      <c r="I130" s="33" t="s">
        <v>2026</v>
      </c>
      <c r="J130" s="33">
        <v>2022</v>
      </c>
      <c r="K130" s="34"/>
      <c r="L130" s="34"/>
      <c r="M130" s="33" t="s">
        <v>2027</v>
      </c>
      <c r="N130" s="37" t="s">
        <v>2028</v>
      </c>
      <c r="O130" s="33" t="s">
        <v>2029</v>
      </c>
      <c r="P130" s="33" t="s">
        <v>2030</v>
      </c>
      <c r="Q130" s="33" t="s">
        <v>896</v>
      </c>
      <c r="R130" s="34"/>
      <c r="S130" s="38"/>
      <c r="T130" s="38" t="s">
        <v>12690</v>
      </c>
    </row>
    <row r="131" spans="1:20" x14ac:dyDescent="0.25">
      <c r="A131" s="33" t="s">
        <v>4091</v>
      </c>
      <c r="B131" s="33" t="s">
        <v>4090</v>
      </c>
      <c r="C131" s="33" t="s">
        <v>141</v>
      </c>
      <c r="D131" s="34"/>
      <c r="E131" s="33">
        <v>2019</v>
      </c>
      <c r="F131" s="34"/>
      <c r="G131" s="34"/>
      <c r="H131" s="33" t="s">
        <v>6694</v>
      </c>
      <c r="I131" s="33" t="s">
        <v>6399</v>
      </c>
      <c r="J131" s="43">
        <v>43678</v>
      </c>
      <c r="K131" s="36"/>
      <c r="L131" s="36"/>
      <c r="M131" s="34"/>
      <c r="N131" s="37" t="s">
        <v>6695</v>
      </c>
      <c r="O131" s="33" t="s">
        <v>4094</v>
      </c>
      <c r="P131" s="33" t="s">
        <v>6696</v>
      </c>
      <c r="Q131" s="36"/>
      <c r="R131" s="36"/>
      <c r="S131" s="33" t="s">
        <v>6697</v>
      </c>
      <c r="T131" s="38" t="s">
        <v>12688</v>
      </c>
    </row>
    <row r="132" spans="1:20" x14ac:dyDescent="0.25">
      <c r="A132" s="33" t="s">
        <v>4091</v>
      </c>
      <c r="B132" s="33" t="s">
        <v>4090</v>
      </c>
      <c r="C132" s="33" t="s">
        <v>141</v>
      </c>
      <c r="D132" s="34"/>
      <c r="E132" s="33">
        <v>2019</v>
      </c>
      <c r="F132" s="34"/>
      <c r="G132" s="34"/>
      <c r="H132" s="33" t="s">
        <v>4092</v>
      </c>
      <c r="I132" s="33" t="s">
        <v>257</v>
      </c>
      <c r="J132" s="33">
        <v>2019</v>
      </c>
      <c r="K132" s="33">
        <v>9781728132853</v>
      </c>
      <c r="L132" s="34"/>
      <c r="M132" s="34"/>
      <c r="N132" s="37" t="s">
        <v>4093</v>
      </c>
      <c r="O132" s="33" t="s">
        <v>4094</v>
      </c>
      <c r="P132" s="33" t="s">
        <v>4095</v>
      </c>
      <c r="Q132" s="33" t="s">
        <v>1765</v>
      </c>
      <c r="R132" s="34"/>
      <c r="S132" s="38"/>
      <c r="T132" s="38" t="s">
        <v>12690</v>
      </c>
    </row>
    <row r="133" spans="1:20" x14ac:dyDescent="0.25">
      <c r="A133" s="33" t="s">
        <v>9038</v>
      </c>
      <c r="B133" s="33" t="s">
        <v>9037</v>
      </c>
      <c r="C133" s="33" t="s">
        <v>13</v>
      </c>
      <c r="D133" s="33" t="s">
        <v>354</v>
      </c>
      <c r="E133" s="33">
        <v>2021</v>
      </c>
      <c r="F133" s="33">
        <v>178</v>
      </c>
      <c r="G133" s="36"/>
      <c r="H133" s="33">
        <v>110984</v>
      </c>
      <c r="I133" s="36"/>
      <c r="J133" s="33">
        <v>2021</v>
      </c>
      <c r="K133" s="34"/>
      <c r="L133" s="34"/>
      <c r="M133" s="33" t="s">
        <v>65</v>
      </c>
      <c r="N133" s="37" t="s">
        <v>9039</v>
      </c>
      <c r="O133" s="33" t="s">
        <v>9040</v>
      </c>
      <c r="P133" s="33" t="s">
        <v>9041</v>
      </c>
      <c r="Q133" s="36"/>
      <c r="R133" s="36"/>
      <c r="S133" s="33" t="s">
        <v>9042</v>
      </c>
      <c r="T133" s="38" t="s">
        <v>12693</v>
      </c>
    </row>
    <row r="134" spans="1:20" x14ac:dyDescent="0.25">
      <c r="A134" s="33" t="s">
        <v>11339</v>
      </c>
      <c r="B134" s="33" t="s">
        <v>11338</v>
      </c>
      <c r="C134" s="33" t="s">
        <v>141</v>
      </c>
      <c r="D134" s="34"/>
      <c r="E134" s="33">
        <v>2018</v>
      </c>
      <c r="F134" s="34"/>
      <c r="G134" s="34"/>
      <c r="H134" s="33" t="s">
        <v>11103</v>
      </c>
      <c r="I134" s="44" t="s">
        <v>12709</v>
      </c>
      <c r="J134" s="33">
        <v>2018</v>
      </c>
      <c r="K134" s="33">
        <v>9781450365659</v>
      </c>
      <c r="L134" s="33" t="s">
        <v>11345</v>
      </c>
      <c r="M134" s="34"/>
      <c r="N134" s="37" t="s">
        <v>11342</v>
      </c>
      <c r="O134" s="33" t="s">
        <v>5153</v>
      </c>
      <c r="P134" s="33" t="s">
        <v>11343</v>
      </c>
      <c r="Q134" s="36"/>
      <c r="R134" s="36"/>
      <c r="S134" s="33" t="s">
        <v>11344</v>
      </c>
      <c r="T134" s="33" t="s">
        <v>12692</v>
      </c>
    </row>
    <row r="135" spans="1:20" x14ac:dyDescent="0.25">
      <c r="A135" s="33" t="s">
        <v>11339</v>
      </c>
      <c r="B135" s="33" t="s">
        <v>5150</v>
      </c>
      <c r="C135" s="33" t="s">
        <v>141</v>
      </c>
      <c r="D135" s="34"/>
      <c r="E135" s="33">
        <v>2018</v>
      </c>
      <c r="F135" s="34"/>
      <c r="G135" s="34"/>
      <c r="H135" s="33" t="s">
        <v>2496</v>
      </c>
      <c r="I135" s="33" t="s">
        <v>145</v>
      </c>
      <c r="J135" s="33">
        <v>2018</v>
      </c>
      <c r="K135" s="33">
        <v>9781450365659</v>
      </c>
      <c r="L135" s="34"/>
      <c r="M135" s="34"/>
      <c r="N135" s="37" t="s">
        <v>5152</v>
      </c>
      <c r="O135" s="33" t="s">
        <v>5153</v>
      </c>
      <c r="P135" s="33" t="s">
        <v>5154</v>
      </c>
      <c r="Q135" s="33" t="s">
        <v>176</v>
      </c>
      <c r="R135" s="34"/>
      <c r="S135" s="38"/>
      <c r="T135" s="38" t="s">
        <v>12690</v>
      </c>
    </row>
    <row r="136" spans="1:20" x14ac:dyDescent="0.25">
      <c r="A136" s="33" t="s">
        <v>4903</v>
      </c>
      <c r="B136" s="33" t="s">
        <v>4902</v>
      </c>
      <c r="C136" s="33" t="s">
        <v>13</v>
      </c>
      <c r="D136" s="33" t="s">
        <v>4904</v>
      </c>
      <c r="E136" s="33">
        <v>2019</v>
      </c>
      <c r="F136" s="33">
        <v>9</v>
      </c>
      <c r="G136" s="33">
        <v>2</v>
      </c>
      <c r="H136" s="33" t="s">
        <v>4905</v>
      </c>
      <c r="I136" s="33" t="s">
        <v>4906</v>
      </c>
      <c r="J136" s="33">
        <v>2019</v>
      </c>
      <c r="K136" s="34"/>
      <c r="L136" s="34"/>
      <c r="M136" s="33" t="s">
        <v>4907</v>
      </c>
      <c r="N136" s="37" t="s">
        <v>4908</v>
      </c>
      <c r="O136" s="33" t="s">
        <v>4909</v>
      </c>
      <c r="P136" s="33" t="s">
        <v>4910</v>
      </c>
      <c r="Q136" s="33" t="s">
        <v>2636</v>
      </c>
      <c r="R136" s="34"/>
      <c r="S136" s="38"/>
      <c r="T136" s="38" t="s">
        <v>12690</v>
      </c>
    </row>
    <row r="137" spans="1:20" x14ac:dyDescent="0.25">
      <c r="A137" s="33" t="s">
        <v>8737</v>
      </c>
      <c r="B137" s="33" t="s">
        <v>8735</v>
      </c>
      <c r="C137" s="33" t="s">
        <v>7972</v>
      </c>
      <c r="D137" s="34"/>
      <c r="E137" s="33">
        <v>2016</v>
      </c>
      <c r="F137" s="34"/>
      <c r="G137" s="36"/>
      <c r="H137" s="33" t="s">
        <v>8738</v>
      </c>
      <c r="I137" s="36"/>
      <c r="J137" s="33">
        <v>2016</v>
      </c>
      <c r="K137" s="33" t="s">
        <v>8739</v>
      </c>
      <c r="L137" s="33" t="s">
        <v>8740</v>
      </c>
      <c r="M137" s="34"/>
      <c r="N137" s="37" t="s">
        <v>8742</v>
      </c>
      <c r="O137" s="33" t="s">
        <v>8743</v>
      </c>
      <c r="P137" s="33" t="s">
        <v>8744</v>
      </c>
      <c r="Q137" s="36"/>
      <c r="R137" s="36"/>
      <c r="S137" s="33" t="s">
        <v>8745</v>
      </c>
      <c r="T137" s="38" t="s">
        <v>12693</v>
      </c>
    </row>
    <row r="138" spans="1:20" x14ac:dyDescent="0.25">
      <c r="A138" s="33" t="s">
        <v>5365</v>
      </c>
      <c r="B138" s="33" t="s">
        <v>4803</v>
      </c>
      <c r="C138" s="33" t="s">
        <v>13</v>
      </c>
      <c r="D138" s="33" t="s">
        <v>5366</v>
      </c>
      <c r="E138" s="33">
        <v>2018</v>
      </c>
      <c r="F138" s="33">
        <v>51</v>
      </c>
      <c r="G138" s="33">
        <v>3</v>
      </c>
      <c r="H138" s="34"/>
      <c r="I138" s="33" t="s">
        <v>145</v>
      </c>
      <c r="J138" s="33">
        <v>2018</v>
      </c>
      <c r="K138" s="34"/>
      <c r="L138" s="34"/>
      <c r="M138" s="33" t="s">
        <v>5367</v>
      </c>
      <c r="N138" s="37" t="s">
        <v>5368</v>
      </c>
      <c r="O138" s="33" t="s">
        <v>5369</v>
      </c>
      <c r="P138" s="33" t="s">
        <v>5370</v>
      </c>
      <c r="Q138" s="33" t="s">
        <v>5371</v>
      </c>
      <c r="R138" s="34"/>
      <c r="S138" s="38"/>
      <c r="T138" s="38" t="s">
        <v>12690</v>
      </c>
    </row>
    <row r="139" spans="1:20" x14ac:dyDescent="0.25">
      <c r="A139" s="33" t="s">
        <v>898</v>
      </c>
      <c r="B139" s="33" t="s">
        <v>897</v>
      </c>
      <c r="C139" s="33" t="s">
        <v>13</v>
      </c>
      <c r="D139" s="33" t="s">
        <v>899</v>
      </c>
      <c r="E139" s="33">
        <v>2022</v>
      </c>
      <c r="F139" s="33">
        <v>5</v>
      </c>
      <c r="G139" s="33">
        <v>1</v>
      </c>
      <c r="H139" s="33" t="s">
        <v>900</v>
      </c>
      <c r="I139" s="33" t="s">
        <v>228</v>
      </c>
      <c r="J139" s="33">
        <v>2022</v>
      </c>
      <c r="K139" s="34"/>
      <c r="L139" s="34"/>
      <c r="M139" s="33" t="s">
        <v>901</v>
      </c>
      <c r="N139" s="37" t="s">
        <v>902</v>
      </c>
      <c r="O139" s="33" t="s">
        <v>903</v>
      </c>
      <c r="P139" s="33" t="s">
        <v>904</v>
      </c>
      <c r="Q139" s="33" t="s">
        <v>447</v>
      </c>
      <c r="R139" s="34"/>
      <c r="S139" s="38"/>
      <c r="T139" s="38" t="s">
        <v>12690</v>
      </c>
    </row>
    <row r="140" spans="1:20" x14ac:dyDescent="0.25">
      <c r="A140" s="39" t="s">
        <v>10980</v>
      </c>
      <c r="B140" s="39" t="s">
        <v>10982</v>
      </c>
      <c r="C140" s="39" t="s">
        <v>9539</v>
      </c>
      <c r="D140" s="36"/>
      <c r="E140" s="39">
        <v>2018</v>
      </c>
      <c r="F140" s="40"/>
      <c r="G140" s="40"/>
      <c r="H140" s="36"/>
      <c r="I140" s="39" t="s">
        <v>10979</v>
      </c>
      <c r="J140" s="36"/>
      <c r="K140" s="36"/>
      <c r="L140" s="36"/>
      <c r="M140" s="34"/>
      <c r="N140" s="41" t="s">
        <v>10983</v>
      </c>
      <c r="O140" s="39" t="s">
        <v>10981</v>
      </c>
      <c r="P140" s="33"/>
      <c r="Q140" s="36"/>
      <c r="R140" s="34"/>
      <c r="S140" s="38"/>
      <c r="T140" s="38" t="s">
        <v>12689</v>
      </c>
    </row>
    <row r="141" spans="1:20" x14ac:dyDescent="0.25">
      <c r="A141" s="33" t="s">
        <v>7674</v>
      </c>
      <c r="B141" s="33" t="s">
        <v>1371</v>
      </c>
      <c r="C141" s="33" t="s">
        <v>141</v>
      </c>
      <c r="D141" s="34"/>
      <c r="E141" s="33">
        <v>2018</v>
      </c>
      <c r="F141" s="34"/>
      <c r="G141" s="34"/>
      <c r="H141" s="33" t="s">
        <v>7675</v>
      </c>
      <c r="I141" s="33" t="s">
        <v>7403</v>
      </c>
      <c r="J141" s="43">
        <v>43282</v>
      </c>
      <c r="K141" s="36"/>
      <c r="L141" s="36"/>
      <c r="M141" s="34"/>
      <c r="N141" s="37" t="s">
        <v>7676</v>
      </c>
      <c r="O141" s="33" t="s">
        <v>7677</v>
      </c>
      <c r="P141" s="33" t="s">
        <v>7678</v>
      </c>
      <c r="Q141" s="36"/>
      <c r="R141" s="36"/>
      <c r="S141" s="33" t="s">
        <v>7679</v>
      </c>
      <c r="T141" s="38" t="s">
        <v>12688</v>
      </c>
    </row>
    <row r="142" spans="1:20" x14ac:dyDescent="0.25">
      <c r="A142" s="39" t="s">
        <v>10256</v>
      </c>
      <c r="B142" s="39" t="s">
        <v>10258</v>
      </c>
      <c r="C142" s="39" t="s">
        <v>9478</v>
      </c>
      <c r="D142" s="36"/>
      <c r="E142" s="39">
        <v>2018</v>
      </c>
      <c r="F142" s="39">
        <v>6</v>
      </c>
      <c r="G142" s="39">
        <v>1</v>
      </c>
      <c r="H142" s="36"/>
      <c r="I142" s="39" t="s">
        <v>10255</v>
      </c>
      <c r="J142" s="36"/>
      <c r="K142" s="36"/>
      <c r="L142" s="36"/>
      <c r="M142" s="34"/>
      <c r="N142" s="41" t="s">
        <v>10259</v>
      </c>
      <c r="O142" s="39" t="s">
        <v>10257</v>
      </c>
      <c r="P142" s="33"/>
      <c r="Q142" s="36"/>
      <c r="R142" s="34"/>
      <c r="S142" s="38"/>
      <c r="T142" s="38" t="s">
        <v>12689</v>
      </c>
    </row>
    <row r="143" spans="1:20" x14ac:dyDescent="0.25">
      <c r="A143" s="33" t="s">
        <v>4004</v>
      </c>
      <c r="B143" s="33" t="s">
        <v>4003</v>
      </c>
      <c r="C143" s="33" t="s">
        <v>13</v>
      </c>
      <c r="D143" s="33" t="s">
        <v>354</v>
      </c>
      <c r="E143" s="33">
        <v>2019</v>
      </c>
      <c r="F143" s="33">
        <v>152</v>
      </c>
      <c r="G143" s="36"/>
      <c r="H143" s="33" t="s">
        <v>8922</v>
      </c>
      <c r="I143" s="36"/>
      <c r="J143" s="33">
        <v>2019</v>
      </c>
      <c r="K143" s="34"/>
      <c r="L143" s="34"/>
      <c r="M143" s="33" t="s">
        <v>65</v>
      </c>
      <c r="N143" s="37" t="s">
        <v>8923</v>
      </c>
      <c r="O143" s="33" t="s">
        <v>4007</v>
      </c>
      <c r="P143" s="33" t="s">
        <v>8924</v>
      </c>
      <c r="Q143" s="36"/>
      <c r="R143" s="36"/>
      <c r="S143" s="33" t="s">
        <v>8925</v>
      </c>
      <c r="T143" s="38" t="s">
        <v>12693</v>
      </c>
    </row>
    <row r="144" spans="1:20" x14ac:dyDescent="0.25">
      <c r="A144" s="33" t="s">
        <v>4004</v>
      </c>
      <c r="B144" s="33" t="s">
        <v>4003</v>
      </c>
      <c r="C144" s="33" t="s">
        <v>13</v>
      </c>
      <c r="D144" s="33" t="s">
        <v>354</v>
      </c>
      <c r="E144" s="33">
        <v>2019</v>
      </c>
      <c r="F144" s="33">
        <v>152</v>
      </c>
      <c r="G144" s="34"/>
      <c r="H144" s="33" t="s">
        <v>4005</v>
      </c>
      <c r="I144" s="33" t="s">
        <v>355</v>
      </c>
      <c r="J144" s="33">
        <v>2019</v>
      </c>
      <c r="K144" s="34"/>
      <c r="L144" s="34"/>
      <c r="M144" s="33" t="s">
        <v>65</v>
      </c>
      <c r="N144" s="37" t="s">
        <v>4006</v>
      </c>
      <c r="O144" s="33" t="s">
        <v>4007</v>
      </c>
      <c r="P144" s="33" t="s">
        <v>4008</v>
      </c>
      <c r="Q144" s="33" t="s">
        <v>4009</v>
      </c>
      <c r="R144" s="34"/>
      <c r="S144" s="38"/>
      <c r="T144" s="38" t="s">
        <v>12690</v>
      </c>
    </row>
    <row r="145" spans="1:20" x14ac:dyDescent="0.25">
      <c r="A145" s="33" t="s">
        <v>1178</v>
      </c>
      <c r="B145" s="33" t="s">
        <v>1177</v>
      </c>
      <c r="C145" s="33" t="s">
        <v>13</v>
      </c>
      <c r="D145" s="33" t="s">
        <v>354</v>
      </c>
      <c r="E145" s="33">
        <v>2022</v>
      </c>
      <c r="F145" s="33">
        <v>194</v>
      </c>
      <c r="G145" s="34"/>
      <c r="H145" s="34"/>
      <c r="I145" s="33" t="s">
        <v>355</v>
      </c>
      <c r="J145" s="33">
        <v>2022</v>
      </c>
      <c r="K145" s="34"/>
      <c r="L145" s="34"/>
      <c r="M145" s="33" t="s">
        <v>65</v>
      </c>
      <c r="N145" s="37" t="s">
        <v>1179</v>
      </c>
      <c r="O145" s="33" t="s">
        <v>1180</v>
      </c>
      <c r="P145" s="33" t="s">
        <v>1181</v>
      </c>
      <c r="Q145" s="33" t="s">
        <v>157</v>
      </c>
      <c r="R145" s="34"/>
      <c r="S145" s="38"/>
      <c r="T145" s="38" t="s">
        <v>12690</v>
      </c>
    </row>
    <row r="146" spans="1:20" x14ac:dyDescent="0.25">
      <c r="A146" s="33" t="s">
        <v>6617</v>
      </c>
      <c r="B146" s="33" t="s">
        <v>5969</v>
      </c>
      <c r="C146" s="33" t="s">
        <v>141</v>
      </c>
      <c r="D146" s="34"/>
      <c r="E146" s="33">
        <v>2018</v>
      </c>
      <c r="F146" s="34"/>
      <c r="G146" s="34"/>
      <c r="H146" s="33" t="s">
        <v>6618</v>
      </c>
      <c r="I146" s="33" t="s">
        <v>6619</v>
      </c>
      <c r="J146" s="43">
        <v>43191</v>
      </c>
      <c r="K146" s="36"/>
      <c r="L146" s="36"/>
      <c r="M146" s="34"/>
      <c r="N146" s="37" t="s">
        <v>6620</v>
      </c>
      <c r="O146" s="33" t="s">
        <v>5973</v>
      </c>
      <c r="P146" s="33" t="s">
        <v>6621</v>
      </c>
      <c r="Q146" s="36"/>
      <c r="R146" s="36"/>
      <c r="S146" s="33" t="s">
        <v>6622</v>
      </c>
      <c r="T146" s="38" t="s">
        <v>12688</v>
      </c>
    </row>
    <row r="147" spans="1:20" x14ac:dyDescent="0.25">
      <c r="A147" s="33" t="s">
        <v>6617</v>
      </c>
      <c r="B147" s="33" t="s">
        <v>5969</v>
      </c>
      <c r="C147" s="33" t="s">
        <v>141</v>
      </c>
      <c r="D147" s="34"/>
      <c r="E147" s="33">
        <v>2018</v>
      </c>
      <c r="F147" s="34"/>
      <c r="G147" s="34"/>
      <c r="H147" s="33" t="s">
        <v>5971</v>
      </c>
      <c r="I147" s="33" t="s">
        <v>257</v>
      </c>
      <c r="J147" s="33">
        <v>2018</v>
      </c>
      <c r="K147" s="33">
        <v>9781538663523</v>
      </c>
      <c r="L147" s="34"/>
      <c r="M147" s="34"/>
      <c r="N147" s="37" t="s">
        <v>5972</v>
      </c>
      <c r="O147" s="33" t="s">
        <v>5973</v>
      </c>
      <c r="P147" s="33" t="s">
        <v>5974</v>
      </c>
      <c r="Q147" s="33" t="s">
        <v>4009</v>
      </c>
      <c r="R147" s="34"/>
      <c r="S147" s="38"/>
      <c r="T147" s="38" t="s">
        <v>12690</v>
      </c>
    </row>
    <row r="148" spans="1:20" x14ac:dyDescent="0.25">
      <c r="A148" s="39" t="s">
        <v>10952</v>
      </c>
      <c r="B148" s="39" t="s">
        <v>10954</v>
      </c>
      <c r="C148" s="39" t="s">
        <v>9539</v>
      </c>
      <c r="D148" s="36"/>
      <c r="E148" s="39">
        <v>2021</v>
      </c>
      <c r="F148" s="40"/>
      <c r="G148" s="40"/>
      <c r="H148" s="36"/>
      <c r="I148" s="39" t="s">
        <v>9637</v>
      </c>
      <c r="J148" s="36"/>
      <c r="K148" s="36"/>
      <c r="L148" s="36"/>
      <c r="M148" s="34"/>
      <c r="N148" s="41" t="s">
        <v>10955</v>
      </c>
      <c r="O148" s="39" t="s">
        <v>10953</v>
      </c>
      <c r="P148" s="33"/>
      <c r="Q148" s="36"/>
      <c r="R148" s="34"/>
      <c r="S148" s="38"/>
      <c r="T148" s="38" t="s">
        <v>12689</v>
      </c>
    </row>
    <row r="149" spans="1:20" x14ac:dyDescent="0.25">
      <c r="A149" s="33" t="s">
        <v>11331</v>
      </c>
      <c r="B149" s="33" t="s">
        <v>11330</v>
      </c>
      <c r="C149" s="33" t="s">
        <v>13</v>
      </c>
      <c r="D149" s="33" t="s">
        <v>11332</v>
      </c>
      <c r="E149" s="33">
        <v>2022</v>
      </c>
      <c r="F149" s="33">
        <v>54</v>
      </c>
      <c r="G149" s="33" t="s">
        <v>11333</v>
      </c>
      <c r="H149" s="34"/>
      <c r="I149" s="44" t="s">
        <v>12710</v>
      </c>
      <c r="J149" s="43">
        <v>44805</v>
      </c>
      <c r="K149" s="34"/>
      <c r="L149" s="34"/>
      <c r="M149" s="33" t="s">
        <v>5367</v>
      </c>
      <c r="N149" s="37" t="s">
        <v>11334</v>
      </c>
      <c r="O149" s="33" t="s">
        <v>11335</v>
      </c>
      <c r="P149" s="33" t="s">
        <v>11336</v>
      </c>
      <c r="Q149" s="36"/>
      <c r="R149" s="36"/>
      <c r="S149" s="33" t="s">
        <v>11337</v>
      </c>
      <c r="T149" s="33" t="s">
        <v>12692</v>
      </c>
    </row>
    <row r="150" spans="1:20" x14ac:dyDescent="0.25">
      <c r="A150" s="33" t="s">
        <v>1950</v>
      </c>
      <c r="B150" s="33" t="s">
        <v>1949</v>
      </c>
      <c r="C150" s="33" t="s">
        <v>141</v>
      </c>
      <c r="D150" s="34"/>
      <c r="E150" s="33">
        <v>2022</v>
      </c>
      <c r="F150" s="34"/>
      <c r="G150" s="34"/>
      <c r="H150" s="33" t="s">
        <v>1951</v>
      </c>
      <c r="I150" s="33" t="s">
        <v>257</v>
      </c>
      <c r="J150" s="33">
        <v>2022</v>
      </c>
      <c r="K150" s="33">
        <v>9781665408165</v>
      </c>
      <c r="L150" s="34"/>
      <c r="M150" s="34"/>
      <c r="N150" s="37" t="s">
        <v>1952</v>
      </c>
      <c r="O150" s="33" t="s">
        <v>1953</v>
      </c>
      <c r="P150" s="33" t="s">
        <v>1954</v>
      </c>
      <c r="Q150" s="33" t="s">
        <v>157</v>
      </c>
      <c r="R150" s="34"/>
      <c r="S150" s="38"/>
      <c r="T150" s="38" t="s">
        <v>12690</v>
      </c>
    </row>
    <row r="151" spans="1:20" x14ac:dyDescent="0.25">
      <c r="A151" s="33" t="s">
        <v>126</v>
      </c>
      <c r="B151" s="33" t="s">
        <v>125</v>
      </c>
      <c r="C151" s="33" t="s">
        <v>13</v>
      </c>
      <c r="D151" s="33" t="s">
        <v>354</v>
      </c>
      <c r="E151" s="33">
        <v>2018</v>
      </c>
      <c r="F151" s="33">
        <v>138</v>
      </c>
      <c r="G151" s="36"/>
      <c r="H151" s="33" t="s">
        <v>127</v>
      </c>
      <c r="I151" s="36"/>
      <c r="J151" s="33">
        <v>2018</v>
      </c>
      <c r="K151" s="34"/>
      <c r="L151" s="34"/>
      <c r="M151" s="33" t="s">
        <v>65</v>
      </c>
      <c r="N151" s="37" t="s">
        <v>8894</v>
      </c>
      <c r="O151" s="33" t="s">
        <v>129</v>
      </c>
      <c r="P151" s="33" t="s">
        <v>8895</v>
      </c>
      <c r="Q151" s="36"/>
      <c r="R151" s="36"/>
      <c r="S151" s="33" t="s">
        <v>8896</v>
      </c>
      <c r="T151" s="38" t="s">
        <v>12693</v>
      </c>
    </row>
    <row r="152" spans="1:20" x14ac:dyDescent="0.25">
      <c r="A152" s="33" t="s">
        <v>126</v>
      </c>
      <c r="B152" s="33" t="s">
        <v>125</v>
      </c>
      <c r="C152" s="33" t="s">
        <v>13</v>
      </c>
      <c r="D152" s="33" t="s">
        <v>354</v>
      </c>
      <c r="E152" s="33">
        <v>2018</v>
      </c>
      <c r="F152" s="33">
        <v>138</v>
      </c>
      <c r="G152" s="34"/>
      <c r="H152" s="33" t="s">
        <v>5948</v>
      </c>
      <c r="I152" s="33" t="s">
        <v>355</v>
      </c>
      <c r="J152" s="33">
        <v>2018</v>
      </c>
      <c r="K152" s="34"/>
      <c r="L152" s="34"/>
      <c r="M152" s="33" t="s">
        <v>65</v>
      </c>
      <c r="N152" s="37" t="s">
        <v>5949</v>
      </c>
      <c r="O152" s="33" t="s">
        <v>129</v>
      </c>
      <c r="P152" s="33" t="s">
        <v>5950</v>
      </c>
      <c r="Q152" s="33" t="s">
        <v>5951</v>
      </c>
      <c r="R152" s="34"/>
      <c r="S152" s="38"/>
      <c r="T152" s="38" t="s">
        <v>12690</v>
      </c>
    </row>
    <row r="153" spans="1:20" x14ac:dyDescent="0.25">
      <c r="A153" s="33" t="s">
        <v>126</v>
      </c>
      <c r="B153" s="33" t="s">
        <v>125</v>
      </c>
      <c r="C153" s="33" t="s">
        <v>13</v>
      </c>
      <c r="D153" s="33" t="s">
        <v>64</v>
      </c>
      <c r="E153" s="33">
        <v>2018</v>
      </c>
      <c r="F153" s="33">
        <v>138</v>
      </c>
      <c r="G153" s="34"/>
      <c r="H153" s="33" t="s">
        <v>127</v>
      </c>
      <c r="I153" s="38" t="s">
        <v>12699</v>
      </c>
      <c r="J153" s="43">
        <v>43191</v>
      </c>
      <c r="K153" s="33" t="s">
        <v>65</v>
      </c>
      <c r="L153" s="38" t="s">
        <v>12699</v>
      </c>
      <c r="M153" s="38" t="s">
        <v>12699</v>
      </c>
      <c r="N153" s="37" t="s">
        <v>128</v>
      </c>
      <c r="O153" s="33" t="s">
        <v>129</v>
      </c>
      <c r="P153" s="33" t="s">
        <v>130</v>
      </c>
      <c r="Q153" s="38" t="s">
        <v>12699</v>
      </c>
      <c r="R153" s="38" t="s">
        <v>12699</v>
      </c>
      <c r="S153" s="38"/>
      <c r="T153" s="38" t="s">
        <v>12700</v>
      </c>
    </row>
    <row r="154" spans="1:20" x14ac:dyDescent="0.25">
      <c r="A154" s="33" t="s">
        <v>2422</v>
      </c>
      <c r="B154" s="33" t="s">
        <v>2421</v>
      </c>
      <c r="C154" s="33" t="s">
        <v>13</v>
      </c>
      <c r="D154" s="33" t="s">
        <v>2423</v>
      </c>
      <c r="E154" s="33">
        <v>2021</v>
      </c>
      <c r="F154" s="33">
        <v>13</v>
      </c>
      <c r="G154" s="34"/>
      <c r="H154" s="34"/>
      <c r="I154" s="33" t="s">
        <v>2424</v>
      </c>
      <c r="J154" s="33">
        <v>2021</v>
      </c>
      <c r="K154" s="34"/>
      <c r="L154" s="34"/>
      <c r="M154" s="33" t="s">
        <v>2425</v>
      </c>
      <c r="N154" s="37" t="s">
        <v>2426</v>
      </c>
      <c r="O154" s="33" t="s">
        <v>2427</v>
      </c>
      <c r="P154" s="33" t="s">
        <v>2428</v>
      </c>
      <c r="Q154" s="33" t="s">
        <v>447</v>
      </c>
      <c r="R154" s="34"/>
      <c r="S154" s="38"/>
      <c r="T154" s="38" t="s">
        <v>12690</v>
      </c>
    </row>
    <row r="155" spans="1:20" x14ac:dyDescent="0.25">
      <c r="A155" s="33" t="s">
        <v>9135</v>
      </c>
      <c r="B155" s="33" t="s">
        <v>9134</v>
      </c>
      <c r="C155" s="33" t="s">
        <v>13</v>
      </c>
      <c r="D155" s="33" t="s">
        <v>307</v>
      </c>
      <c r="E155" s="33">
        <v>2019</v>
      </c>
      <c r="F155" s="33">
        <v>108</v>
      </c>
      <c r="G155" s="36"/>
      <c r="H155" s="33" t="s">
        <v>9136</v>
      </c>
      <c r="I155" s="36"/>
      <c r="J155" s="33">
        <v>2019</v>
      </c>
      <c r="K155" s="34"/>
      <c r="L155" s="34"/>
      <c r="M155" s="33" t="s">
        <v>308</v>
      </c>
      <c r="N155" s="37" t="s">
        <v>9137</v>
      </c>
      <c r="O155" s="33" t="s">
        <v>9138</v>
      </c>
      <c r="P155" s="33" t="s">
        <v>9139</v>
      </c>
      <c r="Q155" s="36"/>
      <c r="R155" s="36"/>
      <c r="S155" s="33" t="s">
        <v>9140</v>
      </c>
      <c r="T155" s="38" t="s">
        <v>12693</v>
      </c>
    </row>
    <row r="156" spans="1:20" x14ac:dyDescent="0.25">
      <c r="A156" s="33" t="s">
        <v>8013</v>
      </c>
      <c r="B156" s="33" t="s">
        <v>8012</v>
      </c>
      <c r="C156" s="33" t="s">
        <v>141</v>
      </c>
      <c r="D156" s="34"/>
      <c r="E156" s="33">
        <v>2021</v>
      </c>
      <c r="F156" s="34"/>
      <c r="G156" s="34"/>
      <c r="H156" s="33" t="s">
        <v>8014</v>
      </c>
      <c r="I156" s="33" t="s">
        <v>7278</v>
      </c>
      <c r="J156" s="43">
        <v>44256</v>
      </c>
      <c r="K156" s="34"/>
      <c r="L156" s="36"/>
      <c r="M156" s="33" t="s">
        <v>6593</v>
      </c>
      <c r="N156" s="37" t="s">
        <v>8015</v>
      </c>
      <c r="O156" s="33" t="s">
        <v>8016</v>
      </c>
      <c r="P156" s="33" t="s">
        <v>8017</v>
      </c>
      <c r="Q156" s="36"/>
      <c r="R156" s="36"/>
      <c r="S156" s="33" t="s">
        <v>8018</v>
      </c>
      <c r="T156" s="38" t="s">
        <v>12688</v>
      </c>
    </row>
    <row r="157" spans="1:20" x14ac:dyDescent="0.25">
      <c r="A157" s="33" t="s">
        <v>1560</v>
      </c>
      <c r="B157" s="33" t="s">
        <v>1559</v>
      </c>
      <c r="C157" s="33" t="s">
        <v>13</v>
      </c>
      <c r="D157" s="33" t="s">
        <v>354</v>
      </c>
      <c r="E157" s="33">
        <v>2021</v>
      </c>
      <c r="F157" s="33">
        <v>180</v>
      </c>
      <c r="G157" s="34"/>
      <c r="H157" s="34"/>
      <c r="I157" s="33" t="s">
        <v>355</v>
      </c>
      <c r="J157" s="33">
        <v>2021</v>
      </c>
      <c r="K157" s="34"/>
      <c r="L157" s="34"/>
      <c r="M157" s="33" t="s">
        <v>65</v>
      </c>
      <c r="N157" s="37" t="s">
        <v>1561</v>
      </c>
      <c r="O157" s="33" t="s">
        <v>1562</v>
      </c>
      <c r="P157" s="33" t="s">
        <v>1563</v>
      </c>
      <c r="Q157" s="33" t="s">
        <v>176</v>
      </c>
      <c r="R157" s="34"/>
      <c r="S157" s="38"/>
      <c r="T157" s="38" t="s">
        <v>12690</v>
      </c>
    </row>
    <row r="158" spans="1:20" x14ac:dyDescent="0.25">
      <c r="A158" s="33" t="s">
        <v>1560</v>
      </c>
      <c r="B158" s="33" t="s">
        <v>1559</v>
      </c>
      <c r="C158" s="33" t="s">
        <v>13</v>
      </c>
      <c r="D158" s="33" t="s">
        <v>354</v>
      </c>
      <c r="E158" s="33">
        <v>2021</v>
      </c>
      <c r="F158" s="33">
        <v>180</v>
      </c>
      <c r="G158" s="36"/>
      <c r="H158" s="33">
        <v>111010</v>
      </c>
      <c r="I158" s="36"/>
      <c r="J158" s="33">
        <v>2021</v>
      </c>
      <c r="K158" s="34"/>
      <c r="L158" s="34"/>
      <c r="M158" s="33" t="s">
        <v>65</v>
      </c>
      <c r="N158" s="37" t="s">
        <v>8431</v>
      </c>
      <c r="O158" s="33" t="s">
        <v>1562</v>
      </c>
      <c r="P158" s="33" t="s">
        <v>8432</v>
      </c>
      <c r="Q158" s="36"/>
      <c r="R158" s="36"/>
      <c r="S158" s="33" t="s">
        <v>8433</v>
      </c>
      <c r="T158" s="38" t="s">
        <v>12693</v>
      </c>
    </row>
    <row r="159" spans="1:20" x14ac:dyDescent="0.25">
      <c r="A159" s="39" t="s">
        <v>10398</v>
      </c>
      <c r="B159" s="39" t="s">
        <v>10400</v>
      </c>
      <c r="C159" s="39" t="s">
        <v>9478</v>
      </c>
      <c r="D159" s="36"/>
      <c r="E159" s="39">
        <v>2020</v>
      </c>
      <c r="F159" s="39">
        <v>23</v>
      </c>
      <c r="G159" s="39">
        <v>4</v>
      </c>
      <c r="H159" s="36"/>
      <c r="I159" s="39" t="s">
        <v>10397</v>
      </c>
      <c r="J159" s="36"/>
      <c r="K159" s="36"/>
      <c r="L159" s="36"/>
      <c r="M159" s="34"/>
      <c r="N159" s="41" t="s">
        <v>10401</v>
      </c>
      <c r="O159" s="39" t="s">
        <v>10399</v>
      </c>
      <c r="P159" s="33"/>
      <c r="Q159" s="36"/>
      <c r="R159" s="34"/>
      <c r="S159" s="38"/>
      <c r="T159" s="38" t="s">
        <v>12689</v>
      </c>
    </row>
    <row r="160" spans="1:20" x14ac:dyDescent="0.25">
      <c r="A160" s="33" t="s">
        <v>11154</v>
      </c>
      <c r="B160" s="33" t="s">
        <v>11153</v>
      </c>
      <c r="C160" s="33" t="s">
        <v>141</v>
      </c>
      <c r="D160" s="34"/>
      <c r="E160" s="33">
        <v>2020</v>
      </c>
      <c r="F160" s="34"/>
      <c r="G160" s="34"/>
      <c r="H160" s="33" t="s">
        <v>11155</v>
      </c>
      <c r="I160" s="44" t="s">
        <v>12711</v>
      </c>
      <c r="J160" s="33">
        <v>2020</v>
      </c>
      <c r="K160" s="33">
        <v>9781450379601</v>
      </c>
      <c r="L160" s="33" t="s">
        <v>11162</v>
      </c>
      <c r="M160" s="34"/>
      <c r="N160" s="37" t="s">
        <v>11158</v>
      </c>
      <c r="O160" s="33" t="s">
        <v>11159</v>
      </c>
      <c r="P160" s="33" t="s">
        <v>11160</v>
      </c>
      <c r="Q160" s="36"/>
      <c r="R160" s="36"/>
      <c r="S160" s="33" t="s">
        <v>11161</v>
      </c>
      <c r="T160" s="33" t="s">
        <v>12692</v>
      </c>
    </row>
    <row r="161" spans="1:20" x14ac:dyDescent="0.25">
      <c r="A161" s="33" t="s">
        <v>2992</v>
      </c>
      <c r="B161" s="33" t="s">
        <v>2991</v>
      </c>
      <c r="C161" s="33" t="s">
        <v>13</v>
      </c>
      <c r="D161" s="33" t="s">
        <v>255</v>
      </c>
      <c r="E161" s="33">
        <v>2021</v>
      </c>
      <c r="F161" s="33">
        <v>47</v>
      </c>
      <c r="G161" s="33">
        <v>1</v>
      </c>
      <c r="H161" s="33" t="s">
        <v>2993</v>
      </c>
      <c r="I161" s="33" t="s">
        <v>257</v>
      </c>
      <c r="J161" s="33">
        <v>2021</v>
      </c>
      <c r="K161" s="34"/>
      <c r="L161" s="34"/>
      <c r="M161" s="33" t="s">
        <v>18</v>
      </c>
      <c r="N161" s="37" t="s">
        <v>2994</v>
      </c>
      <c r="O161" s="33" t="s">
        <v>2995</v>
      </c>
      <c r="P161" s="33" t="s">
        <v>2996</v>
      </c>
      <c r="Q161" s="33" t="s">
        <v>2997</v>
      </c>
      <c r="R161" s="34"/>
      <c r="S161" s="38"/>
      <c r="T161" s="38" t="s">
        <v>12690</v>
      </c>
    </row>
    <row r="162" spans="1:20" x14ac:dyDescent="0.25">
      <c r="A162" s="33" t="s">
        <v>2992</v>
      </c>
      <c r="B162" s="33" t="s">
        <v>2991</v>
      </c>
      <c r="C162" s="33" t="s">
        <v>13</v>
      </c>
      <c r="D162" s="33" t="s">
        <v>255</v>
      </c>
      <c r="E162" s="33">
        <v>2021</v>
      </c>
      <c r="F162" s="33">
        <v>47</v>
      </c>
      <c r="G162" s="33">
        <v>1</v>
      </c>
      <c r="H162" s="33" t="s">
        <v>7806</v>
      </c>
      <c r="I162" s="34"/>
      <c r="J162" s="43">
        <v>44197</v>
      </c>
      <c r="K162" s="36"/>
      <c r="L162" s="36"/>
      <c r="M162" s="33" t="s">
        <v>6115</v>
      </c>
      <c r="N162" s="37" t="s">
        <v>7807</v>
      </c>
      <c r="O162" s="33" t="s">
        <v>2995</v>
      </c>
      <c r="P162" s="33" t="s">
        <v>7808</v>
      </c>
      <c r="Q162" s="36"/>
      <c r="R162" s="36"/>
      <c r="S162" s="33" t="s">
        <v>7809</v>
      </c>
      <c r="T162" s="38" t="s">
        <v>12688</v>
      </c>
    </row>
    <row r="163" spans="1:20" x14ac:dyDescent="0.25">
      <c r="A163" s="33" t="s">
        <v>8782</v>
      </c>
      <c r="B163" s="33" t="s">
        <v>8781</v>
      </c>
      <c r="C163" s="33" t="s">
        <v>13</v>
      </c>
      <c r="D163" s="33" t="s">
        <v>354</v>
      </c>
      <c r="E163" s="33">
        <v>2022</v>
      </c>
      <c r="F163" s="33">
        <v>192</v>
      </c>
      <c r="G163" s="36"/>
      <c r="H163" s="33">
        <v>111423</v>
      </c>
      <c r="I163" s="36"/>
      <c r="J163" s="33">
        <v>2022</v>
      </c>
      <c r="K163" s="34"/>
      <c r="L163" s="34"/>
      <c r="M163" s="33" t="s">
        <v>65</v>
      </c>
      <c r="N163" s="37" t="s">
        <v>8783</v>
      </c>
      <c r="O163" s="33" t="s">
        <v>8784</v>
      </c>
      <c r="P163" s="33" t="s">
        <v>8785</v>
      </c>
      <c r="Q163" s="36"/>
      <c r="R163" s="36"/>
      <c r="S163" s="33" t="s">
        <v>8786</v>
      </c>
      <c r="T163" s="38" t="s">
        <v>12693</v>
      </c>
    </row>
    <row r="164" spans="1:20" x14ac:dyDescent="0.25">
      <c r="A164" s="39" t="s">
        <v>10860</v>
      </c>
      <c r="B164" s="39" t="s">
        <v>10862</v>
      </c>
      <c r="C164" s="39" t="s">
        <v>9478</v>
      </c>
      <c r="D164" s="36"/>
      <c r="E164" s="39">
        <v>2020</v>
      </c>
      <c r="F164" s="39">
        <v>27</v>
      </c>
      <c r="G164" s="39">
        <v>4</v>
      </c>
      <c r="H164" s="36"/>
      <c r="I164" s="39" t="s">
        <v>9782</v>
      </c>
      <c r="J164" s="36"/>
      <c r="K164" s="36"/>
      <c r="L164" s="36"/>
      <c r="M164" s="34"/>
      <c r="N164" s="41" t="s">
        <v>10863</v>
      </c>
      <c r="O164" s="39" t="s">
        <v>10861</v>
      </c>
      <c r="P164" s="33"/>
      <c r="Q164" s="36"/>
      <c r="R164" s="34"/>
      <c r="S164" s="38"/>
      <c r="T164" s="38" t="s">
        <v>12689</v>
      </c>
    </row>
    <row r="165" spans="1:20" x14ac:dyDescent="0.25">
      <c r="A165" s="39" t="s">
        <v>10431</v>
      </c>
      <c r="B165" s="39" t="s">
        <v>10433</v>
      </c>
      <c r="C165" s="39" t="s">
        <v>9539</v>
      </c>
      <c r="D165" s="36"/>
      <c r="E165" s="39">
        <v>2021</v>
      </c>
      <c r="F165" s="40"/>
      <c r="G165" s="40"/>
      <c r="H165" s="36"/>
      <c r="I165" s="39" t="s">
        <v>9722</v>
      </c>
      <c r="J165" s="36"/>
      <c r="K165" s="36"/>
      <c r="L165" s="36"/>
      <c r="M165" s="34"/>
      <c r="N165" s="41" t="s">
        <v>10434</v>
      </c>
      <c r="O165" s="39" t="s">
        <v>10432</v>
      </c>
      <c r="P165" s="33"/>
      <c r="Q165" s="36"/>
      <c r="R165" s="34"/>
      <c r="S165" s="38"/>
      <c r="T165" s="38" t="s">
        <v>12689</v>
      </c>
    </row>
    <row r="166" spans="1:20" x14ac:dyDescent="0.25">
      <c r="A166" s="39" t="s">
        <v>10701</v>
      </c>
      <c r="B166" s="39" t="s">
        <v>10703</v>
      </c>
      <c r="C166" s="39" t="s">
        <v>9478</v>
      </c>
      <c r="D166" s="36"/>
      <c r="E166" s="39">
        <v>2018</v>
      </c>
      <c r="F166" s="39">
        <v>26</v>
      </c>
      <c r="G166" s="39">
        <v>1</v>
      </c>
      <c r="H166" s="36"/>
      <c r="I166" s="39" t="s">
        <v>523</v>
      </c>
      <c r="J166" s="36"/>
      <c r="K166" s="36"/>
      <c r="L166" s="36"/>
      <c r="M166" s="34"/>
      <c r="N166" s="41" t="s">
        <v>10704</v>
      </c>
      <c r="O166" s="39" t="s">
        <v>10702</v>
      </c>
      <c r="P166" s="33"/>
      <c r="Q166" s="36"/>
      <c r="R166" s="34"/>
      <c r="S166" s="38"/>
      <c r="T166" s="38" t="s">
        <v>12689</v>
      </c>
    </row>
    <row r="167" spans="1:20" x14ac:dyDescent="0.25">
      <c r="A167" s="33" t="s">
        <v>8852</v>
      </c>
      <c r="B167" s="33" t="s">
        <v>8851</v>
      </c>
      <c r="C167" s="33" t="s">
        <v>13</v>
      </c>
      <c r="D167" s="33" t="s">
        <v>8853</v>
      </c>
      <c r="E167" s="33">
        <v>2020</v>
      </c>
      <c r="F167" s="33">
        <v>69</v>
      </c>
      <c r="G167" s="36"/>
      <c r="H167" s="33">
        <v>103389</v>
      </c>
      <c r="I167" s="36"/>
      <c r="J167" s="33">
        <v>2020</v>
      </c>
      <c r="K167" s="34"/>
      <c r="L167" s="34"/>
      <c r="M167" s="33" t="s">
        <v>8854</v>
      </c>
      <c r="N167" s="37" t="s">
        <v>8855</v>
      </c>
      <c r="O167" s="33" t="s">
        <v>8856</v>
      </c>
      <c r="P167" s="33" t="s">
        <v>8857</v>
      </c>
      <c r="Q167" s="36"/>
      <c r="R167" s="36"/>
      <c r="S167" s="33" t="s">
        <v>8858</v>
      </c>
      <c r="T167" s="38" t="s">
        <v>12693</v>
      </c>
    </row>
    <row r="168" spans="1:20" x14ac:dyDescent="0.25">
      <c r="A168" s="33" t="s">
        <v>8489</v>
      </c>
      <c r="B168" s="33" t="s">
        <v>8488</v>
      </c>
      <c r="C168" s="33" t="s">
        <v>13</v>
      </c>
      <c r="D168" s="33" t="s">
        <v>1059</v>
      </c>
      <c r="E168" s="33">
        <v>2022</v>
      </c>
      <c r="F168" s="33">
        <v>111</v>
      </c>
      <c r="G168" s="36"/>
      <c r="H168" s="33">
        <v>104773</v>
      </c>
      <c r="I168" s="36"/>
      <c r="J168" s="33">
        <v>2022</v>
      </c>
      <c r="K168" s="34"/>
      <c r="L168" s="34"/>
      <c r="M168" s="33" t="s">
        <v>1061</v>
      </c>
      <c r="N168" s="37" t="s">
        <v>8490</v>
      </c>
      <c r="O168" s="33" t="s">
        <v>8491</v>
      </c>
      <c r="P168" s="33" t="s">
        <v>8492</v>
      </c>
      <c r="Q168" s="36"/>
      <c r="R168" s="36"/>
      <c r="S168" s="33" t="s">
        <v>8493</v>
      </c>
      <c r="T168" s="38" t="s">
        <v>12693</v>
      </c>
    </row>
    <row r="169" spans="1:20" x14ac:dyDescent="0.25">
      <c r="A169" s="33" t="s">
        <v>7960</v>
      </c>
      <c r="B169" s="33" t="s">
        <v>7959</v>
      </c>
      <c r="C169" s="33" t="s">
        <v>13</v>
      </c>
      <c r="D169" s="33" t="s">
        <v>668</v>
      </c>
      <c r="E169" s="33">
        <v>2021</v>
      </c>
      <c r="F169" s="33">
        <v>9</v>
      </c>
      <c r="G169" s="34"/>
      <c r="H169" s="33" t="s">
        <v>7961</v>
      </c>
      <c r="I169" s="34"/>
      <c r="J169" s="33">
        <v>2021</v>
      </c>
      <c r="K169" s="36"/>
      <c r="L169" s="36"/>
      <c r="M169" s="33" t="s">
        <v>670</v>
      </c>
      <c r="N169" s="37" t="s">
        <v>7962</v>
      </c>
      <c r="O169" s="33" t="s">
        <v>7963</v>
      </c>
      <c r="P169" s="33" t="s">
        <v>7964</v>
      </c>
      <c r="Q169" s="36"/>
      <c r="R169" s="36"/>
      <c r="S169" s="33" t="s">
        <v>7965</v>
      </c>
      <c r="T169" s="38" t="s">
        <v>12688</v>
      </c>
    </row>
    <row r="170" spans="1:20" x14ac:dyDescent="0.25">
      <c r="A170" s="33" t="s">
        <v>4651</v>
      </c>
      <c r="B170" s="33" t="s">
        <v>4650</v>
      </c>
      <c r="C170" s="33" t="s">
        <v>13</v>
      </c>
      <c r="D170" s="33" t="s">
        <v>264</v>
      </c>
      <c r="E170" s="33">
        <v>2019</v>
      </c>
      <c r="F170" s="33">
        <v>49</v>
      </c>
      <c r="G170" s="33">
        <v>1</v>
      </c>
      <c r="H170" s="33" t="s">
        <v>4652</v>
      </c>
      <c r="I170" s="33" t="s">
        <v>266</v>
      </c>
      <c r="J170" s="33">
        <v>2019</v>
      </c>
      <c r="K170" s="34"/>
      <c r="L170" s="34"/>
      <c r="M170" s="33" t="s">
        <v>267</v>
      </c>
      <c r="N170" s="37" t="s">
        <v>4653</v>
      </c>
      <c r="O170" s="33" t="s">
        <v>4654</v>
      </c>
      <c r="P170" s="33" t="s">
        <v>4655</v>
      </c>
      <c r="Q170" s="33" t="s">
        <v>4634</v>
      </c>
      <c r="R170" s="34"/>
      <c r="S170" s="38"/>
      <c r="T170" s="38" t="s">
        <v>12690</v>
      </c>
    </row>
    <row r="171" spans="1:20" x14ac:dyDescent="0.25">
      <c r="A171" s="33" t="s">
        <v>4054</v>
      </c>
      <c r="B171" s="33" t="s">
        <v>4053</v>
      </c>
      <c r="C171" s="33" t="s">
        <v>13</v>
      </c>
      <c r="D171" s="33" t="s">
        <v>4055</v>
      </c>
      <c r="E171" s="33">
        <v>2020</v>
      </c>
      <c r="F171" s="33">
        <v>2020</v>
      </c>
      <c r="G171" s="34"/>
      <c r="H171" s="34"/>
      <c r="I171" s="33" t="s">
        <v>1333</v>
      </c>
      <c r="J171" s="33">
        <v>2020</v>
      </c>
      <c r="K171" s="34"/>
      <c r="L171" s="34"/>
      <c r="M171" s="33" t="s">
        <v>4056</v>
      </c>
      <c r="N171" s="37" t="s">
        <v>4057</v>
      </c>
      <c r="O171" s="33" t="s">
        <v>4058</v>
      </c>
      <c r="P171" s="33" t="s">
        <v>4059</v>
      </c>
      <c r="Q171" s="33" t="s">
        <v>4060</v>
      </c>
      <c r="R171" s="34"/>
      <c r="S171" s="38"/>
      <c r="T171" s="38" t="s">
        <v>12690</v>
      </c>
    </row>
    <row r="172" spans="1:20" x14ac:dyDescent="0.25">
      <c r="A172" s="33" t="s">
        <v>5247</v>
      </c>
      <c r="B172" s="33" t="s">
        <v>5246</v>
      </c>
      <c r="C172" s="33" t="s">
        <v>13</v>
      </c>
      <c r="D172" s="33" t="s">
        <v>5248</v>
      </c>
      <c r="E172" s="33">
        <v>2018</v>
      </c>
      <c r="F172" s="33">
        <v>9</v>
      </c>
      <c r="G172" s="33">
        <v>4</v>
      </c>
      <c r="H172" s="33" t="s">
        <v>5249</v>
      </c>
      <c r="I172" s="33" t="s">
        <v>5250</v>
      </c>
      <c r="J172" s="33">
        <v>2018</v>
      </c>
      <c r="K172" s="34"/>
      <c r="L172" s="34"/>
      <c r="M172" s="33" t="s">
        <v>5251</v>
      </c>
      <c r="N172" s="37" t="s">
        <v>5252</v>
      </c>
      <c r="O172" s="33" t="s">
        <v>5253</v>
      </c>
      <c r="P172" s="33" t="s">
        <v>5254</v>
      </c>
      <c r="Q172" s="33" t="s">
        <v>5255</v>
      </c>
      <c r="R172" s="34"/>
      <c r="S172" s="38"/>
      <c r="T172" s="38" t="s">
        <v>12690</v>
      </c>
    </row>
    <row r="173" spans="1:20" x14ac:dyDescent="0.25">
      <c r="A173" s="33" t="s">
        <v>443</v>
      </c>
      <c r="B173" s="33" t="s">
        <v>442</v>
      </c>
      <c r="C173" s="33" t="s">
        <v>13</v>
      </c>
      <c r="D173" s="33" t="s">
        <v>227</v>
      </c>
      <c r="E173" s="33">
        <v>2022</v>
      </c>
      <c r="F173" s="33">
        <v>12</v>
      </c>
      <c r="G173" s="33">
        <v>17</v>
      </c>
      <c r="H173" s="34"/>
      <c r="I173" s="33" t="s">
        <v>228</v>
      </c>
      <c r="J173" s="33">
        <v>2022</v>
      </c>
      <c r="K173" s="34"/>
      <c r="L173" s="34"/>
      <c r="M173" s="33" t="s">
        <v>229</v>
      </c>
      <c r="N173" s="37" t="s">
        <v>444</v>
      </c>
      <c r="O173" s="33" t="s">
        <v>445</v>
      </c>
      <c r="P173" s="33" t="s">
        <v>446</v>
      </c>
      <c r="Q173" s="33" t="s">
        <v>447</v>
      </c>
      <c r="R173" s="34"/>
      <c r="S173" s="38"/>
      <c r="T173" s="38" t="s">
        <v>12690</v>
      </c>
    </row>
    <row r="174" spans="1:20" x14ac:dyDescent="0.25">
      <c r="A174" s="33" t="s">
        <v>8700</v>
      </c>
      <c r="B174" s="33" t="s">
        <v>8699</v>
      </c>
      <c r="C174" s="33" t="s">
        <v>13</v>
      </c>
      <c r="D174" s="33" t="s">
        <v>354</v>
      </c>
      <c r="E174" s="33">
        <v>2022</v>
      </c>
      <c r="F174" s="33">
        <v>186</v>
      </c>
      <c r="G174" s="36"/>
      <c r="H174" s="33">
        <v>111166</v>
      </c>
      <c r="I174" s="36"/>
      <c r="J174" s="33">
        <v>2022</v>
      </c>
      <c r="K174" s="34"/>
      <c r="L174" s="34"/>
      <c r="M174" s="33" t="s">
        <v>65</v>
      </c>
      <c r="N174" s="37" t="s">
        <v>8701</v>
      </c>
      <c r="O174" s="33" t="s">
        <v>8702</v>
      </c>
      <c r="P174" s="33" t="s">
        <v>8703</v>
      </c>
      <c r="Q174" s="36"/>
      <c r="R174" s="36"/>
      <c r="S174" s="33" t="s">
        <v>8704</v>
      </c>
      <c r="T174" s="38" t="s">
        <v>12693</v>
      </c>
    </row>
    <row r="175" spans="1:20" x14ac:dyDescent="0.25">
      <c r="A175" s="33" t="s">
        <v>3833</v>
      </c>
      <c r="B175" s="33" t="s">
        <v>3832</v>
      </c>
      <c r="C175" s="33" t="s">
        <v>13</v>
      </c>
      <c r="D175" s="33" t="s">
        <v>3834</v>
      </c>
      <c r="E175" s="33">
        <v>2021</v>
      </c>
      <c r="F175" s="33">
        <v>32</v>
      </c>
      <c r="G175" s="33">
        <v>3</v>
      </c>
      <c r="H175" s="33" t="s">
        <v>3835</v>
      </c>
      <c r="I175" s="33" t="s">
        <v>2267</v>
      </c>
      <c r="J175" s="33">
        <v>2021</v>
      </c>
      <c r="K175" s="34"/>
      <c r="L175" s="34"/>
      <c r="M175" s="33" t="s">
        <v>3836</v>
      </c>
      <c r="N175" s="37" t="s">
        <v>3837</v>
      </c>
      <c r="O175" s="33" t="s">
        <v>3838</v>
      </c>
      <c r="P175" s="33" t="s">
        <v>3839</v>
      </c>
      <c r="Q175" s="33" t="s">
        <v>413</v>
      </c>
      <c r="R175" s="34"/>
      <c r="S175" s="38"/>
      <c r="T175" s="38" t="s">
        <v>12690</v>
      </c>
    </row>
    <row r="176" spans="1:20" x14ac:dyDescent="0.25">
      <c r="A176" s="33" t="s">
        <v>3823</v>
      </c>
      <c r="B176" s="33" t="s">
        <v>649</v>
      </c>
      <c r="C176" s="33" t="s">
        <v>13</v>
      </c>
      <c r="D176" s="33" t="s">
        <v>354</v>
      </c>
      <c r="E176" s="33">
        <v>2021</v>
      </c>
      <c r="F176" s="33">
        <v>173</v>
      </c>
      <c r="G176" s="34"/>
      <c r="H176" s="34"/>
      <c r="I176" s="33" t="s">
        <v>355</v>
      </c>
      <c r="J176" s="33">
        <v>2021</v>
      </c>
      <c r="K176" s="34"/>
      <c r="L176" s="34"/>
      <c r="M176" s="33" t="s">
        <v>65</v>
      </c>
      <c r="N176" s="37" t="s">
        <v>3824</v>
      </c>
      <c r="O176" s="33" t="s">
        <v>3825</v>
      </c>
      <c r="P176" s="33" t="s">
        <v>3826</v>
      </c>
      <c r="Q176" s="33" t="s">
        <v>1740</v>
      </c>
      <c r="R176" s="34"/>
      <c r="S176" s="38"/>
      <c r="T176" s="38" t="s">
        <v>12690</v>
      </c>
    </row>
    <row r="177" spans="1:20" x14ac:dyDescent="0.25">
      <c r="A177" s="33" t="s">
        <v>12291</v>
      </c>
      <c r="B177" s="33" t="s">
        <v>12290</v>
      </c>
      <c r="C177" s="33" t="s">
        <v>141</v>
      </c>
      <c r="D177" s="34"/>
      <c r="E177" s="33">
        <v>2016</v>
      </c>
      <c r="F177" s="34"/>
      <c r="G177" s="34"/>
      <c r="H177" s="33" t="s">
        <v>12292</v>
      </c>
      <c r="I177" s="44" t="s">
        <v>12712</v>
      </c>
      <c r="J177" s="33">
        <v>2016</v>
      </c>
      <c r="K177" s="33">
        <v>9781450337397</v>
      </c>
      <c r="L177" s="33" t="s">
        <v>12299</v>
      </c>
      <c r="M177" s="34"/>
      <c r="N177" s="37" t="s">
        <v>12295</v>
      </c>
      <c r="O177" s="33" t="s">
        <v>12296</v>
      </c>
      <c r="P177" s="33" t="s">
        <v>12297</v>
      </c>
      <c r="Q177" s="36"/>
      <c r="R177" s="36"/>
      <c r="S177" s="33" t="s">
        <v>12298</v>
      </c>
      <c r="T177" s="33" t="s">
        <v>12692</v>
      </c>
    </row>
    <row r="178" spans="1:20" x14ac:dyDescent="0.25">
      <c r="A178" s="33" t="s">
        <v>1071</v>
      </c>
      <c r="B178" s="33" t="s">
        <v>1070</v>
      </c>
      <c r="C178" s="33" t="s">
        <v>141</v>
      </c>
      <c r="D178" s="34"/>
      <c r="E178" s="33">
        <v>2022</v>
      </c>
      <c r="F178" s="34"/>
      <c r="G178" s="34"/>
      <c r="H178" s="34"/>
      <c r="I178" s="33" t="s">
        <v>257</v>
      </c>
      <c r="J178" s="33">
        <v>2022</v>
      </c>
      <c r="K178" s="33">
        <v>9781665470872</v>
      </c>
      <c r="L178" s="34"/>
      <c r="M178" s="34"/>
      <c r="N178" s="37" t="s">
        <v>1072</v>
      </c>
      <c r="O178" s="33" t="s">
        <v>1073</v>
      </c>
      <c r="P178" s="33" t="s">
        <v>1074</v>
      </c>
      <c r="Q178" s="33" t="s">
        <v>157</v>
      </c>
      <c r="R178" s="34"/>
      <c r="S178" s="38"/>
      <c r="T178" s="38" t="s">
        <v>12690</v>
      </c>
    </row>
    <row r="179" spans="1:20" x14ac:dyDescent="0.25">
      <c r="A179" s="33" t="s">
        <v>12659</v>
      </c>
      <c r="B179" s="33" t="s">
        <v>12658</v>
      </c>
      <c r="C179" s="33" t="s">
        <v>13</v>
      </c>
      <c r="D179" s="33" t="s">
        <v>11332</v>
      </c>
      <c r="E179" s="33">
        <v>2019</v>
      </c>
      <c r="F179" s="33">
        <v>52</v>
      </c>
      <c r="G179" s="33">
        <v>5</v>
      </c>
      <c r="H179" s="34"/>
      <c r="I179" s="44" t="s">
        <v>12710</v>
      </c>
      <c r="J179" s="43">
        <v>43709</v>
      </c>
      <c r="K179" s="34"/>
      <c r="L179" s="34"/>
      <c r="M179" s="33" t="s">
        <v>5367</v>
      </c>
      <c r="N179" s="37" t="s">
        <v>12660</v>
      </c>
      <c r="O179" s="33" t="s">
        <v>12661</v>
      </c>
      <c r="P179" s="33" t="s">
        <v>12662</v>
      </c>
      <c r="Q179" s="36"/>
      <c r="R179" s="36"/>
      <c r="S179" s="33" t="s">
        <v>12663</v>
      </c>
      <c r="T179" s="33" t="s">
        <v>12692</v>
      </c>
    </row>
    <row r="180" spans="1:20" x14ac:dyDescent="0.25">
      <c r="A180" s="33" t="s">
        <v>3148</v>
      </c>
      <c r="B180" s="33" t="s">
        <v>3147</v>
      </c>
      <c r="C180" s="33" t="s">
        <v>141</v>
      </c>
      <c r="D180" s="34"/>
      <c r="E180" s="33">
        <v>2021</v>
      </c>
      <c r="F180" s="34"/>
      <c r="G180" s="34"/>
      <c r="H180" s="42">
        <v>44936</v>
      </c>
      <c r="I180" s="33" t="s">
        <v>6597</v>
      </c>
      <c r="J180" s="43">
        <v>44256</v>
      </c>
      <c r="K180" s="36"/>
      <c r="L180" s="36"/>
      <c r="M180" s="33" t="s">
        <v>2902</v>
      </c>
      <c r="N180" s="37" t="s">
        <v>6598</v>
      </c>
      <c r="O180" s="33" t="s">
        <v>3150</v>
      </c>
      <c r="P180" s="33" t="s">
        <v>6599</v>
      </c>
      <c r="Q180" s="36"/>
      <c r="R180" s="36"/>
      <c r="S180" s="33" t="s">
        <v>6600</v>
      </c>
      <c r="T180" s="38" t="s">
        <v>12688</v>
      </c>
    </row>
    <row r="181" spans="1:20" x14ac:dyDescent="0.25">
      <c r="A181" s="33" t="s">
        <v>3148</v>
      </c>
      <c r="B181" s="33" t="s">
        <v>3147</v>
      </c>
      <c r="C181" s="33" t="s">
        <v>141</v>
      </c>
      <c r="D181" s="34"/>
      <c r="E181" s="33">
        <v>2021</v>
      </c>
      <c r="F181" s="45">
        <v>44256</v>
      </c>
      <c r="G181" s="34"/>
      <c r="H181" s="34"/>
      <c r="I181" s="33" t="s">
        <v>196</v>
      </c>
      <c r="J181" s="33">
        <v>2021</v>
      </c>
      <c r="K181" s="33">
        <v>9781728174365</v>
      </c>
      <c r="L181" s="34"/>
      <c r="M181" s="33" t="s">
        <v>2902</v>
      </c>
      <c r="N181" s="37" t="s">
        <v>3149</v>
      </c>
      <c r="O181" s="33" t="s">
        <v>3150</v>
      </c>
      <c r="P181" s="33" t="s">
        <v>3151</v>
      </c>
      <c r="Q181" s="33" t="s">
        <v>318</v>
      </c>
      <c r="R181" s="34"/>
      <c r="S181" s="38"/>
      <c r="T181" s="38" t="s">
        <v>12690</v>
      </c>
    </row>
    <row r="182" spans="1:20" x14ac:dyDescent="0.25">
      <c r="A182" s="33" t="s">
        <v>6751</v>
      </c>
      <c r="B182" s="33" t="s">
        <v>6750</v>
      </c>
      <c r="C182" s="33" t="s">
        <v>141</v>
      </c>
      <c r="D182" s="34"/>
      <c r="E182" s="33">
        <v>2020</v>
      </c>
      <c r="F182" s="34"/>
      <c r="G182" s="34"/>
      <c r="H182" s="33" t="s">
        <v>6752</v>
      </c>
      <c r="I182" s="33" t="s">
        <v>6322</v>
      </c>
      <c r="J182" s="43">
        <v>44044</v>
      </c>
      <c r="K182" s="36"/>
      <c r="L182" s="36"/>
      <c r="M182" s="34"/>
      <c r="N182" s="37" t="s">
        <v>6753</v>
      </c>
      <c r="O182" s="33" t="s">
        <v>6754</v>
      </c>
      <c r="P182" s="33" t="s">
        <v>6755</v>
      </c>
      <c r="Q182" s="36"/>
      <c r="R182" s="36"/>
      <c r="S182" s="33" t="s">
        <v>6756</v>
      </c>
      <c r="T182" s="38" t="s">
        <v>12688</v>
      </c>
    </row>
    <row r="183" spans="1:20" x14ac:dyDescent="0.25">
      <c r="A183" s="39" t="s">
        <v>9671</v>
      </c>
      <c r="B183" s="39" t="s">
        <v>9672</v>
      </c>
      <c r="C183" s="39" t="s">
        <v>9539</v>
      </c>
      <c r="D183" s="36"/>
      <c r="E183" s="39">
        <v>2019</v>
      </c>
      <c r="F183" s="40"/>
      <c r="G183" s="40"/>
      <c r="H183" s="36"/>
      <c r="I183" s="39" t="s">
        <v>9519</v>
      </c>
      <c r="J183" s="36"/>
      <c r="K183" s="36"/>
      <c r="L183" s="36"/>
      <c r="M183" s="34"/>
      <c r="N183" s="41" t="s">
        <v>9673</v>
      </c>
      <c r="O183" s="39" t="s">
        <v>4157</v>
      </c>
      <c r="P183" s="33"/>
      <c r="Q183" s="36"/>
      <c r="R183" s="34"/>
      <c r="S183" s="38"/>
      <c r="T183" s="38" t="s">
        <v>12689</v>
      </c>
    </row>
    <row r="184" spans="1:20" x14ac:dyDescent="0.25">
      <c r="A184" s="39" t="s">
        <v>9671</v>
      </c>
      <c r="B184" s="33" t="s">
        <v>4152</v>
      </c>
      <c r="C184" s="33" t="s">
        <v>13</v>
      </c>
      <c r="D184" s="33" t="s">
        <v>1870</v>
      </c>
      <c r="E184" s="33">
        <v>2019</v>
      </c>
      <c r="F184" s="33">
        <v>355</v>
      </c>
      <c r="G184" s="34"/>
      <c r="H184" s="33" t="s">
        <v>4154</v>
      </c>
      <c r="I184" s="33" t="s">
        <v>4155</v>
      </c>
      <c r="J184" s="33">
        <v>2019</v>
      </c>
      <c r="K184" s="34"/>
      <c r="L184" s="34"/>
      <c r="M184" s="33" t="s">
        <v>1873</v>
      </c>
      <c r="N184" s="37" t="s">
        <v>4156</v>
      </c>
      <c r="O184" s="33" t="s">
        <v>4157</v>
      </c>
      <c r="P184" s="33" t="s">
        <v>4158</v>
      </c>
      <c r="Q184" s="33" t="s">
        <v>4159</v>
      </c>
      <c r="R184" s="34"/>
      <c r="S184" s="38"/>
      <c r="T184" s="38" t="s">
        <v>12690</v>
      </c>
    </row>
    <row r="185" spans="1:20" x14ac:dyDescent="0.25">
      <c r="A185" s="33" t="s">
        <v>5138</v>
      </c>
      <c r="B185" s="33" t="s">
        <v>5137</v>
      </c>
      <c r="C185" s="33" t="s">
        <v>141</v>
      </c>
      <c r="D185" s="34"/>
      <c r="E185" s="33">
        <v>2017</v>
      </c>
      <c r="F185" s="33">
        <v>15</v>
      </c>
      <c r="G185" s="34"/>
      <c r="H185" s="33" t="s">
        <v>5139</v>
      </c>
      <c r="I185" s="33" t="s">
        <v>196</v>
      </c>
      <c r="J185" s="33">
        <v>2017</v>
      </c>
      <c r="K185" s="34"/>
      <c r="L185" s="34"/>
      <c r="M185" s="33" t="s">
        <v>5140</v>
      </c>
      <c r="N185" s="37" t="s">
        <v>5141</v>
      </c>
      <c r="O185" s="33" t="s">
        <v>5142</v>
      </c>
      <c r="P185" s="33" t="s">
        <v>5143</v>
      </c>
      <c r="Q185" s="33" t="s">
        <v>176</v>
      </c>
      <c r="R185" s="34"/>
      <c r="S185" s="38"/>
      <c r="T185" s="38" t="s">
        <v>12690</v>
      </c>
    </row>
    <row r="186" spans="1:20" x14ac:dyDescent="0.25">
      <c r="A186" s="33" t="s">
        <v>6101</v>
      </c>
      <c r="B186" s="33" t="s">
        <v>6100</v>
      </c>
      <c r="C186" s="33" t="s">
        <v>13</v>
      </c>
      <c r="D186" s="33" t="s">
        <v>307</v>
      </c>
      <c r="E186" s="33">
        <v>2018</v>
      </c>
      <c r="F186" s="33">
        <v>102</v>
      </c>
      <c r="G186" s="34"/>
      <c r="H186" s="33" t="s">
        <v>6102</v>
      </c>
      <c r="I186" s="33" t="s">
        <v>280</v>
      </c>
      <c r="J186" s="33">
        <v>2018</v>
      </c>
      <c r="K186" s="34"/>
      <c r="L186" s="34"/>
      <c r="M186" s="33" t="s">
        <v>308</v>
      </c>
      <c r="N186" s="37" t="s">
        <v>6103</v>
      </c>
      <c r="O186" s="33" t="s">
        <v>6104</v>
      </c>
      <c r="P186" s="33" t="s">
        <v>6105</v>
      </c>
      <c r="Q186" s="33" t="s">
        <v>6106</v>
      </c>
      <c r="R186" s="34"/>
      <c r="S186" s="38"/>
      <c r="T186" s="38" t="s">
        <v>12690</v>
      </c>
    </row>
    <row r="187" spans="1:20" x14ac:dyDescent="0.25">
      <c r="A187" s="33" t="s">
        <v>5745</v>
      </c>
      <c r="B187" s="33" t="s">
        <v>5744</v>
      </c>
      <c r="C187" s="33" t="s">
        <v>539</v>
      </c>
      <c r="D187" s="34"/>
      <c r="E187" s="33">
        <v>2017</v>
      </c>
      <c r="F187" s="34"/>
      <c r="G187" s="34"/>
      <c r="H187" s="34"/>
      <c r="I187" s="33" t="s">
        <v>355</v>
      </c>
      <c r="J187" s="33">
        <v>2017</v>
      </c>
      <c r="K187" s="33">
        <v>9780128052822</v>
      </c>
      <c r="L187" s="33">
        <v>9780128051955</v>
      </c>
      <c r="M187" s="34"/>
      <c r="N187" s="37" t="s">
        <v>5746</v>
      </c>
      <c r="O187" s="33" t="s">
        <v>5747</v>
      </c>
      <c r="P187" s="33" t="s">
        <v>5748</v>
      </c>
      <c r="Q187" s="33" t="s">
        <v>397</v>
      </c>
      <c r="R187" s="33" t="s">
        <v>5749</v>
      </c>
      <c r="S187" s="38"/>
      <c r="T187" s="38" t="s">
        <v>12690</v>
      </c>
    </row>
    <row r="188" spans="1:20" x14ac:dyDescent="0.25">
      <c r="A188" s="33" t="s">
        <v>2319</v>
      </c>
      <c r="B188" s="33" t="s">
        <v>2318</v>
      </c>
      <c r="C188" s="33" t="s">
        <v>13</v>
      </c>
      <c r="D188" s="33" t="s">
        <v>2320</v>
      </c>
      <c r="E188" s="33">
        <v>2022</v>
      </c>
      <c r="F188" s="33">
        <v>412</v>
      </c>
      <c r="G188" s="34"/>
      <c r="H188" s="34"/>
      <c r="I188" s="33" t="s">
        <v>355</v>
      </c>
      <c r="J188" s="33">
        <v>2022</v>
      </c>
      <c r="K188" s="34"/>
      <c r="L188" s="34"/>
      <c r="M188" s="33" t="s">
        <v>2321</v>
      </c>
      <c r="N188" s="37" t="s">
        <v>2322</v>
      </c>
      <c r="O188" s="33" t="s">
        <v>2323</v>
      </c>
      <c r="P188" s="33" t="s">
        <v>2324</v>
      </c>
      <c r="Q188" s="33" t="s">
        <v>1573</v>
      </c>
      <c r="R188" s="34"/>
      <c r="S188" s="38"/>
      <c r="T188" s="38" t="s">
        <v>12690</v>
      </c>
    </row>
    <row r="189" spans="1:20" x14ac:dyDescent="0.25">
      <c r="A189" s="39" t="s">
        <v>9384</v>
      </c>
      <c r="B189" s="39" t="s">
        <v>9386</v>
      </c>
      <c r="C189" s="39" t="s">
        <v>539</v>
      </c>
      <c r="D189" s="36"/>
      <c r="E189" s="39">
        <v>2022</v>
      </c>
      <c r="F189" s="40"/>
      <c r="G189" s="40"/>
      <c r="H189" s="36"/>
      <c r="I189" s="40"/>
      <c r="J189" s="36"/>
      <c r="K189" s="36"/>
      <c r="L189" s="36"/>
      <c r="M189" s="34"/>
      <c r="N189" s="41" t="s">
        <v>9387</v>
      </c>
      <c r="O189" s="39" t="s">
        <v>9385</v>
      </c>
      <c r="P189" s="33"/>
      <c r="Q189" s="36"/>
      <c r="R189" s="34"/>
      <c r="S189" s="38"/>
      <c r="T189" s="38" t="s">
        <v>12689</v>
      </c>
    </row>
    <row r="190" spans="1:20" x14ac:dyDescent="0.25">
      <c r="A190" s="33" t="s">
        <v>5373</v>
      </c>
      <c r="B190" s="33" t="s">
        <v>5372</v>
      </c>
      <c r="C190" s="33" t="s">
        <v>13</v>
      </c>
      <c r="D190" s="33" t="s">
        <v>5374</v>
      </c>
      <c r="E190" s="33">
        <v>2018</v>
      </c>
      <c r="F190" s="33">
        <v>171</v>
      </c>
      <c r="G190" s="33">
        <v>1</v>
      </c>
      <c r="H190" s="33" t="s">
        <v>5375</v>
      </c>
      <c r="I190" s="33" t="s">
        <v>5376</v>
      </c>
      <c r="J190" s="33">
        <v>2018</v>
      </c>
      <c r="K190" s="34"/>
      <c r="L190" s="34"/>
      <c r="M190" s="33" t="s">
        <v>5377</v>
      </c>
      <c r="N190" s="37" t="s">
        <v>5378</v>
      </c>
      <c r="O190" s="33" t="s">
        <v>5379</v>
      </c>
      <c r="P190" s="33" t="s">
        <v>5380</v>
      </c>
      <c r="Q190" s="33" t="s">
        <v>1573</v>
      </c>
      <c r="R190" s="34"/>
      <c r="S190" s="38"/>
      <c r="T190" s="38" t="s">
        <v>12690</v>
      </c>
    </row>
    <row r="191" spans="1:20" x14ac:dyDescent="0.25">
      <c r="A191" s="33" t="s">
        <v>7685</v>
      </c>
      <c r="B191" s="33" t="s">
        <v>5014</v>
      </c>
      <c r="C191" s="33" t="s">
        <v>141</v>
      </c>
      <c r="D191" s="34"/>
      <c r="E191" s="33">
        <v>2019</v>
      </c>
      <c r="F191" s="34"/>
      <c r="G191" s="34"/>
      <c r="H191" s="33" t="s">
        <v>5016</v>
      </c>
      <c r="I191" s="33" t="s">
        <v>257</v>
      </c>
      <c r="J191" s="33">
        <v>2019</v>
      </c>
      <c r="K191" s="33">
        <v>9781728125084</v>
      </c>
      <c r="L191" s="34"/>
      <c r="M191" s="34"/>
      <c r="N191" s="37" t="s">
        <v>5017</v>
      </c>
      <c r="O191" s="33" t="s">
        <v>5018</v>
      </c>
      <c r="P191" s="33" t="s">
        <v>5019</v>
      </c>
      <c r="Q191" s="33" t="s">
        <v>2243</v>
      </c>
      <c r="R191" s="34"/>
      <c r="S191" s="38"/>
      <c r="T191" s="38" t="s">
        <v>12690</v>
      </c>
    </row>
    <row r="192" spans="1:20" x14ac:dyDescent="0.25">
      <c r="A192" s="33" t="s">
        <v>7685</v>
      </c>
      <c r="B192" s="33" t="s">
        <v>6842</v>
      </c>
      <c r="C192" s="33" t="s">
        <v>141</v>
      </c>
      <c r="D192" s="34"/>
      <c r="E192" s="33">
        <v>2020</v>
      </c>
      <c r="F192" s="34"/>
      <c r="G192" s="34"/>
      <c r="H192" s="33" t="s">
        <v>11943</v>
      </c>
      <c r="I192" s="44" t="s">
        <v>12713</v>
      </c>
      <c r="J192" s="33">
        <v>2020</v>
      </c>
      <c r="K192" s="33">
        <v>9781728125084</v>
      </c>
      <c r="L192" s="33" t="s">
        <v>11947</v>
      </c>
      <c r="M192" s="34"/>
      <c r="N192" s="37" t="s">
        <v>11946</v>
      </c>
      <c r="O192" s="33" t="s">
        <v>5018</v>
      </c>
      <c r="P192" s="33" t="s">
        <v>7689</v>
      </c>
      <c r="Q192" s="36"/>
      <c r="R192" s="36"/>
      <c r="S192" s="34"/>
      <c r="T192" s="33" t="s">
        <v>12692</v>
      </c>
    </row>
    <row r="193" spans="1:20" x14ac:dyDescent="0.25">
      <c r="A193" s="33" t="s">
        <v>7685</v>
      </c>
      <c r="B193" s="33" t="s">
        <v>6842</v>
      </c>
      <c r="C193" s="33" t="s">
        <v>141</v>
      </c>
      <c r="D193" s="34"/>
      <c r="E193" s="33">
        <v>2019</v>
      </c>
      <c r="F193" s="34"/>
      <c r="G193" s="34"/>
      <c r="H193" s="33" t="s">
        <v>7686</v>
      </c>
      <c r="I193" s="33" t="s">
        <v>7687</v>
      </c>
      <c r="J193" s="35">
        <v>43770</v>
      </c>
      <c r="K193" s="36"/>
      <c r="L193" s="36"/>
      <c r="M193" s="33" t="s">
        <v>6190</v>
      </c>
      <c r="N193" s="37" t="s">
        <v>7688</v>
      </c>
      <c r="O193" s="33" t="s">
        <v>5018</v>
      </c>
      <c r="P193" s="33" t="s">
        <v>7689</v>
      </c>
      <c r="Q193" s="36"/>
      <c r="R193" s="36"/>
      <c r="S193" s="33" t="s">
        <v>7690</v>
      </c>
      <c r="T193" s="38" t="s">
        <v>12688</v>
      </c>
    </row>
    <row r="194" spans="1:20" x14ac:dyDescent="0.25">
      <c r="A194" s="33" t="s">
        <v>4361</v>
      </c>
      <c r="B194" s="34"/>
      <c r="C194" s="33" t="s">
        <v>141</v>
      </c>
      <c r="D194" s="34"/>
      <c r="E194" s="33">
        <v>2019</v>
      </c>
      <c r="F194" s="34"/>
      <c r="G194" s="34"/>
      <c r="H194" s="34"/>
      <c r="I194" s="33" t="s">
        <v>145</v>
      </c>
      <c r="J194" s="33">
        <v>2019</v>
      </c>
      <c r="K194" s="33">
        <v>9781450371452</v>
      </c>
      <c r="L194" s="34"/>
      <c r="M194" s="34"/>
      <c r="N194" s="37" t="s">
        <v>4362</v>
      </c>
      <c r="O194" s="34"/>
      <c r="P194" s="33" t="s">
        <v>4363</v>
      </c>
      <c r="Q194" s="33" t="s">
        <v>157</v>
      </c>
      <c r="R194" s="34"/>
      <c r="S194" s="38"/>
      <c r="T194" s="38" t="s">
        <v>12690</v>
      </c>
    </row>
    <row r="195" spans="1:20" x14ac:dyDescent="0.25">
      <c r="A195" s="33" t="s">
        <v>5347</v>
      </c>
      <c r="B195" s="33" t="s">
        <v>5346</v>
      </c>
      <c r="C195" s="33" t="s">
        <v>13</v>
      </c>
      <c r="D195" s="33" t="s">
        <v>307</v>
      </c>
      <c r="E195" s="33">
        <v>2016</v>
      </c>
      <c r="F195" s="33">
        <v>70</v>
      </c>
      <c r="G195" s="34"/>
      <c r="H195" s="33" t="s">
        <v>5348</v>
      </c>
      <c r="I195" s="33" t="s">
        <v>280</v>
      </c>
      <c r="J195" s="33">
        <v>2016</v>
      </c>
      <c r="K195" s="34"/>
      <c r="L195" s="34"/>
      <c r="M195" s="33" t="s">
        <v>308</v>
      </c>
      <c r="N195" s="37" t="s">
        <v>5349</v>
      </c>
      <c r="O195" s="33" t="s">
        <v>5350</v>
      </c>
      <c r="P195" s="33" t="s">
        <v>5351</v>
      </c>
      <c r="Q195" s="33" t="s">
        <v>4560</v>
      </c>
      <c r="R195" s="34"/>
      <c r="S195" s="38"/>
      <c r="T195" s="38" t="s">
        <v>12690</v>
      </c>
    </row>
    <row r="196" spans="1:20" x14ac:dyDescent="0.25">
      <c r="A196" s="33" t="s">
        <v>5347</v>
      </c>
      <c r="B196" s="33" t="s">
        <v>8474</v>
      </c>
      <c r="C196" s="33" t="s">
        <v>13</v>
      </c>
      <c r="D196" s="33" t="s">
        <v>307</v>
      </c>
      <c r="E196" s="33">
        <v>2016</v>
      </c>
      <c r="F196" s="33">
        <v>70</v>
      </c>
      <c r="G196" s="36"/>
      <c r="H196" s="33" t="s">
        <v>8476</v>
      </c>
      <c r="I196" s="36"/>
      <c r="J196" s="33">
        <v>2016</v>
      </c>
      <c r="K196" s="34"/>
      <c r="L196" s="34"/>
      <c r="M196" s="33" t="s">
        <v>308</v>
      </c>
      <c r="N196" s="37" t="s">
        <v>8477</v>
      </c>
      <c r="O196" s="33" t="s">
        <v>5350</v>
      </c>
      <c r="P196" s="33" t="s">
        <v>8478</v>
      </c>
      <c r="Q196" s="36"/>
      <c r="R196" s="36"/>
      <c r="S196" s="33" t="s">
        <v>8479</v>
      </c>
      <c r="T196" s="38" t="s">
        <v>12693</v>
      </c>
    </row>
    <row r="197" spans="1:20" x14ac:dyDescent="0.25">
      <c r="A197" s="33" t="s">
        <v>8190</v>
      </c>
      <c r="B197" s="34"/>
      <c r="C197" s="33" t="s">
        <v>7972</v>
      </c>
      <c r="D197" s="34"/>
      <c r="E197" s="33">
        <v>2020</v>
      </c>
      <c r="F197" s="34"/>
      <c r="G197" s="34"/>
      <c r="H197" s="33" t="s">
        <v>8191</v>
      </c>
      <c r="I197" s="33" t="s">
        <v>12714</v>
      </c>
      <c r="J197" s="33">
        <v>2020</v>
      </c>
      <c r="K197" s="33">
        <v>9781119513940</v>
      </c>
      <c r="L197" s="36"/>
      <c r="M197" s="34"/>
      <c r="N197" s="37" t="s">
        <v>8192</v>
      </c>
      <c r="O197" s="33" t="s">
        <v>8193</v>
      </c>
      <c r="P197" s="34"/>
      <c r="Q197" s="36"/>
      <c r="R197" s="36"/>
      <c r="S197" s="34"/>
      <c r="T197" s="38" t="s">
        <v>12688</v>
      </c>
    </row>
    <row r="198" spans="1:20" x14ac:dyDescent="0.25">
      <c r="A198" s="33" t="s">
        <v>3720</v>
      </c>
      <c r="B198" s="33" t="s">
        <v>3719</v>
      </c>
      <c r="C198" s="33" t="s">
        <v>141</v>
      </c>
      <c r="D198" s="34"/>
      <c r="E198" s="33">
        <v>2020</v>
      </c>
      <c r="F198" s="34"/>
      <c r="G198" s="34"/>
      <c r="H198" s="33" t="s">
        <v>6654</v>
      </c>
      <c r="I198" s="33" t="s">
        <v>6655</v>
      </c>
      <c r="J198" s="35">
        <v>44136</v>
      </c>
      <c r="K198" s="36"/>
      <c r="L198" s="36"/>
      <c r="M198" s="34"/>
      <c r="N198" s="37" t="s">
        <v>6656</v>
      </c>
      <c r="O198" s="33" t="s">
        <v>3722</v>
      </c>
      <c r="P198" s="33" t="s">
        <v>6657</v>
      </c>
      <c r="Q198" s="36"/>
      <c r="R198" s="36"/>
      <c r="S198" s="33" t="s">
        <v>6658</v>
      </c>
      <c r="T198" s="38" t="s">
        <v>12688</v>
      </c>
    </row>
    <row r="199" spans="1:20" x14ac:dyDescent="0.25">
      <c r="A199" s="33" t="s">
        <v>3720</v>
      </c>
      <c r="B199" s="33" t="s">
        <v>3719</v>
      </c>
      <c r="C199" s="33" t="s">
        <v>141</v>
      </c>
      <c r="D199" s="34"/>
      <c r="E199" s="33">
        <v>2020</v>
      </c>
      <c r="F199" s="34"/>
      <c r="G199" s="34"/>
      <c r="H199" s="33" t="s">
        <v>2210</v>
      </c>
      <c r="I199" s="33" t="s">
        <v>257</v>
      </c>
      <c r="J199" s="33">
        <v>2020</v>
      </c>
      <c r="K199" s="33">
        <v>9780738124223</v>
      </c>
      <c r="L199" s="34"/>
      <c r="M199" s="34"/>
      <c r="N199" s="37" t="s">
        <v>3721</v>
      </c>
      <c r="O199" s="33" t="s">
        <v>3722</v>
      </c>
      <c r="P199" s="33" t="s">
        <v>3723</v>
      </c>
      <c r="Q199" s="33" t="s">
        <v>176</v>
      </c>
      <c r="R199" s="34"/>
      <c r="S199" s="38"/>
      <c r="T199" s="38" t="s">
        <v>12690</v>
      </c>
    </row>
    <row r="200" spans="1:20" x14ac:dyDescent="0.25">
      <c r="A200" s="33" t="s">
        <v>4070</v>
      </c>
      <c r="B200" s="33" t="s">
        <v>4069</v>
      </c>
      <c r="C200" s="33" t="s">
        <v>141</v>
      </c>
      <c r="D200" s="34"/>
      <c r="E200" s="33">
        <v>2019</v>
      </c>
      <c r="F200" s="34"/>
      <c r="G200" s="34"/>
      <c r="H200" s="33" t="s">
        <v>4071</v>
      </c>
      <c r="I200" s="33" t="s">
        <v>257</v>
      </c>
      <c r="J200" s="33">
        <v>2019</v>
      </c>
      <c r="K200" s="33">
        <v>9789532330984</v>
      </c>
      <c r="L200" s="34"/>
      <c r="M200" s="34"/>
      <c r="N200" s="37" t="s">
        <v>4072</v>
      </c>
      <c r="O200" s="33" t="s">
        <v>4073</v>
      </c>
      <c r="P200" s="33" t="s">
        <v>4074</v>
      </c>
      <c r="Q200" s="33" t="s">
        <v>176</v>
      </c>
      <c r="R200" s="34"/>
      <c r="S200" s="38"/>
      <c r="T200" s="38" t="s">
        <v>12690</v>
      </c>
    </row>
    <row r="201" spans="1:20" x14ac:dyDescent="0.25">
      <c r="A201" s="33" t="s">
        <v>1803</v>
      </c>
      <c r="B201" s="33" t="s">
        <v>1802</v>
      </c>
      <c r="C201" s="33" t="s">
        <v>141</v>
      </c>
      <c r="D201" s="34"/>
      <c r="E201" s="33">
        <v>2022</v>
      </c>
      <c r="F201" s="34"/>
      <c r="G201" s="34"/>
      <c r="H201" s="33" t="s">
        <v>6863</v>
      </c>
      <c r="I201" s="33" t="s">
        <v>6592</v>
      </c>
      <c r="J201" s="43">
        <v>44621</v>
      </c>
      <c r="K201" s="36"/>
      <c r="L201" s="36"/>
      <c r="M201" s="33" t="s">
        <v>6593</v>
      </c>
      <c r="N201" s="37" t="s">
        <v>6864</v>
      </c>
      <c r="O201" s="33" t="s">
        <v>1806</v>
      </c>
      <c r="P201" s="33" t="s">
        <v>6865</v>
      </c>
      <c r="Q201" s="36"/>
      <c r="R201" s="36"/>
      <c r="S201" s="33" t="s">
        <v>6866</v>
      </c>
      <c r="T201" s="38" t="s">
        <v>12688</v>
      </c>
    </row>
    <row r="202" spans="1:20" x14ac:dyDescent="0.25">
      <c r="A202" s="33" t="s">
        <v>1803</v>
      </c>
      <c r="B202" s="33" t="s">
        <v>1802</v>
      </c>
      <c r="C202" s="33" t="s">
        <v>141</v>
      </c>
      <c r="D202" s="34"/>
      <c r="E202" s="33">
        <v>2022</v>
      </c>
      <c r="F202" s="34"/>
      <c r="G202" s="34"/>
      <c r="H202" s="33" t="s">
        <v>1804</v>
      </c>
      <c r="I202" s="33" t="s">
        <v>257</v>
      </c>
      <c r="J202" s="33">
        <v>2022</v>
      </c>
      <c r="K202" s="33">
        <v>9781665437868</v>
      </c>
      <c r="L202" s="34"/>
      <c r="M202" s="34"/>
      <c r="N202" s="37" t="s">
        <v>1805</v>
      </c>
      <c r="O202" s="33" t="s">
        <v>1806</v>
      </c>
      <c r="P202" s="33" t="s">
        <v>1807</v>
      </c>
      <c r="Q202" s="33" t="s">
        <v>289</v>
      </c>
      <c r="R202" s="34"/>
      <c r="S202" s="38"/>
      <c r="T202" s="38" t="s">
        <v>12690</v>
      </c>
    </row>
    <row r="203" spans="1:20" x14ac:dyDescent="0.25">
      <c r="A203" s="33" t="s">
        <v>4657</v>
      </c>
      <c r="B203" s="33" t="s">
        <v>4656</v>
      </c>
      <c r="C203" s="33" t="s">
        <v>141</v>
      </c>
      <c r="D203" s="34"/>
      <c r="E203" s="33">
        <v>2019</v>
      </c>
      <c r="F203" s="34"/>
      <c r="G203" s="34"/>
      <c r="H203" s="33" t="s">
        <v>3846</v>
      </c>
      <c r="I203" s="33" t="s">
        <v>257</v>
      </c>
      <c r="J203" s="33">
        <v>2019</v>
      </c>
      <c r="K203" s="33">
        <v>9781728151380</v>
      </c>
      <c r="L203" s="34"/>
      <c r="M203" s="34"/>
      <c r="N203" s="37" t="s">
        <v>4658</v>
      </c>
      <c r="O203" s="33" t="s">
        <v>4659</v>
      </c>
      <c r="P203" s="33" t="s">
        <v>4660</v>
      </c>
      <c r="Q203" s="33" t="s">
        <v>2717</v>
      </c>
      <c r="R203" s="34"/>
      <c r="S203" s="38"/>
      <c r="T203" s="38" t="s">
        <v>12690</v>
      </c>
    </row>
    <row r="204" spans="1:20" x14ac:dyDescent="0.25">
      <c r="A204" s="33" t="s">
        <v>3153</v>
      </c>
      <c r="B204" s="33" t="s">
        <v>3152</v>
      </c>
      <c r="C204" s="33" t="s">
        <v>13</v>
      </c>
      <c r="D204" s="33" t="s">
        <v>3154</v>
      </c>
      <c r="E204" s="33">
        <v>2020</v>
      </c>
      <c r="F204" s="33">
        <v>93</v>
      </c>
      <c r="G204" s="33">
        <v>4</v>
      </c>
      <c r="H204" s="33" t="s">
        <v>3155</v>
      </c>
      <c r="I204" s="33" t="s">
        <v>3156</v>
      </c>
      <c r="J204" s="33">
        <v>2020</v>
      </c>
      <c r="K204" s="34"/>
      <c r="L204" s="34"/>
      <c r="M204" s="33" t="s">
        <v>3157</v>
      </c>
      <c r="N204" s="37" t="s">
        <v>3158</v>
      </c>
      <c r="O204" s="34"/>
      <c r="P204" s="33" t="s">
        <v>3159</v>
      </c>
      <c r="Q204" s="33" t="s">
        <v>2723</v>
      </c>
      <c r="R204" s="34"/>
      <c r="S204" s="38"/>
      <c r="T204" s="38" t="s">
        <v>12690</v>
      </c>
    </row>
    <row r="205" spans="1:20" x14ac:dyDescent="0.25">
      <c r="A205" s="33" t="s">
        <v>2449</v>
      </c>
      <c r="B205" s="33" t="s">
        <v>2448</v>
      </c>
      <c r="C205" s="33" t="s">
        <v>13</v>
      </c>
      <c r="D205" s="33" t="s">
        <v>2450</v>
      </c>
      <c r="E205" s="33">
        <v>2022</v>
      </c>
      <c r="F205" s="33">
        <v>114</v>
      </c>
      <c r="G205" s="36"/>
      <c r="H205" s="33">
        <v>108066</v>
      </c>
      <c r="I205" s="36"/>
      <c r="J205" s="33">
        <v>2022</v>
      </c>
      <c r="K205" s="34"/>
      <c r="L205" s="34"/>
      <c r="M205" s="33" t="s">
        <v>2451</v>
      </c>
      <c r="N205" s="37" t="s">
        <v>9244</v>
      </c>
      <c r="O205" s="33" t="s">
        <v>2453</v>
      </c>
      <c r="P205" s="33" t="s">
        <v>9245</v>
      </c>
      <c r="Q205" s="36"/>
      <c r="R205" s="36"/>
      <c r="S205" s="33" t="s">
        <v>9246</v>
      </c>
      <c r="T205" s="38" t="s">
        <v>12693</v>
      </c>
    </row>
    <row r="206" spans="1:20" x14ac:dyDescent="0.25">
      <c r="A206" s="33" t="s">
        <v>2449</v>
      </c>
      <c r="B206" s="33" t="s">
        <v>2448</v>
      </c>
      <c r="C206" s="33" t="s">
        <v>13</v>
      </c>
      <c r="D206" s="33" t="s">
        <v>2450</v>
      </c>
      <c r="E206" s="33">
        <v>2022</v>
      </c>
      <c r="F206" s="33">
        <v>114</v>
      </c>
      <c r="G206" s="34"/>
      <c r="H206" s="34"/>
      <c r="I206" s="33" t="s">
        <v>1060</v>
      </c>
      <c r="J206" s="33">
        <v>2022</v>
      </c>
      <c r="K206" s="34"/>
      <c r="L206" s="34"/>
      <c r="M206" s="33" t="s">
        <v>2451</v>
      </c>
      <c r="N206" s="37" t="s">
        <v>2452</v>
      </c>
      <c r="O206" s="33" t="s">
        <v>2453</v>
      </c>
      <c r="P206" s="33" t="s">
        <v>2454</v>
      </c>
      <c r="Q206" s="33" t="s">
        <v>318</v>
      </c>
      <c r="R206" s="34"/>
      <c r="S206" s="38"/>
      <c r="T206" s="38" t="s">
        <v>12690</v>
      </c>
    </row>
    <row r="207" spans="1:20" x14ac:dyDescent="0.25">
      <c r="A207" s="33" t="s">
        <v>11241</v>
      </c>
      <c r="B207" s="33" t="s">
        <v>11240</v>
      </c>
      <c r="C207" s="33" t="s">
        <v>141</v>
      </c>
      <c r="D207" s="34"/>
      <c r="E207" s="33">
        <v>2020</v>
      </c>
      <c r="F207" s="34"/>
      <c r="G207" s="34"/>
      <c r="H207" s="34"/>
      <c r="I207" s="44" t="s">
        <v>12715</v>
      </c>
      <c r="J207" s="33">
        <v>2020</v>
      </c>
      <c r="K207" s="33">
        <v>9781450375801</v>
      </c>
      <c r="L207" s="33" t="s">
        <v>11211</v>
      </c>
      <c r="M207" s="34"/>
      <c r="N207" s="37" t="s">
        <v>11242</v>
      </c>
      <c r="O207" s="33" t="s">
        <v>3321</v>
      </c>
      <c r="P207" s="33" t="s">
        <v>11243</v>
      </c>
      <c r="Q207" s="36"/>
      <c r="R207" s="36"/>
      <c r="S207" s="33" t="s">
        <v>11244</v>
      </c>
      <c r="T207" s="33" t="s">
        <v>12692</v>
      </c>
    </row>
    <row r="208" spans="1:20" x14ac:dyDescent="0.25">
      <c r="A208" s="33" t="s">
        <v>11241</v>
      </c>
      <c r="B208" s="33" t="s">
        <v>2687</v>
      </c>
      <c r="C208" s="33" t="s">
        <v>141</v>
      </c>
      <c r="D208" s="34"/>
      <c r="E208" s="33">
        <v>2020</v>
      </c>
      <c r="F208" s="34"/>
      <c r="G208" s="34"/>
      <c r="H208" s="34"/>
      <c r="I208" s="33" t="s">
        <v>196</v>
      </c>
      <c r="J208" s="33">
        <v>2020</v>
      </c>
      <c r="K208" s="33">
        <v>9781450375801</v>
      </c>
      <c r="L208" s="34"/>
      <c r="M208" s="33" t="s">
        <v>197</v>
      </c>
      <c r="N208" s="37" t="s">
        <v>3320</v>
      </c>
      <c r="O208" s="33" t="s">
        <v>3321</v>
      </c>
      <c r="P208" s="33" t="s">
        <v>3322</v>
      </c>
      <c r="Q208" s="33" t="s">
        <v>3323</v>
      </c>
      <c r="R208" s="34"/>
      <c r="S208" s="38"/>
      <c r="T208" s="38" t="s">
        <v>12690</v>
      </c>
    </row>
    <row r="209" spans="1:20" x14ac:dyDescent="0.25">
      <c r="A209" s="39" t="s">
        <v>9335</v>
      </c>
      <c r="B209" s="39" t="s">
        <v>9415</v>
      </c>
      <c r="C209" s="39" t="s">
        <v>539</v>
      </c>
      <c r="D209" s="36"/>
      <c r="E209" s="39">
        <v>2021</v>
      </c>
      <c r="F209" s="40"/>
      <c r="G209" s="40"/>
      <c r="H209" s="36"/>
      <c r="I209" s="39" t="s">
        <v>9275</v>
      </c>
      <c r="J209" s="36"/>
      <c r="K209" s="36"/>
      <c r="L209" s="36"/>
      <c r="M209" s="34"/>
      <c r="N209" s="41" t="s">
        <v>9416</v>
      </c>
      <c r="O209" s="39" t="s">
        <v>9414</v>
      </c>
      <c r="P209" s="33"/>
      <c r="Q209" s="36"/>
      <c r="R209" s="34"/>
      <c r="S209" s="38"/>
      <c r="T209" s="38" t="s">
        <v>12689</v>
      </c>
    </row>
    <row r="210" spans="1:20" x14ac:dyDescent="0.25">
      <c r="A210" s="39" t="s">
        <v>9335</v>
      </c>
      <c r="B210" s="39" t="s">
        <v>9337</v>
      </c>
      <c r="C210" s="39" t="s">
        <v>539</v>
      </c>
      <c r="D210" s="36"/>
      <c r="E210" s="39">
        <v>2019</v>
      </c>
      <c r="F210" s="40"/>
      <c r="G210" s="40"/>
      <c r="H210" s="36"/>
      <c r="I210" s="39" t="s">
        <v>9275</v>
      </c>
      <c r="J210" s="36"/>
      <c r="K210" s="36"/>
      <c r="L210" s="36"/>
      <c r="M210" s="34"/>
      <c r="N210" s="41" t="s">
        <v>9338</v>
      </c>
      <c r="O210" s="39" t="s">
        <v>9336</v>
      </c>
      <c r="P210" s="33"/>
      <c r="Q210" s="36"/>
      <c r="R210" s="34"/>
      <c r="S210" s="38"/>
      <c r="T210" s="38" t="s">
        <v>12689</v>
      </c>
    </row>
    <row r="211" spans="1:20" x14ac:dyDescent="0.25">
      <c r="A211" s="39" t="s">
        <v>9335</v>
      </c>
      <c r="B211" s="39" t="s">
        <v>9356</v>
      </c>
      <c r="C211" s="39" t="s">
        <v>539</v>
      </c>
      <c r="D211" s="36"/>
      <c r="E211" s="39">
        <v>2020</v>
      </c>
      <c r="F211" s="40"/>
      <c r="G211" s="40"/>
      <c r="H211" s="36"/>
      <c r="I211" s="39" t="s">
        <v>9275</v>
      </c>
      <c r="J211" s="36"/>
      <c r="K211" s="36"/>
      <c r="L211" s="36"/>
      <c r="M211" s="34"/>
      <c r="N211" s="41" t="s">
        <v>9357</v>
      </c>
      <c r="O211" s="39" t="s">
        <v>9355</v>
      </c>
      <c r="P211" s="33"/>
      <c r="Q211" s="36"/>
      <c r="R211" s="34"/>
      <c r="S211" s="38"/>
      <c r="T211" s="38" t="s">
        <v>12689</v>
      </c>
    </row>
    <row r="212" spans="1:20" x14ac:dyDescent="0.25">
      <c r="A212" s="39" t="s">
        <v>9813</v>
      </c>
      <c r="B212" s="39" t="s">
        <v>9815</v>
      </c>
      <c r="C212" s="39" t="s">
        <v>539</v>
      </c>
      <c r="D212" s="36"/>
      <c r="E212" s="39">
        <v>2022</v>
      </c>
      <c r="F212" s="40"/>
      <c r="G212" s="40"/>
      <c r="H212" s="36"/>
      <c r="I212" s="39" t="s">
        <v>9812</v>
      </c>
      <c r="J212" s="36"/>
      <c r="K212" s="36"/>
      <c r="L212" s="36"/>
      <c r="M212" s="34"/>
      <c r="N212" s="41" t="s">
        <v>9816</v>
      </c>
      <c r="O212" s="39" t="s">
        <v>9814</v>
      </c>
      <c r="P212" s="33"/>
      <c r="Q212" s="36"/>
      <c r="R212" s="34"/>
      <c r="S212" s="38"/>
      <c r="T212" s="38" t="s">
        <v>12689</v>
      </c>
    </row>
    <row r="213" spans="1:20" x14ac:dyDescent="0.25">
      <c r="A213" s="39" t="s">
        <v>10111</v>
      </c>
      <c r="B213" s="39" t="s">
        <v>10113</v>
      </c>
      <c r="C213" s="39" t="s">
        <v>539</v>
      </c>
      <c r="D213" s="36"/>
      <c r="E213" s="39">
        <v>2023</v>
      </c>
      <c r="F213" s="40"/>
      <c r="G213" s="40"/>
      <c r="H213" s="36"/>
      <c r="I213" s="39" t="s">
        <v>1547</v>
      </c>
      <c r="J213" s="36"/>
      <c r="K213" s="36"/>
      <c r="L213" s="36"/>
      <c r="M213" s="34"/>
      <c r="N213" s="41" t="s">
        <v>10114</v>
      </c>
      <c r="O213" s="39" t="s">
        <v>10112</v>
      </c>
      <c r="P213" s="33"/>
      <c r="Q213" s="36"/>
      <c r="R213" s="34"/>
      <c r="S213" s="38"/>
      <c r="T213" s="38" t="s">
        <v>12689</v>
      </c>
    </row>
    <row r="214" spans="1:20" x14ac:dyDescent="0.25">
      <c r="A214" s="39" t="s">
        <v>9579</v>
      </c>
      <c r="B214" s="39" t="s">
        <v>9581</v>
      </c>
      <c r="C214" s="39" t="s">
        <v>539</v>
      </c>
      <c r="D214" s="36"/>
      <c r="E214" s="39">
        <v>2022</v>
      </c>
      <c r="F214" s="40"/>
      <c r="G214" s="40"/>
      <c r="H214" s="36"/>
      <c r="I214" s="39" t="s">
        <v>1547</v>
      </c>
      <c r="J214" s="36"/>
      <c r="K214" s="36"/>
      <c r="L214" s="36"/>
      <c r="M214" s="34"/>
      <c r="N214" s="41" t="s">
        <v>9582</v>
      </c>
      <c r="O214" s="39" t="s">
        <v>9580</v>
      </c>
      <c r="P214" s="33"/>
      <c r="Q214" s="36"/>
      <c r="R214" s="34"/>
      <c r="S214" s="38"/>
      <c r="T214" s="38" t="s">
        <v>12689</v>
      </c>
    </row>
    <row r="215" spans="1:20" x14ac:dyDescent="0.25">
      <c r="A215" s="39" t="s">
        <v>9311</v>
      </c>
      <c r="B215" s="39" t="s">
        <v>9313</v>
      </c>
      <c r="C215" s="39" t="s">
        <v>539</v>
      </c>
      <c r="D215" s="36"/>
      <c r="E215" s="39">
        <v>2021</v>
      </c>
      <c r="F215" s="40"/>
      <c r="G215" s="40"/>
      <c r="H215" s="36"/>
      <c r="I215" s="39" t="s">
        <v>9310</v>
      </c>
      <c r="J215" s="36"/>
      <c r="K215" s="36"/>
      <c r="L215" s="36"/>
      <c r="M215" s="34"/>
      <c r="N215" s="41" t="s">
        <v>9314</v>
      </c>
      <c r="O215" s="39" t="s">
        <v>9312</v>
      </c>
      <c r="P215" s="33"/>
      <c r="Q215" s="36"/>
      <c r="R215" s="34"/>
      <c r="S215" s="38"/>
      <c r="T215" s="38" t="s">
        <v>12689</v>
      </c>
    </row>
    <row r="216" spans="1:20" x14ac:dyDescent="0.25">
      <c r="A216" s="39" t="s">
        <v>10123</v>
      </c>
      <c r="B216" s="39" t="s">
        <v>10125</v>
      </c>
      <c r="C216" s="39" t="s">
        <v>539</v>
      </c>
      <c r="D216" s="36"/>
      <c r="E216" s="39">
        <v>2023</v>
      </c>
      <c r="F216" s="40"/>
      <c r="G216" s="40"/>
      <c r="H216" s="36"/>
      <c r="I216" s="39" t="s">
        <v>676</v>
      </c>
      <c r="J216" s="36"/>
      <c r="K216" s="36"/>
      <c r="L216" s="36"/>
      <c r="M216" s="34"/>
      <c r="N216" s="41" t="s">
        <v>10126</v>
      </c>
      <c r="O216" s="39" t="s">
        <v>10124</v>
      </c>
      <c r="P216" s="33"/>
      <c r="Q216" s="36"/>
      <c r="R216" s="34"/>
      <c r="S216" s="38"/>
      <c r="T216" s="38" t="s">
        <v>12689</v>
      </c>
    </row>
    <row r="217" spans="1:20" x14ac:dyDescent="0.25">
      <c r="A217" s="33" t="s">
        <v>4365</v>
      </c>
      <c r="B217" s="33" t="s">
        <v>4364</v>
      </c>
      <c r="C217" s="33" t="s">
        <v>141</v>
      </c>
      <c r="D217" s="34"/>
      <c r="E217" s="33">
        <v>2020</v>
      </c>
      <c r="F217" s="34"/>
      <c r="G217" s="34"/>
      <c r="H217" s="33" t="s">
        <v>4366</v>
      </c>
      <c r="I217" s="33" t="s">
        <v>257</v>
      </c>
      <c r="J217" s="33">
        <v>2020</v>
      </c>
      <c r="K217" s="33">
        <v>9781728193465</v>
      </c>
      <c r="L217" s="34"/>
      <c r="M217" s="34"/>
      <c r="N217" s="37" t="s">
        <v>4367</v>
      </c>
      <c r="O217" s="33" t="s">
        <v>4368</v>
      </c>
      <c r="P217" s="33" t="s">
        <v>4369</v>
      </c>
      <c r="Q217" s="33" t="s">
        <v>4370</v>
      </c>
      <c r="R217" s="34"/>
      <c r="S217" s="38"/>
      <c r="T217" s="38" t="s">
        <v>12690</v>
      </c>
    </row>
    <row r="218" spans="1:20" x14ac:dyDescent="0.25">
      <c r="A218" s="33" t="s">
        <v>7887</v>
      </c>
      <c r="B218" s="33" t="s">
        <v>7886</v>
      </c>
      <c r="C218" s="33" t="s">
        <v>141</v>
      </c>
      <c r="D218" s="34"/>
      <c r="E218" s="33">
        <v>2022</v>
      </c>
      <c r="F218" s="33">
        <v>1</v>
      </c>
      <c r="G218" s="34"/>
      <c r="H218" s="33" t="s">
        <v>7888</v>
      </c>
      <c r="I218" s="33" t="s">
        <v>7889</v>
      </c>
      <c r="J218" s="43">
        <v>44621</v>
      </c>
      <c r="K218" s="36"/>
      <c r="L218" s="36"/>
      <c r="M218" s="33" t="s">
        <v>7890</v>
      </c>
      <c r="N218" s="37" t="s">
        <v>7891</v>
      </c>
      <c r="O218" s="33" t="s">
        <v>7892</v>
      </c>
      <c r="P218" s="33" t="s">
        <v>7893</v>
      </c>
      <c r="Q218" s="36"/>
      <c r="R218" s="36"/>
      <c r="S218" s="33" t="s">
        <v>7894</v>
      </c>
      <c r="T218" s="38" t="s">
        <v>12688</v>
      </c>
    </row>
    <row r="219" spans="1:20" x14ac:dyDescent="0.25">
      <c r="A219" s="33" t="s">
        <v>7928</v>
      </c>
      <c r="B219" s="33" t="s">
        <v>7927</v>
      </c>
      <c r="C219" s="33" t="s">
        <v>141</v>
      </c>
      <c r="D219" s="34"/>
      <c r="E219" s="33">
        <v>2017</v>
      </c>
      <c r="F219" s="34"/>
      <c r="G219" s="34"/>
      <c r="H219" s="33" t="s">
        <v>7929</v>
      </c>
      <c r="I219" s="33" t="s">
        <v>6518</v>
      </c>
      <c r="J219" s="35">
        <v>43070</v>
      </c>
      <c r="K219" s="36"/>
      <c r="L219" s="36"/>
      <c r="M219" s="34"/>
      <c r="N219" s="37" t="s">
        <v>7930</v>
      </c>
      <c r="O219" s="33" t="s">
        <v>7931</v>
      </c>
      <c r="P219" s="33" t="s">
        <v>7932</v>
      </c>
      <c r="Q219" s="36"/>
      <c r="R219" s="36"/>
      <c r="S219" s="33" t="s">
        <v>7933</v>
      </c>
      <c r="T219" s="38" t="s">
        <v>12688</v>
      </c>
    </row>
    <row r="220" spans="1:20" x14ac:dyDescent="0.25">
      <c r="A220" s="33" t="s">
        <v>1232</v>
      </c>
      <c r="B220" s="33" t="s">
        <v>1231</v>
      </c>
      <c r="C220" s="33" t="s">
        <v>13</v>
      </c>
      <c r="D220" s="33" t="s">
        <v>925</v>
      </c>
      <c r="E220" s="33">
        <v>2022</v>
      </c>
      <c r="F220" s="33">
        <v>11</v>
      </c>
      <c r="G220" s="33">
        <v>12</v>
      </c>
      <c r="H220" s="34"/>
      <c r="I220" s="33" t="s">
        <v>228</v>
      </c>
      <c r="J220" s="33">
        <v>2022</v>
      </c>
      <c r="K220" s="34"/>
      <c r="L220" s="34"/>
      <c r="M220" s="33" t="s">
        <v>926</v>
      </c>
      <c r="N220" s="37" t="s">
        <v>1233</v>
      </c>
      <c r="O220" s="33" t="s">
        <v>1234</v>
      </c>
      <c r="P220" s="33" t="s">
        <v>1235</v>
      </c>
      <c r="Q220" s="33" t="s">
        <v>285</v>
      </c>
      <c r="R220" s="34"/>
      <c r="S220" s="38"/>
      <c r="T220" s="38" t="s">
        <v>12690</v>
      </c>
    </row>
    <row r="221" spans="1:20" x14ac:dyDescent="0.25">
      <c r="A221" s="33" t="s">
        <v>7692</v>
      </c>
      <c r="B221" s="33" t="s">
        <v>7691</v>
      </c>
      <c r="C221" s="33" t="s">
        <v>13</v>
      </c>
      <c r="D221" s="33" t="s">
        <v>255</v>
      </c>
      <c r="E221" s="33">
        <v>2022</v>
      </c>
      <c r="F221" s="34"/>
      <c r="G221" s="34"/>
      <c r="H221" s="42">
        <v>44945</v>
      </c>
      <c r="I221" s="34"/>
      <c r="J221" s="33">
        <v>2022</v>
      </c>
      <c r="K221" s="36"/>
      <c r="L221" s="36"/>
      <c r="M221" s="33" t="s">
        <v>6115</v>
      </c>
      <c r="N221" s="37" t="s">
        <v>7693</v>
      </c>
      <c r="O221" s="33" t="s">
        <v>7694</v>
      </c>
      <c r="P221" s="33" t="s">
        <v>7695</v>
      </c>
      <c r="Q221" s="36"/>
      <c r="R221" s="36"/>
      <c r="S221" s="33" t="s">
        <v>7696</v>
      </c>
      <c r="T221" s="38" t="s">
        <v>12688</v>
      </c>
    </row>
    <row r="222" spans="1:20" x14ac:dyDescent="0.25">
      <c r="A222" s="39" t="s">
        <v>10797</v>
      </c>
      <c r="B222" s="39" t="s">
        <v>10042</v>
      </c>
      <c r="C222" s="39" t="s">
        <v>9539</v>
      </c>
      <c r="D222" s="36"/>
      <c r="E222" s="39">
        <v>2021</v>
      </c>
      <c r="F222" s="40"/>
      <c r="G222" s="40"/>
      <c r="H222" s="36"/>
      <c r="I222" s="39" t="s">
        <v>10040</v>
      </c>
      <c r="J222" s="36"/>
      <c r="K222" s="36"/>
      <c r="L222" s="36"/>
      <c r="M222" s="34"/>
      <c r="N222" s="41" t="s">
        <v>10799</v>
      </c>
      <c r="O222" s="39" t="s">
        <v>10798</v>
      </c>
      <c r="P222" s="33"/>
      <c r="Q222" s="36"/>
      <c r="R222" s="34"/>
      <c r="S222" s="38"/>
      <c r="T222" s="38" t="s">
        <v>12689</v>
      </c>
    </row>
    <row r="223" spans="1:20" x14ac:dyDescent="0.25">
      <c r="A223" s="39" t="s">
        <v>9519</v>
      </c>
      <c r="B223" s="39" t="s">
        <v>9735</v>
      </c>
      <c r="C223" s="39" t="s">
        <v>539</v>
      </c>
      <c r="D223" s="36"/>
      <c r="E223" s="39">
        <v>2020</v>
      </c>
      <c r="F223" s="40"/>
      <c r="G223" s="40"/>
      <c r="H223" s="36"/>
      <c r="I223" s="39" t="s">
        <v>1870</v>
      </c>
      <c r="J223" s="36"/>
      <c r="K223" s="36"/>
      <c r="L223" s="36"/>
      <c r="M223" s="34"/>
      <c r="N223" s="41" t="s">
        <v>9736</v>
      </c>
      <c r="O223" s="39" t="s">
        <v>9734</v>
      </c>
      <c r="P223" s="33"/>
      <c r="Q223" s="36"/>
      <c r="R223" s="34"/>
      <c r="S223" s="38"/>
      <c r="T223" s="38" t="s">
        <v>12689</v>
      </c>
    </row>
    <row r="224" spans="1:20" x14ac:dyDescent="0.25">
      <c r="A224" s="39" t="s">
        <v>9519</v>
      </c>
      <c r="B224" s="39" t="s">
        <v>9601</v>
      </c>
      <c r="C224" s="39" t="s">
        <v>539</v>
      </c>
      <c r="D224" s="36"/>
      <c r="E224" s="39">
        <v>2017</v>
      </c>
      <c r="F224" s="40"/>
      <c r="G224" s="40"/>
      <c r="H224" s="36"/>
      <c r="I224" s="39" t="s">
        <v>1870</v>
      </c>
      <c r="J224" s="36"/>
      <c r="K224" s="36"/>
      <c r="L224" s="36"/>
      <c r="M224" s="34"/>
      <c r="N224" s="41" t="s">
        <v>9602</v>
      </c>
      <c r="O224" s="39" t="s">
        <v>9600</v>
      </c>
      <c r="P224" s="33"/>
      <c r="Q224" s="36"/>
      <c r="R224" s="34"/>
      <c r="S224" s="38"/>
      <c r="T224" s="38" t="s">
        <v>12689</v>
      </c>
    </row>
    <row r="225" spans="1:20" x14ac:dyDescent="0.25">
      <c r="A225" s="39" t="s">
        <v>9519</v>
      </c>
      <c r="B225" s="39" t="s">
        <v>9755</v>
      </c>
      <c r="C225" s="39" t="s">
        <v>539</v>
      </c>
      <c r="D225" s="36"/>
      <c r="E225" s="39">
        <v>2018</v>
      </c>
      <c r="F225" s="40"/>
      <c r="G225" s="40"/>
      <c r="H225" s="36"/>
      <c r="I225" s="39" t="s">
        <v>1870</v>
      </c>
      <c r="J225" s="36"/>
      <c r="K225" s="36"/>
      <c r="L225" s="36"/>
      <c r="M225" s="34"/>
      <c r="N225" s="41" t="s">
        <v>9756</v>
      </c>
      <c r="O225" s="39" t="s">
        <v>9754</v>
      </c>
      <c r="P225" s="33"/>
      <c r="Q225" s="36"/>
      <c r="R225" s="34"/>
      <c r="S225" s="38"/>
      <c r="T225" s="38" t="s">
        <v>12689</v>
      </c>
    </row>
    <row r="226" spans="1:20" x14ac:dyDescent="0.25">
      <c r="A226" s="39" t="s">
        <v>9519</v>
      </c>
      <c r="B226" s="39" t="s">
        <v>9521</v>
      </c>
      <c r="C226" s="39" t="s">
        <v>539</v>
      </c>
      <c r="D226" s="36"/>
      <c r="E226" s="39">
        <v>2019</v>
      </c>
      <c r="F226" s="40"/>
      <c r="G226" s="40"/>
      <c r="H226" s="36"/>
      <c r="I226" s="39" t="s">
        <v>1870</v>
      </c>
      <c r="J226" s="36"/>
      <c r="K226" s="36"/>
      <c r="L226" s="36"/>
      <c r="M226" s="34"/>
      <c r="N226" s="41" t="s">
        <v>9522</v>
      </c>
      <c r="O226" s="39" t="s">
        <v>9520</v>
      </c>
      <c r="P226" s="33"/>
      <c r="Q226" s="36"/>
      <c r="R226" s="34"/>
      <c r="S226" s="38"/>
      <c r="T226" s="38" t="s">
        <v>12689</v>
      </c>
    </row>
    <row r="227" spans="1:20" x14ac:dyDescent="0.25">
      <c r="A227" s="39" t="s">
        <v>9512</v>
      </c>
      <c r="B227" s="39" t="s">
        <v>9709</v>
      </c>
      <c r="C227" s="39" t="s">
        <v>539</v>
      </c>
      <c r="D227" s="36"/>
      <c r="E227" s="39">
        <v>2020</v>
      </c>
      <c r="F227" s="40"/>
      <c r="G227" s="40"/>
      <c r="H227" s="36"/>
      <c r="I227" s="39" t="s">
        <v>1870</v>
      </c>
      <c r="J227" s="36"/>
      <c r="K227" s="36"/>
      <c r="L227" s="36"/>
      <c r="M227" s="34"/>
      <c r="N227" s="41" t="s">
        <v>9710</v>
      </c>
      <c r="O227" s="39" t="s">
        <v>9708</v>
      </c>
      <c r="P227" s="33"/>
      <c r="Q227" s="36"/>
      <c r="R227" s="34"/>
      <c r="S227" s="38"/>
      <c r="T227" s="38" t="s">
        <v>12689</v>
      </c>
    </row>
    <row r="228" spans="1:20" x14ac:dyDescent="0.25">
      <c r="A228" s="39" t="s">
        <v>9512</v>
      </c>
      <c r="B228" s="39" t="s">
        <v>9685</v>
      </c>
      <c r="C228" s="39" t="s">
        <v>539</v>
      </c>
      <c r="D228" s="36"/>
      <c r="E228" s="39">
        <v>2019</v>
      </c>
      <c r="F228" s="40"/>
      <c r="G228" s="40"/>
      <c r="H228" s="36"/>
      <c r="I228" s="39" t="s">
        <v>1870</v>
      </c>
      <c r="J228" s="36"/>
      <c r="K228" s="36"/>
      <c r="L228" s="36"/>
      <c r="M228" s="34"/>
      <c r="N228" s="41" t="s">
        <v>9686</v>
      </c>
      <c r="O228" s="39" t="s">
        <v>9684</v>
      </c>
      <c r="P228" s="33"/>
      <c r="Q228" s="36"/>
      <c r="R228" s="34"/>
      <c r="S228" s="38"/>
      <c r="T228" s="38" t="s">
        <v>12689</v>
      </c>
    </row>
    <row r="229" spans="1:20" x14ac:dyDescent="0.25">
      <c r="A229" s="39" t="s">
        <v>9512</v>
      </c>
      <c r="B229" s="39" t="s">
        <v>9514</v>
      </c>
      <c r="C229" s="39" t="s">
        <v>539</v>
      </c>
      <c r="D229" s="36"/>
      <c r="E229" s="39">
        <v>2021</v>
      </c>
      <c r="F229" s="40"/>
      <c r="G229" s="40"/>
      <c r="H229" s="36"/>
      <c r="I229" s="39" t="s">
        <v>1870</v>
      </c>
      <c r="J229" s="36"/>
      <c r="K229" s="36"/>
      <c r="L229" s="36"/>
      <c r="M229" s="34"/>
      <c r="N229" s="41" t="s">
        <v>9515</v>
      </c>
      <c r="O229" s="39" t="s">
        <v>9513</v>
      </c>
      <c r="P229" s="33"/>
      <c r="Q229" s="36"/>
      <c r="R229" s="34"/>
      <c r="S229" s="38"/>
      <c r="T229" s="38" t="s">
        <v>12689</v>
      </c>
    </row>
    <row r="230" spans="1:20" x14ac:dyDescent="0.25">
      <c r="A230" s="39" t="s">
        <v>10075</v>
      </c>
      <c r="B230" s="39" t="s">
        <v>10077</v>
      </c>
      <c r="C230" s="39" t="s">
        <v>539</v>
      </c>
      <c r="D230" s="36"/>
      <c r="E230" s="39">
        <v>2022</v>
      </c>
      <c r="F230" s="40"/>
      <c r="G230" s="40"/>
      <c r="H230" s="36"/>
      <c r="I230" s="40"/>
      <c r="J230" s="36"/>
      <c r="K230" s="36"/>
      <c r="L230" s="36"/>
      <c r="M230" s="34"/>
      <c r="N230" s="41" t="s">
        <v>10078</v>
      </c>
      <c r="O230" s="39" t="s">
        <v>10076</v>
      </c>
      <c r="P230" s="33"/>
      <c r="Q230" s="36"/>
      <c r="R230" s="34"/>
      <c r="S230" s="38"/>
      <c r="T230" s="38" t="s">
        <v>12689</v>
      </c>
    </row>
    <row r="231" spans="1:20" x14ac:dyDescent="0.25">
      <c r="A231" s="33" t="s">
        <v>8610</v>
      </c>
      <c r="B231" s="33" t="s">
        <v>8609</v>
      </c>
      <c r="C231" s="33" t="s">
        <v>13</v>
      </c>
      <c r="D231" s="33" t="s">
        <v>354</v>
      </c>
      <c r="E231" s="33">
        <v>2013</v>
      </c>
      <c r="F231" s="33">
        <v>86</v>
      </c>
      <c r="G231" s="36"/>
      <c r="H231" s="33" t="s">
        <v>8611</v>
      </c>
      <c r="I231" s="36"/>
      <c r="J231" s="33">
        <v>2013</v>
      </c>
      <c r="K231" s="34"/>
      <c r="L231" s="34"/>
      <c r="M231" s="33" t="s">
        <v>65</v>
      </c>
      <c r="N231" s="37" t="s">
        <v>8612</v>
      </c>
      <c r="O231" s="33" t="s">
        <v>8613</v>
      </c>
      <c r="P231" s="33" t="s">
        <v>8614</v>
      </c>
      <c r="Q231" s="36"/>
      <c r="R231" s="36"/>
      <c r="S231" s="33" t="s">
        <v>8615</v>
      </c>
      <c r="T231" s="38" t="s">
        <v>12693</v>
      </c>
    </row>
    <row r="232" spans="1:20" x14ac:dyDescent="0.25">
      <c r="A232" s="33" t="s">
        <v>7564</v>
      </c>
      <c r="B232" s="33" t="s">
        <v>7563</v>
      </c>
      <c r="C232" s="33" t="s">
        <v>13</v>
      </c>
      <c r="D232" s="33" t="s">
        <v>4637</v>
      </c>
      <c r="E232" s="33">
        <v>2021</v>
      </c>
      <c r="F232" s="33">
        <v>38</v>
      </c>
      <c r="G232" s="33">
        <v>4</v>
      </c>
      <c r="H232" s="42">
        <v>45122</v>
      </c>
      <c r="I232" s="34"/>
      <c r="J232" s="43">
        <v>44378</v>
      </c>
      <c r="K232" s="36"/>
      <c r="L232" s="36"/>
      <c r="M232" s="33" t="s">
        <v>6207</v>
      </c>
      <c r="N232" s="37" t="s">
        <v>7565</v>
      </c>
      <c r="O232" s="33" t="s">
        <v>7566</v>
      </c>
      <c r="P232" s="33" t="s">
        <v>7567</v>
      </c>
      <c r="Q232" s="36"/>
      <c r="R232" s="36"/>
      <c r="S232" s="33" t="s">
        <v>7568</v>
      </c>
      <c r="T232" s="38" t="s">
        <v>12688</v>
      </c>
    </row>
    <row r="233" spans="1:20" x14ac:dyDescent="0.25">
      <c r="A233" s="33" t="s">
        <v>7013</v>
      </c>
      <c r="B233" s="33" t="s">
        <v>7012</v>
      </c>
      <c r="C233" s="33" t="s">
        <v>13</v>
      </c>
      <c r="D233" s="33" t="s">
        <v>4637</v>
      </c>
      <c r="E233" s="33">
        <v>2022</v>
      </c>
      <c r="F233" s="33">
        <v>39</v>
      </c>
      <c r="G233" s="33">
        <v>6</v>
      </c>
      <c r="H233" s="33" t="s">
        <v>7014</v>
      </c>
      <c r="I233" s="34"/>
      <c r="J233" s="35">
        <v>44866</v>
      </c>
      <c r="K233" s="36"/>
      <c r="L233" s="36"/>
      <c r="M233" s="33" t="s">
        <v>6207</v>
      </c>
      <c r="N233" s="37" t="s">
        <v>7015</v>
      </c>
      <c r="O233" s="33" t="s">
        <v>7016</v>
      </c>
      <c r="P233" s="33" t="s">
        <v>7017</v>
      </c>
      <c r="Q233" s="36"/>
      <c r="R233" s="36"/>
      <c r="S233" s="33" t="s">
        <v>7018</v>
      </c>
      <c r="T233" s="38" t="s">
        <v>12688</v>
      </c>
    </row>
    <row r="234" spans="1:20" x14ac:dyDescent="0.25">
      <c r="A234" s="39" t="s">
        <v>10907</v>
      </c>
      <c r="B234" s="39" t="s">
        <v>10909</v>
      </c>
      <c r="C234" s="39" t="s">
        <v>539</v>
      </c>
      <c r="D234" s="36"/>
      <c r="E234" s="39">
        <v>2021</v>
      </c>
      <c r="F234" s="40"/>
      <c r="G234" s="40"/>
      <c r="H234" s="36"/>
      <c r="I234" s="40"/>
      <c r="J234" s="36"/>
      <c r="K234" s="36"/>
      <c r="L234" s="36"/>
      <c r="M234" s="34"/>
      <c r="N234" s="41" t="s">
        <v>10910</v>
      </c>
      <c r="O234" s="39" t="s">
        <v>10908</v>
      </c>
      <c r="P234" s="33"/>
      <c r="Q234" s="36"/>
      <c r="R234" s="34"/>
      <c r="S234" s="38"/>
      <c r="T234" s="38" t="s">
        <v>12689</v>
      </c>
    </row>
    <row r="235" spans="1:20" x14ac:dyDescent="0.25">
      <c r="A235" s="33" t="s">
        <v>1268</v>
      </c>
      <c r="B235" s="33" t="s">
        <v>1267</v>
      </c>
      <c r="C235" s="33" t="s">
        <v>13</v>
      </c>
      <c r="D235" s="33" t="s">
        <v>1149</v>
      </c>
      <c r="E235" s="33">
        <v>2022</v>
      </c>
      <c r="F235" s="34"/>
      <c r="G235" s="34"/>
      <c r="H235" s="34"/>
      <c r="I235" s="33" t="s">
        <v>212</v>
      </c>
      <c r="J235" s="33">
        <v>2022</v>
      </c>
      <c r="K235" s="34"/>
      <c r="L235" s="34"/>
      <c r="M235" s="33" t="s">
        <v>1150</v>
      </c>
      <c r="N235" s="37" t="s">
        <v>1269</v>
      </c>
      <c r="O235" s="33" t="s">
        <v>1270</v>
      </c>
      <c r="P235" s="33" t="s">
        <v>1271</v>
      </c>
      <c r="Q235" s="33" t="s">
        <v>318</v>
      </c>
      <c r="R235" s="34"/>
      <c r="S235" s="38"/>
      <c r="T235" s="38" t="s">
        <v>12690</v>
      </c>
    </row>
    <row r="236" spans="1:20" x14ac:dyDescent="0.25">
      <c r="A236" s="33" t="s">
        <v>8237</v>
      </c>
      <c r="B236" s="33" t="s">
        <v>8236</v>
      </c>
      <c r="C236" s="33" t="s">
        <v>141</v>
      </c>
      <c r="D236" s="34"/>
      <c r="E236" s="33">
        <v>2022</v>
      </c>
      <c r="F236" s="34"/>
      <c r="G236" s="34"/>
      <c r="H236" s="42">
        <v>44934</v>
      </c>
      <c r="I236" s="33" t="s">
        <v>8238</v>
      </c>
      <c r="J236" s="43">
        <v>44805</v>
      </c>
      <c r="K236" s="34"/>
      <c r="L236" s="36"/>
      <c r="M236" s="34"/>
      <c r="N236" s="37" t="s">
        <v>8239</v>
      </c>
      <c r="O236" s="33" t="s">
        <v>8240</v>
      </c>
      <c r="P236" s="33" t="s">
        <v>8241</v>
      </c>
      <c r="Q236" s="36"/>
      <c r="R236" s="36"/>
      <c r="S236" s="33" t="s">
        <v>8242</v>
      </c>
      <c r="T236" s="38" t="s">
        <v>12688</v>
      </c>
    </row>
    <row r="237" spans="1:20" x14ac:dyDescent="0.25">
      <c r="A237" s="33" t="s">
        <v>3773</v>
      </c>
      <c r="B237" s="33" t="s">
        <v>1784</v>
      </c>
      <c r="C237" s="33" t="s">
        <v>141</v>
      </c>
      <c r="D237" s="34"/>
      <c r="E237" s="33">
        <v>2020</v>
      </c>
      <c r="F237" s="45">
        <v>44166</v>
      </c>
      <c r="G237" s="34"/>
      <c r="H237" s="33" t="s">
        <v>3774</v>
      </c>
      <c r="I237" s="33" t="s">
        <v>196</v>
      </c>
      <c r="J237" s="33">
        <v>2020</v>
      </c>
      <c r="K237" s="33">
        <v>9781728195537</v>
      </c>
      <c r="L237" s="34"/>
      <c r="M237" s="33" t="s">
        <v>3521</v>
      </c>
      <c r="N237" s="37" t="s">
        <v>3775</v>
      </c>
      <c r="O237" s="33" t="s">
        <v>3776</v>
      </c>
      <c r="P237" s="33" t="s">
        <v>3777</v>
      </c>
      <c r="Q237" s="33" t="s">
        <v>318</v>
      </c>
      <c r="R237" s="34"/>
      <c r="S237" s="38"/>
      <c r="T237" s="38" t="s">
        <v>12690</v>
      </c>
    </row>
    <row r="238" spans="1:20" x14ac:dyDescent="0.25">
      <c r="A238" s="33" t="s">
        <v>8312</v>
      </c>
      <c r="B238" s="33" t="s">
        <v>8311</v>
      </c>
      <c r="C238" s="33" t="s">
        <v>13</v>
      </c>
      <c r="D238" s="33" t="s">
        <v>4637</v>
      </c>
      <c r="E238" s="33">
        <v>2022</v>
      </c>
      <c r="F238" s="33">
        <v>39</v>
      </c>
      <c r="G238" s="33">
        <v>6</v>
      </c>
      <c r="H238" s="33" t="s">
        <v>8313</v>
      </c>
      <c r="I238" s="34"/>
      <c r="J238" s="35">
        <v>44866</v>
      </c>
      <c r="K238" s="34"/>
      <c r="L238" s="36"/>
      <c r="M238" s="33" t="s">
        <v>6207</v>
      </c>
      <c r="N238" s="37" t="s">
        <v>8314</v>
      </c>
      <c r="O238" s="33" t="s">
        <v>8315</v>
      </c>
      <c r="P238" s="33" t="s">
        <v>8316</v>
      </c>
      <c r="Q238" s="36"/>
      <c r="R238" s="36"/>
      <c r="S238" s="34"/>
      <c r="T238" s="38" t="s">
        <v>12688</v>
      </c>
    </row>
    <row r="239" spans="1:20" x14ac:dyDescent="0.25">
      <c r="A239" s="33" t="s">
        <v>8298</v>
      </c>
      <c r="B239" s="33" t="s">
        <v>8297</v>
      </c>
      <c r="C239" s="33" t="s">
        <v>13</v>
      </c>
      <c r="D239" s="33" t="s">
        <v>4637</v>
      </c>
      <c r="E239" s="33">
        <v>2022</v>
      </c>
      <c r="F239" s="33">
        <v>39</v>
      </c>
      <c r="G239" s="33">
        <v>6</v>
      </c>
      <c r="H239" s="33" t="s">
        <v>8299</v>
      </c>
      <c r="I239" s="34"/>
      <c r="J239" s="35">
        <v>44866</v>
      </c>
      <c r="K239" s="34"/>
      <c r="L239" s="36"/>
      <c r="M239" s="33" t="s">
        <v>6207</v>
      </c>
      <c r="N239" s="37" t="s">
        <v>8300</v>
      </c>
      <c r="O239" s="33" t="s">
        <v>8301</v>
      </c>
      <c r="P239" s="33" t="s">
        <v>8302</v>
      </c>
      <c r="Q239" s="36"/>
      <c r="R239" s="36"/>
      <c r="S239" s="33" t="s">
        <v>8303</v>
      </c>
      <c r="T239" s="38" t="s">
        <v>12688</v>
      </c>
    </row>
    <row r="240" spans="1:20" x14ac:dyDescent="0.25">
      <c r="A240" s="33" t="s">
        <v>8596</v>
      </c>
      <c r="B240" s="33" t="s">
        <v>8595</v>
      </c>
      <c r="C240" s="33" t="s">
        <v>13</v>
      </c>
      <c r="D240" s="33" t="s">
        <v>8597</v>
      </c>
      <c r="E240" s="33">
        <v>2022</v>
      </c>
      <c r="F240" s="33">
        <v>19</v>
      </c>
      <c r="G240" s="36"/>
      <c r="H240" s="33">
        <v>100514</v>
      </c>
      <c r="I240" s="36"/>
      <c r="J240" s="33">
        <v>2022</v>
      </c>
      <c r="K240" s="34"/>
      <c r="L240" s="34"/>
      <c r="M240" s="33" t="s">
        <v>8598</v>
      </c>
      <c r="N240" s="37" t="s">
        <v>8599</v>
      </c>
      <c r="O240" s="33" t="s">
        <v>8600</v>
      </c>
      <c r="P240" s="33" t="s">
        <v>8601</v>
      </c>
      <c r="Q240" s="36"/>
      <c r="R240" s="36"/>
      <c r="S240" s="33" t="s">
        <v>8602</v>
      </c>
      <c r="T240" s="38" t="s">
        <v>12693</v>
      </c>
    </row>
    <row r="241" spans="1:20" x14ac:dyDescent="0.25">
      <c r="A241" s="39" t="s">
        <v>9949</v>
      </c>
      <c r="B241" s="39" t="s">
        <v>9341</v>
      </c>
      <c r="C241" s="39" t="s">
        <v>9539</v>
      </c>
      <c r="D241" s="36"/>
      <c r="E241" s="39">
        <v>2023</v>
      </c>
      <c r="F241" s="40"/>
      <c r="G241" s="40"/>
      <c r="H241" s="36"/>
      <c r="I241" s="39" t="s">
        <v>9339</v>
      </c>
      <c r="J241" s="36"/>
      <c r="K241" s="36"/>
      <c r="L241" s="36"/>
      <c r="M241" s="34"/>
      <c r="N241" s="41" t="s">
        <v>9951</v>
      </c>
      <c r="O241" s="39" t="s">
        <v>9950</v>
      </c>
      <c r="P241" s="33"/>
      <c r="Q241" s="36"/>
      <c r="R241" s="34"/>
      <c r="S241" s="38"/>
      <c r="T241" s="38" t="s">
        <v>12689</v>
      </c>
    </row>
    <row r="242" spans="1:20" x14ac:dyDescent="0.25">
      <c r="A242" s="39" t="s">
        <v>10119</v>
      </c>
      <c r="B242" s="39" t="s">
        <v>10121</v>
      </c>
      <c r="C242" s="39" t="s">
        <v>9478</v>
      </c>
      <c r="D242" s="36"/>
      <c r="E242" s="39">
        <v>2021</v>
      </c>
      <c r="F242" s="39">
        <v>26</v>
      </c>
      <c r="G242" s="39">
        <v>5</v>
      </c>
      <c r="H242" s="36"/>
      <c r="I242" s="39" t="s">
        <v>136</v>
      </c>
      <c r="J242" s="36"/>
      <c r="K242" s="36"/>
      <c r="L242" s="36"/>
      <c r="M242" s="34"/>
      <c r="N242" s="41" t="s">
        <v>10122</v>
      </c>
      <c r="O242" s="39" t="s">
        <v>10120</v>
      </c>
      <c r="P242" s="33"/>
      <c r="Q242" s="36"/>
      <c r="R242" s="34"/>
      <c r="S242" s="38"/>
      <c r="T242" s="38" t="s">
        <v>12689</v>
      </c>
    </row>
    <row r="243" spans="1:20" x14ac:dyDescent="0.25">
      <c r="A243" s="33" t="s">
        <v>3760</v>
      </c>
      <c r="B243" s="33" t="s">
        <v>3759</v>
      </c>
      <c r="C243" s="33" t="s">
        <v>13</v>
      </c>
      <c r="D243" s="33" t="s">
        <v>1637</v>
      </c>
      <c r="E243" s="33">
        <v>2021</v>
      </c>
      <c r="F243" s="33">
        <v>3</v>
      </c>
      <c r="G243" s="33">
        <v>1</v>
      </c>
      <c r="H243" s="33" t="s">
        <v>3761</v>
      </c>
      <c r="I243" s="33" t="s">
        <v>228</v>
      </c>
      <c r="J243" s="33">
        <v>2021</v>
      </c>
      <c r="K243" s="34"/>
      <c r="L243" s="34"/>
      <c r="M243" s="33" t="s">
        <v>1639</v>
      </c>
      <c r="N243" s="37" t="s">
        <v>3762</v>
      </c>
      <c r="O243" s="33" t="s">
        <v>3763</v>
      </c>
      <c r="P243" s="33" t="s">
        <v>3764</v>
      </c>
      <c r="Q243" s="33" t="s">
        <v>1948</v>
      </c>
      <c r="R243" s="34"/>
      <c r="S243" s="38"/>
      <c r="T243" s="38" t="s">
        <v>12690</v>
      </c>
    </row>
    <row r="244" spans="1:20" x14ac:dyDescent="0.25">
      <c r="A244" s="33" t="s">
        <v>3142</v>
      </c>
      <c r="B244" s="33" t="s">
        <v>3141</v>
      </c>
      <c r="C244" s="33" t="s">
        <v>141</v>
      </c>
      <c r="D244" s="34"/>
      <c r="E244" s="33">
        <v>2021</v>
      </c>
      <c r="F244" s="34"/>
      <c r="G244" s="34"/>
      <c r="H244" s="33" t="s">
        <v>3143</v>
      </c>
      <c r="I244" s="33" t="s">
        <v>257</v>
      </c>
      <c r="J244" s="33">
        <v>2021</v>
      </c>
      <c r="K244" s="33">
        <v>9781665420853</v>
      </c>
      <c r="L244" s="34"/>
      <c r="M244" s="34"/>
      <c r="N244" s="37" t="s">
        <v>3144</v>
      </c>
      <c r="O244" s="33" t="s">
        <v>3145</v>
      </c>
      <c r="P244" s="33" t="s">
        <v>3146</v>
      </c>
      <c r="Q244" s="33" t="s">
        <v>289</v>
      </c>
      <c r="R244" s="34"/>
      <c r="S244" s="38"/>
      <c r="T244" s="38" t="s">
        <v>12690</v>
      </c>
    </row>
    <row r="245" spans="1:20" x14ac:dyDescent="0.25">
      <c r="A245" s="33" t="s">
        <v>12582</v>
      </c>
      <c r="B245" s="33" t="s">
        <v>12581</v>
      </c>
      <c r="C245" s="33" t="s">
        <v>13</v>
      </c>
      <c r="D245" s="33" t="s">
        <v>11246</v>
      </c>
      <c r="E245" s="33">
        <v>2022</v>
      </c>
      <c r="F245" s="34"/>
      <c r="G245" s="34"/>
      <c r="H245" s="34"/>
      <c r="I245" s="44" t="s">
        <v>12710</v>
      </c>
      <c r="J245" s="43">
        <v>44713</v>
      </c>
      <c r="K245" s="34"/>
      <c r="L245" s="34"/>
      <c r="M245" s="33" t="s">
        <v>329</v>
      </c>
      <c r="N245" s="37" t="s">
        <v>12583</v>
      </c>
      <c r="O245" s="33" t="s">
        <v>12584</v>
      </c>
      <c r="P245" s="33" t="s">
        <v>12585</v>
      </c>
      <c r="Q245" s="36"/>
      <c r="R245" s="36"/>
      <c r="S245" s="33" t="s">
        <v>12586</v>
      </c>
      <c r="T245" s="33" t="s">
        <v>12692</v>
      </c>
    </row>
    <row r="246" spans="1:20" x14ac:dyDescent="0.25">
      <c r="A246" s="33" t="s">
        <v>7323</v>
      </c>
      <c r="B246" s="33" t="s">
        <v>7322</v>
      </c>
      <c r="C246" s="33" t="s">
        <v>141</v>
      </c>
      <c r="D246" s="34"/>
      <c r="E246" s="33">
        <v>2020</v>
      </c>
      <c r="F246" s="34"/>
      <c r="G246" s="34"/>
      <c r="H246" s="33" t="s">
        <v>7324</v>
      </c>
      <c r="I246" s="33" t="s">
        <v>7325</v>
      </c>
      <c r="J246" s="43">
        <v>44013</v>
      </c>
      <c r="K246" s="36"/>
      <c r="L246" s="36"/>
      <c r="M246" s="33" t="s">
        <v>7326</v>
      </c>
      <c r="N246" s="37" t="s">
        <v>7327</v>
      </c>
      <c r="O246" s="33" t="s">
        <v>7328</v>
      </c>
      <c r="P246" s="33" t="s">
        <v>7329</v>
      </c>
      <c r="Q246" s="36"/>
      <c r="R246" s="36"/>
      <c r="S246" s="33" t="s">
        <v>7330</v>
      </c>
      <c r="T246" s="38" t="s">
        <v>12688</v>
      </c>
    </row>
    <row r="247" spans="1:20" x14ac:dyDescent="0.25">
      <c r="A247" s="33" t="s">
        <v>4193</v>
      </c>
      <c r="B247" s="33" t="s">
        <v>1095</v>
      </c>
      <c r="C247" s="33" t="s">
        <v>141</v>
      </c>
      <c r="D247" s="34"/>
      <c r="E247" s="33">
        <v>2020</v>
      </c>
      <c r="F247" s="34"/>
      <c r="G247" s="34"/>
      <c r="H247" s="33" t="s">
        <v>11783</v>
      </c>
      <c r="I247" s="44" t="s">
        <v>12716</v>
      </c>
      <c r="J247" s="33">
        <v>2020</v>
      </c>
      <c r="K247" s="33">
        <v>9781450375177</v>
      </c>
      <c r="L247" s="33" t="s">
        <v>11527</v>
      </c>
      <c r="M247" s="34"/>
      <c r="N247" s="37" t="s">
        <v>11784</v>
      </c>
      <c r="O247" s="33" t="s">
        <v>4196</v>
      </c>
      <c r="P247" s="33" t="s">
        <v>11785</v>
      </c>
      <c r="Q247" s="36"/>
      <c r="R247" s="36"/>
      <c r="S247" s="33" t="s">
        <v>11786</v>
      </c>
      <c r="T247" s="33" t="s">
        <v>12692</v>
      </c>
    </row>
    <row r="248" spans="1:20" x14ac:dyDescent="0.25">
      <c r="A248" s="33" t="s">
        <v>4193</v>
      </c>
      <c r="B248" s="33" t="s">
        <v>1095</v>
      </c>
      <c r="C248" s="33" t="s">
        <v>141</v>
      </c>
      <c r="D248" s="34"/>
      <c r="E248" s="33">
        <v>2020</v>
      </c>
      <c r="F248" s="34"/>
      <c r="G248" s="34"/>
      <c r="H248" s="33" t="s">
        <v>4194</v>
      </c>
      <c r="I248" s="33" t="s">
        <v>153</v>
      </c>
      <c r="J248" s="33">
        <v>2020</v>
      </c>
      <c r="K248" s="33">
        <v>9781450379571</v>
      </c>
      <c r="L248" s="34"/>
      <c r="M248" s="34"/>
      <c r="N248" s="37" t="s">
        <v>4195</v>
      </c>
      <c r="O248" s="33" t="s">
        <v>4196</v>
      </c>
      <c r="P248" s="33" t="s">
        <v>4197</v>
      </c>
      <c r="Q248" s="33" t="s">
        <v>2243</v>
      </c>
      <c r="R248" s="34"/>
      <c r="S248" s="38"/>
      <c r="T248" s="38" t="s">
        <v>12690</v>
      </c>
    </row>
    <row r="249" spans="1:20" x14ac:dyDescent="0.25">
      <c r="A249" s="39" t="s">
        <v>9351</v>
      </c>
      <c r="B249" s="39" t="s">
        <v>9353</v>
      </c>
      <c r="C249" s="39" t="s">
        <v>539</v>
      </c>
      <c r="D249" s="36"/>
      <c r="E249" s="39">
        <v>2022</v>
      </c>
      <c r="F249" s="40"/>
      <c r="G249" s="40"/>
      <c r="H249" s="36"/>
      <c r="I249" s="39" t="s">
        <v>9275</v>
      </c>
      <c r="J249" s="36"/>
      <c r="K249" s="36"/>
      <c r="L249" s="36"/>
      <c r="M249" s="34"/>
      <c r="N249" s="41" t="s">
        <v>9354</v>
      </c>
      <c r="O249" s="39" t="s">
        <v>9352</v>
      </c>
      <c r="P249" s="33"/>
      <c r="Q249" s="36"/>
      <c r="R249" s="34"/>
      <c r="S249" s="38"/>
      <c r="T249" s="38" t="s">
        <v>12689</v>
      </c>
    </row>
    <row r="250" spans="1:20" x14ac:dyDescent="0.25">
      <c r="A250" s="33" t="s">
        <v>1001</v>
      </c>
      <c r="B250" s="33" t="s">
        <v>1000</v>
      </c>
      <c r="C250" s="33" t="s">
        <v>13</v>
      </c>
      <c r="D250" s="33" t="s">
        <v>1002</v>
      </c>
      <c r="E250" s="33">
        <v>2022</v>
      </c>
      <c r="F250" s="33">
        <v>15</v>
      </c>
      <c r="G250" s="33">
        <v>1</v>
      </c>
      <c r="H250" s="34"/>
      <c r="I250" s="33" t="s">
        <v>145</v>
      </c>
      <c r="J250" s="33">
        <v>2022</v>
      </c>
      <c r="K250" s="34"/>
      <c r="L250" s="34"/>
      <c r="M250" s="33" t="s">
        <v>1003</v>
      </c>
      <c r="N250" s="37" t="s">
        <v>1004</v>
      </c>
      <c r="O250" s="33" t="s">
        <v>1005</v>
      </c>
      <c r="P250" s="33" t="s">
        <v>1006</v>
      </c>
      <c r="Q250" s="33" t="s">
        <v>157</v>
      </c>
      <c r="R250" s="34"/>
      <c r="S250" s="38"/>
      <c r="T250" s="38" t="s">
        <v>12690</v>
      </c>
    </row>
    <row r="251" spans="1:20" x14ac:dyDescent="0.25">
      <c r="A251" s="33" t="s">
        <v>12618</v>
      </c>
      <c r="B251" s="33" t="s">
        <v>12617</v>
      </c>
      <c r="C251" s="33" t="s">
        <v>141</v>
      </c>
      <c r="D251" s="34"/>
      <c r="E251" s="33">
        <v>2021</v>
      </c>
      <c r="F251" s="34"/>
      <c r="G251" s="34"/>
      <c r="H251" s="33" t="s">
        <v>12619</v>
      </c>
      <c r="I251" s="44" t="s">
        <v>12717</v>
      </c>
      <c r="J251" s="33">
        <v>2021</v>
      </c>
      <c r="K251" s="33">
        <v>9781450383097</v>
      </c>
      <c r="L251" s="33" t="s">
        <v>11302</v>
      </c>
      <c r="M251" s="34"/>
      <c r="N251" s="37" t="s">
        <v>12620</v>
      </c>
      <c r="O251" s="33" t="s">
        <v>12621</v>
      </c>
      <c r="P251" s="33" t="s">
        <v>12622</v>
      </c>
      <c r="Q251" s="36"/>
      <c r="R251" s="36"/>
      <c r="S251" s="33" t="s">
        <v>12623</v>
      </c>
      <c r="T251" s="33" t="s">
        <v>12692</v>
      </c>
    </row>
    <row r="252" spans="1:20" x14ac:dyDescent="0.25">
      <c r="A252" s="33" t="s">
        <v>1442</v>
      </c>
      <c r="B252" s="33" t="s">
        <v>1441</v>
      </c>
      <c r="C252" s="33" t="s">
        <v>13</v>
      </c>
      <c r="D252" s="33" t="s">
        <v>1443</v>
      </c>
      <c r="E252" s="33">
        <v>2021</v>
      </c>
      <c r="F252" s="33">
        <v>2</v>
      </c>
      <c r="G252" s="33">
        <v>4</v>
      </c>
      <c r="H252" s="33" t="s">
        <v>7787</v>
      </c>
      <c r="I252" s="34"/>
      <c r="J252" s="35">
        <v>44531</v>
      </c>
      <c r="K252" s="36"/>
      <c r="L252" s="36"/>
      <c r="M252" s="33" t="s">
        <v>1445</v>
      </c>
      <c r="N252" s="37" t="s">
        <v>7788</v>
      </c>
      <c r="O252" s="33" t="s">
        <v>1447</v>
      </c>
      <c r="P252" s="33" t="s">
        <v>7789</v>
      </c>
      <c r="Q252" s="36"/>
      <c r="R252" s="36"/>
      <c r="S252" s="33" t="s">
        <v>7790</v>
      </c>
      <c r="T252" s="38" t="s">
        <v>12688</v>
      </c>
    </row>
    <row r="253" spans="1:20" x14ac:dyDescent="0.25">
      <c r="A253" s="33" t="s">
        <v>1442</v>
      </c>
      <c r="B253" s="33" t="s">
        <v>1441</v>
      </c>
      <c r="C253" s="33" t="s">
        <v>13</v>
      </c>
      <c r="D253" s="33" t="s">
        <v>1443</v>
      </c>
      <c r="E253" s="33">
        <v>2021</v>
      </c>
      <c r="F253" s="33">
        <v>2</v>
      </c>
      <c r="G253" s="33">
        <v>4</v>
      </c>
      <c r="H253" s="33" t="s">
        <v>1444</v>
      </c>
      <c r="I253" s="33" t="s">
        <v>257</v>
      </c>
      <c r="J253" s="33">
        <v>2021</v>
      </c>
      <c r="K253" s="34"/>
      <c r="L253" s="34"/>
      <c r="M253" s="33" t="s">
        <v>1445</v>
      </c>
      <c r="N253" s="37" t="s">
        <v>1446</v>
      </c>
      <c r="O253" s="33" t="s">
        <v>1447</v>
      </c>
      <c r="P253" s="33" t="s">
        <v>1448</v>
      </c>
      <c r="Q253" s="33" t="s">
        <v>447</v>
      </c>
      <c r="R253" s="34"/>
      <c r="S253" s="38"/>
      <c r="T253" s="38" t="s">
        <v>12690</v>
      </c>
    </row>
    <row r="254" spans="1:20" x14ac:dyDescent="0.25">
      <c r="A254" s="33" t="s">
        <v>3961</v>
      </c>
      <c r="B254" s="33" t="s">
        <v>2208</v>
      </c>
      <c r="C254" s="33" t="s">
        <v>141</v>
      </c>
      <c r="D254" s="34"/>
      <c r="E254" s="33">
        <v>2019</v>
      </c>
      <c r="F254" s="45">
        <v>43586</v>
      </c>
      <c r="G254" s="34"/>
      <c r="H254" s="33" t="s">
        <v>3962</v>
      </c>
      <c r="I254" s="33" t="s">
        <v>196</v>
      </c>
      <c r="J254" s="33">
        <v>2019</v>
      </c>
      <c r="K254" s="33">
        <v>9781728133683</v>
      </c>
      <c r="L254" s="34"/>
      <c r="M254" s="33" t="s">
        <v>3963</v>
      </c>
      <c r="N254" s="37" t="s">
        <v>3964</v>
      </c>
      <c r="O254" s="33" t="s">
        <v>3965</v>
      </c>
      <c r="P254" s="33" t="s">
        <v>3966</v>
      </c>
      <c r="Q254" s="33" t="s">
        <v>2420</v>
      </c>
      <c r="R254" s="34"/>
      <c r="S254" s="38"/>
      <c r="T254" s="38" t="s">
        <v>12690</v>
      </c>
    </row>
    <row r="255" spans="1:20" x14ac:dyDescent="0.25">
      <c r="A255" s="33" t="s">
        <v>1889</v>
      </c>
      <c r="B255" s="33" t="s">
        <v>1888</v>
      </c>
      <c r="C255" s="33" t="s">
        <v>141</v>
      </c>
      <c r="D255" s="34"/>
      <c r="E255" s="33">
        <v>2022</v>
      </c>
      <c r="F255" s="34"/>
      <c r="G255" s="34"/>
      <c r="H255" s="33" t="s">
        <v>1890</v>
      </c>
      <c r="I255" s="33" t="s">
        <v>257</v>
      </c>
      <c r="J255" s="33">
        <v>2022</v>
      </c>
      <c r="K255" s="33">
        <v>9781665481045</v>
      </c>
      <c r="L255" s="34"/>
      <c r="M255" s="34"/>
      <c r="N255" s="37" t="s">
        <v>1891</v>
      </c>
      <c r="O255" s="33" t="s">
        <v>1892</v>
      </c>
      <c r="P255" s="33" t="s">
        <v>1893</v>
      </c>
      <c r="Q255" s="33" t="s">
        <v>157</v>
      </c>
      <c r="R255" s="34"/>
      <c r="S255" s="38"/>
      <c r="T255" s="38" t="s">
        <v>12690</v>
      </c>
    </row>
    <row r="256" spans="1:20" x14ac:dyDescent="0.25">
      <c r="A256" s="33" t="s">
        <v>11858</v>
      </c>
      <c r="B256" s="33" t="s">
        <v>11857</v>
      </c>
      <c r="C256" s="33" t="s">
        <v>141</v>
      </c>
      <c r="D256" s="34"/>
      <c r="E256" s="33">
        <v>2019</v>
      </c>
      <c r="F256" s="34"/>
      <c r="G256" s="34"/>
      <c r="H256" s="33" t="s">
        <v>11155</v>
      </c>
      <c r="I256" s="44" t="s">
        <v>12718</v>
      </c>
      <c r="J256" s="33">
        <v>2019</v>
      </c>
      <c r="K256" s="33">
        <v>9781450369855</v>
      </c>
      <c r="L256" s="33" t="s">
        <v>11864</v>
      </c>
      <c r="M256" s="34"/>
      <c r="N256" s="37" t="s">
        <v>11860</v>
      </c>
      <c r="O256" s="33" t="s">
        <v>11861</v>
      </c>
      <c r="P256" s="33" t="s">
        <v>11862</v>
      </c>
      <c r="Q256" s="36"/>
      <c r="R256" s="36"/>
      <c r="S256" s="33" t="s">
        <v>11863</v>
      </c>
      <c r="T256" s="33" t="s">
        <v>12692</v>
      </c>
    </row>
    <row r="257" spans="1:20" x14ac:dyDescent="0.25">
      <c r="A257" s="33" t="s">
        <v>6137</v>
      </c>
      <c r="B257" s="33" t="s">
        <v>6136</v>
      </c>
      <c r="C257" s="33" t="s">
        <v>141</v>
      </c>
      <c r="D257" s="34"/>
      <c r="E257" s="33">
        <v>2021</v>
      </c>
      <c r="F257" s="34"/>
      <c r="G257" s="34"/>
      <c r="H257" s="42">
        <v>44932</v>
      </c>
      <c r="I257" s="33" t="s">
        <v>6138</v>
      </c>
      <c r="J257" s="35">
        <v>44531</v>
      </c>
      <c r="K257" s="36"/>
      <c r="L257" s="36"/>
      <c r="M257" s="34"/>
      <c r="N257" s="37" t="s">
        <v>6139</v>
      </c>
      <c r="O257" s="33" t="s">
        <v>6140</v>
      </c>
      <c r="P257" s="33" t="s">
        <v>6141</v>
      </c>
      <c r="Q257" s="36"/>
      <c r="R257" s="36"/>
      <c r="S257" s="33" t="s">
        <v>6142</v>
      </c>
      <c r="T257" s="38" t="s">
        <v>12688</v>
      </c>
    </row>
    <row r="258" spans="1:20" x14ac:dyDescent="0.25">
      <c r="A258" s="33" t="s">
        <v>5657</v>
      </c>
      <c r="B258" s="33" t="s">
        <v>5656</v>
      </c>
      <c r="C258" s="33" t="s">
        <v>141</v>
      </c>
      <c r="D258" s="34"/>
      <c r="E258" s="33">
        <v>2018</v>
      </c>
      <c r="F258" s="34"/>
      <c r="G258" s="34"/>
      <c r="H258" s="33" t="s">
        <v>5658</v>
      </c>
      <c r="I258" s="33" t="s">
        <v>257</v>
      </c>
      <c r="J258" s="33">
        <v>2018</v>
      </c>
      <c r="K258" s="33">
        <v>9781538670880</v>
      </c>
      <c r="L258" s="34"/>
      <c r="M258" s="34"/>
      <c r="N258" s="37" t="s">
        <v>5659</v>
      </c>
      <c r="O258" s="33" t="s">
        <v>5660</v>
      </c>
      <c r="P258" s="33" t="s">
        <v>5661</v>
      </c>
      <c r="Q258" s="33" t="s">
        <v>818</v>
      </c>
      <c r="R258" s="34"/>
      <c r="S258" s="38"/>
      <c r="T258" s="38" t="s">
        <v>12690</v>
      </c>
    </row>
    <row r="259" spans="1:20" x14ac:dyDescent="0.25">
      <c r="A259" s="39" t="s">
        <v>4372</v>
      </c>
      <c r="B259" s="39" t="s">
        <v>9910</v>
      </c>
      <c r="C259" s="39" t="s">
        <v>9539</v>
      </c>
      <c r="D259" s="36"/>
      <c r="E259" s="39">
        <v>2020</v>
      </c>
      <c r="F259" s="40"/>
      <c r="G259" s="40"/>
      <c r="H259" s="36"/>
      <c r="I259" s="39" t="s">
        <v>1927</v>
      </c>
      <c r="J259" s="36"/>
      <c r="K259" s="36"/>
      <c r="L259" s="36"/>
      <c r="M259" s="34"/>
      <c r="N259" s="41" t="s">
        <v>9911</v>
      </c>
      <c r="O259" s="39" t="s">
        <v>4376</v>
      </c>
      <c r="P259" s="33"/>
      <c r="Q259" s="36"/>
      <c r="R259" s="34"/>
      <c r="S259" s="38"/>
      <c r="T259" s="38" t="s">
        <v>12689</v>
      </c>
    </row>
    <row r="260" spans="1:20" x14ac:dyDescent="0.25">
      <c r="A260" s="33" t="s">
        <v>4372</v>
      </c>
      <c r="B260" s="33" t="s">
        <v>4371</v>
      </c>
      <c r="C260" s="33" t="s">
        <v>13</v>
      </c>
      <c r="D260" s="33" t="s">
        <v>1870</v>
      </c>
      <c r="E260" s="33">
        <v>2020</v>
      </c>
      <c r="F260" s="33" t="s">
        <v>4373</v>
      </c>
      <c r="G260" s="34"/>
      <c r="H260" s="33" t="s">
        <v>4374</v>
      </c>
      <c r="I260" s="33" t="s">
        <v>137</v>
      </c>
      <c r="J260" s="33">
        <v>2020</v>
      </c>
      <c r="K260" s="34"/>
      <c r="L260" s="34"/>
      <c r="M260" s="33" t="s">
        <v>1873</v>
      </c>
      <c r="N260" s="37" t="s">
        <v>4375</v>
      </c>
      <c r="O260" s="33" t="s">
        <v>4376</v>
      </c>
      <c r="P260" s="33" t="s">
        <v>4377</v>
      </c>
      <c r="Q260" s="33" t="s">
        <v>185</v>
      </c>
      <c r="R260" s="34"/>
      <c r="S260" s="38"/>
      <c r="T260" s="38" t="s">
        <v>12690</v>
      </c>
    </row>
    <row r="261" spans="1:20" x14ac:dyDescent="0.25">
      <c r="A261" s="33" t="s">
        <v>4932</v>
      </c>
      <c r="B261" s="33" t="s">
        <v>4931</v>
      </c>
      <c r="C261" s="33" t="s">
        <v>141</v>
      </c>
      <c r="D261" s="34"/>
      <c r="E261" s="33">
        <v>2020</v>
      </c>
      <c r="F261" s="34"/>
      <c r="G261" s="34"/>
      <c r="H261" s="33" t="s">
        <v>4933</v>
      </c>
      <c r="I261" s="33" t="s">
        <v>3109</v>
      </c>
      <c r="J261" s="33">
        <v>2020</v>
      </c>
      <c r="K261" s="33">
        <v>9789897583995</v>
      </c>
      <c r="L261" s="34"/>
      <c r="M261" s="34"/>
      <c r="N261" s="37" t="s">
        <v>4934</v>
      </c>
      <c r="O261" s="34"/>
      <c r="P261" s="33" t="s">
        <v>4935</v>
      </c>
      <c r="Q261" s="33" t="s">
        <v>318</v>
      </c>
      <c r="R261" s="34"/>
      <c r="S261" s="38"/>
      <c r="T261" s="38" t="s">
        <v>12690</v>
      </c>
    </row>
    <row r="262" spans="1:20" x14ac:dyDescent="0.25">
      <c r="A262" s="33" t="s">
        <v>5502</v>
      </c>
      <c r="B262" s="33" t="s">
        <v>5501</v>
      </c>
      <c r="C262" s="33" t="s">
        <v>141</v>
      </c>
      <c r="D262" s="34"/>
      <c r="E262" s="33">
        <v>2015</v>
      </c>
      <c r="F262" s="45">
        <v>42217</v>
      </c>
      <c r="G262" s="34"/>
      <c r="H262" s="33" t="s">
        <v>5503</v>
      </c>
      <c r="I262" s="33" t="s">
        <v>145</v>
      </c>
      <c r="J262" s="33">
        <v>2015</v>
      </c>
      <c r="K262" s="33">
        <v>9781450336642</v>
      </c>
      <c r="L262" s="34"/>
      <c r="M262" s="34"/>
      <c r="N262" s="37" t="s">
        <v>5504</v>
      </c>
      <c r="O262" s="33" t="s">
        <v>5505</v>
      </c>
      <c r="P262" s="33" t="s">
        <v>5506</v>
      </c>
      <c r="Q262" s="33" t="s">
        <v>4393</v>
      </c>
      <c r="R262" s="34"/>
      <c r="S262" s="38"/>
      <c r="T262" s="38" t="s">
        <v>12690</v>
      </c>
    </row>
    <row r="263" spans="1:20" x14ac:dyDescent="0.25">
      <c r="A263" s="33" t="s">
        <v>1085</v>
      </c>
      <c r="B263" s="33" t="s">
        <v>1084</v>
      </c>
      <c r="C263" s="33" t="s">
        <v>13</v>
      </c>
      <c r="D263" s="33" t="s">
        <v>354</v>
      </c>
      <c r="E263" s="33">
        <v>2022</v>
      </c>
      <c r="F263" s="33">
        <v>187</v>
      </c>
      <c r="G263" s="34"/>
      <c r="H263" s="34"/>
      <c r="I263" s="33" t="s">
        <v>355</v>
      </c>
      <c r="J263" s="33">
        <v>2022</v>
      </c>
      <c r="K263" s="34"/>
      <c r="L263" s="34"/>
      <c r="M263" s="33" t="s">
        <v>65</v>
      </c>
      <c r="N263" s="37" t="s">
        <v>1086</v>
      </c>
      <c r="O263" s="33" t="s">
        <v>1087</v>
      </c>
      <c r="P263" s="33" t="s">
        <v>1088</v>
      </c>
      <c r="Q263" s="33" t="s">
        <v>176</v>
      </c>
      <c r="R263" s="34"/>
      <c r="S263" s="38"/>
      <c r="T263" s="38" t="s">
        <v>12690</v>
      </c>
    </row>
    <row r="264" spans="1:20" x14ac:dyDescent="0.25">
      <c r="A264" s="33" t="s">
        <v>8902</v>
      </c>
      <c r="B264" s="33" t="s">
        <v>8901</v>
      </c>
      <c r="C264" s="33" t="s">
        <v>13</v>
      </c>
      <c r="D264" s="33" t="s">
        <v>354</v>
      </c>
      <c r="E264" s="33">
        <v>2020</v>
      </c>
      <c r="F264" s="33">
        <v>167</v>
      </c>
      <c r="G264" s="36"/>
      <c r="H264" s="33">
        <v>110616</v>
      </c>
      <c r="I264" s="36"/>
      <c r="J264" s="33">
        <v>2020</v>
      </c>
      <c r="K264" s="34"/>
      <c r="L264" s="34"/>
      <c r="M264" s="33" t="s">
        <v>65</v>
      </c>
      <c r="N264" s="37" t="s">
        <v>8903</v>
      </c>
      <c r="O264" s="33" t="s">
        <v>8904</v>
      </c>
      <c r="P264" s="33" t="s">
        <v>8905</v>
      </c>
      <c r="Q264" s="36"/>
      <c r="R264" s="36"/>
      <c r="S264" s="33" t="s">
        <v>8906</v>
      </c>
      <c r="T264" s="38" t="s">
        <v>12693</v>
      </c>
    </row>
    <row r="265" spans="1:20" x14ac:dyDescent="0.25">
      <c r="A265" s="33" t="s">
        <v>7443</v>
      </c>
      <c r="B265" s="33" t="s">
        <v>7442</v>
      </c>
      <c r="C265" s="33" t="s">
        <v>141</v>
      </c>
      <c r="D265" s="34"/>
      <c r="E265" s="33">
        <v>2016</v>
      </c>
      <c r="F265" s="34"/>
      <c r="G265" s="34"/>
      <c r="H265" s="42">
        <v>44934</v>
      </c>
      <c r="I265" s="33" t="s">
        <v>7444</v>
      </c>
      <c r="J265" s="35">
        <v>42644</v>
      </c>
      <c r="K265" s="36"/>
      <c r="L265" s="36"/>
      <c r="M265" s="34"/>
      <c r="N265" s="37" t="s">
        <v>7445</v>
      </c>
      <c r="O265" s="33" t="s">
        <v>7446</v>
      </c>
      <c r="P265" s="33" t="s">
        <v>7447</v>
      </c>
      <c r="Q265" s="36"/>
      <c r="R265" s="36"/>
      <c r="S265" s="33" t="s">
        <v>7448</v>
      </c>
      <c r="T265" s="38" t="s">
        <v>12688</v>
      </c>
    </row>
    <row r="266" spans="1:20" x14ac:dyDescent="0.25">
      <c r="A266" s="33" t="s">
        <v>5542</v>
      </c>
      <c r="B266" s="33" t="s">
        <v>5541</v>
      </c>
      <c r="C266" s="33" t="s">
        <v>13</v>
      </c>
      <c r="D266" s="33" t="s">
        <v>5543</v>
      </c>
      <c r="E266" s="33">
        <v>2018</v>
      </c>
      <c r="F266" s="33">
        <v>10</v>
      </c>
      <c r="G266" s="33" t="s">
        <v>5544</v>
      </c>
      <c r="H266" s="33" t="s">
        <v>3248</v>
      </c>
      <c r="I266" s="33" t="s">
        <v>5545</v>
      </c>
      <c r="J266" s="33">
        <v>2018</v>
      </c>
      <c r="K266" s="34"/>
      <c r="L266" s="34"/>
      <c r="M266" s="33" t="s">
        <v>5546</v>
      </c>
      <c r="N266" s="37" t="s">
        <v>5547</v>
      </c>
      <c r="O266" s="34"/>
      <c r="P266" s="33" t="s">
        <v>5548</v>
      </c>
      <c r="Q266" s="33" t="s">
        <v>157</v>
      </c>
      <c r="R266" s="34"/>
      <c r="S266" s="38"/>
      <c r="T266" s="38" t="s">
        <v>12690</v>
      </c>
    </row>
    <row r="267" spans="1:20" x14ac:dyDescent="0.25">
      <c r="A267" s="33" t="s">
        <v>3286</v>
      </c>
      <c r="B267" s="33" t="s">
        <v>3285</v>
      </c>
      <c r="C267" s="33" t="s">
        <v>141</v>
      </c>
      <c r="D267" s="34"/>
      <c r="E267" s="33">
        <v>2020</v>
      </c>
      <c r="F267" s="34"/>
      <c r="G267" s="34"/>
      <c r="H267" s="33" t="s">
        <v>3287</v>
      </c>
      <c r="I267" s="33" t="s">
        <v>145</v>
      </c>
      <c r="J267" s="33">
        <v>2020</v>
      </c>
      <c r="K267" s="33">
        <v>9781450379984</v>
      </c>
      <c r="L267" s="34"/>
      <c r="M267" s="34"/>
      <c r="N267" s="37" t="s">
        <v>3288</v>
      </c>
      <c r="O267" s="33" t="s">
        <v>3289</v>
      </c>
      <c r="P267" s="33" t="s">
        <v>3290</v>
      </c>
      <c r="Q267" s="33" t="s">
        <v>2717</v>
      </c>
      <c r="R267" s="34"/>
      <c r="S267" s="38"/>
      <c r="T267" s="38" t="s">
        <v>12690</v>
      </c>
    </row>
    <row r="268" spans="1:20" x14ac:dyDescent="0.25">
      <c r="A268" s="33" t="s">
        <v>2599</v>
      </c>
      <c r="B268" s="33" t="s">
        <v>2598</v>
      </c>
      <c r="C268" s="33" t="s">
        <v>141</v>
      </c>
      <c r="D268" s="34"/>
      <c r="E268" s="33">
        <v>2022</v>
      </c>
      <c r="F268" s="34"/>
      <c r="G268" s="34"/>
      <c r="H268" s="33" t="s">
        <v>2600</v>
      </c>
      <c r="I268" s="33" t="s">
        <v>257</v>
      </c>
      <c r="J268" s="33">
        <v>2022</v>
      </c>
      <c r="K268" s="33">
        <v>9781665437011</v>
      </c>
      <c r="L268" s="34"/>
      <c r="M268" s="34"/>
      <c r="N268" s="37" t="s">
        <v>2601</v>
      </c>
      <c r="O268" s="33" t="s">
        <v>2602</v>
      </c>
      <c r="P268" s="33" t="s">
        <v>2603</v>
      </c>
      <c r="Q268" s="33" t="s">
        <v>157</v>
      </c>
      <c r="R268" s="34"/>
      <c r="S268" s="38"/>
      <c r="T268" s="38" t="s">
        <v>12690</v>
      </c>
    </row>
    <row r="269" spans="1:20" x14ac:dyDescent="0.25">
      <c r="A269" s="33" t="s">
        <v>4161</v>
      </c>
      <c r="B269" s="33" t="s">
        <v>4160</v>
      </c>
      <c r="C269" s="33" t="s">
        <v>141</v>
      </c>
      <c r="D269" s="34"/>
      <c r="E269" s="33">
        <v>2019</v>
      </c>
      <c r="F269" s="45">
        <v>43739</v>
      </c>
      <c r="G269" s="34"/>
      <c r="H269" s="33" t="s">
        <v>4162</v>
      </c>
      <c r="I269" s="33" t="s">
        <v>196</v>
      </c>
      <c r="J269" s="33">
        <v>2019</v>
      </c>
      <c r="K269" s="33">
        <v>9781728109459</v>
      </c>
      <c r="L269" s="34"/>
      <c r="M269" s="33" t="s">
        <v>4163</v>
      </c>
      <c r="N269" s="37" t="s">
        <v>4164</v>
      </c>
      <c r="O269" s="33" t="s">
        <v>4165</v>
      </c>
      <c r="P269" s="33" t="s">
        <v>4166</v>
      </c>
      <c r="Q269" s="33" t="s">
        <v>185</v>
      </c>
      <c r="R269" s="34"/>
      <c r="S269" s="38"/>
      <c r="T269" s="38" t="s">
        <v>12690</v>
      </c>
    </row>
    <row r="270" spans="1:20" x14ac:dyDescent="0.25">
      <c r="A270" s="33" t="s">
        <v>5830</v>
      </c>
      <c r="B270" s="33" t="s">
        <v>5829</v>
      </c>
      <c r="C270" s="33" t="s">
        <v>141</v>
      </c>
      <c r="D270" s="34"/>
      <c r="E270" s="33">
        <v>2017</v>
      </c>
      <c r="F270" s="34"/>
      <c r="G270" s="34"/>
      <c r="H270" s="33" t="s">
        <v>11888</v>
      </c>
      <c r="I270" s="44" t="s">
        <v>12719</v>
      </c>
      <c r="J270" s="33">
        <v>2017</v>
      </c>
      <c r="K270" s="33">
        <v>9781509040391</v>
      </c>
      <c r="L270" s="33" t="s">
        <v>11610</v>
      </c>
      <c r="M270" s="34"/>
      <c r="N270" s="37" t="s">
        <v>11889</v>
      </c>
      <c r="O270" s="33" t="s">
        <v>5833</v>
      </c>
      <c r="P270" s="33" t="s">
        <v>7584</v>
      </c>
      <c r="Q270" s="36"/>
      <c r="R270" s="36"/>
      <c r="S270" s="33" t="s">
        <v>11890</v>
      </c>
      <c r="T270" s="33" t="s">
        <v>12692</v>
      </c>
    </row>
    <row r="271" spans="1:20" x14ac:dyDescent="0.25">
      <c r="A271" s="33" t="s">
        <v>5830</v>
      </c>
      <c r="B271" s="33" t="s">
        <v>5829</v>
      </c>
      <c r="C271" s="33" t="s">
        <v>141</v>
      </c>
      <c r="D271" s="34"/>
      <c r="E271" s="33">
        <v>2017</v>
      </c>
      <c r="F271" s="34"/>
      <c r="G271" s="34"/>
      <c r="H271" s="33" t="s">
        <v>7582</v>
      </c>
      <c r="I271" s="33" t="s">
        <v>7154</v>
      </c>
      <c r="J271" s="35">
        <v>43040</v>
      </c>
      <c r="K271" s="36"/>
      <c r="L271" s="36"/>
      <c r="M271" s="34"/>
      <c r="N271" s="37" t="s">
        <v>7583</v>
      </c>
      <c r="O271" s="33" t="s">
        <v>5833</v>
      </c>
      <c r="P271" s="33" t="s">
        <v>7584</v>
      </c>
      <c r="Q271" s="36"/>
      <c r="R271" s="36"/>
      <c r="S271" s="33" t="s">
        <v>7585</v>
      </c>
      <c r="T271" s="38" t="s">
        <v>12688</v>
      </c>
    </row>
    <row r="272" spans="1:20" x14ac:dyDescent="0.25">
      <c r="A272" s="33" t="s">
        <v>5830</v>
      </c>
      <c r="B272" s="33" t="s">
        <v>5829</v>
      </c>
      <c r="C272" s="33" t="s">
        <v>141</v>
      </c>
      <c r="D272" s="34"/>
      <c r="E272" s="33">
        <v>2017</v>
      </c>
      <c r="F272" s="33" t="s">
        <v>5397</v>
      </c>
      <c r="G272" s="34"/>
      <c r="H272" s="33" t="s">
        <v>5831</v>
      </c>
      <c r="I272" s="33" t="s">
        <v>196</v>
      </c>
      <c r="J272" s="33">
        <v>2017</v>
      </c>
      <c r="K272" s="33">
        <v>9781509040391</v>
      </c>
      <c r="L272" s="34"/>
      <c r="M272" s="33" t="s">
        <v>197</v>
      </c>
      <c r="N272" s="37" t="s">
        <v>5832</v>
      </c>
      <c r="O272" s="33" t="s">
        <v>5833</v>
      </c>
      <c r="P272" s="33" t="s">
        <v>5834</v>
      </c>
      <c r="Q272" s="33" t="s">
        <v>5835</v>
      </c>
      <c r="R272" s="34"/>
      <c r="S272" s="38"/>
      <c r="T272" s="38" t="s">
        <v>12690</v>
      </c>
    </row>
    <row r="273" spans="1:20" x14ac:dyDescent="0.25">
      <c r="A273" s="33" t="s">
        <v>2187</v>
      </c>
      <c r="B273" s="33" t="s">
        <v>2186</v>
      </c>
      <c r="C273" s="33" t="s">
        <v>13</v>
      </c>
      <c r="D273" s="33" t="s">
        <v>1870</v>
      </c>
      <c r="E273" s="33">
        <v>2022</v>
      </c>
      <c r="F273" s="33" t="s">
        <v>2188</v>
      </c>
      <c r="G273" s="34"/>
      <c r="H273" s="33" t="s">
        <v>2189</v>
      </c>
      <c r="I273" s="33" t="s">
        <v>212</v>
      </c>
      <c r="J273" s="33">
        <v>2022</v>
      </c>
      <c r="K273" s="34"/>
      <c r="L273" s="34"/>
      <c r="M273" s="33" t="s">
        <v>1873</v>
      </c>
      <c r="N273" s="37" t="s">
        <v>2190</v>
      </c>
      <c r="O273" s="33" t="s">
        <v>2191</v>
      </c>
      <c r="P273" s="33" t="s">
        <v>2192</v>
      </c>
      <c r="Q273" s="33" t="s">
        <v>157</v>
      </c>
      <c r="R273" s="34"/>
      <c r="S273" s="38"/>
      <c r="T273" s="38" t="s">
        <v>12690</v>
      </c>
    </row>
    <row r="274" spans="1:20" x14ac:dyDescent="0.25">
      <c r="A274" s="39" t="s">
        <v>10718</v>
      </c>
      <c r="B274" s="39" t="s">
        <v>10720</v>
      </c>
      <c r="C274" s="39" t="s">
        <v>9478</v>
      </c>
      <c r="D274" s="36"/>
      <c r="E274" s="39">
        <v>2022</v>
      </c>
      <c r="F274" s="40"/>
      <c r="G274" s="40"/>
      <c r="H274" s="36"/>
      <c r="I274" s="39" t="s">
        <v>2502</v>
      </c>
      <c r="J274" s="36"/>
      <c r="K274" s="36"/>
      <c r="L274" s="36"/>
      <c r="M274" s="34"/>
      <c r="N274" s="41" t="s">
        <v>10721</v>
      </c>
      <c r="O274" s="39" t="s">
        <v>10719</v>
      </c>
      <c r="P274" s="33"/>
      <c r="Q274" s="36"/>
      <c r="R274" s="34"/>
      <c r="S274" s="38"/>
      <c r="T274" s="38" t="s">
        <v>12689</v>
      </c>
    </row>
    <row r="275" spans="1:20" x14ac:dyDescent="0.25">
      <c r="A275" s="33" t="s">
        <v>3687</v>
      </c>
      <c r="B275" s="33" t="s">
        <v>3686</v>
      </c>
      <c r="C275" s="33" t="s">
        <v>13</v>
      </c>
      <c r="D275" s="33" t="s">
        <v>136</v>
      </c>
      <c r="E275" s="33">
        <v>2020</v>
      </c>
      <c r="F275" s="33">
        <v>25</v>
      </c>
      <c r="G275" s="33">
        <v>5</v>
      </c>
      <c r="H275" s="33" t="s">
        <v>3688</v>
      </c>
      <c r="I275" s="33" t="s">
        <v>137</v>
      </c>
      <c r="J275" s="33">
        <v>2020</v>
      </c>
      <c r="K275" s="34"/>
      <c r="L275" s="34"/>
      <c r="M275" s="33" t="s">
        <v>33</v>
      </c>
      <c r="N275" s="37" t="s">
        <v>3689</v>
      </c>
      <c r="O275" s="33" t="s">
        <v>3690</v>
      </c>
      <c r="P275" s="33" t="s">
        <v>3691</v>
      </c>
      <c r="Q275" s="33" t="s">
        <v>2997</v>
      </c>
      <c r="R275" s="34"/>
      <c r="S275" s="38"/>
      <c r="T275" s="38" t="s">
        <v>12690</v>
      </c>
    </row>
    <row r="276" spans="1:20" x14ac:dyDescent="0.25">
      <c r="A276" s="39" t="s">
        <v>3687</v>
      </c>
      <c r="B276" s="39" t="s">
        <v>10231</v>
      </c>
      <c r="C276" s="39" t="s">
        <v>9478</v>
      </c>
      <c r="D276" s="36"/>
      <c r="E276" s="39">
        <v>2020</v>
      </c>
      <c r="F276" s="39">
        <v>25</v>
      </c>
      <c r="G276" s="39">
        <v>5</v>
      </c>
      <c r="H276" s="36"/>
      <c r="I276" s="39" t="s">
        <v>136</v>
      </c>
      <c r="J276" s="36"/>
      <c r="K276" s="36"/>
      <c r="L276" s="36"/>
      <c r="M276" s="34"/>
      <c r="N276" s="41" t="s">
        <v>10232</v>
      </c>
      <c r="O276" s="39" t="s">
        <v>3690</v>
      </c>
      <c r="P276" s="33"/>
      <c r="Q276" s="36"/>
      <c r="R276" s="34"/>
      <c r="S276" s="38"/>
      <c r="T276" s="38" t="s">
        <v>12689</v>
      </c>
    </row>
    <row r="277" spans="1:20" x14ac:dyDescent="0.25">
      <c r="A277" s="39" t="s">
        <v>10440</v>
      </c>
      <c r="B277" s="39" t="s">
        <v>10442</v>
      </c>
      <c r="C277" s="39" t="s">
        <v>9478</v>
      </c>
      <c r="D277" s="36"/>
      <c r="E277" s="39">
        <v>2018</v>
      </c>
      <c r="F277" s="39">
        <v>23</v>
      </c>
      <c r="G277" s="39">
        <v>6</v>
      </c>
      <c r="H277" s="36"/>
      <c r="I277" s="39" t="s">
        <v>136</v>
      </c>
      <c r="J277" s="36"/>
      <c r="K277" s="36"/>
      <c r="L277" s="36"/>
      <c r="M277" s="34"/>
      <c r="N277" s="41" t="s">
        <v>10443</v>
      </c>
      <c r="O277" s="39" t="s">
        <v>10441</v>
      </c>
      <c r="P277" s="33"/>
      <c r="Q277" s="36"/>
      <c r="R277" s="34"/>
      <c r="S277" s="38"/>
      <c r="T277" s="38" t="s">
        <v>12689</v>
      </c>
    </row>
    <row r="278" spans="1:20" x14ac:dyDescent="0.25">
      <c r="A278" s="33" t="s">
        <v>8034</v>
      </c>
      <c r="B278" s="33" t="s">
        <v>8033</v>
      </c>
      <c r="C278" s="33" t="s">
        <v>141</v>
      </c>
      <c r="D278" s="34"/>
      <c r="E278" s="33">
        <v>2022</v>
      </c>
      <c r="F278" s="34"/>
      <c r="G278" s="34"/>
      <c r="H278" s="33" t="s">
        <v>8035</v>
      </c>
      <c r="I278" s="33" t="s">
        <v>7558</v>
      </c>
      <c r="J278" s="35">
        <v>44835</v>
      </c>
      <c r="K278" s="34"/>
      <c r="L278" s="36"/>
      <c r="M278" s="33" t="s">
        <v>6449</v>
      </c>
      <c r="N278" s="37" t="s">
        <v>8036</v>
      </c>
      <c r="O278" s="33" t="s">
        <v>8037</v>
      </c>
      <c r="P278" s="33" t="s">
        <v>8038</v>
      </c>
      <c r="Q278" s="36"/>
      <c r="R278" s="36"/>
      <c r="S278" s="33" t="s">
        <v>8039</v>
      </c>
      <c r="T278" s="38" t="s">
        <v>12688</v>
      </c>
    </row>
    <row r="279" spans="1:20" x14ac:dyDescent="0.25">
      <c r="A279" s="33" t="s">
        <v>313</v>
      </c>
      <c r="B279" s="33" t="s">
        <v>312</v>
      </c>
      <c r="C279" s="33" t="s">
        <v>141</v>
      </c>
      <c r="D279" s="34"/>
      <c r="E279" s="33">
        <v>2022</v>
      </c>
      <c r="F279" s="34"/>
      <c r="G279" s="34"/>
      <c r="H279" s="33" t="s">
        <v>314</v>
      </c>
      <c r="I279" s="33" t="s">
        <v>153</v>
      </c>
      <c r="J279" s="33">
        <v>2022</v>
      </c>
      <c r="K279" s="33">
        <v>9781450394130</v>
      </c>
      <c r="L279" s="34"/>
      <c r="M279" s="34"/>
      <c r="N279" s="37" t="s">
        <v>315</v>
      </c>
      <c r="O279" s="33" t="s">
        <v>316</v>
      </c>
      <c r="P279" s="33" t="s">
        <v>317</v>
      </c>
      <c r="Q279" s="33" t="s">
        <v>318</v>
      </c>
      <c r="R279" s="34"/>
      <c r="S279" s="38"/>
      <c r="T279" s="38" t="s">
        <v>12690</v>
      </c>
    </row>
    <row r="280" spans="1:20" x14ac:dyDescent="0.25">
      <c r="A280" s="33" t="s">
        <v>2354</v>
      </c>
      <c r="B280" s="33" t="s">
        <v>2353</v>
      </c>
      <c r="C280" s="33" t="s">
        <v>13</v>
      </c>
      <c r="D280" s="33" t="s">
        <v>2355</v>
      </c>
      <c r="E280" s="33">
        <v>2022</v>
      </c>
      <c r="F280" s="33">
        <v>23</v>
      </c>
      <c r="G280" s="33">
        <v>3</v>
      </c>
      <c r="H280" s="33" t="s">
        <v>2356</v>
      </c>
      <c r="I280" s="33" t="s">
        <v>2357</v>
      </c>
      <c r="J280" s="33">
        <v>2022</v>
      </c>
      <c r="K280" s="34"/>
      <c r="L280" s="34"/>
      <c r="M280" s="33" t="s">
        <v>2358</v>
      </c>
      <c r="N280" s="37" t="s">
        <v>2359</v>
      </c>
      <c r="O280" s="33" t="s">
        <v>2360</v>
      </c>
      <c r="P280" s="33" t="s">
        <v>2361</v>
      </c>
      <c r="Q280" s="33" t="s">
        <v>568</v>
      </c>
      <c r="R280" s="34"/>
      <c r="S280" s="38"/>
      <c r="T280" s="38" t="s">
        <v>12690</v>
      </c>
    </row>
    <row r="281" spans="1:20" x14ac:dyDescent="0.25">
      <c r="A281" s="33" t="s">
        <v>2127</v>
      </c>
      <c r="B281" s="33" t="s">
        <v>2126</v>
      </c>
      <c r="C281" s="33" t="s">
        <v>141</v>
      </c>
      <c r="D281" s="34"/>
      <c r="E281" s="33">
        <v>2022</v>
      </c>
      <c r="F281" s="34"/>
      <c r="G281" s="34"/>
      <c r="H281" s="33" t="s">
        <v>2128</v>
      </c>
      <c r="I281" s="33" t="s">
        <v>257</v>
      </c>
      <c r="J281" s="33">
        <v>2022</v>
      </c>
      <c r="K281" s="33">
        <v>9781665466790</v>
      </c>
      <c r="L281" s="34"/>
      <c r="M281" s="34"/>
      <c r="N281" s="37" t="s">
        <v>2129</v>
      </c>
      <c r="O281" s="33" t="s">
        <v>2130</v>
      </c>
      <c r="P281" s="33" t="s">
        <v>2131</v>
      </c>
      <c r="Q281" s="33" t="s">
        <v>157</v>
      </c>
      <c r="R281" s="34"/>
      <c r="S281" s="38"/>
      <c r="T281" s="38" t="s">
        <v>12690</v>
      </c>
    </row>
    <row r="282" spans="1:20" x14ac:dyDescent="0.25">
      <c r="A282" s="33" t="s">
        <v>2851</v>
      </c>
      <c r="B282" s="33" t="s">
        <v>1522</v>
      </c>
      <c r="C282" s="33" t="s">
        <v>141</v>
      </c>
      <c r="D282" s="34"/>
      <c r="E282" s="33">
        <v>2020</v>
      </c>
      <c r="F282" s="34"/>
      <c r="G282" s="34"/>
      <c r="H282" s="33" t="s">
        <v>2852</v>
      </c>
      <c r="I282" s="33" t="s">
        <v>196</v>
      </c>
      <c r="J282" s="33">
        <v>2020</v>
      </c>
      <c r="K282" s="33">
        <v>9781450379588</v>
      </c>
      <c r="L282" s="34"/>
      <c r="M282" s="34"/>
      <c r="N282" s="37" t="s">
        <v>2853</v>
      </c>
      <c r="O282" s="33" t="s">
        <v>2854</v>
      </c>
      <c r="P282" s="33" t="s">
        <v>2855</v>
      </c>
      <c r="Q282" s="33" t="s">
        <v>2811</v>
      </c>
      <c r="R282" s="34"/>
      <c r="S282" s="38"/>
      <c r="T282" s="38" t="s">
        <v>12690</v>
      </c>
    </row>
    <row r="283" spans="1:20" x14ac:dyDescent="0.25">
      <c r="A283" s="33" t="s">
        <v>6333</v>
      </c>
      <c r="B283" s="33" t="s">
        <v>3166</v>
      </c>
      <c r="C283" s="33" t="s">
        <v>141</v>
      </c>
      <c r="D283" s="34"/>
      <c r="E283" s="33">
        <v>2021</v>
      </c>
      <c r="F283" s="34"/>
      <c r="G283" s="34"/>
      <c r="H283" s="33" t="s">
        <v>11082</v>
      </c>
      <c r="I283" s="44" t="s">
        <v>12720</v>
      </c>
      <c r="J283" s="33">
        <v>2021</v>
      </c>
      <c r="K283" s="33">
        <v>9781450390859</v>
      </c>
      <c r="L283" s="33" t="s">
        <v>11089</v>
      </c>
      <c r="M283" s="34"/>
      <c r="N283" s="37" t="s">
        <v>11086</v>
      </c>
      <c r="O283" s="33" t="s">
        <v>3170</v>
      </c>
      <c r="P283" s="33" t="s">
        <v>11087</v>
      </c>
      <c r="Q283" s="36"/>
      <c r="R283" s="36"/>
      <c r="S283" s="33" t="s">
        <v>11088</v>
      </c>
      <c r="T283" s="33" t="s">
        <v>12692</v>
      </c>
    </row>
    <row r="284" spans="1:20" x14ac:dyDescent="0.25">
      <c r="A284" s="33" t="s">
        <v>6333</v>
      </c>
      <c r="B284" s="33" t="s">
        <v>3166</v>
      </c>
      <c r="C284" s="33" t="s">
        <v>141</v>
      </c>
      <c r="D284" s="34"/>
      <c r="E284" s="33">
        <v>2021</v>
      </c>
      <c r="F284" s="34"/>
      <c r="G284" s="34"/>
      <c r="H284" s="33" t="s">
        <v>6334</v>
      </c>
      <c r="I284" s="33" t="s">
        <v>6335</v>
      </c>
      <c r="J284" s="43">
        <v>44317</v>
      </c>
      <c r="K284" s="36"/>
      <c r="L284" s="36"/>
      <c r="M284" s="33" t="s">
        <v>6336</v>
      </c>
      <c r="N284" s="37" t="s">
        <v>6337</v>
      </c>
      <c r="O284" s="33" t="s">
        <v>3170</v>
      </c>
      <c r="P284" s="33" t="s">
        <v>6338</v>
      </c>
      <c r="Q284" s="36"/>
      <c r="R284" s="36"/>
      <c r="S284" s="33" t="s">
        <v>6339</v>
      </c>
      <c r="T284" s="38" t="s">
        <v>12688</v>
      </c>
    </row>
    <row r="285" spans="1:20" x14ac:dyDescent="0.25">
      <c r="A285" s="33" t="s">
        <v>6333</v>
      </c>
      <c r="B285" s="33" t="s">
        <v>3166</v>
      </c>
      <c r="C285" s="33" t="s">
        <v>141</v>
      </c>
      <c r="D285" s="34"/>
      <c r="E285" s="33">
        <v>2021</v>
      </c>
      <c r="F285" s="34"/>
      <c r="G285" s="34"/>
      <c r="H285" s="33" t="s">
        <v>3168</v>
      </c>
      <c r="I285" s="33" t="s">
        <v>196</v>
      </c>
      <c r="J285" s="33">
        <v>2021</v>
      </c>
      <c r="K285" s="33">
        <v>9780738113197</v>
      </c>
      <c r="L285" s="34"/>
      <c r="M285" s="33" t="s">
        <v>1458</v>
      </c>
      <c r="N285" s="37" t="s">
        <v>3169</v>
      </c>
      <c r="O285" s="33" t="s">
        <v>3170</v>
      </c>
      <c r="P285" s="33" t="s">
        <v>3171</v>
      </c>
      <c r="Q285" s="33" t="s">
        <v>2717</v>
      </c>
      <c r="R285" s="34"/>
      <c r="S285" s="38"/>
      <c r="T285" s="38" t="s">
        <v>12690</v>
      </c>
    </row>
    <row r="286" spans="1:20" x14ac:dyDescent="0.25">
      <c r="A286" s="33" t="s">
        <v>8495</v>
      </c>
      <c r="B286" s="33" t="s">
        <v>8494</v>
      </c>
      <c r="C286" s="33" t="s">
        <v>13</v>
      </c>
      <c r="D286" s="33" t="s">
        <v>354</v>
      </c>
      <c r="E286" s="33">
        <v>2023</v>
      </c>
      <c r="F286" s="33">
        <v>198</v>
      </c>
      <c r="G286" s="36"/>
      <c r="H286" s="33">
        <v>111563</v>
      </c>
      <c r="I286" s="36"/>
      <c r="J286" s="33">
        <v>2023</v>
      </c>
      <c r="K286" s="34"/>
      <c r="L286" s="34"/>
      <c r="M286" s="33" t="s">
        <v>65</v>
      </c>
      <c r="N286" s="37" t="s">
        <v>8496</v>
      </c>
      <c r="O286" s="33" t="s">
        <v>8497</v>
      </c>
      <c r="P286" s="33" t="s">
        <v>8498</v>
      </c>
      <c r="Q286" s="36"/>
      <c r="R286" s="36"/>
      <c r="S286" s="33" t="s">
        <v>8499</v>
      </c>
      <c r="T286" s="38" t="s">
        <v>12693</v>
      </c>
    </row>
    <row r="287" spans="1:20" x14ac:dyDescent="0.25">
      <c r="A287" s="33" t="s">
        <v>5727</v>
      </c>
      <c r="B287" s="33" t="s">
        <v>5726</v>
      </c>
      <c r="C287" s="33" t="s">
        <v>13</v>
      </c>
      <c r="D287" s="33" t="s">
        <v>878</v>
      </c>
      <c r="E287" s="33">
        <v>2018</v>
      </c>
      <c r="F287" s="33">
        <v>30</v>
      </c>
      <c r="G287" s="33">
        <v>12</v>
      </c>
      <c r="H287" s="34"/>
      <c r="I287" s="33" t="s">
        <v>266</v>
      </c>
      <c r="J287" s="33">
        <v>2018</v>
      </c>
      <c r="K287" s="34"/>
      <c r="L287" s="34"/>
      <c r="M287" s="33" t="s">
        <v>879</v>
      </c>
      <c r="N287" s="37" t="s">
        <v>5728</v>
      </c>
      <c r="O287" s="33" t="s">
        <v>5729</v>
      </c>
      <c r="P287" s="33" t="s">
        <v>5730</v>
      </c>
      <c r="Q287" s="33" t="s">
        <v>157</v>
      </c>
      <c r="R287" s="34"/>
      <c r="S287" s="38"/>
      <c r="T287" s="38" t="s">
        <v>12690</v>
      </c>
    </row>
    <row r="288" spans="1:20" x14ac:dyDescent="0.25">
      <c r="A288" s="33" t="s">
        <v>438</v>
      </c>
      <c r="B288" s="33" t="s">
        <v>437</v>
      </c>
      <c r="C288" s="33" t="s">
        <v>13</v>
      </c>
      <c r="D288" s="33" t="s">
        <v>136</v>
      </c>
      <c r="E288" s="33">
        <v>2022</v>
      </c>
      <c r="F288" s="33">
        <v>27</v>
      </c>
      <c r="G288" s="33">
        <v>2</v>
      </c>
      <c r="H288" s="34"/>
      <c r="I288" s="33" t="s">
        <v>137</v>
      </c>
      <c r="J288" s="33">
        <v>2022</v>
      </c>
      <c r="K288" s="34"/>
      <c r="L288" s="34"/>
      <c r="M288" s="33" t="s">
        <v>33</v>
      </c>
      <c r="N288" s="37" t="s">
        <v>439</v>
      </c>
      <c r="O288" s="33" t="s">
        <v>440</v>
      </c>
      <c r="P288" s="33" t="s">
        <v>441</v>
      </c>
      <c r="Q288" s="33" t="s">
        <v>413</v>
      </c>
      <c r="R288" s="34"/>
      <c r="S288" s="38"/>
      <c r="T288" s="38" t="s">
        <v>12690</v>
      </c>
    </row>
    <row r="289" spans="1:20" x14ac:dyDescent="0.25">
      <c r="A289" s="39" t="s">
        <v>438</v>
      </c>
      <c r="B289" s="39" t="s">
        <v>9849</v>
      </c>
      <c r="C289" s="39" t="s">
        <v>9478</v>
      </c>
      <c r="D289" s="36"/>
      <c r="E289" s="39">
        <v>2022</v>
      </c>
      <c r="F289" s="39">
        <v>27</v>
      </c>
      <c r="G289" s="39">
        <v>2</v>
      </c>
      <c r="H289" s="36"/>
      <c r="I289" s="39" t="s">
        <v>136</v>
      </c>
      <c r="J289" s="36"/>
      <c r="K289" s="36"/>
      <c r="L289" s="36"/>
      <c r="M289" s="34"/>
      <c r="N289" s="41" t="s">
        <v>9850</v>
      </c>
      <c r="O289" s="39" t="s">
        <v>440</v>
      </c>
      <c r="P289" s="33"/>
      <c r="Q289" s="36"/>
      <c r="R289" s="34"/>
      <c r="S289" s="38"/>
      <c r="T289" s="38" t="s">
        <v>12689</v>
      </c>
    </row>
    <row r="290" spans="1:20" x14ac:dyDescent="0.25">
      <c r="A290" s="33" t="s">
        <v>8820</v>
      </c>
      <c r="B290" s="33" t="s">
        <v>8819</v>
      </c>
      <c r="C290" s="33" t="s">
        <v>13</v>
      </c>
      <c r="D290" s="33" t="s">
        <v>307</v>
      </c>
      <c r="E290" s="33">
        <v>2022</v>
      </c>
      <c r="F290" s="33">
        <v>146</v>
      </c>
      <c r="G290" s="36"/>
      <c r="H290" s="33">
        <v>106855</v>
      </c>
      <c r="I290" s="36"/>
      <c r="J290" s="33">
        <v>2022</v>
      </c>
      <c r="K290" s="34"/>
      <c r="L290" s="34"/>
      <c r="M290" s="33" t="s">
        <v>308</v>
      </c>
      <c r="N290" s="37" t="s">
        <v>8821</v>
      </c>
      <c r="O290" s="33" t="s">
        <v>8822</v>
      </c>
      <c r="P290" s="33" t="s">
        <v>8823</v>
      </c>
      <c r="Q290" s="36"/>
      <c r="R290" s="36"/>
      <c r="S290" s="33" t="s">
        <v>8824</v>
      </c>
      <c r="T290" s="38" t="s">
        <v>12693</v>
      </c>
    </row>
    <row r="291" spans="1:20" x14ac:dyDescent="0.25">
      <c r="A291" s="33" t="s">
        <v>2239</v>
      </c>
      <c r="B291" s="33" t="s">
        <v>2238</v>
      </c>
      <c r="C291" s="33" t="s">
        <v>13</v>
      </c>
      <c r="D291" s="33" t="s">
        <v>354</v>
      </c>
      <c r="E291" s="33">
        <v>2021</v>
      </c>
      <c r="F291" s="33">
        <v>178</v>
      </c>
      <c r="G291" s="34"/>
      <c r="H291" s="34"/>
      <c r="I291" s="33" t="s">
        <v>355</v>
      </c>
      <c r="J291" s="33">
        <v>2021</v>
      </c>
      <c r="K291" s="34"/>
      <c r="L291" s="34"/>
      <c r="M291" s="33" t="s">
        <v>65</v>
      </c>
      <c r="N291" s="37" t="s">
        <v>2240</v>
      </c>
      <c r="O291" s="33" t="s">
        <v>2241</v>
      </c>
      <c r="P291" s="33" t="s">
        <v>2242</v>
      </c>
      <c r="Q291" s="33" t="s">
        <v>2243</v>
      </c>
      <c r="R291" s="34"/>
      <c r="S291" s="38"/>
      <c r="T291" s="38" t="s">
        <v>12690</v>
      </c>
    </row>
    <row r="292" spans="1:20" x14ac:dyDescent="0.25">
      <c r="A292" s="39" t="s">
        <v>3544</v>
      </c>
      <c r="B292" s="39" t="s">
        <v>10172</v>
      </c>
      <c r="C292" s="39" t="s">
        <v>9478</v>
      </c>
      <c r="D292" s="36"/>
      <c r="E292" s="39">
        <v>2021</v>
      </c>
      <c r="F292" s="39">
        <v>29</v>
      </c>
      <c r="G292" s="39">
        <v>1</v>
      </c>
      <c r="H292" s="36"/>
      <c r="I292" s="39" t="s">
        <v>523</v>
      </c>
      <c r="J292" s="36"/>
      <c r="K292" s="36"/>
      <c r="L292" s="36"/>
      <c r="M292" s="34"/>
      <c r="N292" s="41" t="s">
        <v>10173</v>
      </c>
      <c r="O292" s="39" t="s">
        <v>3547</v>
      </c>
      <c r="P292" s="33"/>
      <c r="Q292" s="36"/>
      <c r="R292" s="34"/>
      <c r="S292" s="38"/>
      <c r="T292" s="38" t="s">
        <v>12689</v>
      </c>
    </row>
    <row r="293" spans="1:20" x14ac:dyDescent="0.25">
      <c r="A293" s="33" t="s">
        <v>3544</v>
      </c>
      <c r="B293" s="33" t="s">
        <v>3543</v>
      </c>
      <c r="C293" s="33" t="s">
        <v>13</v>
      </c>
      <c r="D293" s="33" t="s">
        <v>523</v>
      </c>
      <c r="E293" s="33">
        <v>2021</v>
      </c>
      <c r="F293" s="33">
        <v>29</v>
      </c>
      <c r="G293" s="33">
        <v>1</v>
      </c>
      <c r="H293" s="33" t="s">
        <v>3545</v>
      </c>
      <c r="I293" s="33" t="s">
        <v>137</v>
      </c>
      <c r="J293" s="33">
        <v>2021</v>
      </c>
      <c r="K293" s="34"/>
      <c r="L293" s="34"/>
      <c r="M293" s="33" t="s">
        <v>525</v>
      </c>
      <c r="N293" s="37" t="s">
        <v>3546</v>
      </c>
      <c r="O293" s="33" t="s">
        <v>3547</v>
      </c>
      <c r="P293" s="33" t="s">
        <v>3548</v>
      </c>
      <c r="Q293" s="33" t="s">
        <v>2723</v>
      </c>
      <c r="R293" s="34"/>
      <c r="S293" s="38"/>
      <c r="T293" s="38" t="s">
        <v>12690</v>
      </c>
    </row>
    <row r="294" spans="1:20" x14ac:dyDescent="0.25">
      <c r="A294" s="33" t="s">
        <v>7832</v>
      </c>
      <c r="B294" s="33" t="s">
        <v>7831</v>
      </c>
      <c r="C294" s="33" t="s">
        <v>141</v>
      </c>
      <c r="D294" s="34"/>
      <c r="E294" s="33">
        <v>2021</v>
      </c>
      <c r="F294" s="34"/>
      <c r="G294" s="34"/>
      <c r="H294" s="33" t="s">
        <v>7833</v>
      </c>
      <c r="I294" s="33" t="s">
        <v>7834</v>
      </c>
      <c r="J294" s="43">
        <v>44317</v>
      </c>
      <c r="K294" s="36"/>
      <c r="L294" s="36"/>
      <c r="M294" s="34"/>
      <c r="N294" s="37" t="s">
        <v>7835</v>
      </c>
      <c r="O294" s="33" t="s">
        <v>7836</v>
      </c>
      <c r="P294" s="33" t="s">
        <v>7837</v>
      </c>
      <c r="Q294" s="36"/>
      <c r="R294" s="36"/>
      <c r="S294" s="33" t="s">
        <v>7838</v>
      </c>
      <c r="T294" s="38" t="s">
        <v>12688</v>
      </c>
    </row>
    <row r="295" spans="1:20" x14ac:dyDescent="0.25">
      <c r="A295" s="33" t="s">
        <v>6523</v>
      </c>
      <c r="B295" s="33" t="s">
        <v>5794</v>
      </c>
      <c r="C295" s="33" t="s">
        <v>141</v>
      </c>
      <c r="D295" s="34"/>
      <c r="E295" s="33">
        <v>2017</v>
      </c>
      <c r="F295" s="34"/>
      <c r="G295" s="34"/>
      <c r="H295" s="33" t="s">
        <v>5796</v>
      </c>
      <c r="I295" s="33" t="s">
        <v>257</v>
      </c>
      <c r="J295" s="33">
        <v>2017</v>
      </c>
      <c r="K295" s="33">
        <v>9781538609927</v>
      </c>
      <c r="L295" s="34"/>
      <c r="M295" s="34"/>
      <c r="N295" s="37" t="s">
        <v>5797</v>
      </c>
      <c r="O295" s="33" t="s">
        <v>5798</v>
      </c>
      <c r="P295" s="33" t="s">
        <v>5799</v>
      </c>
      <c r="Q295" s="33" t="s">
        <v>4052</v>
      </c>
      <c r="R295" s="34"/>
      <c r="S295" s="38"/>
      <c r="T295" s="38" t="s">
        <v>12690</v>
      </c>
    </row>
    <row r="296" spans="1:20" x14ac:dyDescent="0.25">
      <c r="A296" s="33" t="s">
        <v>6523</v>
      </c>
      <c r="B296" s="33" t="s">
        <v>6522</v>
      </c>
      <c r="C296" s="33" t="s">
        <v>141</v>
      </c>
      <c r="D296" s="34"/>
      <c r="E296" s="33">
        <v>2017</v>
      </c>
      <c r="F296" s="34"/>
      <c r="G296" s="34"/>
      <c r="H296" s="33" t="s">
        <v>6524</v>
      </c>
      <c r="I296" s="33" t="s">
        <v>6439</v>
      </c>
      <c r="J296" s="43">
        <v>42979</v>
      </c>
      <c r="K296" s="36"/>
      <c r="L296" s="36"/>
      <c r="M296" s="34"/>
      <c r="N296" s="37" t="s">
        <v>6525</v>
      </c>
      <c r="O296" s="33" t="s">
        <v>5798</v>
      </c>
      <c r="P296" s="33" t="s">
        <v>6526</v>
      </c>
      <c r="Q296" s="36"/>
      <c r="R296" s="36"/>
      <c r="S296" s="33" t="s">
        <v>6527</v>
      </c>
      <c r="T296" s="38" t="s">
        <v>12688</v>
      </c>
    </row>
    <row r="297" spans="1:20" x14ac:dyDescent="0.25">
      <c r="A297" s="33" t="s">
        <v>194</v>
      </c>
      <c r="B297" s="33" t="s">
        <v>193</v>
      </c>
      <c r="C297" s="33" t="s">
        <v>141</v>
      </c>
      <c r="D297" s="34"/>
      <c r="E297" s="33">
        <v>2022</v>
      </c>
      <c r="F297" s="34"/>
      <c r="G297" s="34"/>
      <c r="H297" s="33" t="s">
        <v>11236</v>
      </c>
      <c r="I297" s="44" t="s">
        <v>12721</v>
      </c>
      <c r="J297" s="33">
        <v>2022</v>
      </c>
      <c r="K297" s="33">
        <v>9781450394277</v>
      </c>
      <c r="L297" s="33" t="s">
        <v>11145</v>
      </c>
      <c r="M297" s="34"/>
      <c r="N297" s="37" t="s">
        <v>11237</v>
      </c>
      <c r="O297" s="33" t="s">
        <v>199</v>
      </c>
      <c r="P297" s="33" t="s">
        <v>11238</v>
      </c>
      <c r="Q297" s="36"/>
      <c r="R297" s="36"/>
      <c r="S297" s="33" t="s">
        <v>11239</v>
      </c>
      <c r="T297" s="33" t="s">
        <v>12692</v>
      </c>
    </row>
    <row r="298" spans="1:20" x14ac:dyDescent="0.25">
      <c r="A298" s="33" t="s">
        <v>194</v>
      </c>
      <c r="B298" s="33" t="s">
        <v>193</v>
      </c>
      <c r="C298" s="33" t="s">
        <v>141</v>
      </c>
      <c r="D298" s="34"/>
      <c r="E298" s="33">
        <v>2022</v>
      </c>
      <c r="F298" s="34"/>
      <c r="G298" s="34"/>
      <c r="H298" s="33" t="s">
        <v>195</v>
      </c>
      <c r="I298" s="33" t="s">
        <v>196</v>
      </c>
      <c r="J298" s="33">
        <v>2022</v>
      </c>
      <c r="K298" s="33">
        <v>9781450394277</v>
      </c>
      <c r="L298" s="34"/>
      <c r="M298" s="33" t="s">
        <v>197</v>
      </c>
      <c r="N298" s="37" t="s">
        <v>198</v>
      </c>
      <c r="O298" s="33" t="s">
        <v>199</v>
      </c>
      <c r="P298" s="33" t="s">
        <v>200</v>
      </c>
      <c r="Q298" s="33" t="s">
        <v>157</v>
      </c>
      <c r="R298" s="34"/>
      <c r="S298" s="38"/>
      <c r="T298" s="38" t="s">
        <v>12690</v>
      </c>
    </row>
    <row r="299" spans="1:20" x14ac:dyDescent="0.25">
      <c r="A299" s="39" t="s">
        <v>10705</v>
      </c>
      <c r="B299" s="39" t="s">
        <v>10707</v>
      </c>
      <c r="C299" s="39" t="s">
        <v>9539</v>
      </c>
      <c r="D299" s="36"/>
      <c r="E299" s="39">
        <v>2021</v>
      </c>
      <c r="F299" s="40"/>
      <c r="G299" s="40"/>
      <c r="H299" s="36"/>
      <c r="I299" s="39" t="s">
        <v>9481</v>
      </c>
      <c r="J299" s="36"/>
      <c r="K299" s="36"/>
      <c r="L299" s="36"/>
      <c r="M299" s="34"/>
      <c r="N299" s="41" t="s">
        <v>10708</v>
      </c>
      <c r="O299" s="39" t="s">
        <v>10706</v>
      </c>
      <c r="P299" s="33"/>
      <c r="Q299" s="36"/>
      <c r="R299" s="34"/>
      <c r="S299" s="38"/>
      <c r="T299" s="38" t="s">
        <v>12689</v>
      </c>
    </row>
    <row r="300" spans="1:20" x14ac:dyDescent="0.25">
      <c r="A300" s="33" t="s">
        <v>6505</v>
      </c>
      <c r="B300" s="33" t="s">
        <v>6504</v>
      </c>
      <c r="C300" s="33" t="s">
        <v>141</v>
      </c>
      <c r="D300" s="34"/>
      <c r="E300" s="33">
        <v>2014</v>
      </c>
      <c r="F300" s="34"/>
      <c r="G300" s="34"/>
      <c r="H300" s="33" t="s">
        <v>6506</v>
      </c>
      <c r="I300" s="33" t="s">
        <v>6507</v>
      </c>
      <c r="J300" s="43">
        <v>41883</v>
      </c>
      <c r="K300" s="36"/>
      <c r="L300" s="36"/>
      <c r="M300" s="33" t="s">
        <v>6508</v>
      </c>
      <c r="N300" s="37" t="s">
        <v>6509</v>
      </c>
      <c r="O300" s="33" t="s">
        <v>6510</v>
      </c>
      <c r="P300" s="33" t="s">
        <v>6511</v>
      </c>
      <c r="Q300" s="36"/>
      <c r="R300" s="36"/>
      <c r="S300" s="33" t="s">
        <v>6512</v>
      </c>
      <c r="T300" s="38" t="s">
        <v>12688</v>
      </c>
    </row>
    <row r="301" spans="1:20" x14ac:dyDescent="0.25">
      <c r="A301" s="33" t="s">
        <v>3506</v>
      </c>
      <c r="B301" s="33" t="s">
        <v>3505</v>
      </c>
      <c r="C301" s="33" t="s">
        <v>141</v>
      </c>
      <c r="D301" s="34"/>
      <c r="E301" s="33">
        <v>2021</v>
      </c>
      <c r="F301" s="34"/>
      <c r="G301" s="34"/>
      <c r="H301" s="33" t="s">
        <v>3507</v>
      </c>
      <c r="I301" s="33" t="s">
        <v>145</v>
      </c>
      <c r="J301" s="33">
        <v>2021</v>
      </c>
      <c r="K301" s="33">
        <v>9781450381048</v>
      </c>
      <c r="L301" s="34"/>
      <c r="M301" s="34"/>
      <c r="N301" s="37" t="s">
        <v>3508</v>
      </c>
      <c r="O301" s="33" t="s">
        <v>3509</v>
      </c>
      <c r="P301" s="33" t="s">
        <v>3510</v>
      </c>
      <c r="Q301" s="33" t="s">
        <v>318</v>
      </c>
      <c r="R301" s="34"/>
      <c r="S301" s="38"/>
      <c r="T301" s="38" t="s">
        <v>12690</v>
      </c>
    </row>
    <row r="302" spans="1:20" x14ac:dyDescent="0.25">
      <c r="A302" s="33" t="s">
        <v>6220</v>
      </c>
      <c r="B302" s="33" t="s">
        <v>6219</v>
      </c>
      <c r="C302" s="33" t="s">
        <v>141</v>
      </c>
      <c r="D302" s="34"/>
      <c r="E302" s="33">
        <v>2018</v>
      </c>
      <c r="F302" s="34"/>
      <c r="G302" s="34"/>
      <c r="H302" s="33" t="s">
        <v>11155</v>
      </c>
      <c r="I302" s="44" t="s">
        <v>12722</v>
      </c>
      <c r="J302" s="33">
        <v>2018</v>
      </c>
      <c r="K302" s="33">
        <v>9781450357135</v>
      </c>
      <c r="L302" s="33" t="s">
        <v>11109</v>
      </c>
      <c r="M302" s="34"/>
      <c r="N302" s="37" t="s">
        <v>11192</v>
      </c>
      <c r="O302" s="33" t="s">
        <v>11193</v>
      </c>
      <c r="P302" s="33" t="s">
        <v>6221</v>
      </c>
      <c r="Q302" s="36"/>
      <c r="R302" s="36"/>
      <c r="S302" s="33" t="s">
        <v>11194</v>
      </c>
      <c r="T302" s="33" t="s">
        <v>12692</v>
      </c>
    </row>
    <row r="303" spans="1:20" x14ac:dyDescent="0.25">
      <c r="A303" s="33" t="s">
        <v>6220</v>
      </c>
      <c r="B303" s="33" t="s">
        <v>6219</v>
      </c>
      <c r="C303" s="33" t="s">
        <v>141</v>
      </c>
      <c r="D303" s="34"/>
      <c r="E303" s="33">
        <v>2018</v>
      </c>
      <c r="F303" s="34"/>
      <c r="G303" s="34"/>
      <c r="H303" s="42">
        <v>44936</v>
      </c>
      <c r="I303" s="33" t="s">
        <v>6125</v>
      </c>
      <c r="J303" s="43">
        <v>43221</v>
      </c>
      <c r="K303" s="36"/>
      <c r="L303" s="36"/>
      <c r="M303" s="34"/>
      <c r="N303" s="34"/>
      <c r="O303" s="34"/>
      <c r="P303" s="33" t="s">
        <v>6221</v>
      </c>
      <c r="Q303" s="36"/>
      <c r="R303" s="36"/>
      <c r="S303" s="33" t="s">
        <v>6222</v>
      </c>
      <c r="T303" s="38" t="s">
        <v>12688</v>
      </c>
    </row>
    <row r="304" spans="1:20" x14ac:dyDescent="0.25">
      <c r="A304" s="39" t="s">
        <v>3345</v>
      </c>
      <c r="B304" s="39" t="s">
        <v>9776</v>
      </c>
      <c r="C304" s="39" t="s">
        <v>9478</v>
      </c>
      <c r="D304" s="36"/>
      <c r="E304" s="39">
        <v>2021</v>
      </c>
      <c r="F304" s="39">
        <v>26</v>
      </c>
      <c r="G304" s="39">
        <v>2</v>
      </c>
      <c r="H304" s="36"/>
      <c r="I304" s="39" t="s">
        <v>136</v>
      </c>
      <c r="J304" s="36"/>
      <c r="K304" s="36"/>
      <c r="L304" s="36"/>
      <c r="M304" s="34"/>
      <c r="N304" s="41" t="s">
        <v>9777</v>
      </c>
      <c r="O304" s="39" t="s">
        <v>3347</v>
      </c>
      <c r="P304" s="33"/>
      <c r="Q304" s="36"/>
      <c r="R304" s="34"/>
      <c r="S304" s="38"/>
      <c r="T304" s="38" t="s">
        <v>12689</v>
      </c>
    </row>
    <row r="305" spans="1:20" x14ac:dyDescent="0.25">
      <c r="A305" s="33" t="s">
        <v>3345</v>
      </c>
      <c r="B305" s="33" t="s">
        <v>3344</v>
      </c>
      <c r="C305" s="33" t="s">
        <v>13</v>
      </c>
      <c r="D305" s="33" t="s">
        <v>136</v>
      </c>
      <c r="E305" s="33">
        <v>2021</v>
      </c>
      <c r="F305" s="33">
        <v>26</v>
      </c>
      <c r="G305" s="33">
        <v>2</v>
      </c>
      <c r="H305" s="34"/>
      <c r="I305" s="33" t="s">
        <v>137</v>
      </c>
      <c r="J305" s="33">
        <v>2021</v>
      </c>
      <c r="K305" s="34"/>
      <c r="L305" s="34"/>
      <c r="M305" s="33" t="s">
        <v>33</v>
      </c>
      <c r="N305" s="37" t="s">
        <v>3346</v>
      </c>
      <c r="O305" s="33" t="s">
        <v>3347</v>
      </c>
      <c r="P305" s="33" t="s">
        <v>3348</v>
      </c>
      <c r="Q305" s="33" t="s">
        <v>1598</v>
      </c>
      <c r="R305" s="34"/>
      <c r="S305" s="38"/>
      <c r="T305" s="38" t="s">
        <v>12690</v>
      </c>
    </row>
    <row r="306" spans="1:20" x14ac:dyDescent="0.25">
      <c r="A306" s="33" t="s">
        <v>5638</v>
      </c>
      <c r="B306" s="33" t="s">
        <v>5637</v>
      </c>
      <c r="C306" s="33" t="s">
        <v>141</v>
      </c>
      <c r="D306" s="34"/>
      <c r="E306" s="33">
        <v>2017</v>
      </c>
      <c r="F306" s="34"/>
      <c r="G306" s="34"/>
      <c r="H306" s="33" t="s">
        <v>12242</v>
      </c>
      <c r="I306" s="44" t="s">
        <v>12723</v>
      </c>
      <c r="J306" s="33">
        <v>2017</v>
      </c>
      <c r="K306" s="33">
        <v>9781538605356</v>
      </c>
      <c r="L306" s="33" t="s">
        <v>12247</v>
      </c>
      <c r="M306" s="34"/>
      <c r="N306" s="37" t="s">
        <v>12244</v>
      </c>
      <c r="O306" s="33" t="s">
        <v>5641</v>
      </c>
      <c r="P306" s="33" t="s">
        <v>12245</v>
      </c>
      <c r="Q306" s="36"/>
      <c r="R306" s="36"/>
      <c r="S306" s="33" t="s">
        <v>12246</v>
      </c>
      <c r="T306" s="33" t="s">
        <v>12692</v>
      </c>
    </row>
    <row r="307" spans="1:20" x14ac:dyDescent="0.25">
      <c r="A307" s="33" t="s">
        <v>5638</v>
      </c>
      <c r="B307" s="33" t="s">
        <v>5637</v>
      </c>
      <c r="C307" s="33" t="s">
        <v>141</v>
      </c>
      <c r="D307" s="34"/>
      <c r="E307" s="33">
        <v>2017</v>
      </c>
      <c r="F307" s="34"/>
      <c r="G307" s="34"/>
      <c r="H307" s="33" t="s">
        <v>5639</v>
      </c>
      <c r="I307" s="33" t="s">
        <v>196</v>
      </c>
      <c r="J307" s="33">
        <v>2017</v>
      </c>
      <c r="K307" s="33">
        <v>9781538605356</v>
      </c>
      <c r="L307" s="34"/>
      <c r="M307" s="34"/>
      <c r="N307" s="37" t="s">
        <v>5640</v>
      </c>
      <c r="O307" s="33" t="s">
        <v>5641</v>
      </c>
      <c r="P307" s="33" t="s">
        <v>5642</v>
      </c>
      <c r="Q307" s="33" t="s">
        <v>5643</v>
      </c>
      <c r="R307" s="34"/>
      <c r="S307" s="38"/>
      <c r="T307" s="38" t="s">
        <v>12690</v>
      </c>
    </row>
    <row r="308" spans="1:20" x14ac:dyDescent="0.25">
      <c r="A308" s="33" t="s">
        <v>377</v>
      </c>
      <c r="B308" s="33" t="s">
        <v>376</v>
      </c>
      <c r="C308" s="33" t="s">
        <v>141</v>
      </c>
      <c r="D308" s="34"/>
      <c r="E308" s="33">
        <v>2022</v>
      </c>
      <c r="F308" s="34"/>
      <c r="G308" s="34"/>
      <c r="H308" s="33" t="s">
        <v>378</v>
      </c>
      <c r="I308" s="33" t="s">
        <v>153</v>
      </c>
      <c r="J308" s="33">
        <v>2022</v>
      </c>
      <c r="K308" s="33">
        <v>9781450394574</v>
      </c>
      <c r="L308" s="34"/>
      <c r="M308" s="34"/>
      <c r="N308" s="37" t="s">
        <v>379</v>
      </c>
      <c r="O308" s="33" t="s">
        <v>380</v>
      </c>
      <c r="P308" s="33" t="s">
        <v>381</v>
      </c>
      <c r="Q308" s="33" t="s">
        <v>157</v>
      </c>
      <c r="R308" s="34"/>
      <c r="S308" s="38"/>
      <c r="T308" s="38" t="s">
        <v>12690</v>
      </c>
    </row>
    <row r="309" spans="1:20" x14ac:dyDescent="0.25">
      <c r="A309" s="33" t="s">
        <v>7062</v>
      </c>
      <c r="B309" s="33" t="s">
        <v>7061</v>
      </c>
      <c r="C309" s="33" t="s">
        <v>141</v>
      </c>
      <c r="D309" s="34"/>
      <c r="E309" s="33">
        <v>2019</v>
      </c>
      <c r="F309" s="34"/>
      <c r="G309" s="34"/>
      <c r="H309" s="33" t="s">
        <v>12049</v>
      </c>
      <c r="I309" s="44" t="s">
        <v>12724</v>
      </c>
      <c r="J309" s="33">
        <v>2019</v>
      </c>
      <c r="K309" s="34"/>
      <c r="L309" s="33" t="s">
        <v>12053</v>
      </c>
      <c r="M309" s="34"/>
      <c r="N309" s="37" t="s">
        <v>12051</v>
      </c>
      <c r="O309" s="33" t="s">
        <v>7067</v>
      </c>
      <c r="P309" s="33" t="s">
        <v>7068</v>
      </c>
      <c r="Q309" s="36"/>
      <c r="R309" s="36"/>
      <c r="S309" s="33" t="s">
        <v>12052</v>
      </c>
      <c r="T309" s="33" t="s">
        <v>12692</v>
      </c>
    </row>
    <row r="310" spans="1:20" x14ac:dyDescent="0.25">
      <c r="A310" s="33" t="s">
        <v>7062</v>
      </c>
      <c r="B310" s="33" t="s">
        <v>7061</v>
      </c>
      <c r="C310" s="33" t="s">
        <v>141</v>
      </c>
      <c r="D310" s="34"/>
      <c r="E310" s="33">
        <v>2019</v>
      </c>
      <c r="F310" s="34"/>
      <c r="G310" s="34"/>
      <c r="H310" s="33" t="s">
        <v>7063</v>
      </c>
      <c r="I310" s="33" t="s">
        <v>7064</v>
      </c>
      <c r="J310" s="43">
        <v>43586</v>
      </c>
      <c r="K310" s="36"/>
      <c r="L310" s="36"/>
      <c r="M310" s="33" t="s">
        <v>7065</v>
      </c>
      <c r="N310" s="37" t="s">
        <v>7066</v>
      </c>
      <c r="O310" s="33" t="s">
        <v>7067</v>
      </c>
      <c r="P310" s="33" t="s">
        <v>7068</v>
      </c>
      <c r="Q310" s="36"/>
      <c r="R310" s="36"/>
      <c r="S310" s="33" t="s">
        <v>7069</v>
      </c>
      <c r="T310" s="38" t="s">
        <v>12688</v>
      </c>
    </row>
    <row r="311" spans="1:20" x14ac:dyDescent="0.25">
      <c r="A311" s="33" t="s">
        <v>1008</v>
      </c>
      <c r="B311" s="33" t="s">
        <v>1007</v>
      </c>
      <c r="C311" s="33" t="s">
        <v>13</v>
      </c>
      <c r="D311" s="33" t="s">
        <v>136</v>
      </c>
      <c r="E311" s="33">
        <v>2022</v>
      </c>
      <c r="F311" s="33">
        <v>27</v>
      </c>
      <c r="G311" s="33">
        <v>2</v>
      </c>
      <c r="H311" s="34"/>
      <c r="I311" s="33" t="s">
        <v>137</v>
      </c>
      <c r="J311" s="33">
        <v>2022</v>
      </c>
      <c r="K311" s="34"/>
      <c r="L311" s="34"/>
      <c r="M311" s="33" t="s">
        <v>33</v>
      </c>
      <c r="N311" s="37" t="s">
        <v>1009</v>
      </c>
      <c r="O311" s="33" t="s">
        <v>1010</v>
      </c>
      <c r="P311" s="33" t="s">
        <v>1011</v>
      </c>
      <c r="Q311" s="33" t="s">
        <v>157</v>
      </c>
      <c r="R311" s="34"/>
      <c r="S311" s="38"/>
      <c r="T311" s="38" t="s">
        <v>12690</v>
      </c>
    </row>
    <row r="312" spans="1:20" x14ac:dyDescent="0.25">
      <c r="A312" s="39" t="s">
        <v>1008</v>
      </c>
      <c r="B312" s="39" t="s">
        <v>10813</v>
      </c>
      <c r="C312" s="39" t="s">
        <v>9478</v>
      </c>
      <c r="D312" s="36"/>
      <c r="E312" s="39">
        <v>2022</v>
      </c>
      <c r="F312" s="39">
        <v>27</v>
      </c>
      <c r="G312" s="39">
        <v>2</v>
      </c>
      <c r="H312" s="36"/>
      <c r="I312" s="39" t="s">
        <v>136</v>
      </c>
      <c r="J312" s="36"/>
      <c r="K312" s="36"/>
      <c r="L312" s="36"/>
      <c r="M312" s="34"/>
      <c r="N312" s="41" t="s">
        <v>10814</v>
      </c>
      <c r="O312" s="39" t="s">
        <v>1010</v>
      </c>
      <c r="P312" s="33"/>
      <c r="Q312" s="36"/>
      <c r="R312" s="34"/>
      <c r="S312" s="38"/>
      <c r="T312" s="38" t="s">
        <v>12689</v>
      </c>
    </row>
    <row r="313" spans="1:20" x14ac:dyDescent="0.25">
      <c r="A313" s="33" t="s">
        <v>2153</v>
      </c>
      <c r="B313" s="33" t="s">
        <v>2152</v>
      </c>
      <c r="C313" s="33" t="s">
        <v>13</v>
      </c>
      <c r="D313" s="33" t="s">
        <v>354</v>
      </c>
      <c r="E313" s="33">
        <v>2021</v>
      </c>
      <c r="F313" s="33">
        <v>178</v>
      </c>
      <c r="G313" s="34"/>
      <c r="H313" s="34"/>
      <c r="I313" s="33" t="s">
        <v>355</v>
      </c>
      <c r="J313" s="33">
        <v>2021</v>
      </c>
      <c r="K313" s="34"/>
      <c r="L313" s="34"/>
      <c r="M313" s="33" t="s">
        <v>65</v>
      </c>
      <c r="N313" s="37" t="s">
        <v>2154</v>
      </c>
      <c r="O313" s="33" t="s">
        <v>2155</v>
      </c>
      <c r="P313" s="33" t="s">
        <v>2156</v>
      </c>
      <c r="Q313" s="33" t="s">
        <v>2157</v>
      </c>
      <c r="R313" s="34"/>
      <c r="S313" s="38"/>
      <c r="T313" s="38" t="s">
        <v>12690</v>
      </c>
    </row>
    <row r="314" spans="1:20" x14ac:dyDescent="0.25">
      <c r="A314" s="33" t="s">
        <v>8958</v>
      </c>
      <c r="B314" s="33" t="s">
        <v>8957</v>
      </c>
      <c r="C314" s="33" t="s">
        <v>13</v>
      </c>
      <c r="D314" s="33" t="s">
        <v>354</v>
      </c>
      <c r="E314" s="33">
        <v>2017</v>
      </c>
      <c r="F314" s="33">
        <v>134</v>
      </c>
      <c r="G314" s="36"/>
      <c r="H314" s="33" t="s">
        <v>8959</v>
      </c>
      <c r="I314" s="36"/>
      <c r="J314" s="33">
        <v>2017</v>
      </c>
      <c r="K314" s="34"/>
      <c r="L314" s="34"/>
      <c r="M314" s="33" t="s">
        <v>65</v>
      </c>
      <c r="N314" s="37" t="s">
        <v>8960</v>
      </c>
      <c r="O314" s="33" t="s">
        <v>8961</v>
      </c>
      <c r="P314" s="33" t="s">
        <v>8962</v>
      </c>
      <c r="Q314" s="36"/>
      <c r="R314" s="36"/>
      <c r="S314" s="33" t="s">
        <v>8963</v>
      </c>
      <c r="T314" s="38" t="s">
        <v>12693</v>
      </c>
    </row>
    <row r="315" spans="1:20" x14ac:dyDescent="0.25">
      <c r="A315" s="33" t="s">
        <v>5263</v>
      </c>
      <c r="B315" s="33" t="s">
        <v>5262</v>
      </c>
      <c r="C315" s="33" t="s">
        <v>141</v>
      </c>
      <c r="D315" s="34"/>
      <c r="E315" s="33">
        <v>2012</v>
      </c>
      <c r="F315" s="34"/>
      <c r="G315" s="34"/>
      <c r="H315" s="34"/>
      <c r="I315" s="34"/>
      <c r="J315" s="33">
        <v>2012</v>
      </c>
      <c r="K315" s="33">
        <v>9781450316149</v>
      </c>
      <c r="L315" s="34"/>
      <c r="M315" s="34"/>
      <c r="N315" s="37" t="s">
        <v>5264</v>
      </c>
      <c r="O315" s="33" t="s">
        <v>5265</v>
      </c>
      <c r="P315" s="33" t="s">
        <v>5266</v>
      </c>
      <c r="Q315" s="33" t="s">
        <v>5267</v>
      </c>
      <c r="R315" s="34"/>
      <c r="S315" s="38"/>
      <c r="T315" s="38" t="s">
        <v>12690</v>
      </c>
    </row>
    <row r="316" spans="1:20" x14ac:dyDescent="0.25">
      <c r="A316" s="39" t="s">
        <v>11024</v>
      </c>
      <c r="B316" s="39" t="s">
        <v>11026</v>
      </c>
      <c r="C316" s="39" t="s">
        <v>9539</v>
      </c>
      <c r="D316" s="36"/>
      <c r="E316" s="39">
        <v>2022</v>
      </c>
      <c r="F316" s="40"/>
      <c r="G316" s="40"/>
      <c r="H316" s="36"/>
      <c r="I316" s="39" t="s">
        <v>9276</v>
      </c>
      <c r="J316" s="36"/>
      <c r="K316" s="36"/>
      <c r="L316" s="36"/>
      <c r="M316" s="34"/>
      <c r="N316" s="41" t="s">
        <v>11027</v>
      </c>
      <c r="O316" s="39" t="s">
        <v>11025</v>
      </c>
      <c r="P316" s="33"/>
      <c r="Q316" s="36"/>
      <c r="R316" s="34"/>
      <c r="S316" s="38"/>
      <c r="T316" s="38" t="s">
        <v>12689</v>
      </c>
    </row>
    <row r="317" spans="1:20" x14ac:dyDescent="0.25">
      <c r="A317" s="33" t="s">
        <v>4713</v>
      </c>
      <c r="B317" s="33" t="s">
        <v>4712</v>
      </c>
      <c r="C317" s="33" t="s">
        <v>13</v>
      </c>
      <c r="D317" s="33" t="s">
        <v>462</v>
      </c>
      <c r="E317" s="33">
        <v>2019</v>
      </c>
      <c r="F317" s="33" t="s">
        <v>4714</v>
      </c>
      <c r="G317" s="34"/>
      <c r="H317" s="33" t="s">
        <v>4715</v>
      </c>
      <c r="I317" s="33" t="s">
        <v>137</v>
      </c>
      <c r="J317" s="33">
        <v>2019</v>
      </c>
      <c r="K317" s="34"/>
      <c r="L317" s="34"/>
      <c r="M317" s="33" t="s">
        <v>465</v>
      </c>
      <c r="N317" s="37" t="s">
        <v>4716</v>
      </c>
      <c r="O317" s="33" t="s">
        <v>4717</v>
      </c>
      <c r="P317" s="33" t="s">
        <v>4718</v>
      </c>
      <c r="Q317" s="33" t="s">
        <v>318</v>
      </c>
      <c r="R317" s="34"/>
      <c r="S317" s="38"/>
      <c r="T317" s="38" t="s">
        <v>12690</v>
      </c>
    </row>
    <row r="318" spans="1:20" x14ac:dyDescent="0.25">
      <c r="A318" s="33" t="s">
        <v>8884</v>
      </c>
      <c r="B318" s="33" t="s">
        <v>8883</v>
      </c>
      <c r="C318" s="33" t="s">
        <v>13</v>
      </c>
      <c r="D318" s="33" t="s">
        <v>8642</v>
      </c>
      <c r="E318" s="33">
        <v>2020</v>
      </c>
      <c r="F318" s="33">
        <v>167</v>
      </c>
      <c r="G318" s="36"/>
      <c r="H318" s="33" t="s">
        <v>8885</v>
      </c>
      <c r="I318" s="36"/>
      <c r="J318" s="33">
        <v>2020</v>
      </c>
      <c r="K318" s="34"/>
      <c r="L318" s="34"/>
      <c r="M318" s="33" t="s">
        <v>3058</v>
      </c>
      <c r="N318" s="37" t="s">
        <v>8886</v>
      </c>
      <c r="O318" s="33" t="s">
        <v>8887</v>
      </c>
      <c r="P318" s="33" t="s">
        <v>8888</v>
      </c>
      <c r="Q318" s="36"/>
      <c r="R318" s="36"/>
      <c r="S318" s="33" t="s">
        <v>8889</v>
      </c>
      <c r="T318" s="38" t="s">
        <v>12693</v>
      </c>
    </row>
    <row r="319" spans="1:20" x14ac:dyDescent="0.25">
      <c r="A319" s="39" t="s">
        <v>11001</v>
      </c>
      <c r="B319" s="39" t="s">
        <v>11003</v>
      </c>
      <c r="C319" s="39" t="s">
        <v>9478</v>
      </c>
      <c r="D319" s="36"/>
      <c r="E319" s="39">
        <v>2022</v>
      </c>
      <c r="F319" s="39">
        <v>27</v>
      </c>
      <c r="G319" s="39">
        <v>2</v>
      </c>
      <c r="H319" s="36"/>
      <c r="I319" s="39" t="s">
        <v>136</v>
      </c>
      <c r="J319" s="36"/>
      <c r="K319" s="36"/>
      <c r="L319" s="36"/>
      <c r="M319" s="34"/>
      <c r="N319" s="41" t="s">
        <v>11004</v>
      </c>
      <c r="O319" s="39" t="s">
        <v>11002</v>
      </c>
      <c r="P319" s="33"/>
      <c r="Q319" s="36"/>
      <c r="R319" s="34"/>
      <c r="S319" s="38"/>
      <c r="T319" s="38" t="s">
        <v>12689</v>
      </c>
    </row>
    <row r="320" spans="1:20" x14ac:dyDescent="0.25">
      <c r="A320" s="33" t="s">
        <v>4199</v>
      </c>
      <c r="B320" s="33" t="s">
        <v>4198</v>
      </c>
      <c r="C320" s="33" t="s">
        <v>141</v>
      </c>
      <c r="D320" s="34"/>
      <c r="E320" s="33">
        <v>2020</v>
      </c>
      <c r="F320" s="34"/>
      <c r="G320" s="34"/>
      <c r="H320" s="33" t="s">
        <v>4200</v>
      </c>
      <c r="I320" s="33" t="s">
        <v>257</v>
      </c>
      <c r="J320" s="33">
        <v>2020</v>
      </c>
      <c r="K320" s="33">
        <v>9781728155180</v>
      </c>
      <c r="L320" s="34"/>
      <c r="M320" s="34"/>
      <c r="N320" s="37" t="s">
        <v>4201</v>
      </c>
      <c r="O320" s="33" t="s">
        <v>4202</v>
      </c>
      <c r="P320" s="33" t="s">
        <v>4203</v>
      </c>
      <c r="Q320" s="33" t="s">
        <v>185</v>
      </c>
      <c r="R320" s="34"/>
      <c r="S320" s="38"/>
      <c r="T320" s="38" t="s">
        <v>12690</v>
      </c>
    </row>
    <row r="321" spans="1:20" x14ac:dyDescent="0.25">
      <c r="A321" s="33" t="s">
        <v>667</v>
      </c>
      <c r="B321" s="33" t="s">
        <v>666</v>
      </c>
      <c r="C321" s="33" t="s">
        <v>13</v>
      </c>
      <c r="D321" s="33" t="s">
        <v>668</v>
      </c>
      <c r="E321" s="33">
        <v>2022</v>
      </c>
      <c r="F321" s="33">
        <v>10</v>
      </c>
      <c r="G321" s="34"/>
      <c r="H321" s="33" t="s">
        <v>669</v>
      </c>
      <c r="I321" s="33" t="s">
        <v>257</v>
      </c>
      <c r="J321" s="33">
        <v>2022</v>
      </c>
      <c r="K321" s="34"/>
      <c r="L321" s="34"/>
      <c r="M321" s="33" t="s">
        <v>670</v>
      </c>
      <c r="N321" s="37" t="s">
        <v>671</v>
      </c>
      <c r="O321" s="33" t="s">
        <v>672</v>
      </c>
      <c r="P321" s="33" t="s">
        <v>673</v>
      </c>
      <c r="Q321" s="33" t="s">
        <v>285</v>
      </c>
      <c r="R321" s="34"/>
      <c r="S321" s="38"/>
      <c r="T321" s="38" t="s">
        <v>12690</v>
      </c>
    </row>
    <row r="322" spans="1:20" x14ac:dyDescent="0.25">
      <c r="A322" s="33" t="s">
        <v>5874</v>
      </c>
      <c r="B322" s="33" t="s">
        <v>5873</v>
      </c>
      <c r="C322" s="33" t="s">
        <v>539</v>
      </c>
      <c r="D322" s="34"/>
      <c r="E322" s="33">
        <v>2015</v>
      </c>
      <c r="F322" s="34"/>
      <c r="G322" s="34"/>
      <c r="H322" s="34"/>
      <c r="I322" s="33" t="s">
        <v>355</v>
      </c>
      <c r="J322" s="33">
        <v>2015</v>
      </c>
      <c r="K322" s="33">
        <v>9780124115439</v>
      </c>
      <c r="L322" s="33">
        <v>9780124115194</v>
      </c>
      <c r="M322" s="34"/>
      <c r="N322" s="37" t="s">
        <v>5875</v>
      </c>
      <c r="O322" s="33" t="s">
        <v>5876</v>
      </c>
      <c r="P322" s="33" t="s">
        <v>5877</v>
      </c>
      <c r="Q322" s="33" t="s">
        <v>3633</v>
      </c>
      <c r="R322" s="33" t="s">
        <v>5878</v>
      </c>
      <c r="S322" s="38"/>
      <c r="T322" s="38" t="s">
        <v>12690</v>
      </c>
    </row>
    <row r="323" spans="1:20" x14ac:dyDescent="0.25">
      <c r="A323" s="33" t="s">
        <v>656</v>
      </c>
      <c r="B323" s="33" t="s">
        <v>655</v>
      </c>
      <c r="C323" s="33" t="s">
        <v>13</v>
      </c>
      <c r="D323" s="33" t="s">
        <v>279</v>
      </c>
      <c r="E323" s="33">
        <v>2022</v>
      </c>
      <c r="F323" s="33">
        <v>19</v>
      </c>
      <c r="G323" s="34"/>
      <c r="H323" s="34"/>
      <c r="I323" s="33" t="s">
        <v>280</v>
      </c>
      <c r="J323" s="33">
        <v>2022</v>
      </c>
      <c r="K323" s="34"/>
      <c r="L323" s="34"/>
      <c r="M323" s="33" t="s">
        <v>281</v>
      </c>
      <c r="N323" s="37" t="s">
        <v>657</v>
      </c>
      <c r="O323" s="33" t="s">
        <v>658</v>
      </c>
      <c r="P323" s="33" t="s">
        <v>659</v>
      </c>
      <c r="Q323" s="33" t="s">
        <v>285</v>
      </c>
      <c r="R323" s="34"/>
      <c r="S323" s="38"/>
      <c r="T323" s="38" t="s">
        <v>12690</v>
      </c>
    </row>
    <row r="324" spans="1:20" x14ac:dyDescent="0.25">
      <c r="A324" s="33" t="s">
        <v>3610</v>
      </c>
      <c r="B324" s="33" t="s">
        <v>3609</v>
      </c>
      <c r="C324" s="33" t="s">
        <v>141</v>
      </c>
      <c r="D324" s="34"/>
      <c r="E324" s="33">
        <v>2020</v>
      </c>
      <c r="F324" s="34"/>
      <c r="G324" s="34"/>
      <c r="H324" s="33" t="s">
        <v>3611</v>
      </c>
      <c r="I324" s="33" t="s">
        <v>145</v>
      </c>
      <c r="J324" s="33">
        <v>2020</v>
      </c>
      <c r="K324" s="33">
        <v>9781450387538</v>
      </c>
      <c r="L324" s="34"/>
      <c r="M324" s="34"/>
      <c r="N324" s="37" t="s">
        <v>3612</v>
      </c>
      <c r="O324" s="33" t="s">
        <v>3613</v>
      </c>
      <c r="P324" s="33" t="s">
        <v>3614</v>
      </c>
      <c r="Q324" s="33" t="s">
        <v>185</v>
      </c>
      <c r="R324" s="34"/>
      <c r="S324" s="38"/>
      <c r="T324" s="38" t="s">
        <v>12690</v>
      </c>
    </row>
    <row r="325" spans="1:20" x14ac:dyDescent="0.25">
      <c r="A325" s="33" t="s">
        <v>650</v>
      </c>
      <c r="B325" s="33" t="s">
        <v>649</v>
      </c>
      <c r="C325" s="33" t="s">
        <v>141</v>
      </c>
      <c r="D325" s="34"/>
      <c r="E325" s="33">
        <v>2022</v>
      </c>
      <c r="F325" s="34"/>
      <c r="G325" s="34"/>
      <c r="H325" s="33" t="s">
        <v>651</v>
      </c>
      <c r="I325" s="33" t="s">
        <v>196</v>
      </c>
      <c r="J325" s="33">
        <v>2022</v>
      </c>
      <c r="K325" s="33">
        <v>9781450394277</v>
      </c>
      <c r="L325" s="34"/>
      <c r="M325" s="33" t="s">
        <v>197</v>
      </c>
      <c r="N325" s="37" t="s">
        <v>652</v>
      </c>
      <c r="O325" s="33" t="s">
        <v>653</v>
      </c>
      <c r="P325" s="33" t="s">
        <v>654</v>
      </c>
      <c r="Q325" s="33" t="s">
        <v>157</v>
      </c>
      <c r="R325" s="34"/>
      <c r="S325" s="38"/>
      <c r="T325" s="38" t="s">
        <v>12690</v>
      </c>
    </row>
    <row r="326" spans="1:20" x14ac:dyDescent="0.25">
      <c r="A326" s="33" t="s">
        <v>1256</v>
      </c>
      <c r="B326" s="33" t="s">
        <v>1255</v>
      </c>
      <c r="C326" s="33" t="s">
        <v>13</v>
      </c>
      <c r="D326" s="33" t="s">
        <v>328</v>
      </c>
      <c r="E326" s="33">
        <v>2022</v>
      </c>
      <c r="F326" s="33">
        <v>31</v>
      </c>
      <c r="G326" s="33">
        <v>2</v>
      </c>
      <c r="H326" s="34"/>
      <c r="I326" s="33" t="s">
        <v>145</v>
      </c>
      <c r="J326" s="33">
        <v>2022</v>
      </c>
      <c r="K326" s="34"/>
      <c r="L326" s="34"/>
      <c r="M326" s="33" t="s">
        <v>329</v>
      </c>
      <c r="N326" s="37" t="s">
        <v>1257</v>
      </c>
      <c r="O326" s="33" t="s">
        <v>1258</v>
      </c>
      <c r="P326" s="33" t="s">
        <v>1259</v>
      </c>
      <c r="Q326" s="33" t="s">
        <v>404</v>
      </c>
      <c r="R326" s="34"/>
      <c r="S326" s="38"/>
      <c r="T326" s="38" t="s">
        <v>12690</v>
      </c>
    </row>
    <row r="327" spans="1:20" x14ac:dyDescent="0.25">
      <c r="A327" s="33" t="s">
        <v>8186</v>
      </c>
      <c r="B327" s="33" t="s">
        <v>8185</v>
      </c>
      <c r="C327" s="33" t="s">
        <v>141</v>
      </c>
      <c r="D327" s="34"/>
      <c r="E327" s="33">
        <v>2018</v>
      </c>
      <c r="F327" s="34"/>
      <c r="G327" s="34"/>
      <c r="H327" s="33" t="s">
        <v>12359</v>
      </c>
      <c r="I327" s="44" t="s">
        <v>12725</v>
      </c>
      <c r="J327" s="33">
        <v>2018</v>
      </c>
      <c r="K327" s="33">
        <v>9781450357166</v>
      </c>
      <c r="L327" s="33" t="s">
        <v>11283</v>
      </c>
      <c r="M327" s="34"/>
      <c r="N327" s="37" t="s">
        <v>12360</v>
      </c>
      <c r="O327" s="33" t="s">
        <v>12361</v>
      </c>
      <c r="P327" s="33" t="s">
        <v>8188</v>
      </c>
      <c r="Q327" s="36"/>
      <c r="R327" s="36"/>
      <c r="S327" s="33" t="s">
        <v>12362</v>
      </c>
      <c r="T327" s="33" t="s">
        <v>12692</v>
      </c>
    </row>
    <row r="328" spans="1:20" x14ac:dyDescent="0.25">
      <c r="A328" s="33" t="s">
        <v>8186</v>
      </c>
      <c r="B328" s="33" t="s">
        <v>8185</v>
      </c>
      <c r="C328" s="33" t="s">
        <v>141</v>
      </c>
      <c r="D328" s="34"/>
      <c r="E328" s="33">
        <v>2018</v>
      </c>
      <c r="F328" s="34"/>
      <c r="G328" s="34"/>
      <c r="H328" s="33" t="s">
        <v>8187</v>
      </c>
      <c r="I328" s="33" t="s">
        <v>6151</v>
      </c>
      <c r="J328" s="43">
        <v>43221</v>
      </c>
      <c r="K328" s="34"/>
      <c r="L328" s="36"/>
      <c r="M328" s="33" t="s">
        <v>6152</v>
      </c>
      <c r="N328" s="34"/>
      <c r="O328" s="34"/>
      <c r="P328" s="33" t="s">
        <v>8188</v>
      </c>
      <c r="Q328" s="36"/>
      <c r="R328" s="36"/>
      <c r="S328" s="33" t="s">
        <v>8189</v>
      </c>
      <c r="T328" s="38" t="s">
        <v>12688</v>
      </c>
    </row>
    <row r="329" spans="1:20" x14ac:dyDescent="0.25">
      <c r="A329" s="33" t="s">
        <v>5550</v>
      </c>
      <c r="B329" s="33" t="s">
        <v>5549</v>
      </c>
      <c r="C329" s="33" t="s">
        <v>141</v>
      </c>
      <c r="D329" s="34"/>
      <c r="E329" s="33">
        <v>2018</v>
      </c>
      <c r="F329" s="34"/>
      <c r="G329" s="34"/>
      <c r="H329" s="33" t="s">
        <v>5551</v>
      </c>
      <c r="I329" s="33" t="s">
        <v>5552</v>
      </c>
      <c r="J329" s="33">
        <v>2018</v>
      </c>
      <c r="K329" s="33">
        <v>9781577358008</v>
      </c>
      <c r="L329" s="34"/>
      <c r="M329" s="34"/>
      <c r="N329" s="37" t="s">
        <v>5553</v>
      </c>
      <c r="O329" s="34"/>
      <c r="P329" s="33" t="s">
        <v>5554</v>
      </c>
      <c r="Q329" s="33" t="s">
        <v>5555</v>
      </c>
      <c r="R329" s="34"/>
      <c r="S329" s="38"/>
      <c r="T329" s="38" t="s">
        <v>12690</v>
      </c>
    </row>
    <row r="330" spans="1:20" x14ac:dyDescent="0.25">
      <c r="A330" s="33" t="s">
        <v>8588</v>
      </c>
      <c r="B330" s="33" t="s">
        <v>4757</v>
      </c>
      <c r="C330" s="33" t="s">
        <v>13</v>
      </c>
      <c r="D330" s="33" t="s">
        <v>354</v>
      </c>
      <c r="E330" s="33">
        <v>2021</v>
      </c>
      <c r="F330" s="33">
        <v>177</v>
      </c>
      <c r="G330" s="36"/>
      <c r="H330" s="33">
        <v>110964</v>
      </c>
      <c r="I330" s="36"/>
      <c r="J330" s="33">
        <v>2021</v>
      </c>
      <c r="K330" s="34"/>
      <c r="L330" s="34"/>
      <c r="M330" s="33" t="s">
        <v>65</v>
      </c>
      <c r="N330" s="37" t="s">
        <v>8589</v>
      </c>
      <c r="O330" s="33" t="s">
        <v>8590</v>
      </c>
      <c r="P330" s="33" t="s">
        <v>8591</v>
      </c>
      <c r="Q330" s="36"/>
      <c r="R330" s="36"/>
      <c r="S330" s="34"/>
      <c r="T330" s="38" t="s">
        <v>12693</v>
      </c>
    </row>
    <row r="331" spans="1:20" x14ac:dyDescent="0.25">
      <c r="A331" s="39" t="s">
        <v>5026</v>
      </c>
      <c r="B331" s="39" t="s">
        <v>10436</v>
      </c>
      <c r="C331" s="39" t="s">
        <v>9539</v>
      </c>
      <c r="D331" s="36"/>
      <c r="E331" s="39">
        <v>2020</v>
      </c>
      <c r="F331" s="40"/>
      <c r="G331" s="40"/>
      <c r="H331" s="36"/>
      <c r="I331" s="39" t="s">
        <v>10435</v>
      </c>
      <c r="J331" s="36"/>
      <c r="K331" s="36"/>
      <c r="L331" s="36"/>
      <c r="M331" s="34"/>
      <c r="N331" s="41" t="s">
        <v>10437</v>
      </c>
      <c r="O331" s="39" t="s">
        <v>5030</v>
      </c>
      <c r="P331" s="33"/>
      <c r="Q331" s="36"/>
      <c r="R331" s="34"/>
      <c r="S331" s="38"/>
      <c r="T331" s="38" t="s">
        <v>12689</v>
      </c>
    </row>
    <row r="332" spans="1:20" x14ac:dyDescent="0.25">
      <c r="A332" s="33" t="s">
        <v>5026</v>
      </c>
      <c r="B332" s="33" t="s">
        <v>5025</v>
      </c>
      <c r="C332" s="33" t="s">
        <v>13</v>
      </c>
      <c r="D332" s="33" t="s">
        <v>462</v>
      </c>
      <c r="E332" s="33">
        <v>2020</v>
      </c>
      <c r="F332" s="33" t="s">
        <v>5027</v>
      </c>
      <c r="G332" s="34"/>
      <c r="H332" s="33" t="s">
        <v>5028</v>
      </c>
      <c r="I332" s="33" t="s">
        <v>137</v>
      </c>
      <c r="J332" s="33">
        <v>2020</v>
      </c>
      <c r="K332" s="34"/>
      <c r="L332" s="34"/>
      <c r="M332" s="33" t="s">
        <v>465</v>
      </c>
      <c r="N332" s="37" t="s">
        <v>5029</v>
      </c>
      <c r="O332" s="33" t="s">
        <v>5030</v>
      </c>
      <c r="P332" s="33" t="s">
        <v>5031</v>
      </c>
      <c r="Q332" s="33" t="s">
        <v>176</v>
      </c>
      <c r="R332" s="34"/>
      <c r="S332" s="38"/>
      <c r="T332" s="38" t="s">
        <v>12690</v>
      </c>
    </row>
    <row r="333" spans="1:20" x14ac:dyDescent="0.25">
      <c r="A333" s="33" t="s">
        <v>8260</v>
      </c>
      <c r="B333" s="33" t="s">
        <v>8259</v>
      </c>
      <c r="C333" s="33" t="s">
        <v>7972</v>
      </c>
      <c r="D333" s="34"/>
      <c r="E333" s="33">
        <v>2020</v>
      </c>
      <c r="F333" s="34"/>
      <c r="G333" s="34"/>
      <c r="H333" s="33" t="s">
        <v>8261</v>
      </c>
      <c r="I333" s="33" t="s">
        <v>12726</v>
      </c>
      <c r="J333" s="33">
        <v>2020</v>
      </c>
      <c r="K333" s="33">
        <v>9781119602507</v>
      </c>
      <c r="L333" s="36"/>
      <c r="M333" s="34"/>
      <c r="N333" s="37" t="s">
        <v>8263</v>
      </c>
      <c r="O333" s="33" t="s">
        <v>8264</v>
      </c>
      <c r="P333" s="33" t="s">
        <v>8265</v>
      </c>
      <c r="Q333" s="36"/>
      <c r="R333" s="36"/>
      <c r="S333" s="34"/>
      <c r="T333" s="38" t="s">
        <v>12688</v>
      </c>
    </row>
    <row r="334" spans="1:20" x14ac:dyDescent="0.25">
      <c r="A334" s="33" t="s">
        <v>5763</v>
      </c>
      <c r="B334" s="33" t="s">
        <v>5762</v>
      </c>
      <c r="C334" s="33" t="s">
        <v>141</v>
      </c>
      <c r="D334" s="34"/>
      <c r="E334" s="33">
        <v>2016</v>
      </c>
      <c r="F334" s="45">
        <v>42370</v>
      </c>
      <c r="G334" s="34"/>
      <c r="H334" s="33" t="s">
        <v>5764</v>
      </c>
      <c r="I334" s="33" t="s">
        <v>257</v>
      </c>
      <c r="J334" s="33">
        <v>2016</v>
      </c>
      <c r="K334" s="33">
        <v>9781509018550</v>
      </c>
      <c r="L334" s="34"/>
      <c r="M334" s="34"/>
      <c r="N334" s="37" t="s">
        <v>5765</v>
      </c>
      <c r="O334" s="33" t="s">
        <v>5766</v>
      </c>
      <c r="P334" s="33" t="s">
        <v>5767</v>
      </c>
      <c r="Q334" s="33" t="s">
        <v>5768</v>
      </c>
      <c r="R334" s="34"/>
      <c r="S334" s="38"/>
      <c r="T334" s="38" t="s">
        <v>12690</v>
      </c>
    </row>
    <row r="335" spans="1:20" x14ac:dyDescent="0.25">
      <c r="A335" s="33" t="s">
        <v>7799</v>
      </c>
      <c r="B335" s="33" t="s">
        <v>7798</v>
      </c>
      <c r="C335" s="33" t="s">
        <v>141</v>
      </c>
      <c r="D335" s="34"/>
      <c r="E335" s="33">
        <v>2021</v>
      </c>
      <c r="F335" s="34"/>
      <c r="G335" s="34"/>
      <c r="H335" s="33" t="s">
        <v>7800</v>
      </c>
      <c r="I335" s="33" t="s">
        <v>6329</v>
      </c>
      <c r="J335" s="43">
        <v>44317</v>
      </c>
      <c r="K335" s="36"/>
      <c r="L335" s="36"/>
      <c r="M335" s="33" t="s">
        <v>6152</v>
      </c>
      <c r="N335" s="37" t="s">
        <v>7801</v>
      </c>
      <c r="O335" s="33" t="s">
        <v>7802</v>
      </c>
      <c r="P335" s="33" t="s">
        <v>7803</v>
      </c>
      <c r="Q335" s="36"/>
      <c r="R335" s="36"/>
      <c r="S335" s="33" t="s">
        <v>7804</v>
      </c>
      <c r="T335" s="38" t="s">
        <v>12688</v>
      </c>
    </row>
    <row r="336" spans="1:20" x14ac:dyDescent="0.25">
      <c r="A336" s="33" t="s">
        <v>1406</v>
      </c>
      <c r="B336" s="33" t="s">
        <v>1405</v>
      </c>
      <c r="C336" s="33" t="s">
        <v>13</v>
      </c>
      <c r="D336" s="33" t="s">
        <v>209</v>
      </c>
      <c r="E336" s="33">
        <v>2022</v>
      </c>
      <c r="F336" s="33" t="s">
        <v>1014</v>
      </c>
      <c r="G336" s="34"/>
      <c r="H336" s="33" t="s">
        <v>1407</v>
      </c>
      <c r="I336" s="33" t="s">
        <v>212</v>
      </c>
      <c r="J336" s="33">
        <v>2022</v>
      </c>
      <c r="K336" s="34"/>
      <c r="L336" s="34"/>
      <c r="M336" s="33" t="s">
        <v>213</v>
      </c>
      <c r="N336" s="37" t="s">
        <v>1408</v>
      </c>
      <c r="O336" s="33" t="s">
        <v>1409</v>
      </c>
      <c r="P336" s="33" t="s">
        <v>1410</v>
      </c>
      <c r="Q336" s="33" t="s">
        <v>157</v>
      </c>
      <c r="R336" s="34"/>
      <c r="S336" s="38"/>
      <c r="T336" s="38" t="s">
        <v>12690</v>
      </c>
    </row>
    <row r="337" spans="1:20" x14ac:dyDescent="0.25">
      <c r="A337" s="39" t="s">
        <v>9363</v>
      </c>
      <c r="B337" s="39" t="s">
        <v>9365</v>
      </c>
      <c r="C337" s="39" t="s">
        <v>539</v>
      </c>
      <c r="D337" s="36"/>
      <c r="E337" s="39">
        <v>2022</v>
      </c>
      <c r="F337" s="40"/>
      <c r="G337" s="40"/>
      <c r="H337" s="36"/>
      <c r="I337" s="39" t="s">
        <v>9362</v>
      </c>
      <c r="J337" s="36"/>
      <c r="K337" s="36"/>
      <c r="L337" s="36"/>
      <c r="M337" s="34"/>
      <c r="N337" s="41" t="s">
        <v>9366</v>
      </c>
      <c r="O337" s="39" t="s">
        <v>9364</v>
      </c>
      <c r="P337" s="33"/>
      <c r="Q337" s="36"/>
      <c r="R337" s="34"/>
      <c r="S337" s="38"/>
      <c r="T337" s="38" t="s">
        <v>12689</v>
      </c>
    </row>
    <row r="338" spans="1:20" x14ac:dyDescent="0.25">
      <c r="A338" s="33" t="s">
        <v>3016</v>
      </c>
      <c r="B338" s="33" t="s">
        <v>3015</v>
      </c>
      <c r="C338" s="33" t="s">
        <v>13</v>
      </c>
      <c r="D338" s="33" t="s">
        <v>3017</v>
      </c>
      <c r="E338" s="33">
        <v>2020</v>
      </c>
      <c r="F338" s="33">
        <v>15</v>
      </c>
      <c r="G338" s="33">
        <v>3</v>
      </c>
      <c r="H338" s="33" t="s">
        <v>2196</v>
      </c>
      <c r="I338" s="33" t="s">
        <v>757</v>
      </c>
      <c r="J338" s="33">
        <v>2020</v>
      </c>
      <c r="K338" s="34"/>
      <c r="L338" s="34"/>
      <c r="M338" s="33" t="s">
        <v>3018</v>
      </c>
      <c r="N338" s="37" t="s">
        <v>3019</v>
      </c>
      <c r="O338" s="33" t="s">
        <v>3020</v>
      </c>
      <c r="P338" s="33" t="s">
        <v>3021</v>
      </c>
      <c r="Q338" s="33" t="s">
        <v>176</v>
      </c>
      <c r="R338" s="34"/>
      <c r="S338" s="38"/>
      <c r="T338" s="38" t="s">
        <v>12690</v>
      </c>
    </row>
    <row r="339" spans="1:20" x14ac:dyDescent="0.25">
      <c r="A339" s="33" t="s">
        <v>4985</v>
      </c>
      <c r="B339" s="33" t="s">
        <v>4984</v>
      </c>
      <c r="C339" s="33" t="s">
        <v>13</v>
      </c>
      <c r="D339" s="33" t="s">
        <v>209</v>
      </c>
      <c r="E339" s="33">
        <v>2020</v>
      </c>
      <c r="F339" s="33" t="s">
        <v>4986</v>
      </c>
      <c r="G339" s="34"/>
      <c r="H339" s="33" t="s">
        <v>4987</v>
      </c>
      <c r="I339" s="33" t="s">
        <v>137</v>
      </c>
      <c r="J339" s="33">
        <v>2020</v>
      </c>
      <c r="K339" s="34"/>
      <c r="L339" s="34"/>
      <c r="M339" s="33" t="s">
        <v>213</v>
      </c>
      <c r="N339" s="37" t="s">
        <v>4988</v>
      </c>
      <c r="O339" s="33" t="s">
        <v>4989</v>
      </c>
      <c r="P339" s="33" t="s">
        <v>4990</v>
      </c>
      <c r="Q339" s="33" t="s">
        <v>818</v>
      </c>
      <c r="R339" s="34"/>
      <c r="S339" s="38"/>
      <c r="T339" s="38" t="s">
        <v>12690</v>
      </c>
    </row>
    <row r="340" spans="1:20" x14ac:dyDescent="0.25">
      <c r="A340" s="39" t="s">
        <v>4985</v>
      </c>
      <c r="B340" s="39" t="s">
        <v>10225</v>
      </c>
      <c r="C340" s="39" t="s">
        <v>9539</v>
      </c>
      <c r="D340" s="36"/>
      <c r="E340" s="39">
        <v>2020</v>
      </c>
      <c r="F340" s="40"/>
      <c r="G340" s="40"/>
      <c r="H340" s="36"/>
      <c r="I340" s="39" t="s">
        <v>1637</v>
      </c>
      <c r="J340" s="36"/>
      <c r="K340" s="36"/>
      <c r="L340" s="36"/>
      <c r="M340" s="34"/>
      <c r="N340" s="41" t="s">
        <v>10226</v>
      </c>
      <c r="O340" s="39" t="s">
        <v>4989</v>
      </c>
      <c r="P340" s="33"/>
      <c r="Q340" s="36"/>
      <c r="R340" s="34"/>
      <c r="S340" s="38"/>
      <c r="T340" s="38" t="s">
        <v>12689</v>
      </c>
    </row>
    <row r="341" spans="1:20" x14ac:dyDescent="0.25">
      <c r="A341" s="33" t="s">
        <v>1312</v>
      </c>
      <c r="B341" s="33" t="s">
        <v>1311</v>
      </c>
      <c r="C341" s="33" t="s">
        <v>13</v>
      </c>
      <c r="D341" s="33" t="s">
        <v>328</v>
      </c>
      <c r="E341" s="33">
        <v>2022</v>
      </c>
      <c r="F341" s="33">
        <v>31</v>
      </c>
      <c r="G341" s="33">
        <v>3</v>
      </c>
      <c r="H341" s="34"/>
      <c r="I341" s="33" t="s">
        <v>145</v>
      </c>
      <c r="J341" s="33">
        <v>2022</v>
      </c>
      <c r="K341" s="34"/>
      <c r="L341" s="34"/>
      <c r="M341" s="33" t="s">
        <v>329</v>
      </c>
      <c r="N341" s="37" t="s">
        <v>1313</v>
      </c>
      <c r="O341" s="33" t="s">
        <v>1314</v>
      </c>
      <c r="P341" s="33" t="s">
        <v>1315</v>
      </c>
      <c r="Q341" s="33" t="s">
        <v>289</v>
      </c>
      <c r="R341" s="34"/>
      <c r="S341" s="38"/>
      <c r="T341" s="38" t="s">
        <v>12690</v>
      </c>
    </row>
    <row r="342" spans="1:20" x14ac:dyDescent="0.25">
      <c r="A342" s="33" t="s">
        <v>1502</v>
      </c>
      <c r="B342" s="33" t="s">
        <v>1501</v>
      </c>
      <c r="C342" s="33" t="s">
        <v>13</v>
      </c>
      <c r="D342" s="33" t="s">
        <v>1503</v>
      </c>
      <c r="E342" s="33">
        <v>2021</v>
      </c>
      <c r="F342" s="33">
        <v>15</v>
      </c>
      <c r="G342" s="33">
        <v>3</v>
      </c>
      <c r="H342" s="34"/>
      <c r="I342" s="33" t="s">
        <v>145</v>
      </c>
      <c r="J342" s="33">
        <v>2021</v>
      </c>
      <c r="K342" s="34"/>
      <c r="L342" s="34"/>
      <c r="M342" s="33" t="s">
        <v>1504</v>
      </c>
      <c r="N342" s="37" t="s">
        <v>1505</v>
      </c>
      <c r="O342" s="33" t="s">
        <v>1506</v>
      </c>
      <c r="P342" s="33" t="s">
        <v>1507</v>
      </c>
      <c r="Q342" s="33" t="s">
        <v>1508</v>
      </c>
      <c r="R342" s="34"/>
      <c r="S342" s="38"/>
      <c r="T342" s="38" t="s">
        <v>12690</v>
      </c>
    </row>
    <row r="343" spans="1:20" x14ac:dyDescent="0.25">
      <c r="A343" s="33" t="s">
        <v>11537</v>
      </c>
      <c r="B343" s="33" t="s">
        <v>1501</v>
      </c>
      <c r="C343" s="33" t="s">
        <v>13</v>
      </c>
      <c r="D343" s="33" t="s">
        <v>11507</v>
      </c>
      <c r="E343" s="33">
        <v>2021</v>
      </c>
      <c r="F343" s="33">
        <v>15</v>
      </c>
      <c r="G343" s="33">
        <v>3</v>
      </c>
      <c r="H343" s="34"/>
      <c r="I343" s="44" t="s">
        <v>12710</v>
      </c>
      <c r="J343" s="43">
        <v>44409</v>
      </c>
      <c r="K343" s="34"/>
      <c r="L343" s="34"/>
      <c r="M343" s="33" t="s">
        <v>1504</v>
      </c>
      <c r="N343" s="37" t="s">
        <v>11538</v>
      </c>
      <c r="O343" s="33" t="s">
        <v>1506</v>
      </c>
      <c r="P343" s="33" t="s">
        <v>11539</v>
      </c>
      <c r="Q343" s="36"/>
      <c r="R343" s="36"/>
      <c r="S343" s="33" t="s">
        <v>11540</v>
      </c>
      <c r="T343" s="33" t="s">
        <v>12692</v>
      </c>
    </row>
    <row r="344" spans="1:20" x14ac:dyDescent="0.25">
      <c r="A344" s="39" t="s">
        <v>9550</v>
      </c>
      <c r="B344" s="39" t="s">
        <v>9551</v>
      </c>
      <c r="C344" s="39" t="s">
        <v>9539</v>
      </c>
      <c r="D344" s="36"/>
      <c r="E344" s="39">
        <v>2020</v>
      </c>
      <c r="F344" s="40"/>
      <c r="G344" s="40"/>
      <c r="H344" s="36"/>
      <c r="I344" s="39" t="s">
        <v>9286</v>
      </c>
      <c r="J344" s="36"/>
      <c r="K344" s="36"/>
      <c r="L344" s="36"/>
      <c r="M344" s="34"/>
      <c r="N344" s="41" t="s">
        <v>9552</v>
      </c>
      <c r="O344" s="39" t="s">
        <v>4515</v>
      </c>
      <c r="P344" s="33"/>
      <c r="Q344" s="36"/>
      <c r="R344" s="34"/>
      <c r="S344" s="38"/>
      <c r="T344" s="38" t="s">
        <v>12689</v>
      </c>
    </row>
    <row r="345" spans="1:20" x14ac:dyDescent="0.25">
      <c r="A345" s="39" t="s">
        <v>9550</v>
      </c>
      <c r="B345" s="33" t="s">
        <v>4511</v>
      </c>
      <c r="C345" s="33" t="s">
        <v>13</v>
      </c>
      <c r="D345" s="33" t="s">
        <v>462</v>
      </c>
      <c r="E345" s="33">
        <v>2020</v>
      </c>
      <c r="F345" s="33" t="s">
        <v>4115</v>
      </c>
      <c r="G345" s="34"/>
      <c r="H345" s="33" t="s">
        <v>4513</v>
      </c>
      <c r="I345" s="33" t="s">
        <v>212</v>
      </c>
      <c r="J345" s="33">
        <v>2020</v>
      </c>
      <c r="K345" s="34"/>
      <c r="L345" s="34"/>
      <c r="M345" s="33" t="s">
        <v>465</v>
      </c>
      <c r="N345" s="37" t="s">
        <v>4514</v>
      </c>
      <c r="O345" s="33" t="s">
        <v>4515</v>
      </c>
      <c r="P345" s="33" t="s">
        <v>4516</v>
      </c>
      <c r="Q345" s="33" t="s">
        <v>318</v>
      </c>
      <c r="R345" s="34"/>
      <c r="S345" s="38"/>
      <c r="T345" s="38" t="s">
        <v>12690</v>
      </c>
    </row>
    <row r="346" spans="1:20" x14ac:dyDescent="0.25">
      <c r="A346" s="33" t="s">
        <v>4482</v>
      </c>
      <c r="B346" s="33" t="s">
        <v>4481</v>
      </c>
      <c r="C346" s="33" t="s">
        <v>141</v>
      </c>
      <c r="D346" s="34"/>
      <c r="E346" s="33">
        <v>2019</v>
      </c>
      <c r="F346" s="34"/>
      <c r="G346" s="34"/>
      <c r="H346" s="33" t="s">
        <v>7542</v>
      </c>
      <c r="I346" s="33" t="s">
        <v>6960</v>
      </c>
      <c r="J346" s="43">
        <v>43525</v>
      </c>
      <c r="K346" s="36"/>
      <c r="L346" s="36"/>
      <c r="M346" s="34"/>
      <c r="N346" s="37" t="s">
        <v>7543</v>
      </c>
      <c r="O346" s="33" t="s">
        <v>4485</v>
      </c>
      <c r="P346" s="33" t="s">
        <v>7544</v>
      </c>
      <c r="Q346" s="36"/>
      <c r="R346" s="36"/>
      <c r="S346" s="33" t="s">
        <v>7545</v>
      </c>
      <c r="T346" s="38" t="s">
        <v>12688</v>
      </c>
    </row>
    <row r="347" spans="1:20" x14ac:dyDescent="0.25">
      <c r="A347" s="33" t="s">
        <v>4482</v>
      </c>
      <c r="B347" s="33" t="s">
        <v>4481</v>
      </c>
      <c r="C347" s="33" t="s">
        <v>141</v>
      </c>
      <c r="D347" s="34"/>
      <c r="E347" s="33">
        <v>2019</v>
      </c>
      <c r="F347" s="34"/>
      <c r="G347" s="34"/>
      <c r="H347" s="33" t="s">
        <v>4483</v>
      </c>
      <c r="I347" s="33" t="s">
        <v>257</v>
      </c>
      <c r="J347" s="33">
        <v>2019</v>
      </c>
      <c r="K347" s="33">
        <v>9781728118765</v>
      </c>
      <c r="L347" s="34"/>
      <c r="M347" s="34"/>
      <c r="N347" s="37" t="s">
        <v>4484</v>
      </c>
      <c r="O347" s="33" t="s">
        <v>4485</v>
      </c>
      <c r="P347" s="33" t="s">
        <v>4486</v>
      </c>
      <c r="Q347" s="33" t="s">
        <v>176</v>
      </c>
      <c r="R347" s="34"/>
      <c r="S347" s="38"/>
      <c r="T347" s="38" t="s">
        <v>12690</v>
      </c>
    </row>
    <row r="348" spans="1:20" x14ac:dyDescent="0.25">
      <c r="A348" s="33" t="s">
        <v>6778</v>
      </c>
      <c r="B348" s="33" t="s">
        <v>6777</v>
      </c>
      <c r="C348" s="33" t="s">
        <v>141</v>
      </c>
      <c r="D348" s="34"/>
      <c r="E348" s="33">
        <v>2019</v>
      </c>
      <c r="F348" s="34"/>
      <c r="G348" s="34"/>
      <c r="H348" s="33" t="s">
        <v>6779</v>
      </c>
      <c r="I348" s="33" t="s">
        <v>6780</v>
      </c>
      <c r="J348" s="35">
        <v>43800</v>
      </c>
      <c r="K348" s="36"/>
      <c r="L348" s="36"/>
      <c r="M348" s="34"/>
      <c r="N348" s="37" t="s">
        <v>6781</v>
      </c>
      <c r="O348" s="33" t="s">
        <v>6782</v>
      </c>
      <c r="P348" s="33" t="s">
        <v>6783</v>
      </c>
      <c r="Q348" s="36"/>
      <c r="R348" s="36"/>
      <c r="S348" s="33" t="s">
        <v>6784</v>
      </c>
      <c r="T348" s="38" t="s">
        <v>12688</v>
      </c>
    </row>
    <row r="349" spans="1:20" x14ac:dyDescent="0.25">
      <c r="A349" s="33" t="s">
        <v>12236</v>
      </c>
      <c r="B349" s="33" t="s">
        <v>12235</v>
      </c>
      <c r="C349" s="33" t="s">
        <v>141</v>
      </c>
      <c r="D349" s="34"/>
      <c r="E349" s="33">
        <v>2020</v>
      </c>
      <c r="F349" s="34"/>
      <c r="G349" s="34"/>
      <c r="H349" s="33" t="s">
        <v>12237</v>
      </c>
      <c r="I349" s="44" t="s">
        <v>12727</v>
      </c>
      <c r="J349" s="33">
        <v>2020</v>
      </c>
      <c r="K349" s="33">
        <v>9781450370431</v>
      </c>
      <c r="L349" s="33" t="s">
        <v>12092</v>
      </c>
      <c r="M349" s="34"/>
      <c r="N349" s="37" t="s">
        <v>12238</v>
      </c>
      <c r="O349" s="33" t="s">
        <v>12239</v>
      </c>
      <c r="P349" s="33" t="s">
        <v>12240</v>
      </c>
      <c r="Q349" s="36"/>
      <c r="R349" s="36"/>
      <c r="S349" s="33" t="s">
        <v>12241</v>
      </c>
      <c r="T349" s="33" t="s">
        <v>12692</v>
      </c>
    </row>
    <row r="350" spans="1:20" x14ac:dyDescent="0.25">
      <c r="A350" s="33" t="s">
        <v>7450</v>
      </c>
      <c r="B350" s="33" t="s">
        <v>7449</v>
      </c>
      <c r="C350" s="33" t="s">
        <v>141</v>
      </c>
      <c r="D350" s="34"/>
      <c r="E350" s="33">
        <v>2017</v>
      </c>
      <c r="F350" s="34"/>
      <c r="G350" s="34"/>
      <c r="H350" s="33" t="s">
        <v>7451</v>
      </c>
      <c r="I350" s="33" t="s">
        <v>7452</v>
      </c>
      <c r="J350" s="43">
        <v>42826</v>
      </c>
      <c r="K350" s="36"/>
      <c r="L350" s="36"/>
      <c r="M350" s="34"/>
      <c r="N350" s="37" t="s">
        <v>7453</v>
      </c>
      <c r="O350" s="33" t="s">
        <v>7454</v>
      </c>
      <c r="P350" s="33" t="s">
        <v>7455</v>
      </c>
      <c r="Q350" s="36"/>
      <c r="R350" s="36"/>
      <c r="S350" s="33" t="s">
        <v>7456</v>
      </c>
      <c r="T350" s="38" t="s">
        <v>12688</v>
      </c>
    </row>
    <row r="351" spans="1:20" x14ac:dyDescent="0.25">
      <c r="A351" s="33" t="s">
        <v>8542</v>
      </c>
      <c r="B351" s="33" t="s">
        <v>8541</v>
      </c>
      <c r="C351" s="33" t="s">
        <v>13</v>
      </c>
      <c r="D351" s="33" t="s">
        <v>307</v>
      </c>
      <c r="E351" s="33">
        <v>2021</v>
      </c>
      <c r="F351" s="33">
        <v>129</v>
      </c>
      <c r="G351" s="36"/>
      <c r="H351" s="33">
        <v>106435</v>
      </c>
      <c r="I351" s="36"/>
      <c r="J351" s="33">
        <v>2021</v>
      </c>
      <c r="K351" s="34"/>
      <c r="L351" s="34"/>
      <c r="M351" s="33" t="s">
        <v>308</v>
      </c>
      <c r="N351" s="37" t="s">
        <v>8543</v>
      </c>
      <c r="O351" s="33" t="s">
        <v>8544</v>
      </c>
      <c r="P351" s="33" t="s">
        <v>8545</v>
      </c>
      <c r="Q351" s="36"/>
      <c r="R351" s="36"/>
      <c r="S351" s="33" t="s">
        <v>8546</v>
      </c>
      <c r="T351" s="38" t="s">
        <v>12693</v>
      </c>
    </row>
    <row r="352" spans="1:20" x14ac:dyDescent="0.25">
      <c r="A352" s="33" t="s">
        <v>3739</v>
      </c>
      <c r="B352" s="33" t="s">
        <v>3738</v>
      </c>
      <c r="C352" s="33" t="s">
        <v>13</v>
      </c>
      <c r="D352" s="33" t="s">
        <v>1870</v>
      </c>
      <c r="E352" s="33">
        <v>2021</v>
      </c>
      <c r="F352" s="33">
        <v>407</v>
      </c>
      <c r="G352" s="34"/>
      <c r="H352" s="33" t="s">
        <v>3740</v>
      </c>
      <c r="I352" s="33" t="s">
        <v>212</v>
      </c>
      <c r="J352" s="33">
        <v>2021</v>
      </c>
      <c r="K352" s="34"/>
      <c r="L352" s="34"/>
      <c r="M352" s="33" t="s">
        <v>1873</v>
      </c>
      <c r="N352" s="37" t="s">
        <v>3741</v>
      </c>
      <c r="O352" s="33" t="s">
        <v>3742</v>
      </c>
      <c r="P352" s="33" t="s">
        <v>3743</v>
      </c>
      <c r="Q352" s="33" t="s">
        <v>185</v>
      </c>
      <c r="R352" s="34"/>
      <c r="S352" s="38"/>
      <c r="T352" s="38" t="s">
        <v>12690</v>
      </c>
    </row>
    <row r="353" spans="1:20" x14ac:dyDescent="0.25">
      <c r="A353" s="39" t="s">
        <v>10190</v>
      </c>
      <c r="B353" s="39" t="s">
        <v>10192</v>
      </c>
      <c r="C353" s="39" t="s">
        <v>539</v>
      </c>
      <c r="D353" s="36"/>
      <c r="E353" s="39">
        <v>2021</v>
      </c>
      <c r="F353" s="40"/>
      <c r="G353" s="40"/>
      <c r="H353" s="36"/>
      <c r="I353" s="39" t="s">
        <v>9648</v>
      </c>
      <c r="J353" s="36"/>
      <c r="K353" s="36"/>
      <c r="L353" s="36"/>
      <c r="M353" s="34"/>
      <c r="N353" s="41" t="s">
        <v>10193</v>
      </c>
      <c r="O353" s="39" t="s">
        <v>10191</v>
      </c>
      <c r="P353" s="33"/>
      <c r="Q353" s="36"/>
      <c r="R353" s="34"/>
      <c r="S353" s="38"/>
      <c r="T353" s="38" t="s">
        <v>12689</v>
      </c>
    </row>
    <row r="354" spans="1:20" x14ac:dyDescent="0.25">
      <c r="A354" s="33" t="s">
        <v>7283</v>
      </c>
      <c r="B354" s="33" t="s">
        <v>2888</v>
      </c>
      <c r="C354" s="33" t="s">
        <v>141</v>
      </c>
      <c r="D354" s="34"/>
      <c r="E354" s="33">
        <v>2021</v>
      </c>
      <c r="F354" s="34"/>
      <c r="G354" s="34"/>
      <c r="H354" s="33" t="s">
        <v>7284</v>
      </c>
      <c r="I354" s="33" t="s">
        <v>7285</v>
      </c>
      <c r="J354" s="43">
        <v>44256</v>
      </c>
      <c r="K354" s="36"/>
      <c r="L354" s="36"/>
      <c r="M354" s="34"/>
      <c r="N354" s="37" t="s">
        <v>7286</v>
      </c>
      <c r="O354" s="33" t="s">
        <v>2892</v>
      </c>
      <c r="P354" s="33" t="s">
        <v>7287</v>
      </c>
      <c r="Q354" s="36"/>
      <c r="R354" s="36"/>
      <c r="S354" s="33" t="s">
        <v>7288</v>
      </c>
      <c r="T354" s="38" t="s">
        <v>12688</v>
      </c>
    </row>
    <row r="355" spans="1:20" x14ac:dyDescent="0.25">
      <c r="A355" s="33" t="s">
        <v>7283</v>
      </c>
      <c r="B355" s="33" t="s">
        <v>2888</v>
      </c>
      <c r="C355" s="33" t="s">
        <v>141</v>
      </c>
      <c r="D355" s="34"/>
      <c r="E355" s="33">
        <v>2021</v>
      </c>
      <c r="F355" s="34"/>
      <c r="G355" s="34"/>
      <c r="H355" s="33" t="s">
        <v>2890</v>
      </c>
      <c r="I355" s="33" t="s">
        <v>257</v>
      </c>
      <c r="J355" s="33">
        <v>2021</v>
      </c>
      <c r="K355" s="33">
        <v>9781728162607</v>
      </c>
      <c r="L355" s="34"/>
      <c r="M355" s="34"/>
      <c r="N355" s="37" t="s">
        <v>2891</v>
      </c>
      <c r="O355" s="33" t="s">
        <v>2892</v>
      </c>
      <c r="P355" s="33" t="s">
        <v>2893</v>
      </c>
      <c r="Q355" s="33" t="s">
        <v>404</v>
      </c>
      <c r="R355" s="34"/>
      <c r="S355" s="38"/>
      <c r="T355" s="38" t="s">
        <v>12690</v>
      </c>
    </row>
    <row r="356" spans="1:20" x14ac:dyDescent="0.25">
      <c r="A356" s="33" t="s">
        <v>4830</v>
      </c>
      <c r="B356" s="33" t="s">
        <v>4829</v>
      </c>
      <c r="C356" s="33" t="s">
        <v>13</v>
      </c>
      <c r="D356" s="33" t="s">
        <v>462</v>
      </c>
      <c r="E356" s="33">
        <v>2020</v>
      </c>
      <c r="F356" s="33" t="s">
        <v>4831</v>
      </c>
      <c r="G356" s="34"/>
      <c r="H356" s="33" t="s">
        <v>4832</v>
      </c>
      <c r="I356" s="33" t="s">
        <v>212</v>
      </c>
      <c r="J356" s="33">
        <v>2020</v>
      </c>
      <c r="K356" s="34"/>
      <c r="L356" s="34"/>
      <c r="M356" s="33" t="s">
        <v>465</v>
      </c>
      <c r="N356" s="37" t="s">
        <v>4833</v>
      </c>
      <c r="O356" s="33" t="s">
        <v>4834</v>
      </c>
      <c r="P356" s="33" t="s">
        <v>4835</v>
      </c>
      <c r="Q356" s="33" t="s">
        <v>157</v>
      </c>
      <c r="R356" s="34"/>
      <c r="S356" s="38"/>
      <c r="T356" s="38" t="s">
        <v>12690</v>
      </c>
    </row>
    <row r="357" spans="1:20" x14ac:dyDescent="0.25">
      <c r="A357" s="33" t="s">
        <v>2314</v>
      </c>
      <c r="B357" s="33" t="s">
        <v>2313</v>
      </c>
      <c r="C357" s="33" t="s">
        <v>141</v>
      </c>
      <c r="D357" s="34"/>
      <c r="E357" s="33">
        <v>2022</v>
      </c>
      <c r="F357" s="34"/>
      <c r="G357" s="34"/>
      <c r="H357" s="33" t="s">
        <v>6847</v>
      </c>
      <c r="I357" s="33" t="s">
        <v>6848</v>
      </c>
      <c r="J357" s="43">
        <v>44621</v>
      </c>
      <c r="K357" s="36"/>
      <c r="L357" s="36"/>
      <c r="M357" s="34"/>
      <c r="N357" s="37" t="s">
        <v>6849</v>
      </c>
      <c r="O357" s="33" t="s">
        <v>2316</v>
      </c>
      <c r="P357" s="33" t="s">
        <v>6850</v>
      </c>
      <c r="Q357" s="36"/>
      <c r="R357" s="36"/>
      <c r="S357" s="33" t="s">
        <v>6851</v>
      </c>
      <c r="T357" s="38" t="s">
        <v>12688</v>
      </c>
    </row>
    <row r="358" spans="1:20" x14ac:dyDescent="0.25">
      <c r="A358" s="33" t="s">
        <v>2314</v>
      </c>
      <c r="B358" s="33" t="s">
        <v>2313</v>
      </c>
      <c r="C358" s="33" t="s">
        <v>141</v>
      </c>
      <c r="D358" s="34"/>
      <c r="E358" s="33">
        <v>2022</v>
      </c>
      <c r="F358" s="34"/>
      <c r="G358" s="34"/>
      <c r="H358" s="33" t="s">
        <v>1587</v>
      </c>
      <c r="I358" s="33" t="s">
        <v>257</v>
      </c>
      <c r="J358" s="33">
        <v>2022</v>
      </c>
      <c r="K358" s="33">
        <v>9781665417280</v>
      </c>
      <c r="L358" s="34"/>
      <c r="M358" s="34"/>
      <c r="N358" s="37" t="s">
        <v>2315</v>
      </c>
      <c r="O358" s="33" t="s">
        <v>2316</v>
      </c>
      <c r="P358" s="33" t="s">
        <v>2317</v>
      </c>
      <c r="Q358" s="33" t="s">
        <v>157</v>
      </c>
      <c r="R358" s="34"/>
      <c r="S358" s="38"/>
      <c r="T358" s="38" t="s">
        <v>12690</v>
      </c>
    </row>
    <row r="359" spans="1:20" x14ac:dyDescent="0.25">
      <c r="A359" s="33" t="s">
        <v>7407</v>
      </c>
      <c r="B359" s="33" t="s">
        <v>2313</v>
      </c>
      <c r="C359" s="33" t="s">
        <v>13</v>
      </c>
      <c r="D359" s="33" t="s">
        <v>532</v>
      </c>
      <c r="E359" s="33">
        <v>2022</v>
      </c>
      <c r="F359" s="33">
        <v>55</v>
      </c>
      <c r="G359" s="33">
        <v>3</v>
      </c>
      <c r="H359" s="33" t="s">
        <v>7408</v>
      </c>
      <c r="I359" s="34"/>
      <c r="J359" s="43">
        <v>44621</v>
      </c>
      <c r="K359" s="36"/>
      <c r="L359" s="36"/>
      <c r="M359" s="33" t="s">
        <v>7409</v>
      </c>
      <c r="N359" s="37" t="s">
        <v>7410</v>
      </c>
      <c r="O359" s="33" t="s">
        <v>7411</v>
      </c>
      <c r="P359" s="33" t="s">
        <v>7412</v>
      </c>
      <c r="Q359" s="36"/>
      <c r="R359" s="36"/>
      <c r="S359" s="33" t="s">
        <v>7413</v>
      </c>
      <c r="T359" s="38" t="s">
        <v>12688</v>
      </c>
    </row>
    <row r="360" spans="1:20" x14ac:dyDescent="0.25">
      <c r="A360" s="33" t="s">
        <v>2569</v>
      </c>
      <c r="B360" s="33" t="s">
        <v>2568</v>
      </c>
      <c r="C360" s="33" t="s">
        <v>13</v>
      </c>
      <c r="D360" s="33" t="s">
        <v>307</v>
      </c>
      <c r="E360" s="33">
        <v>2021</v>
      </c>
      <c r="F360" s="33">
        <v>139</v>
      </c>
      <c r="G360" s="34"/>
      <c r="H360" s="34"/>
      <c r="I360" s="33" t="s">
        <v>280</v>
      </c>
      <c r="J360" s="33">
        <v>2021</v>
      </c>
      <c r="K360" s="34"/>
      <c r="L360" s="34"/>
      <c r="M360" s="33" t="s">
        <v>308</v>
      </c>
      <c r="N360" s="37" t="s">
        <v>2570</v>
      </c>
      <c r="O360" s="33" t="s">
        <v>2571</v>
      </c>
      <c r="P360" s="33" t="s">
        <v>2572</v>
      </c>
      <c r="Q360" s="33" t="s">
        <v>2333</v>
      </c>
      <c r="R360" s="34"/>
      <c r="S360" s="38"/>
      <c r="T360" s="38" t="s">
        <v>12690</v>
      </c>
    </row>
    <row r="361" spans="1:20" x14ac:dyDescent="0.25">
      <c r="A361" s="33" t="s">
        <v>11699</v>
      </c>
      <c r="B361" s="33" t="s">
        <v>11698</v>
      </c>
      <c r="C361" s="33" t="s">
        <v>141</v>
      </c>
      <c r="D361" s="34"/>
      <c r="E361" s="33">
        <v>2019</v>
      </c>
      <c r="F361" s="34"/>
      <c r="G361" s="34"/>
      <c r="H361" s="33" t="s">
        <v>11700</v>
      </c>
      <c r="I361" s="44" t="s">
        <v>12707</v>
      </c>
      <c r="J361" s="33">
        <v>2019</v>
      </c>
      <c r="K361" s="34"/>
      <c r="L361" s="33" t="s">
        <v>11170</v>
      </c>
      <c r="M361" s="34"/>
      <c r="N361" s="37" t="s">
        <v>11701</v>
      </c>
      <c r="O361" s="33" t="s">
        <v>11702</v>
      </c>
      <c r="P361" s="33" t="s">
        <v>11703</v>
      </c>
      <c r="Q361" s="36"/>
      <c r="R361" s="36"/>
      <c r="S361" s="33" t="s">
        <v>11704</v>
      </c>
      <c r="T361" s="33" t="s">
        <v>12692</v>
      </c>
    </row>
    <row r="362" spans="1:20" x14ac:dyDescent="0.25">
      <c r="A362" s="33" t="s">
        <v>3011</v>
      </c>
      <c r="B362" s="33" t="s">
        <v>3010</v>
      </c>
      <c r="C362" s="33" t="s">
        <v>141</v>
      </c>
      <c r="D362" s="34"/>
      <c r="E362" s="33">
        <v>2021</v>
      </c>
      <c r="F362" s="33">
        <v>2963</v>
      </c>
      <c r="G362" s="34"/>
      <c r="H362" s="33" t="s">
        <v>3012</v>
      </c>
      <c r="I362" s="33" t="s">
        <v>613</v>
      </c>
      <c r="J362" s="33">
        <v>2021</v>
      </c>
      <c r="K362" s="34"/>
      <c r="L362" s="34"/>
      <c r="M362" s="33" t="s">
        <v>614</v>
      </c>
      <c r="N362" s="37" t="s">
        <v>3013</v>
      </c>
      <c r="O362" s="34"/>
      <c r="P362" s="33" t="s">
        <v>3014</v>
      </c>
      <c r="Q362" s="33" t="s">
        <v>157</v>
      </c>
      <c r="R362" s="34"/>
      <c r="S362" s="38"/>
      <c r="T362" s="38" t="s">
        <v>12690</v>
      </c>
    </row>
    <row r="363" spans="1:20" x14ac:dyDescent="0.25">
      <c r="A363" s="33" t="s">
        <v>7570</v>
      </c>
      <c r="B363" s="33" t="s">
        <v>7569</v>
      </c>
      <c r="C363" s="33" t="s">
        <v>13</v>
      </c>
      <c r="D363" s="33" t="s">
        <v>255</v>
      </c>
      <c r="E363" s="33">
        <v>2021</v>
      </c>
      <c r="F363" s="33">
        <v>47</v>
      </c>
      <c r="G363" s="33">
        <v>5</v>
      </c>
      <c r="H363" s="33" t="s">
        <v>7571</v>
      </c>
      <c r="I363" s="34"/>
      <c r="J363" s="43">
        <v>44317</v>
      </c>
      <c r="K363" s="36"/>
      <c r="L363" s="36"/>
      <c r="M363" s="33" t="s">
        <v>6115</v>
      </c>
      <c r="N363" s="37" t="s">
        <v>7572</v>
      </c>
      <c r="O363" s="33" t="s">
        <v>7573</v>
      </c>
      <c r="P363" s="33" t="s">
        <v>7574</v>
      </c>
      <c r="Q363" s="36"/>
      <c r="R363" s="36"/>
      <c r="S363" s="33" t="s">
        <v>7575</v>
      </c>
      <c r="T363" s="38" t="s">
        <v>12688</v>
      </c>
    </row>
    <row r="364" spans="1:20" x14ac:dyDescent="0.25">
      <c r="A364" s="39" t="s">
        <v>10463</v>
      </c>
      <c r="B364" s="39" t="s">
        <v>10465</v>
      </c>
      <c r="C364" s="39" t="s">
        <v>9478</v>
      </c>
      <c r="D364" s="36"/>
      <c r="E364" s="39">
        <v>2018</v>
      </c>
      <c r="F364" s="39">
        <v>23</v>
      </c>
      <c r="G364" s="39">
        <v>1</v>
      </c>
      <c r="H364" s="36"/>
      <c r="I364" s="39" t="s">
        <v>136</v>
      </c>
      <c r="J364" s="36"/>
      <c r="K364" s="36"/>
      <c r="L364" s="36"/>
      <c r="M364" s="34"/>
      <c r="N364" s="41" t="s">
        <v>10466</v>
      </c>
      <c r="O364" s="39" t="s">
        <v>10464</v>
      </c>
      <c r="P364" s="33"/>
      <c r="Q364" s="36"/>
      <c r="R364" s="34"/>
      <c r="S364" s="38"/>
      <c r="T364" s="38" t="s">
        <v>12689</v>
      </c>
    </row>
    <row r="365" spans="1:20" x14ac:dyDescent="0.25">
      <c r="A365" s="33" t="s">
        <v>2514</v>
      </c>
      <c r="B365" s="33" t="s">
        <v>2513</v>
      </c>
      <c r="C365" s="33" t="s">
        <v>13</v>
      </c>
      <c r="D365" s="33" t="s">
        <v>2515</v>
      </c>
      <c r="E365" s="33">
        <v>2021</v>
      </c>
      <c r="F365" s="33">
        <v>18</v>
      </c>
      <c r="G365" s="33">
        <v>3</v>
      </c>
      <c r="H365" s="33" t="s">
        <v>6495</v>
      </c>
      <c r="I365" s="34"/>
      <c r="J365" s="43">
        <v>44378</v>
      </c>
      <c r="K365" s="36"/>
      <c r="L365" s="36"/>
      <c r="M365" s="33" t="s">
        <v>6496</v>
      </c>
      <c r="N365" s="37" t="s">
        <v>6497</v>
      </c>
      <c r="O365" s="33" t="s">
        <v>2519</v>
      </c>
      <c r="P365" s="33" t="s">
        <v>6498</v>
      </c>
      <c r="Q365" s="36"/>
      <c r="R365" s="36"/>
      <c r="S365" s="33" t="s">
        <v>6499</v>
      </c>
      <c r="T365" s="38" t="s">
        <v>12688</v>
      </c>
    </row>
    <row r="366" spans="1:20" x14ac:dyDescent="0.25">
      <c r="A366" s="33" t="s">
        <v>2514</v>
      </c>
      <c r="B366" s="33" t="s">
        <v>2513</v>
      </c>
      <c r="C366" s="33" t="s">
        <v>13</v>
      </c>
      <c r="D366" s="33" t="s">
        <v>2515</v>
      </c>
      <c r="E366" s="33">
        <v>2021</v>
      </c>
      <c r="F366" s="33">
        <v>18</v>
      </c>
      <c r="G366" s="33">
        <v>3</v>
      </c>
      <c r="H366" s="33" t="s">
        <v>2516</v>
      </c>
      <c r="I366" s="33" t="s">
        <v>257</v>
      </c>
      <c r="J366" s="33">
        <v>2021</v>
      </c>
      <c r="K366" s="34"/>
      <c r="L366" s="34"/>
      <c r="M366" s="33" t="s">
        <v>2517</v>
      </c>
      <c r="N366" s="37" t="s">
        <v>2518</v>
      </c>
      <c r="O366" s="33" t="s">
        <v>2519</v>
      </c>
      <c r="P366" s="33" t="s">
        <v>2520</v>
      </c>
      <c r="Q366" s="33" t="s">
        <v>404</v>
      </c>
      <c r="R366" s="34"/>
      <c r="S366" s="38"/>
      <c r="T366" s="38" t="s">
        <v>12690</v>
      </c>
    </row>
    <row r="367" spans="1:20" x14ac:dyDescent="0.25">
      <c r="A367" s="33" t="s">
        <v>4011</v>
      </c>
      <c r="B367" s="33" t="s">
        <v>4010</v>
      </c>
      <c r="C367" s="33" t="s">
        <v>13</v>
      </c>
      <c r="D367" s="33" t="s">
        <v>354</v>
      </c>
      <c r="E367" s="33">
        <v>2019</v>
      </c>
      <c r="F367" s="33">
        <v>154</v>
      </c>
      <c r="G367" s="36"/>
      <c r="H367" s="33" t="s">
        <v>8847</v>
      </c>
      <c r="I367" s="36"/>
      <c r="J367" s="33">
        <v>2019</v>
      </c>
      <c r="K367" s="34"/>
      <c r="L367" s="34"/>
      <c r="M367" s="33" t="s">
        <v>65</v>
      </c>
      <c r="N367" s="37" t="s">
        <v>8848</v>
      </c>
      <c r="O367" s="33" t="s">
        <v>4014</v>
      </c>
      <c r="P367" s="33" t="s">
        <v>8849</v>
      </c>
      <c r="Q367" s="36"/>
      <c r="R367" s="36"/>
      <c r="S367" s="33" t="s">
        <v>8850</v>
      </c>
      <c r="T367" s="38" t="s">
        <v>12693</v>
      </c>
    </row>
    <row r="368" spans="1:20" x14ac:dyDescent="0.25">
      <c r="A368" s="33" t="s">
        <v>4011</v>
      </c>
      <c r="B368" s="33" t="s">
        <v>4010</v>
      </c>
      <c r="C368" s="33" t="s">
        <v>13</v>
      </c>
      <c r="D368" s="33" t="s">
        <v>354</v>
      </c>
      <c r="E368" s="33">
        <v>2019</v>
      </c>
      <c r="F368" s="33">
        <v>154</v>
      </c>
      <c r="G368" s="34"/>
      <c r="H368" s="33" t="s">
        <v>4012</v>
      </c>
      <c r="I368" s="33" t="s">
        <v>355</v>
      </c>
      <c r="J368" s="33">
        <v>2019</v>
      </c>
      <c r="K368" s="34"/>
      <c r="L368" s="34"/>
      <c r="M368" s="33" t="s">
        <v>65</v>
      </c>
      <c r="N368" s="37" t="s">
        <v>4013</v>
      </c>
      <c r="O368" s="33" t="s">
        <v>4014</v>
      </c>
      <c r="P368" s="33" t="s">
        <v>4015</v>
      </c>
      <c r="Q368" s="33" t="s">
        <v>4016</v>
      </c>
      <c r="R368" s="34"/>
      <c r="S368" s="38"/>
      <c r="T368" s="38" t="s">
        <v>12690</v>
      </c>
    </row>
    <row r="369" spans="1:20" x14ac:dyDescent="0.25">
      <c r="A369" s="33" t="s">
        <v>12512</v>
      </c>
      <c r="B369" s="33" t="s">
        <v>12511</v>
      </c>
      <c r="C369" s="33" t="s">
        <v>141</v>
      </c>
      <c r="D369" s="34"/>
      <c r="E369" s="33">
        <v>2018</v>
      </c>
      <c r="F369" s="34"/>
      <c r="G369" s="34"/>
      <c r="H369" s="34"/>
      <c r="I369" s="44" t="s">
        <v>12728</v>
      </c>
      <c r="J369" s="33">
        <v>2018</v>
      </c>
      <c r="K369" s="33">
        <v>9781450364225</v>
      </c>
      <c r="L369" s="33" t="s">
        <v>12519</v>
      </c>
      <c r="M369" s="34"/>
      <c r="N369" s="37" t="s">
        <v>12515</v>
      </c>
      <c r="O369" s="33" t="s">
        <v>12516</v>
      </c>
      <c r="P369" s="33" t="s">
        <v>12517</v>
      </c>
      <c r="Q369" s="36"/>
      <c r="R369" s="36"/>
      <c r="S369" s="33" t="s">
        <v>12518</v>
      </c>
      <c r="T369" s="33" t="s">
        <v>12692</v>
      </c>
    </row>
    <row r="370" spans="1:20" x14ac:dyDescent="0.25">
      <c r="A370" s="33" t="s">
        <v>5213</v>
      </c>
      <c r="B370" s="33" t="s">
        <v>5212</v>
      </c>
      <c r="C370" s="33" t="s">
        <v>141</v>
      </c>
      <c r="D370" s="34"/>
      <c r="E370" s="33">
        <v>2017</v>
      </c>
      <c r="F370" s="33">
        <v>11</v>
      </c>
      <c r="G370" s="34"/>
      <c r="H370" s="33" t="s">
        <v>5214</v>
      </c>
      <c r="I370" s="33" t="s">
        <v>145</v>
      </c>
      <c r="J370" s="33">
        <v>2017</v>
      </c>
      <c r="K370" s="34"/>
      <c r="L370" s="34"/>
      <c r="M370" s="33" t="s">
        <v>4235</v>
      </c>
      <c r="N370" s="37" t="s">
        <v>5215</v>
      </c>
      <c r="O370" s="33" t="s">
        <v>5216</v>
      </c>
      <c r="P370" s="33" t="s">
        <v>5217</v>
      </c>
      <c r="Q370" s="33" t="s">
        <v>2830</v>
      </c>
      <c r="R370" s="34"/>
      <c r="S370" s="38"/>
      <c r="T370" s="38" t="s">
        <v>12690</v>
      </c>
    </row>
    <row r="371" spans="1:20" x14ac:dyDescent="0.25">
      <c r="A371" s="33" t="s">
        <v>729</v>
      </c>
      <c r="B371" s="33" t="s">
        <v>728</v>
      </c>
      <c r="C371" s="33" t="s">
        <v>141</v>
      </c>
      <c r="D371" s="34"/>
      <c r="E371" s="33">
        <v>2022</v>
      </c>
      <c r="F371" s="34"/>
      <c r="G371" s="34"/>
      <c r="H371" s="33" t="s">
        <v>730</v>
      </c>
      <c r="I371" s="33" t="s">
        <v>153</v>
      </c>
      <c r="J371" s="33">
        <v>2022</v>
      </c>
      <c r="K371" s="33">
        <v>9781450394567</v>
      </c>
      <c r="L371" s="34"/>
      <c r="M371" s="34"/>
      <c r="N371" s="37" t="s">
        <v>731</v>
      </c>
      <c r="O371" s="33" t="s">
        <v>732</v>
      </c>
      <c r="P371" s="33" t="s">
        <v>733</v>
      </c>
      <c r="Q371" s="33" t="s">
        <v>404</v>
      </c>
      <c r="R371" s="34"/>
      <c r="S371" s="38"/>
      <c r="T371" s="38" t="s">
        <v>12690</v>
      </c>
    </row>
    <row r="372" spans="1:20" x14ac:dyDescent="0.25">
      <c r="A372" s="33" t="s">
        <v>5106</v>
      </c>
      <c r="B372" s="33" t="s">
        <v>5105</v>
      </c>
      <c r="C372" s="33" t="s">
        <v>141</v>
      </c>
      <c r="D372" s="34"/>
      <c r="E372" s="33">
        <v>2020</v>
      </c>
      <c r="F372" s="34"/>
      <c r="G372" s="34"/>
      <c r="H372" s="33" t="s">
        <v>5107</v>
      </c>
      <c r="I372" s="33" t="s">
        <v>257</v>
      </c>
      <c r="J372" s="33">
        <v>2020</v>
      </c>
      <c r="K372" s="33">
        <v>9781728151434</v>
      </c>
      <c r="L372" s="34"/>
      <c r="M372" s="34"/>
      <c r="N372" s="37" t="s">
        <v>5108</v>
      </c>
      <c r="O372" s="33" t="s">
        <v>5109</v>
      </c>
      <c r="P372" s="33" t="s">
        <v>5110</v>
      </c>
      <c r="Q372" s="33" t="s">
        <v>5111</v>
      </c>
      <c r="R372" s="34"/>
      <c r="S372" s="38"/>
      <c r="T372" s="38" t="s">
        <v>12690</v>
      </c>
    </row>
    <row r="373" spans="1:20" x14ac:dyDescent="0.25">
      <c r="A373" s="33" t="s">
        <v>12146</v>
      </c>
      <c r="B373" s="33" t="s">
        <v>993</v>
      </c>
      <c r="C373" s="33" t="s">
        <v>141</v>
      </c>
      <c r="D373" s="34"/>
      <c r="E373" s="33">
        <v>2022</v>
      </c>
      <c r="F373" s="34"/>
      <c r="G373" s="34"/>
      <c r="H373" s="33" t="s">
        <v>12147</v>
      </c>
      <c r="I373" s="44" t="s">
        <v>12691</v>
      </c>
      <c r="J373" s="33">
        <v>2022</v>
      </c>
      <c r="K373" s="33">
        <v>9781450394130</v>
      </c>
      <c r="L373" s="33" t="s">
        <v>11118</v>
      </c>
      <c r="M373" s="34"/>
      <c r="N373" s="37" t="s">
        <v>12148</v>
      </c>
      <c r="O373" s="33" t="s">
        <v>997</v>
      </c>
      <c r="P373" s="33" t="s">
        <v>12149</v>
      </c>
      <c r="Q373" s="36"/>
      <c r="R373" s="36"/>
      <c r="S373" s="33" t="s">
        <v>12150</v>
      </c>
      <c r="T373" s="33" t="s">
        <v>12692</v>
      </c>
    </row>
    <row r="374" spans="1:20" x14ac:dyDescent="0.25">
      <c r="A374" s="33" t="s">
        <v>12146</v>
      </c>
      <c r="B374" s="33" t="s">
        <v>993</v>
      </c>
      <c r="C374" s="33" t="s">
        <v>141</v>
      </c>
      <c r="D374" s="34"/>
      <c r="E374" s="33">
        <v>2022</v>
      </c>
      <c r="F374" s="34"/>
      <c r="G374" s="34"/>
      <c r="H374" s="33" t="s">
        <v>995</v>
      </c>
      <c r="I374" s="33" t="s">
        <v>153</v>
      </c>
      <c r="J374" s="33">
        <v>2022</v>
      </c>
      <c r="K374" s="33">
        <v>9781450394130</v>
      </c>
      <c r="L374" s="34"/>
      <c r="M374" s="34"/>
      <c r="N374" s="37" t="s">
        <v>996</v>
      </c>
      <c r="O374" s="33" t="s">
        <v>997</v>
      </c>
      <c r="P374" s="33" t="s">
        <v>998</v>
      </c>
      <c r="Q374" s="33" t="s">
        <v>999</v>
      </c>
      <c r="R374" s="34"/>
      <c r="S374" s="38"/>
      <c r="T374" s="38" t="s">
        <v>12690</v>
      </c>
    </row>
    <row r="375" spans="1:20" x14ac:dyDescent="0.25">
      <c r="A375" s="33" t="s">
        <v>5314</v>
      </c>
      <c r="B375" s="33" t="s">
        <v>5313</v>
      </c>
      <c r="C375" s="33" t="s">
        <v>13</v>
      </c>
      <c r="D375" s="33" t="s">
        <v>307</v>
      </c>
      <c r="E375" s="33">
        <v>2018</v>
      </c>
      <c r="F375" s="33">
        <v>93</v>
      </c>
      <c r="G375" s="34"/>
      <c r="H375" s="33" t="s">
        <v>5315</v>
      </c>
      <c r="I375" s="33" t="s">
        <v>280</v>
      </c>
      <c r="J375" s="33">
        <v>2018</v>
      </c>
      <c r="K375" s="34"/>
      <c r="L375" s="34"/>
      <c r="M375" s="33" t="s">
        <v>308</v>
      </c>
      <c r="N375" s="37" t="s">
        <v>5316</v>
      </c>
      <c r="O375" s="33" t="s">
        <v>5317</v>
      </c>
      <c r="P375" s="33" t="s">
        <v>5318</v>
      </c>
      <c r="Q375" s="33" t="s">
        <v>3266</v>
      </c>
      <c r="R375" s="34"/>
      <c r="S375" s="38"/>
      <c r="T375" s="38" t="s">
        <v>12690</v>
      </c>
    </row>
    <row r="376" spans="1:20" x14ac:dyDescent="0.25">
      <c r="A376" s="33" t="s">
        <v>12676</v>
      </c>
      <c r="B376" s="34"/>
      <c r="C376" s="33" t="s">
        <v>539</v>
      </c>
      <c r="D376" s="34"/>
      <c r="E376" s="33">
        <v>2022</v>
      </c>
      <c r="F376" s="34"/>
      <c r="G376" s="34"/>
      <c r="H376" s="34"/>
      <c r="I376" s="44" t="s">
        <v>12710</v>
      </c>
      <c r="J376" s="33">
        <v>2022</v>
      </c>
      <c r="K376" s="33">
        <v>9781450396707</v>
      </c>
      <c r="L376" s="34"/>
      <c r="M376" s="34"/>
      <c r="N376" s="34"/>
      <c r="O376" s="34"/>
      <c r="P376" s="34"/>
      <c r="Q376" s="36"/>
      <c r="R376" s="36"/>
      <c r="S376" s="34"/>
      <c r="T376" s="33" t="s">
        <v>12692</v>
      </c>
    </row>
    <row r="377" spans="1:20" x14ac:dyDescent="0.25">
      <c r="A377" s="39" t="s">
        <v>9880</v>
      </c>
      <c r="B377" s="39" t="s">
        <v>9882</v>
      </c>
      <c r="C377" s="39" t="s">
        <v>539</v>
      </c>
      <c r="D377" s="36"/>
      <c r="E377" s="39">
        <v>2022</v>
      </c>
      <c r="F377" s="40"/>
      <c r="G377" s="40"/>
      <c r="H377" s="36"/>
      <c r="I377" s="39" t="s">
        <v>9879</v>
      </c>
      <c r="J377" s="36"/>
      <c r="K377" s="36"/>
      <c r="L377" s="36"/>
      <c r="M377" s="34"/>
      <c r="N377" s="41" t="s">
        <v>9883</v>
      </c>
      <c r="O377" s="39" t="s">
        <v>9881</v>
      </c>
      <c r="P377" s="33"/>
      <c r="Q377" s="36"/>
      <c r="R377" s="34"/>
      <c r="S377" s="38"/>
      <c r="T377" s="38" t="s">
        <v>12689</v>
      </c>
    </row>
    <row r="378" spans="1:20" x14ac:dyDescent="0.25">
      <c r="A378" s="33" t="s">
        <v>1916</v>
      </c>
      <c r="B378" s="33" t="s">
        <v>1915</v>
      </c>
      <c r="C378" s="33" t="s">
        <v>141</v>
      </c>
      <c r="D378" s="34"/>
      <c r="E378" s="33">
        <v>2021</v>
      </c>
      <c r="F378" s="34"/>
      <c r="G378" s="34"/>
      <c r="H378" s="33" t="s">
        <v>1917</v>
      </c>
      <c r="I378" s="33" t="s">
        <v>153</v>
      </c>
      <c r="J378" s="33">
        <v>2021</v>
      </c>
      <c r="K378" s="33">
        <v>9781450391122</v>
      </c>
      <c r="L378" s="34"/>
      <c r="M378" s="34"/>
      <c r="N378" s="37" t="s">
        <v>1918</v>
      </c>
      <c r="O378" s="33" t="s">
        <v>1919</v>
      </c>
      <c r="P378" s="33" t="s">
        <v>1920</v>
      </c>
      <c r="Q378" s="33" t="s">
        <v>1813</v>
      </c>
      <c r="R378" s="34"/>
      <c r="S378" s="38"/>
      <c r="T378" s="38" t="s">
        <v>12690</v>
      </c>
    </row>
    <row r="379" spans="1:20" x14ac:dyDescent="0.25">
      <c r="A379" s="33" t="s">
        <v>4629</v>
      </c>
      <c r="B379" s="33" t="s">
        <v>4628</v>
      </c>
      <c r="C379" s="33" t="s">
        <v>141</v>
      </c>
      <c r="D379" s="34"/>
      <c r="E379" s="33">
        <v>2018</v>
      </c>
      <c r="F379" s="34"/>
      <c r="G379" s="34"/>
      <c r="H379" s="33" t="s">
        <v>7874</v>
      </c>
      <c r="I379" s="33" t="s">
        <v>7875</v>
      </c>
      <c r="J379" s="35">
        <v>43435</v>
      </c>
      <c r="K379" s="36"/>
      <c r="L379" s="36"/>
      <c r="M379" s="34"/>
      <c r="N379" s="37" t="s">
        <v>7876</v>
      </c>
      <c r="O379" s="33" t="s">
        <v>4632</v>
      </c>
      <c r="P379" s="33" t="s">
        <v>7877</v>
      </c>
      <c r="Q379" s="36"/>
      <c r="R379" s="36"/>
      <c r="S379" s="33" t="s">
        <v>7878</v>
      </c>
      <c r="T379" s="38" t="s">
        <v>12688</v>
      </c>
    </row>
    <row r="380" spans="1:20" x14ac:dyDescent="0.25">
      <c r="A380" s="33" t="s">
        <v>4629</v>
      </c>
      <c r="B380" s="33" t="s">
        <v>4628</v>
      </c>
      <c r="C380" s="33" t="s">
        <v>141</v>
      </c>
      <c r="D380" s="34"/>
      <c r="E380" s="33">
        <v>2019</v>
      </c>
      <c r="F380" s="34"/>
      <c r="G380" s="34"/>
      <c r="H380" s="33" t="s">
        <v>4630</v>
      </c>
      <c r="I380" s="33" t="s">
        <v>257</v>
      </c>
      <c r="J380" s="33">
        <v>2019</v>
      </c>
      <c r="K380" s="33">
        <v>9781538650356</v>
      </c>
      <c r="L380" s="34"/>
      <c r="M380" s="34"/>
      <c r="N380" s="37" t="s">
        <v>4631</v>
      </c>
      <c r="O380" s="33" t="s">
        <v>4632</v>
      </c>
      <c r="P380" s="33" t="s">
        <v>4633</v>
      </c>
      <c r="Q380" s="33" t="s">
        <v>4634</v>
      </c>
      <c r="R380" s="34"/>
      <c r="S380" s="38"/>
      <c r="T380" s="38" t="s">
        <v>12690</v>
      </c>
    </row>
    <row r="381" spans="1:20" x14ac:dyDescent="0.25">
      <c r="A381" s="39" t="s">
        <v>10152</v>
      </c>
      <c r="B381" s="39" t="s">
        <v>10154</v>
      </c>
      <c r="C381" s="39" t="s">
        <v>9539</v>
      </c>
      <c r="D381" s="36"/>
      <c r="E381" s="39">
        <v>2022</v>
      </c>
      <c r="F381" s="40"/>
      <c r="G381" s="40"/>
      <c r="H381" s="36"/>
      <c r="I381" s="39" t="s">
        <v>9875</v>
      </c>
      <c r="J381" s="36"/>
      <c r="K381" s="36"/>
      <c r="L381" s="36"/>
      <c r="M381" s="34"/>
      <c r="N381" s="41" t="s">
        <v>10155</v>
      </c>
      <c r="O381" s="39" t="s">
        <v>10153</v>
      </c>
      <c r="P381" s="33"/>
      <c r="Q381" s="36"/>
      <c r="R381" s="34"/>
      <c r="S381" s="38"/>
      <c r="T381" s="38" t="s">
        <v>12689</v>
      </c>
    </row>
    <row r="382" spans="1:20" x14ac:dyDescent="0.25">
      <c r="A382" s="39" t="s">
        <v>9875</v>
      </c>
      <c r="B382" s="39" t="s">
        <v>9877</v>
      </c>
      <c r="C382" s="39" t="s">
        <v>539</v>
      </c>
      <c r="D382" s="36"/>
      <c r="E382" s="39">
        <v>2022</v>
      </c>
      <c r="F382" s="40"/>
      <c r="G382" s="40"/>
      <c r="H382" s="36"/>
      <c r="I382" s="40"/>
      <c r="J382" s="36"/>
      <c r="K382" s="36"/>
      <c r="L382" s="36"/>
      <c r="M382" s="34"/>
      <c r="N382" s="41" t="s">
        <v>9878</v>
      </c>
      <c r="O382" s="39" t="s">
        <v>9876</v>
      </c>
      <c r="P382" s="33"/>
      <c r="Q382" s="36"/>
      <c r="R382" s="34"/>
      <c r="S382" s="38"/>
      <c r="T382" s="38" t="s">
        <v>12689</v>
      </c>
    </row>
    <row r="383" spans="1:20" x14ac:dyDescent="0.25">
      <c r="A383" s="33" t="s">
        <v>4898</v>
      </c>
      <c r="B383" s="33" t="s">
        <v>4897</v>
      </c>
      <c r="C383" s="33" t="s">
        <v>13</v>
      </c>
      <c r="D383" s="33" t="s">
        <v>890</v>
      </c>
      <c r="E383" s="33">
        <v>2020</v>
      </c>
      <c r="F383" s="33">
        <v>2</v>
      </c>
      <c r="G383" s="34"/>
      <c r="H383" s="34"/>
      <c r="I383" s="33" t="s">
        <v>891</v>
      </c>
      <c r="J383" s="33">
        <v>2020</v>
      </c>
      <c r="K383" s="34"/>
      <c r="L383" s="34"/>
      <c r="M383" s="33" t="s">
        <v>892</v>
      </c>
      <c r="N383" s="37" t="s">
        <v>4899</v>
      </c>
      <c r="O383" s="33" t="s">
        <v>4900</v>
      </c>
      <c r="P383" s="34"/>
      <c r="Q383" s="33" t="s">
        <v>4901</v>
      </c>
      <c r="R383" s="34"/>
      <c r="S383" s="38"/>
      <c r="T383" s="38" t="s">
        <v>12690</v>
      </c>
    </row>
    <row r="384" spans="1:20" x14ac:dyDescent="0.25">
      <c r="A384" s="33" t="s">
        <v>9259</v>
      </c>
      <c r="B384" s="33" t="s">
        <v>9258</v>
      </c>
      <c r="C384" s="33" t="s">
        <v>13</v>
      </c>
      <c r="D384" s="33" t="s">
        <v>9260</v>
      </c>
      <c r="E384" s="33">
        <v>2021</v>
      </c>
      <c r="F384" s="33">
        <v>12</v>
      </c>
      <c r="G384" s="36"/>
      <c r="H384" s="33">
        <v>13</v>
      </c>
      <c r="I384" s="36"/>
      <c r="J384" s="33">
        <v>2021</v>
      </c>
      <c r="K384" s="34"/>
      <c r="L384" s="34"/>
      <c r="M384" s="33" t="s">
        <v>9261</v>
      </c>
      <c r="N384" s="37" t="s">
        <v>9262</v>
      </c>
      <c r="O384" s="33" t="s">
        <v>9263</v>
      </c>
      <c r="P384" s="33" t="s">
        <v>9264</v>
      </c>
      <c r="Q384" s="36"/>
      <c r="R384" s="36"/>
      <c r="S384" s="33" t="s">
        <v>9265</v>
      </c>
      <c r="T384" s="38" t="s">
        <v>12693</v>
      </c>
    </row>
    <row r="385" spans="1:20" x14ac:dyDescent="0.25">
      <c r="A385" s="39" t="s">
        <v>9998</v>
      </c>
      <c r="B385" s="39" t="s">
        <v>10000</v>
      </c>
      <c r="C385" s="39" t="s">
        <v>9478</v>
      </c>
      <c r="D385" s="36"/>
      <c r="E385" s="39">
        <v>2022</v>
      </c>
      <c r="F385" s="39">
        <v>45</v>
      </c>
      <c r="G385" s="39">
        <v>5</v>
      </c>
      <c r="H385" s="36"/>
      <c r="I385" s="39" t="s">
        <v>9997</v>
      </c>
      <c r="J385" s="36"/>
      <c r="K385" s="36"/>
      <c r="L385" s="36"/>
      <c r="M385" s="34"/>
      <c r="N385" s="41" t="s">
        <v>10001</v>
      </c>
      <c r="O385" s="39" t="s">
        <v>9999</v>
      </c>
      <c r="P385" s="33"/>
      <c r="Q385" s="36"/>
      <c r="R385" s="34"/>
      <c r="S385" s="38"/>
      <c r="T385" s="38" t="s">
        <v>12689</v>
      </c>
    </row>
    <row r="386" spans="1:20" x14ac:dyDescent="0.25">
      <c r="A386" s="33" t="s">
        <v>11514</v>
      </c>
      <c r="B386" s="33" t="s">
        <v>5800</v>
      </c>
      <c r="C386" s="33" t="s">
        <v>141</v>
      </c>
      <c r="D386" s="34"/>
      <c r="E386" s="33">
        <v>2016</v>
      </c>
      <c r="F386" s="34"/>
      <c r="G386" s="34"/>
      <c r="H386" s="34"/>
      <c r="I386" s="44" t="s">
        <v>12729</v>
      </c>
      <c r="J386" s="33">
        <v>2016</v>
      </c>
      <c r="K386" s="33">
        <v>9781450337342</v>
      </c>
      <c r="L386" s="33" t="s">
        <v>11520</v>
      </c>
      <c r="M386" s="34"/>
      <c r="N386" s="37" t="s">
        <v>11517</v>
      </c>
      <c r="O386" s="33" t="s">
        <v>5804</v>
      </c>
      <c r="P386" s="33" t="s">
        <v>11518</v>
      </c>
      <c r="Q386" s="36"/>
      <c r="R386" s="36"/>
      <c r="S386" s="33" t="s">
        <v>11519</v>
      </c>
      <c r="T386" s="33" t="s">
        <v>12692</v>
      </c>
    </row>
    <row r="387" spans="1:20" x14ac:dyDescent="0.25">
      <c r="A387" s="33" t="s">
        <v>11514</v>
      </c>
      <c r="B387" s="33" t="s">
        <v>5800</v>
      </c>
      <c r="C387" s="33" t="s">
        <v>141</v>
      </c>
      <c r="D387" s="34"/>
      <c r="E387" s="33">
        <v>2016</v>
      </c>
      <c r="F387" s="33" t="s">
        <v>5802</v>
      </c>
      <c r="G387" s="34"/>
      <c r="H387" s="34"/>
      <c r="I387" s="33" t="s">
        <v>145</v>
      </c>
      <c r="J387" s="33">
        <v>2016</v>
      </c>
      <c r="K387" s="33">
        <v>9781450337342</v>
      </c>
      <c r="L387" s="34"/>
      <c r="M387" s="34"/>
      <c r="N387" s="37" t="s">
        <v>5803</v>
      </c>
      <c r="O387" s="33" t="s">
        <v>5804</v>
      </c>
      <c r="P387" s="33" t="s">
        <v>5805</v>
      </c>
      <c r="Q387" s="33" t="s">
        <v>318</v>
      </c>
      <c r="R387" s="34"/>
      <c r="S387" s="38"/>
      <c r="T387" s="38" t="s">
        <v>12690</v>
      </c>
    </row>
    <row r="388" spans="1:20" x14ac:dyDescent="0.25">
      <c r="A388" s="33" t="s">
        <v>11368</v>
      </c>
      <c r="B388" s="33" t="s">
        <v>11367</v>
      </c>
      <c r="C388" s="33" t="s">
        <v>141</v>
      </c>
      <c r="D388" s="34"/>
      <c r="E388" s="33">
        <v>2019</v>
      </c>
      <c r="F388" s="34"/>
      <c r="G388" s="34"/>
      <c r="H388" s="33" t="s">
        <v>11369</v>
      </c>
      <c r="I388" s="44" t="s">
        <v>12730</v>
      </c>
      <c r="J388" s="33">
        <v>2019</v>
      </c>
      <c r="K388" s="33">
        <v>9781450368520</v>
      </c>
      <c r="L388" s="33" t="s">
        <v>11375</v>
      </c>
      <c r="M388" s="34"/>
      <c r="N388" s="37" t="s">
        <v>11371</v>
      </c>
      <c r="O388" s="33" t="s">
        <v>11372</v>
      </c>
      <c r="P388" s="33" t="s">
        <v>11373</v>
      </c>
      <c r="Q388" s="36"/>
      <c r="R388" s="36"/>
      <c r="S388" s="33" t="s">
        <v>11374</v>
      </c>
      <c r="T388" s="33" t="s">
        <v>12692</v>
      </c>
    </row>
    <row r="389" spans="1:20" x14ac:dyDescent="0.25">
      <c r="A389" s="39" t="s">
        <v>9575</v>
      </c>
      <c r="B389" s="39" t="s">
        <v>9577</v>
      </c>
      <c r="C389" s="39" t="s">
        <v>539</v>
      </c>
      <c r="D389" s="36"/>
      <c r="E389" s="39">
        <v>2022</v>
      </c>
      <c r="F389" s="40"/>
      <c r="G389" s="40"/>
      <c r="H389" s="36"/>
      <c r="I389" s="39" t="s">
        <v>9275</v>
      </c>
      <c r="J389" s="36"/>
      <c r="K389" s="36"/>
      <c r="L389" s="36"/>
      <c r="M389" s="34"/>
      <c r="N389" s="41" t="s">
        <v>9578</v>
      </c>
      <c r="O389" s="39" t="s">
        <v>9576</v>
      </c>
      <c r="P389" s="33"/>
      <c r="Q389" s="36"/>
      <c r="R389" s="34"/>
      <c r="S389" s="38"/>
      <c r="T389" s="38" t="s">
        <v>12689</v>
      </c>
    </row>
    <row r="390" spans="1:20" x14ac:dyDescent="0.25">
      <c r="A390" s="33" t="s">
        <v>1972</v>
      </c>
      <c r="B390" s="33" t="s">
        <v>1971</v>
      </c>
      <c r="C390" s="33" t="s">
        <v>13</v>
      </c>
      <c r="D390" s="33" t="s">
        <v>1927</v>
      </c>
      <c r="E390" s="33">
        <v>2022</v>
      </c>
      <c r="F390" s="33">
        <v>16</v>
      </c>
      <c r="G390" s="33">
        <v>5</v>
      </c>
      <c r="H390" s="34"/>
      <c r="I390" s="33" t="s">
        <v>1714</v>
      </c>
      <c r="J390" s="33">
        <v>2022</v>
      </c>
      <c r="K390" s="34"/>
      <c r="L390" s="34"/>
      <c r="M390" s="33" t="s">
        <v>26</v>
      </c>
      <c r="N390" s="37" t="s">
        <v>1973</v>
      </c>
      <c r="O390" s="33" t="s">
        <v>1974</v>
      </c>
      <c r="P390" s="34"/>
      <c r="Q390" s="33" t="s">
        <v>387</v>
      </c>
      <c r="R390" s="34"/>
      <c r="S390" s="38"/>
      <c r="T390" s="38" t="s">
        <v>12690</v>
      </c>
    </row>
    <row r="391" spans="1:20" x14ac:dyDescent="0.25">
      <c r="A391" s="33" t="s">
        <v>2574</v>
      </c>
      <c r="B391" s="33" t="s">
        <v>2573</v>
      </c>
      <c r="C391" s="33" t="s">
        <v>13</v>
      </c>
      <c r="D391" s="33" t="s">
        <v>390</v>
      </c>
      <c r="E391" s="33">
        <v>2021</v>
      </c>
      <c r="F391" s="33">
        <v>54</v>
      </c>
      <c r="G391" s="33">
        <v>5</v>
      </c>
      <c r="H391" s="33" t="s">
        <v>2575</v>
      </c>
      <c r="I391" s="33" t="s">
        <v>392</v>
      </c>
      <c r="J391" s="33">
        <v>2021</v>
      </c>
      <c r="K391" s="34"/>
      <c r="L391" s="34"/>
      <c r="M391" s="33" t="s">
        <v>393</v>
      </c>
      <c r="N391" s="37" t="s">
        <v>2576</v>
      </c>
      <c r="O391" s="33" t="s">
        <v>2577</v>
      </c>
      <c r="P391" s="33" t="s">
        <v>2578</v>
      </c>
      <c r="Q391" s="33" t="s">
        <v>2579</v>
      </c>
      <c r="R391" s="34"/>
      <c r="S391" s="38"/>
      <c r="T391" s="38" t="s">
        <v>12690</v>
      </c>
    </row>
    <row r="392" spans="1:20" x14ac:dyDescent="0.25">
      <c r="A392" s="39" t="s">
        <v>9540</v>
      </c>
      <c r="B392" s="39" t="s">
        <v>9542</v>
      </c>
      <c r="C392" s="39" t="s">
        <v>539</v>
      </c>
      <c r="D392" s="36"/>
      <c r="E392" s="39">
        <v>2022</v>
      </c>
      <c r="F392" s="40"/>
      <c r="G392" s="40"/>
      <c r="H392" s="36"/>
      <c r="I392" s="39" t="s">
        <v>9275</v>
      </c>
      <c r="J392" s="36"/>
      <c r="K392" s="36"/>
      <c r="L392" s="36"/>
      <c r="M392" s="34"/>
      <c r="N392" s="41" t="s">
        <v>9543</v>
      </c>
      <c r="O392" s="39" t="s">
        <v>9541</v>
      </c>
      <c r="P392" s="33"/>
      <c r="Q392" s="36"/>
      <c r="R392" s="34"/>
      <c r="S392" s="38"/>
      <c r="T392" s="38" t="s">
        <v>12689</v>
      </c>
    </row>
    <row r="393" spans="1:20" x14ac:dyDescent="0.25">
      <c r="A393" s="33" t="s">
        <v>11558</v>
      </c>
      <c r="B393" s="34"/>
      <c r="C393" s="33" t="s">
        <v>539</v>
      </c>
      <c r="D393" s="34"/>
      <c r="E393" s="33">
        <v>2022</v>
      </c>
      <c r="F393" s="34"/>
      <c r="G393" s="34"/>
      <c r="H393" s="34"/>
      <c r="I393" s="44" t="s">
        <v>12710</v>
      </c>
      <c r="J393" s="33">
        <v>2022</v>
      </c>
      <c r="K393" s="33">
        <v>9781450394758</v>
      </c>
      <c r="L393" s="34"/>
      <c r="M393" s="34"/>
      <c r="N393" s="34"/>
      <c r="O393" s="34"/>
      <c r="P393" s="34"/>
      <c r="Q393" s="36"/>
      <c r="R393" s="36"/>
      <c r="S393" s="34"/>
      <c r="T393" s="33" t="s">
        <v>12692</v>
      </c>
    </row>
    <row r="394" spans="1:20" x14ac:dyDescent="0.25">
      <c r="A394" s="33" t="s">
        <v>11139</v>
      </c>
      <c r="B394" s="33" t="s">
        <v>11138</v>
      </c>
      <c r="C394" s="33" t="s">
        <v>141</v>
      </c>
      <c r="D394" s="34"/>
      <c r="E394" s="33">
        <v>2022</v>
      </c>
      <c r="F394" s="34"/>
      <c r="G394" s="34"/>
      <c r="H394" s="33" t="s">
        <v>11140</v>
      </c>
      <c r="I394" s="44" t="s">
        <v>12721</v>
      </c>
      <c r="J394" s="33">
        <v>2022</v>
      </c>
      <c r="K394" s="33">
        <v>9781450394277</v>
      </c>
      <c r="L394" s="33" t="s">
        <v>11145</v>
      </c>
      <c r="M394" s="34"/>
      <c r="N394" s="37" t="s">
        <v>11143</v>
      </c>
      <c r="O394" s="33" t="s">
        <v>1364</v>
      </c>
      <c r="P394" s="33" t="s">
        <v>11144</v>
      </c>
      <c r="Q394" s="36"/>
      <c r="R394" s="36"/>
      <c r="S394" s="34"/>
      <c r="T394" s="33" t="s">
        <v>12692</v>
      </c>
    </row>
    <row r="395" spans="1:20" x14ac:dyDescent="0.25">
      <c r="A395" s="33" t="s">
        <v>11139</v>
      </c>
      <c r="B395" s="33" t="s">
        <v>1360</v>
      </c>
      <c r="C395" s="33" t="s">
        <v>141</v>
      </c>
      <c r="D395" s="34"/>
      <c r="E395" s="33">
        <v>2022</v>
      </c>
      <c r="F395" s="34"/>
      <c r="G395" s="34"/>
      <c r="H395" s="33" t="s">
        <v>1362</v>
      </c>
      <c r="I395" s="33" t="s">
        <v>196</v>
      </c>
      <c r="J395" s="33">
        <v>2022</v>
      </c>
      <c r="K395" s="33">
        <v>9781450394277</v>
      </c>
      <c r="L395" s="34"/>
      <c r="M395" s="33" t="s">
        <v>197</v>
      </c>
      <c r="N395" s="37" t="s">
        <v>1363</v>
      </c>
      <c r="O395" s="33" t="s">
        <v>1364</v>
      </c>
      <c r="P395" s="33" t="s">
        <v>1365</v>
      </c>
      <c r="Q395" s="33" t="s">
        <v>568</v>
      </c>
      <c r="R395" s="34"/>
      <c r="S395" s="38"/>
      <c r="T395" s="38" t="s">
        <v>12690</v>
      </c>
    </row>
    <row r="396" spans="1:20" x14ac:dyDescent="0.25">
      <c r="A396" s="33" t="s">
        <v>513</v>
      </c>
      <c r="B396" s="33" t="s">
        <v>512</v>
      </c>
      <c r="C396" s="33" t="s">
        <v>13</v>
      </c>
      <c r="D396" s="33" t="s">
        <v>514</v>
      </c>
      <c r="E396" s="33">
        <v>2022</v>
      </c>
      <c r="F396" s="33">
        <v>4</v>
      </c>
      <c r="G396" s="33">
        <v>2</v>
      </c>
      <c r="H396" s="34"/>
      <c r="I396" s="33" t="s">
        <v>515</v>
      </c>
      <c r="J396" s="33">
        <v>2022</v>
      </c>
      <c r="K396" s="34"/>
      <c r="L396" s="34"/>
      <c r="M396" s="33" t="s">
        <v>516</v>
      </c>
      <c r="N396" s="37" t="s">
        <v>517</v>
      </c>
      <c r="O396" s="33" t="s">
        <v>518</v>
      </c>
      <c r="P396" s="33" t="s">
        <v>519</v>
      </c>
      <c r="Q396" s="33" t="s">
        <v>520</v>
      </c>
      <c r="R396" s="34"/>
      <c r="S396" s="38"/>
      <c r="T396" s="38" t="s">
        <v>12690</v>
      </c>
    </row>
    <row r="397" spans="1:20" x14ac:dyDescent="0.25">
      <c r="A397" s="33" t="s">
        <v>7860</v>
      </c>
      <c r="B397" s="33" t="s">
        <v>7859</v>
      </c>
      <c r="C397" s="33" t="s">
        <v>141</v>
      </c>
      <c r="D397" s="34"/>
      <c r="E397" s="33">
        <v>2022</v>
      </c>
      <c r="F397" s="34"/>
      <c r="G397" s="34"/>
      <c r="H397" s="33" t="s">
        <v>7861</v>
      </c>
      <c r="I397" s="33" t="s">
        <v>7862</v>
      </c>
      <c r="J397" s="43">
        <v>44621</v>
      </c>
      <c r="K397" s="36"/>
      <c r="L397" s="36"/>
      <c r="M397" s="33" t="s">
        <v>7863</v>
      </c>
      <c r="N397" s="37" t="s">
        <v>7864</v>
      </c>
      <c r="O397" s="33" t="s">
        <v>7865</v>
      </c>
      <c r="P397" s="33" t="s">
        <v>7866</v>
      </c>
      <c r="Q397" s="36"/>
      <c r="R397" s="36"/>
      <c r="S397" s="33" t="s">
        <v>7867</v>
      </c>
      <c r="T397" s="38" t="s">
        <v>12688</v>
      </c>
    </row>
    <row r="398" spans="1:20" x14ac:dyDescent="0.25">
      <c r="A398" s="33" t="s">
        <v>5663</v>
      </c>
      <c r="B398" s="33" t="s">
        <v>5662</v>
      </c>
      <c r="C398" s="33" t="s">
        <v>141</v>
      </c>
      <c r="D398" s="34"/>
      <c r="E398" s="33">
        <v>2018</v>
      </c>
      <c r="F398" s="34"/>
      <c r="G398" s="34"/>
      <c r="H398" s="33" t="s">
        <v>4893</v>
      </c>
      <c r="I398" s="33" t="s">
        <v>257</v>
      </c>
      <c r="J398" s="33">
        <v>2018</v>
      </c>
      <c r="K398" s="33">
        <v>9781538663523</v>
      </c>
      <c r="L398" s="34"/>
      <c r="M398" s="34"/>
      <c r="N398" s="37" t="s">
        <v>5664</v>
      </c>
      <c r="O398" s="33" t="s">
        <v>5665</v>
      </c>
      <c r="P398" s="33" t="s">
        <v>5666</v>
      </c>
      <c r="Q398" s="33" t="s">
        <v>2723</v>
      </c>
      <c r="R398" s="34"/>
      <c r="S398" s="38"/>
      <c r="T398" s="38" t="s">
        <v>12690</v>
      </c>
    </row>
    <row r="399" spans="1:20" x14ac:dyDescent="0.25">
      <c r="A399" s="33" t="s">
        <v>6998</v>
      </c>
      <c r="B399" s="33" t="s">
        <v>6997</v>
      </c>
      <c r="C399" s="33" t="s">
        <v>141</v>
      </c>
      <c r="D399" s="34"/>
      <c r="E399" s="33">
        <v>2015</v>
      </c>
      <c r="F399" s="34"/>
      <c r="G399" s="34"/>
      <c r="H399" s="33" t="s">
        <v>6999</v>
      </c>
      <c r="I399" s="33" t="s">
        <v>7000</v>
      </c>
      <c r="J399" s="43">
        <v>42186</v>
      </c>
      <c r="K399" s="36"/>
      <c r="L399" s="36"/>
      <c r="M399" s="33" t="s">
        <v>6974</v>
      </c>
      <c r="N399" s="37" t="s">
        <v>7001</v>
      </c>
      <c r="O399" s="33" t="s">
        <v>7002</v>
      </c>
      <c r="P399" s="33" t="s">
        <v>7003</v>
      </c>
      <c r="Q399" s="36"/>
      <c r="R399" s="36"/>
      <c r="S399" s="33" t="s">
        <v>7004</v>
      </c>
      <c r="T399" s="38" t="s">
        <v>12688</v>
      </c>
    </row>
    <row r="400" spans="1:20" x14ac:dyDescent="0.25">
      <c r="A400" s="33" t="s">
        <v>606</v>
      </c>
      <c r="B400" s="33" t="s">
        <v>605</v>
      </c>
      <c r="C400" s="33" t="s">
        <v>141</v>
      </c>
      <c r="D400" s="34"/>
      <c r="E400" s="33">
        <v>2022</v>
      </c>
      <c r="F400" s="34"/>
      <c r="G400" s="34"/>
      <c r="H400" s="33" t="s">
        <v>607</v>
      </c>
      <c r="I400" s="33" t="s">
        <v>145</v>
      </c>
      <c r="J400" s="33">
        <v>2022</v>
      </c>
      <c r="K400" s="33">
        <v>9781450397353</v>
      </c>
      <c r="L400" s="34"/>
      <c r="M400" s="34"/>
      <c r="N400" s="37" t="s">
        <v>608</v>
      </c>
      <c r="O400" s="33" t="s">
        <v>609</v>
      </c>
      <c r="P400" s="33" t="s">
        <v>610</v>
      </c>
      <c r="Q400" s="33" t="s">
        <v>157</v>
      </c>
      <c r="R400" s="34"/>
      <c r="S400" s="38"/>
      <c r="T400" s="38" t="s">
        <v>12690</v>
      </c>
    </row>
    <row r="401" spans="1:20" x14ac:dyDescent="0.25">
      <c r="A401" s="33" t="s">
        <v>8694</v>
      </c>
      <c r="B401" s="33" t="s">
        <v>8693</v>
      </c>
      <c r="C401" s="33" t="s">
        <v>13</v>
      </c>
      <c r="D401" s="33" t="s">
        <v>354</v>
      </c>
      <c r="E401" s="33">
        <v>2022</v>
      </c>
      <c r="F401" s="33">
        <v>191</v>
      </c>
      <c r="G401" s="36"/>
      <c r="H401" s="33">
        <v>111369</v>
      </c>
      <c r="I401" s="36"/>
      <c r="J401" s="33">
        <v>2022</v>
      </c>
      <c r="K401" s="34"/>
      <c r="L401" s="34"/>
      <c r="M401" s="33" t="s">
        <v>65</v>
      </c>
      <c r="N401" s="37" t="s">
        <v>8695</v>
      </c>
      <c r="O401" s="33" t="s">
        <v>8696</v>
      </c>
      <c r="P401" s="33" t="s">
        <v>8697</v>
      </c>
      <c r="Q401" s="36"/>
      <c r="R401" s="36"/>
      <c r="S401" s="33" t="s">
        <v>8698</v>
      </c>
      <c r="T401" s="38" t="s">
        <v>12693</v>
      </c>
    </row>
    <row r="402" spans="1:20" x14ac:dyDescent="0.25">
      <c r="A402" s="33" t="s">
        <v>1938</v>
      </c>
      <c r="B402" s="33" t="s">
        <v>1937</v>
      </c>
      <c r="C402" s="33" t="s">
        <v>141</v>
      </c>
      <c r="D402" s="34"/>
      <c r="E402" s="33">
        <v>2022</v>
      </c>
      <c r="F402" s="34"/>
      <c r="G402" s="34"/>
      <c r="H402" s="33" t="s">
        <v>11629</v>
      </c>
      <c r="I402" s="44" t="s">
        <v>12731</v>
      </c>
      <c r="J402" s="33">
        <v>2022</v>
      </c>
      <c r="K402" s="33">
        <v>9781450392235</v>
      </c>
      <c r="L402" s="33" t="s">
        <v>11634</v>
      </c>
      <c r="M402" s="34"/>
      <c r="N402" s="37" t="s">
        <v>11631</v>
      </c>
      <c r="O402" s="33" t="s">
        <v>6672</v>
      </c>
      <c r="P402" s="33" t="s">
        <v>11632</v>
      </c>
      <c r="Q402" s="36"/>
      <c r="R402" s="36"/>
      <c r="S402" s="33" t="s">
        <v>11633</v>
      </c>
      <c r="T402" s="33" t="s">
        <v>12692</v>
      </c>
    </row>
    <row r="403" spans="1:20" x14ac:dyDescent="0.25">
      <c r="A403" s="33" t="s">
        <v>1938</v>
      </c>
      <c r="B403" s="33" t="s">
        <v>1937</v>
      </c>
      <c r="C403" s="33" t="s">
        <v>141</v>
      </c>
      <c r="D403" s="34"/>
      <c r="E403" s="33">
        <v>2022</v>
      </c>
      <c r="F403" s="34"/>
      <c r="G403" s="34"/>
      <c r="H403" s="33" t="s">
        <v>6669</v>
      </c>
      <c r="I403" s="33" t="s">
        <v>6670</v>
      </c>
      <c r="J403" s="43">
        <v>44682</v>
      </c>
      <c r="K403" s="36"/>
      <c r="L403" s="36"/>
      <c r="M403" s="33" t="s">
        <v>6112</v>
      </c>
      <c r="N403" s="37" t="s">
        <v>6671</v>
      </c>
      <c r="O403" s="33" t="s">
        <v>6672</v>
      </c>
      <c r="P403" s="33" t="s">
        <v>6673</v>
      </c>
      <c r="Q403" s="36"/>
      <c r="R403" s="36"/>
      <c r="S403" s="33" t="s">
        <v>6674</v>
      </c>
      <c r="T403" s="38" t="s">
        <v>12688</v>
      </c>
    </row>
    <row r="404" spans="1:20" x14ac:dyDescent="0.25">
      <c r="A404" s="33" t="s">
        <v>1938</v>
      </c>
      <c r="B404" s="33" t="s">
        <v>1937</v>
      </c>
      <c r="C404" s="33" t="s">
        <v>141</v>
      </c>
      <c r="D404" s="34"/>
      <c r="E404" s="33">
        <v>2022</v>
      </c>
      <c r="F404" s="34"/>
      <c r="G404" s="34"/>
      <c r="H404" s="33" t="s">
        <v>1939</v>
      </c>
      <c r="I404" s="33" t="s">
        <v>196</v>
      </c>
      <c r="J404" s="33">
        <v>2022</v>
      </c>
      <c r="K404" s="33">
        <v>9781665495981</v>
      </c>
      <c r="L404" s="34"/>
      <c r="M404" s="33" t="s">
        <v>1458</v>
      </c>
      <c r="N404" s="37" t="s">
        <v>1940</v>
      </c>
      <c r="O404" s="33" t="s">
        <v>1941</v>
      </c>
      <c r="P404" s="33" t="s">
        <v>1942</v>
      </c>
      <c r="Q404" s="33" t="s">
        <v>404</v>
      </c>
      <c r="R404" s="34"/>
      <c r="S404" s="38"/>
      <c r="T404" s="38" t="s">
        <v>12690</v>
      </c>
    </row>
    <row r="405" spans="1:20" x14ac:dyDescent="0.25">
      <c r="A405" s="33" t="s">
        <v>3369</v>
      </c>
      <c r="B405" s="33" t="s">
        <v>3368</v>
      </c>
      <c r="C405" s="33" t="s">
        <v>141</v>
      </c>
      <c r="D405" s="34"/>
      <c r="E405" s="33">
        <v>2021</v>
      </c>
      <c r="F405" s="34"/>
      <c r="G405" s="34"/>
      <c r="H405" s="33" t="s">
        <v>3370</v>
      </c>
      <c r="I405" s="33" t="s">
        <v>257</v>
      </c>
      <c r="J405" s="33">
        <v>2021</v>
      </c>
      <c r="K405" s="33">
        <v>9781665443937</v>
      </c>
      <c r="L405" s="34"/>
      <c r="M405" s="34"/>
      <c r="N405" s="37" t="s">
        <v>3371</v>
      </c>
      <c r="O405" s="33" t="s">
        <v>3372</v>
      </c>
      <c r="P405" s="33" t="s">
        <v>3373</v>
      </c>
      <c r="Q405" s="33" t="s">
        <v>176</v>
      </c>
      <c r="R405" s="34"/>
      <c r="S405" s="38"/>
      <c r="T405" s="38" t="s">
        <v>12690</v>
      </c>
    </row>
    <row r="406" spans="1:20" x14ac:dyDescent="0.25">
      <c r="A406" s="33" t="s">
        <v>8149</v>
      </c>
      <c r="B406" s="33" t="s">
        <v>8134</v>
      </c>
      <c r="C406" s="33" t="s">
        <v>7972</v>
      </c>
      <c r="D406" s="34"/>
      <c r="E406" s="33">
        <v>2020</v>
      </c>
      <c r="F406" s="34"/>
      <c r="G406" s="34"/>
      <c r="H406" s="33" t="s">
        <v>8150</v>
      </c>
      <c r="I406" s="33" t="s">
        <v>12732</v>
      </c>
      <c r="J406" s="33">
        <v>2020</v>
      </c>
      <c r="K406" s="33">
        <v>9781119642831</v>
      </c>
      <c r="L406" s="36"/>
      <c r="M406" s="34"/>
      <c r="N406" s="37" t="s">
        <v>8151</v>
      </c>
      <c r="O406" s="33" t="s">
        <v>8152</v>
      </c>
      <c r="P406" s="33" t="s">
        <v>8153</v>
      </c>
      <c r="Q406" s="36"/>
      <c r="R406" s="36"/>
      <c r="S406" s="33" t="s">
        <v>8154</v>
      </c>
      <c r="T406" s="38" t="s">
        <v>12688</v>
      </c>
    </row>
    <row r="407" spans="1:20" x14ac:dyDescent="0.25">
      <c r="A407" s="33" t="s">
        <v>2586</v>
      </c>
      <c r="B407" s="33" t="s">
        <v>2585</v>
      </c>
      <c r="C407" s="33" t="s">
        <v>13</v>
      </c>
      <c r="D407" s="33" t="s">
        <v>307</v>
      </c>
      <c r="E407" s="33">
        <v>2021</v>
      </c>
      <c r="F407" s="33">
        <v>135</v>
      </c>
      <c r="G407" s="36"/>
      <c r="H407" s="33">
        <v>106566</v>
      </c>
      <c r="I407" s="36"/>
      <c r="J407" s="33">
        <v>2021</v>
      </c>
      <c r="K407" s="34"/>
      <c r="L407" s="34"/>
      <c r="M407" s="33" t="s">
        <v>308</v>
      </c>
      <c r="N407" s="37" t="s">
        <v>8571</v>
      </c>
      <c r="O407" s="33" t="s">
        <v>2588</v>
      </c>
      <c r="P407" s="33" t="s">
        <v>8572</v>
      </c>
      <c r="Q407" s="36"/>
      <c r="R407" s="36"/>
      <c r="S407" s="33" t="s">
        <v>8573</v>
      </c>
      <c r="T407" s="38" t="s">
        <v>12693</v>
      </c>
    </row>
    <row r="408" spans="1:20" x14ac:dyDescent="0.25">
      <c r="A408" s="33" t="s">
        <v>2586</v>
      </c>
      <c r="B408" s="33" t="s">
        <v>2585</v>
      </c>
      <c r="C408" s="33" t="s">
        <v>13</v>
      </c>
      <c r="D408" s="33" t="s">
        <v>307</v>
      </c>
      <c r="E408" s="33">
        <v>2021</v>
      </c>
      <c r="F408" s="33">
        <v>135</v>
      </c>
      <c r="G408" s="34"/>
      <c r="H408" s="34"/>
      <c r="I408" s="33" t="s">
        <v>280</v>
      </c>
      <c r="J408" s="33">
        <v>2021</v>
      </c>
      <c r="K408" s="34"/>
      <c r="L408" s="34"/>
      <c r="M408" s="33" t="s">
        <v>308</v>
      </c>
      <c r="N408" s="37" t="s">
        <v>2587</v>
      </c>
      <c r="O408" s="33" t="s">
        <v>2588</v>
      </c>
      <c r="P408" s="33" t="s">
        <v>2589</v>
      </c>
      <c r="Q408" s="33" t="s">
        <v>1813</v>
      </c>
      <c r="R408" s="34"/>
      <c r="S408" s="38"/>
      <c r="T408" s="38" t="s">
        <v>12690</v>
      </c>
    </row>
    <row r="409" spans="1:20" x14ac:dyDescent="0.25">
      <c r="A409" s="33" t="s">
        <v>3268</v>
      </c>
      <c r="B409" s="33" t="s">
        <v>3267</v>
      </c>
      <c r="C409" s="33" t="s">
        <v>141</v>
      </c>
      <c r="D409" s="34"/>
      <c r="E409" s="33">
        <v>2021</v>
      </c>
      <c r="F409" s="34"/>
      <c r="G409" s="34"/>
      <c r="H409" s="33" t="s">
        <v>3269</v>
      </c>
      <c r="I409" s="33" t="s">
        <v>257</v>
      </c>
      <c r="J409" s="33">
        <v>2021</v>
      </c>
      <c r="K409" s="33">
        <v>9781665409506</v>
      </c>
      <c r="L409" s="34"/>
      <c r="M409" s="34"/>
      <c r="N409" s="37" t="s">
        <v>3270</v>
      </c>
      <c r="O409" s="33" t="s">
        <v>3271</v>
      </c>
      <c r="P409" s="33" t="s">
        <v>3272</v>
      </c>
      <c r="Q409" s="33" t="s">
        <v>157</v>
      </c>
      <c r="R409" s="34"/>
      <c r="S409" s="38"/>
      <c r="T409" s="38" t="s">
        <v>12690</v>
      </c>
    </row>
    <row r="410" spans="1:20" x14ac:dyDescent="0.25">
      <c r="A410" s="33" t="s">
        <v>1869</v>
      </c>
      <c r="B410" s="33" t="s">
        <v>1868</v>
      </c>
      <c r="C410" s="33" t="s">
        <v>13</v>
      </c>
      <c r="D410" s="33" t="s">
        <v>1870</v>
      </c>
      <c r="E410" s="33">
        <v>2022</v>
      </c>
      <c r="F410" s="33" t="s">
        <v>1871</v>
      </c>
      <c r="G410" s="34"/>
      <c r="H410" s="33" t="s">
        <v>1872</v>
      </c>
      <c r="I410" s="33" t="s">
        <v>212</v>
      </c>
      <c r="J410" s="33">
        <v>2022</v>
      </c>
      <c r="K410" s="34"/>
      <c r="L410" s="34"/>
      <c r="M410" s="33" t="s">
        <v>1873</v>
      </c>
      <c r="N410" s="37" t="s">
        <v>1874</v>
      </c>
      <c r="O410" s="33" t="s">
        <v>1875</v>
      </c>
      <c r="P410" s="33" t="s">
        <v>1876</v>
      </c>
      <c r="Q410" s="33" t="s">
        <v>157</v>
      </c>
      <c r="R410" s="34"/>
      <c r="S410" s="38"/>
      <c r="T410" s="38" t="s">
        <v>12690</v>
      </c>
    </row>
    <row r="411" spans="1:20" x14ac:dyDescent="0.25">
      <c r="A411" s="33" t="s">
        <v>1869</v>
      </c>
      <c r="B411" s="39" t="s">
        <v>10073</v>
      </c>
      <c r="C411" s="39" t="s">
        <v>9539</v>
      </c>
      <c r="D411" s="36"/>
      <c r="E411" s="39">
        <v>2022</v>
      </c>
      <c r="F411" s="40"/>
      <c r="G411" s="40"/>
      <c r="H411" s="36"/>
      <c r="I411" s="39" t="s">
        <v>9544</v>
      </c>
      <c r="J411" s="36"/>
      <c r="K411" s="36"/>
      <c r="L411" s="36"/>
      <c r="M411" s="34"/>
      <c r="N411" s="41" t="s">
        <v>10074</v>
      </c>
      <c r="O411" s="39" t="s">
        <v>1875</v>
      </c>
      <c r="P411" s="33"/>
      <c r="Q411" s="36"/>
      <c r="R411" s="34"/>
      <c r="S411" s="38"/>
      <c r="T411" s="38" t="s">
        <v>12689</v>
      </c>
    </row>
    <row r="412" spans="1:20" x14ac:dyDescent="0.25">
      <c r="A412" s="33" t="s">
        <v>3410</v>
      </c>
      <c r="B412" s="33" t="s">
        <v>3409</v>
      </c>
      <c r="C412" s="33" t="s">
        <v>141</v>
      </c>
      <c r="D412" s="34"/>
      <c r="E412" s="33">
        <v>2021</v>
      </c>
      <c r="F412" s="45">
        <v>44317</v>
      </c>
      <c r="G412" s="34"/>
      <c r="H412" s="33" t="s">
        <v>3411</v>
      </c>
      <c r="I412" s="33" t="s">
        <v>196</v>
      </c>
      <c r="J412" s="33">
        <v>2021</v>
      </c>
      <c r="K412" s="33">
        <v>9781665414036</v>
      </c>
      <c r="L412" s="34"/>
      <c r="M412" s="34"/>
      <c r="N412" s="37" t="s">
        <v>3412</v>
      </c>
      <c r="O412" s="33" t="s">
        <v>3413</v>
      </c>
      <c r="P412" s="33" t="s">
        <v>3414</v>
      </c>
      <c r="Q412" s="33" t="s">
        <v>1813</v>
      </c>
      <c r="R412" s="34"/>
      <c r="S412" s="38"/>
      <c r="T412" s="38" t="s">
        <v>12690</v>
      </c>
    </row>
    <row r="413" spans="1:20" x14ac:dyDescent="0.25">
      <c r="A413" s="33" t="s">
        <v>3410</v>
      </c>
      <c r="B413" s="33" t="s">
        <v>8064</v>
      </c>
      <c r="C413" s="33" t="s">
        <v>141</v>
      </c>
      <c r="D413" s="34"/>
      <c r="E413" s="33">
        <v>2021</v>
      </c>
      <c r="F413" s="34"/>
      <c r="G413" s="34"/>
      <c r="H413" s="33" t="s">
        <v>8065</v>
      </c>
      <c r="I413" s="33" t="s">
        <v>6225</v>
      </c>
      <c r="J413" s="43">
        <v>44317</v>
      </c>
      <c r="K413" s="34"/>
      <c r="L413" s="36"/>
      <c r="M413" s="33" t="s">
        <v>6226</v>
      </c>
      <c r="N413" s="37" t="s">
        <v>8066</v>
      </c>
      <c r="O413" s="33" t="s">
        <v>3413</v>
      </c>
      <c r="P413" s="33" t="s">
        <v>8067</v>
      </c>
      <c r="Q413" s="36"/>
      <c r="R413" s="36"/>
      <c r="S413" s="33" t="s">
        <v>8068</v>
      </c>
      <c r="T413" s="38" t="s">
        <v>12688</v>
      </c>
    </row>
    <row r="414" spans="1:20" x14ac:dyDescent="0.25">
      <c r="A414" s="33" t="s">
        <v>4812</v>
      </c>
      <c r="B414" s="33" t="s">
        <v>4811</v>
      </c>
      <c r="C414" s="33" t="s">
        <v>13</v>
      </c>
      <c r="D414" s="33" t="s">
        <v>462</v>
      </c>
      <c r="E414" s="33">
        <v>2020</v>
      </c>
      <c r="F414" s="33">
        <v>1272</v>
      </c>
      <c r="G414" s="34"/>
      <c r="H414" s="33" t="s">
        <v>4813</v>
      </c>
      <c r="I414" s="33" t="s">
        <v>212</v>
      </c>
      <c r="J414" s="33">
        <v>2020</v>
      </c>
      <c r="K414" s="34"/>
      <c r="L414" s="34"/>
      <c r="M414" s="33" t="s">
        <v>465</v>
      </c>
      <c r="N414" s="37" t="s">
        <v>4814</v>
      </c>
      <c r="O414" s="33" t="s">
        <v>4815</v>
      </c>
      <c r="P414" s="33" t="s">
        <v>4816</v>
      </c>
      <c r="Q414" s="33" t="s">
        <v>157</v>
      </c>
      <c r="R414" s="34"/>
      <c r="S414" s="38"/>
      <c r="T414" s="38" t="s">
        <v>12690</v>
      </c>
    </row>
    <row r="415" spans="1:20" x14ac:dyDescent="0.25">
      <c r="A415" s="33" t="s">
        <v>7415</v>
      </c>
      <c r="B415" s="33" t="s">
        <v>7414</v>
      </c>
      <c r="C415" s="33" t="s">
        <v>13</v>
      </c>
      <c r="D415" s="33" t="s">
        <v>255</v>
      </c>
      <c r="E415" s="33">
        <v>2023</v>
      </c>
      <c r="F415" s="34"/>
      <c r="G415" s="34"/>
      <c r="H415" s="42">
        <v>44945</v>
      </c>
      <c r="I415" s="34"/>
      <c r="J415" s="33">
        <v>2023</v>
      </c>
      <c r="K415" s="36"/>
      <c r="L415" s="36"/>
      <c r="M415" s="33" t="s">
        <v>6115</v>
      </c>
      <c r="N415" s="37" t="s">
        <v>7416</v>
      </c>
      <c r="O415" s="33" t="s">
        <v>7417</v>
      </c>
      <c r="P415" s="33" t="s">
        <v>7418</v>
      </c>
      <c r="Q415" s="36"/>
      <c r="R415" s="36"/>
      <c r="S415" s="33" t="s">
        <v>7419</v>
      </c>
      <c r="T415" s="38" t="s">
        <v>12688</v>
      </c>
    </row>
    <row r="416" spans="1:20" x14ac:dyDescent="0.25">
      <c r="A416" s="33" t="s">
        <v>3045</v>
      </c>
      <c r="B416" s="33" t="s">
        <v>3044</v>
      </c>
      <c r="C416" s="33" t="s">
        <v>13</v>
      </c>
      <c r="D416" s="33" t="s">
        <v>136</v>
      </c>
      <c r="E416" s="33">
        <v>2021</v>
      </c>
      <c r="F416" s="33">
        <v>26</v>
      </c>
      <c r="G416" s="33">
        <v>2</v>
      </c>
      <c r="H416" s="34"/>
      <c r="I416" s="33" t="s">
        <v>137</v>
      </c>
      <c r="J416" s="33">
        <v>2021</v>
      </c>
      <c r="K416" s="34"/>
      <c r="L416" s="34"/>
      <c r="M416" s="33" t="s">
        <v>33</v>
      </c>
      <c r="N416" s="37" t="s">
        <v>3046</v>
      </c>
      <c r="O416" s="33" t="s">
        <v>3047</v>
      </c>
      <c r="P416" s="33" t="s">
        <v>3048</v>
      </c>
      <c r="Q416" s="33" t="s">
        <v>1813</v>
      </c>
      <c r="R416" s="34"/>
      <c r="S416" s="38"/>
      <c r="T416" s="38" t="s">
        <v>12690</v>
      </c>
    </row>
    <row r="417" spans="1:20" x14ac:dyDescent="0.25">
      <c r="A417" s="33" t="s">
        <v>7750</v>
      </c>
      <c r="B417" s="33" t="s">
        <v>7749</v>
      </c>
      <c r="C417" s="33" t="s">
        <v>13</v>
      </c>
      <c r="D417" s="33" t="s">
        <v>7751</v>
      </c>
      <c r="E417" s="33">
        <v>2021</v>
      </c>
      <c r="F417" s="33">
        <v>19</v>
      </c>
      <c r="G417" s="33">
        <v>3</v>
      </c>
      <c r="H417" s="33" t="s">
        <v>7752</v>
      </c>
      <c r="I417" s="34"/>
      <c r="J417" s="43">
        <v>44256</v>
      </c>
      <c r="K417" s="36"/>
      <c r="L417" s="36"/>
      <c r="M417" s="33" t="s">
        <v>5140</v>
      </c>
      <c r="N417" s="37" t="s">
        <v>7753</v>
      </c>
      <c r="O417" s="33" t="s">
        <v>7754</v>
      </c>
      <c r="P417" s="33" t="s">
        <v>7755</v>
      </c>
      <c r="Q417" s="36"/>
      <c r="R417" s="36"/>
      <c r="S417" s="33" t="s">
        <v>7756</v>
      </c>
      <c r="T417" s="38" t="s">
        <v>12688</v>
      </c>
    </row>
    <row r="418" spans="1:20" x14ac:dyDescent="0.25">
      <c r="A418" s="33" t="s">
        <v>6446</v>
      </c>
      <c r="B418" s="33" t="s">
        <v>2862</v>
      </c>
      <c r="C418" s="33" t="s">
        <v>141</v>
      </c>
      <c r="D418" s="34"/>
      <c r="E418" s="33">
        <v>2020</v>
      </c>
      <c r="F418" s="34"/>
      <c r="G418" s="34"/>
      <c r="H418" s="33" t="s">
        <v>6447</v>
      </c>
      <c r="I418" s="33" t="s">
        <v>6448</v>
      </c>
      <c r="J418" s="43">
        <v>44075</v>
      </c>
      <c r="K418" s="36"/>
      <c r="L418" s="36"/>
      <c r="M418" s="33" t="s">
        <v>6449</v>
      </c>
      <c r="N418" s="37" t="s">
        <v>6450</v>
      </c>
      <c r="O418" s="33" t="s">
        <v>2866</v>
      </c>
      <c r="P418" s="33" t="s">
        <v>6451</v>
      </c>
      <c r="Q418" s="36"/>
      <c r="R418" s="36"/>
      <c r="S418" s="33" t="s">
        <v>6452</v>
      </c>
      <c r="T418" s="38" t="s">
        <v>12688</v>
      </c>
    </row>
    <row r="419" spans="1:20" x14ac:dyDescent="0.25">
      <c r="A419" s="33" t="s">
        <v>6446</v>
      </c>
      <c r="B419" s="33" t="s">
        <v>2862</v>
      </c>
      <c r="C419" s="33" t="s">
        <v>141</v>
      </c>
      <c r="D419" s="34"/>
      <c r="E419" s="33">
        <v>2020</v>
      </c>
      <c r="F419" s="34"/>
      <c r="G419" s="34"/>
      <c r="H419" s="33" t="s">
        <v>2864</v>
      </c>
      <c r="I419" s="33" t="s">
        <v>257</v>
      </c>
      <c r="J419" s="33">
        <v>2020</v>
      </c>
      <c r="K419" s="33">
        <v>9781728192482</v>
      </c>
      <c r="L419" s="34"/>
      <c r="M419" s="34"/>
      <c r="N419" s="37" t="s">
        <v>2865</v>
      </c>
      <c r="O419" s="33" t="s">
        <v>2866</v>
      </c>
      <c r="P419" s="33" t="s">
        <v>2867</v>
      </c>
      <c r="Q419" s="33" t="s">
        <v>2830</v>
      </c>
      <c r="R419" s="34"/>
      <c r="S419" s="38"/>
      <c r="T419" s="38" t="s">
        <v>12690</v>
      </c>
    </row>
    <row r="420" spans="1:20" x14ac:dyDescent="0.25">
      <c r="A420" s="33" t="s">
        <v>2394</v>
      </c>
      <c r="B420" s="33" t="s">
        <v>2393</v>
      </c>
      <c r="C420" s="33" t="s">
        <v>13</v>
      </c>
      <c r="D420" s="33" t="s">
        <v>354</v>
      </c>
      <c r="E420" s="33">
        <v>2021</v>
      </c>
      <c r="F420" s="33">
        <v>181</v>
      </c>
      <c r="G420" s="34"/>
      <c r="H420" s="34"/>
      <c r="I420" s="33" t="s">
        <v>355</v>
      </c>
      <c r="J420" s="33">
        <v>2021</v>
      </c>
      <c r="K420" s="34"/>
      <c r="L420" s="34"/>
      <c r="M420" s="33" t="s">
        <v>65</v>
      </c>
      <c r="N420" s="37" t="s">
        <v>2395</v>
      </c>
      <c r="O420" s="33" t="s">
        <v>2396</v>
      </c>
      <c r="P420" s="33" t="s">
        <v>2397</v>
      </c>
      <c r="Q420" s="33" t="s">
        <v>1598</v>
      </c>
      <c r="R420" s="34"/>
      <c r="S420" s="38"/>
      <c r="T420" s="38" t="s">
        <v>12690</v>
      </c>
    </row>
    <row r="421" spans="1:20" x14ac:dyDescent="0.25">
      <c r="A421" s="39" t="s">
        <v>10410</v>
      </c>
      <c r="B421" s="39" t="s">
        <v>10412</v>
      </c>
      <c r="C421" s="39" t="s">
        <v>9539</v>
      </c>
      <c r="D421" s="36"/>
      <c r="E421" s="39">
        <v>2020</v>
      </c>
      <c r="F421" s="40"/>
      <c r="G421" s="40"/>
      <c r="H421" s="36"/>
      <c r="I421" s="39" t="s">
        <v>9866</v>
      </c>
      <c r="J421" s="36"/>
      <c r="K421" s="36"/>
      <c r="L421" s="36"/>
      <c r="M421" s="34"/>
      <c r="N421" s="41" t="s">
        <v>10413</v>
      </c>
      <c r="O421" s="39" t="s">
        <v>10411</v>
      </c>
      <c r="P421" s="33"/>
      <c r="Q421" s="36"/>
      <c r="R421" s="34"/>
      <c r="S421" s="38"/>
      <c r="T421" s="38" t="s">
        <v>12689</v>
      </c>
    </row>
    <row r="422" spans="1:20" x14ac:dyDescent="0.25">
      <c r="A422" s="33" t="s">
        <v>5087</v>
      </c>
      <c r="B422" s="33" t="s">
        <v>5086</v>
      </c>
      <c r="C422" s="33" t="s">
        <v>141</v>
      </c>
      <c r="D422" s="34"/>
      <c r="E422" s="33">
        <v>2019</v>
      </c>
      <c r="F422" s="34"/>
      <c r="G422" s="34"/>
      <c r="H422" s="33" t="s">
        <v>6648</v>
      </c>
      <c r="I422" s="33" t="s">
        <v>6649</v>
      </c>
      <c r="J422" s="35">
        <v>43800</v>
      </c>
      <c r="K422" s="36"/>
      <c r="L422" s="36"/>
      <c r="M422" s="33" t="s">
        <v>6650</v>
      </c>
      <c r="N422" s="37" t="s">
        <v>6651</v>
      </c>
      <c r="O422" s="33" t="s">
        <v>5090</v>
      </c>
      <c r="P422" s="33" t="s">
        <v>6652</v>
      </c>
      <c r="Q422" s="36"/>
      <c r="R422" s="36"/>
      <c r="S422" s="33" t="s">
        <v>6653</v>
      </c>
      <c r="T422" s="38" t="s">
        <v>12688</v>
      </c>
    </row>
    <row r="423" spans="1:20" x14ac:dyDescent="0.25">
      <c r="A423" s="33" t="s">
        <v>5087</v>
      </c>
      <c r="B423" s="33" t="s">
        <v>5086</v>
      </c>
      <c r="C423" s="33" t="s">
        <v>141</v>
      </c>
      <c r="D423" s="34"/>
      <c r="E423" s="33">
        <v>2019</v>
      </c>
      <c r="F423" s="45">
        <v>43800</v>
      </c>
      <c r="G423" s="34"/>
      <c r="H423" s="33" t="s">
        <v>5088</v>
      </c>
      <c r="I423" s="33" t="s">
        <v>196</v>
      </c>
      <c r="J423" s="33">
        <v>2019</v>
      </c>
      <c r="K423" s="33">
        <v>9781728146485</v>
      </c>
      <c r="L423" s="34"/>
      <c r="M423" s="33" t="s">
        <v>3521</v>
      </c>
      <c r="N423" s="37" t="s">
        <v>5089</v>
      </c>
      <c r="O423" s="33" t="s">
        <v>5090</v>
      </c>
      <c r="P423" s="33" t="s">
        <v>5091</v>
      </c>
      <c r="Q423" s="33" t="s">
        <v>2811</v>
      </c>
      <c r="R423" s="34"/>
      <c r="S423" s="38"/>
      <c r="T423" s="38" t="s">
        <v>12690</v>
      </c>
    </row>
    <row r="424" spans="1:20" x14ac:dyDescent="0.25">
      <c r="A424" s="33" t="s">
        <v>5219</v>
      </c>
      <c r="B424" s="33" t="s">
        <v>5218</v>
      </c>
      <c r="C424" s="33" t="s">
        <v>13</v>
      </c>
      <c r="D424" s="33" t="s">
        <v>354</v>
      </c>
      <c r="E424" s="33">
        <v>2017</v>
      </c>
      <c r="F424" s="33">
        <v>133</v>
      </c>
      <c r="G424" s="36"/>
      <c r="H424" s="33" t="s">
        <v>9205</v>
      </c>
      <c r="I424" s="36"/>
      <c r="J424" s="33">
        <v>2017</v>
      </c>
      <c r="K424" s="34"/>
      <c r="L424" s="34"/>
      <c r="M424" s="33" t="s">
        <v>65</v>
      </c>
      <c r="N424" s="37" t="s">
        <v>9206</v>
      </c>
      <c r="O424" s="33" t="s">
        <v>5222</v>
      </c>
      <c r="P424" s="33" t="s">
        <v>9207</v>
      </c>
      <c r="Q424" s="36"/>
      <c r="R424" s="36"/>
      <c r="S424" s="33" t="s">
        <v>9208</v>
      </c>
      <c r="T424" s="38" t="s">
        <v>12693</v>
      </c>
    </row>
    <row r="425" spans="1:20" x14ac:dyDescent="0.25">
      <c r="A425" s="33" t="s">
        <v>5219</v>
      </c>
      <c r="B425" s="33" t="s">
        <v>5218</v>
      </c>
      <c r="C425" s="33" t="s">
        <v>13</v>
      </c>
      <c r="D425" s="33" t="s">
        <v>354</v>
      </c>
      <c r="E425" s="33">
        <v>2017</v>
      </c>
      <c r="F425" s="33">
        <v>133</v>
      </c>
      <c r="G425" s="34"/>
      <c r="H425" s="33" t="s">
        <v>5220</v>
      </c>
      <c r="I425" s="33" t="s">
        <v>355</v>
      </c>
      <c r="J425" s="33">
        <v>2017</v>
      </c>
      <c r="K425" s="34"/>
      <c r="L425" s="34"/>
      <c r="M425" s="33" t="s">
        <v>65</v>
      </c>
      <c r="N425" s="37" t="s">
        <v>5221</v>
      </c>
      <c r="O425" s="33" t="s">
        <v>5222</v>
      </c>
      <c r="P425" s="33" t="s">
        <v>5223</v>
      </c>
      <c r="Q425" s="33" t="s">
        <v>4634</v>
      </c>
      <c r="R425" s="34"/>
      <c r="S425" s="38"/>
      <c r="T425" s="38" t="s">
        <v>12690</v>
      </c>
    </row>
    <row r="426" spans="1:20" x14ac:dyDescent="0.25">
      <c r="A426" s="33" t="s">
        <v>1417</v>
      </c>
      <c r="B426" s="33" t="s">
        <v>1416</v>
      </c>
      <c r="C426" s="33" t="s">
        <v>141</v>
      </c>
      <c r="D426" s="34"/>
      <c r="E426" s="33">
        <v>2022</v>
      </c>
      <c r="F426" s="34"/>
      <c r="G426" s="34"/>
      <c r="H426" s="33" t="s">
        <v>6591</v>
      </c>
      <c r="I426" s="33" t="s">
        <v>6592</v>
      </c>
      <c r="J426" s="43">
        <v>44621</v>
      </c>
      <c r="K426" s="36"/>
      <c r="L426" s="36"/>
      <c r="M426" s="33" t="s">
        <v>6593</v>
      </c>
      <c r="N426" s="37" t="s">
        <v>6594</v>
      </c>
      <c r="O426" s="33" t="s">
        <v>1420</v>
      </c>
      <c r="P426" s="33" t="s">
        <v>6595</v>
      </c>
      <c r="Q426" s="36"/>
      <c r="R426" s="36"/>
      <c r="S426" s="33" t="s">
        <v>6596</v>
      </c>
      <c r="T426" s="38" t="s">
        <v>12688</v>
      </c>
    </row>
    <row r="427" spans="1:20" x14ac:dyDescent="0.25">
      <c r="A427" s="33" t="s">
        <v>1417</v>
      </c>
      <c r="B427" s="33" t="s">
        <v>1416</v>
      </c>
      <c r="C427" s="33" t="s">
        <v>141</v>
      </c>
      <c r="D427" s="34"/>
      <c r="E427" s="33">
        <v>2022</v>
      </c>
      <c r="F427" s="34"/>
      <c r="G427" s="34"/>
      <c r="H427" s="33" t="s">
        <v>1418</v>
      </c>
      <c r="I427" s="33" t="s">
        <v>257</v>
      </c>
      <c r="J427" s="33">
        <v>2022</v>
      </c>
      <c r="K427" s="33">
        <v>9781665437868</v>
      </c>
      <c r="L427" s="34"/>
      <c r="M427" s="34"/>
      <c r="N427" s="37" t="s">
        <v>1419</v>
      </c>
      <c r="O427" s="33" t="s">
        <v>1420</v>
      </c>
      <c r="P427" s="33" t="s">
        <v>1421</v>
      </c>
      <c r="Q427" s="33" t="s">
        <v>404</v>
      </c>
      <c r="R427" s="34"/>
      <c r="S427" s="38"/>
      <c r="T427" s="38" t="s">
        <v>12690</v>
      </c>
    </row>
    <row r="428" spans="1:20" x14ac:dyDescent="0.25">
      <c r="A428" s="33" t="s">
        <v>4331</v>
      </c>
      <c r="B428" s="33" t="s">
        <v>4330</v>
      </c>
      <c r="C428" s="33" t="s">
        <v>141</v>
      </c>
      <c r="D428" s="34"/>
      <c r="E428" s="33">
        <v>2019</v>
      </c>
      <c r="F428" s="33">
        <v>2</v>
      </c>
      <c r="G428" s="34"/>
      <c r="H428" s="33" t="s">
        <v>4332</v>
      </c>
      <c r="I428" s="33" t="s">
        <v>145</v>
      </c>
      <c r="J428" s="33">
        <v>2019</v>
      </c>
      <c r="K428" s="33">
        <v>9781450371421</v>
      </c>
      <c r="L428" s="34"/>
      <c r="M428" s="34"/>
      <c r="N428" s="37" t="s">
        <v>4333</v>
      </c>
      <c r="O428" s="33" t="s">
        <v>4334</v>
      </c>
      <c r="P428" s="33" t="s">
        <v>4335</v>
      </c>
      <c r="Q428" s="33" t="s">
        <v>1813</v>
      </c>
      <c r="R428" s="34"/>
      <c r="S428" s="38"/>
      <c r="T428" s="38" t="s">
        <v>12690</v>
      </c>
    </row>
    <row r="429" spans="1:20" x14ac:dyDescent="0.25">
      <c r="A429" s="33" t="s">
        <v>9178</v>
      </c>
      <c r="B429" s="33" t="s">
        <v>9177</v>
      </c>
      <c r="C429" s="33" t="s">
        <v>13</v>
      </c>
      <c r="D429" s="33" t="s">
        <v>307</v>
      </c>
      <c r="E429" s="33">
        <v>2020</v>
      </c>
      <c r="F429" s="33">
        <v>117</v>
      </c>
      <c r="G429" s="36"/>
      <c r="H429" s="33">
        <v>106198</v>
      </c>
      <c r="I429" s="36"/>
      <c r="J429" s="33">
        <v>2020</v>
      </c>
      <c r="K429" s="34"/>
      <c r="L429" s="34"/>
      <c r="M429" s="33" t="s">
        <v>308</v>
      </c>
      <c r="N429" s="37" t="s">
        <v>9179</v>
      </c>
      <c r="O429" s="33" t="s">
        <v>9180</v>
      </c>
      <c r="P429" s="33" t="s">
        <v>9181</v>
      </c>
      <c r="Q429" s="36"/>
      <c r="R429" s="36"/>
      <c r="S429" s="33" t="s">
        <v>9182</v>
      </c>
      <c r="T429" s="38" t="s">
        <v>12693</v>
      </c>
    </row>
    <row r="430" spans="1:20" x14ac:dyDescent="0.25">
      <c r="A430" s="33" t="s">
        <v>4395</v>
      </c>
      <c r="B430" s="33" t="s">
        <v>4394</v>
      </c>
      <c r="C430" s="33" t="s">
        <v>141</v>
      </c>
      <c r="D430" s="34"/>
      <c r="E430" s="33">
        <v>2020</v>
      </c>
      <c r="F430" s="33" t="s">
        <v>4396</v>
      </c>
      <c r="G430" s="34"/>
      <c r="H430" s="33" t="s">
        <v>4397</v>
      </c>
      <c r="I430" s="33" t="s">
        <v>933</v>
      </c>
      <c r="J430" s="33">
        <v>2020</v>
      </c>
      <c r="K430" s="33">
        <v>9781891706509</v>
      </c>
      <c r="L430" s="34"/>
      <c r="M430" s="33" t="s">
        <v>934</v>
      </c>
      <c r="N430" s="37" t="s">
        <v>4398</v>
      </c>
      <c r="O430" s="33" t="s">
        <v>4399</v>
      </c>
      <c r="P430" s="33" t="s">
        <v>4400</v>
      </c>
      <c r="Q430" s="33" t="s">
        <v>2723</v>
      </c>
      <c r="R430" s="34"/>
      <c r="S430" s="38"/>
      <c r="T430" s="38" t="s">
        <v>12690</v>
      </c>
    </row>
    <row r="431" spans="1:20" x14ac:dyDescent="0.25">
      <c r="A431" s="33" t="s">
        <v>334</v>
      </c>
      <c r="B431" s="33" t="s">
        <v>333</v>
      </c>
      <c r="C431" s="33" t="s">
        <v>13</v>
      </c>
      <c r="D431" s="33" t="s">
        <v>188</v>
      </c>
      <c r="E431" s="33">
        <v>2022</v>
      </c>
      <c r="F431" s="33">
        <v>32</v>
      </c>
      <c r="G431" s="33">
        <v>6</v>
      </c>
      <c r="H431" s="33" t="s">
        <v>335</v>
      </c>
      <c r="I431" s="33" t="s">
        <v>189</v>
      </c>
      <c r="J431" s="33">
        <v>2022</v>
      </c>
      <c r="K431" s="34"/>
      <c r="L431" s="34"/>
      <c r="M431" s="33" t="s">
        <v>73</v>
      </c>
      <c r="N431" s="37" t="s">
        <v>336</v>
      </c>
      <c r="O431" s="33" t="s">
        <v>337</v>
      </c>
      <c r="P431" s="33" t="s">
        <v>338</v>
      </c>
      <c r="Q431" s="33" t="s">
        <v>157</v>
      </c>
      <c r="R431" s="34"/>
      <c r="S431" s="38"/>
      <c r="T431" s="38" t="s">
        <v>12690</v>
      </c>
    </row>
    <row r="432" spans="1:20" x14ac:dyDescent="0.25">
      <c r="A432" s="33" t="s">
        <v>2557</v>
      </c>
      <c r="B432" s="33" t="s">
        <v>2556</v>
      </c>
      <c r="C432" s="33" t="s">
        <v>141</v>
      </c>
      <c r="D432" s="34"/>
      <c r="E432" s="33">
        <v>2021</v>
      </c>
      <c r="F432" s="34"/>
      <c r="G432" s="34"/>
      <c r="H432" s="33" t="s">
        <v>2558</v>
      </c>
      <c r="I432" s="33" t="s">
        <v>196</v>
      </c>
      <c r="J432" s="33">
        <v>2021</v>
      </c>
      <c r="K432" s="33">
        <v>9780738146690</v>
      </c>
      <c r="L432" s="34"/>
      <c r="M432" s="33" t="s">
        <v>1458</v>
      </c>
      <c r="N432" s="37" t="s">
        <v>2559</v>
      </c>
      <c r="O432" s="33" t="s">
        <v>2560</v>
      </c>
      <c r="P432" s="33" t="s">
        <v>2561</v>
      </c>
      <c r="Q432" s="33" t="s">
        <v>318</v>
      </c>
      <c r="R432" s="34"/>
      <c r="S432" s="38"/>
      <c r="T432" s="38" t="s">
        <v>12690</v>
      </c>
    </row>
    <row r="433" spans="1:20" x14ac:dyDescent="0.25">
      <c r="A433" s="33" t="s">
        <v>12114</v>
      </c>
      <c r="B433" s="33" t="s">
        <v>12113</v>
      </c>
      <c r="C433" s="33" t="s">
        <v>141</v>
      </c>
      <c r="D433" s="34"/>
      <c r="E433" s="33">
        <v>2022</v>
      </c>
      <c r="F433" s="34"/>
      <c r="G433" s="34"/>
      <c r="H433" s="33" t="s">
        <v>12115</v>
      </c>
      <c r="I433" s="44" t="s">
        <v>12733</v>
      </c>
      <c r="J433" s="33">
        <v>2022</v>
      </c>
      <c r="K433" s="33">
        <v>9781450392730</v>
      </c>
      <c r="L433" s="33" t="s">
        <v>12122</v>
      </c>
      <c r="M433" s="34"/>
      <c r="N433" s="37" t="s">
        <v>12118</v>
      </c>
      <c r="O433" s="33" t="s">
        <v>12119</v>
      </c>
      <c r="P433" s="33" t="s">
        <v>12120</v>
      </c>
      <c r="Q433" s="36"/>
      <c r="R433" s="36"/>
      <c r="S433" s="33" t="s">
        <v>12121</v>
      </c>
      <c r="T433" s="33" t="s">
        <v>12692</v>
      </c>
    </row>
    <row r="434" spans="1:20" x14ac:dyDescent="0.25">
      <c r="A434" s="33" t="s">
        <v>4868</v>
      </c>
      <c r="B434" s="33" t="s">
        <v>5806</v>
      </c>
      <c r="C434" s="33" t="s">
        <v>141</v>
      </c>
      <c r="D434" s="34"/>
      <c r="E434" s="33">
        <v>2020</v>
      </c>
      <c r="F434" s="34"/>
      <c r="G434" s="34"/>
      <c r="H434" s="33" t="s">
        <v>6714</v>
      </c>
      <c r="I434" s="33" t="s">
        <v>6715</v>
      </c>
      <c r="J434" s="43">
        <v>43862</v>
      </c>
      <c r="K434" s="36"/>
      <c r="L434" s="36"/>
      <c r="M434" s="33" t="s">
        <v>6593</v>
      </c>
      <c r="N434" s="37" t="s">
        <v>6716</v>
      </c>
      <c r="O434" s="33" t="s">
        <v>4871</v>
      </c>
      <c r="P434" s="33" t="s">
        <v>6717</v>
      </c>
      <c r="Q434" s="36"/>
      <c r="R434" s="36"/>
      <c r="S434" s="33" t="s">
        <v>6718</v>
      </c>
      <c r="T434" s="38" t="s">
        <v>12688</v>
      </c>
    </row>
    <row r="435" spans="1:20" x14ac:dyDescent="0.25">
      <c r="A435" s="33" t="s">
        <v>4868</v>
      </c>
      <c r="B435" s="33" t="s">
        <v>4867</v>
      </c>
      <c r="C435" s="33" t="s">
        <v>141</v>
      </c>
      <c r="D435" s="34"/>
      <c r="E435" s="33">
        <v>2020</v>
      </c>
      <c r="F435" s="34"/>
      <c r="G435" s="34"/>
      <c r="H435" s="33" t="s">
        <v>4869</v>
      </c>
      <c r="I435" s="33" t="s">
        <v>257</v>
      </c>
      <c r="J435" s="33">
        <v>2020</v>
      </c>
      <c r="K435" s="33">
        <v>9781728151434</v>
      </c>
      <c r="L435" s="34"/>
      <c r="M435" s="34"/>
      <c r="N435" s="37" t="s">
        <v>4870</v>
      </c>
      <c r="O435" s="33" t="s">
        <v>4871</v>
      </c>
      <c r="P435" s="33" t="s">
        <v>4872</v>
      </c>
      <c r="Q435" s="33" t="s">
        <v>2823</v>
      </c>
      <c r="R435" s="34"/>
      <c r="S435" s="38"/>
      <c r="T435" s="38" t="s">
        <v>12690</v>
      </c>
    </row>
    <row r="436" spans="1:20" x14ac:dyDescent="0.25">
      <c r="A436" s="33" t="s">
        <v>3902</v>
      </c>
      <c r="B436" s="33" t="s">
        <v>3901</v>
      </c>
      <c r="C436" s="33" t="s">
        <v>13</v>
      </c>
      <c r="D436" s="33" t="s">
        <v>255</v>
      </c>
      <c r="E436" s="33">
        <v>2019</v>
      </c>
      <c r="F436" s="33">
        <v>45</v>
      </c>
      <c r="G436" s="33">
        <v>12</v>
      </c>
      <c r="H436" s="33" t="s">
        <v>6417</v>
      </c>
      <c r="I436" s="34"/>
      <c r="J436" s="35">
        <v>43800</v>
      </c>
      <c r="K436" s="36"/>
      <c r="L436" s="36"/>
      <c r="M436" s="33" t="s">
        <v>6115</v>
      </c>
      <c r="N436" s="37" t="s">
        <v>6418</v>
      </c>
      <c r="O436" s="33" t="s">
        <v>3905</v>
      </c>
      <c r="P436" s="33" t="s">
        <v>6419</v>
      </c>
      <c r="Q436" s="36"/>
      <c r="R436" s="36"/>
      <c r="S436" s="33" t="s">
        <v>6420</v>
      </c>
      <c r="T436" s="38" t="s">
        <v>12688</v>
      </c>
    </row>
    <row r="437" spans="1:20" x14ac:dyDescent="0.25">
      <c r="A437" s="33" t="s">
        <v>3902</v>
      </c>
      <c r="B437" s="33" t="s">
        <v>3901</v>
      </c>
      <c r="C437" s="33" t="s">
        <v>13</v>
      </c>
      <c r="D437" s="33" t="s">
        <v>255</v>
      </c>
      <c r="E437" s="33">
        <v>2019</v>
      </c>
      <c r="F437" s="33">
        <v>45</v>
      </c>
      <c r="G437" s="33">
        <v>12</v>
      </c>
      <c r="H437" s="33" t="s">
        <v>3903</v>
      </c>
      <c r="I437" s="33" t="s">
        <v>257</v>
      </c>
      <c r="J437" s="33">
        <v>2019</v>
      </c>
      <c r="K437" s="34"/>
      <c r="L437" s="34"/>
      <c r="M437" s="33" t="s">
        <v>18</v>
      </c>
      <c r="N437" s="37" t="s">
        <v>3904</v>
      </c>
      <c r="O437" s="33" t="s">
        <v>3905</v>
      </c>
      <c r="P437" s="33" t="s">
        <v>3906</v>
      </c>
      <c r="Q437" s="33" t="s">
        <v>3907</v>
      </c>
      <c r="R437" s="34"/>
      <c r="S437" s="38"/>
      <c r="T437" s="38" t="s">
        <v>12690</v>
      </c>
    </row>
    <row r="438" spans="1:20" x14ac:dyDescent="0.25">
      <c r="A438" s="33" t="s">
        <v>12044</v>
      </c>
      <c r="B438" s="33" t="s">
        <v>1759</v>
      </c>
      <c r="C438" s="33" t="s">
        <v>141</v>
      </c>
      <c r="D438" s="34"/>
      <c r="E438" s="33">
        <v>2021</v>
      </c>
      <c r="F438" s="34"/>
      <c r="G438" s="34"/>
      <c r="H438" s="33" t="s">
        <v>12045</v>
      </c>
      <c r="I438" s="44" t="s">
        <v>12734</v>
      </c>
      <c r="J438" s="33">
        <v>2021</v>
      </c>
      <c r="K438" s="33">
        <v>9781450385626</v>
      </c>
      <c r="L438" s="33" t="s">
        <v>11815</v>
      </c>
      <c r="M438" s="34"/>
      <c r="N438" s="37" t="s">
        <v>12046</v>
      </c>
      <c r="O438" s="33" t="s">
        <v>1763</v>
      </c>
      <c r="P438" s="33" t="s">
        <v>12047</v>
      </c>
      <c r="Q438" s="36"/>
      <c r="R438" s="36"/>
      <c r="S438" s="33" t="s">
        <v>12048</v>
      </c>
      <c r="T438" s="33" t="s">
        <v>12692</v>
      </c>
    </row>
    <row r="439" spans="1:20" x14ac:dyDescent="0.25">
      <c r="A439" s="33" t="s">
        <v>12044</v>
      </c>
      <c r="B439" s="33" t="s">
        <v>1759</v>
      </c>
      <c r="C439" s="33" t="s">
        <v>141</v>
      </c>
      <c r="D439" s="34"/>
      <c r="E439" s="33">
        <v>2021</v>
      </c>
      <c r="F439" s="34"/>
      <c r="G439" s="34"/>
      <c r="H439" s="33" t="s">
        <v>1761</v>
      </c>
      <c r="I439" s="33" t="s">
        <v>153</v>
      </c>
      <c r="J439" s="33">
        <v>2021</v>
      </c>
      <c r="K439" s="33">
        <v>9781450385626</v>
      </c>
      <c r="L439" s="34"/>
      <c r="M439" s="34"/>
      <c r="N439" s="37" t="s">
        <v>1762</v>
      </c>
      <c r="O439" s="33" t="s">
        <v>1763</v>
      </c>
      <c r="P439" s="33" t="s">
        <v>1764</v>
      </c>
      <c r="Q439" s="33" t="s">
        <v>1765</v>
      </c>
      <c r="R439" s="34"/>
      <c r="S439" s="38"/>
      <c r="T439" s="38" t="s">
        <v>12690</v>
      </c>
    </row>
    <row r="440" spans="1:20" x14ac:dyDescent="0.25">
      <c r="A440" s="33" t="s">
        <v>3550</v>
      </c>
      <c r="B440" s="33" t="s">
        <v>3549</v>
      </c>
      <c r="C440" s="33" t="s">
        <v>141</v>
      </c>
      <c r="D440" s="34"/>
      <c r="E440" s="33">
        <v>2021</v>
      </c>
      <c r="F440" s="45">
        <v>43831</v>
      </c>
      <c r="G440" s="34"/>
      <c r="H440" s="33" t="s">
        <v>3551</v>
      </c>
      <c r="I440" s="33" t="s">
        <v>196</v>
      </c>
      <c r="J440" s="33">
        <v>2021</v>
      </c>
      <c r="K440" s="33">
        <v>9780998133140</v>
      </c>
      <c r="L440" s="34"/>
      <c r="M440" s="33" t="s">
        <v>3552</v>
      </c>
      <c r="N440" s="37" t="s">
        <v>3553</v>
      </c>
      <c r="O440" s="34"/>
      <c r="P440" s="33" t="s">
        <v>3554</v>
      </c>
      <c r="Q440" s="33" t="s">
        <v>157</v>
      </c>
      <c r="R440" s="34"/>
      <c r="S440" s="38"/>
      <c r="T440" s="38" t="s">
        <v>12690</v>
      </c>
    </row>
    <row r="441" spans="1:20" x14ac:dyDescent="0.25">
      <c r="A441" s="33" t="s">
        <v>2741</v>
      </c>
      <c r="B441" s="33" t="s">
        <v>2740</v>
      </c>
      <c r="C441" s="33" t="s">
        <v>13</v>
      </c>
      <c r="D441" s="33" t="s">
        <v>264</v>
      </c>
      <c r="E441" s="33">
        <v>2021</v>
      </c>
      <c r="F441" s="33">
        <v>51</v>
      </c>
      <c r="G441" s="33">
        <v>1</v>
      </c>
      <c r="H441" s="33" t="s">
        <v>2742</v>
      </c>
      <c r="I441" s="33" t="s">
        <v>266</v>
      </c>
      <c r="J441" s="33">
        <v>2021</v>
      </c>
      <c r="K441" s="34"/>
      <c r="L441" s="34"/>
      <c r="M441" s="33" t="s">
        <v>267</v>
      </c>
      <c r="N441" s="37" t="s">
        <v>2743</v>
      </c>
      <c r="O441" s="33" t="s">
        <v>2744</v>
      </c>
      <c r="P441" s="33" t="s">
        <v>2745</v>
      </c>
      <c r="Q441" s="33" t="s">
        <v>1656</v>
      </c>
      <c r="R441" s="34"/>
      <c r="S441" s="38"/>
      <c r="T441" s="38" t="s">
        <v>12690</v>
      </c>
    </row>
    <row r="442" spans="1:20" x14ac:dyDescent="0.25">
      <c r="A442" s="39" t="s">
        <v>10217</v>
      </c>
      <c r="B442" s="39" t="s">
        <v>10219</v>
      </c>
      <c r="C442" s="39" t="s">
        <v>9539</v>
      </c>
      <c r="D442" s="36"/>
      <c r="E442" s="39">
        <v>2019</v>
      </c>
      <c r="F442" s="40"/>
      <c r="G442" s="40"/>
      <c r="H442" s="36"/>
      <c r="I442" s="39" t="s">
        <v>10216</v>
      </c>
      <c r="J442" s="36"/>
      <c r="K442" s="36"/>
      <c r="L442" s="36"/>
      <c r="M442" s="34"/>
      <c r="N442" s="41" t="s">
        <v>10220</v>
      </c>
      <c r="O442" s="39" t="s">
        <v>10218</v>
      </c>
      <c r="P442" s="33"/>
      <c r="Q442" s="36"/>
      <c r="R442" s="34"/>
      <c r="S442" s="38"/>
      <c r="T442" s="38" t="s">
        <v>12689</v>
      </c>
    </row>
    <row r="443" spans="1:20" x14ac:dyDescent="0.25">
      <c r="A443" s="33" t="s">
        <v>7880</v>
      </c>
      <c r="B443" s="33" t="s">
        <v>7879</v>
      </c>
      <c r="C443" s="33" t="s">
        <v>141</v>
      </c>
      <c r="D443" s="34"/>
      <c r="E443" s="33">
        <v>2020</v>
      </c>
      <c r="F443" s="34"/>
      <c r="G443" s="34"/>
      <c r="H443" s="42">
        <v>44932</v>
      </c>
      <c r="I443" s="33" t="s">
        <v>7881</v>
      </c>
      <c r="J443" s="43">
        <v>43983</v>
      </c>
      <c r="K443" s="36"/>
      <c r="L443" s="36"/>
      <c r="M443" s="34"/>
      <c r="N443" s="37" t="s">
        <v>7882</v>
      </c>
      <c r="O443" s="33" t="s">
        <v>7883</v>
      </c>
      <c r="P443" s="33" t="s">
        <v>7884</v>
      </c>
      <c r="Q443" s="36"/>
      <c r="R443" s="36"/>
      <c r="S443" s="33" t="s">
        <v>7885</v>
      </c>
      <c r="T443" s="38" t="s">
        <v>12688</v>
      </c>
    </row>
    <row r="444" spans="1:20" x14ac:dyDescent="0.25">
      <c r="A444" s="33" t="s">
        <v>6914</v>
      </c>
      <c r="B444" s="33" t="s">
        <v>6913</v>
      </c>
      <c r="C444" s="33" t="s">
        <v>141</v>
      </c>
      <c r="D444" s="34"/>
      <c r="E444" s="33">
        <v>2019</v>
      </c>
      <c r="F444" s="34"/>
      <c r="G444" s="34"/>
      <c r="H444" s="33" t="s">
        <v>6915</v>
      </c>
      <c r="I444" s="33" t="s">
        <v>6916</v>
      </c>
      <c r="J444" s="35">
        <v>43739</v>
      </c>
      <c r="K444" s="36"/>
      <c r="L444" s="36"/>
      <c r="M444" s="33" t="s">
        <v>6917</v>
      </c>
      <c r="N444" s="37" t="s">
        <v>6918</v>
      </c>
      <c r="O444" s="33" t="s">
        <v>6919</v>
      </c>
      <c r="P444" s="33" t="s">
        <v>6920</v>
      </c>
      <c r="Q444" s="36"/>
      <c r="R444" s="36"/>
      <c r="S444" s="33" t="s">
        <v>6921</v>
      </c>
      <c r="T444" s="38" t="s">
        <v>12688</v>
      </c>
    </row>
    <row r="445" spans="1:20" x14ac:dyDescent="0.25">
      <c r="A445" s="33" t="s">
        <v>5943</v>
      </c>
      <c r="B445" s="33" t="s">
        <v>5942</v>
      </c>
      <c r="C445" s="33" t="s">
        <v>141</v>
      </c>
      <c r="D445" s="34"/>
      <c r="E445" s="33">
        <v>2017</v>
      </c>
      <c r="F445" s="45">
        <v>42736</v>
      </c>
      <c r="G445" s="34"/>
      <c r="H445" s="33" t="s">
        <v>4741</v>
      </c>
      <c r="I445" s="33" t="s">
        <v>257</v>
      </c>
      <c r="J445" s="33">
        <v>2017</v>
      </c>
      <c r="K445" s="33">
        <v>9781538606834</v>
      </c>
      <c r="L445" s="34"/>
      <c r="M445" s="34"/>
      <c r="N445" s="37" t="s">
        <v>5944</v>
      </c>
      <c r="O445" s="33" t="s">
        <v>5945</v>
      </c>
      <c r="P445" s="33" t="s">
        <v>5946</v>
      </c>
      <c r="Q445" s="33" t="s">
        <v>5947</v>
      </c>
      <c r="R445" s="34"/>
      <c r="S445" s="38"/>
      <c r="T445" s="38" t="s">
        <v>12690</v>
      </c>
    </row>
    <row r="446" spans="1:20" x14ac:dyDescent="0.25">
      <c r="A446" s="33" t="s">
        <v>2471</v>
      </c>
      <c r="B446" s="33" t="s">
        <v>2470</v>
      </c>
      <c r="C446" s="33" t="s">
        <v>141</v>
      </c>
      <c r="D446" s="34"/>
      <c r="E446" s="33">
        <v>2022</v>
      </c>
      <c r="F446" s="45">
        <v>44621</v>
      </c>
      <c r="G446" s="34"/>
      <c r="H446" s="33" t="s">
        <v>2472</v>
      </c>
      <c r="I446" s="33" t="s">
        <v>196</v>
      </c>
      <c r="J446" s="33">
        <v>2022</v>
      </c>
      <c r="K446" s="33">
        <v>9781450392983</v>
      </c>
      <c r="L446" s="34"/>
      <c r="M446" s="34"/>
      <c r="N446" s="37" t="s">
        <v>2473</v>
      </c>
      <c r="O446" s="33" t="s">
        <v>2474</v>
      </c>
      <c r="P446" s="33" t="s">
        <v>2475</v>
      </c>
      <c r="Q446" s="33" t="s">
        <v>387</v>
      </c>
      <c r="R446" s="34"/>
      <c r="S446" s="38"/>
      <c r="T446" s="38" t="s">
        <v>12690</v>
      </c>
    </row>
    <row r="447" spans="1:20" x14ac:dyDescent="0.25">
      <c r="A447" s="33" t="s">
        <v>4602</v>
      </c>
      <c r="B447" s="33" t="s">
        <v>4601</v>
      </c>
      <c r="C447" s="33" t="s">
        <v>13</v>
      </c>
      <c r="D447" s="33" t="s">
        <v>1033</v>
      </c>
      <c r="E447" s="33">
        <v>2020</v>
      </c>
      <c r="F447" s="33">
        <v>45</v>
      </c>
      <c r="G447" s="33">
        <v>4</v>
      </c>
      <c r="H447" s="33" t="s">
        <v>4603</v>
      </c>
      <c r="I447" s="33" t="s">
        <v>137</v>
      </c>
      <c r="J447" s="33">
        <v>2020</v>
      </c>
      <c r="K447" s="34"/>
      <c r="L447" s="34"/>
      <c r="M447" s="33" t="s">
        <v>1035</v>
      </c>
      <c r="N447" s="37" t="s">
        <v>4604</v>
      </c>
      <c r="O447" s="33" t="s">
        <v>4605</v>
      </c>
      <c r="P447" s="33" t="s">
        <v>4606</v>
      </c>
      <c r="Q447" s="33" t="s">
        <v>4607</v>
      </c>
      <c r="R447" s="34"/>
      <c r="S447" s="38"/>
      <c r="T447" s="38" t="s">
        <v>12690</v>
      </c>
    </row>
    <row r="448" spans="1:20" x14ac:dyDescent="0.25">
      <c r="A448" s="33" t="s">
        <v>1670</v>
      </c>
      <c r="B448" s="33" t="s">
        <v>1669</v>
      </c>
      <c r="C448" s="33" t="s">
        <v>13</v>
      </c>
      <c r="D448" s="33" t="s">
        <v>1671</v>
      </c>
      <c r="E448" s="33">
        <v>2021</v>
      </c>
      <c r="F448" s="33">
        <v>13</v>
      </c>
      <c r="G448" s="33">
        <v>18</v>
      </c>
      <c r="H448" s="34"/>
      <c r="I448" s="33" t="s">
        <v>228</v>
      </c>
      <c r="J448" s="33">
        <v>2021</v>
      </c>
      <c r="K448" s="34"/>
      <c r="L448" s="34"/>
      <c r="M448" s="33" t="s">
        <v>1672</v>
      </c>
      <c r="N448" s="37" t="s">
        <v>1673</v>
      </c>
      <c r="O448" s="33" t="s">
        <v>1674</v>
      </c>
      <c r="P448" s="33" t="s">
        <v>1675</v>
      </c>
      <c r="Q448" s="33" t="s">
        <v>1676</v>
      </c>
      <c r="R448" s="34"/>
      <c r="S448" s="38"/>
      <c r="T448" s="38" t="s">
        <v>12690</v>
      </c>
    </row>
    <row r="449" spans="1:20" x14ac:dyDescent="0.25">
      <c r="A449" s="39" t="s">
        <v>9453</v>
      </c>
      <c r="B449" s="39" t="s">
        <v>9455</v>
      </c>
      <c r="C449" s="39" t="s">
        <v>539</v>
      </c>
      <c r="D449" s="36"/>
      <c r="E449" s="39">
        <v>2022</v>
      </c>
      <c r="F449" s="40"/>
      <c r="G449" s="40"/>
      <c r="H449" s="36"/>
      <c r="I449" s="40"/>
      <c r="J449" s="36"/>
      <c r="K449" s="36"/>
      <c r="L449" s="36"/>
      <c r="M449" s="34"/>
      <c r="N449" s="41" t="s">
        <v>9456</v>
      </c>
      <c r="O449" s="39" t="s">
        <v>9454</v>
      </c>
      <c r="P449" s="33"/>
      <c r="Q449" s="36"/>
      <c r="R449" s="34"/>
      <c r="S449" s="38"/>
      <c r="T449" s="38" t="s">
        <v>12689</v>
      </c>
    </row>
    <row r="450" spans="1:20" x14ac:dyDescent="0.25">
      <c r="A450" s="39" t="s">
        <v>10201</v>
      </c>
      <c r="B450" s="39" t="s">
        <v>9455</v>
      </c>
      <c r="C450" s="39" t="s">
        <v>9539</v>
      </c>
      <c r="D450" s="36"/>
      <c r="E450" s="39">
        <v>2022</v>
      </c>
      <c r="F450" s="40"/>
      <c r="G450" s="40"/>
      <c r="H450" s="36"/>
      <c r="I450" s="39" t="s">
        <v>9453</v>
      </c>
      <c r="J450" s="36"/>
      <c r="K450" s="36"/>
      <c r="L450" s="36"/>
      <c r="M450" s="34"/>
      <c r="N450" s="41" t="s">
        <v>10203</v>
      </c>
      <c r="O450" s="39" t="s">
        <v>10202</v>
      </c>
      <c r="P450" s="33"/>
      <c r="Q450" s="36"/>
      <c r="R450" s="34"/>
      <c r="S450" s="38"/>
      <c r="T450" s="38" t="s">
        <v>12689</v>
      </c>
    </row>
    <row r="451" spans="1:20" x14ac:dyDescent="0.25">
      <c r="A451" s="33" t="s">
        <v>8135</v>
      </c>
      <c r="B451" s="33" t="s">
        <v>8134</v>
      </c>
      <c r="C451" s="33" t="s">
        <v>7972</v>
      </c>
      <c r="D451" s="34"/>
      <c r="E451" s="33">
        <v>2020</v>
      </c>
      <c r="F451" s="34"/>
      <c r="G451" s="34"/>
      <c r="H451" s="33" t="s">
        <v>8136</v>
      </c>
      <c r="I451" s="33" t="s">
        <v>12732</v>
      </c>
      <c r="J451" s="33">
        <v>2020</v>
      </c>
      <c r="K451" s="33">
        <v>9781119642831</v>
      </c>
      <c r="L451" s="36"/>
      <c r="M451" s="34"/>
      <c r="N451" s="37" t="s">
        <v>8138</v>
      </c>
      <c r="O451" s="33" t="s">
        <v>8139</v>
      </c>
      <c r="P451" s="33" t="s">
        <v>8140</v>
      </c>
      <c r="Q451" s="36"/>
      <c r="R451" s="36"/>
      <c r="S451" s="33" t="s">
        <v>8141</v>
      </c>
      <c r="T451" s="38" t="s">
        <v>12688</v>
      </c>
    </row>
    <row r="452" spans="1:20" x14ac:dyDescent="0.25">
      <c r="A452" s="33" t="s">
        <v>4837</v>
      </c>
      <c r="B452" s="33" t="s">
        <v>4836</v>
      </c>
      <c r="C452" s="33" t="s">
        <v>141</v>
      </c>
      <c r="D452" s="34"/>
      <c r="E452" s="33">
        <v>2020</v>
      </c>
      <c r="F452" s="34"/>
      <c r="G452" s="34"/>
      <c r="H452" s="34"/>
      <c r="I452" s="33" t="s">
        <v>257</v>
      </c>
      <c r="J452" s="33">
        <v>2020</v>
      </c>
      <c r="K452" s="33">
        <v>9781728169262</v>
      </c>
      <c r="L452" s="34"/>
      <c r="M452" s="34"/>
      <c r="N452" s="37" t="s">
        <v>4838</v>
      </c>
      <c r="O452" s="33" t="s">
        <v>4839</v>
      </c>
      <c r="P452" s="33" t="s">
        <v>4840</v>
      </c>
      <c r="Q452" s="33" t="s">
        <v>404</v>
      </c>
      <c r="R452" s="34"/>
      <c r="S452" s="38"/>
      <c r="T452" s="38" t="s">
        <v>12690</v>
      </c>
    </row>
    <row r="453" spans="1:20" x14ac:dyDescent="0.25">
      <c r="A453" s="39" t="s">
        <v>10633</v>
      </c>
      <c r="B453" s="39" t="s">
        <v>10635</v>
      </c>
      <c r="C453" s="39" t="s">
        <v>539</v>
      </c>
      <c r="D453" s="36"/>
      <c r="E453" s="39">
        <v>2021</v>
      </c>
      <c r="F453" s="40"/>
      <c r="G453" s="40"/>
      <c r="H453" s="36"/>
      <c r="I453" s="40"/>
      <c r="J453" s="36"/>
      <c r="K453" s="36"/>
      <c r="L453" s="36"/>
      <c r="M453" s="34"/>
      <c r="N453" s="41" t="s">
        <v>10636</v>
      </c>
      <c r="O453" s="39" t="s">
        <v>10634</v>
      </c>
      <c r="P453" s="33"/>
      <c r="Q453" s="36"/>
      <c r="R453" s="34"/>
      <c r="S453" s="38"/>
      <c r="T453" s="38" t="s">
        <v>12689</v>
      </c>
    </row>
    <row r="454" spans="1:20" x14ac:dyDescent="0.25">
      <c r="A454" s="39" t="s">
        <v>9904</v>
      </c>
      <c r="B454" s="39" t="s">
        <v>9906</v>
      </c>
      <c r="C454" s="39" t="s">
        <v>539</v>
      </c>
      <c r="D454" s="36"/>
      <c r="E454" s="39">
        <v>2021</v>
      </c>
      <c r="F454" s="40"/>
      <c r="G454" s="40"/>
      <c r="H454" s="36"/>
      <c r="I454" s="40"/>
      <c r="J454" s="36"/>
      <c r="K454" s="36"/>
      <c r="L454" s="36"/>
      <c r="M454" s="34"/>
      <c r="N454" s="41" t="s">
        <v>9907</v>
      </c>
      <c r="O454" s="39" t="s">
        <v>9905</v>
      </c>
      <c r="P454" s="33"/>
      <c r="Q454" s="36"/>
      <c r="R454" s="34"/>
      <c r="S454" s="38"/>
      <c r="T454" s="38" t="s">
        <v>12689</v>
      </c>
    </row>
    <row r="455" spans="1:20" x14ac:dyDescent="0.25">
      <c r="A455" s="39" t="s">
        <v>10457</v>
      </c>
      <c r="B455" s="39" t="s">
        <v>10459</v>
      </c>
      <c r="C455" s="39" t="s">
        <v>539</v>
      </c>
      <c r="D455" s="36"/>
      <c r="E455" s="39">
        <v>2023</v>
      </c>
      <c r="F455" s="40"/>
      <c r="G455" s="40"/>
      <c r="H455" s="36"/>
      <c r="I455" s="40"/>
      <c r="J455" s="36"/>
      <c r="K455" s="36"/>
      <c r="L455" s="36"/>
      <c r="M455" s="34"/>
      <c r="N455" s="41" t="s">
        <v>10460</v>
      </c>
      <c r="O455" s="39" t="s">
        <v>10458</v>
      </c>
      <c r="P455" s="33"/>
      <c r="Q455" s="36"/>
      <c r="R455" s="34"/>
      <c r="S455" s="38"/>
      <c r="T455" s="38" t="s">
        <v>12689</v>
      </c>
    </row>
    <row r="456" spans="1:20" x14ac:dyDescent="0.25">
      <c r="A456" s="33" t="s">
        <v>1863</v>
      </c>
      <c r="B456" s="33" t="s">
        <v>1862</v>
      </c>
      <c r="C456" s="33" t="s">
        <v>141</v>
      </c>
      <c r="D456" s="34"/>
      <c r="E456" s="33">
        <v>2022</v>
      </c>
      <c r="F456" s="34"/>
      <c r="G456" s="34"/>
      <c r="H456" s="33" t="s">
        <v>1864</v>
      </c>
      <c r="I456" s="33" t="s">
        <v>196</v>
      </c>
      <c r="J456" s="33">
        <v>2022</v>
      </c>
      <c r="K456" s="33">
        <v>9781665495981</v>
      </c>
      <c r="L456" s="34"/>
      <c r="M456" s="33" t="s">
        <v>1458</v>
      </c>
      <c r="N456" s="37" t="s">
        <v>1865</v>
      </c>
      <c r="O456" s="33" t="s">
        <v>1866</v>
      </c>
      <c r="P456" s="33" t="s">
        <v>1867</v>
      </c>
      <c r="Q456" s="33" t="s">
        <v>157</v>
      </c>
      <c r="R456" s="34"/>
      <c r="S456" s="38"/>
      <c r="T456" s="38" t="s">
        <v>12690</v>
      </c>
    </row>
    <row r="457" spans="1:20" x14ac:dyDescent="0.25">
      <c r="A457" s="33" t="s">
        <v>2944</v>
      </c>
      <c r="B457" s="33" t="s">
        <v>2943</v>
      </c>
      <c r="C457" s="33" t="s">
        <v>13</v>
      </c>
      <c r="D457" s="33" t="s">
        <v>878</v>
      </c>
      <c r="E457" s="33">
        <v>2021</v>
      </c>
      <c r="F457" s="34"/>
      <c r="G457" s="34"/>
      <c r="H457" s="34"/>
      <c r="I457" s="33" t="s">
        <v>266</v>
      </c>
      <c r="J457" s="33">
        <v>2021</v>
      </c>
      <c r="K457" s="34"/>
      <c r="L457" s="34"/>
      <c r="M457" s="33" t="s">
        <v>879</v>
      </c>
      <c r="N457" s="37" t="s">
        <v>2945</v>
      </c>
      <c r="O457" s="33" t="s">
        <v>2946</v>
      </c>
      <c r="P457" s="33" t="s">
        <v>2947</v>
      </c>
      <c r="Q457" s="33" t="s">
        <v>1656</v>
      </c>
      <c r="R457" s="34"/>
      <c r="S457" s="38"/>
      <c r="T457" s="38" t="s">
        <v>12690</v>
      </c>
    </row>
    <row r="458" spans="1:20" x14ac:dyDescent="0.25">
      <c r="A458" s="39" t="s">
        <v>10064</v>
      </c>
      <c r="B458" s="39" t="s">
        <v>10066</v>
      </c>
      <c r="C458" s="39" t="s">
        <v>9539</v>
      </c>
      <c r="D458" s="36"/>
      <c r="E458" s="39">
        <v>2020</v>
      </c>
      <c r="F458" s="40"/>
      <c r="G458" s="40"/>
      <c r="H458" s="36"/>
      <c r="I458" s="39" t="s">
        <v>9975</v>
      </c>
      <c r="J458" s="36"/>
      <c r="K458" s="36"/>
      <c r="L458" s="36"/>
      <c r="M458" s="34"/>
      <c r="N458" s="41" t="s">
        <v>10067</v>
      </c>
      <c r="O458" s="39" t="s">
        <v>10065</v>
      </c>
      <c r="P458" s="33"/>
      <c r="Q458" s="36"/>
      <c r="R458" s="34"/>
      <c r="S458" s="38"/>
      <c r="T458" s="38" t="s">
        <v>12689</v>
      </c>
    </row>
    <row r="459" spans="1:20" x14ac:dyDescent="0.25">
      <c r="A459" s="33" t="s">
        <v>4609</v>
      </c>
      <c r="B459" s="33" t="s">
        <v>4608</v>
      </c>
      <c r="C459" s="33" t="s">
        <v>141</v>
      </c>
      <c r="D459" s="34"/>
      <c r="E459" s="33">
        <v>2019</v>
      </c>
      <c r="F459" s="34"/>
      <c r="G459" s="34"/>
      <c r="H459" s="33" t="s">
        <v>4610</v>
      </c>
      <c r="I459" s="33" t="s">
        <v>257</v>
      </c>
      <c r="J459" s="33">
        <v>2019</v>
      </c>
      <c r="K459" s="33">
        <v>9781728151250</v>
      </c>
      <c r="L459" s="34"/>
      <c r="M459" s="34"/>
      <c r="N459" s="37" t="s">
        <v>4611</v>
      </c>
      <c r="O459" s="33" t="s">
        <v>4612</v>
      </c>
      <c r="P459" s="33" t="s">
        <v>4613</v>
      </c>
      <c r="Q459" s="33" t="s">
        <v>185</v>
      </c>
      <c r="R459" s="34"/>
      <c r="S459" s="38"/>
      <c r="T459" s="38" t="s">
        <v>12690</v>
      </c>
    </row>
    <row r="460" spans="1:20" x14ac:dyDescent="0.25">
      <c r="A460" s="33" t="s">
        <v>7056</v>
      </c>
      <c r="B460" s="33" t="s">
        <v>2232</v>
      </c>
      <c r="C460" s="33" t="s">
        <v>13</v>
      </c>
      <c r="D460" s="33" t="s">
        <v>255</v>
      </c>
      <c r="E460" s="33">
        <v>2022</v>
      </c>
      <c r="F460" s="33">
        <v>48</v>
      </c>
      <c r="G460" s="33">
        <v>1</v>
      </c>
      <c r="H460" s="33" t="s">
        <v>7057</v>
      </c>
      <c r="I460" s="34"/>
      <c r="J460" s="43">
        <v>44562</v>
      </c>
      <c r="K460" s="36"/>
      <c r="L460" s="36"/>
      <c r="M460" s="33" t="s">
        <v>6115</v>
      </c>
      <c r="N460" s="37" t="s">
        <v>7058</v>
      </c>
      <c r="O460" s="33" t="s">
        <v>2236</v>
      </c>
      <c r="P460" s="33" t="s">
        <v>7059</v>
      </c>
      <c r="Q460" s="36"/>
      <c r="R460" s="36"/>
      <c r="S460" s="33" t="s">
        <v>7060</v>
      </c>
      <c r="T460" s="38" t="s">
        <v>12688</v>
      </c>
    </row>
    <row r="461" spans="1:20" x14ac:dyDescent="0.25">
      <c r="A461" s="33" t="s">
        <v>7056</v>
      </c>
      <c r="B461" s="33" t="s">
        <v>2232</v>
      </c>
      <c r="C461" s="33" t="s">
        <v>13</v>
      </c>
      <c r="D461" s="33" t="s">
        <v>255</v>
      </c>
      <c r="E461" s="33">
        <v>2022</v>
      </c>
      <c r="F461" s="33">
        <v>48</v>
      </c>
      <c r="G461" s="33">
        <v>1</v>
      </c>
      <c r="H461" s="33" t="s">
        <v>2234</v>
      </c>
      <c r="I461" s="33" t="s">
        <v>257</v>
      </c>
      <c r="J461" s="33">
        <v>2022</v>
      </c>
      <c r="K461" s="34"/>
      <c r="L461" s="34"/>
      <c r="M461" s="33" t="s">
        <v>18</v>
      </c>
      <c r="N461" s="37" t="s">
        <v>2235</v>
      </c>
      <c r="O461" s="33" t="s">
        <v>2236</v>
      </c>
      <c r="P461" s="33" t="s">
        <v>2237</v>
      </c>
      <c r="Q461" s="33" t="s">
        <v>1404</v>
      </c>
      <c r="R461" s="34"/>
      <c r="S461" s="38"/>
      <c r="T461" s="38" t="s">
        <v>12690</v>
      </c>
    </row>
    <row r="462" spans="1:20" x14ac:dyDescent="0.25">
      <c r="A462" s="33" t="s">
        <v>3468</v>
      </c>
      <c r="B462" s="33" t="s">
        <v>3467</v>
      </c>
      <c r="C462" s="33" t="s">
        <v>141</v>
      </c>
      <c r="D462" s="34"/>
      <c r="E462" s="33">
        <v>2020</v>
      </c>
      <c r="F462" s="34"/>
      <c r="G462" s="34"/>
      <c r="H462" s="33" t="s">
        <v>3469</v>
      </c>
      <c r="I462" s="33" t="s">
        <v>153</v>
      </c>
      <c r="J462" s="33">
        <v>2020</v>
      </c>
      <c r="K462" s="33">
        <v>9781450370431</v>
      </c>
      <c r="L462" s="34"/>
      <c r="M462" s="34"/>
      <c r="N462" s="37" t="s">
        <v>3470</v>
      </c>
      <c r="O462" s="33" t="s">
        <v>3471</v>
      </c>
      <c r="P462" s="33" t="s">
        <v>3472</v>
      </c>
      <c r="Q462" s="33" t="s">
        <v>1656</v>
      </c>
      <c r="R462" s="34"/>
      <c r="S462" s="38"/>
      <c r="T462" s="38" t="s">
        <v>12690</v>
      </c>
    </row>
    <row r="463" spans="1:20" x14ac:dyDescent="0.25">
      <c r="A463" s="33" t="s">
        <v>2288</v>
      </c>
      <c r="B463" s="33" t="s">
        <v>2287</v>
      </c>
      <c r="C463" s="33" t="s">
        <v>13</v>
      </c>
      <c r="D463" s="33" t="s">
        <v>2289</v>
      </c>
      <c r="E463" s="33">
        <v>2022</v>
      </c>
      <c r="F463" s="33">
        <v>73</v>
      </c>
      <c r="G463" s="33">
        <v>4</v>
      </c>
      <c r="H463" s="33" t="s">
        <v>2290</v>
      </c>
      <c r="I463" s="33" t="s">
        <v>1714</v>
      </c>
      <c r="J463" s="33">
        <v>2022</v>
      </c>
      <c r="K463" s="34"/>
      <c r="L463" s="34"/>
      <c r="M463" s="33" t="s">
        <v>2291</v>
      </c>
      <c r="N463" s="37" t="s">
        <v>2292</v>
      </c>
      <c r="O463" s="33" t="s">
        <v>2293</v>
      </c>
      <c r="P463" s="33" t="s">
        <v>2294</v>
      </c>
      <c r="Q463" s="33" t="s">
        <v>318</v>
      </c>
      <c r="R463" s="34"/>
      <c r="S463" s="38"/>
      <c r="T463" s="38" t="s">
        <v>12690</v>
      </c>
    </row>
    <row r="464" spans="1:20" x14ac:dyDescent="0.25">
      <c r="A464" s="39" t="s">
        <v>10616</v>
      </c>
      <c r="B464" s="39" t="s">
        <v>10618</v>
      </c>
      <c r="C464" s="39" t="s">
        <v>539</v>
      </c>
      <c r="D464" s="36"/>
      <c r="E464" s="39">
        <v>2020</v>
      </c>
      <c r="F464" s="40"/>
      <c r="G464" s="40"/>
      <c r="H464" s="36"/>
      <c r="I464" s="39" t="s">
        <v>10600</v>
      </c>
      <c r="J464" s="36"/>
      <c r="K464" s="36"/>
      <c r="L464" s="36"/>
      <c r="M464" s="34"/>
      <c r="N464" s="41" t="s">
        <v>10619</v>
      </c>
      <c r="O464" s="39" t="s">
        <v>10617</v>
      </c>
      <c r="P464" s="33"/>
      <c r="Q464" s="36"/>
      <c r="R464" s="34"/>
      <c r="S464" s="38"/>
      <c r="T464" s="38" t="s">
        <v>12689</v>
      </c>
    </row>
    <row r="465" spans="1:20" x14ac:dyDescent="0.25">
      <c r="A465" s="33" t="s">
        <v>3082</v>
      </c>
      <c r="B465" s="33" t="s">
        <v>3081</v>
      </c>
      <c r="C465" s="33" t="s">
        <v>13</v>
      </c>
      <c r="D465" s="33" t="s">
        <v>255</v>
      </c>
      <c r="E465" s="33">
        <v>2021</v>
      </c>
      <c r="F465" s="33">
        <v>47</v>
      </c>
      <c r="G465" s="33">
        <v>1</v>
      </c>
      <c r="H465" s="33" t="s">
        <v>7028</v>
      </c>
      <c r="I465" s="34"/>
      <c r="J465" s="43">
        <v>44197</v>
      </c>
      <c r="K465" s="36"/>
      <c r="L465" s="36"/>
      <c r="M465" s="33" t="s">
        <v>6115</v>
      </c>
      <c r="N465" s="37" t="s">
        <v>7029</v>
      </c>
      <c r="O465" s="33" t="s">
        <v>3085</v>
      </c>
      <c r="P465" s="33" t="s">
        <v>7030</v>
      </c>
      <c r="Q465" s="36"/>
      <c r="R465" s="36"/>
      <c r="S465" s="33" t="s">
        <v>7031</v>
      </c>
      <c r="T465" s="38" t="s">
        <v>12688</v>
      </c>
    </row>
    <row r="466" spans="1:20" x14ac:dyDescent="0.25">
      <c r="A466" s="33" t="s">
        <v>3082</v>
      </c>
      <c r="B466" s="33" t="s">
        <v>3081</v>
      </c>
      <c r="C466" s="33" t="s">
        <v>13</v>
      </c>
      <c r="D466" s="33" t="s">
        <v>255</v>
      </c>
      <c r="E466" s="33">
        <v>2021</v>
      </c>
      <c r="F466" s="33">
        <v>47</v>
      </c>
      <c r="G466" s="33">
        <v>1</v>
      </c>
      <c r="H466" s="33" t="s">
        <v>3083</v>
      </c>
      <c r="I466" s="33" t="s">
        <v>257</v>
      </c>
      <c r="J466" s="33">
        <v>2021</v>
      </c>
      <c r="K466" s="34"/>
      <c r="L466" s="34"/>
      <c r="M466" s="33" t="s">
        <v>18</v>
      </c>
      <c r="N466" s="37" t="s">
        <v>3084</v>
      </c>
      <c r="O466" s="33" t="s">
        <v>3085</v>
      </c>
      <c r="P466" s="33" t="s">
        <v>3086</v>
      </c>
      <c r="Q466" s="33" t="s">
        <v>2823</v>
      </c>
      <c r="R466" s="34"/>
      <c r="S466" s="38"/>
      <c r="T466" s="38" t="s">
        <v>12690</v>
      </c>
    </row>
    <row r="467" spans="1:20" x14ac:dyDescent="0.25">
      <c r="A467" s="33" t="s">
        <v>5058</v>
      </c>
      <c r="B467" s="33" t="s">
        <v>5057</v>
      </c>
      <c r="C467" s="33" t="s">
        <v>141</v>
      </c>
      <c r="D467" s="34"/>
      <c r="E467" s="33">
        <v>2020</v>
      </c>
      <c r="F467" s="34"/>
      <c r="G467" s="34"/>
      <c r="H467" s="33" t="s">
        <v>11523</v>
      </c>
      <c r="I467" s="44" t="s">
        <v>12716</v>
      </c>
      <c r="J467" s="33">
        <v>2020</v>
      </c>
      <c r="K467" s="33">
        <v>9781450375177</v>
      </c>
      <c r="L467" s="33" t="s">
        <v>11527</v>
      </c>
      <c r="M467" s="34"/>
      <c r="N467" s="37" t="s">
        <v>11525</v>
      </c>
      <c r="O467" s="33" t="s">
        <v>5061</v>
      </c>
      <c r="P467" s="33" t="s">
        <v>11526</v>
      </c>
      <c r="Q467" s="36"/>
      <c r="R467" s="36"/>
      <c r="S467" s="34"/>
      <c r="T467" s="33" t="s">
        <v>12692</v>
      </c>
    </row>
    <row r="468" spans="1:20" x14ac:dyDescent="0.25">
      <c r="A468" s="33" t="s">
        <v>5058</v>
      </c>
      <c r="B468" s="33" t="s">
        <v>5057</v>
      </c>
      <c r="C468" s="33" t="s">
        <v>141</v>
      </c>
      <c r="D468" s="34"/>
      <c r="E468" s="33">
        <v>2020</v>
      </c>
      <c r="F468" s="34"/>
      <c r="G468" s="34"/>
      <c r="H468" s="33" t="s">
        <v>5059</v>
      </c>
      <c r="I468" s="33" t="s">
        <v>153</v>
      </c>
      <c r="J468" s="33">
        <v>2020</v>
      </c>
      <c r="K468" s="33">
        <v>9781450379571</v>
      </c>
      <c r="L468" s="34"/>
      <c r="M468" s="34"/>
      <c r="N468" s="37" t="s">
        <v>5060</v>
      </c>
      <c r="O468" s="33" t="s">
        <v>5061</v>
      </c>
      <c r="P468" s="33" t="s">
        <v>5062</v>
      </c>
      <c r="Q468" s="33" t="s">
        <v>4286</v>
      </c>
      <c r="R468" s="34"/>
      <c r="S468" s="38"/>
      <c r="T468" s="38" t="s">
        <v>12690</v>
      </c>
    </row>
    <row r="469" spans="1:20" x14ac:dyDescent="0.25">
      <c r="A469" s="33" t="s">
        <v>8164</v>
      </c>
      <c r="B469" s="33" t="s">
        <v>8134</v>
      </c>
      <c r="C469" s="33" t="s">
        <v>7972</v>
      </c>
      <c r="D469" s="34"/>
      <c r="E469" s="33">
        <v>2020</v>
      </c>
      <c r="F469" s="34"/>
      <c r="G469" s="34"/>
      <c r="H469" s="33" t="s">
        <v>8165</v>
      </c>
      <c r="I469" s="33" t="s">
        <v>12732</v>
      </c>
      <c r="J469" s="33">
        <v>2020</v>
      </c>
      <c r="K469" s="33">
        <v>9781119642831</v>
      </c>
      <c r="L469" s="36"/>
      <c r="M469" s="34"/>
      <c r="N469" s="37" t="s">
        <v>8166</v>
      </c>
      <c r="O469" s="33" t="s">
        <v>8167</v>
      </c>
      <c r="P469" s="34"/>
      <c r="Q469" s="36"/>
      <c r="R469" s="36"/>
      <c r="S469" s="34"/>
      <c r="T469" s="38" t="s">
        <v>12688</v>
      </c>
    </row>
    <row r="470" spans="1:20" x14ac:dyDescent="0.25">
      <c r="A470" s="33" t="s">
        <v>2813</v>
      </c>
      <c r="B470" s="33" t="s">
        <v>2812</v>
      </c>
      <c r="C470" s="33" t="s">
        <v>13</v>
      </c>
      <c r="D470" s="33" t="s">
        <v>462</v>
      </c>
      <c r="E470" s="33">
        <v>2021</v>
      </c>
      <c r="F470" s="33">
        <v>1375</v>
      </c>
      <c r="G470" s="34"/>
      <c r="H470" s="33" t="s">
        <v>2814</v>
      </c>
      <c r="I470" s="33" t="s">
        <v>212</v>
      </c>
      <c r="J470" s="33">
        <v>2021</v>
      </c>
      <c r="K470" s="34"/>
      <c r="L470" s="34"/>
      <c r="M470" s="33" t="s">
        <v>465</v>
      </c>
      <c r="N470" s="37" t="s">
        <v>2815</v>
      </c>
      <c r="O470" s="33" t="s">
        <v>2816</v>
      </c>
      <c r="P470" s="33" t="s">
        <v>2817</v>
      </c>
      <c r="Q470" s="33" t="s">
        <v>157</v>
      </c>
      <c r="R470" s="34"/>
      <c r="S470" s="38"/>
      <c r="T470" s="38" t="s">
        <v>12690</v>
      </c>
    </row>
    <row r="471" spans="1:20" x14ac:dyDescent="0.25">
      <c r="A471" s="33" t="s">
        <v>3956</v>
      </c>
      <c r="B471" s="33" t="s">
        <v>1371</v>
      </c>
      <c r="C471" s="33" t="s">
        <v>141</v>
      </c>
      <c r="D471" s="34"/>
      <c r="E471" s="33">
        <v>2019</v>
      </c>
      <c r="F471" s="34"/>
      <c r="G471" s="34"/>
      <c r="H471" s="33" t="s">
        <v>3957</v>
      </c>
      <c r="I471" s="33" t="s">
        <v>257</v>
      </c>
      <c r="J471" s="33">
        <v>2019</v>
      </c>
      <c r="K471" s="33">
        <v>9781728127729</v>
      </c>
      <c r="L471" s="34"/>
      <c r="M471" s="34"/>
      <c r="N471" s="37" t="s">
        <v>3958</v>
      </c>
      <c r="O471" s="33" t="s">
        <v>3959</v>
      </c>
      <c r="P471" s="33" t="s">
        <v>3960</v>
      </c>
      <c r="Q471" s="33" t="s">
        <v>397</v>
      </c>
      <c r="R471" s="34"/>
      <c r="S471" s="38"/>
      <c r="T471" s="38" t="s">
        <v>12690</v>
      </c>
    </row>
    <row r="472" spans="1:20" x14ac:dyDescent="0.25">
      <c r="A472" s="33" t="s">
        <v>6631</v>
      </c>
      <c r="B472" s="33" t="s">
        <v>4561</v>
      </c>
      <c r="C472" s="33" t="s">
        <v>141</v>
      </c>
      <c r="D472" s="34"/>
      <c r="E472" s="33">
        <v>2020</v>
      </c>
      <c r="F472" s="34"/>
      <c r="G472" s="34"/>
      <c r="H472" s="33" t="s">
        <v>12162</v>
      </c>
      <c r="I472" s="44" t="s">
        <v>12735</v>
      </c>
      <c r="J472" s="33">
        <v>2020</v>
      </c>
      <c r="K472" s="33">
        <v>9781450371216</v>
      </c>
      <c r="L472" s="33" t="s">
        <v>11050</v>
      </c>
      <c r="M472" s="34"/>
      <c r="N472" s="37" t="s">
        <v>12164</v>
      </c>
      <c r="O472" s="33" t="s">
        <v>4565</v>
      </c>
      <c r="P472" s="33" t="s">
        <v>12165</v>
      </c>
      <c r="Q472" s="36"/>
      <c r="R472" s="36"/>
      <c r="S472" s="33" t="s">
        <v>12166</v>
      </c>
      <c r="T472" s="33" t="s">
        <v>12692</v>
      </c>
    </row>
    <row r="473" spans="1:20" x14ac:dyDescent="0.25">
      <c r="A473" s="33" t="s">
        <v>6631</v>
      </c>
      <c r="B473" s="33" t="s">
        <v>4561</v>
      </c>
      <c r="C473" s="33" t="s">
        <v>141</v>
      </c>
      <c r="D473" s="34"/>
      <c r="E473" s="33">
        <v>2020</v>
      </c>
      <c r="F473" s="34"/>
      <c r="G473" s="34"/>
      <c r="H473" s="33" t="s">
        <v>6632</v>
      </c>
      <c r="I473" s="33" t="s">
        <v>6633</v>
      </c>
      <c r="J473" s="35">
        <v>44105</v>
      </c>
      <c r="K473" s="36"/>
      <c r="L473" s="36"/>
      <c r="M473" s="33" t="s">
        <v>6336</v>
      </c>
      <c r="N473" s="34"/>
      <c r="O473" s="34"/>
      <c r="P473" s="33" t="s">
        <v>6634</v>
      </c>
      <c r="Q473" s="36"/>
      <c r="R473" s="36"/>
      <c r="S473" s="33" t="s">
        <v>6635</v>
      </c>
      <c r="T473" s="38" t="s">
        <v>12688</v>
      </c>
    </row>
    <row r="474" spans="1:20" x14ac:dyDescent="0.25">
      <c r="A474" s="33" t="s">
        <v>6631</v>
      </c>
      <c r="B474" s="33" t="s">
        <v>4561</v>
      </c>
      <c r="C474" s="33" t="s">
        <v>141</v>
      </c>
      <c r="D474" s="34"/>
      <c r="E474" s="33">
        <v>2020</v>
      </c>
      <c r="F474" s="34"/>
      <c r="G474" s="34"/>
      <c r="H474" s="33" t="s">
        <v>4563</v>
      </c>
      <c r="I474" s="33" t="s">
        <v>196</v>
      </c>
      <c r="J474" s="33">
        <v>2020</v>
      </c>
      <c r="K474" s="33">
        <v>9781450371216</v>
      </c>
      <c r="L474" s="34"/>
      <c r="M474" s="33" t="s">
        <v>1458</v>
      </c>
      <c r="N474" s="37" t="s">
        <v>4564</v>
      </c>
      <c r="O474" s="33" t="s">
        <v>4565</v>
      </c>
      <c r="P474" s="33" t="s">
        <v>4566</v>
      </c>
      <c r="Q474" s="33" t="s">
        <v>4567</v>
      </c>
      <c r="R474" s="34"/>
      <c r="S474" s="38"/>
      <c r="T474" s="38" t="s">
        <v>12690</v>
      </c>
    </row>
    <row r="475" spans="1:20" x14ac:dyDescent="0.25">
      <c r="A475" s="39" t="s">
        <v>10536</v>
      </c>
      <c r="B475" s="39" t="s">
        <v>10538</v>
      </c>
      <c r="C475" s="39" t="s">
        <v>539</v>
      </c>
      <c r="D475" s="36"/>
      <c r="E475" s="39">
        <v>2021</v>
      </c>
      <c r="F475" s="40"/>
      <c r="G475" s="40"/>
      <c r="H475" s="36"/>
      <c r="I475" s="39" t="s">
        <v>10535</v>
      </c>
      <c r="J475" s="36"/>
      <c r="K475" s="36"/>
      <c r="L475" s="36"/>
      <c r="M475" s="34"/>
      <c r="N475" s="41" t="s">
        <v>10539</v>
      </c>
      <c r="O475" s="39" t="s">
        <v>10537</v>
      </c>
      <c r="P475" s="33"/>
      <c r="Q475" s="36"/>
      <c r="R475" s="34"/>
      <c r="S475" s="38"/>
      <c r="T475" s="38" t="s">
        <v>12689</v>
      </c>
    </row>
    <row r="476" spans="1:20" x14ac:dyDescent="0.25">
      <c r="A476" s="33" t="s">
        <v>8661</v>
      </c>
      <c r="B476" s="33" t="s">
        <v>8660</v>
      </c>
      <c r="C476" s="33" t="s">
        <v>13</v>
      </c>
      <c r="D476" s="33" t="s">
        <v>307</v>
      </c>
      <c r="E476" s="33">
        <v>2021</v>
      </c>
      <c r="F476" s="33">
        <v>132</v>
      </c>
      <c r="G476" s="36"/>
      <c r="H476" s="33">
        <v>106448</v>
      </c>
      <c r="I476" s="36"/>
      <c r="J476" s="33">
        <v>2021</v>
      </c>
      <c r="K476" s="34"/>
      <c r="L476" s="34"/>
      <c r="M476" s="33" t="s">
        <v>308</v>
      </c>
      <c r="N476" s="37" t="s">
        <v>8662</v>
      </c>
      <c r="O476" s="33" t="s">
        <v>8663</v>
      </c>
      <c r="P476" s="33" t="s">
        <v>8664</v>
      </c>
      <c r="Q476" s="36"/>
      <c r="R476" s="36"/>
      <c r="S476" s="33" t="s">
        <v>8665</v>
      </c>
      <c r="T476" s="38" t="s">
        <v>12693</v>
      </c>
    </row>
    <row r="477" spans="1:20" x14ac:dyDescent="0.25">
      <c r="A477" s="33" t="s">
        <v>6093</v>
      </c>
      <c r="B477" s="33" t="s">
        <v>6092</v>
      </c>
      <c r="C477" s="33" t="s">
        <v>13</v>
      </c>
      <c r="D477" s="33" t="s">
        <v>6094</v>
      </c>
      <c r="E477" s="33">
        <v>2018</v>
      </c>
      <c r="F477" s="33">
        <v>7</v>
      </c>
      <c r="G477" s="33">
        <v>2</v>
      </c>
      <c r="H477" s="33" t="s">
        <v>6095</v>
      </c>
      <c r="I477" s="33" t="s">
        <v>5573</v>
      </c>
      <c r="J477" s="33">
        <v>2018</v>
      </c>
      <c r="K477" s="34"/>
      <c r="L477" s="34"/>
      <c r="M477" s="33" t="s">
        <v>6096</v>
      </c>
      <c r="N477" s="37" t="s">
        <v>6097</v>
      </c>
      <c r="O477" s="33" t="s">
        <v>6098</v>
      </c>
      <c r="P477" s="33" t="s">
        <v>6099</v>
      </c>
      <c r="Q477" s="33" t="s">
        <v>6020</v>
      </c>
      <c r="R477" s="34"/>
      <c r="S477" s="38"/>
      <c r="T477" s="38" t="s">
        <v>12690</v>
      </c>
    </row>
    <row r="478" spans="1:20" x14ac:dyDescent="0.25">
      <c r="A478" s="39" t="s">
        <v>9831</v>
      </c>
      <c r="B478" s="39" t="s">
        <v>9833</v>
      </c>
      <c r="C478" s="39" t="s">
        <v>539</v>
      </c>
      <c r="D478" s="36"/>
      <c r="E478" s="39">
        <v>2020</v>
      </c>
      <c r="F478" s="40"/>
      <c r="G478" s="40"/>
      <c r="H478" s="36"/>
      <c r="I478" s="39" t="s">
        <v>9830</v>
      </c>
      <c r="J478" s="36"/>
      <c r="K478" s="36"/>
      <c r="L478" s="36"/>
      <c r="M478" s="34"/>
      <c r="N478" s="41" t="s">
        <v>9834</v>
      </c>
      <c r="O478" s="39" t="s">
        <v>9832</v>
      </c>
      <c r="P478" s="33"/>
      <c r="Q478" s="36"/>
      <c r="R478" s="34"/>
      <c r="S478" s="38"/>
      <c r="T478" s="38" t="s">
        <v>12689</v>
      </c>
    </row>
    <row r="479" spans="1:20" x14ac:dyDescent="0.25">
      <c r="A479" s="39" t="s">
        <v>9889</v>
      </c>
      <c r="B479" s="39" t="s">
        <v>9902</v>
      </c>
      <c r="C479" s="39" t="s">
        <v>539</v>
      </c>
      <c r="D479" s="36"/>
      <c r="E479" s="39">
        <v>2022</v>
      </c>
      <c r="F479" s="40"/>
      <c r="G479" s="40"/>
      <c r="H479" s="36"/>
      <c r="I479" s="39" t="s">
        <v>9275</v>
      </c>
      <c r="J479" s="36"/>
      <c r="K479" s="36"/>
      <c r="L479" s="36"/>
      <c r="M479" s="34"/>
      <c r="N479" s="41" t="s">
        <v>9903</v>
      </c>
      <c r="O479" s="39" t="s">
        <v>9901</v>
      </c>
      <c r="P479" s="33"/>
      <c r="Q479" s="36"/>
      <c r="R479" s="34"/>
      <c r="S479" s="38"/>
      <c r="T479" s="38" t="s">
        <v>12689</v>
      </c>
    </row>
    <row r="480" spans="1:20" x14ac:dyDescent="0.25">
      <c r="A480" s="39" t="s">
        <v>9889</v>
      </c>
      <c r="B480" s="39" t="s">
        <v>9891</v>
      </c>
      <c r="C480" s="39" t="s">
        <v>539</v>
      </c>
      <c r="D480" s="36"/>
      <c r="E480" s="39">
        <v>2022</v>
      </c>
      <c r="F480" s="40"/>
      <c r="G480" s="40"/>
      <c r="H480" s="36"/>
      <c r="I480" s="39" t="s">
        <v>9275</v>
      </c>
      <c r="J480" s="36"/>
      <c r="K480" s="36"/>
      <c r="L480" s="36"/>
      <c r="M480" s="34"/>
      <c r="N480" s="41" t="s">
        <v>9892</v>
      </c>
      <c r="O480" s="39" t="s">
        <v>9890</v>
      </c>
      <c r="P480" s="33"/>
      <c r="Q480" s="36"/>
      <c r="R480" s="34"/>
      <c r="S480" s="38"/>
      <c r="T480" s="38" t="s">
        <v>12689</v>
      </c>
    </row>
    <row r="481" spans="1:20" x14ac:dyDescent="0.25">
      <c r="A481" s="33" t="s">
        <v>3583</v>
      </c>
      <c r="B481" s="33" t="s">
        <v>3582</v>
      </c>
      <c r="C481" s="33" t="s">
        <v>13</v>
      </c>
      <c r="D481" s="33" t="s">
        <v>3584</v>
      </c>
      <c r="E481" s="33">
        <v>2021</v>
      </c>
      <c r="F481" s="33">
        <v>198</v>
      </c>
      <c r="G481" s="34"/>
      <c r="H481" s="34"/>
      <c r="I481" s="33" t="s">
        <v>3585</v>
      </c>
      <c r="J481" s="33">
        <v>2021</v>
      </c>
      <c r="K481" s="34"/>
      <c r="L481" s="34"/>
      <c r="M481" s="33" t="s">
        <v>3586</v>
      </c>
      <c r="N481" s="37" t="s">
        <v>3587</v>
      </c>
      <c r="O481" s="33" t="s">
        <v>3588</v>
      </c>
      <c r="P481" s="33" t="s">
        <v>3589</v>
      </c>
      <c r="Q481" s="33" t="s">
        <v>1740</v>
      </c>
      <c r="R481" s="34"/>
      <c r="S481" s="38"/>
      <c r="T481" s="38" t="s">
        <v>12690</v>
      </c>
    </row>
    <row r="482" spans="1:20" x14ac:dyDescent="0.25">
      <c r="A482" s="39" t="s">
        <v>9976</v>
      </c>
      <c r="B482" s="39" t="s">
        <v>9978</v>
      </c>
      <c r="C482" s="39" t="s">
        <v>9539</v>
      </c>
      <c r="D482" s="36"/>
      <c r="E482" s="39">
        <v>2020</v>
      </c>
      <c r="F482" s="40"/>
      <c r="G482" s="40"/>
      <c r="H482" s="36"/>
      <c r="I482" s="39" t="s">
        <v>9975</v>
      </c>
      <c r="J482" s="36"/>
      <c r="K482" s="36"/>
      <c r="L482" s="36"/>
      <c r="M482" s="34"/>
      <c r="N482" s="41" t="s">
        <v>9979</v>
      </c>
      <c r="O482" s="39" t="s">
        <v>9977</v>
      </c>
      <c r="P482" s="33"/>
      <c r="Q482" s="36"/>
      <c r="R482" s="34"/>
      <c r="S482" s="38"/>
      <c r="T482" s="38" t="s">
        <v>12689</v>
      </c>
    </row>
    <row r="483" spans="1:20" x14ac:dyDescent="0.25">
      <c r="A483" s="39" t="s">
        <v>9817</v>
      </c>
      <c r="B483" s="39" t="s">
        <v>9819</v>
      </c>
      <c r="C483" s="39" t="s">
        <v>539</v>
      </c>
      <c r="D483" s="36"/>
      <c r="E483" s="39">
        <v>2023</v>
      </c>
      <c r="F483" s="40"/>
      <c r="G483" s="40"/>
      <c r="H483" s="36"/>
      <c r="I483" s="39" t="s">
        <v>676</v>
      </c>
      <c r="J483" s="36"/>
      <c r="K483" s="36"/>
      <c r="L483" s="36"/>
      <c r="M483" s="34"/>
      <c r="N483" s="41" t="s">
        <v>9820</v>
      </c>
      <c r="O483" s="39" t="s">
        <v>9818</v>
      </c>
      <c r="P483" s="33"/>
      <c r="Q483" s="36"/>
      <c r="R483" s="34"/>
      <c r="S483" s="38"/>
      <c r="T483" s="38" t="s">
        <v>12689</v>
      </c>
    </row>
    <row r="484" spans="1:20" x14ac:dyDescent="0.25">
      <c r="A484" s="39" t="s">
        <v>10601</v>
      </c>
      <c r="B484" s="39" t="s">
        <v>10603</v>
      </c>
      <c r="C484" s="39" t="s">
        <v>539</v>
      </c>
      <c r="D484" s="36"/>
      <c r="E484" s="39">
        <v>2021</v>
      </c>
      <c r="F484" s="40"/>
      <c r="G484" s="40"/>
      <c r="H484" s="36"/>
      <c r="I484" s="39" t="s">
        <v>10600</v>
      </c>
      <c r="J484" s="36"/>
      <c r="K484" s="36"/>
      <c r="L484" s="36"/>
      <c r="M484" s="34"/>
      <c r="N484" s="41" t="s">
        <v>10604</v>
      </c>
      <c r="O484" s="39" t="s">
        <v>10602</v>
      </c>
      <c r="P484" s="33"/>
      <c r="Q484" s="36"/>
      <c r="R484" s="34"/>
      <c r="S484" s="38"/>
      <c r="T484" s="38" t="s">
        <v>12689</v>
      </c>
    </row>
    <row r="485" spans="1:20" x14ac:dyDescent="0.25">
      <c r="A485" s="33" t="s">
        <v>7105</v>
      </c>
      <c r="B485" s="33" t="s">
        <v>7104</v>
      </c>
      <c r="C485" s="33" t="s">
        <v>13</v>
      </c>
      <c r="D485" s="33" t="s">
        <v>4637</v>
      </c>
      <c r="E485" s="33">
        <v>2022</v>
      </c>
      <c r="F485" s="33">
        <v>39</v>
      </c>
      <c r="G485" s="33">
        <v>5</v>
      </c>
      <c r="H485" s="33" t="s">
        <v>7106</v>
      </c>
      <c r="I485" s="34"/>
      <c r="J485" s="43">
        <v>44805</v>
      </c>
      <c r="K485" s="36"/>
      <c r="L485" s="36"/>
      <c r="M485" s="33" t="s">
        <v>6207</v>
      </c>
      <c r="N485" s="37" t="s">
        <v>7107</v>
      </c>
      <c r="O485" s="33" t="s">
        <v>7108</v>
      </c>
      <c r="P485" s="33" t="s">
        <v>7109</v>
      </c>
      <c r="Q485" s="36"/>
      <c r="R485" s="36"/>
      <c r="S485" s="34"/>
      <c r="T485" s="38" t="s">
        <v>12688</v>
      </c>
    </row>
    <row r="486" spans="1:20" x14ac:dyDescent="0.25">
      <c r="A486" s="33" t="s">
        <v>866</v>
      </c>
      <c r="B486" s="33" t="s">
        <v>865</v>
      </c>
      <c r="C486" s="33" t="s">
        <v>13</v>
      </c>
      <c r="D486" s="33" t="s">
        <v>354</v>
      </c>
      <c r="E486" s="33">
        <v>2022</v>
      </c>
      <c r="F486" s="33">
        <v>184</v>
      </c>
      <c r="G486" s="34"/>
      <c r="H486" s="34"/>
      <c r="I486" s="33" t="s">
        <v>355</v>
      </c>
      <c r="J486" s="33">
        <v>2022</v>
      </c>
      <c r="K486" s="34"/>
      <c r="L486" s="34"/>
      <c r="M486" s="33" t="s">
        <v>65</v>
      </c>
      <c r="N486" s="37" t="s">
        <v>867</v>
      </c>
      <c r="O486" s="33" t="s">
        <v>868</v>
      </c>
      <c r="P486" s="33" t="s">
        <v>869</v>
      </c>
      <c r="Q486" s="33" t="s">
        <v>176</v>
      </c>
      <c r="R486" s="34"/>
      <c r="S486" s="38"/>
      <c r="T486" s="38" t="s">
        <v>12690</v>
      </c>
    </row>
    <row r="487" spans="1:20" x14ac:dyDescent="0.25">
      <c r="A487" s="33" t="s">
        <v>3232</v>
      </c>
      <c r="B487" s="33" t="s">
        <v>865</v>
      </c>
      <c r="C487" s="33" t="s">
        <v>141</v>
      </c>
      <c r="D487" s="34"/>
      <c r="E487" s="33">
        <v>2020</v>
      </c>
      <c r="F487" s="34"/>
      <c r="G487" s="34"/>
      <c r="H487" s="33" t="s">
        <v>2661</v>
      </c>
      <c r="I487" s="33" t="s">
        <v>257</v>
      </c>
      <c r="J487" s="33">
        <v>2020</v>
      </c>
      <c r="K487" s="33">
        <v>9781728195322</v>
      </c>
      <c r="L487" s="34"/>
      <c r="M487" s="34"/>
      <c r="N487" s="37" t="s">
        <v>3233</v>
      </c>
      <c r="O487" s="33" t="s">
        <v>3234</v>
      </c>
      <c r="P487" s="33" t="s">
        <v>3235</v>
      </c>
      <c r="Q487" s="33" t="s">
        <v>1813</v>
      </c>
      <c r="R487" s="34"/>
      <c r="S487" s="38"/>
      <c r="T487" s="38" t="s">
        <v>12690</v>
      </c>
    </row>
    <row r="488" spans="1:20" x14ac:dyDescent="0.25">
      <c r="A488" s="33" t="s">
        <v>6689</v>
      </c>
      <c r="B488" s="33" t="s">
        <v>6688</v>
      </c>
      <c r="C488" s="33" t="s">
        <v>13</v>
      </c>
      <c r="D488" s="33" t="s">
        <v>4637</v>
      </c>
      <c r="E488" s="33">
        <v>2017</v>
      </c>
      <c r="F488" s="33">
        <v>34</v>
      </c>
      <c r="G488" s="33">
        <v>3</v>
      </c>
      <c r="H488" s="42">
        <v>45182</v>
      </c>
      <c r="I488" s="34"/>
      <c r="J488" s="43">
        <v>42856</v>
      </c>
      <c r="K488" s="36"/>
      <c r="L488" s="36"/>
      <c r="M488" s="33" t="s">
        <v>6207</v>
      </c>
      <c r="N488" s="37" t="s">
        <v>6690</v>
      </c>
      <c r="O488" s="33" t="s">
        <v>6691</v>
      </c>
      <c r="P488" s="33" t="s">
        <v>6692</v>
      </c>
      <c r="Q488" s="36"/>
      <c r="R488" s="36"/>
      <c r="S488" s="33" t="s">
        <v>6693</v>
      </c>
      <c r="T488" s="38" t="s">
        <v>12688</v>
      </c>
    </row>
    <row r="489" spans="1:20" x14ac:dyDescent="0.25">
      <c r="A489" s="33" t="s">
        <v>1292</v>
      </c>
      <c r="B489" s="33" t="s">
        <v>1291</v>
      </c>
      <c r="C489" s="33" t="s">
        <v>141</v>
      </c>
      <c r="D489" s="34"/>
      <c r="E489" s="33">
        <v>2022</v>
      </c>
      <c r="F489" s="45">
        <v>44835</v>
      </c>
      <c r="G489" s="34"/>
      <c r="H489" s="33" t="s">
        <v>1293</v>
      </c>
      <c r="I489" s="33" t="s">
        <v>196</v>
      </c>
      <c r="J489" s="33">
        <v>2022</v>
      </c>
      <c r="K489" s="33">
        <v>9781665469753</v>
      </c>
      <c r="L489" s="34"/>
      <c r="M489" s="33" t="s">
        <v>1294</v>
      </c>
      <c r="N489" s="37" t="s">
        <v>1295</v>
      </c>
      <c r="O489" s="33" t="s">
        <v>1296</v>
      </c>
      <c r="P489" s="33" t="s">
        <v>1297</v>
      </c>
      <c r="Q489" s="33" t="s">
        <v>157</v>
      </c>
      <c r="R489" s="34"/>
      <c r="S489" s="38"/>
      <c r="T489" s="38" t="s">
        <v>12690</v>
      </c>
    </row>
    <row r="490" spans="1:20" x14ac:dyDescent="0.25">
      <c r="A490" s="33" t="s">
        <v>5081</v>
      </c>
      <c r="B490" s="33" t="s">
        <v>5080</v>
      </c>
      <c r="C490" s="33" t="s">
        <v>141</v>
      </c>
      <c r="D490" s="34"/>
      <c r="E490" s="33">
        <v>2019</v>
      </c>
      <c r="F490" s="34"/>
      <c r="G490" s="34"/>
      <c r="H490" s="33" t="s">
        <v>5082</v>
      </c>
      <c r="I490" s="33" t="s">
        <v>153</v>
      </c>
      <c r="J490" s="33">
        <v>2019</v>
      </c>
      <c r="K490" s="33">
        <v>9781450355728</v>
      </c>
      <c r="L490" s="34"/>
      <c r="M490" s="34"/>
      <c r="N490" s="37" t="s">
        <v>5083</v>
      </c>
      <c r="O490" s="33" t="s">
        <v>5084</v>
      </c>
      <c r="P490" s="33" t="s">
        <v>5085</v>
      </c>
      <c r="Q490" s="33" t="s">
        <v>2286</v>
      </c>
      <c r="R490" s="34"/>
      <c r="S490" s="38"/>
      <c r="T490" s="38" t="s">
        <v>12690</v>
      </c>
    </row>
    <row r="491" spans="1:20" x14ac:dyDescent="0.25">
      <c r="A491" s="39" t="s">
        <v>10675</v>
      </c>
      <c r="B491" s="39" t="s">
        <v>10677</v>
      </c>
      <c r="C491" s="39" t="s">
        <v>9539</v>
      </c>
      <c r="D491" s="36"/>
      <c r="E491" s="39">
        <v>2019</v>
      </c>
      <c r="F491" s="40"/>
      <c r="G491" s="40"/>
      <c r="H491" s="36"/>
      <c r="I491" s="39" t="s">
        <v>10674</v>
      </c>
      <c r="J491" s="36"/>
      <c r="K491" s="36"/>
      <c r="L491" s="36"/>
      <c r="M491" s="34"/>
      <c r="N491" s="41" t="s">
        <v>10678</v>
      </c>
      <c r="O491" s="39" t="s">
        <v>10676</v>
      </c>
      <c r="P491" s="33"/>
      <c r="Q491" s="36"/>
      <c r="R491" s="34"/>
      <c r="S491" s="38"/>
      <c r="T491" s="38" t="s">
        <v>12689</v>
      </c>
    </row>
    <row r="492" spans="1:20" x14ac:dyDescent="0.25">
      <c r="A492" s="33" t="s">
        <v>12332</v>
      </c>
      <c r="B492" s="33" t="s">
        <v>12331</v>
      </c>
      <c r="C492" s="33" t="s">
        <v>141</v>
      </c>
      <c r="D492" s="34"/>
      <c r="E492" s="33">
        <v>2021</v>
      </c>
      <c r="F492" s="34"/>
      <c r="G492" s="34"/>
      <c r="H492" s="33" t="s">
        <v>12333</v>
      </c>
      <c r="I492" s="44" t="s">
        <v>12736</v>
      </c>
      <c r="J492" s="33">
        <v>2021</v>
      </c>
      <c r="K492" s="33">
        <v>9781450382144</v>
      </c>
      <c r="L492" s="33" t="s">
        <v>12340</v>
      </c>
      <c r="M492" s="34"/>
      <c r="N492" s="37" t="s">
        <v>12336</v>
      </c>
      <c r="O492" s="33" t="s">
        <v>12337</v>
      </c>
      <c r="P492" s="33" t="s">
        <v>12338</v>
      </c>
      <c r="Q492" s="36"/>
      <c r="R492" s="36"/>
      <c r="S492" s="33" t="s">
        <v>12339</v>
      </c>
      <c r="T492" s="33" t="s">
        <v>12692</v>
      </c>
    </row>
    <row r="493" spans="1:20" x14ac:dyDescent="0.25">
      <c r="A493" s="33" t="s">
        <v>1237</v>
      </c>
      <c r="B493" s="33" t="s">
        <v>1236</v>
      </c>
      <c r="C493" s="33" t="s">
        <v>13</v>
      </c>
      <c r="D493" s="33" t="s">
        <v>1238</v>
      </c>
      <c r="E493" s="33">
        <v>2023</v>
      </c>
      <c r="F493" s="34"/>
      <c r="G493" s="34"/>
      <c r="H493" s="34"/>
      <c r="I493" s="33" t="s">
        <v>137</v>
      </c>
      <c r="J493" s="33">
        <v>2023</v>
      </c>
      <c r="K493" s="34"/>
      <c r="L493" s="34"/>
      <c r="M493" s="33" t="s">
        <v>1239</v>
      </c>
      <c r="N493" s="37" t="s">
        <v>1240</v>
      </c>
      <c r="O493" s="33" t="s">
        <v>1241</v>
      </c>
      <c r="P493" s="33" t="s">
        <v>1242</v>
      </c>
      <c r="Q493" s="33" t="s">
        <v>157</v>
      </c>
      <c r="R493" s="34"/>
      <c r="S493" s="38"/>
      <c r="T493" s="38" t="s">
        <v>12690</v>
      </c>
    </row>
    <row r="494" spans="1:20" x14ac:dyDescent="0.25">
      <c r="A494" s="33" t="s">
        <v>7491</v>
      </c>
      <c r="B494" s="33" t="s">
        <v>7490</v>
      </c>
      <c r="C494" s="33" t="s">
        <v>141</v>
      </c>
      <c r="D494" s="34"/>
      <c r="E494" s="33">
        <v>2022</v>
      </c>
      <c r="F494" s="34"/>
      <c r="G494" s="34"/>
      <c r="H494" s="33" t="s">
        <v>7492</v>
      </c>
      <c r="I494" s="33" t="s">
        <v>7493</v>
      </c>
      <c r="J494" s="35">
        <v>44835</v>
      </c>
      <c r="K494" s="36"/>
      <c r="L494" s="36"/>
      <c r="M494" s="34"/>
      <c r="N494" s="37" t="s">
        <v>7494</v>
      </c>
      <c r="O494" s="33" t="s">
        <v>7495</v>
      </c>
      <c r="P494" s="33" t="s">
        <v>7496</v>
      </c>
      <c r="Q494" s="36"/>
      <c r="R494" s="36"/>
      <c r="S494" s="33" t="s">
        <v>7497</v>
      </c>
      <c r="T494" s="38" t="s">
        <v>12688</v>
      </c>
    </row>
    <row r="495" spans="1:20" x14ac:dyDescent="0.25">
      <c r="A495" s="33" t="s">
        <v>3259</v>
      </c>
      <c r="B495" s="33" t="s">
        <v>3258</v>
      </c>
      <c r="C495" s="33" t="s">
        <v>13</v>
      </c>
      <c r="D495" s="33" t="s">
        <v>3260</v>
      </c>
      <c r="E495" s="33">
        <v>2020</v>
      </c>
      <c r="F495" s="33">
        <v>63</v>
      </c>
      <c r="G495" s="33">
        <v>6</v>
      </c>
      <c r="H495" s="33" t="s">
        <v>3261</v>
      </c>
      <c r="I495" s="33" t="s">
        <v>1060</v>
      </c>
      <c r="J495" s="33">
        <v>2020</v>
      </c>
      <c r="K495" s="34"/>
      <c r="L495" s="34"/>
      <c r="M495" s="33" t="s">
        <v>3262</v>
      </c>
      <c r="N495" s="37" t="s">
        <v>3263</v>
      </c>
      <c r="O495" s="33" t="s">
        <v>3264</v>
      </c>
      <c r="P495" s="33" t="s">
        <v>3265</v>
      </c>
      <c r="Q495" s="33" t="s">
        <v>3266</v>
      </c>
      <c r="R495" s="34"/>
      <c r="S495" s="38"/>
      <c r="T495" s="38" t="s">
        <v>12690</v>
      </c>
    </row>
    <row r="496" spans="1:20" x14ac:dyDescent="0.25">
      <c r="A496" s="33" t="s">
        <v>12220</v>
      </c>
      <c r="B496" s="33" t="s">
        <v>12219</v>
      </c>
      <c r="C496" s="33" t="s">
        <v>141</v>
      </c>
      <c r="D496" s="34"/>
      <c r="E496" s="33">
        <v>2010</v>
      </c>
      <c r="F496" s="34"/>
      <c r="G496" s="34"/>
      <c r="H496" s="34"/>
      <c r="I496" s="44" t="s">
        <v>12737</v>
      </c>
      <c r="J496" s="33">
        <v>2010</v>
      </c>
      <c r="K496" s="33">
        <v>9781450300391</v>
      </c>
      <c r="L496" s="33" t="s">
        <v>12227</v>
      </c>
      <c r="M496" s="34"/>
      <c r="N496" s="37" t="s">
        <v>12223</v>
      </c>
      <c r="O496" s="33" t="s">
        <v>12224</v>
      </c>
      <c r="P496" s="33" t="s">
        <v>12225</v>
      </c>
      <c r="Q496" s="36"/>
      <c r="R496" s="36"/>
      <c r="S496" s="33" t="s">
        <v>12226</v>
      </c>
      <c r="T496" s="33" t="s">
        <v>12692</v>
      </c>
    </row>
    <row r="497" spans="1:20" x14ac:dyDescent="0.25">
      <c r="A497" s="39" t="s">
        <v>10393</v>
      </c>
      <c r="B497" s="39" t="s">
        <v>10395</v>
      </c>
      <c r="C497" s="39" t="s">
        <v>539</v>
      </c>
      <c r="D497" s="36"/>
      <c r="E497" s="39">
        <v>2022</v>
      </c>
      <c r="F497" s="40"/>
      <c r="G497" s="40"/>
      <c r="H497" s="36"/>
      <c r="I497" s="40"/>
      <c r="J497" s="36"/>
      <c r="K497" s="36"/>
      <c r="L497" s="36"/>
      <c r="M497" s="34"/>
      <c r="N497" s="41" t="s">
        <v>10396</v>
      </c>
      <c r="O497" s="39" t="s">
        <v>10394</v>
      </c>
      <c r="P497" s="33"/>
      <c r="Q497" s="36"/>
      <c r="R497" s="34"/>
      <c r="S497" s="38"/>
      <c r="T497" s="38" t="s">
        <v>12689</v>
      </c>
    </row>
    <row r="498" spans="1:20" x14ac:dyDescent="0.25">
      <c r="A498" s="39" t="s">
        <v>10697</v>
      </c>
      <c r="B498" s="39" t="s">
        <v>10699</v>
      </c>
      <c r="C498" s="39" t="s">
        <v>9539</v>
      </c>
      <c r="D498" s="36"/>
      <c r="E498" s="39">
        <v>2022</v>
      </c>
      <c r="F498" s="40"/>
      <c r="G498" s="40"/>
      <c r="H498" s="36"/>
      <c r="I498" s="39" t="s">
        <v>9481</v>
      </c>
      <c r="J498" s="36"/>
      <c r="K498" s="36"/>
      <c r="L498" s="36"/>
      <c r="M498" s="34"/>
      <c r="N498" s="41" t="s">
        <v>10700</v>
      </c>
      <c r="O498" s="39" t="s">
        <v>10698</v>
      </c>
      <c r="P498" s="33"/>
      <c r="Q498" s="36"/>
      <c r="R498" s="34"/>
      <c r="S498" s="38"/>
      <c r="T498" s="38" t="s">
        <v>12689</v>
      </c>
    </row>
    <row r="499" spans="1:20" x14ac:dyDescent="0.25">
      <c r="A499" s="33" t="s">
        <v>4434</v>
      </c>
      <c r="B499" s="33" t="s">
        <v>4433</v>
      </c>
      <c r="C499" s="33" t="s">
        <v>13</v>
      </c>
      <c r="D499" s="33" t="s">
        <v>668</v>
      </c>
      <c r="E499" s="33">
        <v>2020</v>
      </c>
      <c r="F499" s="33">
        <v>8</v>
      </c>
      <c r="G499" s="34"/>
      <c r="H499" s="33" t="s">
        <v>4435</v>
      </c>
      <c r="I499" s="33" t="s">
        <v>257</v>
      </c>
      <c r="J499" s="33">
        <v>2020</v>
      </c>
      <c r="K499" s="34"/>
      <c r="L499" s="34"/>
      <c r="M499" s="33" t="s">
        <v>670</v>
      </c>
      <c r="N499" s="37" t="s">
        <v>4436</v>
      </c>
      <c r="O499" s="33" t="s">
        <v>4437</v>
      </c>
      <c r="P499" s="33" t="s">
        <v>4438</v>
      </c>
      <c r="Q499" s="33" t="s">
        <v>896</v>
      </c>
      <c r="R499" s="34"/>
      <c r="S499" s="38"/>
      <c r="T499" s="38" t="s">
        <v>12690</v>
      </c>
    </row>
    <row r="500" spans="1:20" x14ac:dyDescent="0.25">
      <c r="A500" s="33" t="s">
        <v>1398</v>
      </c>
      <c r="B500" s="33" t="s">
        <v>1397</v>
      </c>
      <c r="C500" s="33" t="s">
        <v>13</v>
      </c>
      <c r="D500" s="33" t="s">
        <v>307</v>
      </c>
      <c r="E500" s="33">
        <v>2023</v>
      </c>
      <c r="F500" s="33">
        <v>155</v>
      </c>
      <c r="G500" s="36"/>
      <c r="H500" s="33">
        <v>107116</v>
      </c>
      <c r="I500" s="36"/>
      <c r="J500" s="33">
        <v>2023</v>
      </c>
      <c r="K500" s="34"/>
      <c r="L500" s="34"/>
      <c r="M500" s="33" t="s">
        <v>308</v>
      </c>
      <c r="N500" s="37" t="s">
        <v>8427</v>
      </c>
      <c r="O500" s="33" t="s">
        <v>1400</v>
      </c>
      <c r="P500" s="33" t="s">
        <v>8428</v>
      </c>
      <c r="Q500" s="36"/>
      <c r="R500" s="36"/>
      <c r="S500" s="33" t="s">
        <v>8429</v>
      </c>
      <c r="T500" s="38" t="s">
        <v>12693</v>
      </c>
    </row>
    <row r="501" spans="1:20" x14ac:dyDescent="0.25">
      <c r="A501" s="33" t="s">
        <v>1398</v>
      </c>
      <c r="B501" s="33" t="s">
        <v>1397</v>
      </c>
      <c r="C501" s="33" t="s">
        <v>13</v>
      </c>
      <c r="D501" s="33" t="s">
        <v>307</v>
      </c>
      <c r="E501" s="33">
        <v>2023</v>
      </c>
      <c r="F501" s="33">
        <v>155</v>
      </c>
      <c r="G501" s="34"/>
      <c r="H501" s="34"/>
      <c r="I501" s="33" t="s">
        <v>280</v>
      </c>
      <c r="J501" s="33">
        <v>2023</v>
      </c>
      <c r="K501" s="34"/>
      <c r="L501" s="34"/>
      <c r="M501" s="33" t="s">
        <v>308</v>
      </c>
      <c r="N501" s="37" t="s">
        <v>1399</v>
      </c>
      <c r="O501" s="33" t="s">
        <v>1400</v>
      </c>
      <c r="P501" s="33" t="s">
        <v>1401</v>
      </c>
      <c r="Q501" s="33" t="s">
        <v>166</v>
      </c>
      <c r="R501" s="34"/>
      <c r="S501" s="38"/>
      <c r="T501" s="38" t="s">
        <v>12690</v>
      </c>
    </row>
    <row r="502" spans="1:20" x14ac:dyDescent="0.25">
      <c r="A502" s="33" t="s">
        <v>6797</v>
      </c>
      <c r="B502" s="33" t="s">
        <v>6796</v>
      </c>
      <c r="C502" s="33" t="s">
        <v>141</v>
      </c>
      <c r="D502" s="34"/>
      <c r="E502" s="33">
        <v>2022</v>
      </c>
      <c r="F502" s="34"/>
      <c r="G502" s="34"/>
      <c r="H502" s="33" t="s">
        <v>11960</v>
      </c>
      <c r="I502" s="44" t="s">
        <v>12738</v>
      </c>
      <c r="J502" s="33">
        <v>2022</v>
      </c>
      <c r="K502" s="33">
        <v>9781450392266</v>
      </c>
      <c r="L502" s="33" t="s">
        <v>11449</v>
      </c>
      <c r="M502" s="34"/>
      <c r="N502" s="37" t="s">
        <v>11961</v>
      </c>
      <c r="O502" s="33" t="s">
        <v>6800</v>
      </c>
      <c r="P502" s="33" t="s">
        <v>6801</v>
      </c>
      <c r="Q502" s="36"/>
      <c r="R502" s="36"/>
      <c r="S502" s="33" t="s">
        <v>11962</v>
      </c>
      <c r="T502" s="33" t="s">
        <v>12692</v>
      </c>
    </row>
    <row r="503" spans="1:20" x14ac:dyDescent="0.25">
      <c r="A503" s="33" t="s">
        <v>6797</v>
      </c>
      <c r="B503" s="33" t="s">
        <v>6796</v>
      </c>
      <c r="C503" s="33" t="s">
        <v>141</v>
      </c>
      <c r="D503" s="34"/>
      <c r="E503" s="33">
        <v>2022</v>
      </c>
      <c r="F503" s="34"/>
      <c r="G503" s="34"/>
      <c r="H503" s="33" t="s">
        <v>6798</v>
      </c>
      <c r="I503" s="33" t="s">
        <v>6626</v>
      </c>
      <c r="J503" s="43">
        <v>44682</v>
      </c>
      <c r="K503" s="36"/>
      <c r="L503" s="36"/>
      <c r="M503" s="34"/>
      <c r="N503" s="37" t="s">
        <v>6799</v>
      </c>
      <c r="O503" s="33" t="s">
        <v>6800</v>
      </c>
      <c r="P503" s="33" t="s">
        <v>6801</v>
      </c>
      <c r="Q503" s="36"/>
      <c r="R503" s="36"/>
      <c r="S503" s="33" t="s">
        <v>6802</v>
      </c>
      <c r="T503" s="38" t="s">
        <v>12688</v>
      </c>
    </row>
    <row r="504" spans="1:20" x14ac:dyDescent="0.25">
      <c r="A504" s="33" t="s">
        <v>5837</v>
      </c>
      <c r="B504" s="33" t="s">
        <v>5836</v>
      </c>
      <c r="C504" s="33" t="s">
        <v>141</v>
      </c>
      <c r="D504" s="34"/>
      <c r="E504" s="33">
        <v>2016</v>
      </c>
      <c r="F504" s="33" t="s">
        <v>5838</v>
      </c>
      <c r="G504" s="34"/>
      <c r="H504" s="33" t="s">
        <v>5839</v>
      </c>
      <c r="I504" s="33" t="s">
        <v>145</v>
      </c>
      <c r="J504" s="33">
        <v>2016</v>
      </c>
      <c r="K504" s="33">
        <v>9781450342322</v>
      </c>
      <c r="L504" s="34"/>
      <c r="M504" s="34"/>
      <c r="N504" s="37" t="s">
        <v>5840</v>
      </c>
      <c r="O504" s="33" t="s">
        <v>5841</v>
      </c>
      <c r="P504" s="33" t="s">
        <v>5842</v>
      </c>
      <c r="Q504" s="33" t="s">
        <v>318</v>
      </c>
      <c r="R504" s="34"/>
      <c r="S504" s="38"/>
      <c r="T504" s="38" t="s">
        <v>12690</v>
      </c>
    </row>
    <row r="505" spans="1:20" x14ac:dyDescent="0.25">
      <c r="A505" s="39" t="s">
        <v>9787</v>
      </c>
      <c r="B505" s="39" t="s">
        <v>9789</v>
      </c>
      <c r="C505" s="39" t="s">
        <v>539</v>
      </c>
      <c r="D505" s="36"/>
      <c r="E505" s="39">
        <v>2020</v>
      </c>
      <c r="F505" s="40"/>
      <c r="G505" s="40"/>
      <c r="H505" s="36"/>
      <c r="I505" s="39" t="s">
        <v>1870</v>
      </c>
      <c r="J505" s="36"/>
      <c r="K505" s="36"/>
      <c r="L505" s="36"/>
      <c r="M505" s="34"/>
      <c r="N505" s="41" t="s">
        <v>9790</v>
      </c>
      <c r="O505" s="39" t="s">
        <v>9788</v>
      </c>
      <c r="P505" s="33"/>
      <c r="Q505" s="36"/>
      <c r="R505" s="34"/>
      <c r="S505" s="38"/>
      <c r="T505" s="38" t="s">
        <v>12689</v>
      </c>
    </row>
    <row r="506" spans="1:20" x14ac:dyDescent="0.25">
      <c r="A506" s="39" t="s">
        <v>9821</v>
      </c>
      <c r="B506" s="39" t="s">
        <v>9823</v>
      </c>
      <c r="C506" s="39" t="s">
        <v>539</v>
      </c>
      <c r="D506" s="36"/>
      <c r="E506" s="39">
        <v>2021</v>
      </c>
      <c r="F506" s="40"/>
      <c r="G506" s="40"/>
      <c r="H506" s="36"/>
      <c r="I506" s="39" t="s">
        <v>9812</v>
      </c>
      <c r="J506" s="36"/>
      <c r="K506" s="36"/>
      <c r="L506" s="36"/>
      <c r="M506" s="34"/>
      <c r="N506" s="41" t="s">
        <v>9824</v>
      </c>
      <c r="O506" s="39" t="s">
        <v>9822</v>
      </c>
      <c r="P506" s="33"/>
      <c r="Q506" s="36"/>
      <c r="R506" s="34"/>
      <c r="S506" s="38"/>
      <c r="T506" s="38" t="s">
        <v>12689</v>
      </c>
    </row>
    <row r="507" spans="1:20" x14ac:dyDescent="0.25">
      <c r="A507" s="39" t="s">
        <v>9715</v>
      </c>
      <c r="B507" s="39" t="s">
        <v>9717</v>
      </c>
      <c r="C507" s="39" t="s">
        <v>539</v>
      </c>
      <c r="D507" s="36"/>
      <c r="E507" s="39">
        <v>2021</v>
      </c>
      <c r="F507" s="40"/>
      <c r="G507" s="40"/>
      <c r="H507" s="36"/>
      <c r="I507" s="39" t="s">
        <v>1870</v>
      </c>
      <c r="J507" s="36"/>
      <c r="K507" s="36"/>
      <c r="L507" s="36"/>
      <c r="M507" s="34"/>
      <c r="N507" s="41" t="s">
        <v>9718</v>
      </c>
      <c r="O507" s="39" t="s">
        <v>9716</v>
      </c>
      <c r="P507" s="33"/>
      <c r="Q507" s="36"/>
      <c r="R507" s="34"/>
      <c r="S507" s="38"/>
      <c r="T507" s="38" t="s">
        <v>12689</v>
      </c>
    </row>
    <row r="508" spans="1:20" x14ac:dyDescent="0.25">
      <c r="A508" s="39" t="s">
        <v>9715</v>
      </c>
      <c r="B508" s="39" t="s">
        <v>9717</v>
      </c>
      <c r="C508" s="39" t="s">
        <v>539</v>
      </c>
      <c r="D508" s="36"/>
      <c r="E508" s="39">
        <v>2022</v>
      </c>
      <c r="F508" s="40"/>
      <c r="G508" s="40"/>
      <c r="H508" s="36"/>
      <c r="I508" s="39" t="s">
        <v>1870</v>
      </c>
      <c r="J508" s="36"/>
      <c r="K508" s="36"/>
      <c r="L508" s="36"/>
      <c r="M508" s="34"/>
      <c r="N508" s="41" t="s">
        <v>9989</v>
      </c>
      <c r="O508" s="39" t="s">
        <v>9988</v>
      </c>
      <c r="P508" s="33"/>
      <c r="Q508" s="36"/>
      <c r="R508" s="34"/>
      <c r="S508" s="38"/>
      <c r="T508" s="38" t="s">
        <v>12689</v>
      </c>
    </row>
    <row r="509" spans="1:20" x14ac:dyDescent="0.25">
      <c r="A509" s="39" t="s">
        <v>10278</v>
      </c>
      <c r="B509" s="39" t="s">
        <v>10280</v>
      </c>
      <c r="C509" s="39" t="s">
        <v>539</v>
      </c>
      <c r="D509" s="36"/>
      <c r="E509" s="39">
        <v>2022</v>
      </c>
      <c r="F509" s="40"/>
      <c r="G509" s="40"/>
      <c r="H509" s="36"/>
      <c r="I509" s="39" t="s">
        <v>10277</v>
      </c>
      <c r="J509" s="36"/>
      <c r="K509" s="36"/>
      <c r="L509" s="36"/>
      <c r="M509" s="34"/>
      <c r="N509" s="41" t="s">
        <v>10281</v>
      </c>
      <c r="O509" s="39" t="s">
        <v>10279</v>
      </c>
      <c r="P509" s="33"/>
      <c r="Q509" s="36"/>
      <c r="R509" s="34"/>
      <c r="S509" s="38"/>
      <c r="T509" s="38" t="s">
        <v>12689</v>
      </c>
    </row>
    <row r="510" spans="1:20" x14ac:dyDescent="0.25">
      <c r="A510" s="39" t="s">
        <v>10182</v>
      </c>
      <c r="B510" s="39" t="s">
        <v>10184</v>
      </c>
      <c r="C510" s="39" t="s">
        <v>539</v>
      </c>
      <c r="D510" s="36"/>
      <c r="E510" s="39">
        <v>2021</v>
      </c>
      <c r="F510" s="40"/>
      <c r="G510" s="40"/>
      <c r="H510" s="36"/>
      <c r="I510" s="39" t="s">
        <v>1870</v>
      </c>
      <c r="J510" s="36"/>
      <c r="K510" s="36"/>
      <c r="L510" s="36"/>
      <c r="M510" s="34"/>
      <c r="N510" s="41" t="s">
        <v>10185</v>
      </c>
      <c r="O510" s="39" t="s">
        <v>10183</v>
      </c>
      <c r="P510" s="33"/>
      <c r="Q510" s="36"/>
      <c r="R510" s="34"/>
      <c r="S510" s="38"/>
      <c r="T510" s="38" t="s">
        <v>12689</v>
      </c>
    </row>
    <row r="511" spans="1:20" x14ac:dyDescent="0.25">
      <c r="A511" s="33" t="s">
        <v>7421</v>
      </c>
      <c r="B511" s="33" t="s">
        <v>7420</v>
      </c>
      <c r="C511" s="33" t="s">
        <v>141</v>
      </c>
      <c r="D511" s="34"/>
      <c r="E511" s="33">
        <v>2017</v>
      </c>
      <c r="F511" s="34"/>
      <c r="G511" s="34"/>
      <c r="H511" s="42">
        <v>44995</v>
      </c>
      <c r="I511" s="33" t="s">
        <v>7422</v>
      </c>
      <c r="J511" s="43">
        <v>42826</v>
      </c>
      <c r="K511" s="36"/>
      <c r="L511" s="36"/>
      <c r="M511" s="33" t="s">
        <v>7423</v>
      </c>
      <c r="N511" s="37" t="s">
        <v>7424</v>
      </c>
      <c r="O511" s="33" t="s">
        <v>7425</v>
      </c>
      <c r="P511" s="33" t="s">
        <v>7426</v>
      </c>
      <c r="Q511" s="36"/>
      <c r="R511" s="36"/>
      <c r="S511" s="33" t="s">
        <v>7427</v>
      </c>
      <c r="T511" s="38" t="s">
        <v>12688</v>
      </c>
    </row>
    <row r="512" spans="1:20" x14ac:dyDescent="0.25">
      <c r="A512" s="33" t="s">
        <v>4892</v>
      </c>
      <c r="B512" s="33" t="s">
        <v>4891</v>
      </c>
      <c r="C512" s="33" t="s">
        <v>141</v>
      </c>
      <c r="D512" s="34"/>
      <c r="E512" s="33">
        <v>2019</v>
      </c>
      <c r="F512" s="34"/>
      <c r="G512" s="34"/>
      <c r="H512" s="33" t="s">
        <v>4893</v>
      </c>
      <c r="I512" s="33" t="s">
        <v>257</v>
      </c>
      <c r="J512" s="33">
        <v>2019</v>
      </c>
      <c r="K512" s="33">
        <v>9781728141367</v>
      </c>
      <c r="L512" s="34"/>
      <c r="M512" s="34"/>
      <c r="N512" s="37" t="s">
        <v>4894</v>
      </c>
      <c r="O512" s="33" t="s">
        <v>4895</v>
      </c>
      <c r="P512" s="33" t="s">
        <v>4896</v>
      </c>
      <c r="Q512" s="33" t="s">
        <v>157</v>
      </c>
      <c r="R512" s="34"/>
      <c r="S512" s="38"/>
      <c r="T512" s="38" t="s">
        <v>12690</v>
      </c>
    </row>
    <row r="513" spans="1:20" x14ac:dyDescent="0.25">
      <c r="A513" s="33" t="s">
        <v>3227</v>
      </c>
      <c r="B513" s="33" t="s">
        <v>3226</v>
      </c>
      <c r="C513" s="33" t="s">
        <v>141</v>
      </c>
      <c r="D513" s="34"/>
      <c r="E513" s="33">
        <v>2021</v>
      </c>
      <c r="F513" s="34"/>
      <c r="G513" s="34"/>
      <c r="H513" s="33" t="s">
        <v>3228</v>
      </c>
      <c r="I513" s="33" t="s">
        <v>257</v>
      </c>
      <c r="J513" s="33">
        <v>2021</v>
      </c>
      <c r="K513" s="33">
        <v>9781728187105</v>
      </c>
      <c r="L513" s="34"/>
      <c r="M513" s="34"/>
      <c r="N513" s="37" t="s">
        <v>3229</v>
      </c>
      <c r="O513" s="33" t="s">
        <v>3230</v>
      </c>
      <c r="P513" s="33" t="s">
        <v>3231</v>
      </c>
      <c r="Q513" s="33" t="s">
        <v>185</v>
      </c>
      <c r="R513" s="34"/>
      <c r="S513" s="38"/>
      <c r="T513" s="38" t="s">
        <v>12690</v>
      </c>
    </row>
    <row r="514" spans="1:20" x14ac:dyDescent="0.25">
      <c r="A514" s="33" t="s">
        <v>7470</v>
      </c>
      <c r="B514" s="33" t="s">
        <v>7469</v>
      </c>
      <c r="C514" s="33" t="s">
        <v>141</v>
      </c>
      <c r="D514" s="34"/>
      <c r="E514" s="33">
        <v>2019</v>
      </c>
      <c r="F514" s="34"/>
      <c r="G514" s="34"/>
      <c r="H514" s="33" t="s">
        <v>7471</v>
      </c>
      <c r="I514" s="33" t="s">
        <v>7472</v>
      </c>
      <c r="J514" s="43">
        <v>43586</v>
      </c>
      <c r="K514" s="36"/>
      <c r="L514" s="36"/>
      <c r="M514" s="34"/>
      <c r="N514" s="37" t="s">
        <v>7473</v>
      </c>
      <c r="O514" s="33" t="s">
        <v>4558</v>
      </c>
      <c r="P514" s="33" t="s">
        <v>7474</v>
      </c>
      <c r="Q514" s="36"/>
      <c r="R514" s="36"/>
      <c r="S514" s="33" t="s">
        <v>7475</v>
      </c>
      <c r="T514" s="38" t="s">
        <v>12688</v>
      </c>
    </row>
    <row r="515" spans="1:20" x14ac:dyDescent="0.25">
      <c r="A515" s="33" t="s">
        <v>7470</v>
      </c>
      <c r="B515" s="33" t="s">
        <v>3062</v>
      </c>
      <c r="C515" s="33" t="s">
        <v>141</v>
      </c>
      <c r="D515" s="34"/>
      <c r="E515" s="33">
        <v>2019</v>
      </c>
      <c r="F515" s="34"/>
      <c r="G515" s="34"/>
      <c r="H515" s="33" t="s">
        <v>12265</v>
      </c>
      <c r="I515" s="44" t="s">
        <v>12739</v>
      </c>
      <c r="J515" s="33">
        <v>2019</v>
      </c>
      <c r="K515" s="34"/>
      <c r="L515" s="33" t="s">
        <v>12269</v>
      </c>
      <c r="M515" s="34"/>
      <c r="N515" s="37" t="s">
        <v>12267</v>
      </c>
      <c r="O515" s="33" t="s">
        <v>4558</v>
      </c>
      <c r="P515" s="33" t="s">
        <v>7474</v>
      </c>
      <c r="Q515" s="36"/>
      <c r="R515" s="36"/>
      <c r="S515" s="33" t="s">
        <v>12268</v>
      </c>
      <c r="T515" s="33" t="s">
        <v>12692</v>
      </c>
    </row>
    <row r="516" spans="1:20" x14ac:dyDescent="0.25">
      <c r="A516" s="33" t="s">
        <v>7470</v>
      </c>
      <c r="B516" s="33" t="s">
        <v>3062</v>
      </c>
      <c r="C516" s="33" t="s">
        <v>141</v>
      </c>
      <c r="D516" s="34"/>
      <c r="E516" s="33">
        <v>2019</v>
      </c>
      <c r="F516" s="34"/>
      <c r="G516" s="34"/>
      <c r="H516" s="33" t="s">
        <v>4556</v>
      </c>
      <c r="I516" s="33" t="s">
        <v>257</v>
      </c>
      <c r="J516" s="33">
        <v>2019</v>
      </c>
      <c r="K516" s="33">
        <v>9781728122700</v>
      </c>
      <c r="L516" s="34"/>
      <c r="M516" s="34"/>
      <c r="N516" s="37" t="s">
        <v>4557</v>
      </c>
      <c r="O516" s="33" t="s">
        <v>4558</v>
      </c>
      <c r="P516" s="33" t="s">
        <v>4559</v>
      </c>
      <c r="Q516" s="33" t="s">
        <v>4560</v>
      </c>
      <c r="R516" s="34"/>
      <c r="S516" s="38"/>
      <c r="T516" s="38" t="s">
        <v>12690</v>
      </c>
    </row>
    <row r="517" spans="1:20" x14ac:dyDescent="0.25">
      <c r="A517" s="33" t="s">
        <v>461</v>
      </c>
      <c r="B517" s="33" t="s">
        <v>460</v>
      </c>
      <c r="C517" s="33" t="s">
        <v>13</v>
      </c>
      <c r="D517" s="33" t="s">
        <v>462</v>
      </c>
      <c r="E517" s="33">
        <v>2022</v>
      </c>
      <c r="F517" s="33" t="s">
        <v>463</v>
      </c>
      <c r="G517" s="34"/>
      <c r="H517" s="33" t="s">
        <v>464</v>
      </c>
      <c r="I517" s="33" t="s">
        <v>212</v>
      </c>
      <c r="J517" s="33">
        <v>2022</v>
      </c>
      <c r="K517" s="34"/>
      <c r="L517" s="34"/>
      <c r="M517" s="33" t="s">
        <v>465</v>
      </c>
      <c r="N517" s="37" t="s">
        <v>466</v>
      </c>
      <c r="O517" s="33" t="s">
        <v>467</v>
      </c>
      <c r="P517" s="33" t="s">
        <v>468</v>
      </c>
      <c r="Q517" s="33" t="s">
        <v>157</v>
      </c>
      <c r="R517" s="34"/>
      <c r="S517" s="38"/>
      <c r="T517" s="38" t="s">
        <v>12690</v>
      </c>
    </row>
    <row r="518" spans="1:20" x14ac:dyDescent="0.25">
      <c r="A518" s="33" t="s">
        <v>884</v>
      </c>
      <c r="B518" s="33" t="s">
        <v>883</v>
      </c>
      <c r="C518" s="33" t="s">
        <v>13</v>
      </c>
      <c r="D518" s="33" t="s">
        <v>136</v>
      </c>
      <c r="E518" s="33">
        <v>2023</v>
      </c>
      <c r="F518" s="33">
        <v>28</v>
      </c>
      <c r="G518" s="33">
        <v>1</v>
      </c>
      <c r="H518" s="34"/>
      <c r="I518" s="33" t="s">
        <v>137</v>
      </c>
      <c r="J518" s="33">
        <v>2023</v>
      </c>
      <c r="K518" s="34"/>
      <c r="L518" s="34"/>
      <c r="M518" s="33" t="s">
        <v>33</v>
      </c>
      <c r="N518" s="37" t="s">
        <v>885</v>
      </c>
      <c r="O518" s="33" t="s">
        <v>886</v>
      </c>
      <c r="P518" s="33" t="s">
        <v>887</v>
      </c>
      <c r="Q518" s="33" t="s">
        <v>157</v>
      </c>
      <c r="R518" s="34"/>
      <c r="S518" s="38"/>
      <c r="T518" s="38" t="s">
        <v>12690</v>
      </c>
    </row>
    <row r="519" spans="1:20" x14ac:dyDescent="0.25">
      <c r="A519" s="33" t="s">
        <v>8345</v>
      </c>
      <c r="B519" s="33" t="s">
        <v>8325</v>
      </c>
      <c r="C519" s="33" t="s">
        <v>13</v>
      </c>
      <c r="D519" s="33" t="s">
        <v>4637</v>
      </c>
      <c r="E519" s="33">
        <v>2021</v>
      </c>
      <c r="F519" s="33">
        <v>38</v>
      </c>
      <c r="G519" s="33">
        <v>3</v>
      </c>
      <c r="H519" s="42">
        <v>44991</v>
      </c>
      <c r="I519" s="34"/>
      <c r="J519" s="43">
        <v>44317</v>
      </c>
      <c r="K519" s="34"/>
      <c r="L519" s="36"/>
      <c r="M519" s="33" t="s">
        <v>6207</v>
      </c>
      <c r="N519" s="37" t="s">
        <v>8346</v>
      </c>
      <c r="O519" s="33" t="s">
        <v>8347</v>
      </c>
      <c r="P519" s="33" t="s">
        <v>8348</v>
      </c>
      <c r="Q519" s="36"/>
      <c r="R519" s="34"/>
      <c r="S519" s="38"/>
      <c r="T519" s="38" t="s">
        <v>12688</v>
      </c>
    </row>
    <row r="520" spans="1:20" x14ac:dyDescent="0.25">
      <c r="A520" s="33" t="s">
        <v>9197</v>
      </c>
      <c r="B520" s="33" t="s">
        <v>9196</v>
      </c>
      <c r="C520" s="33" t="s">
        <v>13</v>
      </c>
      <c r="D520" s="33" t="s">
        <v>354</v>
      </c>
      <c r="E520" s="33">
        <v>2022</v>
      </c>
      <c r="F520" s="33">
        <v>183</v>
      </c>
      <c r="G520" s="36"/>
      <c r="H520" s="33">
        <v>111097</v>
      </c>
      <c r="I520" s="36"/>
      <c r="J520" s="33">
        <v>2022</v>
      </c>
      <c r="K520" s="34"/>
      <c r="L520" s="34"/>
      <c r="M520" s="33" t="s">
        <v>65</v>
      </c>
      <c r="N520" s="37" t="s">
        <v>9198</v>
      </c>
      <c r="O520" s="33" t="s">
        <v>9199</v>
      </c>
      <c r="P520" s="33" t="s">
        <v>9200</v>
      </c>
      <c r="Q520" s="36"/>
      <c r="R520" s="36"/>
      <c r="S520" s="33" t="s">
        <v>9201</v>
      </c>
      <c r="T520" s="38" t="s">
        <v>12693</v>
      </c>
    </row>
    <row r="521" spans="1:20" x14ac:dyDescent="0.25">
      <c r="A521" s="33" t="s">
        <v>7225</v>
      </c>
      <c r="B521" s="33" t="s">
        <v>7224</v>
      </c>
      <c r="C521" s="33" t="s">
        <v>141</v>
      </c>
      <c r="D521" s="34"/>
      <c r="E521" s="33">
        <v>2020</v>
      </c>
      <c r="F521" s="34"/>
      <c r="G521" s="34"/>
      <c r="H521" s="33" t="s">
        <v>7226</v>
      </c>
      <c r="I521" s="33" t="s">
        <v>7227</v>
      </c>
      <c r="J521" s="35">
        <v>44105</v>
      </c>
      <c r="K521" s="36"/>
      <c r="L521" s="36"/>
      <c r="M521" s="34"/>
      <c r="N521" s="37" t="s">
        <v>7228</v>
      </c>
      <c r="O521" s="33" t="s">
        <v>7229</v>
      </c>
      <c r="P521" s="33" t="s">
        <v>7230</v>
      </c>
      <c r="Q521" s="36"/>
      <c r="R521" s="36"/>
      <c r="S521" s="33" t="s">
        <v>7231</v>
      </c>
      <c r="T521" s="38" t="s">
        <v>12688</v>
      </c>
    </row>
    <row r="522" spans="1:20" x14ac:dyDescent="0.25">
      <c r="A522" s="39" t="s">
        <v>10805</v>
      </c>
      <c r="B522" s="39" t="s">
        <v>10807</v>
      </c>
      <c r="C522" s="39" t="s">
        <v>9539</v>
      </c>
      <c r="D522" s="36"/>
      <c r="E522" s="39">
        <v>2020</v>
      </c>
      <c r="F522" s="40"/>
      <c r="G522" s="40"/>
      <c r="H522" s="36"/>
      <c r="I522" s="39" t="s">
        <v>10804</v>
      </c>
      <c r="J522" s="36"/>
      <c r="K522" s="36"/>
      <c r="L522" s="36"/>
      <c r="M522" s="34"/>
      <c r="N522" s="41" t="s">
        <v>10808</v>
      </c>
      <c r="O522" s="39" t="s">
        <v>10806</v>
      </c>
      <c r="P522" s="33"/>
      <c r="Q522" s="36"/>
      <c r="R522" s="34"/>
      <c r="S522" s="38"/>
      <c r="T522" s="38" t="s">
        <v>12689</v>
      </c>
    </row>
    <row r="523" spans="1:20" x14ac:dyDescent="0.25">
      <c r="A523" s="33" t="s">
        <v>3929</v>
      </c>
      <c r="B523" s="33" t="s">
        <v>3928</v>
      </c>
      <c r="C523" s="33" t="s">
        <v>141</v>
      </c>
      <c r="D523" s="34"/>
      <c r="E523" s="33">
        <v>2020</v>
      </c>
      <c r="F523" s="34"/>
      <c r="G523" s="34"/>
      <c r="H523" s="34"/>
      <c r="I523" s="33" t="s">
        <v>257</v>
      </c>
      <c r="J523" s="33">
        <v>2020</v>
      </c>
      <c r="K523" s="33">
        <v>9781728114200</v>
      </c>
      <c r="L523" s="34"/>
      <c r="M523" s="34"/>
      <c r="N523" s="37" t="s">
        <v>3930</v>
      </c>
      <c r="O523" s="33" t="s">
        <v>3931</v>
      </c>
      <c r="P523" s="33" t="s">
        <v>3932</v>
      </c>
      <c r="Q523" s="33" t="s">
        <v>157</v>
      </c>
      <c r="R523" s="34"/>
      <c r="S523" s="38"/>
      <c r="T523" s="38" t="s">
        <v>12690</v>
      </c>
    </row>
    <row r="524" spans="1:20" x14ac:dyDescent="0.25">
      <c r="A524" s="33" t="s">
        <v>5422</v>
      </c>
      <c r="B524" s="33" t="s">
        <v>5421</v>
      </c>
      <c r="C524" s="33" t="s">
        <v>141</v>
      </c>
      <c r="D524" s="34"/>
      <c r="E524" s="33">
        <v>2018</v>
      </c>
      <c r="F524" s="45">
        <v>43435</v>
      </c>
      <c r="G524" s="34"/>
      <c r="H524" s="33" t="s">
        <v>5423</v>
      </c>
      <c r="I524" s="33" t="s">
        <v>196</v>
      </c>
      <c r="J524" s="33">
        <v>2018</v>
      </c>
      <c r="K524" s="33">
        <v>9781728119700</v>
      </c>
      <c r="L524" s="34"/>
      <c r="M524" s="33" t="s">
        <v>3521</v>
      </c>
      <c r="N524" s="37" t="s">
        <v>5424</v>
      </c>
      <c r="O524" s="33" t="s">
        <v>5425</v>
      </c>
      <c r="P524" s="33" t="s">
        <v>5426</v>
      </c>
      <c r="Q524" s="33" t="s">
        <v>1573</v>
      </c>
      <c r="R524" s="34"/>
      <c r="S524" s="38"/>
      <c r="T524" s="38" t="s">
        <v>12690</v>
      </c>
    </row>
    <row r="525" spans="1:20" x14ac:dyDescent="0.25">
      <c r="A525" s="33" t="s">
        <v>2638</v>
      </c>
      <c r="B525" s="33" t="s">
        <v>2637</v>
      </c>
      <c r="C525" s="33" t="s">
        <v>13</v>
      </c>
      <c r="D525" s="33" t="s">
        <v>676</v>
      </c>
      <c r="E525" s="33">
        <v>2022</v>
      </c>
      <c r="F525" s="33">
        <v>217</v>
      </c>
      <c r="G525" s="34"/>
      <c r="H525" s="33" t="s">
        <v>2082</v>
      </c>
      <c r="I525" s="33" t="s">
        <v>212</v>
      </c>
      <c r="J525" s="33">
        <v>2022</v>
      </c>
      <c r="K525" s="34"/>
      <c r="L525" s="34"/>
      <c r="M525" s="33" t="s">
        <v>679</v>
      </c>
      <c r="N525" s="37" t="s">
        <v>2639</v>
      </c>
      <c r="O525" s="33" t="s">
        <v>2640</v>
      </c>
      <c r="P525" s="33" t="s">
        <v>2641</v>
      </c>
      <c r="Q525" s="33" t="s">
        <v>157</v>
      </c>
      <c r="R525" s="34"/>
      <c r="S525" s="38"/>
      <c r="T525" s="38" t="s">
        <v>12690</v>
      </c>
    </row>
    <row r="526" spans="1:20" x14ac:dyDescent="0.25">
      <c r="A526" s="33" t="s">
        <v>5119</v>
      </c>
      <c r="B526" s="33" t="s">
        <v>5118</v>
      </c>
      <c r="C526" s="33" t="s">
        <v>13</v>
      </c>
      <c r="D526" s="33" t="s">
        <v>255</v>
      </c>
      <c r="E526" s="33">
        <v>2020</v>
      </c>
      <c r="F526" s="33">
        <v>46</v>
      </c>
      <c r="G526" s="33">
        <v>5</v>
      </c>
      <c r="H526" s="33" t="s">
        <v>5120</v>
      </c>
      <c r="I526" s="33" t="s">
        <v>257</v>
      </c>
      <c r="J526" s="33">
        <v>2020</v>
      </c>
      <c r="K526" s="34"/>
      <c r="L526" s="34"/>
      <c r="M526" s="33" t="s">
        <v>18</v>
      </c>
      <c r="N526" s="37" t="s">
        <v>5121</v>
      </c>
      <c r="O526" s="33" t="s">
        <v>5122</v>
      </c>
      <c r="P526" s="33" t="s">
        <v>5123</v>
      </c>
      <c r="Q526" s="33" t="s">
        <v>5124</v>
      </c>
      <c r="R526" s="34"/>
      <c r="S526" s="38"/>
      <c r="T526" s="38" t="s">
        <v>12690</v>
      </c>
    </row>
    <row r="527" spans="1:20" x14ac:dyDescent="0.25">
      <c r="A527" s="33" t="s">
        <v>5308</v>
      </c>
      <c r="B527" s="33" t="s">
        <v>5307</v>
      </c>
      <c r="C527" s="33" t="s">
        <v>13</v>
      </c>
      <c r="D527" s="33" t="s">
        <v>878</v>
      </c>
      <c r="E527" s="33">
        <v>2014</v>
      </c>
      <c r="F527" s="33">
        <v>26</v>
      </c>
      <c r="G527" s="33">
        <v>7</v>
      </c>
      <c r="H527" s="33" t="s">
        <v>5309</v>
      </c>
      <c r="I527" s="33" t="s">
        <v>266</v>
      </c>
      <c r="J527" s="33">
        <v>2014</v>
      </c>
      <c r="K527" s="34"/>
      <c r="L527" s="34"/>
      <c r="M527" s="33" t="s">
        <v>879</v>
      </c>
      <c r="N527" s="37" t="s">
        <v>5310</v>
      </c>
      <c r="O527" s="33" t="s">
        <v>5311</v>
      </c>
      <c r="P527" s="33" t="s">
        <v>5312</v>
      </c>
      <c r="Q527" s="33" t="s">
        <v>2579</v>
      </c>
      <c r="R527" s="34"/>
      <c r="S527" s="38"/>
      <c r="T527" s="38" t="s">
        <v>12690</v>
      </c>
    </row>
    <row r="528" spans="1:20" x14ac:dyDescent="0.25">
      <c r="A528" s="39" t="s">
        <v>10740</v>
      </c>
      <c r="B528" s="39" t="s">
        <v>10741</v>
      </c>
      <c r="C528" s="39" t="s">
        <v>9539</v>
      </c>
      <c r="D528" s="36"/>
      <c r="E528" s="39">
        <v>2018</v>
      </c>
      <c r="F528" s="40"/>
      <c r="G528" s="40"/>
      <c r="H528" s="36"/>
      <c r="I528" s="39" t="s">
        <v>9519</v>
      </c>
      <c r="J528" s="36"/>
      <c r="K528" s="36"/>
      <c r="L528" s="36"/>
      <c r="M528" s="34"/>
      <c r="N528" s="41" t="s">
        <v>10742</v>
      </c>
      <c r="O528" s="39" t="s">
        <v>6090</v>
      </c>
      <c r="P528" s="33"/>
      <c r="Q528" s="36"/>
      <c r="R528" s="34"/>
      <c r="S528" s="38"/>
      <c r="T528" s="38" t="s">
        <v>12689</v>
      </c>
    </row>
    <row r="529" spans="1:20" x14ac:dyDescent="0.25">
      <c r="A529" s="39" t="s">
        <v>10740</v>
      </c>
      <c r="B529" s="33" t="s">
        <v>4257</v>
      </c>
      <c r="C529" s="33" t="s">
        <v>13</v>
      </c>
      <c r="D529" s="33" t="s">
        <v>1870</v>
      </c>
      <c r="E529" s="33">
        <v>2018</v>
      </c>
      <c r="F529" s="33">
        <v>314</v>
      </c>
      <c r="G529" s="34"/>
      <c r="H529" s="33" t="s">
        <v>6088</v>
      </c>
      <c r="I529" s="33" t="s">
        <v>4155</v>
      </c>
      <c r="J529" s="33">
        <v>2018</v>
      </c>
      <c r="K529" s="34"/>
      <c r="L529" s="34"/>
      <c r="M529" s="33" t="s">
        <v>1873</v>
      </c>
      <c r="N529" s="37" t="s">
        <v>6089</v>
      </c>
      <c r="O529" s="33" t="s">
        <v>6090</v>
      </c>
      <c r="P529" s="33" t="s">
        <v>6091</v>
      </c>
      <c r="Q529" s="33" t="s">
        <v>5100</v>
      </c>
      <c r="R529" s="34"/>
      <c r="S529" s="38"/>
      <c r="T529" s="38" t="s">
        <v>12690</v>
      </c>
    </row>
    <row r="530" spans="1:20" x14ac:dyDescent="0.25">
      <c r="A530" s="33" t="s">
        <v>4720</v>
      </c>
      <c r="B530" s="33" t="s">
        <v>4719</v>
      </c>
      <c r="C530" s="33" t="s">
        <v>141</v>
      </c>
      <c r="D530" s="34"/>
      <c r="E530" s="33">
        <v>2020</v>
      </c>
      <c r="F530" s="34"/>
      <c r="G530" s="34"/>
      <c r="H530" s="33" t="s">
        <v>4721</v>
      </c>
      <c r="I530" s="33" t="s">
        <v>257</v>
      </c>
      <c r="J530" s="33">
        <v>2020</v>
      </c>
      <c r="K530" s="33">
        <v>9781728110516</v>
      </c>
      <c r="L530" s="34"/>
      <c r="M530" s="34"/>
      <c r="N530" s="37" t="s">
        <v>4722</v>
      </c>
      <c r="O530" s="33" t="s">
        <v>4723</v>
      </c>
      <c r="P530" s="33" t="s">
        <v>4724</v>
      </c>
      <c r="Q530" s="33" t="s">
        <v>318</v>
      </c>
      <c r="R530" s="34"/>
      <c r="S530" s="38"/>
      <c r="T530" s="38" t="s">
        <v>12690</v>
      </c>
    </row>
    <row r="531" spans="1:20" x14ac:dyDescent="0.25">
      <c r="A531" s="33" t="s">
        <v>7097</v>
      </c>
      <c r="B531" s="33" t="s">
        <v>7096</v>
      </c>
      <c r="C531" s="33" t="s">
        <v>141</v>
      </c>
      <c r="D531" s="34"/>
      <c r="E531" s="33">
        <v>2022</v>
      </c>
      <c r="F531" s="34"/>
      <c r="G531" s="34"/>
      <c r="H531" s="33" t="s">
        <v>7098</v>
      </c>
      <c r="I531" s="33" t="s">
        <v>7099</v>
      </c>
      <c r="J531" s="43">
        <v>44562</v>
      </c>
      <c r="K531" s="36"/>
      <c r="L531" s="36"/>
      <c r="M531" s="34"/>
      <c r="N531" s="37" t="s">
        <v>7100</v>
      </c>
      <c r="O531" s="33" t="s">
        <v>7101</v>
      </c>
      <c r="P531" s="33" t="s">
        <v>7102</v>
      </c>
      <c r="Q531" s="36"/>
      <c r="R531" s="36"/>
      <c r="S531" s="33" t="s">
        <v>7103</v>
      </c>
      <c r="T531" s="38" t="s">
        <v>12688</v>
      </c>
    </row>
    <row r="532" spans="1:20" x14ac:dyDescent="0.25">
      <c r="A532" s="33" t="s">
        <v>2643</v>
      </c>
      <c r="B532" s="33" t="s">
        <v>2642</v>
      </c>
      <c r="C532" s="33" t="s">
        <v>141</v>
      </c>
      <c r="D532" s="34"/>
      <c r="E532" s="33">
        <v>2021</v>
      </c>
      <c r="F532" s="34"/>
      <c r="G532" s="34"/>
      <c r="H532" s="33" t="s">
        <v>2644</v>
      </c>
      <c r="I532" s="33" t="s">
        <v>257</v>
      </c>
      <c r="J532" s="33">
        <v>2021</v>
      </c>
      <c r="K532" s="33">
        <v>9781665441186</v>
      </c>
      <c r="L532" s="34"/>
      <c r="M532" s="34"/>
      <c r="N532" s="37" t="s">
        <v>2645</v>
      </c>
      <c r="O532" s="33" t="s">
        <v>2646</v>
      </c>
      <c r="P532" s="34"/>
      <c r="Q532" s="33" t="s">
        <v>318</v>
      </c>
      <c r="R532" s="34"/>
      <c r="S532" s="38"/>
      <c r="T532" s="38" t="s">
        <v>12690</v>
      </c>
    </row>
    <row r="533" spans="1:20" x14ac:dyDescent="0.25">
      <c r="A533" s="33" t="s">
        <v>7477</v>
      </c>
      <c r="B533" s="33" t="s">
        <v>7476</v>
      </c>
      <c r="C533" s="33" t="s">
        <v>141</v>
      </c>
      <c r="D533" s="34"/>
      <c r="E533" s="33">
        <v>2022</v>
      </c>
      <c r="F533" s="34"/>
      <c r="G533" s="34"/>
      <c r="H533" s="42">
        <v>44933</v>
      </c>
      <c r="I533" s="33" t="s">
        <v>7478</v>
      </c>
      <c r="J533" s="43">
        <v>44621</v>
      </c>
      <c r="K533" s="36"/>
      <c r="L533" s="36"/>
      <c r="M533" s="33" t="s">
        <v>2902</v>
      </c>
      <c r="N533" s="37" t="s">
        <v>7479</v>
      </c>
      <c r="O533" s="33" t="s">
        <v>7480</v>
      </c>
      <c r="P533" s="33" t="s">
        <v>7481</v>
      </c>
      <c r="Q533" s="36"/>
      <c r="R533" s="36"/>
      <c r="S533" s="33" t="s">
        <v>7482</v>
      </c>
      <c r="T533" s="38" t="s">
        <v>12688</v>
      </c>
    </row>
    <row r="534" spans="1:20" x14ac:dyDescent="0.25">
      <c r="A534" s="33" t="s">
        <v>2112</v>
      </c>
      <c r="B534" s="33" t="s">
        <v>2111</v>
      </c>
      <c r="C534" s="33" t="s">
        <v>141</v>
      </c>
      <c r="D534" s="34"/>
      <c r="E534" s="33">
        <v>2022</v>
      </c>
      <c r="F534" s="34"/>
      <c r="G534" s="34"/>
      <c r="H534" s="33" t="s">
        <v>2113</v>
      </c>
      <c r="I534" s="33" t="s">
        <v>257</v>
      </c>
      <c r="J534" s="33">
        <v>2022</v>
      </c>
      <c r="K534" s="33">
        <v>9781450393034</v>
      </c>
      <c r="L534" s="34"/>
      <c r="M534" s="34"/>
      <c r="N534" s="37" t="s">
        <v>2114</v>
      </c>
      <c r="O534" s="33" t="s">
        <v>2115</v>
      </c>
      <c r="P534" s="33" t="s">
        <v>2116</v>
      </c>
      <c r="Q534" s="33" t="s">
        <v>999</v>
      </c>
      <c r="R534" s="34"/>
      <c r="S534" s="38"/>
      <c r="T534" s="38" t="s">
        <v>12690</v>
      </c>
    </row>
    <row r="535" spans="1:20" x14ac:dyDescent="0.25">
      <c r="A535" s="33" t="s">
        <v>2112</v>
      </c>
      <c r="B535" s="33" t="s">
        <v>8129</v>
      </c>
      <c r="C535" s="33" t="s">
        <v>141</v>
      </c>
      <c r="D535" s="34"/>
      <c r="E535" s="33">
        <v>2022</v>
      </c>
      <c r="F535" s="34"/>
      <c r="G535" s="34"/>
      <c r="H535" s="33" t="s">
        <v>12373</v>
      </c>
      <c r="I535" s="44" t="s">
        <v>12740</v>
      </c>
      <c r="J535" s="33">
        <v>2022</v>
      </c>
      <c r="K535" s="33">
        <v>9781450393034</v>
      </c>
      <c r="L535" s="33" t="s">
        <v>11329</v>
      </c>
      <c r="M535" s="34"/>
      <c r="N535" s="37" t="s">
        <v>12374</v>
      </c>
      <c r="O535" s="33" t="s">
        <v>2115</v>
      </c>
      <c r="P535" s="33" t="s">
        <v>12375</v>
      </c>
      <c r="Q535" s="36"/>
      <c r="R535" s="36"/>
      <c r="S535" s="33" t="s">
        <v>12376</v>
      </c>
      <c r="T535" s="33" t="s">
        <v>12692</v>
      </c>
    </row>
    <row r="536" spans="1:20" x14ac:dyDescent="0.25">
      <c r="A536" s="33" t="s">
        <v>2112</v>
      </c>
      <c r="B536" s="33" t="s">
        <v>8129</v>
      </c>
      <c r="C536" s="33" t="s">
        <v>141</v>
      </c>
      <c r="D536" s="34"/>
      <c r="E536" s="33">
        <v>2022</v>
      </c>
      <c r="F536" s="34"/>
      <c r="G536" s="34"/>
      <c r="H536" s="33" t="s">
        <v>8130</v>
      </c>
      <c r="I536" s="33" t="s">
        <v>6469</v>
      </c>
      <c r="J536" s="43">
        <v>44682</v>
      </c>
      <c r="K536" s="34"/>
      <c r="L536" s="36"/>
      <c r="M536" s="33" t="s">
        <v>6152</v>
      </c>
      <c r="N536" s="37" t="s">
        <v>8131</v>
      </c>
      <c r="O536" s="33" t="s">
        <v>2115</v>
      </c>
      <c r="P536" s="33" t="s">
        <v>8132</v>
      </c>
      <c r="Q536" s="36"/>
      <c r="R536" s="36"/>
      <c r="S536" s="33" t="s">
        <v>8133</v>
      </c>
      <c r="T536" s="38" t="s">
        <v>12688</v>
      </c>
    </row>
    <row r="537" spans="1:20" x14ac:dyDescent="0.25">
      <c r="A537" s="33" t="s">
        <v>4963</v>
      </c>
      <c r="B537" s="33" t="s">
        <v>4962</v>
      </c>
      <c r="C537" s="33" t="s">
        <v>141</v>
      </c>
      <c r="D537" s="34"/>
      <c r="E537" s="33">
        <v>2020</v>
      </c>
      <c r="F537" s="34"/>
      <c r="G537" s="34"/>
      <c r="H537" s="34"/>
      <c r="I537" s="33" t="s">
        <v>3683</v>
      </c>
      <c r="J537" s="33">
        <v>2020</v>
      </c>
      <c r="K537" s="33">
        <v>9781733632508</v>
      </c>
      <c r="L537" s="34"/>
      <c r="M537" s="34"/>
      <c r="N537" s="37" t="s">
        <v>4964</v>
      </c>
      <c r="O537" s="34"/>
      <c r="P537" s="33" t="s">
        <v>4965</v>
      </c>
      <c r="Q537" s="33" t="s">
        <v>1813</v>
      </c>
      <c r="R537" s="34"/>
      <c r="S537" s="38"/>
      <c r="T537" s="38" t="s">
        <v>12690</v>
      </c>
    </row>
    <row r="538" spans="1:20" x14ac:dyDescent="0.25">
      <c r="A538" s="33" t="s">
        <v>623</v>
      </c>
      <c r="B538" s="33" t="s">
        <v>622</v>
      </c>
      <c r="C538" s="33" t="s">
        <v>141</v>
      </c>
      <c r="D538" s="34"/>
      <c r="E538" s="33">
        <v>2022</v>
      </c>
      <c r="F538" s="34"/>
      <c r="G538" s="34"/>
      <c r="H538" s="34"/>
      <c r="I538" s="33" t="s">
        <v>624</v>
      </c>
      <c r="J538" s="33">
        <v>2022</v>
      </c>
      <c r="K538" s="34"/>
      <c r="L538" s="34"/>
      <c r="M538" s="33" t="s">
        <v>625</v>
      </c>
      <c r="N538" s="37" t="s">
        <v>626</v>
      </c>
      <c r="O538" s="33" t="s">
        <v>627</v>
      </c>
      <c r="P538" s="33" t="s">
        <v>628</v>
      </c>
      <c r="Q538" s="33" t="s">
        <v>157</v>
      </c>
      <c r="R538" s="34"/>
      <c r="S538" s="38"/>
      <c r="T538" s="38" t="s">
        <v>12690</v>
      </c>
    </row>
    <row r="539" spans="1:20" x14ac:dyDescent="0.25">
      <c r="A539" s="33" t="s">
        <v>3494</v>
      </c>
      <c r="B539" s="33" t="s">
        <v>3493</v>
      </c>
      <c r="C539" s="33" t="s">
        <v>13</v>
      </c>
      <c r="D539" s="33" t="s">
        <v>668</v>
      </c>
      <c r="E539" s="33">
        <v>2021</v>
      </c>
      <c r="F539" s="33">
        <v>9</v>
      </c>
      <c r="G539" s="34"/>
      <c r="H539" s="33" t="s">
        <v>3495</v>
      </c>
      <c r="I539" s="33" t="s">
        <v>257</v>
      </c>
      <c r="J539" s="33">
        <v>2021</v>
      </c>
      <c r="K539" s="34"/>
      <c r="L539" s="34"/>
      <c r="M539" s="33" t="s">
        <v>670</v>
      </c>
      <c r="N539" s="37" t="s">
        <v>3496</v>
      </c>
      <c r="O539" s="33" t="s">
        <v>3497</v>
      </c>
      <c r="P539" s="33" t="s">
        <v>3498</v>
      </c>
      <c r="Q539" s="33" t="s">
        <v>3499</v>
      </c>
      <c r="R539" s="34"/>
      <c r="S539" s="38"/>
      <c r="T539" s="38" t="s">
        <v>12690</v>
      </c>
    </row>
    <row r="540" spans="1:20" x14ac:dyDescent="0.25">
      <c r="A540" s="33" t="s">
        <v>8814</v>
      </c>
      <c r="B540" s="33" t="s">
        <v>8813</v>
      </c>
      <c r="C540" s="33" t="s">
        <v>13</v>
      </c>
      <c r="D540" s="33" t="s">
        <v>354</v>
      </c>
      <c r="E540" s="33">
        <v>2021</v>
      </c>
      <c r="F540" s="33">
        <v>174</v>
      </c>
      <c r="G540" s="36"/>
      <c r="H540" s="33">
        <v>110892</v>
      </c>
      <c r="I540" s="36"/>
      <c r="J540" s="33">
        <v>2021</v>
      </c>
      <c r="K540" s="34"/>
      <c r="L540" s="34"/>
      <c r="M540" s="33" t="s">
        <v>65</v>
      </c>
      <c r="N540" s="37" t="s">
        <v>8815</v>
      </c>
      <c r="O540" s="33" t="s">
        <v>8816</v>
      </c>
      <c r="P540" s="33" t="s">
        <v>8817</v>
      </c>
      <c r="Q540" s="36"/>
      <c r="R540" s="36"/>
      <c r="S540" s="33" t="s">
        <v>8818</v>
      </c>
      <c r="T540" s="38" t="s">
        <v>12693</v>
      </c>
    </row>
    <row r="541" spans="1:20" x14ac:dyDescent="0.25">
      <c r="A541" s="33" t="s">
        <v>5389</v>
      </c>
      <c r="B541" s="33" t="s">
        <v>5388</v>
      </c>
      <c r="C541" s="33" t="s">
        <v>141</v>
      </c>
      <c r="D541" s="34"/>
      <c r="E541" s="33">
        <v>2017</v>
      </c>
      <c r="F541" s="33" t="s">
        <v>5390</v>
      </c>
      <c r="G541" s="34"/>
      <c r="H541" s="33" t="s">
        <v>5391</v>
      </c>
      <c r="I541" s="33" t="s">
        <v>145</v>
      </c>
      <c r="J541" s="33">
        <v>2017</v>
      </c>
      <c r="K541" s="33">
        <v>9781450348041</v>
      </c>
      <c r="L541" s="34"/>
      <c r="M541" s="34"/>
      <c r="N541" s="37" t="s">
        <v>5392</v>
      </c>
      <c r="O541" s="33" t="s">
        <v>5393</v>
      </c>
      <c r="P541" s="33" t="s">
        <v>5394</v>
      </c>
      <c r="Q541" s="33" t="s">
        <v>1733</v>
      </c>
      <c r="R541" s="34"/>
      <c r="S541" s="38"/>
      <c r="T541" s="38" t="s">
        <v>12690</v>
      </c>
    </row>
    <row r="542" spans="1:20" x14ac:dyDescent="0.25">
      <c r="A542" s="33" t="s">
        <v>7637</v>
      </c>
      <c r="B542" s="33" t="s">
        <v>7636</v>
      </c>
      <c r="C542" s="33" t="s">
        <v>13</v>
      </c>
      <c r="D542" s="33" t="s">
        <v>255</v>
      </c>
      <c r="E542" s="33">
        <v>2020</v>
      </c>
      <c r="F542" s="33">
        <v>46</v>
      </c>
      <c r="G542" s="33">
        <v>10</v>
      </c>
      <c r="H542" s="33" t="s">
        <v>7638</v>
      </c>
      <c r="I542" s="34"/>
      <c r="J542" s="35">
        <v>44105</v>
      </c>
      <c r="K542" s="36"/>
      <c r="L542" s="36"/>
      <c r="M542" s="33" t="s">
        <v>6115</v>
      </c>
      <c r="N542" s="37" t="s">
        <v>7639</v>
      </c>
      <c r="O542" s="33" t="s">
        <v>7640</v>
      </c>
      <c r="P542" s="33" t="s">
        <v>7641</v>
      </c>
      <c r="Q542" s="36"/>
      <c r="R542" s="36"/>
      <c r="S542" s="33" t="s">
        <v>7642</v>
      </c>
      <c r="T542" s="38" t="s">
        <v>12688</v>
      </c>
    </row>
    <row r="543" spans="1:20" x14ac:dyDescent="0.25">
      <c r="A543" s="33" t="s">
        <v>9166</v>
      </c>
      <c r="B543" s="33" t="s">
        <v>9164</v>
      </c>
      <c r="C543" s="33" t="s">
        <v>7972</v>
      </c>
      <c r="D543" s="34"/>
      <c r="E543" s="33">
        <v>2017</v>
      </c>
      <c r="F543" s="34"/>
      <c r="G543" s="36"/>
      <c r="H543" s="33" t="s">
        <v>9167</v>
      </c>
      <c r="I543" s="36"/>
      <c r="J543" s="33">
        <v>2017</v>
      </c>
      <c r="K543" s="33" t="s">
        <v>8739</v>
      </c>
      <c r="L543" s="33" t="s">
        <v>8740</v>
      </c>
      <c r="M543" s="34"/>
      <c r="N543" s="37" t="s">
        <v>9169</v>
      </c>
      <c r="O543" s="33" t="s">
        <v>9170</v>
      </c>
      <c r="P543" s="33" t="s">
        <v>9171</v>
      </c>
      <c r="Q543" s="36"/>
      <c r="R543" s="36"/>
      <c r="S543" s="33" t="s">
        <v>9172</v>
      </c>
      <c r="T543" s="38" t="s">
        <v>12693</v>
      </c>
    </row>
    <row r="544" spans="1:20" x14ac:dyDescent="0.25">
      <c r="A544" s="33" t="s">
        <v>9087</v>
      </c>
      <c r="B544" s="33" t="s">
        <v>9007</v>
      </c>
      <c r="C544" s="33" t="s">
        <v>7972</v>
      </c>
      <c r="D544" s="34"/>
      <c r="E544" s="33">
        <v>2015</v>
      </c>
      <c r="F544" s="34"/>
      <c r="G544" s="36"/>
      <c r="H544" s="33" t="s">
        <v>9088</v>
      </c>
      <c r="I544" s="36"/>
      <c r="J544" s="33">
        <v>2015</v>
      </c>
      <c r="K544" s="33" t="s">
        <v>8739</v>
      </c>
      <c r="L544" s="33" t="s">
        <v>8740</v>
      </c>
      <c r="M544" s="34"/>
      <c r="N544" s="37" t="s">
        <v>9089</v>
      </c>
      <c r="O544" s="33" t="s">
        <v>9090</v>
      </c>
      <c r="P544" s="33" t="s">
        <v>9091</v>
      </c>
      <c r="Q544" s="36"/>
      <c r="R544" s="36"/>
      <c r="S544" s="33" t="s">
        <v>9092</v>
      </c>
      <c r="T544" s="38" t="s">
        <v>12693</v>
      </c>
    </row>
    <row r="545" spans="1:20" x14ac:dyDescent="0.25">
      <c r="A545" s="33" t="s">
        <v>8981</v>
      </c>
      <c r="B545" s="33" t="s">
        <v>8979</v>
      </c>
      <c r="C545" s="33" t="s">
        <v>7972</v>
      </c>
      <c r="D545" s="34"/>
      <c r="E545" s="33">
        <v>2016</v>
      </c>
      <c r="F545" s="34"/>
      <c r="G545" s="36"/>
      <c r="H545" s="33" t="s">
        <v>8982</v>
      </c>
      <c r="I545" s="36"/>
      <c r="J545" s="33">
        <v>2016</v>
      </c>
      <c r="K545" s="33" t="s">
        <v>8739</v>
      </c>
      <c r="L545" s="33" t="s">
        <v>8740</v>
      </c>
      <c r="M545" s="34"/>
      <c r="N545" s="37" t="s">
        <v>8984</v>
      </c>
      <c r="O545" s="33" t="s">
        <v>8985</v>
      </c>
      <c r="P545" s="33" t="s">
        <v>8986</v>
      </c>
      <c r="Q545" s="36"/>
      <c r="R545" s="36"/>
      <c r="S545" s="33" t="s">
        <v>8987</v>
      </c>
      <c r="T545" s="38" t="s">
        <v>12693</v>
      </c>
    </row>
    <row r="546" spans="1:20" x14ac:dyDescent="0.25">
      <c r="A546" s="33" t="s">
        <v>9008</v>
      </c>
      <c r="B546" s="33" t="s">
        <v>9007</v>
      </c>
      <c r="C546" s="33" t="s">
        <v>7972</v>
      </c>
      <c r="D546" s="34"/>
      <c r="E546" s="33">
        <v>2015</v>
      </c>
      <c r="F546" s="34"/>
      <c r="G546" s="36"/>
      <c r="H546" s="33" t="s">
        <v>9009</v>
      </c>
      <c r="I546" s="36"/>
      <c r="J546" s="33">
        <v>2015</v>
      </c>
      <c r="K546" s="33" t="s">
        <v>8739</v>
      </c>
      <c r="L546" s="33" t="s">
        <v>8740</v>
      </c>
      <c r="M546" s="34"/>
      <c r="N546" s="37" t="s">
        <v>9011</v>
      </c>
      <c r="O546" s="33" t="s">
        <v>9012</v>
      </c>
      <c r="P546" s="33" t="s">
        <v>9013</v>
      </c>
      <c r="Q546" s="36"/>
      <c r="R546" s="36"/>
      <c r="S546" s="33" t="s">
        <v>9014</v>
      </c>
      <c r="T546" s="38" t="s">
        <v>12693</v>
      </c>
    </row>
    <row r="547" spans="1:20" x14ac:dyDescent="0.25">
      <c r="A547" s="33" t="s">
        <v>9184</v>
      </c>
      <c r="B547" s="33" t="s">
        <v>5873</v>
      </c>
      <c r="C547" s="33" t="s">
        <v>7972</v>
      </c>
      <c r="D547" s="34"/>
      <c r="E547" s="33">
        <v>2015</v>
      </c>
      <c r="F547" s="34"/>
      <c r="G547" s="36"/>
      <c r="H547" s="33" t="s">
        <v>9185</v>
      </c>
      <c r="I547" s="36"/>
      <c r="J547" s="33">
        <v>2015</v>
      </c>
      <c r="K547" s="33" t="s">
        <v>8739</v>
      </c>
      <c r="L547" s="33" t="s">
        <v>8740</v>
      </c>
      <c r="M547" s="34"/>
      <c r="N547" s="37" t="s">
        <v>9187</v>
      </c>
      <c r="O547" s="33" t="s">
        <v>5876</v>
      </c>
      <c r="P547" s="33" t="s">
        <v>9188</v>
      </c>
      <c r="Q547" s="36"/>
      <c r="R547" s="36"/>
      <c r="S547" s="33" t="s">
        <v>9189</v>
      </c>
      <c r="T547" s="38" t="s">
        <v>12693</v>
      </c>
    </row>
    <row r="548" spans="1:20" x14ac:dyDescent="0.25">
      <c r="A548" s="33" t="s">
        <v>9016</v>
      </c>
      <c r="B548" s="33" t="s">
        <v>9015</v>
      </c>
      <c r="C548" s="33" t="s">
        <v>7972</v>
      </c>
      <c r="D548" s="34"/>
      <c r="E548" s="33">
        <v>2021</v>
      </c>
      <c r="F548" s="34"/>
      <c r="G548" s="36"/>
      <c r="H548" s="33" t="s">
        <v>9017</v>
      </c>
      <c r="I548" s="36"/>
      <c r="J548" s="33">
        <v>2021</v>
      </c>
      <c r="K548" s="33" t="s">
        <v>9019</v>
      </c>
      <c r="L548" s="34"/>
      <c r="M548" s="34"/>
      <c r="N548" s="37" t="s">
        <v>9021</v>
      </c>
      <c r="O548" s="33" t="s">
        <v>9022</v>
      </c>
      <c r="P548" s="33" t="s">
        <v>9023</v>
      </c>
      <c r="Q548" s="36"/>
      <c r="R548" s="36"/>
      <c r="S548" s="33" t="s">
        <v>9024</v>
      </c>
      <c r="T548" s="38" t="s">
        <v>12693</v>
      </c>
    </row>
    <row r="549" spans="1:20" x14ac:dyDescent="0.25">
      <c r="A549" s="33" t="s">
        <v>3996</v>
      </c>
      <c r="B549" s="33" t="s">
        <v>3995</v>
      </c>
      <c r="C549" s="33" t="s">
        <v>13</v>
      </c>
      <c r="D549" s="33" t="s">
        <v>136</v>
      </c>
      <c r="E549" s="33">
        <v>2019</v>
      </c>
      <c r="F549" s="33">
        <v>24</v>
      </c>
      <c r="G549" s="33">
        <v>4</v>
      </c>
      <c r="H549" s="33" t="s">
        <v>3997</v>
      </c>
      <c r="I549" s="33" t="s">
        <v>3998</v>
      </c>
      <c r="J549" s="33">
        <v>2019</v>
      </c>
      <c r="K549" s="34"/>
      <c r="L549" s="34"/>
      <c r="M549" s="33" t="s">
        <v>33</v>
      </c>
      <c r="N549" s="37" t="s">
        <v>3999</v>
      </c>
      <c r="O549" s="33" t="s">
        <v>4000</v>
      </c>
      <c r="P549" s="33" t="s">
        <v>4001</v>
      </c>
      <c r="Q549" s="33" t="s">
        <v>4002</v>
      </c>
      <c r="R549" s="34"/>
      <c r="S549" s="38"/>
      <c r="T549" s="38" t="s">
        <v>12690</v>
      </c>
    </row>
    <row r="550" spans="1:20" x14ac:dyDescent="0.25">
      <c r="A550" s="33" t="s">
        <v>481</v>
      </c>
      <c r="B550" s="33" t="s">
        <v>480</v>
      </c>
      <c r="C550" s="33" t="s">
        <v>13</v>
      </c>
      <c r="D550" s="33" t="s">
        <v>255</v>
      </c>
      <c r="E550" s="33">
        <v>2022</v>
      </c>
      <c r="F550" s="33">
        <v>48</v>
      </c>
      <c r="G550" s="33">
        <v>10</v>
      </c>
      <c r="H550" s="33" t="s">
        <v>6487</v>
      </c>
      <c r="I550" s="34"/>
      <c r="J550" s="35">
        <v>44835</v>
      </c>
      <c r="K550" s="36"/>
      <c r="L550" s="36"/>
      <c r="M550" s="33" t="s">
        <v>6115</v>
      </c>
      <c r="N550" s="37" t="s">
        <v>6488</v>
      </c>
      <c r="O550" s="33" t="s">
        <v>484</v>
      </c>
      <c r="P550" s="33" t="s">
        <v>6489</v>
      </c>
      <c r="Q550" s="36"/>
      <c r="R550" s="36"/>
      <c r="S550" s="33" t="s">
        <v>6490</v>
      </c>
      <c r="T550" s="38" t="s">
        <v>12688</v>
      </c>
    </row>
    <row r="551" spans="1:20" x14ac:dyDescent="0.25">
      <c r="A551" s="33" t="s">
        <v>481</v>
      </c>
      <c r="B551" s="33" t="s">
        <v>480</v>
      </c>
      <c r="C551" s="33" t="s">
        <v>13</v>
      </c>
      <c r="D551" s="33" t="s">
        <v>255</v>
      </c>
      <c r="E551" s="33">
        <v>2022</v>
      </c>
      <c r="F551" s="33">
        <v>48</v>
      </c>
      <c r="G551" s="33">
        <v>10</v>
      </c>
      <c r="H551" s="33" t="s">
        <v>482</v>
      </c>
      <c r="I551" s="33" t="s">
        <v>257</v>
      </c>
      <c r="J551" s="33">
        <v>2022</v>
      </c>
      <c r="K551" s="34"/>
      <c r="L551" s="34"/>
      <c r="M551" s="33" t="s">
        <v>18</v>
      </c>
      <c r="N551" s="37" t="s">
        <v>483</v>
      </c>
      <c r="O551" s="33" t="s">
        <v>484</v>
      </c>
      <c r="P551" s="33" t="s">
        <v>485</v>
      </c>
      <c r="Q551" s="33" t="s">
        <v>140</v>
      </c>
      <c r="R551" s="34"/>
      <c r="S551" s="38"/>
      <c r="T551" s="38" t="s">
        <v>12690</v>
      </c>
    </row>
    <row r="552" spans="1:20" x14ac:dyDescent="0.25">
      <c r="A552" s="33" t="s">
        <v>1658</v>
      </c>
      <c r="B552" s="33" t="s">
        <v>1657</v>
      </c>
      <c r="C552" s="33" t="s">
        <v>141</v>
      </c>
      <c r="D552" s="34"/>
      <c r="E552" s="33">
        <v>2021</v>
      </c>
      <c r="F552" s="34"/>
      <c r="G552" s="34"/>
      <c r="H552" s="33" t="s">
        <v>6482</v>
      </c>
      <c r="I552" s="33" t="s">
        <v>6483</v>
      </c>
      <c r="J552" s="43">
        <v>44317</v>
      </c>
      <c r="K552" s="36"/>
      <c r="L552" s="36"/>
      <c r="M552" s="34"/>
      <c r="N552" s="37" t="s">
        <v>6484</v>
      </c>
      <c r="O552" s="33" t="s">
        <v>1661</v>
      </c>
      <c r="P552" s="33" t="s">
        <v>6485</v>
      </c>
      <c r="Q552" s="36"/>
      <c r="R552" s="36"/>
      <c r="S552" s="33" t="s">
        <v>6486</v>
      </c>
      <c r="T552" s="38" t="s">
        <v>12688</v>
      </c>
    </row>
    <row r="553" spans="1:20" x14ac:dyDescent="0.25">
      <c r="A553" s="33" t="s">
        <v>1658</v>
      </c>
      <c r="B553" s="33" t="s">
        <v>1657</v>
      </c>
      <c r="C553" s="33" t="s">
        <v>141</v>
      </c>
      <c r="D553" s="34"/>
      <c r="E553" s="33">
        <v>2021</v>
      </c>
      <c r="F553" s="34"/>
      <c r="G553" s="34"/>
      <c r="H553" s="33" t="s">
        <v>1659</v>
      </c>
      <c r="I553" s="33" t="s">
        <v>257</v>
      </c>
      <c r="J553" s="33">
        <v>2021</v>
      </c>
      <c r="K553" s="33">
        <v>9781665414050</v>
      </c>
      <c r="L553" s="34"/>
      <c r="M553" s="34"/>
      <c r="N553" s="37" t="s">
        <v>1660</v>
      </c>
      <c r="O553" s="33" t="s">
        <v>1661</v>
      </c>
      <c r="P553" s="33" t="s">
        <v>1662</v>
      </c>
      <c r="Q553" s="33" t="s">
        <v>1404</v>
      </c>
      <c r="R553" s="34"/>
      <c r="S553" s="38"/>
      <c r="T553" s="38" t="s">
        <v>12690</v>
      </c>
    </row>
    <row r="554" spans="1:20" x14ac:dyDescent="0.25">
      <c r="A554" s="33" t="s">
        <v>12611</v>
      </c>
      <c r="B554" s="34"/>
      <c r="C554" s="33" t="s">
        <v>539</v>
      </c>
      <c r="D554" s="34"/>
      <c r="E554" s="33">
        <v>2021</v>
      </c>
      <c r="F554" s="34"/>
      <c r="G554" s="34"/>
      <c r="H554" s="34"/>
      <c r="I554" s="44" t="s">
        <v>12710</v>
      </c>
      <c r="J554" s="33">
        <v>2021</v>
      </c>
      <c r="K554" s="33">
        <v>9781450380966</v>
      </c>
      <c r="L554" s="34"/>
      <c r="M554" s="34"/>
      <c r="N554" s="34"/>
      <c r="O554" s="34"/>
      <c r="P554" s="34"/>
      <c r="Q554" s="36"/>
      <c r="R554" s="36"/>
      <c r="S554" s="34"/>
      <c r="T554" s="33" t="s">
        <v>12692</v>
      </c>
    </row>
    <row r="555" spans="1:20" x14ac:dyDescent="0.25">
      <c r="A555" s="39" t="s">
        <v>9624</v>
      </c>
      <c r="B555" s="39" t="s">
        <v>9626</v>
      </c>
      <c r="C555" s="39" t="s">
        <v>539</v>
      </c>
      <c r="D555" s="36"/>
      <c r="E555" s="39">
        <v>2022</v>
      </c>
      <c r="F555" s="40"/>
      <c r="G555" s="40"/>
      <c r="H555" s="36"/>
      <c r="I555" s="39" t="s">
        <v>9623</v>
      </c>
      <c r="J555" s="36"/>
      <c r="K555" s="36"/>
      <c r="L555" s="36"/>
      <c r="M555" s="34"/>
      <c r="N555" s="41" t="s">
        <v>9627</v>
      </c>
      <c r="O555" s="39" t="s">
        <v>9625</v>
      </c>
      <c r="P555" s="33"/>
      <c r="Q555" s="36"/>
      <c r="R555" s="34"/>
      <c r="S555" s="38"/>
      <c r="T555" s="38" t="s">
        <v>12689</v>
      </c>
    </row>
    <row r="556" spans="1:20" x14ac:dyDescent="0.25">
      <c r="A556" s="33" t="s">
        <v>502</v>
      </c>
      <c r="B556" s="33" t="s">
        <v>501</v>
      </c>
      <c r="C556" s="33" t="s">
        <v>13</v>
      </c>
      <c r="D556" s="33" t="s">
        <v>188</v>
      </c>
      <c r="E556" s="33">
        <v>2022</v>
      </c>
      <c r="F556" s="33">
        <v>32</v>
      </c>
      <c r="G556" s="33">
        <v>9</v>
      </c>
      <c r="H556" s="33" t="s">
        <v>503</v>
      </c>
      <c r="I556" s="33" t="s">
        <v>189</v>
      </c>
      <c r="J556" s="33">
        <v>2022</v>
      </c>
      <c r="K556" s="34"/>
      <c r="L556" s="34"/>
      <c r="M556" s="33" t="s">
        <v>73</v>
      </c>
      <c r="N556" s="37" t="s">
        <v>504</v>
      </c>
      <c r="O556" s="33" t="s">
        <v>505</v>
      </c>
      <c r="P556" s="33" t="s">
        <v>506</v>
      </c>
      <c r="Q556" s="33" t="s">
        <v>157</v>
      </c>
      <c r="R556" s="34"/>
      <c r="S556" s="38"/>
      <c r="T556" s="38" t="s">
        <v>12690</v>
      </c>
    </row>
    <row r="557" spans="1:20" x14ac:dyDescent="0.25">
      <c r="A557" s="33" t="s">
        <v>4062</v>
      </c>
      <c r="B557" s="33" t="s">
        <v>4061</v>
      </c>
      <c r="C557" s="33" t="s">
        <v>13</v>
      </c>
      <c r="D557" s="33" t="s">
        <v>4063</v>
      </c>
      <c r="E557" s="33">
        <v>2020</v>
      </c>
      <c r="F557" s="33">
        <v>14</v>
      </c>
      <c r="G557" s="33">
        <v>5</v>
      </c>
      <c r="H557" s="33" t="s">
        <v>3376</v>
      </c>
      <c r="I557" s="33" t="s">
        <v>4064</v>
      </c>
      <c r="J557" s="33">
        <v>2020</v>
      </c>
      <c r="K557" s="34"/>
      <c r="L557" s="34"/>
      <c r="M557" s="33" t="s">
        <v>4065</v>
      </c>
      <c r="N557" s="37" t="s">
        <v>4066</v>
      </c>
      <c r="O557" s="33" t="s">
        <v>4067</v>
      </c>
      <c r="P557" s="33" t="s">
        <v>4068</v>
      </c>
      <c r="Q557" s="33" t="s">
        <v>318</v>
      </c>
      <c r="R557" s="34"/>
      <c r="S557" s="38"/>
      <c r="T557" s="38" t="s">
        <v>12690</v>
      </c>
    </row>
    <row r="558" spans="1:20" x14ac:dyDescent="0.25">
      <c r="A558" s="33" t="s">
        <v>1040</v>
      </c>
      <c r="B558" s="33" t="s">
        <v>1039</v>
      </c>
      <c r="C558" s="33" t="s">
        <v>13</v>
      </c>
      <c r="D558" s="33" t="s">
        <v>1041</v>
      </c>
      <c r="E558" s="33">
        <v>2022</v>
      </c>
      <c r="F558" s="33">
        <v>6</v>
      </c>
      <c r="G558" s="33">
        <v>4</v>
      </c>
      <c r="H558" s="33" t="s">
        <v>1042</v>
      </c>
      <c r="I558" s="33" t="s">
        <v>1043</v>
      </c>
      <c r="J558" s="33">
        <v>2022</v>
      </c>
      <c r="K558" s="34"/>
      <c r="L558" s="34"/>
      <c r="M558" s="33" t="s">
        <v>1044</v>
      </c>
      <c r="N558" s="37" t="s">
        <v>1045</v>
      </c>
      <c r="O558" s="33" t="s">
        <v>1046</v>
      </c>
      <c r="P558" s="33" t="s">
        <v>1047</v>
      </c>
      <c r="Q558" s="33" t="s">
        <v>157</v>
      </c>
      <c r="R558" s="34"/>
      <c r="S558" s="38"/>
      <c r="T558" s="38" t="s">
        <v>12690</v>
      </c>
    </row>
    <row r="559" spans="1:20" x14ac:dyDescent="0.25">
      <c r="A559" s="33" t="s">
        <v>3454</v>
      </c>
      <c r="B559" s="33" t="s">
        <v>3453</v>
      </c>
      <c r="C559" s="33" t="s">
        <v>13</v>
      </c>
      <c r="D559" s="33" t="s">
        <v>3455</v>
      </c>
      <c r="E559" s="33">
        <v>2021</v>
      </c>
      <c r="F559" s="34"/>
      <c r="G559" s="34"/>
      <c r="H559" s="33" t="s">
        <v>3456</v>
      </c>
      <c r="I559" s="33" t="s">
        <v>212</v>
      </c>
      <c r="J559" s="33">
        <v>2021</v>
      </c>
      <c r="K559" s="34"/>
      <c r="L559" s="34"/>
      <c r="M559" s="33" t="s">
        <v>3457</v>
      </c>
      <c r="N559" s="37" t="s">
        <v>3458</v>
      </c>
      <c r="O559" s="33" t="s">
        <v>3459</v>
      </c>
      <c r="P559" s="33" t="s">
        <v>3460</v>
      </c>
      <c r="Q559" s="33" t="s">
        <v>157</v>
      </c>
      <c r="R559" s="34"/>
      <c r="S559" s="38"/>
      <c r="T559" s="38" t="s">
        <v>12690</v>
      </c>
    </row>
    <row r="560" spans="1:20" x14ac:dyDescent="0.25">
      <c r="A560" s="39" t="s">
        <v>3454</v>
      </c>
      <c r="B560" s="39" t="s">
        <v>9678</v>
      </c>
      <c r="C560" s="39" t="s">
        <v>9539</v>
      </c>
      <c r="D560" s="36"/>
      <c r="E560" s="39">
        <v>2021</v>
      </c>
      <c r="F560" s="40"/>
      <c r="G560" s="40"/>
      <c r="H560" s="36"/>
      <c r="I560" s="39" t="s">
        <v>9677</v>
      </c>
      <c r="J560" s="36"/>
      <c r="K560" s="36"/>
      <c r="L560" s="36"/>
      <c r="M560" s="34"/>
      <c r="N560" s="41" t="s">
        <v>9679</v>
      </c>
      <c r="O560" s="39" t="s">
        <v>3459</v>
      </c>
      <c r="P560" s="33"/>
      <c r="Q560" s="36"/>
      <c r="R560" s="34"/>
      <c r="S560" s="38"/>
      <c r="T560" s="38" t="s">
        <v>12689</v>
      </c>
    </row>
    <row r="561" spans="1:20" x14ac:dyDescent="0.25">
      <c r="A561" s="33" t="s">
        <v>7302</v>
      </c>
      <c r="B561" s="33" t="s">
        <v>7301</v>
      </c>
      <c r="C561" s="33" t="s">
        <v>141</v>
      </c>
      <c r="D561" s="34"/>
      <c r="E561" s="33">
        <v>2018</v>
      </c>
      <c r="F561" s="34"/>
      <c r="G561" s="34"/>
      <c r="H561" s="33" t="s">
        <v>12023</v>
      </c>
      <c r="I561" s="44" t="s">
        <v>12741</v>
      </c>
      <c r="J561" s="33">
        <v>2018</v>
      </c>
      <c r="K561" s="33">
        <v>9781450357128</v>
      </c>
      <c r="L561" s="33" t="s">
        <v>12028</v>
      </c>
      <c r="M561" s="34"/>
      <c r="N561" s="37" t="s">
        <v>12025</v>
      </c>
      <c r="O561" s="33" t="s">
        <v>12026</v>
      </c>
      <c r="P561" s="33" t="s">
        <v>7305</v>
      </c>
      <c r="Q561" s="36"/>
      <c r="R561" s="36"/>
      <c r="S561" s="33" t="s">
        <v>12027</v>
      </c>
      <c r="T561" s="33" t="s">
        <v>12692</v>
      </c>
    </row>
    <row r="562" spans="1:20" x14ac:dyDescent="0.25">
      <c r="A562" s="33" t="s">
        <v>7302</v>
      </c>
      <c r="B562" s="33" t="s">
        <v>7301</v>
      </c>
      <c r="C562" s="33" t="s">
        <v>141</v>
      </c>
      <c r="D562" s="34"/>
      <c r="E562" s="33">
        <v>2018</v>
      </c>
      <c r="F562" s="34"/>
      <c r="G562" s="34"/>
      <c r="H562" s="33" t="s">
        <v>7303</v>
      </c>
      <c r="I562" s="33" t="s">
        <v>7304</v>
      </c>
      <c r="J562" s="43">
        <v>43221</v>
      </c>
      <c r="K562" s="36"/>
      <c r="L562" s="36"/>
      <c r="M562" s="34"/>
      <c r="N562" s="34"/>
      <c r="O562" s="34"/>
      <c r="P562" s="33" t="s">
        <v>7305</v>
      </c>
      <c r="Q562" s="36"/>
      <c r="R562" s="36"/>
      <c r="S562" s="33" t="s">
        <v>7306</v>
      </c>
      <c r="T562" s="38" t="s">
        <v>12688</v>
      </c>
    </row>
    <row r="563" spans="1:20" x14ac:dyDescent="0.25">
      <c r="A563" s="33" t="s">
        <v>1450</v>
      </c>
      <c r="B563" s="33" t="s">
        <v>1449</v>
      </c>
      <c r="C563" s="33" t="s">
        <v>141</v>
      </c>
      <c r="D563" s="34"/>
      <c r="E563" s="33">
        <v>2022</v>
      </c>
      <c r="F563" s="34"/>
      <c r="G563" s="34"/>
      <c r="H563" s="33" t="s">
        <v>1451</v>
      </c>
      <c r="I563" s="33" t="s">
        <v>257</v>
      </c>
      <c r="J563" s="33">
        <v>2022</v>
      </c>
      <c r="K563" s="33">
        <v>9781450393331</v>
      </c>
      <c r="L563" s="34"/>
      <c r="M563" s="34"/>
      <c r="N563" s="37" t="s">
        <v>1452</v>
      </c>
      <c r="O563" s="33" t="s">
        <v>1453</v>
      </c>
      <c r="P563" s="33" t="s">
        <v>1454</v>
      </c>
      <c r="Q563" s="33" t="s">
        <v>568</v>
      </c>
      <c r="R563" s="34"/>
      <c r="S563" s="38"/>
      <c r="T563" s="38" t="s">
        <v>12690</v>
      </c>
    </row>
    <row r="564" spans="1:20" x14ac:dyDescent="0.25">
      <c r="A564" s="33" t="s">
        <v>3314</v>
      </c>
      <c r="B564" s="33" t="s">
        <v>3313</v>
      </c>
      <c r="C564" s="33" t="s">
        <v>13</v>
      </c>
      <c r="D564" s="33" t="s">
        <v>668</v>
      </c>
      <c r="E564" s="33">
        <v>2021</v>
      </c>
      <c r="F564" s="33">
        <v>9</v>
      </c>
      <c r="G564" s="34"/>
      <c r="H564" s="33" t="s">
        <v>3315</v>
      </c>
      <c r="I564" s="33" t="s">
        <v>257</v>
      </c>
      <c r="J564" s="33">
        <v>2021</v>
      </c>
      <c r="K564" s="34"/>
      <c r="L564" s="34"/>
      <c r="M564" s="33" t="s">
        <v>670</v>
      </c>
      <c r="N564" s="37" t="s">
        <v>3316</v>
      </c>
      <c r="O564" s="33" t="s">
        <v>3317</v>
      </c>
      <c r="P564" s="33" t="s">
        <v>3318</v>
      </c>
      <c r="Q564" s="33" t="s">
        <v>1844</v>
      </c>
      <c r="R564" s="34"/>
      <c r="S564" s="38"/>
      <c r="T564" s="38" t="s">
        <v>12690</v>
      </c>
    </row>
    <row r="565" spans="1:20" x14ac:dyDescent="0.25">
      <c r="A565" s="33" t="s">
        <v>3314</v>
      </c>
      <c r="B565" s="33" t="s">
        <v>7900</v>
      </c>
      <c r="C565" s="33" t="s">
        <v>13</v>
      </c>
      <c r="D565" s="33" t="s">
        <v>668</v>
      </c>
      <c r="E565" s="33">
        <v>2021</v>
      </c>
      <c r="F565" s="33">
        <v>9</v>
      </c>
      <c r="G565" s="34"/>
      <c r="H565" s="33" t="s">
        <v>7901</v>
      </c>
      <c r="I565" s="34"/>
      <c r="J565" s="33">
        <v>2021</v>
      </c>
      <c r="K565" s="36"/>
      <c r="L565" s="36"/>
      <c r="M565" s="33" t="s">
        <v>670</v>
      </c>
      <c r="N565" s="37" t="s">
        <v>7902</v>
      </c>
      <c r="O565" s="33" t="s">
        <v>3317</v>
      </c>
      <c r="P565" s="33" t="s">
        <v>7903</v>
      </c>
      <c r="Q565" s="36"/>
      <c r="R565" s="36"/>
      <c r="S565" s="33" t="s">
        <v>7904</v>
      </c>
      <c r="T565" s="38" t="s">
        <v>12688</v>
      </c>
    </row>
    <row r="566" spans="1:20" x14ac:dyDescent="0.25">
      <c r="A566" s="33" t="s">
        <v>421</v>
      </c>
      <c r="B566" s="33" t="s">
        <v>420</v>
      </c>
      <c r="C566" s="33" t="s">
        <v>13</v>
      </c>
      <c r="D566" s="33" t="s">
        <v>422</v>
      </c>
      <c r="E566" s="33">
        <v>2022</v>
      </c>
      <c r="F566" s="34"/>
      <c r="G566" s="34"/>
      <c r="H566" s="34"/>
      <c r="I566" s="33" t="s">
        <v>212</v>
      </c>
      <c r="J566" s="33">
        <v>2022</v>
      </c>
      <c r="K566" s="34"/>
      <c r="L566" s="34"/>
      <c r="M566" s="33" t="s">
        <v>423</v>
      </c>
      <c r="N566" s="37" t="s">
        <v>424</v>
      </c>
      <c r="O566" s="33" t="s">
        <v>425</v>
      </c>
      <c r="P566" s="33" t="s">
        <v>426</v>
      </c>
      <c r="Q566" s="33" t="s">
        <v>157</v>
      </c>
      <c r="R566" s="34"/>
      <c r="S566" s="38"/>
      <c r="T566" s="38" t="s">
        <v>12690</v>
      </c>
    </row>
    <row r="567" spans="1:20" x14ac:dyDescent="0.25">
      <c r="A567" s="33" t="s">
        <v>1391</v>
      </c>
      <c r="B567" s="33" t="s">
        <v>1390</v>
      </c>
      <c r="C567" s="33" t="s">
        <v>141</v>
      </c>
      <c r="D567" s="34"/>
      <c r="E567" s="33">
        <v>2022</v>
      </c>
      <c r="F567" s="33">
        <v>1</v>
      </c>
      <c r="G567" s="34"/>
      <c r="H567" s="33" t="s">
        <v>1392</v>
      </c>
      <c r="I567" s="33" t="s">
        <v>161</v>
      </c>
      <c r="J567" s="33">
        <v>2022</v>
      </c>
      <c r="K567" s="33">
        <v>9789897585623</v>
      </c>
      <c r="L567" s="34"/>
      <c r="M567" s="33" t="s">
        <v>1393</v>
      </c>
      <c r="N567" s="37" t="s">
        <v>1394</v>
      </c>
      <c r="O567" s="33" t="s">
        <v>1395</v>
      </c>
      <c r="P567" s="33" t="s">
        <v>1396</v>
      </c>
      <c r="Q567" s="33" t="s">
        <v>595</v>
      </c>
      <c r="R567" s="34"/>
      <c r="S567" s="38"/>
      <c r="T567" s="38" t="s">
        <v>12690</v>
      </c>
    </row>
    <row r="568" spans="1:20" x14ac:dyDescent="0.25">
      <c r="A568" s="33" t="s">
        <v>939</v>
      </c>
      <c r="B568" s="33" t="s">
        <v>938</v>
      </c>
      <c r="C568" s="33" t="s">
        <v>13</v>
      </c>
      <c r="D568" s="33" t="s">
        <v>361</v>
      </c>
      <c r="E568" s="33">
        <v>2022</v>
      </c>
      <c r="F568" s="33">
        <v>5</v>
      </c>
      <c r="G568" s="33">
        <v>1</v>
      </c>
      <c r="H568" s="34"/>
      <c r="I568" s="33" t="s">
        <v>362</v>
      </c>
      <c r="J568" s="33">
        <v>2022</v>
      </c>
      <c r="K568" s="34"/>
      <c r="L568" s="34"/>
      <c r="M568" s="33" t="s">
        <v>363</v>
      </c>
      <c r="N568" s="37" t="s">
        <v>940</v>
      </c>
      <c r="O568" s="33" t="s">
        <v>941</v>
      </c>
      <c r="P568" s="33" t="s">
        <v>942</v>
      </c>
      <c r="Q568" s="33" t="s">
        <v>943</v>
      </c>
      <c r="R568" s="34"/>
      <c r="S568" s="38"/>
      <c r="T568" s="38" t="s">
        <v>12690</v>
      </c>
    </row>
    <row r="569" spans="1:20" x14ac:dyDescent="0.25">
      <c r="A569" s="33" t="s">
        <v>889</v>
      </c>
      <c r="B569" s="33" t="s">
        <v>888</v>
      </c>
      <c r="C569" s="33" t="s">
        <v>13</v>
      </c>
      <c r="D569" s="33" t="s">
        <v>890</v>
      </c>
      <c r="E569" s="33">
        <v>2022</v>
      </c>
      <c r="F569" s="33">
        <v>4</v>
      </c>
      <c r="G569" s="34"/>
      <c r="H569" s="34"/>
      <c r="I569" s="33" t="s">
        <v>891</v>
      </c>
      <c r="J569" s="33">
        <v>2022</v>
      </c>
      <c r="K569" s="34"/>
      <c r="L569" s="34"/>
      <c r="M569" s="33" t="s">
        <v>892</v>
      </c>
      <c r="N569" s="37" t="s">
        <v>893</v>
      </c>
      <c r="O569" s="33" t="s">
        <v>894</v>
      </c>
      <c r="P569" s="33" t="s">
        <v>895</v>
      </c>
      <c r="Q569" s="33" t="s">
        <v>896</v>
      </c>
      <c r="R569" s="34"/>
      <c r="S569" s="38"/>
      <c r="T569" s="38" t="s">
        <v>12690</v>
      </c>
    </row>
    <row r="570" spans="1:20" x14ac:dyDescent="0.25">
      <c r="A570" s="39" t="s">
        <v>906</v>
      </c>
      <c r="B570" s="39" t="s">
        <v>9887</v>
      </c>
      <c r="C570" s="39" t="s">
        <v>9478</v>
      </c>
      <c r="D570" s="36"/>
      <c r="E570" s="39">
        <v>2022</v>
      </c>
      <c r="F570" s="39">
        <v>27</v>
      </c>
      <c r="G570" s="39">
        <v>4</v>
      </c>
      <c r="H570" s="36"/>
      <c r="I570" s="39" t="s">
        <v>136</v>
      </c>
      <c r="J570" s="36"/>
      <c r="K570" s="36"/>
      <c r="L570" s="36"/>
      <c r="M570" s="34"/>
      <c r="N570" s="41" t="s">
        <v>9888</v>
      </c>
      <c r="O570" s="39" t="s">
        <v>908</v>
      </c>
      <c r="P570" s="33"/>
      <c r="Q570" s="36"/>
      <c r="R570" s="34"/>
      <c r="S570" s="38"/>
      <c r="T570" s="38" t="s">
        <v>12689</v>
      </c>
    </row>
    <row r="571" spans="1:20" x14ac:dyDescent="0.25">
      <c r="A571" s="33" t="s">
        <v>906</v>
      </c>
      <c r="B571" s="33" t="s">
        <v>905</v>
      </c>
      <c r="C571" s="33" t="s">
        <v>13</v>
      </c>
      <c r="D571" s="33" t="s">
        <v>136</v>
      </c>
      <c r="E571" s="33">
        <v>2022</v>
      </c>
      <c r="F571" s="33">
        <v>27</v>
      </c>
      <c r="G571" s="33">
        <v>4</v>
      </c>
      <c r="H571" s="34"/>
      <c r="I571" s="33" t="s">
        <v>137</v>
      </c>
      <c r="J571" s="33">
        <v>2022</v>
      </c>
      <c r="K571" s="34"/>
      <c r="L571" s="34"/>
      <c r="M571" s="33" t="s">
        <v>33</v>
      </c>
      <c r="N571" s="37" t="s">
        <v>907</v>
      </c>
      <c r="O571" s="33" t="s">
        <v>908</v>
      </c>
      <c r="P571" s="33" t="s">
        <v>909</v>
      </c>
      <c r="Q571" s="33" t="s">
        <v>404</v>
      </c>
      <c r="R571" s="34"/>
      <c r="S571" s="38"/>
      <c r="T571" s="38" t="s">
        <v>12690</v>
      </c>
    </row>
    <row r="572" spans="1:20" x14ac:dyDescent="0.25">
      <c r="A572" s="39" t="s">
        <v>10945</v>
      </c>
      <c r="B572" s="39" t="s">
        <v>10352</v>
      </c>
      <c r="C572" s="39" t="s">
        <v>9539</v>
      </c>
      <c r="D572" s="36"/>
      <c r="E572" s="39">
        <v>2019</v>
      </c>
      <c r="F572" s="40"/>
      <c r="G572" s="40"/>
      <c r="H572" s="36"/>
      <c r="I572" s="39" t="s">
        <v>10350</v>
      </c>
      <c r="J572" s="36"/>
      <c r="K572" s="36"/>
      <c r="L572" s="36"/>
      <c r="M572" s="34"/>
      <c r="N572" s="41" t="s">
        <v>10947</v>
      </c>
      <c r="O572" s="39" t="s">
        <v>10946</v>
      </c>
      <c r="P572" s="33"/>
      <c r="Q572" s="36"/>
      <c r="R572" s="34"/>
      <c r="S572" s="38"/>
      <c r="T572" s="38" t="s">
        <v>12689</v>
      </c>
    </row>
    <row r="573" spans="1:20" x14ac:dyDescent="0.25">
      <c r="A573" s="33" t="s">
        <v>12063</v>
      </c>
      <c r="B573" s="33" t="s">
        <v>4614</v>
      </c>
      <c r="C573" s="33" t="s">
        <v>141</v>
      </c>
      <c r="D573" s="34"/>
      <c r="E573" s="33">
        <v>2020</v>
      </c>
      <c r="F573" s="34"/>
      <c r="G573" s="34"/>
      <c r="H573" s="33" t="s">
        <v>12064</v>
      </c>
      <c r="I573" s="44" t="s">
        <v>12742</v>
      </c>
      <c r="J573" s="33">
        <v>2020</v>
      </c>
      <c r="K573" s="33">
        <v>9781450369367</v>
      </c>
      <c r="L573" s="33" t="s">
        <v>12070</v>
      </c>
      <c r="M573" s="34"/>
      <c r="N573" s="37" t="s">
        <v>12067</v>
      </c>
      <c r="O573" s="33" t="s">
        <v>4618</v>
      </c>
      <c r="P573" s="33" t="s">
        <v>12068</v>
      </c>
      <c r="Q573" s="36"/>
      <c r="R573" s="36"/>
      <c r="S573" s="33" t="s">
        <v>12069</v>
      </c>
      <c r="T573" s="33" t="s">
        <v>12692</v>
      </c>
    </row>
    <row r="574" spans="1:20" x14ac:dyDescent="0.25">
      <c r="A574" s="33" t="s">
        <v>12063</v>
      </c>
      <c r="B574" s="33" t="s">
        <v>4614</v>
      </c>
      <c r="C574" s="33" t="s">
        <v>141</v>
      </c>
      <c r="D574" s="34"/>
      <c r="E574" s="33">
        <v>2020</v>
      </c>
      <c r="F574" s="34"/>
      <c r="G574" s="34"/>
      <c r="H574" s="33" t="s">
        <v>4616</v>
      </c>
      <c r="I574" s="33" t="s">
        <v>153</v>
      </c>
      <c r="J574" s="33">
        <v>2020</v>
      </c>
      <c r="K574" s="33">
        <v>9781450369367</v>
      </c>
      <c r="L574" s="34"/>
      <c r="M574" s="34"/>
      <c r="N574" s="37" t="s">
        <v>4617</v>
      </c>
      <c r="O574" s="33" t="s">
        <v>4618</v>
      </c>
      <c r="P574" s="33" t="s">
        <v>4619</v>
      </c>
      <c r="Q574" s="33" t="s">
        <v>4620</v>
      </c>
      <c r="R574" s="34"/>
      <c r="S574" s="38"/>
      <c r="T574" s="38" t="s">
        <v>12690</v>
      </c>
    </row>
    <row r="575" spans="1:20" x14ac:dyDescent="0.25">
      <c r="A575" s="39" t="s">
        <v>10496</v>
      </c>
      <c r="B575" s="39" t="s">
        <v>10498</v>
      </c>
      <c r="C575" s="39" t="s">
        <v>539</v>
      </c>
      <c r="D575" s="36"/>
      <c r="E575" s="39">
        <v>2022</v>
      </c>
      <c r="F575" s="40"/>
      <c r="G575" s="40"/>
      <c r="H575" s="36"/>
      <c r="I575" s="40"/>
      <c r="J575" s="36"/>
      <c r="K575" s="36"/>
      <c r="L575" s="36"/>
      <c r="M575" s="34"/>
      <c r="N575" s="41" t="s">
        <v>10499</v>
      </c>
      <c r="O575" s="39" t="s">
        <v>10497</v>
      </c>
      <c r="P575" s="33"/>
      <c r="Q575" s="36"/>
      <c r="R575" s="34"/>
      <c r="S575" s="38"/>
      <c r="T575" s="38" t="s">
        <v>12689</v>
      </c>
    </row>
    <row r="576" spans="1:20" x14ac:dyDescent="0.25">
      <c r="A576" s="39" t="s">
        <v>10588</v>
      </c>
      <c r="B576" s="39" t="s">
        <v>10590</v>
      </c>
      <c r="C576" s="39" t="s">
        <v>539</v>
      </c>
      <c r="D576" s="36"/>
      <c r="E576" s="39">
        <v>2021</v>
      </c>
      <c r="F576" s="40"/>
      <c r="G576" s="40"/>
      <c r="H576" s="36"/>
      <c r="I576" s="40"/>
      <c r="J576" s="36"/>
      <c r="K576" s="36"/>
      <c r="L576" s="36"/>
      <c r="M576" s="34"/>
      <c r="N576" s="41" t="s">
        <v>10591</v>
      </c>
      <c r="O576" s="39" t="s">
        <v>10589</v>
      </c>
      <c r="P576" s="33"/>
      <c r="Q576" s="36"/>
      <c r="R576" s="34"/>
      <c r="S576" s="38"/>
      <c r="T576" s="38" t="s">
        <v>12689</v>
      </c>
    </row>
    <row r="577" spans="1:20" x14ac:dyDescent="0.25">
      <c r="A577" s="39" t="s">
        <v>10832</v>
      </c>
      <c r="B577" s="39" t="s">
        <v>10162</v>
      </c>
      <c r="C577" s="39" t="s">
        <v>9539</v>
      </c>
      <c r="D577" s="36"/>
      <c r="E577" s="39">
        <v>2021</v>
      </c>
      <c r="F577" s="40"/>
      <c r="G577" s="40"/>
      <c r="H577" s="36"/>
      <c r="I577" s="39" t="s">
        <v>10160</v>
      </c>
      <c r="J577" s="36"/>
      <c r="K577" s="36"/>
      <c r="L577" s="36"/>
      <c r="M577" s="34"/>
      <c r="N577" s="41" t="s">
        <v>10834</v>
      </c>
      <c r="O577" s="39" t="s">
        <v>10833</v>
      </c>
      <c r="P577" s="33"/>
      <c r="Q577" s="36"/>
      <c r="R577" s="34"/>
      <c r="S577" s="38"/>
      <c r="T577" s="38" t="s">
        <v>12689</v>
      </c>
    </row>
    <row r="578" spans="1:20" x14ac:dyDescent="0.25">
      <c r="A578" s="39" t="s">
        <v>10726</v>
      </c>
      <c r="B578" s="39" t="s">
        <v>10162</v>
      </c>
      <c r="C578" s="39" t="s">
        <v>9539</v>
      </c>
      <c r="D578" s="36"/>
      <c r="E578" s="39">
        <v>2021</v>
      </c>
      <c r="F578" s="40"/>
      <c r="G578" s="40"/>
      <c r="H578" s="36"/>
      <c r="I578" s="39" t="s">
        <v>10160</v>
      </c>
      <c r="J578" s="36"/>
      <c r="K578" s="36"/>
      <c r="L578" s="36"/>
      <c r="M578" s="34"/>
      <c r="N578" s="41" t="s">
        <v>10728</v>
      </c>
      <c r="O578" s="39" t="s">
        <v>10727</v>
      </c>
      <c r="P578" s="33"/>
      <c r="Q578" s="36"/>
      <c r="R578" s="34"/>
      <c r="S578" s="38"/>
      <c r="T578" s="38" t="s">
        <v>12689</v>
      </c>
    </row>
    <row r="579" spans="1:20" x14ac:dyDescent="0.25">
      <c r="A579" s="39" t="s">
        <v>9395</v>
      </c>
      <c r="B579" s="39" t="s">
        <v>9397</v>
      </c>
      <c r="C579" s="39" t="s">
        <v>539</v>
      </c>
      <c r="D579" s="36"/>
      <c r="E579" s="39">
        <v>2022</v>
      </c>
      <c r="F579" s="40"/>
      <c r="G579" s="40"/>
      <c r="H579" s="36"/>
      <c r="I579" s="40"/>
      <c r="J579" s="36"/>
      <c r="K579" s="36"/>
      <c r="L579" s="36"/>
      <c r="M579" s="34"/>
      <c r="N579" s="41" t="s">
        <v>9398</v>
      </c>
      <c r="O579" s="39" t="s">
        <v>9396</v>
      </c>
      <c r="P579" s="33"/>
      <c r="Q579" s="36"/>
      <c r="R579" s="34"/>
      <c r="S579" s="38"/>
      <c r="T579" s="38" t="s">
        <v>12689</v>
      </c>
    </row>
    <row r="580" spans="1:20" x14ac:dyDescent="0.25">
      <c r="A580" s="33" t="s">
        <v>11415</v>
      </c>
      <c r="B580" s="33" t="s">
        <v>11414</v>
      </c>
      <c r="C580" s="33" t="s">
        <v>141</v>
      </c>
      <c r="D580" s="34"/>
      <c r="E580" s="33">
        <v>2014</v>
      </c>
      <c r="F580" s="34"/>
      <c r="G580" s="34"/>
      <c r="H580" s="33" t="s">
        <v>11416</v>
      </c>
      <c r="I580" s="44" t="s">
        <v>12743</v>
      </c>
      <c r="J580" s="33">
        <v>2014</v>
      </c>
      <c r="K580" s="33">
        <v>9781450332262</v>
      </c>
      <c r="L580" s="33" t="s">
        <v>11423</v>
      </c>
      <c r="M580" s="34"/>
      <c r="N580" s="37" t="s">
        <v>11419</v>
      </c>
      <c r="O580" s="33" t="s">
        <v>11420</v>
      </c>
      <c r="P580" s="33" t="s">
        <v>11421</v>
      </c>
      <c r="Q580" s="36"/>
      <c r="R580" s="36"/>
      <c r="S580" s="33" t="s">
        <v>11422</v>
      </c>
      <c r="T580" s="33" t="s">
        <v>12692</v>
      </c>
    </row>
    <row r="581" spans="1:20" x14ac:dyDescent="0.25">
      <c r="A581" s="33" t="s">
        <v>4544</v>
      </c>
      <c r="B581" s="33" t="s">
        <v>4543</v>
      </c>
      <c r="C581" s="33" t="s">
        <v>13</v>
      </c>
      <c r="D581" s="33" t="s">
        <v>548</v>
      </c>
      <c r="E581" s="33">
        <v>2020</v>
      </c>
      <c r="F581" s="33">
        <v>12</v>
      </c>
      <c r="G581" s="33">
        <v>6</v>
      </c>
      <c r="H581" s="34"/>
      <c r="I581" s="33" t="s">
        <v>3431</v>
      </c>
      <c r="J581" s="33">
        <v>2020</v>
      </c>
      <c r="K581" s="34"/>
      <c r="L581" s="34"/>
      <c r="M581" s="33" t="s">
        <v>549</v>
      </c>
      <c r="N581" s="37" t="s">
        <v>4545</v>
      </c>
      <c r="O581" s="33" t="s">
        <v>4546</v>
      </c>
      <c r="P581" s="33" t="s">
        <v>4547</v>
      </c>
      <c r="Q581" s="33" t="s">
        <v>4548</v>
      </c>
      <c r="R581" s="34"/>
      <c r="S581" s="38"/>
      <c r="T581" s="38" t="s">
        <v>12690</v>
      </c>
    </row>
    <row r="582" spans="1:20" x14ac:dyDescent="0.25">
      <c r="A582" s="33" t="s">
        <v>5458</v>
      </c>
      <c r="B582" s="33" t="s">
        <v>5457</v>
      </c>
      <c r="C582" s="33" t="s">
        <v>141</v>
      </c>
      <c r="D582" s="34"/>
      <c r="E582" s="33">
        <v>2016</v>
      </c>
      <c r="F582" s="33" t="s">
        <v>5459</v>
      </c>
      <c r="G582" s="34"/>
      <c r="H582" s="33" t="s">
        <v>5460</v>
      </c>
      <c r="I582" s="33" t="s">
        <v>196</v>
      </c>
      <c r="J582" s="33">
        <v>2016</v>
      </c>
      <c r="K582" s="33">
        <v>9781450339001</v>
      </c>
      <c r="L582" s="33">
        <v>9781450342056</v>
      </c>
      <c r="M582" s="33" t="s">
        <v>1458</v>
      </c>
      <c r="N582" s="37" t="s">
        <v>5461</v>
      </c>
      <c r="O582" s="33" t="s">
        <v>5462</v>
      </c>
      <c r="P582" s="33" t="s">
        <v>5463</v>
      </c>
      <c r="Q582" s="33" t="s">
        <v>5464</v>
      </c>
      <c r="R582" s="34"/>
      <c r="S582" s="38"/>
      <c r="T582" s="38" t="s">
        <v>12690</v>
      </c>
    </row>
    <row r="583" spans="1:20" x14ac:dyDescent="0.25">
      <c r="A583" s="39" t="s">
        <v>9609</v>
      </c>
      <c r="B583" s="39" t="s">
        <v>9611</v>
      </c>
      <c r="C583" s="39" t="s">
        <v>539</v>
      </c>
      <c r="D583" s="36"/>
      <c r="E583" s="39">
        <v>2021</v>
      </c>
      <c r="F583" s="40"/>
      <c r="G583" s="40"/>
      <c r="H583" s="36"/>
      <c r="I583" s="40"/>
      <c r="J583" s="36"/>
      <c r="K583" s="36"/>
      <c r="L583" s="36"/>
      <c r="M583" s="34"/>
      <c r="N583" s="41" t="s">
        <v>9612</v>
      </c>
      <c r="O583" s="39" t="s">
        <v>9610</v>
      </c>
      <c r="P583" s="33"/>
      <c r="Q583" s="36"/>
      <c r="R583" s="34"/>
      <c r="S583" s="38"/>
      <c r="T583" s="38" t="s">
        <v>12689</v>
      </c>
    </row>
    <row r="584" spans="1:20" x14ac:dyDescent="0.25">
      <c r="A584" s="33" t="s">
        <v>7346</v>
      </c>
      <c r="B584" s="33" t="s">
        <v>7345</v>
      </c>
      <c r="C584" s="33" t="s">
        <v>141</v>
      </c>
      <c r="D584" s="34"/>
      <c r="E584" s="33">
        <v>2016</v>
      </c>
      <c r="F584" s="34"/>
      <c r="G584" s="34"/>
      <c r="H584" s="33" t="s">
        <v>12011</v>
      </c>
      <c r="I584" s="44" t="s">
        <v>12744</v>
      </c>
      <c r="J584" s="33">
        <v>2016</v>
      </c>
      <c r="K584" s="33">
        <v>9781450342056</v>
      </c>
      <c r="L584" s="33" t="s">
        <v>12016</v>
      </c>
      <c r="M584" s="34"/>
      <c r="N584" s="37" t="s">
        <v>12013</v>
      </c>
      <c r="O584" s="33" t="s">
        <v>12014</v>
      </c>
      <c r="P584" s="33" t="s">
        <v>12015</v>
      </c>
      <c r="Q584" s="36"/>
      <c r="R584" s="36"/>
      <c r="S584" s="34"/>
      <c r="T584" s="33" t="s">
        <v>12692</v>
      </c>
    </row>
    <row r="585" spans="1:20" x14ac:dyDescent="0.25">
      <c r="A585" s="33" t="s">
        <v>7346</v>
      </c>
      <c r="B585" s="33" t="s">
        <v>7345</v>
      </c>
      <c r="C585" s="33" t="s">
        <v>141</v>
      </c>
      <c r="D585" s="34"/>
      <c r="E585" s="33">
        <v>2016</v>
      </c>
      <c r="F585" s="34"/>
      <c r="G585" s="34"/>
      <c r="H585" s="33" t="s">
        <v>7347</v>
      </c>
      <c r="I585" s="33" t="s">
        <v>7348</v>
      </c>
      <c r="J585" s="43">
        <v>42491</v>
      </c>
      <c r="K585" s="36"/>
      <c r="L585" s="36"/>
      <c r="M585" s="34"/>
      <c r="N585" s="34"/>
      <c r="O585" s="34"/>
      <c r="P585" s="33" t="s">
        <v>7349</v>
      </c>
      <c r="Q585" s="36"/>
      <c r="R585" s="36"/>
      <c r="S585" s="33" t="s">
        <v>7350</v>
      </c>
      <c r="T585" s="38" t="s">
        <v>12688</v>
      </c>
    </row>
    <row r="586" spans="1:20" x14ac:dyDescent="0.25">
      <c r="A586" s="33" t="s">
        <v>7990</v>
      </c>
      <c r="B586" s="33" t="s">
        <v>7989</v>
      </c>
      <c r="C586" s="33" t="s">
        <v>141</v>
      </c>
      <c r="D586" s="34"/>
      <c r="E586" s="33">
        <v>2020</v>
      </c>
      <c r="F586" s="34"/>
      <c r="G586" s="34"/>
      <c r="H586" s="42">
        <v>44935</v>
      </c>
      <c r="I586" s="33" t="s">
        <v>7991</v>
      </c>
      <c r="J586" s="43">
        <v>44044</v>
      </c>
      <c r="K586" s="34"/>
      <c r="L586" s="36"/>
      <c r="M586" s="33" t="s">
        <v>7219</v>
      </c>
      <c r="N586" s="37" t="s">
        <v>7992</v>
      </c>
      <c r="O586" s="33" t="s">
        <v>7993</v>
      </c>
      <c r="P586" s="33" t="s">
        <v>7994</v>
      </c>
      <c r="Q586" s="36"/>
      <c r="R586" s="36"/>
      <c r="S586" s="33" t="s">
        <v>7995</v>
      </c>
      <c r="T586" s="38" t="s">
        <v>12688</v>
      </c>
    </row>
    <row r="587" spans="1:20" x14ac:dyDescent="0.25">
      <c r="A587" s="39" t="s">
        <v>10964</v>
      </c>
      <c r="B587" s="39" t="s">
        <v>10966</v>
      </c>
      <c r="C587" s="39" t="s">
        <v>9539</v>
      </c>
      <c r="D587" s="36"/>
      <c r="E587" s="39">
        <v>2016</v>
      </c>
      <c r="F587" s="40"/>
      <c r="G587" s="40"/>
      <c r="H587" s="36"/>
      <c r="I587" s="39" t="s">
        <v>10963</v>
      </c>
      <c r="J587" s="36"/>
      <c r="K587" s="36"/>
      <c r="L587" s="36"/>
      <c r="M587" s="34"/>
      <c r="N587" s="41" t="s">
        <v>10967</v>
      </c>
      <c r="O587" s="39" t="s">
        <v>10965</v>
      </c>
      <c r="P587" s="33"/>
      <c r="Q587" s="36"/>
      <c r="R587" s="34"/>
      <c r="S587" s="38"/>
      <c r="T587" s="38" t="s">
        <v>12689</v>
      </c>
    </row>
    <row r="588" spans="1:20" x14ac:dyDescent="0.25">
      <c r="A588" s="33" t="s">
        <v>7352</v>
      </c>
      <c r="B588" s="33" t="s">
        <v>7351</v>
      </c>
      <c r="C588" s="33" t="s">
        <v>141</v>
      </c>
      <c r="D588" s="34"/>
      <c r="E588" s="33">
        <v>2022</v>
      </c>
      <c r="F588" s="34"/>
      <c r="G588" s="34"/>
      <c r="H588" s="33" t="s">
        <v>7353</v>
      </c>
      <c r="I588" s="33" t="s">
        <v>7354</v>
      </c>
      <c r="J588" s="35">
        <v>44835</v>
      </c>
      <c r="K588" s="36"/>
      <c r="L588" s="36"/>
      <c r="M588" s="34"/>
      <c r="N588" s="37" t="s">
        <v>7355</v>
      </c>
      <c r="O588" s="33" t="s">
        <v>7356</v>
      </c>
      <c r="P588" s="33" t="s">
        <v>7357</v>
      </c>
      <c r="Q588" s="36"/>
      <c r="R588" s="36"/>
      <c r="S588" s="33" t="s">
        <v>7358</v>
      </c>
      <c r="T588" s="38" t="s">
        <v>12688</v>
      </c>
    </row>
    <row r="589" spans="1:20" x14ac:dyDescent="0.25">
      <c r="A589" s="33" t="s">
        <v>2551</v>
      </c>
      <c r="B589" s="33" t="s">
        <v>8159</v>
      </c>
      <c r="C589" s="33" t="s">
        <v>141</v>
      </c>
      <c r="D589" s="34"/>
      <c r="E589" s="33">
        <v>2022</v>
      </c>
      <c r="F589" s="34"/>
      <c r="G589" s="34"/>
      <c r="H589" s="33" t="s">
        <v>12428</v>
      </c>
      <c r="I589" s="44" t="s">
        <v>12740</v>
      </c>
      <c r="J589" s="33">
        <v>2022</v>
      </c>
      <c r="K589" s="33">
        <v>9781450393034</v>
      </c>
      <c r="L589" s="33" t="s">
        <v>11329</v>
      </c>
      <c r="M589" s="34"/>
      <c r="N589" s="37" t="s">
        <v>12429</v>
      </c>
      <c r="O589" s="33" t="s">
        <v>2554</v>
      </c>
      <c r="P589" s="33" t="s">
        <v>8162</v>
      </c>
      <c r="Q589" s="36"/>
      <c r="R589" s="36"/>
      <c r="S589" s="33" t="s">
        <v>12430</v>
      </c>
      <c r="T589" s="33" t="s">
        <v>12692</v>
      </c>
    </row>
    <row r="590" spans="1:20" x14ac:dyDescent="0.25">
      <c r="A590" s="33" t="s">
        <v>2551</v>
      </c>
      <c r="B590" s="33" t="s">
        <v>8159</v>
      </c>
      <c r="C590" s="33" t="s">
        <v>141</v>
      </c>
      <c r="D590" s="34"/>
      <c r="E590" s="33">
        <v>2022</v>
      </c>
      <c r="F590" s="34"/>
      <c r="G590" s="34"/>
      <c r="H590" s="33" t="s">
        <v>8160</v>
      </c>
      <c r="I590" s="33" t="s">
        <v>6469</v>
      </c>
      <c r="J590" s="43">
        <v>44682</v>
      </c>
      <c r="K590" s="34"/>
      <c r="L590" s="36"/>
      <c r="M590" s="33" t="s">
        <v>6152</v>
      </c>
      <c r="N590" s="37" t="s">
        <v>8161</v>
      </c>
      <c r="O590" s="33" t="s">
        <v>2554</v>
      </c>
      <c r="P590" s="33" t="s">
        <v>8162</v>
      </c>
      <c r="Q590" s="36"/>
      <c r="R590" s="36"/>
      <c r="S590" s="33" t="s">
        <v>8163</v>
      </c>
      <c r="T590" s="38" t="s">
        <v>12688</v>
      </c>
    </row>
    <row r="591" spans="1:20" x14ac:dyDescent="0.25">
      <c r="A591" s="33" t="s">
        <v>2551</v>
      </c>
      <c r="B591" s="33" t="s">
        <v>2550</v>
      </c>
      <c r="C591" s="33" t="s">
        <v>141</v>
      </c>
      <c r="D591" s="34"/>
      <c r="E591" s="33">
        <v>2022</v>
      </c>
      <c r="F591" s="34"/>
      <c r="G591" s="34"/>
      <c r="H591" s="33" t="s">
        <v>2552</v>
      </c>
      <c r="I591" s="33" t="s">
        <v>257</v>
      </c>
      <c r="J591" s="33">
        <v>2022</v>
      </c>
      <c r="K591" s="33">
        <v>9781450393034</v>
      </c>
      <c r="L591" s="34"/>
      <c r="M591" s="34"/>
      <c r="N591" s="37" t="s">
        <v>2553</v>
      </c>
      <c r="O591" s="33" t="s">
        <v>2554</v>
      </c>
      <c r="P591" s="33" t="s">
        <v>2555</v>
      </c>
      <c r="Q591" s="33" t="s">
        <v>568</v>
      </c>
      <c r="R591" s="34"/>
      <c r="S591" s="38"/>
      <c r="T591" s="38" t="s">
        <v>12690</v>
      </c>
    </row>
    <row r="592" spans="1:20" x14ac:dyDescent="0.25">
      <c r="A592" s="33" t="s">
        <v>8952</v>
      </c>
      <c r="B592" s="33" t="s">
        <v>8951</v>
      </c>
      <c r="C592" s="33" t="s">
        <v>13</v>
      </c>
      <c r="D592" s="33" t="s">
        <v>1355</v>
      </c>
      <c r="E592" s="33">
        <v>2021</v>
      </c>
      <c r="F592" s="33">
        <v>166</v>
      </c>
      <c r="G592" s="36"/>
      <c r="H592" s="33">
        <v>114076</v>
      </c>
      <c r="I592" s="36"/>
      <c r="J592" s="33">
        <v>2021</v>
      </c>
      <c r="K592" s="34"/>
      <c r="L592" s="34"/>
      <c r="M592" s="33" t="s">
        <v>1356</v>
      </c>
      <c r="N592" s="37" t="s">
        <v>8953</v>
      </c>
      <c r="O592" s="33" t="s">
        <v>8954</v>
      </c>
      <c r="P592" s="33" t="s">
        <v>8955</v>
      </c>
      <c r="Q592" s="36"/>
      <c r="R592" s="36"/>
      <c r="S592" s="33" t="s">
        <v>8956</v>
      </c>
      <c r="T592" s="38" t="s">
        <v>12693</v>
      </c>
    </row>
    <row r="593" spans="1:20" x14ac:dyDescent="0.25">
      <c r="A593" s="39" t="s">
        <v>4733</v>
      </c>
      <c r="B593" s="39" t="s">
        <v>10672</v>
      </c>
      <c r="C593" s="39" t="s">
        <v>9539</v>
      </c>
      <c r="D593" s="36"/>
      <c r="E593" s="39">
        <v>2020</v>
      </c>
      <c r="F593" s="40"/>
      <c r="G593" s="40"/>
      <c r="H593" s="36"/>
      <c r="I593" s="39" t="s">
        <v>9491</v>
      </c>
      <c r="J593" s="36"/>
      <c r="K593" s="36"/>
      <c r="L593" s="36"/>
      <c r="M593" s="34"/>
      <c r="N593" s="41" t="s">
        <v>10673</v>
      </c>
      <c r="O593" s="39" t="s">
        <v>4737</v>
      </c>
      <c r="P593" s="33"/>
      <c r="Q593" s="36"/>
      <c r="R593" s="34"/>
      <c r="S593" s="38"/>
      <c r="T593" s="38" t="s">
        <v>12689</v>
      </c>
    </row>
    <row r="594" spans="1:20" x14ac:dyDescent="0.25">
      <c r="A594" s="33" t="s">
        <v>4733</v>
      </c>
      <c r="B594" s="33" t="s">
        <v>4732</v>
      </c>
      <c r="C594" s="33" t="s">
        <v>13</v>
      </c>
      <c r="D594" s="33" t="s">
        <v>462</v>
      </c>
      <c r="E594" s="33">
        <v>2020</v>
      </c>
      <c r="F594" s="33" t="s">
        <v>4734</v>
      </c>
      <c r="G594" s="34"/>
      <c r="H594" s="33" t="s">
        <v>4735</v>
      </c>
      <c r="I594" s="33" t="s">
        <v>137</v>
      </c>
      <c r="J594" s="33">
        <v>2020</v>
      </c>
      <c r="K594" s="34"/>
      <c r="L594" s="34"/>
      <c r="M594" s="33" t="s">
        <v>465</v>
      </c>
      <c r="N594" s="37" t="s">
        <v>4736</v>
      </c>
      <c r="O594" s="33" t="s">
        <v>4737</v>
      </c>
      <c r="P594" s="33" t="s">
        <v>4738</v>
      </c>
      <c r="Q594" s="33" t="s">
        <v>318</v>
      </c>
      <c r="R594" s="34"/>
      <c r="S594" s="38"/>
      <c r="T594" s="38" t="s">
        <v>12690</v>
      </c>
    </row>
    <row r="595" spans="1:20" x14ac:dyDescent="0.25">
      <c r="A595" s="33" t="s">
        <v>2466</v>
      </c>
      <c r="B595" s="33" t="s">
        <v>2465</v>
      </c>
      <c r="C595" s="33" t="s">
        <v>13</v>
      </c>
      <c r="D595" s="33" t="s">
        <v>354</v>
      </c>
      <c r="E595" s="33">
        <v>2021</v>
      </c>
      <c r="F595" s="33">
        <v>176</v>
      </c>
      <c r="G595" s="36"/>
      <c r="H595" s="33">
        <v>110936</v>
      </c>
      <c r="I595" s="36"/>
      <c r="J595" s="33">
        <v>2021</v>
      </c>
      <c r="K595" s="34"/>
      <c r="L595" s="34"/>
      <c r="M595" s="33" t="s">
        <v>65</v>
      </c>
      <c r="N595" s="37" t="s">
        <v>8606</v>
      </c>
      <c r="O595" s="33" t="s">
        <v>2468</v>
      </c>
      <c r="P595" s="33" t="s">
        <v>8607</v>
      </c>
      <c r="Q595" s="36"/>
      <c r="R595" s="36"/>
      <c r="S595" s="33" t="s">
        <v>8608</v>
      </c>
      <c r="T595" s="38" t="s">
        <v>12693</v>
      </c>
    </row>
    <row r="596" spans="1:20" x14ac:dyDescent="0.25">
      <c r="A596" s="33" t="s">
        <v>2466</v>
      </c>
      <c r="B596" s="33" t="s">
        <v>2465</v>
      </c>
      <c r="C596" s="33" t="s">
        <v>13</v>
      </c>
      <c r="D596" s="33" t="s">
        <v>354</v>
      </c>
      <c r="E596" s="33">
        <v>2021</v>
      </c>
      <c r="F596" s="33">
        <v>176</v>
      </c>
      <c r="G596" s="34"/>
      <c r="H596" s="34"/>
      <c r="I596" s="33" t="s">
        <v>355</v>
      </c>
      <c r="J596" s="33">
        <v>2021</v>
      </c>
      <c r="K596" s="34"/>
      <c r="L596" s="34"/>
      <c r="M596" s="33" t="s">
        <v>65</v>
      </c>
      <c r="N596" s="37" t="s">
        <v>2467</v>
      </c>
      <c r="O596" s="33" t="s">
        <v>2468</v>
      </c>
      <c r="P596" s="33" t="s">
        <v>2469</v>
      </c>
      <c r="Q596" s="33" t="s">
        <v>397</v>
      </c>
      <c r="R596" s="34"/>
      <c r="S596" s="38"/>
      <c r="T596" s="38" t="s">
        <v>12690</v>
      </c>
    </row>
    <row r="597" spans="1:20" x14ac:dyDescent="0.25">
      <c r="A597" s="33" t="s">
        <v>5710</v>
      </c>
      <c r="B597" s="33" t="s">
        <v>5709</v>
      </c>
      <c r="C597" s="33" t="s">
        <v>141</v>
      </c>
      <c r="D597" s="34"/>
      <c r="E597" s="33">
        <v>2013</v>
      </c>
      <c r="F597" s="34"/>
      <c r="G597" s="34"/>
      <c r="H597" s="33" t="s">
        <v>5711</v>
      </c>
      <c r="I597" s="34"/>
      <c r="J597" s="33">
        <v>2013</v>
      </c>
      <c r="K597" s="34"/>
      <c r="L597" s="34"/>
      <c r="M597" s="34"/>
      <c r="N597" s="37" t="s">
        <v>5712</v>
      </c>
      <c r="O597" s="33" t="s">
        <v>5713</v>
      </c>
      <c r="P597" s="33" t="s">
        <v>5714</v>
      </c>
      <c r="Q597" s="33" t="s">
        <v>5715</v>
      </c>
      <c r="R597" s="34"/>
      <c r="S597" s="38"/>
      <c r="T597" s="38" t="s">
        <v>12690</v>
      </c>
    </row>
    <row r="598" spans="1:20" x14ac:dyDescent="0.25">
      <c r="A598" s="33" t="s">
        <v>5525</v>
      </c>
      <c r="B598" s="33" t="s">
        <v>5524</v>
      </c>
      <c r="C598" s="33" t="s">
        <v>13</v>
      </c>
      <c r="D598" s="33" t="s">
        <v>5526</v>
      </c>
      <c r="E598" s="33">
        <v>2017</v>
      </c>
      <c r="F598" s="33">
        <v>128</v>
      </c>
      <c r="G598" s="34"/>
      <c r="H598" s="33" t="s">
        <v>5527</v>
      </c>
      <c r="I598" s="33" t="s">
        <v>280</v>
      </c>
      <c r="J598" s="33">
        <v>2017</v>
      </c>
      <c r="K598" s="34"/>
      <c r="L598" s="34"/>
      <c r="M598" s="33" t="s">
        <v>5528</v>
      </c>
      <c r="N598" s="37" t="s">
        <v>5529</v>
      </c>
      <c r="O598" s="33" t="s">
        <v>5530</v>
      </c>
      <c r="P598" s="33" t="s">
        <v>5531</v>
      </c>
      <c r="Q598" s="33" t="s">
        <v>5532</v>
      </c>
      <c r="R598" s="34"/>
      <c r="S598" s="38"/>
      <c r="T598" s="38" t="s">
        <v>12690</v>
      </c>
    </row>
    <row r="599" spans="1:20" x14ac:dyDescent="0.25">
      <c r="A599" s="33" t="s">
        <v>6573</v>
      </c>
      <c r="B599" s="33" t="s">
        <v>6572</v>
      </c>
      <c r="C599" s="33" t="s">
        <v>141</v>
      </c>
      <c r="D599" s="34"/>
      <c r="E599" s="33">
        <v>2019</v>
      </c>
      <c r="F599" s="34"/>
      <c r="G599" s="34"/>
      <c r="H599" s="33" t="s">
        <v>6574</v>
      </c>
      <c r="I599" s="33" t="s">
        <v>6575</v>
      </c>
      <c r="J599" s="43">
        <v>43556</v>
      </c>
      <c r="K599" s="36"/>
      <c r="L599" s="36"/>
      <c r="M599" s="34"/>
      <c r="N599" s="37" t="s">
        <v>6576</v>
      </c>
      <c r="O599" s="33" t="s">
        <v>6577</v>
      </c>
      <c r="P599" s="33" t="s">
        <v>6578</v>
      </c>
      <c r="Q599" s="36"/>
      <c r="R599" s="36"/>
      <c r="S599" s="33" t="s">
        <v>6579</v>
      </c>
      <c r="T599" s="38" t="s">
        <v>12688</v>
      </c>
    </row>
    <row r="600" spans="1:20" x14ac:dyDescent="0.25">
      <c r="A600" s="33" t="s">
        <v>8463</v>
      </c>
      <c r="B600" s="33" t="s">
        <v>8462</v>
      </c>
      <c r="C600" s="33" t="s">
        <v>13</v>
      </c>
      <c r="D600" s="33" t="s">
        <v>354</v>
      </c>
      <c r="E600" s="33">
        <v>2020</v>
      </c>
      <c r="F600" s="33">
        <v>167</v>
      </c>
      <c r="G600" s="36"/>
      <c r="H600" s="33">
        <v>110610</v>
      </c>
      <c r="I600" s="36"/>
      <c r="J600" s="33">
        <v>2020</v>
      </c>
      <c r="K600" s="34"/>
      <c r="L600" s="34"/>
      <c r="M600" s="33" t="s">
        <v>65</v>
      </c>
      <c r="N600" s="37" t="s">
        <v>8464</v>
      </c>
      <c r="O600" s="33" t="s">
        <v>8465</v>
      </c>
      <c r="P600" s="33" t="s">
        <v>8466</v>
      </c>
      <c r="Q600" s="36"/>
      <c r="R600" s="36"/>
      <c r="S600" s="33" t="s">
        <v>8467</v>
      </c>
      <c r="T600" s="38" t="s">
        <v>12693</v>
      </c>
    </row>
    <row r="601" spans="1:20" x14ac:dyDescent="0.25">
      <c r="A601" s="33" t="s">
        <v>5680</v>
      </c>
      <c r="B601" s="33" t="s">
        <v>5679</v>
      </c>
      <c r="C601" s="33" t="s">
        <v>13</v>
      </c>
      <c r="D601" s="33" t="s">
        <v>354</v>
      </c>
      <c r="E601" s="33">
        <v>2018</v>
      </c>
      <c r="F601" s="33">
        <v>144</v>
      </c>
      <c r="G601" s="36"/>
      <c r="H601" s="42">
        <v>44947</v>
      </c>
      <c r="I601" s="36"/>
      <c r="J601" s="33">
        <v>2018</v>
      </c>
      <c r="K601" s="34"/>
      <c r="L601" s="34"/>
      <c r="M601" s="33" t="s">
        <v>65</v>
      </c>
      <c r="N601" s="37" t="s">
        <v>9202</v>
      </c>
      <c r="O601" s="33" t="s">
        <v>5683</v>
      </c>
      <c r="P601" s="33" t="s">
        <v>9203</v>
      </c>
      <c r="Q601" s="36"/>
      <c r="R601" s="36"/>
      <c r="S601" s="33" t="s">
        <v>9204</v>
      </c>
      <c r="T601" s="38" t="s">
        <v>12693</v>
      </c>
    </row>
    <row r="602" spans="1:20" x14ac:dyDescent="0.25">
      <c r="A602" s="33" t="s">
        <v>5680</v>
      </c>
      <c r="B602" s="33" t="s">
        <v>5679</v>
      </c>
      <c r="C602" s="33" t="s">
        <v>13</v>
      </c>
      <c r="D602" s="33" t="s">
        <v>354</v>
      </c>
      <c r="E602" s="33">
        <v>2018</v>
      </c>
      <c r="F602" s="33">
        <v>144</v>
      </c>
      <c r="G602" s="34"/>
      <c r="H602" s="33" t="s">
        <v>5681</v>
      </c>
      <c r="I602" s="33" t="s">
        <v>355</v>
      </c>
      <c r="J602" s="33">
        <v>2018</v>
      </c>
      <c r="K602" s="34"/>
      <c r="L602" s="34"/>
      <c r="M602" s="33" t="s">
        <v>65</v>
      </c>
      <c r="N602" s="37" t="s">
        <v>5682</v>
      </c>
      <c r="O602" s="33" t="s">
        <v>5683</v>
      </c>
      <c r="P602" s="33" t="s">
        <v>5684</v>
      </c>
      <c r="Q602" s="33" t="s">
        <v>4634</v>
      </c>
      <c r="R602" s="34"/>
      <c r="S602" s="38"/>
      <c r="T602" s="38" t="s">
        <v>12690</v>
      </c>
    </row>
    <row r="603" spans="1:20" x14ac:dyDescent="0.25">
      <c r="A603" s="39" t="s">
        <v>10251</v>
      </c>
      <c r="B603" s="39" t="s">
        <v>10253</v>
      </c>
      <c r="C603" s="39" t="s">
        <v>9478</v>
      </c>
      <c r="D603" s="36"/>
      <c r="E603" s="39">
        <v>2022</v>
      </c>
      <c r="F603" s="39">
        <v>29</v>
      </c>
      <c r="G603" s="39">
        <v>1</v>
      </c>
      <c r="H603" s="36"/>
      <c r="I603" s="39" t="s">
        <v>9782</v>
      </c>
      <c r="J603" s="36"/>
      <c r="K603" s="36"/>
      <c r="L603" s="36"/>
      <c r="M603" s="34"/>
      <c r="N603" s="41" t="s">
        <v>10254</v>
      </c>
      <c r="O603" s="39" t="s">
        <v>10252</v>
      </c>
      <c r="P603" s="33"/>
      <c r="Q603" s="36"/>
      <c r="R603" s="34"/>
      <c r="S603" s="38"/>
      <c r="T603" s="38" t="s">
        <v>12689</v>
      </c>
    </row>
    <row r="604" spans="1:20" x14ac:dyDescent="0.25">
      <c r="A604" s="33" t="s">
        <v>2654</v>
      </c>
      <c r="B604" s="33" t="s">
        <v>6267</v>
      </c>
      <c r="C604" s="33" t="s">
        <v>141</v>
      </c>
      <c r="D604" s="34"/>
      <c r="E604" s="33">
        <v>2022</v>
      </c>
      <c r="F604" s="34"/>
      <c r="G604" s="34"/>
      <c r="H604" s="33" t="s">
        <v>11318</v>
      </c>
      <c r="I604" s="44" t="s">
        <v>12745</v>
      </c>
      <c r="J604" s="33">
        <v>2022</v>
      </c>
      <c r="K604" s="33">
        <v>9781450392754</v>
      </c>
      <c r="L604" s="33" t="s">
        <v>11323</v>
      </c>
      <c r="M604" s="34"/>
      <c r="N604" s="37" t="s">
        <v>11320</v>
      </c>
      <c r="O604" s="33" t="s">
        <v>2657</v>
      </c>
      <c r="P604" s="33" t="s">
        <v>11321</v>
      </c>
      <c r="Q604" s="36"/>
      <c r="R604" s="36"/>
      <c r="S604" s="33" t="s">
        <v>11322</v>
      </c>
      <c r="T604" s="33" t="s">
        <v>12692</v>
      </c>
    </row>
    <row r="605" spans="1:20" x14ac:dyDescent="0.25">
      <c r="A605" s="33" t="s">
        <v>2654</v>
      </c>
      <c r="B605" s="33" t="s">
        <v>6267</v>
      </c>
      <c r="C605" s="33" t="s">
        <v>141</v>
      </c>
      <c r="D605" s="34"/>
      <c r="E605" s="33">
        <v>2022</v>
      </c>
      <c r="F605" s="34"/>
      <c r="G605" s="34"/>
      <c r="H605" s="33" t="s">
        <v>6268</v>
      </c>
      <c r="I605" s="33" t="s">
        <v>6269</v>
      </c>
      <c r="J605" s="43">
        <v>44682</v>
      </c>
      <c r="K605" s="36"/>
      <c r="L605" s="36"/>
      <c r="M605" s="34"/>
      <c r="N605" s="37" t="s">
        <v>6270</v>
      </c>
      <c r="O605" s="33" t="s">
        <v>2657</v>
      </c>
      <c r="P605" s="33" t="s">
        <v>6271</v>
      </c>
      <c r="Q605" s="36"/>
      <c r="R605" s="36"/>
      <c r="S605" s="33" t="s">
        <v>6272</v>
      </c>
      <c r="T605" s="38" t="s">
        <v>12688</v>
      </c>
    </row>
    <row r="606" spans="1:20" x14ac:dyDescent="0.25">
      <c r="A606" s="33" t="s">
        <v>2654</v>
      </c>
      <c r="B606" s="33" t="s">
        <v>2653</v>
      </c>
      <c r="C606" s="33" t="s">
        <v>141</v>
      </c>
      <c r="D606" s="34"/>
      <c r="E606" s="33">
        <v>2022</v>
      </c>
      <c r="F606" s="34"/>
      <c r="G606" s="34"/>
      <c r="H606" s="33" t="s">
        <v>2655</v>
      </c>
      <c r="I606" s="33" t="s">
        <v>257</v>
      </c>
      <c r="J606" s="33">
        <v>2022</v>
      </c>
      <c r="K606" s="33">
        <v>9781450392754</v>
      </c>
      <c r="L606" s="34"/>
      <c r="M606" s="34"/>
      <c r="N606" s="37" t="s">
        <v>2656</v>
      </c>
      <c r="O606" s="33" t="s">
        <v>2657</v>
      </c>
      <c r="P606" s="33" t="s">
        <v>2658</v>
      </c>
      <c r="Q606" s="33" t="s">
        <v>387</v>
      </c>
      <c r="R606" s="34"/>
      <c r="S606" s="38"/>
      <c r="T606" s="38" t="s">
        <v>12690</v>
      </c>
    </row>
    <row r="607" spans="1:20" x14ac:dyDescent="0.25">
      <c r="A607" s="33" t="s">
        <v>4525</v>
      </c>
      <c r="B607" s="33" t="s">
        <v>4524</v>
      </c>
      <c r="C607" s="33" t="s">
        <v>13</v>
      </c>
      <c r="D607" s="33" t="s">
        <v>4526</v>
      </c>
      <c r="E607" s="33">
        <v>2020</v>
      </c>
      <c r="F607" s="33">
        <v>2020</v>
      </c>
      <c r="G607" s="34"/>
      <c r="H607" s="34"/>
      <c r="I607" s="33" t="s">
        <v>4527</v>
      </c>
      <c r="J607" s="33">
        <v>2020</v>
      </c>
      <c r="K607" s="34"/>
      <c r="L607" s="34"/>
      <c r="M607" s="33" t="s">
        <v>4528</v>
      </c>
      <c r="N607" s="37" t="s">
        <v>4529</v>
      </c>
      <c r="O607" s="34"/>
      <c r="P607" s="33" t="s">
        <v>4530</v>
      </c>
      <c r="Q607" s="33" t="s">
        <v>318</v>
      </c>
      <c r="R607" s="34"/>
      <c r="S607" s="38"/>
      <c r="T607" s="38" t="s">
        <v>12690</v>
      </c>
    </row>
    <row r="608" spans="1:20" x14ac:dyDescent="0.25">
      <c r="A608" s="33" t="s">
        <v>2563</v>
      </c>
      <c r="B608" s="33" t="s">
        <v>2562</v>
      </c>
      <c r="C608" s="33" t="s">
        <v>141</v>
      </c>
      <c r="D608" s="34"/>
      <c r="E608" s="33">
        <v>2022</v>
      </c>
      <c r="F608" s="34"/>
      <c r="G608" s="34"/>
      <c r="H608" s="33" t="s">
        <v>2564</v>
      </c>
      <c r="I608" s="33" t="s">
        <v>2565</v>
      </c>
      <c r="J608" s="33">
        <v>2022</v>
      </c>
      <c r="K608" s="33">
        <v>9781955917766</v>
      </c>
      <c r="L608" s="34"/>
      <c r="M608" s="34"/>
      <c r="N608" s="37" t="s">
        <v>2566</v>
      </c>
      <c r="O608" s="34"/>
      <c r="P608" s="33" t="s">
        <v>2567</v>
      </c>
      <c r="Q608" s="33" t="s">
        <v>318</v>
      </c>
      <c r="R608" s="34"/>
      <c r="S608" s="38"/>
      <c r="T608" s="38" t="s">
        <v>12690</v>
      </c>
    </row>
    <row r="609" spans="1:20" x14ac:dyDescent="0.25">
      <c r="A609" s="33" t="s">
        <v>8416</v>
      </c>
      <c r="B609" s="33" t="s">
        <v>8415</v>
      </c>
      <c r="C609" s="33" t="s">
        <v>13</v>
      </c>
      <c r="D609" s="33" t="s">
        <v>354</v>
      </c>
      <c r="E609" s="33">
        <v>2022</v>
      </c>
      <c r="F609" s="33">
        <v>188</v>
      </c>
      <c r="G609" s="36"/>
      <c r="H609" s="33">
        <v>111273</v>
      </c>
      <c r="I609" s="36"/>
      <c r="J609" s="33">
        <v>2022</v>
      </c>
      <c r="K609" s="34"/>
      <c r="L609" s="34"/>
      <c r="M609" s="33" t="s">
        <v>65</v>
      </c>
      <c r="N609" s="37" t="s">
        <v>8417</v>
      </c>
      <c r="O609" s="33" t="s">
        <v>8418</v>
      </c>
      <c r="P609" s="33" t="s">
        <v>8419</v>
      </c>
      <c r="Q609" s="36"/>
      <c r="R609" s="36"/>
      <c r="S609" s="33" t="s">
        <v>8420</v>
      </c>
      <c r="T609" s="38" t="s">
        <v>12693</v>
      </c>
    </row>
    <row r="610" spans="1:20" x14ac:dyDescent="0.25">
      <c r="A610" s="33" t="s">
        <v>843</v>
      </c>
      <c r="B610" s="33" t="s">
        <v>842</v>
      </c>
      <c r="C610" s="33" t="s">
        <v>141</v>
      </c>
      <c r="D610" s="34"/>
      <c r="E610" s="33">
        <v>2022</v>
      </c>
      <c r="F610" s="34"/>
      <c r="G610" s="34"/>
      <c r="H610" s="33" t="s">
        <v>844</v>
      </c>
      <c r="I610" s="33" t="s">
        <v>153</v>
      </c>
      <c r="J610" s="33">
        <v>2022</v>
      </c>
      <c r="K610" s="33">
        <v>9781450394130</v>
      </c>
      <c r="L610" s="34"/>
      <c r="M610" s="34"/>
      <c r="N610" s="37" t="s">
        <v>845</v>
      </c>
      <c r="O610" s="33" t="s">
        <v>846</v>
      </c>
      <c r="P610" s="33" t="s">
        <v>847</v>
      </c>
      <c r="Q610" s="33" t="s">
        <v>568</v>
      </c>
      <c r="R610" s="34"/>
      <c r="S610" s="38"/>
      <c r="T610" s="38" t="s">
        <v>12690</v>
      </c>
    </row>
    <row r="611" spans="1:20" x14ac:dyDescent="0.25">
      <c r="A611" s="39" t="s">
        <v>10848</v>
      </c>
      <c r="B611" s="39" t="s">
        <v>10850</v>
      </c>
      <c r="C611" s="39" t="s">
        <v>9539</v>
      </c>
      <c r="D611" s="36"/>
      <c r="E611" s="39">
        <v>2020</v>
      </c>
      <c r="F611" s="40"/>
      <c r="G611" s="40"/>
      <c r="H611" s="36"/>
      <c r="I611" s="39" t="s">
        <v>10847</v>
      </c>
      <c r="J611" s="36"/>
      <c r="K611" s="36"/>
      <c r="L611" s="36"/>
      <c r="M611" s="34"/>
      <c r="N611" s="41" t="s">
        <v>10851</v>
      </c>
      <c r="O611" s="39" t="s">
        <v>10849</v>
      </c>
      <c r="P611" s="33"/>
      <c r="Q611" s="36"/>
      <c r="R611" s="34"/>
      <c r="S611" s="38"/>
      <c r="T611" s="38" t="s">
        <v>12689</v>
      </c>
    </row>
    <row r="612" spans="1:20" x14ac:dyDescent="0.25">
      <c r="A612" s="33" t="s">
        <v>11839</v>
      </c>
      <c r="B612" s="33" t="s">
        <v>7070</v>
      </c>
      <c r="C612" s="33" t="s">
        <v>141</v>
      </c>
      <c r="D612" s="34"/>
      <c r="E612" s="33">
        <v>2022</v>
      </c>
      <c r="F612" s="34"/>
      <c r="G612" s="34"/>
      <c r="H612" s="33" t="s">
        <v>11840</v>
      </c>
      <c r="I612" s="44" t="s">
        <v>12698</v>
      </c>
      <c r="J612" s="33">
        <v>2022</v>
      </c>
      <c r="K612" s="33">
        <v>9781450392983</v>
      </c>
      <c r="L612" s="33" t="s">
        <v>11270</v>
      </c>
      <c r="M612" s="34"/>
      <c r="N612" s="37" t="s">
        <v>11841</v>
      </c>
      <c r="O612" s="33" t="s">
        <v>7074</v>
      </c>
      <c r="P612" s="33" t="s">
        <v>7075</v>
      </c>
      <c r="Q612" s="36"/>
      <c r="R612" s="36"/>
      <c r="S612" s="33" t="s">
        <v>11842</v>
      </c>
      <c r="T612" s="33" t="s">
        <v>12692</v>
      </c>
    </row>
    <row r="613" spans="1:20" x14ac:dyDescent="0.25">
      <c r="A613" s="33" t="s">
        <v>11839</v>
      </c>
      <c r="B613" s="33" t="s">
        <v>7070</v>
      </c>
      <c r="C613" s="33" t="s">
        <v>141</v>
      </c>
      <c r="D613" s="34"/>
      <c r="E613" s="33">
        <v>2022</v>
      </c>
      <c r="F613" s="34"/>
      <c r="G613" s="34"/>
      <c r="H613" s="33" t="s">
        <v>7072</v>
      </c>
      <c r="I613" s="33" t="s">
        <v>6722</v>
      </c>
      <c r="J613" s="43">
        <v>44682</v>
      </c>
      <c r="K613" s="36"/>
      <c r="L613" s="36"/>
      <c r="M613" s="33" t="s">
        <v>6226</v>
      </c>
      <c r="N613" s="37" t="s">
        <v>7073</v>
      </c>
      <c r="O613" s="33" t="s">
        <v>7074</v>
      </c>
      <c r="P613" s="33" t="s">
        <v>7075</v>
      </c>
      <c r="Q613" s="36"/>
      <c r="R613" s="36"/>
      <c r="S613" s="33" t="s">
        <v>7076</v>
      </c>
      <c r="T613" s="38" t="s">
        <v>12688</v>
      </c>
    </row>
    <row r="614" spans="1:20" x14ac:dyDescent="0.25">
      <c r="A614" s="33" t="s">
        <v>2075</v>
      </c>
      <c r="B614" s="33" t="s">
        <v>2074</v>
      </c>
      <c r="C614" s="33" t="s">
        <v>141</v>
      </c>
      <c r="D614" s="34"/>
      <c r="E614" s="33">
        <v>2022</v>
      </c>
      <c r="F614" s="45">
        <v>44682</v>
      </c>
      <c r="G614" s="34"/>
      <c r="H614" s="33" t="s">
        <v>2076</v>
      </c>
      <c r="I614" s="33" t="s">
        <v>196</v>
      </c>
      <c r="J614" s="33">
        <v>2022</v>
      </c>
      <c r="K614" s="33">
        <v>9781450392211</v>
      </c>
      <c r="L614" s="34"/>
      <c r="M614" s="33" t="s">
        <v>1458</v>
      </c>
      <c r="N614" s="37" t="s">
        <v>2077</v>
      </c>
      <c r="O614" s="33" t="s">
        <v>2078</v>
      </c>
      <c r="P614" s="33" t="s">
        <v>2079</v>
      </c>
      <c r="Q614" s="33" t="s">
        <v>1591</v>
      </c>
      <c r="R614" s="34"/>
      <c r="S614" s="38"/>
      <c r="T614" s="38" t="s">
        <v>12690</v>
      </c>
    </row>
    <row r="615" spans="1:20" x14ac:dyDescent="0.25">
      <c r="A615" s="39" t="s">
        <v>9596</v>
      </c>
      <c r="B615" s="39" t="s">
        <v>9598</v>
      </c>
      <c r="C615" s="39" t="s">
        <v>539</v>
      </c>
      <c r="D615" s="36"/>
      <c r="E615" s="39">
        <v>2022</v>
      </c>
      <c r="F615" s="40"/>
      <c r="G615" s="40"/>
      <c r="H615" s="36"/>
      <c r="I615" s="39" t="s">
        <v>9275</v>
      </c>
      <c r="J615" s="36"/>
      <c r="K615" s="36"/>
      <c r="L615" s="36"/>
      <c r="M615" s="34"/>
      <c r="N615" s="41" t="s">
        <v>9599</v>
      </c>
      <c r="O615" s="39" t="s">
        <v>9597</v>
      </c>
      <c r="P615" s="33"/>
      <c r="Q615" s="36"/>
      <c r="R615" s="34"/>
      <c r="S615" s="38"/>
      <c r="T615" s="38" t="s">
        <v>12689</v>
      </c>
    </row>
    <row r="616" spans="1:20" x14ac:dyDescent="0.25">
      <c r="A616" s="39" t="s">
        <v>9659</v>
      </c>
      <c r="B616" s="39" t="s">
        <v>9661</v>
      </c>
      <c r="C616" s="39" t="s">
        <v>539</v>
      </c>
      <c r="D616" s="36"/>
      <c r="E616" s="39">
        <v>2019</v>
      </c>
      <c r="F616" s="40"/>
      <c r="G616" s="40"/>
      <c r="H616" s="36"/>
      <c r="I616" s="39" t="s">
        <v>2974</v>
      </c>
      <c r="J616" s="36"/>
      <c r="K616" s="36"/>
      <c r="L616" s="36"/>
      <c r="M616" s="34"/>
      <c r="N616" s="41" t="s">
        <v>9662</v>
      </c>
      <c r="O616" s="39" t="s">
        <v>9660</v>
      </c>
      <c r="P616" s="33"/>
      <c r="Q616" s="36"/>
      <c r="R616" s="34"/>
      <c r="S616" s="38"/>
      <c r="T616" s="38" t="s">
        <v>12689</v>
      </c>
    </row>
    <row r="617" spans="1:20" x14ac:dyDescent="0.25">
      <c r="A617" s="33" t="s">
        <v>11651</v>
      </c>
      <c r="B617" s="33" t="s">
        <v>11650</v>
      </c>
      <c r="C617" s="33" t="s">
        <v>141</v>
      </c>
      <c r="D617" s="34"/>
      <c r="E617" s="33">
        <v>2021</v>
      </c>
      <c r="F617" s="34"/>
      <c r="G617" s="34"/>
      <c r="H617" s="33" t="s">
        <v>11652</v>
      </c>
      <c r="I617" s="44" t="s">
        <v>12746</v>
      </c>
      <c r="J617" s="33">
        <v>2021</v>
      </c>
      <c r="K617" s="33">
        <v>9781450386586</v>
      </c>
      <c r="L617" s="33" t="s">
        <v>11659</v>
      </c>
      <c r="M617" s="34"/>
      <c r="N617" s="37" t="s">
        <v>11655</v>
      </c>
      <c r="O617" s="33" t="s">
        <v>11656</v>
      </c>
      <c r="P617" s="33" t="s">
        <v>11657</v>
      </c>
      <c r="Q617" s="36"/>
      <c r="R617" s="36"/>
      <c r="S617" s="33" t="s">
        <v>11658</v>
      </c>
      <c r="T617" s="33" t="s">
        <v>12692</v>
      </c>
    </row>
    <row r="618" spans="1:20" x14ac:dyDescent="0.25">
      <c r="A618" s="33" t="s">
        <v>3040</v>
      </c>
      <c r="B618" s="33" t="s">
        <v>3039</v>
      </c>
      <c r="C618" s="33" t="s">
        <v>13</v>
      </c>
      <c r="D618" s="33" t="s">
        <v>354</v>
      </c>
      <c r="E618" s="33">
        <v>2020</v>
      </c>
      <c r="F618" s="33">
        <v>170</v>
      </c>
      <c r="G618" s="34"/>
      <c r="H618" s="34"/>
      <c r="I618" s="33" t="s">
        <v>355</v>
      </c>
      <c r="J618" s="33">
        <v>2020</v>
      </c>
      <c r="K618" s="34"/>
      <c r="L618" s="34"/>
      <c r="M618" s="33" t="s">
        <v>65</v>
      </c>
      <c r="N618" s="37" t="s">
        <v>3041</v>
      </c>
      <c r="O618" s="33" t="s">
        <v>3042</v>
      </c>
      <c r="P618" s="33" t="s">
        <v>3043</v>
      </c>
      <c r="Q618" s="33" t="s">
        <v>185</v>
      </c>
      <c r="R618" s="34"/>
      <c r="S618" s="38"/>
      <c r="T618" s="38" t="s">
        <v>12690</v>
      </c>
    </row>
    <row r="619" spans="1:20" x14ac:dyDescent="0.25">
      <c r="A619" s="33" t="s">
        <v>6815</v>
      </c>
      <c r="B619" s="33" t="s">
        <v>6814</v>
      </c>
      <c r="C619" s="33" t="s">
        <v>141</v>
      </c>
      <c r="D619" s="34"/>
      <c r="E619" s="33">
        <v>2022</v>
      </c>
      <c r="F619" s="34"/>
      <c r="G619" s="34"/>
      <c r="H619" s="33" t="s">
        <v>6816</v>
      </c>
      <c r="I619" s="33" t="s">
        <v>6817</v>
      </c>
      <c r="J619" s="35">
        <v>44835</v>
      </c>
      <c r="K619" s="36"/>
      <c r="L619" s="36"/>
      <c r="M619" s="33" t="s">
        <v>6818</v>
      </c>
      <c r="N619" s="37" t="s">
        <v>6819</v>
      </c>
      <c r="O619" s="33" t="s">
        <v>6820</v>
      </c>
      <c r="P619" s="33" t="s">
        <v>6821</v>
      </c>
      <c r="Q619" s="36"/>
      <c r="R619" s="36"/>
      <c r="S619" s="33" t="s">
        <v>6822</v>
      </c>
      <c r="T619" s="38" t="s">
        <v>12688</v>
      </c>
    </row>
    <row r="620" spans="1:20" x14ac:dyDescent="0.25">
      <c r="A620" s="33" t="s">
        <v>178</v>
      </c>
      <c r="B620" s="33" t="s">
        <v>177</v>
      </c>
      <c r="C620" s="33" t="s">
        <v>13</v>
      </c>
      <c r="D620" s="33" t="s">
        <v>179</v>
      </c>
      <c r="E620" s="33">
        <v>2022</v>
      </c>
      <c r="F620" s="33">
        <v>37</v>
      </c>
      <c r="G620" s="33">
        <v>1</v>
      </c>
      <c r="H620" s="33" t="s">
        <v>180</v>
      </c>
      <c r="I620" s="33" t="s">
        <v>137</v>
      </c>
      <c r="J620" s="33">
        <v>2022</v>
      </c>
      <c r="K620" s="34"/>
      <c r="L620" s="34"/>
      <c r="M620" s="33" t="s">
        <v>181</v>
      </c>
      <c r="N620" s="37" t="s">
        <v>182</v>
      </c>
      <c r="O620" s="33" t="s">
        <v>183</v>
      </c>
      <c r="P620" s="33" t="s">
        <v>184</v>
      </c>
      <c r="Q620" s="33" t="s">
        <v>185</v>
      </c>
      <c r="R620" s="34"/>
      <c r="S620" s="38"/>
      <c r="T620" s="38" t="s">
        <v>12690</v>
      </c>
    </row>
    <row r="621" spans="1:20" x14ac:dyDescent="0.25">
      <c r="A621" s="39" t="s">
        <v>178</v>
      </c>
      <c r="B621" s="39" t="s">
        <v>9930</v>
      </c>
      <c r="C621" s="39" t="s">
        <v>9478</v>
      </c>
      <c r="D621" s="36"/>
      <c r="E621" s="39">
        <v>2022</v>
      </c>
      <c r="F621" s="39">
        <v>37</v>
      </c>
      <c r="G621" s="39">
        <v>1</v>
      </c>
      <c r="H621" s="36"/>
      <c r="I621" s="39" t="s">
        <v>179</v>
      </c>
      <c r="J621" s="36"/>
      <c r="K621" s="36"/>
      <c r="L621" s="36"/>
      <c r="M621" s="34"/>
      <c r="N621" s="41" t="s">
        <v>9931</v>
      </c>
      <c r="O621" s="39" t="s">
        <v>183</v>
      </c>
      <c r="P621" s="33"/>
      <c r="Q621" s="36"/>
      <c r="R621" s="34"/>
      <c r="S621" s="38"/>
      <c r="T621" s="38" t="s">
        <v>12689</v>
      </c>
    </row>
    <row r="622" spans="1:20" x14ac:dyDescent="0.25">
      <c r="A622" s="33" t="s">
        <v>1251</v>
      </c>
      <c r="B622" s="33" t="s">
        <v>1250</v>
      </c>
      <c r="C622" s="33" t="s">
        <v>13</v>
      </c>
      <c r="D622" s="33" t="s">
        <v>307</v>
      </c>
      <c r="E622" s="33">
        <v>2023</v>
      </c>
      <c r="F622" s="33">
        <v>153</v>
      </c>
      <c r="G622" s="36"/>
      <c r="H622" s="33">
        <v>107078</v>
      </c>
      <c r="I622" s="36"/>
      <c r="J622" s="33">
        <v>2023</v>
      </c>
      <c r="K622" s="34"/>
      <c r="L622" s="34"/>
      <c r="M622" s="33" t="s">
        <v>308</v>
      </c>
      <c r="N622" s="37" t="s">
        <v>8919</v>
      </c>
      <c r="O622" s="33" t="s">
        <v>1253</v>
      </c>
      <c r="P622" s="33" t="s">
        <v>8920</v>
      </c>
      <c r="Q622" s="36"/>
      <c r="R622" s="36"/>
      <c r="S622" s="33" t="s">
        <v>8921</v>
      </c>
      <c r="T622" s="38" t="s">
        <v>12693</v>
      </c>
    </row>
    <row r="623" spans="1:20" x14ac:dyDescent="0.25">
      <c r="A623" s="33" t="s">
        <v>1251</v>
      </c>
      <c r="B623" s="33" t="s">
        <v>1250</v>
      </c>
      <c r="C623" s="33" t="s">
        <v>13</v>
      </c>
      <c r="D623" s="33" t="s">
        <v>307</v>
      </c>
      <c r="E623" s="33">
        <v>2023</v>
      </c>
      <c r="F623" s="33">
        <v>153</v>
      </c>
      <c r="G623" s="34"/>
      <c r="H623" s="34"/>
      <c r="I623" s="33" t="s">
        <v>280</v>
      </c>
      <c r="J623" s="33">
        <v>2023</v>
      </c>
      <c r="K623" s="34"/>
      <c r="L623" s="34"/>
      <c r="M623" s="33" t="s">
        <v>308</v>
      </c>
      <c r="N623" s="37" t="s">
        <v>1252</v>
      </c>
      <c r="O623" s="33" t="s">
        <v>1253</v>
      </c>
      <c r="P623" s="33" t="s">
        <v>1254</v>
      </c>
      <c r="Q623" s="33" t="s">
        <v>999</v>
      </c>
      <c r="R623" s="34"/>
      <c r="S623" s="38"/>
      <c r="T623" s="38" t="s">
        <v>12690</v>
      </c>
    </row>
    <row r="624" spans="1:20" x14ac:dyDescent="0.25">
      <c r="A624" s="39" t="s">
        <v>10710</v>
      </c>
      <c r="B624" s="39" t="s">
        <v>10712</v>
      </c>
      <c r="C624" s="39" t="s">
        <v>9478</v>
      </c>
      <c r="D624" s="36"/>
      <c r="E624" s="39">
        <v>2021</v>
      </c>
      <c r="F624" s="39">
        <v>12</v>
      </c>
      <c r="G624" s="39">
        <v>3</v>
      </c>
      <c r="H624" s="36"/>
      <c r="I624" s="39" t="s">
        <v>10709</v>
      </c>
      <c r="J624" s="36"/>
      <c r="K624" s="36"/>
      <c r="L624" s="36"/>
      <c r="M624" s="34"/>
      <c r="N624" s="41" t="s">
        <v>10713</v>
      </c>
      <c r="O624" s="39" t="s">
        <v>10711</v>
      </c>
      <c r="P624" s="33"/>
      <c r="Q624" s="36"/>
      <c r="R624" s="34"/>
      <c r="S624" s="38"/>
      <c r="T624" s="38" t="s">
        <v>12689</v>
      </c>
    </row>
    <row r="625" spans="1:20" x14ac:dyDescent="0.25">
      <c r="A625" s="33" t="s">
        <v>6823</v>
      </c>
      <c r="B625" s="33" t="s">
        <v>4273</v>
      </c>
      <c r="C625" s="33" t="s">
        <v>141</v>
      </c>
      <c r="D625" s="34"/>
      <c r="E625" s="33">
        <v>2019</v>
      </c>
      <c r="F625" s="34"/>
      <c r="G625" s="34"/>
      <c r="H625" s="33" t="s">
        <v>11459</v>
      </c>
      <c r="I625" s="44" t="s">
        <v>12702</v>
      </c>
      <c r="J625" s="33">
        <v>2019</v>
      </c>
      <c r="K625" s="34"/>
      <c r="L625" s="33" t="s">
        <v>11464</v>
      </c>
      <c r="M625" s="34"/>
      <c r="N625" s="37" t="s">
        <v>11461</v>
      </c>
      <c r="O625" s="33" t="s">
        <v>4277</v>
      </c>
      <c r="P625" s="33" t="s">
        <v>11462</v>
      </c>
      <c r="Q625" s="36"/>
      <c r="R625" s="36"/>
      <c r="S625" s="33" t="s">
        <v>11463</v>
      </c>
      <c r="T625" s="33" t="s">
        <v>12692</v>
      </c>
    </row>
    <row r="626" spans="1:20" x14ac:dyDescent="0.25">
      <c r="A626" s="33" t="s">
        <v>6823</v>
      </c>
      <c r="B626" s="33" t="s">
        <v>4273</v>
      </c>
      <c r="C626" s="33" t="s">
        <v>141</v>
      </c>
      <c r="D626" s="34"/>
      <c r="E626" s="33">
        <v>2019</v>
      </c>
      <c r="F626" s="34"/>
      <c r="G626" s="34"/>
      <c r="H626" s="33" t="s">
        <v>6824</v>
      </c>
      <c r="I626" s="33" t="s">
        <v>6825</v>
      </c>
      <c r="J626" s="43">
        <v>43586</v>
      </c>
      <c r="K626" s="36"/>
      <c r="L626" s="36"/>
      <c r="M626" s="33" t="s">
        <v>6226</v>
      </c>
      <c r="N626" s="37" t="s">
        <v>6826</v>
      </c>
      <c r="O626" s="33" t="s">
        <v>4277</v>
      </c>
      <c r="P626" s="33" t="s">
        <v>6827</v>
      </c>
      <c r="Q626" s="36"/>
      <c r="R626" s="36"/>
      <c r="S626" s="33" t="s">
        <v>6828</v>
      </c>
      <c r="T626" s="38" t="s">
        <v>12688</v>
      </c>
    </row>
    <row r="627" spans="1:20" x14ac:dyDescent="0.25">
      <c r="A627" s="33" t="s">
        <v>6823</v>
      </c>
      <c r="B627" s="33" t="s">
        <v>4273</v>
      </c>
      <c r="C627" s="33" t="s">
        <v>141</v>
      </c>
      <c r="D627" s="34"/>
      <c r="E627" s="33">
        <v>2019</v>
      </c>
      <c r="F627" s="45">
        <v>43586</v>
      </c>
      <c r="G627" s="34"/>
      <c r="H627" s="33" t="s">
        <v>4275</v>
      </c>
      <c r="I627" s="33" t="s">
        <v>196</v>
      </c>
      <c r="J627" s="33">
        <v>2019</v>
      </c>
      <c r="K627" s="33">
        <v>9781728115191</v>
      </c>
      <c r="L627" s="34"/>
      <c r="M627" s="34"/>
      <c r="N627" s="37" t="s">
        <v>4276</v>
      </c>
      <c r="O627" s="33" t="s">
        <v>4277</v>
      </c>
      <c r="P627" s="33" t="s">
        <v>4278</v>
      </c>
      <c r="Q627" s="33" t="s">
        <v>4279</v>
      </c>
      <c r="R627" s="34"/>
      <c r="S627" s="38"/>
      <c r="T627" s="38" t="s">
        <v>12690</v>
      </c>
    </row>
    <row r="628" spans="1:20" x14ac:dyDescent="0.25">
      <c r="A628" s="33" t="s">
        <v>4726</v>
      </c>
      <c r="B628" s="33" t="s">
        <v>4725</v>
      </c>
      <c r="C628" s="33" t="s">
        <v>13</v>
      </c>
      <c r="D628" s="33" t="s">
        <v>4727</v>
      </c>
      <c r="E628" s="33">
        <v>2020</v>
      </c>
      <c r="F628" s="33">
        <v>2020</v>
      </c>
      <c r="G628" s="34"/>
      <c r="H628" s="34"/>
      <c r="I628" s="33" t="s">
        <v>1333</v>
      </c>
      <c r="J628" s="33">
        <v>2020</v>
      </c>
      <c r="K628" s="34"/>
      <c r="L628" s="34"/>
      <c r="M628" s="33" t="s">
        <v>4728</v>
      </c>
      <c r="N628" s="37" t="s">
        <v>4729</v>
      </c>
      <c r="O628" s="33" t="s">
        <v>4730</v>
      </c>
      <c r="P628" s="33" t="s">
        <v>4731</v>
      </c>
      <c r="Q628" s="33" t="s">
        <v>285</v>
      </c>
      <c r="R628" s="34"/>
      <c r="S628" s="38"/>
      <c r="T628" s="38" t="s">
        <v>12690</v>
      </c>
    </row>
    <row r="629" spans="1:20" x14ac:dyDescent="0.25">
      <c r="A629" s="33" t="s">
        <v>2973</v>
      </c>
      <c r="B629" s="33" t="s">
        <v>2972</v>
      </c>
      <c r="C629" s="33" t="s">
        <v>13</v>
      </c>
      <c r="D629" s="33" t="s">
        <v>2974</v>
      </c>
      <c r="E629" s="33">
        <v>2021</v>
      </c>
      <c r="F629" s="33">
        <v>624</v>
      </c>
      <c r="G629" s="34"/>
      <c r="H629" s="33" t="s">
        <v>2975</v>
      </c>
      <c r="I629" s="33" t="s">
        <v>212</v>
      </c>
      <c r="J629" s="33">
        <v>2021</v>
      </c>
      <c r="K629" s="34"/>
      <c r="L629" s="34"/>
      <c r="M629" s="33" t="s">
        <v>2976</v>
      </c>
      <c r="N629" s="37" t="s">
        <v>2977</v>
      </c>
      <c r="O629" s="33" t="s">
        <v>2978</v>
      </c>
      <c r="P629" s="33" t="s">
        <v>2979</v>
      </c>
      <c r="Q629" s="33" t="s">
        <v>289</v>
      </c>
      <c r="R629" s="34"/>
      <c r="S629" s="38"/>
      <c r="T629" s="38" t="s">
        <v>12690</v>
      </c>
    </row>
    <row r="630" spans="1:20" x14ac:dyDescent="0.25">
      <c r="A630" s="33" t="s">
        <v>1693</v>
      </c>
      <c r="B630" s="33" t="s">
        <v>1692</v>
      </c>
      <c r="C630" s="33" t="s">
        <v>13</v>
      </c>
      <c r="D630" s="33" t="s">
        <v>209</v>
      </c>
      <c r="E630" s="33">
        <v>2022</v>
      </c>
      <c r="F630" s="33" t="s">
        <v>1694</v>
      </c>
      <c r="G630" s="34"/>
      <c r="H630" s="33" t="s">
        <v>1695</v>
      </c>
      <c r="I630" s="33" t="s">
        <v>212</v>
      </c>
      <c r="J630" s="33">
        <v>2022</v>
      </c>
      <c r="K630" s="34"/>
      <c r="L630" s="34"/>
      <c r="M630" s="33" t="s">
        <v>213</v>
      </c>
      <c r="N630" s="37" t="s">
        <v>1696</v>
      </c>
      <c r="O630" s="33" t="s">
        <v>1697</v>
      </c>
      <c r="P630" s="33" t="s">
        <v>1698</v>
      </c>
      <c r="Q630" s="33" t="s">
        <v>157</v>
      </c>
      <c r="R630" s="34"/>
      <c r="S630" s="38"/>
      <c r="T630" s="38" t="s">
        <v>12690</v>
      </c>
    </row>
    <row r="631" spans="1:20" x14ac:dyDescent="0.25">
      <c r="A631" s="33" t="s">
        <v>1693</v>
      </c>
      <c r="B631" s="39" t="s">
        <v>9935</v>
      </c>
      <c r="C631" s="39" t="s">
        <v>9539</v>
      </c>
      <c r="D631" s="36"/>
      <c r="E631" s="39">
        <v>2022</v>
      </c>
      <c r="F631" s="40"/>
      <c r="G631" s="40"/>
      <c r="H631" s="36"/>
      <c r="I631" s="39" t="s">
        <v>9343</v>
      </c>
      <c r="J631" s="36"/>
      <c r="K631" s="36"/>
      <c r="L631" s="36"/>
      <c r="M631" s="34"/>
      <c r="N631" s="41" t="s">
        <v>9936</v>
      </c>
      <c r="O631" s="39" t="s">
        <v>1697</v>
      </c>
      <c r="P631" s="33"/>
      <c r="Q631" s="36"/>
      <c r="R631" s="34"/>
      <c r="S631" s="38"/>
      <c r="T631" s="38" t="s">
        <v>12689</v>
      </c>
    </row>
    <row r="632" spans="1:20" x14ac:dyDescent="0.25">
      <c r="A632" s="33" t="s">
        <v>11480</v>
      </c>
      <c r="B632" s="33" t="s">
        <v>1955</v>
      </c>
      <c r="C632" s="33" t="s">
        <v>141</v>
      </c>
      <c r="D632" s="34"/>
      <c r="E632" s="33">
        <v>2021</v>
      </c>
      <c r="F632" s="34"/>
      <c r="G632" s="34"/>
      <c r="H632" s="33" t="s">
        <v>11481</v>
      </c>
      <c r="I632" s="44" t="s">
        <v>12747</v>
      </c>
      <c r="J632" s="33">
        <v>2021</v>
      </c>
      <c r="K632" s="33">
        <v>9781450386258</v>
      </c>
      <c r="L632" s="33" t="s">
        <v>11487</v>
      </c>
      <c r="M632" s="34"/>
      <c r="N632" s="37" t="s">
        <v>11484</v>
      </c>
      <c r="O632" s="33" t="s">
        <v>1958</v>
      </c>
      <c r="P632" s="33" t="s">
        <v>11485</v>
      </c>
      <c r="Q632" s="36"/>
      <c r="R632" s="36"/>
      <c r="S632" s="33" t="s">
        <v>11486</v>
      </c>
      <c r="T632" s="33" t="s">
        <v>12692</v>
      </c>
    </row>
    <row r="633" spans="1:20" x14ac:dyDescent="0.25">
      <c r="A633" s="33" t="s">
        <v>11480</v>
      </c>
      <c r="B633" s="33" t="s">
        <v>1955</v>
      </c>
      <c r="C633" s="33" t="s">
        <v>141</v>
      </c>
      <c r="D633" s="34"/>
      <c r="E633" s="33">
        <v>2021</v>
      </c>
      <c r="F633" s="34"/>
      <c r="G633" s="34"/>
      <c r="H633" s="33" t="s">
        <v>750</v>
      </c>
      <c r="I633" s="33" t="s">
        <v>153</v>
      </c>
      <c r="J633" s="33">
        <v>2021</v>
      </c>
      <c r="K633" s="33">
        <v>9781450386258</v>
      </c>
      <c r="L633" s="34"/>
      <c r="M633" s="34"/>
      <c r="N633" s="37" t="s">
        <v>1957</v>
      </c>
      <c r="O633" s="33" t="s">
        <v>1958</v>
      </c>
      <c r="P633" s="33" t="s">
        <v>1959</v>
      </c>
      <c r="Q633" s="33" t="s">
        <v>185</v>
      </c>
      <c r="R633" s="34"/>
      <c r="S633" s="38"/>
      <c r="T633" s="38" t="s">
        <v>12690</v>
      </c>
    </row>
    <row r="634" spans="1:20" x14ac:dyDescent="0.25">
      <c r="A634" s="33" t="s">
        <v>7982</v>
      </c>
      <c r="B634" s="33" t="s">
        <v>7981</v>
      </c>
      <c r="C634" s="33" t="s">
        <v>141</v>
      </c>
      <c r="D634" s="34"/>
      <c r="E634" s="33">
        <v>2020</v>
      </c>
      <c r="F634" s="34"/>
      <c r="G634" s="34"/>
      <c r="H634" s="33" t="s">
        <v>7983</v>
      </c>
      <c r="I634" s="33" t="s">
        <v>7984</v>
      </c>
      <c r="J634" s="43">
        <v>43922</v>
      </c>
      <c r="K634" s="34"/>
      <c r="L634" s="36"/>
      <c r="M634" s="34"/>
      <c r="N634" s="37" t="s">
        <v>7985</v>
      </c>
      <c r="O634" s="33" t="s">
        <v>7986</v>
      </c>
      <c r="P634" s="33" t="s">
        <v>7987</v>
      </c>
      <c r="Q634" s="36"/>
      <c r="R634" s="36"/>
      <c r="S634" s="33" t="s">
        <v>7988</v>
      </c>
      <c r="T634" s="38" t="s">
        <v>12688</v>
      </c>
    </row>
    <row r="635" spans="1:20" x14ac:dyDescent="0.25">
      <c r="A635" s="39" t="s">
        <v>9805</v>
      </c>
      <c r="B635" s="39" t="s">
        <v>9807</v>
      </c>
      <c r="C635" s="39" t="s">
        <v>539</v>
      </c>
      <c r="D635" s="36"/>
      <c r="E635" s="39">
        <v>2022</v>
      </c>
      <c r="F635" s="40"/>
      <c r="G635" s="40"/>
      <c r="H635" s="36"/>
      <c r="I635" s="40"/>
      <c r="J635" s="36"/>
      <c r="K635" s="36"/>
      <c r="L635" s="36"/>
      <c r="M635" s="34"/>
      <c r="N635" s="41" t="s">
        <v>9808</v>
      </c>
      <c r="O635" s="39" t="s">
        <v>9806</v>
      </c>
      <c r="P635" s="33"/>
      <c r="Q635" s="36"/>
      <c r="R635" s="34"/>
      <c r="S635" s="38"/>
      <c r="T635" s="38" t="s">
        <v>12689</v>
      </c>
    </row>
    <row r="636" spans="1:20" x14ac:dyDescent="0.25">
      <c r="A636" s="39" t="s">
        <v>10744</v>
      </c>
      <c r="B636" s="39" t="s">
        <v>10746</v>
      </c>
      <c r="C636" s="39" t="s">
        <v>9478</v>
      </c>
      <c r="D636" s="36"/>
      <c r="E636" s="39">
        <v>2020</v>
      </c>
      <c r="F636" s="39">
        <v>28</v>
      </c>
      <c r="G636" s="39">
        <v>2</v>
      </c>
      <c r="H636" s="36"/>
      <c r="I636" s="39" t="s">
        <v>523</v>
      </c>
      <c r="J636" s="36"/>
      <c r="K636" s="36"/>
      <c r="L636" s="36"/>
      <c r="M636" s="34"/>
      <c r="N636" s="41" t="s">
        <v>10747</v>
      </c>
      <c r="O636" s="39" t="s">
        <v>10745</v>
      </c>
      <c r="P636" s="33"/>
      <c r="Q636" s="36"/>
      <c r="R636" s="34"/>
      <c r="S636" s="38"/>
      <c r="T636" s="38" t="s">
        <v>12689</v>
      </c>
    </row>
    <row r="637" spans="1:20" x14ac:dyDescent="0.25">
      <c r="A637" s="33" t="s">
        <v>6958</v>
      </c>
      <c r="B637" s="33" t="s">
        <v>6957</v>
      </c>
      <c r="C637" s="33" t="s">
        <v>141</v>
      </c>
      <c r="D637" s="34"/>
      <c r="E637" s="33">
        <v>2019</v>
      </c>
      <c r="F637" s="34"/>
      <c r="G637" s="34"/>
      <c r="H637" s="33" t="s">
        <v>6959</v>
      </c>
      <c r="I637" s="33" t="s">
        <v>6960</v>
      </c>
      <c r="J637" s="43">
        <v>43525</v>
      </c>
      <c r="K637" s="36"/>
      <c r="L637" s="36"/>
      <c r="M637" s="34"/>
      <c r="N637" s="37" t="s">
        <v>6961</v>
      </c>
      <c r="O637" s="33" t="s">
        <v>6962</v>
      </c>
      <c r="P637" s="33" t="s">
        <v>6963</v>
      </c>
      <c r="Q637" s="36"/>
      <c r="R637" s="36"/>
      <c r="S637" s="33" t="s">
        <v>6964</v>
      </c>
      <c r="T637" s="38" t="s">
        <v>12688</v>
      </c>
    </row>
    <row r="638" spans="1:20" x14ac:dyDescent="0.25">
      <c r="A638" s="39" t="s">
        <v>10086</v>
      </c>
      <c r="B638" s="39" t="s">
        <v>10088</v>
      </c>
      <c r="C638" s="39" t="s">
        <v>539</v>
      </c>
      <c r="D638" s="36"/>
      <c r="E638" s="39">
        <v>2021</v>
      </c>
      <c r="F638" s="40"/>
      <c r="G638" s="40"/>
      <c r="H638" s="36"/>
      <c r="I638" s="40"/>
      <c r="J638" s="36"/>
      <c r="K638" s="36"/>
      <c r="L638" s="36"/>
      <c r="M638" s="34"/>
      <c r="N638" s="41" t="s">
        <v>10089</v>
      </c>
      <c r="O638" s="39" t="s">
        <v>10087</v>
      </c>
      <c r="P638" s="33"/>
      <c r="Q638" s="36"/>
      <c r="R638" s="34"/>
      <c r="S638" s="38"/>
      <c r="T638" s="38" t="s">
        <v>12689</v>
      </c>
    </row>
    <row r="639" spans="1:20" x14ac:dyDescent="0.25">
      <c r="A639" s="33" t="s">
        <v>306</v>
      </c>
      <c r="B639" s="33" t="s">
        <v>305</v>
      </c>
      <c r="C639" s="33" t="s">
        <v>13</v>
      </c>
      <c r="D639" s="33" t="s">
        <v>307</v>
      </c>
      <c r="E639" s="33">
        <v>2023</v>
      </c>
      <c r="F639" s="33">
        <v>156</v>
      </c>
      <c r="G639" s="34"/>
      <c r="H639" s="34"/>
      <c r="I639" s="33" t="s">
        <v>280</v>
      </c>
      <c r="J639" s="33">
        <v>2023</v>
      </c>
      <c r="K639" s="34"/>
      <c r="L639" s="34"/>
      <c r="M639" s="33" t="s">
        <v>308</v>
      </c>
      <c r="N639" s="37" t="s">
        <v>309</v>
      </c>
      <c r="O639" s="33" t="s">
        <v>310</v>
      </c>
      <c r="P639" s="33" t="s">
        <v>311</v>
      </c>
      <c r="Q639" s="33" t="s">
        <v>157</v>
      </c>
      <c r="R639" s="34"/>
      <c r="S639" s="38"/>
      <c r="T639" s="38" t="s">
        <v>12690</v>
      </c>
    </row>
    <row r="640" spans="1:20" x14ac:dyDescent="0.25">
      <c r="A640" s="33" t="s">
        <v>2495</v>
      </c>
      <c r="B640" s="33" t="s">
        <v>2494</v>
      </c>
      <c r="C640" s="33" t="s">
        <v>141</v>
      </c>
      <c r="D640" s="34"/>
      <c r="E640" s="33">
        <v>2022</v>
      </c>
      <c r="F640" s="34"/>
      <c r="G640" s="34"/>
      <c r="H640" s="33" t="s">
        <v>11103</v>
      </c>
      <c r="I640" s="44" t="s">
        <v>12748</v>
      </c>
      <c r="J640" s="33">
        <v>2022</v>
      </c>
      <c r="K640" s="33">
        <v>9781450393041</v>
      </c>
      <c r="L640" s="33" t="s">
        <v>11081</v>
      </c>
      <c r="M640" s="34"/>
      <c r="N640" s="37" t="s">
        <v>11135</v>
      </c>
      <c r="O640" s="33" t="s">
        <v>2498</v>
      </c>
      <c r="P640" s="33" t="s">
        <v>11136</v>
      </c>
      <c r="Q640" s="36"/>
      <c r="R640" s="36"/>
      <c r="S640" s="33" t="s">
        <v>11137</v>
      </c>
      <c r="T640" s="33" t="s">
        <v>12692</v>
      </c>
    </row>
    <row r="641" spans="1:20" x14ac:dyDescent="0.25">
      <c r="A641" s="33" t="s">
        <v>2495</v>
      </c>
      <c r="B641" s="33" t="s">
        <v>2494</v>
      </c>
      <c r="C641" s="33" t="s">
        <v>141</v>
      </c>
      <c r="D641" s="34"/>
      <c r="E641" s="33">
        <v>2022</v>
      </c>
      <c r="F641" s="34"/>
      <c r="G641" s="34"/>
      <c r="H641" s="33" t="s">
        <v>6194</v>
      </c>
      <c r="I641" s="33" t="s">
        <v>6118</v>
      </c>
      <c r="J641" s="43">
        <v>44682</v>
      </c>
      <c r="K641" s="36"/>
      <c r="L641" s="36"/>
      <c r="M641" s="34"/>
      <c r="N641" s="37" t="s">
        <v>6195</v>
      </c>
      <c r="O641" s="33" t="s">
        <v>2498</v>
      </c>
      <c r="P641" s="33" t="s">
        <v>6196</v>
      </c>
      <c r="Q641" s="36"/>
      <c r="R641" s="36"/>
      <c r="S641" s="33" t="s">
        <v>6197</v>
      </c>
      <c r="T641" s="38" t="s">
        <v>12688</v>
      </c>
    </row>
    <row r="642" spans="1:20" x14ac:dyDescent="0.25">
      <c r="A642" s="33" t="s">
        <v>2495</v>
      </c>
      <c r="B642" s="33" t="s">
        <v>2494</v>
      </c>
      <c r="C642" s="33" t="s">
        <v>141</v>
      </c>
      <c r="D642" s="34"/>
      <c r="E642" s="33">
        <v>2022</v>
      </c>
      <c r="F642" s="34"/>
      <c r="G642" s="34"/>
      <c r="H642" s="33" t="s">
        <v>2496</v>
      </c>
      <c r="I642" s="33" t="s">
        <v>257</v>
      </c>
      <c r="J642" s="33">
        <v>2022</v>
      </c>
      <c r="K642" s="33">
        <v>9781450393041</v>
      </c>
      <c r="L642" s="34"/>
      <c r="M642" s="34"/>
      <c r="N642" s="37" t="s">
        <v>2497</v>
      </c>
      <c r="O642" s="33" t="s">
        <v>2498</v>
      </c>
      <c r="P642" s="33" t="s">
        <v>2499</v>
      </c>
      <c r="Q642" s="33" t="s">
        <v>404</v>
      </c>
      <c r="R642" s="34"/>
      <c r="S642" s="38"/>
      <c r="T642" s="38" t="s">
        <v>12690</v>
      </c>
    </row>
    <row r="643" spans="1:20" x14ac:dyDescent="0.25">
      <c r="A643" s="39" t="s">
        <v>9772</v>
      </c>
      <c r="B643" s="39" t="s">
        <v>9774</v>
      </c>
      <c r="C643" s="39" t="s">
        <v>539</v>
      </c>
      <c r="D643" s="36"/>
      <c r="E643" s="39">
        <v>2022</v>
      </c>
      <c r="F643" s="40"/>
      <c r="G643" s="40"/>
      <c r="H643" s="36"/>
      <c r="I643" s="39" t="s">
        <v>9275</v>
      </c>
      <c r="J643" s="36"/>
      <c r="K643" s="36"/>
      <c r="L643" s="36"/>
      <c r="M643" s="34"/>
      <c r="N643" s="41" t="s">
        <v>9775</v>
      </c>
      <c r="O643" s="39" t="s">
        <v>9773</v>
      </c>
      <c r="P643" s="33"/>
      <c r="Q643" s="36"/>
      <c r="R643" s="34"/>
      <c r="S643" s="38"/>
      <c r="T643" s="38" t="s">
        <v>12689</v>
      </c>
    </row>
    <row r="644" spans="1:20" x14ac:dyDescent="0.25">
      <c r="A644" s="39" t="s">
        <v>9302</v>
      </c>
      <c r="B644" s="39" t="s">
        <v>9304</v>
      </c>
      <c r="C644" s="39" t="s">
        <v>539</v>
      </c>
      <c r="D644" s="36"/>
      <c r="E644" s="39">
        <v>2021</v>
      </c>
      <c r="F644" s="40"/>
      <c r="G644" s="40"/>
      <c r="H644" s="36"/>
      <c r="I644" s="39" t="s">
        <v>9275</v>
      </c>
      <c r="J644" s="36"/>
      <c r="K644" s="36"/>
      <c r="L644" s="36"/>
      <c r="M644" s="34"/>
      <c r="N644" s="41" t="s">
        <v>9305</v>
      </c>
      <c r="O644" s="39" t="s">
        <v>9303</v>
      </c>
      <c r="P644" s="33"/>
      <c r="Q644" s="36"/>
      <c r="R644" s="34"/>
      <c r="S644" s="38"/>
      <c r="T644" s="38" t="s">
        <v>12689</v>
      </c>
    </row>
    <row r="645" spans="1:20" x14ac:dyDescent="0.25">
      <c r="A645" s="39" t="s">
        <v>9343</v>
      </c>
      <c r="B645" s="39" t="s">
        <v>9412</v>
      </c>
      <c r="C645" s="39" t="s">
        <v>539</v>
      </c>
      <c r="D645" s="36"/>
      <c r="E645" s="39">
        <v>2022</v>
      </c>
      <c r="F645" s="40"/>
      <c r="G645" s="40"/>
      <c r="H645" s="36"/>
      <c r="I645" s="39" t="s">
        <v>9275</v>
      </c>
      <c r="J645" s="36"/>
      <c r="K645" s="36"/>
      <c r="L645" s="36"/>
      <c r="M645" s="34"/>
      <c r="N645" s="41" t="s">
        <v>9413</v>
      </c>
      <c r="O645" s="39" t="s">
        <v>9411</v>
      </c>
      <c r="P645" s="33"/>
      <c r="Q645" s="36"/>
      <c r="R645" s="34"/>
      <c r="S645" s="38"/>
      <c r="T645" s="38" t="s">
        <v>12689</v>
      </c>
    </row>
    <row r="646" spans="1:20" x14ac:dyDescent="0.25">
      <c r="A646" s="39" t="s">
        <v>9343</v>
      </c>
      <c r="B646" s="39" t="s">
        <v>9345</v>
      </c>
      <c r="C646" s="39" t="s">
        <v>539</v>
      </c>
      <c r="D646" s="36"/>
      <c r="E646" s="39">
        <v>2022</v>
      </c>
      <c r="F646" s="40"/>
      <c r="G646" s="40"/>
      <c r="H646" s="36"/>
      <c r="I646" s="39" t="s">
        <v>9275</v>
      </c>
      <c r="J646" s="36"/>
      <c r="K646" s="36"/>
      <c r="L646" s="36"/>
      <c r="M646" s="34"/>
      <c r="N646" s="41" t="s">
        <v>9346</v>
      </c>
      <c r="O646" s="39" t="s">
        <v>9344</v>
      </c>
      <c r="P646" s="33"/>
      <c r="Q646" s="36"/>
      <c r="R646" s="34"/>
      <c r="S646" s="38"/>
      <c r="T646" s="38" t="s">
        <v>12689</v>
      </c>
    </row>
    <row r="647" spans="1:20" x14ac:dyDescent="0.25">
      <c r="A647" s="39" t="s">
        <v>9791</v>
      </c>
      <c r="B647" s="39" t="s">
        <v>9793</v>
      </c>
      <c r="C647" s="39" t="s">
        <v>539</v>
      </c>
      <c r="D647" s="36"/>
      <c r="E647" s="39">
        <v>2019</v>
      </c>
      <c r="F647" s="40"/>
      <c r="G647" s="40"/>
      <c r="H647" s="36"/>
      <c r="I647" s="39" t="s">
        <v>9275</v>
      </c>
      <c r="J647" s="36"/>
      <c r="K647" s="36"/>
      <c r="L647" s="36"/>
      <c r="M647" s="34"/>
      <c r="N647" s="41" t="s">
        <v>9794</v>
      </c>
      <c r="O647" s="39" t="s">
        <v>9792</v>
      </c>
      <c r="P647" s="33"/>
      <c r="Q647" s="36"/>
      <c r="R647" s="34"/>
      <c r="S647" s="38"/>
      <c r="T647" s="38" t="s">
        <v>12689</v>
      </c>
    </row>
    <row r="648" spans="1:20" x14ac:dyDescent="0.25">
      <c r="A648" s="33" t="s">
        <v>12613</v>
      </c>
      <c r="B648" s="33" t="s">
        <v>12612</v>
      </c>
      <c r="C648" s="33" t="s">
        <v>13</v>
      </c>
      <c r="D648" s="33" t="s">
        <v>11214</v>
      </c>
      <c r="E648" s="33">
        <v>2020</v>
      </c>
      <c r="F648" s="33">
        <v>63</v>
      </c>
      <c r="G648" s="33">
        <v>5</v>
      </c>
      <c r="H648" s="33" t="s">
        <v>11173</v>
      </c>
      <c r="I648" s="44" t="s">
        <v>12710</v>
      </c>
      <c r="J648" s="43">
        <v>43922</v>
      </c>
      <c r="K648" s="34"/>
      <c r="L648" s="34"/>
      <c r="M648" s="33" t="s">
        <v>11216</v>
      </c>
      <c r="N648" s="37" t="s">
        <v>12614</v>
      </c>
      <c r="O648" s="33" t="s">
        <v>12615</v>
      </c>
      <c r="P648" s="33" t="s">
        <v>12616</v>
      </c>
      <c r="Q648" s="36"/>
      <c r="R648" s="36"/>
      <c r="S648" s="34"/>
      <c r="T648" s="33" t="s">
        <v>12692</v>
      </c>
    </row>
    <row r="649" spans="1:20" x14ac:dyDescent="0.25">
      <c r="A649" s="33" t="s">
        <v>3715</v>
      </c>
      <c r="B649" s="33" t="s">
        <v>3714</v>
      </c>
      <c r="C649" s="33" t="s">
        <v>13</v>
      </c>
      <c r="D649" s="33" t="s">
        <v>354</v>
      </c>
      <c r="E649" s="33">
        <v>2021</v>
      </c>
      <c r="F649" s="33">
        <v>174</v>
      </c>
      <c r="G649" s="36"/>
      <c r="H649" s="33">
        <v>110902</v>
      </c>
      <c r="I649" s="36"/>
      <c r="J649" s="33">
        <v>2021</v>
      </c>
      <c r="K649" s="34"/>
      <c r="L649" s="34"/>
      <c r="M649" s="33" t="s">
        <v>65</v>
      </c>
      <c r="N649" s="37" t="s">
        <v>8603</v>
      </c>
      <c r="O649" s="33" t="s">
        <v>3717</v>
      </c>
      <c r="P649" s="33" t="s">
        <v>8604</v>
      </c>
      <c r="Q649" s="36"/>
      <c r="R649" s="36"/>
      <c r="S649" s="33" t="s">
        <v>8605</v>
      </c>
      <c r="T649" s="38" t="s">
        <v>12693</v>
      </c>
    </row>
    <row r="650" spans="1:20" x14ac:dyDescent="0.25">
      <c r="A650" s="33" t="s">
        <v>3715</v>
      </c>
      <c r="B650" s="33" t="s">
        <v>3714</v>
      </c>
      <c r="C650" s="33" t="s">
        <v>13</v>
      </c>
      <c r="D650" s="33" t="s">
        <v>354</v>
      </c>
      <c r="E650" s="33">
        <v>2021</v>
      </c>
      <c r="F650" s="33">
        <v>174</v>
      </c>
      <c r="G650" s="34"/>
      <c r="H650" s="34"/>
      <c r="I650" s="33" t="s">
        <v>355</v>
      </c>
      <c r="J650" s="33">
        <v>2021</v>
      </c>
      <c r="K650" s="34"/>
      <c r="L650" s="34"/>
      <c r="M650" s="33" t="s">
        <v>65</v>
      </c>
      <c r="N650" s="37" t="s">
        <v>3716</v>
      </c>
      <c r="O650" s="33" t="s">
        <v>3717</v>
      </c>
      <c r="P650" s="33" t="s">
        <v>3718</v>
      </c>
      <c r="Q650" s="33" t="s">
        <v>2811</v>
      </c>
      <c r="R650" s="34"/>
      <c r="S650" s="38"/>
      <c r="T650" s="38" t="s">
        <v>12690</v>
      </c>
    </row>
    <row r="651" spans="1:20" x14ac:dyDescent="0.25">
      <c r="A651" s="33" t="s">
        <v>3050</v>
      </c>
      <c r="B651" s="33" t="s">
        <v>3049</v>
      </c>
      <c r="C651" s="33" t="s">
        <v>141</v>
      </c>
      <c r="D651" s="34"/>
      <c r="E651" s="33">
        <v>2021</v>
      </c>
      <c r="F651" s="34"/>
      <c r="G651" s="34"/>
      <c r="H651" s="33" t="s">
        <v>7254</v>
      </c>
      <c r="I651" s="33" t="s">
        <v>7255</v>
      </c>
      <c r="J651" s="35">
        <v>44501</v>
      </c>
      <c r="K651" s="36"/>
      <c r="L651" s="36"/>
      <c r="M651" s="33" t="s">
        <v>7256</v>
      </c>
      <c r="N651" s="37" t="s">
        <v>7257</v>
      </c>
      <c r="O651" s="33" t="s">
        <v>3053</v>
      </c>
      <c r="P651" s="33" t="s">
        <v>7258</v>
      </c>
      <c r="Q651" s="36"/>
      <c r="R651" s="36"/>
      <c r="S651" s="33" t="s">
        <v>7259</v>
      </c>
      <c r="T651" s="38" t="s">
        <v>12688</v>
      </c>
    </row>
    <row r="652" spans="1:20" x14ac:dyDescent="0.25">
      <c r="A652" s="33" t="s">
        <v>3050</v>
      </c>
      <c r="B652" s="33" t="s">
        <v>3049</v>
      </c>
      <c r="C652" s="33" t="s">
        <v>141</v>
      </c>
      <c r="D652" s="34"/>
      <c r="E652" s="33">
        <v>2021</v>
      </c>
      <c r="F652" s="34"/>
      <c r="G652" s="34"/>
      <c r="H652" s="33" t="s">
        <v>3051</v>
      </c>
      <c r="I652" s="33" t="s">
        <v>257</v>
      </c>
      <c r="J652" s="33">
        <v>2021</v>
      </c>
      <c r="K652" s="33">
        <v>9781665404037</v>
      </c>
      <c r="L652" s="34"/>
      <c r="M652" s="34"/>
      <c r="N652" s="37" t="s">
        <v>3052</v>
      </c>
      <c r="O652" s="33" t="s">
        <v>3053</v>
      </c>
      <c r="P652" s="33" t="s">
        <v>3054</v>
      </c>
      <c r="Q652" s="33" t="s">
        <v>157</v>
      </c>
      <c r="R652" s="34"/>
      <c r="S652" s="38"/>
      <c r="T652" s="38" t="s">
        <v>12690</v>
      </c>
    </row>
    <row r="653" spans="1:20" x14ac:dyDescent="0.25">
      <c r="A653" s="33" t="s">
        <v>1471</v>
      </c>
      <c r="B653" s="33" t="s">
        <v>1470</v>
      </c>
      <c r="C653" s="33" t="s">
        <v>13</v>
      </c>
      <c r="D653" s="33" t="s">
        <v>136</v>
      </c>
      <c r="E653" s="33">
        <v>2022</v>
      </c>
      <c r="F653" s="33">
        <v>27</v>
      </c>
      <c r="G653" s="33">
        <v>1</v>
      </c>
      <c r="H653" s="34"/>
      <c r="I653" s="33" t="s">
        <v>137</v>
      </c>
      <c r="J653" s="33">
        <v>2022</v>
      </c>
      <c r="K653" s="34"/>
      <c r="L653" s="34"/>
      <c r="M653" s="33" t="s">
        <v>33</v>
      </c>
      <c r="N653" s="37" t="s">
        <v>1472</v>
      </c>
      <c r="O653" s="33" t="s">
        <v>1473</v>
      </c>
      <c r="P653" s="33" t="s">
        <v>1474</v>
      </c>
      <c r="Q653" s="33" t="s">
        <v>289</v>
      </c>
      <c r="R653" s="34"/>
      <c r="S653" s="38"/>
      <c r="T653" s="38" t="s">
        <v>12690</v>
      </c>
    </row>
    <row r="654" spans="1:20" x14ac:dyDescent="0.25">
      <c r="A654" s="33" t="s">
        <v>6971</v>
      </c>
      <c r="B654" s="33" t="s">
        <v>6970</v>
      </c>
      <c r="C654" s="33" t="s">
        <v>141</v>
      </c>
      <c r="D654" s="34"/>
      <c r="E654" s="33">
        <v>2016</v>
      </c>
      <c r="F654" s="34"/>
      <c r="G654" s="34"/>
      <c r="H654" s="33" t="s">
        <v>6972</v>
      </c>
      <c r="I654" s="33" t="s">
        <v>6973</v>
      </c>
      <c r="J654" s="43">
        <v>42583</v>
      </c>
      <c r="K654" s="36"/>
      <c r="L654" s="36"/>
      <c r="M654" s="33" t="s">
        <v>6974</v>
      </c>
      <c r="N654" s="37" t="s">
        <v>6975</v>
      </c>
      <c r="O654" s="33" t="s">
        <v>6976</v>
      </c>
      <c r="P654" s="33" t="s">
        <v>6977</v>
      </c>
      <c r="Q654" s="36"/>
      <c r="R654" s="36"/>
      <c r="S654" s="33" t="s">
        <v>6978</v>
      </c>
      <c r="T654" s="38" t="s">
        <v>12688</v>
      </c>
    </row>
    <row r="655" spans="1:20" x14ac:dyDescent="0.25">
      <c r="A655" s="33" t="s">
        <v>8243</v>
      </c>
      <c r="B655" s="34"/>
      <c r="C655" s="33" t="s">
        <v>141</v>
      </c>
      <c r="D655" s="34"/>
      <c r="E655" s="33">
        <v>2020</v>
      </c>
      <c r="F655" s="34"/>
      <c r="G655" s="34"/>
      <c r="H655" s="33" t="s">
        <v>8244</v>
      </c>
      <c r="I655" s="33" t="s">
        <v>7782</v>
      </c>
      <c r="J655" s="43">
        <v>43891</v>
      </c>
      <c r="K655" s="34"/>
      <c r="L655" s="36"/>
      <c r="M655" s="33" t="s">
        <v>2902</v>
      </c>
      <c r="N655" s="37" t="s">
        <v>8245</v>
      </c>
      <c r="O655" s="33" t="s">
        <v>8246</v>
      </c>
      <c r="P655" s="33" t="s">
        <v>8247</v>
      </c>
      <c r="Q655" s="36"/>
      <c r="R655" s="36"/>
      <c r="S655" s="33" t="s">
        <v>8248</v>
      </c>
      <c r="T655" s="38" t="s">
        <v>12688</v>
      </c>
    </row>
    <row r="656" spans="1:20" x14ac:dyDescent="0.25">
      <c r="A656" s="33" t="s">
        <v>4337</v>
      </c>
      <c r="B656" s="33" t="s">
        <v>4336</v>
      </c>
      <c r="C656" s="33" t="s">
        <v>13</v>
      </c>
      <c r="D656" s="33" t="s">
        <v>209</v>
      </c>
      <c r="E656" s="33">
        <v>2019</v>
      </c>
      <c r="F656" s="33" t="s">
        <v>4338</v>
      </c>
      <c r="G656" s="34"/>
      <c r="H656" s="33" t="s">
        <v>4339</v>
      </c>
      <c r="I656" s="33" t="s">
        <v>4155</v>
      </c>
      <c r="J656" s="33">
        <v>2019</v>
      </c>
      <c r="K656" s="34"/>
      <c r="L656" s="34"/>
      <c r="M656" s="33" t="s">
        <v>213</v>
      </c>
      <c r="N656" s="37" t="s">
        <v>4340</v>
      </c>
      <c r="O656" s="33" t="s">
        <v>4341</v>
      </c>
      <c r="P656" s="33" t="s">
        <v>4342</v>
      </c>
      <c r="Q656" s="33" t="s">
        <v>4002</v>
      </c>
      <c r="R656" s="34"/>
      <c r="S656" s="38"/>
      <c r="T656" s="38" t="s">
        <v>12690</v>
      </c>
    </row>
    <row r="657" spans="1:20" x14ac:dyDescent="0.25">
      <c r="A657" s="33" t="s">
        <v>12084</v>
      </c>
      <c r="B657" s="33" t="s">
        <v>12083</v>
      </c>
      <c r="C657" s="33" t="s">
        <v>141</v>
      </c>
      <c r="D657" s="34"/>
      <c r="E657" s="33">
        <v>2020</v>
      </c>
      <c r="F657" s="34"/>
      <c r="G657" s="34"/>
      <c r="H657" s="33" t="s">
        <v>12085</v>
      </c>
      <c r="I657" s="44" t="s">
        <v>12727</v>
      </c>
      <c r="J657" s="33">
        <v>2020</v>
      </c>
      <c r="K657" s="33">
        <v>9781450370431</v>
      </c>
      <c r="L657" s="33" t="s">
        <v>12092</v>
      </c>
      <c r="M657" s="34"/>
      <c r="N657" s="37" t="s">
        <v>12088</v>
      </c>
      <c r="O657" s="33" t="s">
        <v>12089</v>
      </c>
      <c r="P657" s="33" t="s">
        <v>12090</v>
      </c>
      <c r="Q657" s="36"/>
      <c r="R657" s="36"/>
      <c r="S657" s="33" t="s">
        <v>12091</v>
      </c>
      <c r="T657" s="33" t="s">
        <v>12692</v>
      </c>
    </row>
    <row r="658" spans="1:20" x14ac:dyDescent="0.25">
      <c r="A658" s="33" t="s">
        <v>3161</v>
      </c>
      <c r="B658" s="33" t="s">
        <v>3160</v>
      </c>
      <c r="C658" s="33" t="s">
        <v>141</v>
      </c>
      <c r="D658" s="34"/>
      <c r="E658" s="33">
        <v>2021</v>
      </c>
      <c r="F658" s="34"/>
      <c r="G658" s="34"/>
      <c r="H658" s="33" t="s">
        <v>3162</v>
      </c>
      <c r="I658" s="33" t="s">
        <v>257</v>
      </c>
      <c r="J658" s="33">
        <v>2021</v>
      </c>
      <c r="K658" s="33">
        <v>9781728162607</v>
      </c>
      <c r="L658" s="34"/>
      <c r="M658" s="34"/>
      <c r="N658" s="37" t="s">
        <v>3163</v>
      </c>
      <c r="O658" s="33" t="s">
        <v>3164</v>
      </c>
      <c r="P658" s="33" t="s">
        <v>3165</v>
      </c>
      <c r="Q658" s="33" t="s">
        <v>185</v>
      </c>
      <c r="R658" s="34"/>
      <c r="S658" s="38"/>
      <c r="T658" s="38" t="s">
        <v>12690</v>
      </c>
    </row>
    <row r="659" spans="1:20" x14ac:dyDescent="0.25">
      <c r="A659" s="33" t="s">
        <v>3161</v>
      </c>
      <c r="B659" s="33" t="s">
        <v>7895</v>
      </c>
      <c r="C659" s="33" t="s">
        <v>141</v>
      </c>
      <c r="D659" s="34"/>
      <c r="E659" s="33">
        <v>2021</v>
      </c>
      <c r="F659" s="34"/>
      <c r="G659" s="34"/>
      <c r="H659" s="33" t="s">
        <v>7896</v>
      </c>
      <c r="I659" s="33" t="s">
        <v>7285</v>
      </c>
      <c r="J659" s="43">
        <v>44256</v>
      </c>
      <c r="K659" s="36"/>
      <c r="L659" s="36"/>
      <c r="M659" s="34"/>
      <c r="N659" s="37" t="s">
        <v>7897</v>
      </c>
      <c r="O659" s="33" t="s">
        <v>3164</v>
      </c>
      <c r="P659" s="33" t="s">
        <v>7898</v>
      </c>
      <c r="Q659" s="36"/>
      <c r="R659" s="36"/>
      <c r="S659" s="33" t="s">
        <v>7899</v>
      </c>
      <c r="T659" s="38" t="s">
        <v>12688</v>
      </c>
    </row>
    <row r="660" spans="1:20" x14ac:dyDescent="0.25">
      <c r="A660" s="33" t="s">
        <v>522</v>
      </c>
      <c r="B660" s="33" t="s">
        <v>521</v>
      </c>
      <c r="C660" s="33" t="s">
        <v>13</v>
      </c>
      <c r="D660" s="33" t="s">
        <v>523</v>
      </c>
      <c r="E660" s="33">
        <v>2022</v>
      </c>
      <c r="F660" s="33">
        <v>30</v>
      </c>
      <c r="G660" s="33">
        <v>2</v>
      </c>
      <c r="H660" s="33" t="s">
        <v>524</v>
      </c>
      <c r="I660" s="33" t="s">
        <v>137</v>
      </c>
      <c r="J660" s="33">
        <v>2022</v>
      </c>
      <c r="K660" s="34"/>
      <c r="L660" s="34"/>
      <c r="M660" s="33" t="s">
        <v>525</v>
      </c>
      <c r="N660" s="37" t="s">
        <v>526</v>
      </c>
      <c r="O660" s="33" t="s">
        <v>527</v>
      </c>
      <c r="P660" s="33" t="s">
        <v>528</v>
      </c>
      <c r="Q660" s="33" t="s">
        <v>529</v>
      </c>
      <c r="R660" s="34"/>
      <c r="S660" s="38"/>
      <c r="T660" s="38" t="s">
        <v>12690</v>
      </c>
    </row>
    <row r="661" spans="1:20" x14ac:dyDescent="0.25">
      <c r="A661" s="39" t="s">
        <v>10976</v>
      </c>
      <c r="B661" s="39" t="s">
        <v>9397</v>
      </c>
      <c r="C661" s="39" t="s">
        <v>9539</v>
      </c>
      <c r="D661" s="36"/>
      <c r="E661" s="39">
        <v>2022</v>
      </c>
      <c r="F661" s="40"/>
      <c r="G661" s="40"/>
      <c r="H661" s="36"/>
      <c r="I661" s="39" t="s">
        <v>9395</v>
      </c>
      <c r="J661" s="36"/>
      <c r="K661" s="36"/>
      <c r="L661" s="36"/>
      <c r="M661" s="34"/>
      <c r="N661" s="41" t="s">
        <v>10978</v>
      </c>
      <c r="O661" s="39" t="s">
        <v>10977</v>
      </c>
      <c r="P661" s="33"/>
      <c r="Q661" s="36"/>
      <c r="R661" s="34"/>
      <c r="S661" s="38"/>
      <c r="T661" s="38" t="s">
        <v>12689</v>
      </c>
    </row>
    <row r="662" spans="1:20" x14ac:dyDescent="0.25">
      <c r="A662" s="33" t="s">
        <v>8384</v>
      </c>
      <c r="B662" s="34"/>
      <c r="C662" s="33" t="s">
        <v>141</v>
      </c>
      <c r="D662" s="34"/>
      <c r="E662" s="33">
        <v>2020</v>
      </c>
      <c r="F662" s="34"/>
      <c r="G662" s="34"/>
      <c r="H662" s="33" t="s">
        <v>8385</v>
      </c>
      <c r="I662" s="33" t="s">
        <v>6715</v>
      </c>
      <c r="J662" s="43">
        <v>43862</v>
      </c>
      <c r="K662" s="36"/>
      <c r="L662" s="36"/>
      <c r="M662" s="33" t="s">
        <v>6593</v>
      </c>
      <c r="N662" s="37" t="s">
        <v>8386</v>
      </c>
      <c r="O662" s="33" t="s">
        <v>8387</v>
      </c>
      <c r="P662" s="33" t="s">
        <v>8357</v>
      </c>
      <c r="Q662" s="36"/>
      <c r="R662" s="34"/>
      <c r="S662" s="38"/>
      <c r="T662" s="38" t="s">
        <v>12688</v>
      </c>
    </row>
    <row r="663" spans="1:20" x14ac:dyDescent="0.25">
      <c r="A663" s="46" t="s">
        <v>8534</v>
      </c>
      <c r="B663" s="34"/>
      <c r="C663" s="33" t="s">
        <v>7972</v>
      </c>
      <c r="D663" s="34"/>
      <c r="E663" s="33">
        <v>2014</v>
      </c>
      <c r="F663" s="33">
        <v>93</v>
      </c>
      <c r="G663" s="36"/>
      <c r="H663" s="33" t="s">
        <v>8535</v>
      </c>
      <c r="I663" s="36"/>
      <c r="J663" s="33">
        <v>2014</v>
      </c>
      <c r="K663" s="33" t="s">
        <v>8536</v>
      </c>
      <c r="L663" s="34"/>
      <c r="M663" s="33" t="s">
        <v>8538</v>
      </c>
      <c r="N663" s="37" t="s">
        <v>8539</v>
      </c>
      <c r="O663" s="33" t="s">
        <v>8540</v>
      </c>
      <c r="P663" s="34"/>
      <c r="Q663" s="36"/>
      <c r="R663" s="36"/>
      <c r="S663" s="34"/>
      <c r="T663" s="38" t="s">
        <v>12693</v>
      </c>
    </row>
    <row r="664" spans="1:20" x14ac:dyDescent="0.25">
      <c r="A664" s="46" t="s">
        <v>8974</v>
      </c>
      <c r="B664" s="34"/>
      <c r="C664" s="33" t="s">
        <v>7972</v>
      </c>
      <c r="D664" s="34"/>
      <c r="E664" s="33">
        <v>2015</v>
      </c>
      <c r="F664" s="33">
        <v>96</v>
      </c>
      <c r="G664" s="36"/>
      <c r="H664" s="33" t="s">
        <v>8975</v>
      </c>
      <c r="I664" s="36"/>
      <c r="J664" s="33">
        <v>2015</v>
      </c>
      <c r="K664" s="33" t="s">
        <v>8536</v>
      </c>
      <c r="L664" s="34"/>
      <c r="M664" s="33" t="s">
        <v>8538</v>
      </c>
      <c r="N664" s="37" t="s">
        <v>8977</v>
      </c>
      <c r="O664" s="33" t="s">
        <v>8978</v>
      </c>
      <c r="P664" s="34"/>
      <c r="Q664" s="36"/>
      <c r="R664" s="36"/>
      <c r="S664" s="34"/>
      <c r="T664" s="38" t="s">
        <v>12693</v>
      </c>
    </row>
    <row r="665" spans="1:20" x14ac:dyDescent="0.25">
      <c r="A665" s="46" t="s">
        <v>8534</v>
      </c>
      <c r="B665" s="34"/>
      <c r="C665" s="33" t="s">
        <v>7972</v>
      </c>
      <c r="D665" s="34"/>
      <c r="E665" s="33">
        <v>2015</v>
      </c>
      <c r="F665" s="33">
        <v>98</v>
      </c>
      <c r="G665" s="36"/>
      <c r="H665" s="33" t="s">
        <v>8995</v>
      </c>
      <c r="I665" s="36"/>
      <c r="J665" s="33">
        <v>2015</v>
      </c>
      <c r="K665" s="33" t="s">
        <v>8536</v>
      </c>
      <c r="L665" s="34"/>
      <c r="M665" s="33" t="s">
        <v>8538</v>
      </c>
      <c r="N665" s="37" t="s">
        <v>8996</v>
      </c>
      <c r="O665" s="33" t="s">
        <v>8997</v>
      </c>
      <c r="P665" s="34"/>
      <c r="Q665" s="36"/>
      <c r="R665" s="36"/>
      <c r="S665" s="34"/>
      <c r="T665" s="38" t="s">
        <v>12693</v>
      </c>
    </row>
    <row r="666" spans="1:20" x14ac:dyDescent="0.25">
      <c r="A666" s="46" t="s">
        <v>8974</v>
      </c>
      <c r="B666" s="34"/>
      <c r="C666" s="33" t="s">
        <v>7972</v>
      </c>
      <c r="D666" s="34"/>
      <c r="E666" s="33">
        <v>2015</v>
      </c>
      <c r="F666" s="33">
        <v>99</v>
      </c>
      <c r="G666" s="36"/>
      <c r="H666" s="33" t="s">
        <v>9004</v>
      </c>
      <c r="I666" s="36"/>
      <c r="J666" s="33">
        <v>2015</v>
      </c>
      <c r="K666" s="33" t="s">
        <v>8536</v>
      </c>
      <c r="L666" s="34"/>
      <c r="M666" s="33" t="s">
        <v>8538</v>
      </c>
      <c r="N666" s="37" t="s">
        <v>9005</v>
      </c>
      <c r="O666" s="33" t="s">
        <v>9006</v>
      </c>
      <c r="P666" s="34"/>
      <c r="Q666" s="36"/>
      <c r="R666" s="36"/>
      <c r="S666" s="34"/>
      <c r="T666" s="38" t="s">
        <v>12693</v>
      </c>
    </row>
    <row r="667" spans="1:20" x14ac:dyDescent="0.25">
      <c r="A667" s="46" t="s">
        <v>8974</v>
      </c>
      <c r="B667" s="34"/>
      <c r="C667" s="33" t="s">
        <v>7972</v>
      </c>
      <c r="D667" s="34"/>
      <c r="E667" s="33">
        <v>2015</v>
      </c>
      <c r="F667" s="33">
        <v>97</v>
      </c>
      <c r="G667" s="36"/>
      <c r="H667" s="33" t="s">
        <v>9026</v>
      </c>
      <c r="I667" s="36"/>
      <c r="J667" s="33">
        <v>2015</v>
      </c>
      <c r="K667" s="33" t="s">
        <v>8536</v>
      </c>
      <c r="L667" s="34"/>
      <c r="M667" s="33" t="s">
        <v>8538</v>
      </c>
      <c r="N667" s="37" t="s">
        <v>9027</v>
      </c>
      <c r="O667" s="33" t="s">
        <v>9028</v>
      </c>
      <c r="P667" s="34"/>
      <c r="Q667" s="36"/>
      <c r="R667" s="36"/>
      <c r="S667" s="34"/>
      <c r="T667" s="38" t="s">
        <v>12693</v>
      </c>
    </row>
    <row r="668" spans="1:20" x14ac:dyDescent="0.25">
      <c r="A668" s="46" t="s">
        <v>8534</v>
      </c>
      <c r="B668" s="34"/>
      <c r="C668" s="33" t="s">
        <v>7972</v>
      </c>
      <c r="D668" s="34"/>
      <c r="E668" s="33">
        <v>2014</v>
      </c>
      <c r="F668" s="33">
        <v>95</v>
      </c>
      <c r="G668" s="36"/>
      <c r="H668" s="33" t="s">
        <v>9043</v>
      </c>
      <c r="I668" s="36"/>
      <c r="J668" s="33">
        <v>2014</v>
      </c>
      <c r="K668" s="33" t="s">
        <v>8536</v>
      </c>
      <c r="L668" s="34"/>
      <c r="M668" s="33" t="s">
        <v>8538</v>
      </c>
      <c r="N668" s="37" t="s">
        <v>9044</v>
      </c>
      <c r="O668" s="33" t="s">
        <v>9045</v>
      </c>
      <c r="P668" s="34"/>
      <c r="Q668" s="36"/>
      <c r="R668" s="36"/>
      <c r="S668" s="34"/>
      <c r="T668" s="38" t="s">
        <v>12693</v>
      </c>
    </row>
    <row r="669" spans="1:20" x14ac:dyDescent="0.25">
      <c r="A669" s="46" t="s">
        <v>8534</v>
      </c>
      <c r="B669" s="34"/>
      <c r="C669" s="33" t="s">
        <v>7972</v>
      </c>
      <c r="D669" s="34"/>
      <c r="E669" s="33">
        <v>2017</v>
      </c>
      <c r="F669" s="33">
        <v>104</v>
      </c>
      <c r="G669" s="36"/>
      <c r="H669" s="33" t="s">
        <v>9047</v>
      </c>
      <c r="I669" s="36"/>
      <c r="J669" s="33">
        <v>2017</v>
      </c>
      <c r="K669" s="33" t="s">
        <v>8536</v>
      </c>
      <c r="L669" s="34"/>
      <c r="M669" s="33" t="s">
        <v>8538</v>
      </c>
      <c r="N669" s="37" t="s">
        <v>9049</v>
      </c>
      <c r="O669" s="33" t="s">
        <v>9050</v>
      </c>
      <c r="P669" s="34"/>
      <c r="Q669" s="36"/>
      <c r="R669" s="36"/>
      <c r="S669" s="34"/>
      <c r="T669" s="38" t="s">
        <v>12693</v>
      </c>
    </row>
    <row r="670" spans="1:20" x14ac:dyDescent="0.25">
      <c r="A670" s="46" t="s">
        <v>8534</v>
      </c>
      <c r="B670" s="34"/>
      <c r="C670" s="33" t="s">
        <v>7972</v>
      </c>
      <c r="D670" s="34"/>
      <c r="E670" s="33">
        <v>2013</v>
      </c>
      <c r="F670" s="33">
        <v>89</v>
      </c>
      <c r="G670" s="36"/>
      <c r="H670" s="33" t="s">
        <v>7731</v>
      </c>
      <c r="I670" s="36"/>
      <c r="J670" s="33">
        <v>2013</v>
      </c>
      <c r="K670" s="33" t="s">
        <v>8536</v>
      </c>
      <c r="L670" s="34"/>
      <c r="M670" s="33" t="s">
        <v>8538</v>
      </c>
      <c r="N670" s="37" t="s">
        <v>9077</v>
      </c>
      <c r="O670" s="33" t="s">
        <v>9078</v>
      </c>
      <c r="P670" s="34"/>
      <c r="Q670" s="36"/>
      <c r="R670" s="36"/>
      <c r="S670" s="34"/>
      <c r="T670" s="38" t="s">
        <v>12693</v>
      </c>
    </row>
    <row r="671" spans="1:20" x14ac:dyDescent="0.25">
      <c r="A671" s="46" t="s">
        <v>8534</v>
      </c>
      <c r="B671" s="34"/>
      <c r="C671" s="33" t="s">
        <v>7972</v>
      </c>
      <c r="D671" s="34"/>
      <c r="E671" s="33">
        <v>2016</v>
      </c>
      <c r="F671" s="33">
        <v>103</v>
      </c>
      <c r="G671" s="36"/>
      <c r="H671" s="33" t="s">
        <v>9104</v>
      </c>
      <c r="I671" s="36"/>
      <c r="J671" s="33">
        <v>2016</v>
      </c>
      <c r="K671" s="33" t="s">
        <v>8536</v>
      </c>
      <c r="L671" s="34"/>
      <c r="M671" s="33" t="s">
        <v>8538</v>
      </c>
      <c r="N671" s="37" t="s">
        <v>9105</v>
      </c>
      <c r="O671" s="33" t="s">
        <v>9106</v>
      </c>
      <c r="P671" s="34"/>
      <c r="Q671" s="36"/>
      <c r="R671" s="36"/>
      <c r="S671" s="34"/>
      <c r="T671" s="38" t="s">
        <v>12693</v>
      </c>
    </row>
    <row r="672" spans="1:20" x14ac:dyDescent="0.25">
      <c r="A672" s="46" t="s">
        <v>8534</v>
      </c>
      <c r="B672" s="34"/>
      <c r="C672" s="33" t="s">
        <v>7972</v>
      </c>
      <c r="D672" s="34"/>
      <c r="E672" s="33">
        <v>2016</v>
      </c>
      <c r="F672" s="33">
        <v>100</v>
      </c>
      <c r="G672" s="36"/>
      <c r="H672" s="33" t="s">
        <v>9108</v>
      </c>
      <c r="I672" s="36"/>
      <c r="J672" s="33">
        <v>2016</v>
      </c>
      <c r="K672" s="33" t="s">
        <v>8536</v>
      </c>
      <c r="L672" s="34"/>
      <c r="M672" s="33" t="s">
        <v>8538</v>
      </c>
      <c r="N672" s="37" t="s">
        <v>9110</v>
      </c>
      <c r="O672" s="33" t="s">
        <v>9111</v>
      </c>
      <c r="P672" s="34"/>
      <c r="Q672" s="36"/>
      <c r="R672" s="36"/>
      <c r="S672" s="34"/>
      <c r="T672" s="38" t="s">
        <v>12693</v>
      </c>
    </row>
    <row r="673" spans="1:20" x14ac:dyDescent="0.25">
      <c r="A673" s="46" t="s">
        <v>9113</v>
      </c>
      <c r="B673" s="34"/>
      <c r="C673" s="33" t="s">
        <v>7972</v>
      </c>
      <c r="D673" s="34"/>
      <c r="E673" s="33">
        <v>2013</v>
      </c>
      <c r="F673" s="33">
        <v>88</v>
      </c>
      <c r="G673" s="36"/>
      <c r="H673" s="33" t="s">
        <v>9114</v>
      </c>
      <c r="I673" s="36"/>
      <c r="J673" s="33">
        <v>2013</v>
      </c>
      <c r="K673" s="33" t="s">
        <v>8536</v>
      </c>
      <c r="L673" s="34"/>
      <c r="M673" s="33" t="s">
        <v>8538</v>
      </c>
      <c r="N673" s="37" t="s">
        <v>9116</v>
      </c>
      <c r="O673" s="33" t="s">
        <v>9117</v>
      </c>
      <c r="P673" s="34"/>
      <c r="Q673" s="36"/>
      <c r="R673" s="36"/>
      <c r="S673" s="34"/>
      <c r="T673" s="38" t="s">
        <v>12693</v>
      </c>
    </row>
    <row r="674" spans="1:20" x14ac:dyDescent="0.25">
      <c r="A674" s="46" t="s">
        <v>8974</v>
      </c>
      <c r="B674" s="34"/>
      <c r="C674" s="33" t="s">
        <v>7972</v>
      </c>
      <c r="D674" s="34"/>
      <c r="E674" s="33">
        <v>2014</v>
      </c>
      <c r="F674" s="33">
        <v>94</v>
      </c>
      <c r="G674" s="36"/>
      <c r="H674" s="33" t="s">
        <v>9124</v>
      </c>
      <c r="I674" s="36"/>
      <c r="J674" s="33">
        <v>2014</v>
      </c>
      <c r="K674" s="33" t="s">
        <v>8536</v>
      </c>
      <c r="L674" s="34"/>
      <c r="M674" s="33" t="s">
        <v>8538</v>
      </c>
      <c r="N674" s="37" t="s">
        <v>9125</v>
      </c>
      <c r="O674" s="33" t="s">
        <v>9126</v>
      </c>
      <c r="P674" s="34"/>
      <c r="Q674" s="36"/>
      <c r="R674" s="36"/>
      <c r="S674" s="34"/>
      <c r="T674" s="38" t="s">
        <v>12693</v>
      </c>
    </row>
    <row r="675" spans="1:20" x14ac:dyDescent="0.25">
      <c r="A675" s="46" t="s">
        <v>8534</v>
      </c>
      <c r="B675" s="34"/>
      <c r="C675" s="33" t="s">
        <v>7972</v>
      </c>
      <c r="D675" s="34"/>
      <c r="E675" s="33">
        <v>2016</v>
      </c>
      <c r="F675" s="33">
        <v>102</v>
      </c>
      <c r="G675" s="36"/>
      <c r="H675" s="33" t="s">
        <v>9128</v>
      </c>
      <c r="I675" s="36"/>
      <c r="J675" s="33">
        <v>2016</v>
      </c>
      <c r="K675" s="33" t="s">
        <v>8536</v>
      </c>
      <c r="L675" s="34"/>
      <c r="M675" s="33" t="s">
        <v>8538</v>
      </c>
      <c r="N675" s="37" t="s">
        <v>9129</v>
      </c>
      <c r="O675" s="33" t="s">
        <v>9130</v>
      </c>
      <c r="P675" s="34"/>
      <c r="Q675" s="36"/>
      <c r="R675" s="36"/>
      <c r="S675" s="34"/>
      <c r="T675" s="38" t="s">
        <v>12693</v>
      </c>
    </row>
    <row r="676" spans="1:20" x14ac:dyDescent="0.25">
      <c r="A676" s="46" t="s">
        <v>8534</v>
      </c>
      <c r="B676" s="34"/>
      <c r="C676" s="33" t="s">
        <v>7972</v>
      </c>
      <c r="D676" s="34"/>
      <c r="E676" s="33">
        <v>2016</v>
      </c>
      <c r="F676" s="33">
        <v>101</v>
      </c>
      <c r="G676" s="36"/>
      <c r="H676" s="33" t="s">
        <v>9131</v>
      </c>
      <c r="I676" s="36"/>
      <c r="J676" s="33">
        <v>2016</v>
      </c>
      <c r="K676" s="33" t="s">
        <v>8536</v>
      </c>
      <c r="L676" s="34"/>
      <c r="M676" s="33" t="s">
        <v>8538</v>
      </c>
      <c r="N676" s="37" t="s">
        <v>9132</v>
      </c>
      <c r="O676" s="33" t="s">
        <v>9133</v>
      </c>
      <c r="P676" s="34"/>
      <c r="Q676" s="36"/>
      <c r="R676" s="36"/>
      <c r="S676" s="34"/>
      <c r="T676" s="38" t="s">
        <v>12693</v>
      </c>
    </row>
    <row r="677" spans="1:20" x14ac:dyDescent="0.25">
      <c r="A677" s="46" t="s">
        <v>8534</v>
      </c>
      <c r="B677" s="34"/>
      <c r="C677" s="33" t="s">
        <v>7972</v>
      </c>
      <c r="D677" s="34"/>
      <c r="E677" s="33">
        <v>2013</v>
      </c>
      <c r="F677" s="33">
        <v>90</v>
      </c>
      <c r="G677" s="36"/>
      <c r="H677" s="33" t="s">
        <v>9173</v>
      </c>
      <c r="I677" s="36"/>
      <c r="J677" s="33">
        <v>2013</v>
      </c>
      <c r="K677" s="33" t="s">
        <v>8536</v>
      </c>
      <c r="L677" s="34"/>
      <c r="M677" s="33" t="s">
        <v>8538</v>
      </c>
      <c r="N677" s="37" t="s">
        <v>9175</v>
      </c>
      <c r="O677" s="33" t="s">
        <v>9176</v>
      </c>
      <c r="P677" s="34"/>
      <c r="Q677" s="36"/>
      <c r="R677" s="36"/>
      <c r="S677" s="34"/>
      <c r="T677" s="38" t="s">
        <v>12693</v>
      </c>
    </row>
    <row r="678" spans="1:20" x14ac:dyDescent="0.25">
      <c r="A678" s="46" t="s">
        <v>8534</v>
      </c>
      <c r="B678" s="34"/>
      <c r="C678" s="33" t="s">
        <v>7972</v>
      </c>
      <c r="D678" s="34"/>
      <c r="E678" s="33">
        <v>2017</v>
      </c>
      <c r="F678" s="33">
        <v>105</v>
      </c>
      <c r="G678" s="36"/>
      <c r="H678" s="33" t="s">
        <v>9209</v>
      </c>
      <c r="I678" s="36"/>
      <c r="J678" s="33">
        <v>2017</v>
      </c>
      <c r="K678" s="33" t="s">
        <v>8536</v>
      </c>
      <c r="L678" s="34"/>
      <c r="M678" s="33" t="s">
        <v>8538</v>
      </c>
      <c r="N678" s="37" t="s">
        <v>9210</v>
      </c>
      <c r="O678" s="33" t="s">
        <v>9211</v>
      </c>
      <c r="P678" s="34"/>
      <c r="Q678" s="36"/>
      <c r="R678" s="36"/>
      <c r="S678" s="34"/>
      <c r="T678" s="38" t="s">
        <v>12693</v>
      </c>
    </row>
    <row r="679" spans="1:20" x14ac:dyDescent="0.25">
      <c r="A679" s="46" t="s">
        <v>8534</v>
      </c>
      <c r="B679" s="34"/>
      <c r="C679" s="33" t="s">
        <v>7972</v>
      </c>
      <c r="D679" s="34"/>
      <c r="E679" s="33">
        <v>2013</v>
      </c>
      <c r="F679" s="33">
        <v>91</v>
      </c>
      <c r="G679" s="36"/>
      <c r="H679" s="33" t="s">
        <v>9212</v>
      </c>
      <c r="I679" s="36"/>
      <c r="J679" s="33">
        <v>2013</v>
      </c>
      <c r="K679" s="33" t="s">
        <v>8536</v>
      </c>
      <c r="L679" s="34"/>
      <c r="M679" s="33" t="s">
        <v>8538</v>
      </c>
      <c r="N679" s="37" t="s">
        <v>9213</v>
      </c>
      <c r="O679" s="33" t="s">
        <v>9214</v>
      </c>
      <c r="P679" s="34"/>
      <c r="Q679" s="36"/>
      <c r="R679" s="36"/>
      <c r="S679" s="34"/>
      <c r="T679" s="38" t="s">
        <v>12693</v>
      </c>
    </row>
    <row r="680" spans="1:20" x14ac:dyDescent="0.25">
      <c r="A680" s="46" t="s">
        <v>9113</v>
      </c>
      <c r="B680" s="34"/>
      <c r="C680" s="33" t="s">
        <v>7972</v>
      </c>
      <c r="D680" s="34"/>
      <c r="E680" s="33">
        <v>2012</v>
      </c>
      <c r="F680" s="33">
        <v>87</v>
      </c>
      <c r="G680" s="36"/>
      <c r="H680" s="33" t="s">
        <v>9248</v>
      </c>
      <c r="I680" s="36"/>
      <c r="J680" s="33">
        <v>2012</v>
      </c>
      <c r="K680" s="33" t="s">
        <v>8536</v>
      </c>
      <c r="L680" s="34"/>
      <c r="M680" s="33" t="s">
        <v>8538</v>
      </c>
      <c r="N680" s="37" t="s">
        <v>9249</v>
      </c>
      <c r="O680" s="33" t="s">
        <v>9250</v>
      </c>
      <c r="P680" s="34"/>
      <c r="Q680" s="36"/>
      <c r="R680" s="36"/>
      <c r="S680" s="34"/>
      <c r="T680" s="38" t="s">
        <v>12693</v>
      </c>
    </row>
    <row r="681" spans="1:20" x14ac:dyDescent="0.25">
      <c r="A681" s="33" t="s">
        <v>8869</v>
      </c>
      <c r="B681" s="33" t="s">
        <v>8868</v>
      </c>
      <c r="C681" s="33" t="s">
        <v>13</v>
      </c>
      <c r="D681" s="33" t="s">
        <v>8853</v>
      </c>
      <c r="E681" s="33">
        <v>2021</v>
      </c>
      <c r="F681" s="33">
        <v>78</v>
      </c>
      <c r="G681" s="36"/>
      <c r="H681" s="33">
        <v>103541</v>
      </c>
      <c r="I681" s="36"/>
      <c r="J681" s="33">
        <v>2021</v>
      </c>
      <c r="K681" s="34"/>
      <c r="L681" s="34"/>
      <c r="M681" s="33" t="s">
        <v>8854</v>
      </c>
      <c r="N681" s="37" t="s">
        <v>8870</v>
      </c>
      <c r="O681" s="33" t="s">
        <v>8871</v>
      </c>
      <c r="P681" s="33" t="s">
        <v>8872</v>
      </c>
      <c r="Q681" s="36"/>
      <c r="R681" s="36"/>
      <c r="S681" s="33" t="s">
        <v>8873</v>
      </c>
      <c r="T681" s="38" t="s">
        <v>12693</v>
      </c>
    </row>
    <row r="682" spans="1:20" x14ac:dyDescent="0.25">
      <c r="A682" s="33" t="s">
        <v>797</v>
      </c>
      <c r="B682" s="33" t="s">
        <v>796</v>
      </c>
      <c r="C682" s="33" t="s">
        <v>13</v>
      </c>
      <c r="D682" s="33" t="s">
        <v>328</v>
      </c>
      <c r="E682" s="33">
        <v>2022</v>
      </c>
      <c r="F682" s="33">
        <v>31</v>
      </c>
      <c r="G682" s="33">
        <v>3</v>
      </c>
      <c r="H682" s="34"/>
      <c r="I682" s="33" t="s">
        <v>145</v>
      </c>
      <c r="J682" s="33">
        <v>2022</v>
      </c>
      <c r="K682" s="34"/>
      <c r="L682" s="34"/>
      <c r="M682" s="33" t="s">
        <v>329</v>
      </c>
      <c r="N682" s="37" t="s">
        <v>798</v>
      </c>
      <c r="O682" s="33" t="s">
        <v>799</v>
      </c>
      <c r="P682" s="33" t="s">
        <v>800</v>
      </c>
      <c r="Q682" s="33" t="s">
        <v>568</v>
      </c>
      <c r="R682" s="34"/>
      <c r="S682" s="38"/>
      <c r="T682" s="38" t="s">
        <v>12690</v>
      </c>
    </row>
    <row r="683" spans="1:20" x14ac:dyDescent="0.25">
      <c r="A683" s="33" t="s">
        <v>300</v>
      </c>
      <c r="B683" s="33" t="s">
        <v>299</v>
      </c>
      <c r="C683" s="33" t="s">
        <v>13</v>
      </c>
      <c r="D683" s="33" t="s">
        <v>255</v>
      </c>
      <c r="E683" s="33">
        <v>2022</v>
      </c>
      <c r="F683" s="33">
        <v>48</v>
      </c>
      <c r="G683" s="33">
        <v>8</v>
      </c>
      <c r="H683" s="33" t="s">
        <v>301</v>
      </c>
      <c r="I683" s="33" t="s">
        <v>257</v>
      </c>
      <c r="J683" s="33">
        <v>2022</v>
      </c>
      <c r="K683" s="34"/>
      <c r="L683" s="34"/>
      <c r="M683" s="33" t="s">
        <v>18</v>
      </c>
      <c r="N683" s="37" t="s">
        <v>302</v>
      </c>
      <c r="O683" s="33" t="s">
        <v>303</v>
      </c>
      <c r="P683" s="33" t="s">
        <v>304</v>
      </c>
      <c r="Q683" s="33" t="s">
        <v>176</v>
      </c>
      <c r="R683" s="34"/>
      <c r="S683" s="38"/>
      <c r="T683" s="38" t="s">
        <v>12690</v>
      </c>
    </row>
    <row r="684" spans="1:20" x14ac:dyDescent="0.25">
      <c r="A684" s="33" t="s">
        <v>5614</v>
      </c>
      <c r="B684" s="33" t="s">
        <v>3236</v>
      </c>
      <c r="C684" s="33" t="s">
        <v>13</v>
      </c>
      <c r="D684" s="33" t="s">
        <v>878</v>
      </c>
      <c r="E684" s="33">
        <v>2018</v>
      </c>
      <c r="F684" s="33">
        <v>30</v>
      </c>
      <c r="G684" s="33">
        <v>6</v>
      </c>
      <c r="H684" s="34"/>
      <c r="I684" s="33" t="s">
        <v>266</v>
      </c>
      <c r="J684" s="33">
        <v>2018</v>
      </c>
      <c r="K684" s="34"/>
      <c r="L684" s="34"/>
      <c r="M684" s="33" t="s">
        <v>879</v>
      </c>
      <c r="N684" s="37" t="s">
        <v>5615</v>
      </c>
      <c r="O684" s="33" t="s">
        <v>5616</v>
      </c>
      <c r="P684" s="33" t="s">
        <v>5617</v>
      </c>
      <c r="Q684" s="33" t="s">
        <v>5618</v>
      </c>
      <c r="R684" s="34"/>
      <c r="S684" s="38"/>
      <c r="T684" s="38" t="s">
        <v>12690</v>
      </c>
    </row>
    <row r="685" spans="1:20" x14ac:dyDescent="0.25">
      <c r="A685" s="33" t="s">
        <v>4468</v>
      </c>
      <c r="B685" s="33" t="s">
        <v>4467</v>
      </c>
      <c r="C685" s="33" t="s">
        <v>13</v>
      </c>
      <c r="D685" s="33" t="s">
        <v>4469</v>
      </c>
      <c r="E685" s="33">
        <v>2020</v>
      </c>
      <c r="F685" s="33">
        <v>21</v>
      </c>
      <c r="G685" s="34"/>
      <c r="H685" s="34"/>
      <c r="I685" s="33" t="s">
        <v>4470</v>
      </c>
      <c r="J685" s="33">
        <v>2020</v>
      </c>
      <c r="K685" s="34"/>
      <c r="L685" s="34"/>
      <c r="M685" s="33" t="s">
        <v>4471</v>
      </c>
      <c r="N685" s="37" t="s">
        <v>4472</v>
      </c>
      <c r="O685" s="34"/>
      <c r="P685" s="33" t="s">
        <v>4473</v>
      </c>
      <c r="Q685" s="33" t="s">
        <v>176</v>
      </c>
      <c r="R685" s="34"/>
      <c r="S685" s="38"/>
      <c r="T685" s="38" t="s">
        <v>12690</v>
      </c>
    </row>
    <row r="686" spans="1:20" x14ac:dyDescent="0.25">
      <c r="A686" s="39" t="s">
        <v>10528</v>
      </c>
      <c r="B686" s="39" t="s">
        <v>10529</v>
      </c>
      <c r="C686" s="39" t="s">
        <v>9539</v>
      </c>
      <c r="D686" s="36"/>
      <c r="E686" s="39">
        <v>2018</v>
      </c>
      <c r="F686" s="40"/>
      <c r="G686" s="40"/>
      <c r="H686" s="36"/>
      <c r="I686" s="39" t="s">
        <v>9791</v>
      </c>
      <c r="J686" s="36"/>
      <c r="K686" s="36"/>
      <c r="L686" s="36"/>
      <c r="M686" s="34"/>
      <c r="N686" s="41" t="s">
        <v>10530</v>
      </c>
      <c r="O686" s="39" t="s">
        <v>5192</v>
      </c>
      <c r="P686" s="33"/>
      <c r="Q686" s="36"/>
      <c r="R686" s="34"/>
      <c r="S686" s="38"/>
      <c r="T686" s="38" t="s">
        <v>12689</v>
      </c>
    </row>
    <row r="687" spans="1:20" x14ac:dyDescent="0.25">
      <c r="A687" s="39" t="s">
        <v>10528</v>
      </c>
      <c r="B687" s="33" t="s">
        <v>5187</v>
      </c>
      <c r="C687" s="33" t="s">
        <v>13</v>
      </c>
      <c r="D687" s="33" t="s">
        <v>209</v>
      </c>
      <c r="E687" s="33">
        <v>2018</v>
      </c>
      <c r="F687" s="33" t="s">
        <v>5189</v>
      </c>
      <c r="G687" s="34"/>
      <c r="H687" s="33" t="s">
        <v>5190</v>
      </c>
      <c r="I687" s="33" t="s">
        <v>4155</v>
      </c>
      <c r="J687" s="33">
        <v>2018</v>
      </c>
      <c r="K687" s="34"/>
      <c r="L687" s="34"/>
      <c r="M687" s="33" t="s">
        <v>213</v>
      </c>
      <c r="N687" s="37" t="s">
        <v>5191</v>
      </c>
      <c r="O687" s="33" t="s">
        <v>5192</v>
      </c>
      <c r="P687" s="33" t="s">
        <v>5193</v>
      </c>
      <c r="Q687" s="33" t="s">
        <v>2243</v>
      </c>
      <c r="R687" s="34"/>
      <c r="S687" s="38"/>
      <c r="T687" s="38" t="s">
        <v>12690</v>
      </c>
    </row>
    <row r="688" spans="1:20" x14ac:dyDescent="0.25">
      <c r="A688" s="33" t="s">
        <v>1629</v>
      </c>
      <c r="B688" s="33" t="s">
        <v>1628</v>
      </c>
      <c r="C688" s="33" t="s">
        <v>13</v>
      </c>
      <c r="D688" s="33" t="s">
        <v>209</v>
      </c>
      <c r="E688" s="33">
        <v>2022</v>
      </c>
      <c r="F688" s="33" t="s">
        <v>1630</v>
      </c>
      <c r="G688" s="34"/>
      <c r="H688" s="33" t="s">
        <v>1631</v>
      </c>
      <c r="I688" s="33" t="s">
        <v>212</v>
      </c>
      <c r="J688" s="33">
        <v>2022</v>
      </c>
      <c r="K688" s="34"/>
      <c r="L688" s="34"/>
      <c r="M688" s="33" t="s">
        <v>213</v>
      </c>
      <c r="N688" s="37" t="s">
        <v>1632</v>
      </c>
      <c r="O688" s="33" t="s">
        <v>1633</v>
      </c>
      <c r="P688" s="33" t="s">
        <v>1634</v>
      </c>
      <c r="Q688" s="33" t="s">
        <v>404</v>
      </c>
      <c r="R688" s="34"/>
      <c r="S688" s="38"/>
      <c r="T688" s="38" t="s">
        <v>12690</v>
      </c>
    </row>
    <row r="689" spans="1:20" x14ac:dyDescent="0.25">
      <c r="A689" s="39" t="s">
        <v>1629</v>
      </c>
      <c r="B689" s="39" t="s">
        <v>10079</v>
      </c>
      <c r="C689" s="39" t="s">
        <v>9539</v>
      </c>
      <c r="D689" s="36"/>
      <c r="E689" s="39">
        <v>2022</v>
      </c>
      <c r="F689" s="40"/>
      <c r="G689" s="40"/>
      <c r="H689" s="36"/>
      <c r="I689" s="39" t="s">
        <v>9351</v>
      </c>
      <c r="J689" s="36"/>
      <c r="K689" s="36"/>
      <c r="L689" s="36"/>
      <c r="M689" s="34"/>
      <c r="N689" s="41" t="s">
        <v>10080</v>
      </c>
      <c r="O689" s="39" t="s">
        <v>1633</v>
      </c>
      <c r="P689" s="33"/>
      <c r="Q689" s="36"/>
      <c r="R689" s="34"/>
      <c r="S689" s="38"/>
      <c r="T689" s="38" t="s">
        <v>12689</v>
      </c>
    </row>
    <row r="690" spans="1:20" x14ac:dyDescent="0.25">
      <c r="A690" s="33" t="s">
        <v>6935</v>
      </c>
      <c r="B690" s="33" t="s">
        <v>6934</v>
      </c>
      <c r="C690" s="33" t="s">
        <v>13</v>
      </c>
      <c r="D690" s="33" t="s">
        <v>668</v>
      </c>
      <c r="E690" s="33">
        <v>2019</v>
      </c>
      <c r="F690" s="33">
        <v>7</v>
      </c>
      <c r="G690" s="34"/>
      <c r="H690" s="33" t="s">
        <v>6936</v>
      </c>
      <c r="I690" s="34"/>
      <c r="J690" s="33">
        <v>2019</v>
      </c>
      <c r="K690" s="36"/>
      <c r="L690" s="36"/>
      <c r="M690" s="33" t="s">
        <v>670</v>
      </c>
      <c r="N690" s="37" t="s">
        <v>6937</v>
      </c>
      <c r="O690" s="33" t="s">
        <v>6938</v>
      </c>
      <c r="P690" s="33" t="s">
        <v>6939</v>
      </c>
      <c r="Q690" s="36"/>
      <c r="R690" s="36"/>
      <c r="S690" s="33" t="s">
        <v>6940</v>
      </c>
      <c r="T690" s="38" t="s">
        <v>12688</v>
      </c>
    </row>
    <row r="691" spans="1:20" x14ac:dyDescent="0.25">
      <c r="A691" s="33" t="s">
        <v>5145</v>
      </c>
      <c r="B691" s="33" t="s">
        <v>5144</v>
      </c>
      <c r="C691" s="33" t="s">
        <v>141</v>
      </c>
      <c r="D691" s="34"/>
      <c r="E691" s="33">
        <v>2018</v>
      </c>
      <c r="F691" s="34"/>
      <c r="G691" s="34"/>
      <c r="H691" s="33" t="s">
        <v>5146</v>
      </c>
      <c r="I691" s="33" t="s">
        <v>196</v>
      </c>
      <c r="J691" s="33">
        <v>2018</v>
      </c>
      <c r="K691" s="33">
        <v>9781450356619</v>
      </c>
      <c r="L691" s="34"/>
      <c r="M691" s="33" t="s">
        <v>1458</v>
      </c>
      <c r="N691" s="37" t="s">
        <v>5147</v>
      </c>
      <c r="O691" s="33" t="s">
        <v>5148</v>
      </c>
      <c r="P691" s="33" t="s">
        <v>5149</v>
      </c>
      <c r="Q691" s="33" t="s">
        <v>289</v>
      </c>
      <c r="R691" s="34"/>
      <c r="S691" s="38"/>
      <c r="T691" s="38" t="s">
        <v>12690</v>
      </c>
    </row>
    <row r="692" spans="1:20" x14ac:dyDescent="0.25">
      <c r="A692" s="33" t="s">
        <v>5145</v>
      </c>
      <c r="B692" s="33" t="s">
        <v>5144</v>
      </c>
      <c r="C692" s="33" t="s">
        <v>141</v>
      </c>
      <c r="D692" s="34"/>
      <c r="E692" s="33">
        <v>2018</v>
      </c>
      <c r="F692" s="34"/>
      <c r="G692" s="34"/>
      <c r="H692" s="33" t="s">
        <v>5146</v>
      </c>
      <c r="I692" s="33" t="s">
        <v>257</v>
      </c>
      <c r="J692" s="33">
        <v>2018</v>
      </c>
      <c r="K692" s="33">
        <v>9781450356619</v>
      </c>
      <c r="L692" s="34"/>
      <c r="M692" s="34"/>
      <c r="N692" s="37" t="s">
        <v>5916</v>
      </c>
      <c r="O692" s="33" t="s">
        <v>5148</v>
      </c>
      <c r="P692" s="33" t="s">
        <v>5149</v>
      </c>
      <c r="Q692" s="33" t="s">
        <v>1404</v>
      </c>
      <c r="R692" s="34"/>
      <c r="S692" s="38"/>
      <c r="T692" s="38" t="s">
        <v>12690</v>
      </c>
    </row>
    <row r="693" spans="1:20" x14ac:dyDescent="0.25">
      <c r="A693" s="33" t="s">
        <v>12651</v>
      </c>
      <c r="B693" s="33" t="s">
        <v>8285</v>
      </c>
      <c r="C693" s="33" t="s">
        <v>141</v>
      </c>
      <c r="D693" s="34"/>
      <c r="E693" s="33">
        <v>2020</v>
      </c>
      <c r="F693" s="34"/>
      <c r="G693" s="34"/>
      <c r="H693" s="34"/>
      <c r="I693" s="44" t="s">
        <v>12749</v>
      </c>
      <c r="J693" s="33">
        <v>2020</v>
      </c>
      <c r="K693" s="33">
        <v>9781450380263</v>
      </c>
      <c r="L693" s="33" t="s">
        <v>12657</v>
      </c>
      <c r="M693" s="34"/>
      <c r="N693" s="37" t="s">
        <v>12653</v>
      </c>
      <c r="O693" s="33" t="s">
        <v>12654</v>
      </c>
      <c r="P693" s="33" t="s">
        <v>12655</v>
      </c>
      <c r="Q693" s="36"/>
      <c r="R693" s="36"/>
      <c r="S693" s="33" t="s">
        <v>12656</v>
      </c>
      <c r="T693" s="33" t="s">
        <v>12692</v>
      </c>
    </row>
    <row r="694" spans="1:20" x14ac:dyDescent="0.25">
      <c r="A694" s="33" t="s">
        <v>8286</v>
      </c>
      <c r="B694" s="33" t="s">
        <v>8285</v>
      </c>
      <c r="C694" s="33" t="s">
        <v>141</v>
      </c>
      <c r="D694" s="34"/>
      <c r="E694" s="33">
        <v>2020</v>
      </c>
      <c r="F694" s="34"/>
      <c r="G694" s="34"/>
      <c r="H694" s="42">
        <v>44934</v>
      </c>
      <c r="I694" s="33" t="s">
        <v>8287</v>
      </c>
      <c r="J694" s="35">
        <v>44136</v>
      </c>
      <c r="K694" s="34"/>
      <c r="L694" s="36"/>
      <c r="M694" s="33" t="s">
        <v>8288</v>
      </c>
      <c r="N694" s="34"/>
      <c r="O694" s="34"/>
      <c r="P694" s="33" t="s">
        <v>8289</v>
      </c>
      <c r="Q694" s="36"/>
      <c r="R694" s="36"/>
      <c r="S694" s="33" t="s">
        <v>8290</v>
      </c>
      <c r="T694" s="38" t="s">
        <v>12688</v>
      </c>
    </row>
    <row r="695" spans="1:20" x14ac:dyDescent="0.25">
      <c r="A695" s="33" t="s">
        <v>8548</v>
      </c>
      <c r="B695" s="33" t="s">
        <v>8547</v>
      </c>
      <c r="C695" s="33" t="s">
        <v>13</v>
      </c>
      <c r="D695" s="33" t="s">
        <v>307</v>
      </c>
      <c r="E695" s="33">
        <v>2021</v>
      </c>
      <c r="F695" s="33">
        <v>134</v>
      </c>
      <c r="G695" s="36"/>
      <c r="H695" s="33">
        <v>106551</v>
      </c>
      <c r="I695" s="36"/>
      <c r="J695" s="33">
        <v>2021</v>
      </c>
      <c r="K695" s="34"/>
      <c r="L695" s="34"/>
      <c r="M695" s="33" t="s">
        <v>308</v>
      </c>
      <c r="N695" s="37" t="s">
        <v>8549</v>
      </c>
      <c r="O695" s="33" t="s">
        <v>8550</v>
      </c>
      <c r="P695" s="33" t="s">
        <v>8551</v>
      </c>
      <c r="Q695" s="36"/>
      <c r="R695" s="36"/>
      <c r="S695" s="33" t="s">
        <v>8552</v>
      </c>
      <c r="T695" s="38" t="s">
        <v>12693</v>
      </c>
    </row>
    <row r="696" spans="1:20" x14ac:dyDescent="0.25">
      <c r="A696" s="33" t="s">
        <v>2118</v>
      </c>
      <c r="B696" s="33" t="s">
        <v>2117</v>
      </c>
      <c r="C696" s="33" t="s">
        <v>13</v>
      </c>
      <c r="D696" s="33" t="s">
        <v>2119</v>
      </c>
      <c r="E696" s="33">
        <v>2021</v>
      </c>
      <c r="F696" s="33">
        <v>45</v>
      </c>
      <c r="G696" s="33">
        <v>3</v>
      </c>
      <c r="H696" s="33" t="s">
        <v>2120</v>
      </c>
      <c r="I696" s="33" t="s">
        <v>2121</v>
      </c>
      <c r="J696" s="33">
        <v>2021</v>
      </c>
      <c r="K696" s="34"/>
      <c r="L696" s="34"/>
      <c r="M696" s="33" t="s">
        <v>2122</v>
      </c>
      <c r="N696" s="37" t="s">
        <v>2123</v>
      </c>
      <c r="O696" s="33" t="s">
        <v>2124</v>
      </c>
      <c r="P696" s="33" t="s">
        <v>2125</v>
      </c>
      <c r="Q696" s="33" t="s">
        <v>397</v>
      </c>
      <c r="R696" s="34"/>
      <c r="S696" s="38"/>
      <c r="T696" s="38" t="s">
        <v>12690</v>
      </c>
    </row>
    <row r="697" spans="1:20" x14ac:dyDescent="0.25">
      <c r="A697" s="33" t="s">
        <v>1436</v>
      </c>
      <c r="B697" s="33" t="s">
        <v>1435</v>
      </c>
      <c r="C697" s="33" t="s">
        <v>13</v>
      </c>
      <c r="D697" s="33" t="s">
        <v>523</v>
      </c>
      <c r="E697" s="33">
        <v>2021</v>
      </c>
      <c r="F697" s="33">
        <v>29</v>
      </c>
      <c r="G697" s="33">
        <v>4</v>
      </c>
      <c r="H697" s="33" t="s">
        <v>1437</v>
      </c>
      <c r="I697" s="33" t="s">
        <v>137</v>
      </c>
      <c r="J697" s="33">
        <v>2021</v>
      </c>
      <c r="K697" s="34"/>
      <c r="L697" s="34"/>
      <c r="M697" s="33" t="s">
        <v>525</v>
      </c>
      <c r="N697" s="37" t="s">
        <v>1438</v>
      </c>
      <c r="O697" s="33" t="s">
        <v>1439</v>
      </c>
      <c r="P697" s="33" t="s">
        <v>1440</v>
      </c>
      <c r="Q697" s="33" t="s">
        <v>318</v>
      </c>
      <c r="R697" s="34"/>
      <c r="S697" s="38"/>
      <c r="T697" s="38" t="s">
        <v>12690</v>
      </c>
    </row>
    <row r="698" spans="1:20" x14ac:dyDescent="0.25">
      <c r="A698" s="39" t="s">
        <v>1436</v>
      </c>
      <c r="B698" s="39" t="s">
        <v>10199</v>
      </c>
      <c r="C698" s="39" t="s">
        <v>9478</v>
      </c>
      <c r="D698" s="36"/>
      <c r="E698" s="39">
        <v>2021</v>
      </c>
      <c r="F698" s="39">
        <v>29</v>
      </c>
      <c r="G698" s="39">
        <v>4</v>
      </c>
      <c r="H698" s="36"/>
      <c r="I698" s="39" t="s">
        <v>523</v>
      </c>
      <c r="J698" s="36"/>
      <c r="K698" s="36"/>
      <c r="L698" s="36"/>
      <c r="M698" s="34"/>
      <c r="N698" s="41" t="s">
        <v>10200</v>
      </c>
      <c r="O698" s="39" t="s">
        <v>1439</v>
      </c>
      <c r="P698" s="33"/>
      <c r="Q698" s="36"/>
      <c r="R698" s="34"/>
      <c r="S698" s="38"/>
      <c r="T698" s="38" t="s">
        <v>12689</v>
      </c>
    </row>
    <row r="699" spans="1:20" x14ac:dyDescent="0.25">
      <c r="A699" s="33" t="s">
        <v>1194</v>
      </c>
      <c r="B699" s="33" t="s">
        <v>1193</v>
      </c>
      <c r="C699" s="33" t="s">
        <v>141</v>
      </c>
      <c r="D699" s="34"/>
      <c r="E699" s="33">
        <v>2022</v>
      </c>
      <c r="F699" s="34"/>
      <c r="G699" s="34"/>
      <c r="H699" s="33" t="s">
        <v>1195</v>
      </c>
      <c r="I699" s="33" t="s">
        <v>933</v>
      </c>
      <c r="J699" s="33">
        <v>2022</v>
      </c>
      <c r="K699" s="33">
        <v>9781891706547</v>
      </c>
      <c r="L699" s="34"/>
      <c r="M699" s="33" t="s">
        <v>934</v>
      </c>
      <c r="N699" s="37" t="s">
        <v>1196</v>
      </c>
      <c r="O699" s="33" t="s">
        <v>1197</v>
      </c>
      <c r="P699" s="33" t="s">
        <v>1198</v>
      </c>
      <c r="Q699" s="33" t="s">
        <v>157</v>
      </c>
      <c r="R699" s="34"/>
      <c r="S699" s="38"/>
      <c r="T699" s="38" t="s">
        <v>12690</v>
      </c>
    </row>
    <row r="700" spans="1:20" x14ac:dyDescent="0.25">
      <c r="A700" s="39" t="s">
        <v>9588</v>
      </c>
      <c r="B700" s="39" t="s">
        <v>9590</v>
      </c>
      <c r="C700" s="39" t="s">
        <v>539</v>
      </c>
      <c r="D700" s="36"/>
      <c r="E700" s="39">
        <v>2023</v>
      </c>
      <c r="F700" s="40"/>
      <c r="G700" s="40"/>
      <c r="H700" s="36"/>
      <c r="I700" s="39" t="s">
        <v>9587</v>
      </c>
      <c r="J700" s="36"/>
      <c r="K700" s="36"/>
      <c r="L700" s="36"/>
      <c r="M700" s="34"/>
      <c r="N700" s="41" t="s">
        <v>9591</v>
      </c>
      <c r="O700" s="39" t="s">
        <v>9589</v>
      </c>
      <c r="P700" s="33"/>
      <c r="Q700" s="36"/>
      <c r="R700" s="34"/>
      <c r="S700" s="38"/>
      <c r="T700" s="38" t="s">
        <v>12689</v>
      </c>
    </row>
    <row r="701" spans="1:20" x14ac:dyDescent="0.25">
      <c r="A701" s="33" t="s">
        <v>12071</v>
      </c>
      <c r="B701" s="33" t="s">
        <v>4739</v>
      </c>
      <c r="C701" s="33" t="s">
        <v>141</v>
      </c>
      <c r="D701" s="34"/>
      <c r="E701" s="33">
        <v>2019</v>
      </c>
      <c r="F701" s="34"/>
      <c r="G701" s="34"/>
      <c r="H701" s="33" t="s">
        <v>12072</v>
      </c>
      <c r="I701" s="44" t="s">
        <v>12750</v>
      </c>
      <c r="J701" s="33">
        <v>2019</v>
      </c>
      <c r="K701" s="33">
        <v>9781450368476</v>
      </c>
      <c r="L701" s="33" t="s">
        <v>12077</v>
      </c>
      <c r="M701" s="34"/>
      <c r="N701" s="37" t="s">
        <v>12074</v>
      </c>
      <c r="O701" s="33" t="s">
        <v>4845</v>
      </c>
      <c r="P701" s="33" t="s">
        <v>12075</v>
      </c>
      <c r="Q701" s="36"/>
      <c r="R701" s="36"/>
      <c r="S701" s="33" t="s">
        <v>12076</v>
      </c>
      <c r="T701" s="33" t="s">
        <v>12692</v>
      </c>
    </row>
    <row r="702" spans="1:20" x14ac:dyDescent="0.25">
      <c r="A702" s="33" t="s">
        <v>12071</v>
      </c>
      <c r="B702" s="33" t="s">
        <v>4739</v>
      </c>
      <c r="C702" s="33" t="s">
        <v>141</v>
      </c>
      <c r="D702" s="34"/>
      <c r="E702" s="33">
        <v>2019</v>
      </c>
      <c r="F702" s="34"/>
      <c r="G702" s="34"/>
      <c r="H702" s="33" t="s">
        <v>4842</v>
      </c>
      <c r="I702" s="33" t="s">
        <v>196</v>
      </c>
      <c r="J702" s="33">
        <v>2019</v>
      </c>
      <c r="K702" s="33">
        <v>9781450368476</v>
      </c>
      <c r="L702" s="34"/>
      <c r="M702" s="33" t="s">
        <v>4843</v>
      </c>
      <c r="N702" s="37" t="s">
        <v>4844</v>
      </c>
      <c r="O702" s="33" t="s">
        <v>4845</v>
      </c>
      <c r="P702" s="33" t="s">
        <v>4846</v>
      </c>
      <c r="Q702" s="33" t="s">
        <v>185</v>
      </c>
      <c r="R702" s="34"/>
      <c r="S702" s="38"/>
      <c r="T702" s="38" t="s">
        <v>12690</v>
      </c>
    </row>
    <row r="703" spans="1:20" x14ac:dyDescent="0.25">
      <c r="A703" s="33" t="s">
        <v>3137</v>
      </c>
      <c r="B703" s="33" t="s">
        <v>3136</v>
      </c>
      <c r="C703" s="33" t="s">
        <v>141</v>
      </c>
      <c r="D703" s="34"/>
      <c r="E703" s="33">
        <v>2021</v>
      </c>
      <c r="F703" s="34"/>
      <c r="G703" s="34"/>
      <c r="H703" s="34"/>
      <c r="I703" s="33" t="s">
        <v>145</v>
      </c>
      <c r="J703" s="33">
        <v>2021</v>
      </c>
      <c r="K703" s="33">
        <v>9781450390460</v>
      </c>
      <c r="L703" s="34"/>
      <c r="M703" s="34"/>
      <c r="N703" s="37" t="s">
        <v>3138</v>
      </c>
      <c r="O703" s="33" t="s">
        <v>3139</v>
      </c>
      <c r="P703" s="33" t="s">
        <v>3140</v>
      </c>
      <c r="Q703" s="33" t="s">
        <v>176</v>
      </c>
      <c r="R703" s="34"/>
      <c r="S703" s="38"/>
      <c r="T703" s="38" t="s">
        <v>12690</v>
      </c>
    </row>
    <row r="704" spans="1:20" x14ac:dyDescent="0.25">
      <c r="A704" s="33" t="s">
        <v>3946</v>
      </c>
      <c r="B704" s="33" t="s">
        <v>3945</v>
      </c>
      <c r="C704" s="33" t="s">
        <v>141</v>
      </c>
      <c r="D704" s="34"/>
      <c r="E704" s="33">
        <v>2020</v>
      </c>
      <c r="F704" s="34"/>
      <c r="G704" s="34"/>
      <c r="H704" s="33" t="s">
        <v>3947</v>
      </c>
      <c r="I704" s="33" t="s">
        <v>257</v>
      </c>
      <c r="J704" s="33">
        <v>2020</v>
      </c>
      <c r="K704" s="33">
        <v>9781728151434</v>
      </c>
      <c r="L704" s="34"/>
      <c r="M704" s="34"/>
      <c r="N704" s="37" t="s">
        <v>3948</v>
      </c>
      <c r="O704" s="33" t="s">
        <v>3949</v>
      </c>
      <c r="P704" s="33" t="s">
        <v>3950</v>
      </c>
      <c r="Q704" s="33" t="s">
        <v>520</v>
      </c>
      <c r="R704" s="34"/>
      <c r="S704" s="38"/>
      <c r="T704" s="38" t="s">
        <v>12690</v>
      </c>
    </row>
    <row r="705" spans="1:20" x14ac:dyDescent="0.25">
      <c r="A705" s="33" t="s">
        <v>5156</v>
      </c>
      <c r="B705" s="33" t="s">
        <v>5155</v>
      </c>
      <c r="C705" s="33" t="s">
        <v>141</v>
      </c>
      <c r="D705" s="34"/>
      <c r="E705" s="33">
        <v>2018</v>
      </c>
      <c r="F705" s="33">
        <v>1</v>
      </c>
      <c r="G705" s="34"/>
      <c r="H705" s="33" t="s">
        <v>1659</v>
      </c>
      <c r="I705" s="33" t="s">
        <v>196</v>
      </c>
      <c r="J705" s="33">
        <v>2018</v>
      </c>
      <c r="K705" s="33">
        <v>9781538626665</v>
      </c>
      <c r="L705" s="34"/>
      <c r="M705" s="33" t="s">
        <v>5157</v>
      </c>
      <c r="N705" s="37" t="s">
        <v>5158</v>
      </c>
      <c r="O705" s="33" t="s">
        <v>5159</v>
      </c>
      <c r="P705" s="33" t="s">
        <v>5160</v>
      </c>
      <c r="Q705" s="33" t="s">
        <v>2804</v>
      </c>
      <c r="R705" s="34"/>
      <c r="S705" s="38"/>
      <c r="T705" s="38" t="s">
        <v>12690</v>
      </c>
    </row>
    <row r="706" spans="1:20" x14ac:dyDescent="0.25">
      <c r="A706" s="39" t="s">
        <v>2133</v>
      </c>
      <c r="B706" s="39" t="s">
        <v>10500</v>
      </c>
      <c r="C706" s="39" t="s">
        <v>9478</v>
      </c>
      <c r="D706" s="36"/>
      <c r="E706" s="39">
        <v>2021</v>
      </c>
      <c r="F706" s="39">
        <v>25</v>
      </c>
      <c r="G706" s="39">
        <v>22</v>
      </c>
      <c r="H706" s="36"/>
      <c r="I706" s="39" t="s">
        <v>2134</v>
      </c>
      <c r="J706" s="36"/>
      <c r="K706" s="36"/>
      <c r="L706" s="36"/>
      <c r="M706" s="34"/>
      <c r="N706" s="41" t="s">
        <v>10501</v>
      </c>
      <c r="O706" s="39" t="s">
        <v>2138</v>
      </c>
      <c r="P706" s="33"/>
      <c r="Q706" s="36"/>
      <c r="R706" s="34"/>
      <c r="S706" s="38"/>
      <c r="T706" s="38" t="s">
        <v>12689</v>
      </c>
    </row>
    <row r="707" spans="1:20" x14ac:dyDescent="0.25">
      <c r="A707" s="33" t="s">
        <v>2133</v>
      </c>
      <c r="B707" s="33" t="s">
        <v>2132</v>
      </c>
      <c r="C707" s="33" t="s">
        <v>13</v>
      </c>
      <c r="D707" s="33" t="s">
        <v>2134</v>
      </c>
      <c r="E707" s="33">
        <v>2021</v>
      </c>
      <c r="F707" s="33">
        <v>25</v>
      </c>
      <c r="G707" s="33">
        <v>22</v>
      </c>
      <c r="H707" s="33" t="s">
        <v>2135</v>
      </c>
      <c r="I707" s="33" t="s">
        <v>212</v>
      </c>
      <c r="J707" s="33">
        <v>2021</v>
      </c>
      <c r="K707" s="34"/>
      <c r="L707" s="34"/>
      <c r="M707" s="33" t="s">
        <v>2136</v>
      </c>
      <c r="N707" s="37" t="s">
        <v>2137</v>
      </c>
      <c r="O707" s="33" t="s">
        <v>2138</v>
      </c>
      <c r="P707" s="33" t="s">
        <v>2139</v>
      </c>
      <c r="Q707" s="33" t="s">
        <v>176</v>
      </c>
      <c r="R707" s="34"/>
      <c r="S707" s="38"/>
      <c r="T707" s="38" t="s">
        <v>12690</v>
      </c>
    </row>
    <row r="708" spans="1:20" x14ac:dyDescent="0.25">
      <c r="A708" s="33" t="s">
        <v>1539</v>
      </c>
      <c r="B708" s="33" t="s">
        <v>1538</v>
      </c>
      <c r="C708" s="33" t="s">
        <v>13</v>
      </c>
      <c r="D708" s="33" t="s">
        <v>1540</v>
      </c>
      <c r="E708" s="33">
        <v>2022</v>
      </c>
      <c r="F708" s="33">
        <v>13</v>
      </c>
      <c r="G708" s="33">
        <v>1</v>
      </c>
      <c r="H708" s="34"/>
      <c r="I708" s="33" t="s">
        <v>1465</v>
      </c>
      <c r="J708" s="33">
        <v>2022</v>
      </c>
      <c r="K708" s="34"/>
      <c r="L708" s="34"/>
      <c r="M708" s="33" t="s">
        <v>1541</v>
      </c>
      <c r="N708" s="37" t="s">
        <v>1542</v>
      </c>
      <c r="O708" s="33" t="s">
        <v>1543</v>
      </c>
      <c r="P708" s="33" t="s">
        <v>1544</v>
      </c>
      <c r="Q708" s="33" t="s">
        <v>157</v>
      </c>
      <c r="R708" s="34"/>
      <c r="S708" s="38"/>
      <c r="T708" s="38" t="s">
        <v>12690</v>
      </c>
    </row>
    <row r="709" spans="1:20" x14ac:dyDescent="0.25">
      <c r="A709" s="33" t="s">
        <v>116</v>
      </c>
      <c r="B709" s="33" t="s">
        <v>115</v>
      </c>
      <c r="C709" s="33" t="s">
        <v>13</v>
      </c>
      <c r="D709" s="33" t="s">
        <v>32</v>
      </c>
      <c r="E709" s="33">
        <v>2022</v>
      </c>
      <c r="F709" s="33">
        <v>27</v>
      </c>
      <c r="G709" s="33">
        <v>3</v>
      </c>
      <c r="H709" s="34"/>
      <c r="I709" s="38" t="s">
        <v>12699</v>
      </c>
      <c r="J709" s="43">
        <v>44682</v>
      </c>
      <c r="K709" s="33" t="s">
        <v>33</v>
      </c>
      <c r="L709" s="38" t="s">
        <v>12699</v>
      </c>
      <c r="M709" s="38" t="s">
        <v>12699</v>
      </c>
      <c r="N709" s="37" t="s">
        <v>117</v>
      </c>
      <c r="O709" s="33" t="s">
        <v>118</v>
      </c>
      <c r="P709" s="33" t="s">
        <v>119</v>
      </c>
      <c r="Q709" s="38" t="s">
        <v>12699</v>
      </c>
      <c r="R709" s="38" t="s">
        <v>12699</v>
      </c>
      <c r="S709" s="38"/>
      <c r="T709" s="38" t="s">
        <v>12700</v>
      </c>
    </row>
    <row r="710" spans="1:20" x14ac:dyDescent="0.25">
      <c r="A710" s="39" t="s">
        <v>116</v>
      </c>
      <c r="B710" s="39" t="s">
        <v>10097</v>
      </c>
      <c r="C710" s="39" t="s">
        <v>9478</v>
      </c>
      <c r="D710" s="36"/>
      <c r="E710" s="39">
        <v>2022</v>
      </c>
      <c r="F710" s="39">
        <v>27</v>
      </c>
      <c r="G710" s="39">
        <v>3</v>
      </c>
      <c r="H710" s="36"/>
      <c r="I710" s="39" t="s">
        <v>136</v>
      </c>
      <c r="J710" s="36"/>
      <c r="K710" s="36"/>
      <c r="L710" s="36"/>
      <c r="M710" s="34"/>
      <c r="N710" s="41" t="s">
        <v>10098</v>
      </c>
      <c r="O710" s="39" t="s">
        <v>118</v>
      </c>
      <c r="P710" s="33"/>
      <c r="Q710" s="36"/>
      <c r="R710" s="34"/>
      <c r="S710" s="38"/>
      <c r="T710" s="38" t="s">
        <v>12689</v>
      </c>
    </row>
    <row r="711" spans="1:20" x14ac:dyDescent="0.25">
      <c r="A711" s="33" t="s">
        <v>116</v>
      </c>
      <c r="B711" s="33" t="s">
        <v>286</v>
      </c>
      <c r="C711" s="33" t="s">
        <v>13</v>
      </c>
      <c r="D711" s="33" t="s">
        <v>136</v>
      </c>
      <c r="E711" s="33">
        <v>2022</v>
      </c>
      <c r="F711" s="33">
        <v>27</v>
      </c>
      <c r="G711" s="33">
        <v>3</v>
      </c>
      <c r="H711" s="34"/>
      <c r="I711" s="33" t="s">
        <v>137</v>
      </c>
      <c r="J711" s="33">
        <v>2022</v>
      </c>
      <c r="K711" s="34"/>
      <c r="L711" s="34"/>
      <c r="M711" s="33" t="s">
        <v>33</v>
      </c>
      <c r="N711" s="37" t="s">
        <v>287</v>
      </c>
      <c r="O711" s="33" t="s">
        <v>118</v>
      </c>
      <c r="P711" s="33" t="s">
        <v>288</v>
      </c>
      <c r="Q711" s="33" t="s">
        <v>289</v>
      </c>
      <c r="R711" s="34"/>
      <c r="S711" s="38"/>
      <c r="T711" s="38" t="s">
        <v>12690</v>
      </c>
    </row>
    <row r="712" spans="1:20" x14ac:dyDescent="0.25">
      <c r="A712" s="33" t="s">
        <v>1188</v>
      </c>
      <c r="B712" s="33" t="s">
        <v>1187</v>
      </c>
      <c r="C712" s="33" t="s">
        <v>141</v>
      </c>
      <c r="D712" s="34"/>
      <c r="E712" s="33">
        <v>2022</v>
      </c>
      <c r="F712" s="34"/>
      <c r="G712" s="34"/>
      <c r="H712" s="34"/>
      <c r="I712" s="33" t="s">
        <v>145</v>
      </c>
      <c r="J712" s="33">
        <v>2022</v>
      </c>
      <c r="K712" s="33">
        <v>9781450391573</v>
      </c>
      <c r="L712" s="34"/>
      <c r="M712" s="34"/>
      <c r="N712" s="37" t="s">
        <v>1189</v>
      </c>
      <c r="O712" s="33" t="s">
        <v>1190</v>
      </c>
      <c r="P712" s="33" t="s">
        <v>1191</v>
      </c>
      <c r="Q712" s="33" t="s">
        <v>1192</v>
      </c>
      <c r="R712" s="34"/>
      <c r="S712" s="38"/>
      <c r="T712" s="38" t="s">
        <v>12690</v>
      </c>
    </row>
    <row r="713" spans="1:20" x14ac:dyDescent="0.25">
      <c r="A713" s="33" t="s">
        <v>12680</v>
      </c>
      <c r="B713" s="34"/>
      <c r="C713" s="33" t="s">
        <v>539</v>
      </c>
      <c r="D713" s="34"/>
      <c r="E713" s="33">
        <v>2017</v>
      </c>
      <c r="F713" s="34"/>
      <c r="G713" s="34"/>
      <c r="H713" s="34"/>
      <c r="I713" s="44" t="s">
        <v>12710</v>
      </c>
      <c r="J713" s="33">
        <v>2017</v>
      </c>
      <c r="K713" s="33">
        <v>9781450343350</v>
      </c>
      <c r="L713" s="34"/>
      <c r="M713" s="34"/>
      <c r="N713" s="34"/>
      <c r="O713" s="34"/>
      <c r="P713" s="33" t="s">
        <v>12682</v>
      </c>
      <c r="Q713" s="36"/>
      <c r="R713" s="36"/>
      <c r="S713" s="34"/>
      <c r="T713" s="33" t="s">
        <v>12692</v>
      </c>
    </row>
    <row r="714" spans="1:20" x14ac:dyDescent="0.25">
      <c r="A714" s="33" t="s">
        <v>7391</v>
      </c>
      <c r="B714" s="33" t="s">
        <v>7390</v>
      </c>
      <c r="C714" s="33" t="s">
        <v>141</v>
      </c>
      <c r="D714" s="34"/>
      <c r="E714" s="33">
        <v>2019</v>
      </c>
      <c r="F714" s="34"/>
      <c r="G714" s="34"/>
      <c r="H714" s="33" t="s">
        <v>7392</v>
      </c>
      <c r="I714" s="33" t="s">
        <v>7393</v>
      </c>
      <c r="J714" s="43">
        <v>43586</v>
      </c>
      <c r="K714" s="36"/>
      <c r="L714" s="36"/>
      <c r="M714" s="34"/>
      <c r="N714" s="37" t="s">
        <v>7394</v>
      </c>
      <c r="O714" s="33" t="s">
        <v>7395</v>
      </c>
      <c r="P714" s="33" t="s">
        <v>7396</v>
      </c>
      <c r="Q714" s="36"/>
      <c r="R714" s="36"/>
      <c r="S714" s="33" t="s">
        <v>7397</v>
      </c>
      <c r="T714" s="38" t="s">
        <v>12688</v>
      </c>
    </row>
    <row r="715" spans="1:20" x14ac:dyDescent="0.25">
      <c r="A715" s="33" t="s">
        <v>7391</v>
      </c>
      <c r="B715" s="33" t="s">
        <v>11752</v>
      </c>
      <c r="C715" s="33" t="s">
        <v>141</v>
      </c>
      <c r="D715" s="34"/>
      <c r="E715" s="33">
        <v>2019</v>
      </c>
      <c r="F715" s="34"/>
      <c r="G715" s="34"/>
      <c r="H715" s="33" t="s">
        <v>11753</v>
      </c>
      <c r="I715" s="44" t="s">
        <v>12751</v>
      </c>
      <c r="J715" s="33">
        <v>2019</v>
      </c>
      <c r="K715" s="34"/>
      <c r="L715" s="33" t="s">
        <v>11758</v>
      </c>
      <c r="M715" s="34"/>
      <c r="N715" s="37" t="s">
        <v>11755</v>
      </c>
      <c r="O715" s="33" t="s">
        <v>7395</v>
      </c>
      <c r="P715" s="33" t="s">
        <v>11756</v>
      </c>
      <c r="Q715" s="36"/>
      <c r="R715" s="36"/>
      <c r="S715" s="33" t="s">
        <v>11757</v>
      </c>
      <c r="T715" s="33" t="s">
        <v>12692</v>
      </c>
    </row>
    <row r="716" spans="1:20" x14ac:dyDescent="0.25">
      <c r="A716" s="33" t="s">
        <v>1205</v>
      </c>
      <c r="B716" s="33" t="s">
        <v>1204</v>
      </c>
      <c r="C716" s="33" t="s">
        <v>13</v>
      </c>
      <c r="D716" s="33" t="s">
        <v>676</v>
      </c>
      <c r="E716" s="33">
        <v>2023</v>
      </c>
      <c r="F716" s="33" t="s">
        <v>1206</v>
      </c>
      <c r="G716" s="34"/>
      <c r="H716" s="33" t="s">
        <v>1207</v>
      </c>
      <c r="I716" s="33" t="s">
        <v>212</v>
      </c>
      <c r="J716" s="33">
        <v>2023</v>
      </c>
      <c r="K716" s="34"/>
      <c r="L716" s="34"/>
      <c r="M716" s="33" t="s">
        <v>679</v>
      </c>
      <c r="N716" s="37" t="s">
        <v>1208</v>
      </c>
      <c r="O716" s="33" t="s">
        <v>1209</v>
      </c>
      <c r="P716" s="33" t="s">
        <v>1210</v>
      </c>
      <c r="Q716" s="33" t="s">
        <v>157</v>
      </c>
      <c r="R716" s="34"/>
      <c r="S716" s="38"/>
      <c r="T716" s="38" t="s">
        <v>12690</v>
      </c>
    </row>
    <row r="717" spans="1:20" x14ac:dyDescent="0.25">
      <c r="A717" s="33" t="s">
        <v>4406</v>
      </c>
      <c r="B717" s="33" t="s">
        <v>4405</v>
      </c>
      <c r="C717" s="33" t="s">
        <v>13</v>
      </c>
      <c r="D717" s="33" t="s">
        <v>354</v>
      </c>
      <c r="E717" s="33">
        <v>2020</v>
      </c>
      <c r="F717" s="33">
        <v>160</v>
      </c>
      <c r="G717" s="34"/>
      <c r="H717" s="34"/>
      <c r="I717" s="33" t="s">
        <v>355</v>
      </c>
      <c r="J717" s="33">
        <v>2020</v>
      </c>
      <c r="K717" s="34"/>
      <c r="L717" s="34"/>
      <c r="M717" s="33" t="s">
        <v>65</v>
      </c>
      <c r="N717" s="37" t="s">
        <v>4407</v>
      </c>
      <c r="O717" s="33" t="s">
        <v>4408</v>
      </c>
      <c r="P717" s="33" t="s">
        <v>4409</v>
      </c>
      <c r="Q717" s="33" t="s">
        <v>3118</v>
      </c>
      <c r="R717" s="34"/>
      <c r="S717" s="38"/>
      <c r="T717" s="38" t="s">
        <v>12690</v>
      </c>
    </row>
    <row r="718" spans="1:20" x14ac:dyDescent="0.25">
      <c r="A718" s="33" t="s">
        <v>2093</v>
      </c>
      <c r="B718" s="33" t="s">
        <v>2092</v>
      </c>
      <c r="C718" s="33" t="s">
        <v>141</v>
      </c>
      <c r="D718" s="34"/>
      <c r="E718" s="33">
        <v>2021</v>
      </c>
      <c r="F718" s="34"/>
      <c r="G718" s="34"/>
      <c r="H718" s="33" t="s">
        <v>533</v>
      </c>
      <c r="I718" s="33" t="s">
        <v>153</v>
      </c>
      <c r="J718" s="33">
        <v>2021</v>
      </c>
      <c r="K718" s="33">
        <v>9781450386807</v>
      </c>
      <c r="L718" s="34"/>
      <c r="M718" s="34"/>
      <c r="N718" s="37" t="s">
        <v>2094</v>
      </c>
      <c r="O718" s="33" t="s">
        <v>2095</v>
      </c>
      <c r="P718" s="33" t="s">
        <v>2096</v>
      </c>
      <c r="Q718" s="33" t="s">
        <v>2097</v>
      </c>
      <c r="R718" s="34"/>
      <c r="S718" s="38"/>
      <c r="T718" s="38" t="s">
        <v>12690</v>
      </c>
    </row>
    <row r="719" spans="1:20" x14ac:dyDescent="0.25">
      <c r="A719" s="33" t="s">
        <v>2279</v>
      </c>
      <c r="B719" s="33" t="s">
        <v>2278</v>
      </c>
      <c r="C719" s="33" t="s">
        <v>13</v>
      </c>
      <c r="D719" s="33" t="s">
        <v>2280</v>
      </c>
      <c r="E719" s="33">
        <v>2021</v>
      </c>
      <c r="F719" s="33">
        <v>14</v>
      </c>
      <c r="G719" s="42">
        <v>44989</v>
      </c>
      <c r="H719" s="33" t="s">
        <v>2281</v>
      </c>
      <c r="I719" s="33" t="s">
        <v>137</v>
      </c>
      <c r="J719" s="33">
        <v>2021</v>
      </c>
      <c r="K719" s="34"/>
      <c r="L719" s="34"/>
      <c r="M719" s="33" t="s">
        <v>2282</v>
      </c>
      <c r="N719" s="37" t="s">
        <v>2283</v>
      </c>
      <c r="O719" s="33" t="s">
        <v>2284</v>
      </c>
      <c r="P719" s="33" t="s">
        <v>2285</v>
      </c>
      <c r="Q719" s="33" t="s">
        <v>2286</v>
      </c>
      <c r="R719" s="34"/>
      <c r="S719" s="38"/>
      <c r="T719" s="38" t="s">
        <v>12690</v>
      </c>
    </row>
    <row r="720" spans="1:20" x14ac:dyDescent="0.25">
      <c r="A720" s="39" t="s">
        <v>10384</v>
      </c>
      <c r="B720" s="39" t="s">
        <v>10008</v>
      </c>
      <c r="C720" s="39" t="s">
        <v>9539</v>
      </c>
      <c r="D720" s="36"/>
      <c r="E720" s="39">
        <v>2022</v>
      </c>
      <c r="F720" s="40"/>
      <c r="G720" s="40"/>
      <c r="H720" s="36"/>
      <c r="I720" s="39" t="s">
        <v>9403</v>
      </c>
      <c r="J720" s="36"/>
      <c r="K720" s="36"/>
      <c r="L720" s="36"/>
      <c r="M720" s="34"/>
      <c r="N720" s="41" t="s">
        <v>10386</v>
      </c>
      <c r="O720" s="39" t="s">
        <v>10385</v>
      </c>
      <c r="P720" s="33"/>
      <c r="Q720" s="36"/>
      <c r="R720" s="34"/>
      <c r="S720" s="38"/>
      <c r="T720" s="38" t="s">
        <v>12689</v>
      </c>
    </row>
    <row r="721" spans="1:20" x14ac:dyDescent="0.25">
      <c r="A721" s="39" t="s">
        <v>9726</v>
      </c>
      <c r="B721" s="39" t="s">
        <v>9728</v>
      </c>
      <c r="C721" s="39" t="s">
        <v>539</v>
      </c>
      <c r="D721" s="36"/>
      <c r="E721" s="39">
        <v>2023</v>
      </c>
      <c r="F721" s="40"/>
      <c r="G721" s="40"/>
      <c r="H721" s="36"/>
      <c r="I721" s="39" t="s">
        <v>676</v>
      </c>
      <c r="J721" s="36"/>
      <c r="K721" s="36"/>
      <c r="L721" s="36"/>
      <c r="M721" s="34"/>
      <c r="N721" s="41" t="s">
        <v>9729</v>
      </c>
      <c r="O721" s="39" t="s">
        <v>9727</v>
      </c>
      <c r="P721" s="33"/>
      <c r="Q721" s="36"/>
      <c r="R721" s="34"/>
      <c r="S721" s="38"/>
      <c r="T721" s="38" t="s">
        <v>12689</v>
      </c>
    </row>
    <row r="722" spans="1:20" x14ac:dyDescent="0.25">
      <c r="A722" s="33" t="s">
        <v>8942</v>
      </c>
      <c r="B722" s="33" t="s">
        <v>8941</v>
      </c>
      <c r="C722" s="33" t="s">
        <v>13</v>
      </c>
      <c r="D722" s="33" t="s">
        <v>8482</v>
      </c>
      <c r="E722" s="33">
        <v>2021</v>
      </c>
      <c r="F722" s="33">
        <v>105</v>
      </c>
      <c r="G722" s="36"/>
      <c r="H722" s="33">
        <v>102258</v>
      </c>
      <c r="I722" s="36"/>
      <c r="J722" s="33">
        <v>2021</v>
      </c>
      <c r="K722" s="34"/>
      <c r="L722" s="34"/>
      <c r="M722" s="33" t="s">
        <v>8483</v>
      </c>
      <c r="N722" s="37" t="s">
        <v>8943</v>
      </c>
      <c r="O722" s="33" t="s">
        <v>8944</v>
      </c>
      <c r="P722" s="33" t="s">
        <v>8945</v>
      </c>
      <c r="Q722" s="36"/>
      <c r="R722" s="36"/>
      <c r="S722" s="33" t="s">
        <v>8946</v>
      </c>
      <c r="T722" s="38" t="s">
        <v>12693</v>
      </c>
    </row>
    <row r="723" spans="1:20" x14ac:dyDescent="0.25">
      <c r="A723" s="33" t="s">
        <v>8223</v>
      </c>
      <c r="B723" s="33" t="s">
        <v>8222</v>
      </c>
      <c r="C723" s="33" t="s">
        <v>13</v>
      </c>
      <c r="D723" s="33" t="s">
        <v>8223</v>
      </c>
      <c r="E723" s="33">
        <v>2022</v>
      </c>
      <c r="F723" s="34"/>
      <c r="G723" s="34"/>
      <c r="H723" s="33" t="s">
        <v>8224</v>
      </c>
      <c r="I723" s="34"/>
      <c r="J723" s="35">
        <v>44866</v>
      </c>
      <c r="K723" s="34"/>
      <c r="L723" s="36"/>
      <c r="M723" s="34"/>
      <c r="N723" s="34"/>
      <c r="O723" s="34"/>
      <c r="P723" s="33" t="s">
        <v>8225</v>
      </c>
      <c r="Q723" s="36"/>
      <c r="R723" s="36"/>
      <c r="S723" s="33" t="s">
        <v>8226</v>
      </c>
      <c r="T723" s="38" t="s">
        <v>12688</v>
      </c>
    </row>
    <row r="724" spans="1:20" x14ac:dyDescent="0.25">
      <c r="A724" s="33" t="s">
        <v>5320</v>
      </c>
      <c r="B724" s="33" t="s">
        <v>5319</v>
      </c>
      <c r="C724" s="33" t="s">
        <v>141</v>
      </c>
      <c r="D724" s="34"/>
      <c r="E724" s="33">
        <v>2017</v>
      </c>
      <c r="F724" s="34"/>
      <c r="G724" s="34"/>
      <c r="H724" s="33" t="s">
        <v>5321</v>
      </c>
      <c r="I724" s="33" t="s">
        <v>257</v>
      </c>
      <c r="J724" s="33">
        <v>2017</v>
      </c>
      <c r="K724" s="33">
        <v>9781538626757</v>
      </c>
      <c r="L724" s="34"/>
      <c r="M724" s="34"/>
      <c r="N724" s="37" t="s">
        <v>5322</v>
      </c>
      <c r="O724" s="33" t="s">
        <v>5323</v>
      </c>
      <c r="P724" s="33" t="s">
        <v>5324</v>
      </c>
      <c r="Q724" s="33" t="s">
        <v>1656</v>
      </c>
      <c r="R724" s="34"/>
      <c r="S724" s="38"/>
      <c r="T724" s="38" t="s">
        <v>12690</v>
      </c>
    </row>
    <row r="725" spans="1:20" x14ac:dyDescent="0.25">
      <c r="A725" s="33" t="s">
        <v>11983</v>
      </c>
      <c r="B725" s="33" t="s">
        <v>11982</v>
      </c>
      <c r="C725" s="33" t="s">
        <v>141</v>
      </c>
      <c r="D725" s="34"/>
      <c r="E725" s="33">
        <v>2018</v>
      </c>
      <c r="F725" s="34"/>
      <c r="G725" s="34"/>
      <c r="H725" s="33" t="s">
        <v>11984</v>
      </c>
      <c r="I725" s="44" t="s">
        <v>12752</v>
      </c>
      <c r="J725" s="33">
        <v>2018</v>
      </c>
      <c r="K725" s="33">
        <v>9781450355735</v>
      </c>
      <c r="L725" s="33" t="s">
        <v>11936</v>
      </c>
      <c r="M725" s="34"/>
      <c r="N725" s="37" t="s">
        <v>11985</v>
      </c>
      <c r="O725" s="33" t="s">
        <v>11986</v>
      </c>
      <c r="P725" s="33" t="s">
        <v>11987</v>
      </c>
      <c r="Q725" s="36"/>
      <c r="R725" s="36"/>
      <c r="S725" s="33" t="s">
        <v>11988</v>
      </c>
      <c r="T725" s="33" t="s">
        <v>12692</v>
      </c>
    </row>
    <row r="726" spans="1:20" x14ac:dyDescent="0.25">
      <c r="A726" s="33" t="s">
        <v>5904</v>
      </c>
      <c r="B726" s="33" t="s">
        <v>5903</v>
      </c>
      <c r="C726" s="33" t="s">
        <v>13</v>
      </c>
      <c r="D726" s="33" t="s">
        <v>5905</v>
      </c>
      <c r="E726" s="33">
        <v>2018</v>
      </c>
      <c r="F726" s="33">
        <v>11</v>
      </c>
      <c r="G726" s="33">
        <v>2</v>
      </c>
      <c r="H726" s="33" t="s">
        <v>5906</v>
      </c>
      <c r="I726" s="33" t="s">
        <v>5907</v>
      </c>
      <c r="J726" s="33">
        <v>2018</v>
      </c>
      <c r="K726" s="34"/>
      <c r="L726" s="34"/>
      <c r="M726" s="33" t="s">
        <v>5908</v>
      </c>
      <c r="N726" s="37" t="s">
        <v>5909</v>
      </c>
      <c r="O726" s="34"/>
      <c r="P726" s="33" t="s">
        <v>5910</v>
      </c>
      <c r="Q726" s="33" t="s">
        <v>185</v>
      </c>
      <c r="R726" s="34"/>
      <c r="S726" s="38"/>
      <c r="T726" s="38" t="s">
        <v>12690</v>
      </c>
    </row>
    <row r="727" spans="1:20" x14ac:dyDescent="0.25">
      <c r="A727" s="39" t="s">
        <v>10502</v>
      </c>
      <c r="B727" s="39" t="s">
        <v>10504</v>
      </c>
      <c r="C727" s="39" t="s">
        <v>9539</v>
      </c>
      <c r="D727" s="36"/>
      <c r="E727" s="39">
        <v>2023</v>
      </c>
      <c r="F727" s="40"/>
      <c r="G727" s="40"/>
      <c r="H727" s="36"/>
      <c r="I727" s="39" t="s">
        <v>9487</v>
      </c>
      <c r="J727" s="36"/>
      <c r="K727" s="36"/>
      <c r="L727" s="36"/>
      <c r="M727" s="34"/>
      <c r="N727" s="41" t="s">
        <v>10505</v>
      </c>
      <c r="O727" s="39" t="s">
        <v>10503</v>
      </c>
      <c r="P727" s="33"/>
      <c r="Q727" s="36"/>
      <c r="R727" s="34"/>
      <c r="S727" s="38"/>
      <c r="T727" s="38" t="s">
        <v>12689</v>
      </c>
    </row>
    <row r="728" spans="1:20" x14ac:dyDescent="0.25">
      <c r="A728" s="33" t="s">
        <v>6327</v>
      </c>
      <c r="B728" s="33" t="s">
        <v>2924</v>
      </c>
      <c r="C728" s="33" t="s">
        <v>141</v>
      </c>
      <c r="D728" s="34"/>
      <c r="E728" s="33">
        <v>2021</v>
      </c>
      <c r="F728" s="34"/>
      <c r="G728" s="34"/>
      <c r="H728" s="33" t="s">
        <v>6328</v>
      </c>
      <c r="I728" s="33" t="s">
        <v>6329</v>
      </c>
      <c r="J728" s="43">
        <v>44317</v>
      </c>
      <c r="K728" s="36"/>
      <c r="L728" s="36"/>
      <c r="M728" s="33" t="s">
        <v>6152</v>
      </c>
      <c r="N728" s="37" t="s">
        <v>6330</v>
      </c>
      <c r="O728" s="33" t="s">
        <v>2928</v>
      </c>
      <c r="P728" s="33" t="s">
        <v>6331</v>
      </c>
      <c r="Q728" s="36"/>
      <c r="R728" s="36"/>
      <c r="S728" s="33" t="s">
        <v>6332</v>
      </c>
      <c r="T728" s="38" t="s">
        <v>12688</v>
      </c>
    </row>
    <row r="729" spans="1:20" x14ac:dyDescent="0.25">
      <c r="A729" s="33" t="s">
        <v>6327</v>
      </c>
      <c r="B729" s="33" t="s">
        <v>2924</v>
      </c>
      <c r="C729" s="33" t="s">
        <v>141</v>
      </c>
      <c r="D729" s="34"/>
      <c r="E729" s="33">
        <v>2021</v>
      </c>
      <c r="F729" s="34"/>
      <c r="G729" s="34"/>
      <c r="H729" s="33" t="s">
        <v>2926</v>
      </c>
      <c r="I729" s="33" t="s">
        <v>257</v>
      </c>
      <c r="J729" s="33">
        <v>2021</v>
      </c>
      <c r="K729" s="33">
        <v>9781728187105</v>
      </c>
      <c r="L729" s="34"/>
      <c r="M729" s="34"/>
      <c r="N729" s="37" t="s">
        <v>2927</v>
      </c>
      <c r="O729" s="33" t="s">
        <v>2928</v>
      </c>
      <c r="P729" s="33" t="s">
        <v>2929</v>
      </c>
      <c r="Q729" s="33" t="s">
        <v>1404</v>
      </c>
      <c r="R729" s="34"/>
      <c r="S729" s="38"/>
      <c r="T729" s="38" t="s">
        <v>12690</v>
      </c>
    </row>
    <row r="730" spans="1:20" x14ac:dyDescent="0.25">
      <c r="A730" s="33" t="s">
        <v>735</v>
      </c>
      <c r="B730" s="33" t="s">
        <v>734</v>
      </c>
      <c r="C730" s="33" t="s">
        <v>13</v>
      </c>
      <c r="D730" s="33" t="s">
        <v>736</v>
      </c>
      <c r="E730" s="33">
        <v>2023</v>
      </c>
      <c r="F730" s="34"/>
      <c r="G730" s="34"/>
      <c r="H730" s="34"/>
      <c r="I730" s="33" t="s">
        <v>212</v>
      </c>
      <c r="J730" s="33">
        <v>2023</v>
      </c>
      <c r="K730" s="34"/>
      <c r="L730" s="34"/>
      <c r="M730" s="33" t="s">
        <v>737</v>
      </c>
      <c r="N730" s="37" t="s">
        <v>738</v>
      </c>
      <c r="O730" s="33" t="s">
        <v>739</v>
      </c>
      <c r="P730" s="33" t="s">
        <v>740</v>
      </c>
      <c r="Q730" s="33" t="s">
        <v>404</v>
      </c>
      <c r="R730" s="34"/>
      <c r="S730" s="38"/>
      <c r="T730" s="38" t="s">
        <v>12690</v>
      </c>
    </row>
    <row r="731" spans="1:20" x14ac:dyDescent="0.25">
      <c r="A731" s="39" t="s">
        <v>10923</v>
      </c>
      <c r="B731" s="39" t="s">
        <v>10925</v>
      </c>
      <c r="C731" s="39" t="s">
        <v>539</v>
      </c>
      <c r="D731" s="36"/>
      <c r="E731" s="39">
        <v>2021</v>
      </c>
      <c r="F731" s="40"/>
      <c r="G731" s="40"/>
      <c r="H731" s="36"/>
      <c r="I731" s="40"/>
      <c r="J731" s="36"/>
      <c r="K731" s="36"/>
      <c r="L731" s="36"/>
      <c r="M731" s="34"/>
      <c r="N731" s="41" t="s">
        <v>10926</v>
      </c>
      <c r="O731" s="39" t="s">
        <v>10924</v>
      </c>
      <c r="P731" s="33"/>
      <c r="Q731" s="36"/>
      <c r="R731" s="34"/>
      <c r="S731" s="38"/>
      <c r="T731" s="38" t="s">
        <v>12689</v>
      </c>
    </row>
    <row r="732" spans="1:20" x14ac:dyDescent="0.25">
      <c r="A732" s="33" t="s">
        <v>11728</v>
      </c>
      <c r="B732" s="33" t="s">
        <v>11727</v>
      </c>
      <c r="C732" s="33" t="s">
        <v>141</v>
      </c>
      <c r="D732" s="34"/>
      <c r="E732" s="33">
        <v>2023</v>
      </c>
      <c r="F732" s="34"/>
      <c r="G732" s="34"/>
      <c r="H732" s="34"/>
      <c r="I732" s="44" t="s">
        <v>12753</v>
      </c>
      <c r="J732" s="33">
        <v>2023</v>
      </c>
      <c r="K732" s="33">
        <v>9781450394758</v>
      </c>
      <c r="L732" s="33" t="s">
        <v>11733</v>
      </c>
      <c r="M732" s="34"/>
      <c r="N732" s="37" t="s">
        <v>11730</v>
      </c>
      <c r="O732" s="33" t="s">
        <v>11731</v>
      </c>
      <c r="P732" s="33" t="s">
        <v>11732</v>
      </c>
      <c r="Q732" s="36"/>
      <c r="R732" s="36"/>
      <c r="S732" s="34"/>
      <c r="T732" s="33" t="s">
        <v>12692</v>
      </c>
    </row>
    <row r="733" spans="1:20" x14ac:dyDescent="0.25">
      <c r="A733" s="33" t="s">
        <v>5534</v>
      </c>
      <c r="B733" s="33" t="s">
        <v>5533</v>
      </c>
      <c r="C733" s="33" t="s">
        <v>141</v>
      </c>
      <c r="D733" s="34"/>
      <c r="E733" s="33">
        <v>2017</v>
      </c>
      <c r="F733" s="33" t="s">
        <v>5535</v>
      </c>
      <c r="G733" s="34"/>
      <c r="H733" s="33" t="s">
        <v>5536</v>
      </c>
      <c r="I733" s="33" t="s">
        <v>145</v>
      </c>
      <c r="J733" s="33">
        <v>2017</v>
      </c>
      <c r="K733" s="33">
        <v>9781450341974</v>
      </c>
      <c r="L733" s="34"/>
      <c r="M733" s="33" t="s">
        <v>3308</v>
      </c>
      <c r="N733" s="37" t="s">
        <v>5537</v>
      </c>
      <c r="O733" s="33" t="s">
        <v>5538</v>
      </c>
      <c r="P733" s="33" t="s">
        <v>5539</v>
      </c>
      <c r="Q733" s="33" t="s">
        <v>5540</v>
      </c>
      <c r="R733" s="34"/>
      <c r="S733" s="38"/>
      <c r="T733" s="38" t="s">
        <v>12690</v>
      </c>
    </row>
    <row r="734" spans="1:20" x14ac:dyDescent="0.25">
      <c r="A734" s="33" t="s">
        <v>254</v>
      </c>
      <c r="B734" s="33" t="s">
        <v>253</v>
      </c>
      <c r="C734" s="33" t="s">
        <v>13</v>
      </c>
      <c r="D734" s="33" t="s">
        <v>255</v>
      </c>
      <c r="E734" s="33">
        <v>2022</v>
      </c>
      <c r="F734" s="33">
        <v>48</v>
      </c>
      <c r="G734" s="33">
        <v>7</v>
      </c>
      <c r="H734" s="33" t="s">
        <v>256</v>
      </c>
      <c r="I734" s="33" t="s">
        <v>257</v>
      </c>
      <c r="J734" s="33">
        <v>2022</v>
      </c>
      <c r="K734" s="34"/>
      <c r="L734" s="34"/>
      <c r="M734" s="33" t="s">
        <v>18</v>
      </c>
      <c r="N734" s="37" t="s">
        <v>258</v>
      </c>
      <c r="O734" s="33" t="s">
        <v>259</v>
      </c>
      <c r="P734" s="33" t="s">
        <v>260</v>
      </c>
      <c r="Q734" s="33" t="s">
        <v>261</v>
      </c>
      <c r="R734" s="34"/>
      <c r="S734" s="38"/>
      <c r="T734" s="38" t="s">
        <v>12690</v>
      </c>
    </row>
    <row r="735" spans="1:20" x14ac:dyDescent="0.25">
      <c r="A735" s="39" t="s">
        <v>9491</v>
      </c>
      <c r="B735" s="39" t="s">
        <v>9493</v>
      </c>
      <c r="C735" s="39" t="s">
        <v>539</v>
      </c>
      <c r="D735" s="36"/>
      <c r="E735" s="39">
        <v>2020</v>
      </c>
      <c r="F735" s="40"/>
      <c r="G735" s="40"/>
      <c r="H735" s="36"/>
      <c r="I735" s="39" t="s">
        <v>462</v>
      </c>
      <c r="J735" s="36"/>
      <c r="K735" s="36"/>
      <c r="L735" s="36"/>
      <c r="M735" s="34"/>
      <c r="N735" s="41" t="s">
        <v>9494</v>
      </c>
      <c r="O735" s="39" t="s">
        <v>9492</v>
      </c>
      <c r="P735" s="33"/>
      <c r="Q735" s="36"/>
      <c r="R735" s="34"/>
      <c r="S735" s="38"/>
      <c r="T735" s="38" t="s">
        <v>12689</v>
      </c>
    </row>
    <row r="736" spans="1:20" x14ac:dyDescent="0.25">
      <c r="A736" s="33" t="s">
        <v>1490</v>
      </c>
      <c r="B736" s="33" t="s">
        <v>1489</v>
      </c>
      <c r="C736" s="33" t="s">
        <v>141</v>
      </c>
      <c r="D736" s="34"/>
      <c r="E736" s="33">
        <v>2022</v>
      </c>
      <c r="F736" s="34"/>
      <c r="G736" s="34"/>
      <c r="H736" s="33" t="s">
        <v>1491</v>
      </c>
      <c r="I736" s="33" t="s">
        <v>257</v>
      </c>
      <c r="J736" s="33">
        <v>2022</v>
      </c>
      <c r="K736" s="33">
        <v>9781665483131</v>
      </c>
      <c r="L736" s="34"/>
      <c r="M736" s="34"/>
      <c r="N736" s="37" t="s">
        <v>1492</v>
      </c>
      <c r="O736" s="33" t="s">
        <v>1493</v>
      </c>
      <c r="P736" s="33" t="s">
        <v>1494</v>
      </c>
      <c r="Q736" s="33" t="s">
        <v>157</v>
      </c>
      <c r="R736" s="34"/>
      <c r="S736" s="38"/>
      <c r="T736" s="38" t="s">
        <v>12690</v>
      </c>
    </row>
    <row r="737" spans="1:20" x14ac:dyDescent="0.25">
      <c r="A737" s="33" t="s">
        <v>1490</v>
      </c>
      <c r="B737" s="33" t="s">
        <v>7966</v>
      </c>
      <c r="C737" s="33" t="s">
        <v>141</v>
      </c>
      <c r="D737" s="34"/>
      <c r="E737" s="33">
        <v>2022</v>
      </c>
      <c r="F737" s="34"/>
      <c r="G737" s="34"/>
      <c r="H737" s="33" t="s">
        <v>7967</v>
      </c>
      <c r="I737" s="33" t="s">
        <v>7968</v>
      </c>
      <c r="J737" s="43">
        <v>44652</v>
      </c>
      <c r="K737" s="36"/>
      <c r="L737" s="36"/>
      <c r="M737" s="34"/>
      <c r="N737" s="37" t="s">
        <v>7969</v>
      </c>
      <c r="O737" s="33" t="s">
        <v>1493</v>
      </c>
      <c r="P737" s="33" t="s">
        <v>7970</v>
      </c>
      <c r="Q737" s="36"/>
      <c r="R737" s="36"/>
      <c r="S737" s="33" t="s">
        <v>7971</v>
      </c>
      <c r="T737" s="38" t="s">
        <v>12688</v>
      </c>
    </row>
    <row r="738" spans="1:20" x14ac:dyDescent="0.25">
      <c r="A738" s="33" t="s">
        <v>6879</v>
      </c>
      <c r="B738" s="33" t="s">
        <v>6878</v>
      </c>
      <c r="C738" s="33" t="s">
        <v>13</v>
      </c>
      <c r="D738" s="33" t="s">
        <v>4637</v>
      </c>
      <c r="E738" s="33">
        <v>2019</v>
      </c>
      <c r="F738" s="33">
        <v>36</v>
      </c>
      <c r="G738" s="33">
        <v>6</v>
      </c>
      <c r="H738" s="33" t="s">
        <v>6880</v>
      </c>
      <c r="I738" s="34"/>
      <c r="J738" s="35">
        <v>43770</v>
      </c>
      <c r="K738" s="36"/>
      <c r="L738" s="36"/>
      <c r="M738" s="33" t="s">
        <v>6207</v>
      </c>
      <c r="N738" s="37" t="s">
        <v>6881</v>
      </c>
      <c r="O738" s="33" t="s">
        <v>6882</v>
      </c>
      <c r="P738" s="33" t="s">
        <v>6883</v>
      </c>
      <c r="Q738" s="36"/>
      <c r="R738" s="36"/>
      <c r="S738" s="33" t="s">
        <v>6884</v>
      </c>
      <c r="T738" s="38" t="s">
        <v>12688</v>
      </c>
    </row>
    <row r="739" spans="1:20" x14ac:dyDescent="0.25">
      <c r="A739" s="33" t="s">
        <v>1664</v>
      </c>
      <c r="B739" s="33" t="s">
        <v>7296</v>
      </c>
      <c r="C739" s="33" t="s">
        <v>141</v>
      </c>
      <c r="D739" s="34"/>
      <c r="E739" s="33">
        <v>2022</v>
      </c>
      <c r="F739" s="34"/>
      <c r="G739" s="34"/>
      <c r="H739" s="33" t="s">
        <v>11837</v>
      </c>
      <c r="I739" s="44" t="s">
        <v>12745</v>
      </c>
      <c r="J739" s="33">
        <v>2022</v>
      </c>
      <c r="K739" s="33">
        <v>9781450392754</v>
      </c>
      <c r="L739" s="33" t="s">
        <v>11323</v>
      </c>
      <c r="M739" s="34"/>
      <c r="N739" s="37" t="s">
        <v>11838</v>
      </c>
      <c r="O739" s="33" t="s">
        <v>1667</v>
      </c>
      <c r="P739" s="33" t="s">
        <v>7299</v>
      </c>
      <c r="Q739" s="36"/>
      <c r="R739" s="36"/>
      <c r="S739" s="34"/>
      <c r="T739" s="33" t="s">
        <v>12692</v>
      </c>
    </row>
    <row r="740" spans="1:20" x14ac:dyDescent="0.25">
      <c r="A740" s="33" t="s">
        <v>1664</v>
      </c>
      <c r="B740" s="33" t="s">
        <v>7296</v>
      </c>
      <c r="C740" s="33" t="s">
        <v>141</v>
      </c>
      <c r="D740" s="34"/>
      <c r="E740" s="33">
        <v>2022</v>
      </c>
      <c r="F740" s="34"/>
      <c r="G740" s="34"/>
      <c r="H740" s="33" t="s">
        <v>7297</v>
      </c>
      <c r="I740" s="33" t="s">
        <v>6269</v>
      </c>
      <c r="J740" s="43">
        <v>44682</v>
      </c>
      <c r="K740" s="36"/>
      <c r="L740" s="36"/>
      <c r="M740" s="34"/>
      <c r="N740" s="37" t="s">
        <v>7298</v>
      </c>
      <c r="O740" s="33" t="s">
        <v>1667</v>
      </c>
      <c r="P740" s="33" t="s">
        <v>7299</v>
      </c>
      <c r="Q740" s="36"/>
      <c r="R740" s="36"/>
      <c r="S740" s="33" t="s">
        <v>7300</v>
      </c>
      <c r="T740" s="38" t="s">
        <v>12688</v>
      </c>
    </row>
    <row r="741" spans="1:20" x14ac:dyDescent="0.25">
      <c r="A741" s="33" t="s">
        <v>1664</v>
      </c>
      <c r="B741" s="33" t="s">
        <v>1663</v>
      </c>
      <c r="C741" s="33" t="s">
        <v>141</v>
      </c>
      <c r="D741" s="34"/>
      <c r="E741" s="33">
        <v>2022</v>
      </c>
      <c r="F741" s="34"/>
      <c r="G741" s="34"/>
      <c r="H741" s="33" t="s">
        <v>1665</v>
      </c>
      <c r="I741" s="33" t="s">
        <v>257</v>
      </c>
      <c r="J741" s="33">
        <v>2022</v>
      </c>
      <c r="K741" s="33">
        <v>9781450392754</v>
      </c>
      <c r="L741" s="34"/>
      <c r="M741" s="34"/>
      <c r="N741" s="37" t="s">
        <v>1666</v>
      </c>
      <c r="O741" s="33" t="s">
        <v>1667</v>
      </c>
      <c r="P741" s="33" t="s">
        <v>1668</v>
      </c>
      <c r="Q741" s="33" t="s">
        <v>999</v>
      </c>
      <c r="R741" s="34"/>
      <c r="S741" s="38"/>
      <c r="T741" s="38" t="s">
        <v>12690</v>
      </c>
    </row>
    <row r="742" spans="1:20" x14ac:dyDescent="0.25">
      <c r="A742" s="33" t="s">
        <v>11822</v>
      </c>
      <c r="B742" s="33" t="s">
        <v>2386</v>
      </c>
      <c r="C742" s="33" t="s">
        <v>141</v>
      </c>
      <c r="D742" s="34"/>
      <c r="E742" s="33">
        <v>2022</v>
      </c>
      <c r="F742" s="34"/>
      <c r="G742" s="34"/>
      <c r="H742" s="33" t="s">
        <v>11823</v>
      </c>
      <c r="I742" s="44" t="s">
        <v>12745</v>
      </c>
      <c r="J742" s="33">
        <v>2022</v>
      </c>
      <c r="K742" s="33">
        <v>9781450392754</v>
      </c>
      <c r="L742" s="33" t="s">
        <v>11323</v>
      </c>
      <c r="M742" s="34"/>
      <c r="N742" s="37" t="s">
        <v>11824</v>
      </c>
      <c r="O742" s="33" t="s">
        <v>2390</v>
      </c>
      <c r="P742" s="33" t="s">
        <v>11825</v>
      </c>
      <c r="Q742" s="36"/>
      <c r="R742" s="36"/>
      <c r="S742" s="34"/>
      <c r="T742" s="33" t="s">
        <v>12692</v>
      </c>
    </row>
    <row r="743" spans="1:20" x14ac:dyDescent="0.25">
      <c r="A743" s="33" t="s">
        <v>11822</v>
      </c>
      <c r="B743" s="33" t="s">
        <v>2386</v>
      </c>
      <c r="C743" s="33" t="s">
        <v>141</v>
      </c>
      <c r="D743" s="34"/>
      <c r="E743" s="33">
        <v>2022</v>
      </c>
      <c r="F743" s="34"/>
      <c r="G743" s="34"/>
      <c r="H743" s="33" t="s">
        <v>6859</v>
      </c>
      <c r="I743" s="33" t="s">
        <v>6269</v>
      </c>
      <c r="J743" s="43">
        <v>44682</v>
      </c>
      <c r="K743" s="36"/>
      <c r="L743" s="36"/>
      <c r="M743" s="34"/>
      <c r="N743" s="37" t="s">
        <v>6860</v>
      </c>
      <c r="O743" s="33" t="s">
        <v>2390</v>
      </c>
      <c r="P743" s="33" t="s">
        <v>6861</v>
      </c>
      <c r="Q743" s="36"/>
      <c r="R743" s="36"/>
      <c r="S743" s="33" t="s">
        <v>6862</v>
      </c>
      <c r="T743" s="38" t="s">
        <v>12688</v>
      </c>
    </row>
    <row r="744" spans="1:20" x14ac:dyDescent="0.25">
      <c r="A744" s="33" t="s">
        <v>11822</v>
      </c>
      <c r="B744" s="33" t="s">
        <v>2386</v>
      </c>
      <c r="C744" s="33" t="s">
        <v>141</v>
      </c>
      <c r="D744" s="34"/>
      <c r="E744" s="33">
        <v>2022</v>
      </c>
      <c r="F744" s="34"/>
      <c r="G744" s="34"/>
      <c r="H744" s="33" t="s">
        <v>2388</v>
      </c>
      <c r="I744" s="33" t="s">
        <v>257</v>
      </c>
      <c r="J744" s="33">
        <v>2022</v>
      </c>
      <c r="K744" s="33">
        <v>9781450392754</v>
      </c>
      <c r="L744" s="34"/>
      <c r="M744" s="34"/>
      <c r="N744" s="37" t="s">
        <v>2389</v>
      </c>
      <c r="O744" s="33" t="s">
        <v>2390</v>
      </c>
      <c r="P744" s="33" t="s">
        <v>2391</v>
      </c>
      <c r="Q744" s="33" t="s">
        <v>2392</v>
      </c>
      <c r="R744" s="34"/>
      <c r="S744" s="38"/>
      <c r="T744" s="38" t="s">
        <v>12690</v>
      </c>
    </row>
    <row r="745" spans="1:20" x14ac:dyDescent="0.25">
      <c r="A745" s="39" t="s">
        <v>9495</v>
      </c>
      <c r="B745" s="39" t="s">
        <v>9497</v>
      </c>
      <c r="C745" s="39" t="s">
        <v>539</v>
      </c>
      <c r="D745" s="36"/>
      <c r="E745" s="39">
        <v>2020</v>
      </c>
      <c r="F745" s="40"/>
      <c r="G745" s="40"/>
      <c r="H745" s="36"/>
      <c r="I745" s="40"/>
      <c r="J745" s="36"/>
      <c r="K745" s="36"/>
      <c r="L745" s="36"/>
      <c r="M745" s="34"/>
      <c r="N745" s="41" t="s">
        <v>9498</v>
      </c>
      <c r="O745" s="39" t="s">
        <v>9496</v>
      </c>
      <c r="P745" s="33"/>
      <c r="Q745" s="36"/>
      <c r="R745" s="34"/>
      <c r="S745" s="38"/>
      <c r="T745" s="38" t="s">
        <v>12689</v>
      </c>
    </row>
    <row r="746" spans="1:20" x14ac:dyDescent="0.25">
      <c r="A746" s="39" t="s">
        <v>10402</v>
      </c>
      <c r="B746" s="39" t="s">
        <v>10404</v>
      </c>
      <c r="C746" s="39" t="s">
        <v>9539</v>
      </c>
      <c r="D746" s="36"/>
      <c r="E746" s="39">
        <v>2018</v>
      </c>
      <c r="F746" s="40"/>
      <c r="G746" s="40"/>
      <c r="H746" s="36"/>
      <c r="I746" s="39" t="s">
        <v>9335</v>
      </c>
      <c r="J746" s="36"/>
      <c r="K746" s="36"/>
      <c r="L746" s="36"/>
      <c r="M746" s="34"/>
      <c r="N746" s="41" t="s">
        <v>10405</v>
      </c>
      <c r="O746" s="39" t="s">
        <v>10403</v>
      </c>
      <c r="P746" s="33"/>
      <c r="Q746" s="36"/>
      <c r="R746" s="34"/>
      <c r="S746" s="38"/>
      <c r="T746" s="38" t="s">
        <v>12689</v>
      </c>
    </row>
    <row r="747" spans="1:20" x14ac:dyDescent="0.25">
      <c r="A747" s="39" t="s">
        <v>3616</v>
      </c>
      <c r="B747" s="39" t="s">
        <v>10271</v>
      </c>
      <c r="C747" s="39" t="s">
        <v>9478</v>
      </c>
      <c r="D747" s="36"/>
      <c r="E747" s="39">
        <v>2020</v>
      </c>
      <c r="F747" s="39">
        <v>25</v>
      </c>
      <c r="G747" s="39">
        <v>5</v>
      </c>
      <c r="H747" s="36"/>
      <c r="I747" s="39" t="s">
        <v>136</v>
      </c>
      <c r="J747" s="36"/>
      <c r="K747" s="36"/>
      <c r="L747" s="36"/>
      <c r="M747" s="34"/>
      <c r="N747" s="41" t="s">
        <v>10272</v>
      </c>
      <c r="O747" s="39" t="s">
        <v>3619</v>
      </c>
      <c r="P747" s="33"/>
      <c r="Q747" s="36"/>
      <c r="R747" s="34"/>
      <c r="S747" s="38"/>
      <c r="T747" s="38" t="s">
        <v>12689</v>
      </c>
    </row>
    <row r="748" spans="1:20" x14ac:dyDescent="0.25">
      <c r="A748" s="33" t="s">
        <v>3616</v>
      </c>
      <c r="B748" s="33" t="s">
        <v>3615</v>
      </c>
      <c r="C748" s="33" t="s">
        <v>13</v>
      </c>
      <c r="D748" s="33" t="s">
        <v>136</v>
      </c>
      <c r="E748" s="33">
        <v>2020</v>
      </c>
      <c r="F748" s="33">
        <v>25</v>
      </c>
      <c r="G748" s="33">
        <v>5</v>
      </c>
      <c r="H748" s="33" t="s">
        <v>3617</v>
      </c>
      <c r="I748" s="33" t="s">
        <v>137</v>
      </c>
      <c r="J748" s="33">
        <v>2020</v>
      </c>
      <c r="K748" s="34"/>
      <c r="L748" s="34"/>
      <c r="M748" s="33" t="s">
        <v>33</v>
      </c>
      <c r="N748" s="37" t="s">
        <v>3618</v>
      </c>
      <c r="O748" s="33" t="s">
        <v>3619</v>
      </c>
      <c r="P748" s="33" t="s">
        <v>3620</v>
      </c>
      <c r="Q748" s="33" t="s">
        <v>413</v>
      </c>
      <c r="R748" s="34"/>
      <c r="S748" s="38"/>
      <c r="T748" s="38" t="s">
        <v>12690</v>
      </c>
    </row>
    <row r="749" spans="1:20" x14ac:dyDescent="0.25">
      <c r="A749" s="33" t="s">
        <v>6213</v>
      </c>
      <c r="B749" s="33" t="s">
        <v>6212</v>
      </c>
      <c r="C749" s="33" t="s">
        <v>13</v>
      </c>
      <c r="D749" s="33" t="s">
        <v>4637</v>
      </c>
      <c r="E749" s="33">
        <v>2021</v>
      </c>
      <c r="F749" s="33">
        <v>38</v>
      </c>
      <c r="G749" s="33">
        <v>6</v>
      </c>
      <c r="H749" s="33" t="s">
        <v>6214</v>
      </c>
      <c r="I749" s="34"/>
      <c r="J749" s="35">
        <v>44501</v>
      </c>
      <c r="K749" s="36"/>
      <c r="L749" s="36"/>
      <c r="M749" s="33" t="s">
        <v>6207</v>
      </c>
      <c r="N749" s="37" t="s">
        <v>6215</v>
      </c>
      <c r="O749" s="33" t="s">
        <v>6216</v>
      </c>
      <c r="P749" s="33" t="s">
        <v>6217</v>
      </c>
      <c r="Q749" s="36"/>
      <c r="R749" s="36"/>
      <c r="S749" s="33" t="s">
        <v>6218</v>
      </c>
      <c r="T749" s="38" t="s">
        <v>12688</v>
      </c>
    </row>
    <row r="750" spans="1:20" x14ac:dyDescent="0.25">
      <c r="A750" s="39" t="s">
        <v>9801</v>
      </c>
      <c r="B750" s="39" t="s">
        <v>9803</v>
      </c>
      <c r="C750" s="39" t="s">
        <v>539</v>
      </c>
      <c r="D750" s="36"/>
      <c r="E750" s="39">
        <v>2021</v>
      </c>
      <c r="F750" s="40"/>
      <c r="G750" s="40"/>
      <c r="H750" s="36"/>
      <c r="I750" s="39" t="s">
        <v>462</v>
      </c>
      <c r="J750" s="36"/>
      <c r="K750" s="36"/>
      <c r="L750" s="36"/>
      <c r="M750" s="34"/>
      <c r="N750" s="41" t="s">
        <v>9804</v>
      </c>
      <c r="O750" s="39" t="s">
        <v>9802</v>
      </c>
      <c r="P750" s="33"/>
      <c r="Q750" s="36"/>
      <c r="R750" s="34"/>
      <c r="S750" s="38"/>
      <c r="T750" s="38" t="s">
        <v>12689</v>
      </c>
    </row>
    <row r="751" spans="1:20" x14ac:dyDescent="0.25">
      <c r="A751" s="39" t="s">
        <v>10624</v>
      </c>
      <c r="B751" s="39" t="s">
        <v>10167</v>
      </c>
      <c r="C751" s="39" t="s">
        <v>9539</v>
      </c>
      <c r="D751" s="36"/>
      <c r="E751" s="39">
        <v>2020</v>
      </c>
      <c r="F751" s="40"/>
      <c r="G751" s="40"/>
      <c r="H751" s="36"/>
      <c r="I751" s="39" t="s">
        <v>10164</v>
      </c>
      <c r="J751" s="36"/>
      <c r="K751" s="36"/>
      <c r="L751" s="36"/>
      <c r="M751" s="34"/>
      <c r="N751" s="41" t="s">
        <v>10626</v>
      </c>
      <c r="O751" s="39" t="s">
        <v>10625</v>
      </c>
      <c r="P751" s="33"/>
      <c r="Q751" s="36"/>
      <c r="R751" s="34"/>
      <c r="S751" s="38"/>
      <c r="T751" s="38" t="s">
        <v>12689</v>
      </c>
    </row>
    <row r="752" spans="1:20" x14ac:dyDescent="0.25">
      <c r="A752" s="33" t="s">
        <v>3056</v>
      </c>
      <c r="B752" s="33" t="s">
        <v>3055</v>
      </c>
      <c r="C752" s="33" t="s">
        <v>13</v>
      </c>
      <c r="D752" s="33" t="s">
        <v>8642</v>
      </c>
      <c r="E752" s="33">
        <v>2021</v>
      </c>
      <c r="F752" s="33">
        <v>192</v>
      </c>
      <c r="G752" s="36"/>
      <c r="H752" s="33" t="s">
        <v>8643</v>
      </c>
      <c r="I752" s="36"/>
      <c r="J752" s="33">
        <v>2021</v>
      </c>
      <c r="K752" s="34"/>
      <c r="L752" s="34"/>
      <c r="M752" s="33" t="s">
        <v>3058</v>
      </c>
      <c r="N752" s="37" t="s">
        <v>8644</v>
      </c>
      <c r="O752" s="33" t="s">
        <v>3060</v>
      </c>
      <c r="P752" s="33" t="s">
        <v>8645</v>
      </c>
      <c r="Q752" s="36"/>
      <c r="R752" s="36"/>
      <c r="S752" s="33" t="s">
        <v>8646</v>
      </c>
      <c r="T752" s="38" t="s">
        <v>12693</v>
      </c>
    </row>
    <row r="753" spans="1:20" x14ac:dyDescent="0.25">
      <c r="A753" s="33" t="s">
        <v>3056</v>
      </c>
      <c r="B753" s="33" t="s">
        <v>3055</v>
      </c>
      <c r="C753" s="33" t="s">
        <v>141</v>
      </c>
      <c r="D753" s="34"/>
      <c r="E753" s="33">
        <v>2021</v>
      </c>
      <c r="F753" s="33">
        <v>192</v>
      </c>
      <c r="G753" s="34"/>
      <c r="H753" s="33" t="s">
        <v>3057</v>
      </c>
      <c r="I753" s="33" t="s">
        <v>280</v>
      </c>
      <c r="J753" s="33">
        <v>2021</v>
      </c>
      <c r="K753" s="34"/>
      <c r="L753" s="34"/>
      <c r="M753" s="33" t="s">
        <v>3058</v>
      </c>
      <c r="N753" s="37" t="s">
        <v>3059</v>
      </c>
      <c r="O753" s="33" t="s">
        <v>3060</v>
      </c>
      <c r="P753" s="33" t="s">
        <v>3061</v>
      </c>
      <c r="Q753" s="33" t="s">
        <v>447</v>
      </c>
      <c r="R753" s="34"/>
      <c r="S753" s="38"/>
      <c r="T753" s="38" t="s">
        <v>12690</v>
      </c>
    </row>
    <row r="754" spans="1:20" x14ac:dyDescent="0.25">
      <c r="A754" s="33" t="s">
        <v>5046</v>
      </c>
      <c r="B754" s="33" t="s">
        <v>5045</v>
      </c>
      <c r="C754" s="33" t="s">
        <v>141</v>
      </c>
      <c r="D754" s="34"/>
      <c r="E754" s="33">
        <v>2020</v>
      </c>
      <c r="F754" s="34"/>
      <c r="G754" s="34"/>
      <c r="H754" s="33" t="s">
        <v>5047</v>
      </c>
      <c r="I754" s="33" t="s">
        <v>153</v>
      </c>
      <c r="J754" s="33">
        <v>2020</v>
      </c>
      <c r="K754" s="33">
        <v>9781450379625</v>
      </c>
      <c r="L754" s="34"/>
      <c r="M754" s="34"/>
      <c r="N754" s="37" t="s">
        <v>5048</v>
      </c>
      <c r="O754" s="33" t="s">
        <v>5049</v>
      </c>
      <c r="P754" s="33" t="s">
        <v>5050</v>
      </c>
      <c r="Q754" s="33" t="s">
        <v>1094</v>
      </c>
      <c r="R754" s="34"/>
      <c r="S754" s="38"/>
      <c r="T754" s="38" t="s">
        <v>12690</v>
      </c>
    </row>
    <row r="755" spans="1:20" x14ac:dyDescent="0.25">
      <c r="A755" s="33" t="s">
        <v>8074</v>
      </c>
      <c r="B755" s="33" t="s">
        <v>6305</v>
      </c>
      <c r="C755" s="33" t="s">
        <v>13</v>
      </c>
      <c r="D755" s="33" t="s">
        <v>6307</v>
      </c>
      <c r="E755" s="33">
        <v>2019</v>
      </c>
      <c r="F755" s="33">
        <v>21</v>
      </c>
      <c r="G755" s="33">
        <v>3</v>
      </c>
      <c r="H755" s="33" t="s">
        <v>8075</v>
      </c>
      <c r="I755" s="34"/>
      <c r="J755" s="43">
        <v>43586</v>
      </c>
      <c r="K755" s="34"/>
      <c r="L755" s="36"/>
      <c r="M755" s="33" t="s">
        <v>6309</v>
      </c>
      <c r="N755" s="37" t="s">
        <v>8076</v>
      </c>
      <c r="O755" s="33" t="s">
        <v>8077</v>
      </c>
      <c r="P755" s="33" t="s">
        <v>8078</v>
      </c>
      <c r="Q755" s="36"/>
      <c r="R755" s="36"/>
      <c r="S755" s="33" t="s">
        <v>8079</v>
      </c>
      <c r="T755" s="38" t="s">
        <v>12688</v>
      </c>
    </row>
    <row r="756" spans="1:20" x14ac:dyDescent="0.25">
      <c r="A756" s="33" t="s">
        <v>5516</v>
      </c>
      <c r="B756" s="33" t="s">
        <v>5515</v>
      </c>
      <c r="C756" s="33" t="s">
        <v>13</v>
      </c>
      <c r="D756" s="33" t="s">
        <v>5517</v>
      </c>
      <c r="E756" s="33">
        <v>2012</v>
      </c>
      <c r="F756" s="33">
        <v>4</v>
      </c>
      <c r="G756" s="33">
        <v>19</v>
      </c>
      <c r="H756" s="33" t="s">
        <v>5518</v>
      </c>
      <c r="I756" s="33" t="s">
        <v>5519</v>
      </c>
      <c r="J756" s="33">
        <v>2012</v>
      </c>
      <c r="K756" s="34"/>
      <c r="L756" s="34"/>
      <c r="M756" s="33" t="s">
        <v>5520</v>
      </c>
      <c r="N756" s="37" t="s">
        <v>5521</v>
      </c>
      <c r="O756" s="33" t="s">
        <v>5522</v>
      </c>
      <c r="P756" s="33" t="s">
        <v>5523</v>
      </c>
      <c r="Q756" s="33" t="s">
        <v>1930</v>
      </c>
      <c r="R756" s="34"/>
      <c r="S756" s="38"/>
      <c r="T756" s="38" t="s">
        <v>12690</v>
      </c>
    </row>
    <row r="757" spans="1:20" x14ac:dyDescent="0.25">
      <c r="A757" s="39" t="s">
        <v>97</v>
      </c>
      <c r="B757" s="39" t="s">
        <v>9697</v>
      </c>
      <c r="C757" s="39" t="s">
        <v>9478</v>
      </c>
      <c r="D757" s="36"/>
      <c r="E757" s="39">
        <v>2022</v>
      </c>
      <c r="F757" s="39">
        <v>27</v>
      </c>
      <c r="G757" s="39">
        <v>4</v>
      </c>
      <c r="H757" s="36"/>
      <c r="I757" s="39" t="s">
        <v>136</v>
      </c>
      <c r="J757" s="36"/>
      <c r="K757" s="36"/>
      <c r="L757" s="36"/>
      <c r="M757" s="34"/>
      <c r="N757" s="41" t="s">
        <v>9698</v>
      </c>
      <c r="O757" s="39" t="s">
        <v>99</v>
      </c>
      <c r="P757" s="33"/>
      <c r="Q757" s="36"/>
      <c r="R757" s="34"/>
      <c r="S757" s="38"/>
      <c r="T757" s="38" t="s">
        <v>12689</v>
      </c>
    </row>
    <row r="758" spans="1:20" x14ac:dyDescent="0.25">
      <c r="A758" s="33" t="s">
        <v>97</v>
      </c>
      <c r="B758" s="33" t="s">
        <v>96</v>
      </c>
      <c r="C758" s="33" t="s">
        <v>13</v>
      </c>
      <c r="D758" s="33" t="s">
        <v>136</v>
      </c>
      <c r="E758" s="33">
        <v>2022</v>
      </c>
      <c r="F758" s="33">
        <v>27</v>
      </c>
      <c r="G758" s="33">
        <v>4</v>
      </c>
      <c r="H758" s="34"/>
      <c r="I758" s="33" t="s">
        <v>137</v>
      </c>
      <c r="J758" s="33">
        <v>2022</v>
      </c>
      <c r="K758" s="34"/>
      <c r="L758" s="34"/>
      <c r="M758" s="33" t="s">
        <v>33</v>
      </c>
      <c r="N758" s="37" t="s">
        <v>991</v>
      </c>
      <c r="O758" s="33" t="s">
        <v>99</v>
      </c>
      <c r="P758" s="33" t="s">
        <v>992</v>
      </c>
      <c r="Q758" s="33" t="s">
        <v>404</v>
      </c>
      <c r="R758" s="34"/>
      <c r="S758" s="38"/>
      <c r="T758" s="38" t="s">
        <v>12690</v>
      </c>
    </row>
    <row r="759" spans="1:20" x14ac:dyDescent="0.25">
      <c r="A759" s="33" t="s">
        <v>97</v>
      </c>
      <c r="B759" s="33" t="s">
        <v>96</v>
      </c>
      <c r="C759" s="33" t="s">
        <v>13</v>
      </c>
      <c r="D759" s="33" t="s">
        <v>32</v>
      </c>
      <c r="E759" s="33">
        <v>2022</v>
      </c>
      <c r="F759" s="33">
        <v>27</v>
      </c>
      <c r="G759" s="33">
        <v>4</v>
      </c>
      <c r="H759" s="34"/>
      <c r="I759" s="38" t="s">
        <v>12699</v>
      </c>
      <c r="J759" s="43">
        <v>44743</v>
      </c>
      <c r="K759" s="33" t="s">
        <v>33</v>
      </c>
      <c r="L759" s="38" t="s">
        <v>12699</v>
      </c>
      <c r="M759" s="38" t="s">
        <v>12699</v>
      </c>
      <c r="N759" s="37" t="s">
        <v>98</v>
      </c>
      <c r="O759" s="33" t="s">
        <v>99</v>
      </c>
      <c r="P759" s="33" t="s">
        <v>100</v>
      </c>
      <c r="Q759" s="38" t="s">
        <v>12699</v>
      </c>
      <c r="R759" s="38" t="s">
        <v>12699</v>
      </c>
      <c r="S759" s="38"/>
      <c r="T759" s="38" t="s">
        <v>12700</v>
      </c>
    </row>
    <row r="760" spans="1:20" x14ac:dyDescent="0.25">
      <c r="A760" s="33" t="s">
        <v>11051</v>
      </c>
      <c r="B760" s="33" t="s">
        <v>1856</v>
      </c>
      <c r="C760" s="33" t="s">
        <v>141</v>
      </c>
      <c r="D760" s="34"/>
      <c r="E760" s="33">
        <v>2021</v>
      </c>
      <c r="F760" s="34"/>
      <c r="G760" s="34"/>
      <c r="H760" s="33" t="s">
        <v>11052</v>
      </c>
      <c r="I760" s="44" t="s">
        <v>12703</v>
      </c>
      <c r="J760" s="33">
        <v>2021</v>
      </c>
      <c r="K760" s="33">
        <v>9781450390538</v>
      </c>
      <c r="L760" s="33" t="s">
        <v>11058</v>
      </c>
      <c r="M760" s="34"/>
      <c r="N760" s="37" t="s">
        <v>11055</v>
      </c>
      <c r="O760" s="33" t="s">
        <v>1860</v>
      </c>
      <c r="P760" s="33" t="s">
        <v>11056</v>
      </c>
      <c r="Q760" s="36"/>
      <c r="R760" s="36"/>
      <c r="S760" s="33" t="s">
        <v>11057</v>
      </c>
      <c r="T760" s="33" t="s">
        <v>12692</v>
      </c>
    </row>
    <row r="761" spans="1:20" x14ac:dyDescent="0.25">
      <c r="A761" s="33" t="s">
        <v>11051</v>
      </c>
      <c r="B761" s="33" t="s">
        <v>1856</v>
      </c>
      <c r="C761" s="33" t="s">
        <v>141</v>
      </c>
      <c r="D761" s="34"/>
      <c r="E761" s="33">
        <v>2021</v>
      </c>
      <c r="F761" s="34"/>
      <c r="G761" s="34"/>
      <c r="H761" s="33" t="s">
        <v>1858</v>
      </c>
      <c r="I761" s="33" t="s">
        <v>145</v>
      </c>
      <c r="J761" s="33">
        <v>2021</v>
      </c>
      <c r="K761" s="33">
        <v>9781450390538</v>
      </c>
      <c r="L761" s="34"/>
      <c r="M761" s="34"/>
      <c r="N761" s="37" t="s">
        <v>1859</v>
      </c>
      <c r="O761" s="33" t="s">
        <v>1860</v>
      </c>
      <c r="P761" s="33" t="s">
        <v>1861</v>
      </c>
      <c r="Q761" s="33" t="s">
        <v>176</v>
      </c>
      <c r="R761" s="34"/>
      <c r="S761" s="38"/>
      <c r="T761" s="38" t="s">
        <v>12690</v>
      </c>
    </row>
    <row r="762" spans="1:20" x14ac:dyDescent="0.25">
      <c r="A762" s="33" t="s">
        <v>340</v>
      </c>
      <c r="B762" s="33" t="s">
        <v>339</v>
      </c>
      <c r="C762" s="33" t="s">
        <v>141</v>
      </c>
      <c r="D762" s="34"/>
      <c r="E762" s="33">
        <v>2022</v>
      </c>
      <c r="F762" s="34"/>
      <c r="G762" s="34"/>
      <c r="H762" s="33" t="s">
        <v>6965</v>
      </c>
      <c r="I762" s="33" t="s">
        <v>6966</v>
      </c>
      <c r="J762" s="43">
        <v>44713</v>
      </c>
      <c r="K762" s="36"/>
      <c r="L762" s="36"/>
      <c r="M762" s="33" t="s">
        <v>5157</v>
      </c>
      <c r="N762" s="37" t="s">
        <v>6967</v>
      </c>
      <c r="O762" s="33" t="s">
        <v>343</v>
      </c>
      <c r="P762" s="33" t="s">
        <v>6968</v>
      </c>
      <c r="Q762" s="36"/>
      <c r="R762" s="36"/>
      <c r="S762" s="33" t="s">
        <v>6969</v>
      </c>
      <c r="T762" s="38" t="s">
        <v>12688</v>
      </c>
    </row>
    <row r="763" spans="1:20" x14ac:dyDescent="0.25">
      <c r="A763" s="33" t="s">
        <v>340</v>
      </c>
      <c r="B763" s="33" t="s">
        <v>339</v>
      </c>
      <c r="C763" s="33" t="s">
        <v>141</v>
      </c>
      <c r="D763" s="34"/>
      <c r="E763" s="33">
        <v>2022</v>
      </c>
      <c r="F763" s="34"/>
      <c r="G763" s="34"/>
      <c r="H763" s="33" t="s">
        <v>341</v>
      </c>
      <c r="I763" s="33" t="s">
        <v>257</v>
      </c>
      <c r="J763" s="33">
        <v>2022</v>
      </c>
      <c r="K763" s="33">
        <v>9781665488105</v>
      </c>
      <c r="L763" s="34"/>
      <c r="M763" s="34"/>
      <c r="N763" s="37" t="s">
        <v>342</v>
      </c>
      <c r="O763" s="33" t="s">
        <v>343</v>
      </c>
      <c r="P763" s="33" t="s">
        <v>344</v>
      </c>
      <c r="Q763" s="33" t="s">
        <v>157</v>
      </c>
      <c r="R763" s="34"/>
      <c r="S763" s="38"/>
      <c r="T763" s="38" t="s">
        <v>12690</v>
      </c>
    </row>
    <row r="764" spans="1:20" x14ac:dyDescent="0.25">
      <c r="A764" s="33" t="s">
        <v>11438</v>
      </c>
      <c r="B764" s="33" t="s">
        <v>11437</v>
      </c>
      <c r="C764" s="33" t="s">
        <v>13</v>
      </c>
      <c r="D764" s="33" t="s">
        <v>11214</v>
      </c>
      <c r="E764" s="33">
        <v>2021</v>
      </c>
      <c r="F764" s="33">
        <v>65</v>
      </c>
      <c r="G764" s="33">
        <v>1</v>
      </c>
      <c r="H764" s="33" t="s">
        <v>11439</v>
      </c>
      <c r="I764" s="44" t="s">
        <v>12710</v>
      </c>
      <c r="J764" s="35">
        <v>44531</v>
      </c>
      <c r="K764" s="34"/>
      <c r="L764" s="34"/>
      <c r="M764" s="33" t="s">
        <v>11216</v>
      </c>
      <c r="N764" s="37" t="s">
        <v>11440</v>
      </c>
      <c r="O764" s="33" t="s">
        <v>11441</v>
      </c>
      <c r="P764" s="33" t="s">
        <v>11442</v>
      </c>
      <c r="Q764" s="36"/>
      <c r="R764" s="36"/>
      <c r="S764" s="34"/>
      <c r="T764" s="33" t="s">
        <v>12692</v>
      </c>
    </row>
    <row r="765" spans="1:20" x14ac:dyDescent="0.25">
      <c r="A765" s="33" t="s">
        <v>11530</v>
      </c>
      <c r="B765" s="33" t="s">
        <v>11437</v>
      </c>
      <c r="C765" s="33" t="s">
        <v>13</v>
      </c>
      <c r="D765" s="33" t="s">
        <v>11531</v>
      </c>
      <c r="E765" s="33">
        <v>2021</v>
      </c>
      <c r="F765" s="33">
        <v>19</v>
      </c>
      <c r="G765" s="33">
        <v>3</v>
      </c>
      <c r="H765" s="33" t="s">
        <v>11532</v>
      </c>
      <c r="I765" s="44" t="s">
        <v>12710</v>
      </c>
      <c r="J765" s="43">
        <v>44409</v>
      </c>
      <c r="K765" s="34"/>
      <c r="L765" s="34"/>
      <c r="M765" s="33" t="s">
        <v>11533</v>
      </c>
      <c r="N765" s="37" t="s">
        <v>11534</v>
      </c>
      <c r="O765" s="33" t="s">
        <v>11535</v>
      </c>
      <c r="P765" s="33" t="s">
        <v>11536</v>
      </c>
      <c r="Q765" s="36"/>
      <c r="R765" s="36"/>
      <c r="S765" s="34"/>
      <c r="T765" s="33" t="s">
        <v>12692</v>
      </c>
    </row>
    <row r="766" spans="1:20" x14ac:dyDescent="0.25">
      <c r="A766" s="33" t="s">
        <v>7817</v>
      </c>
      <c r="B766" s="33" t="s">
        <v>7569</v>
      </c>
      <c r="C766" s="33" t="s">
        <v>141</v>
      </c>
      <c r="D766" s="34"/>
      <c r="E766" s="33">
        <v>2016</v>
      </c>
      <c r="F766" s="34"/>
      <c r="G766" s="34"/>
      <c r="H766" s="33" t="s">
        <v>12307</v>
      </c>
      <c r="I766" s="44" t="s">
        <v>12754</v>
      </c>
      <c r="J766" s="33">
        <v>2016</v>
      </c>
      <c r="K766" s="33">
        <v>9781450339001</v>
      </c>
      <c r="L766" s="33" t="s">
        <v>12016</v>
      </c>
      <c r="M766" s="34"/>
      <c r="N766" s="37" t="s">
        <v>12309</v>
      </c>
      <c r="O766" s="33" t="s">
        <v>7821</v>
      </c>
      <c r="P766" s="33" t="s">
        <v>12310</v>
      </c>
      <c r="Q766" s="36"/>
      <c r="R766" s="36"/>
      <c r="S766" s="33" t="s">
        <v>12311</v>
      </c>
      <c r="T766" s="33" t="s">
        <v>12692</v>
      </c>
    </row>
    <row r="767" spans="1:20" x14ac:dyDescent="0.25">
      <c r="A767" s="33" t="s">
        <v>7817</v>
      </c>
      <c r="B767" s="33" t="s">
        <v>7569</v>
      </c>
      <c r="C767" s="33" t="s">
        <v>141</v>
      </c>
      <c r="D767" s="34"/>
      <c r="E767" s="33">
        <v>2016</v>
      </c>
      <c r="F767" s="34"/>
      <c r="G767" s="34"/>
      <c r="H767" s="33" t="s">
        <v>7818</v>
      </c>
      <c r="I767" s="33" t="s">
        <v>7819</v>
      </c>
      <c r="J767" s="43">
        <v>42491</v>
      </c>
      <c r="K767" s="36"/>
      <c r="L767" s="36"/>
      <c r="M767" s="33" t="s">
        <v>6336</v>
      </c>
      <c r="N767" s="37" t="s">
        <v>7820</v>
      </c>
      <c r="O767" s="33" t="s">
        <v>7821</v>
      </c>
      <c r="P767" s="33" t="s">
        <v>7822</v>
      </c>
      <c r="Q767" s="36"/>
      <c r="R767" s="36"/>
      <c r="S767" s="33" t="s">
        <v>7823</v>
      </c>
      <c r="T767" s="38" t="s">
        <v>12688</v>
      </c>
    </row>
    <row r="768" spans="1:20" x14ac:dyDescent="0.25">
      <c r="A768" s="33" t="s">
        <v>3350</v>
      </c>
      <c r="B768" s="33" t="s">
        <v>3349</v>
      </c>
      <c r="C768" s="33" t="s">
        <v>13</v>
      </c>
      <c r="D768" s="33" t="s">
        <v>3351</v>
      </c>
      <c r="E768" s="33">
        <v>2020</v>
      </c>
      <c r="F768" s="33">
        <v>98</v>
      </c>
      <c r="G768" s="33">
        <v>14</v>
      </c>
      <c r="H768" s="33" t="s">
        <v>3352</v>
      </c>
      <c r="I768" s="33" t="s">
        <v>3353</v>
      </c>
      <c r="J768" s="33">
        <v>2020</v>
      </c>
      <c r="K768" s="34"/>
      <c r="L768" s="34"/>
      <c r="M768" s="33" t="s">
        <v>3354</v>
      </c>
      <c r="N768" s="37" t="s">
        <v>3355</v>
      </c>
      <c r="O768" s="34"/>
      <c r="P768" s="33" t="s">
        <v>3356</v>
      </c>
      <c r="Q768" s="33" t="s">
        <v>176</v>
      </c>
      <c r="R768" s="34"/>
      <c r="S768" s="38"/>
      <c r="T768" s="38" t="s">
        <v>12690</v>
      </c>
    </row>
    <row r="769" spans="1:20" x14ac:dyDescent="0.25">
      <c r="A769" s="33" t="s">
        <v>3247</v>
      </c>
      <c r="B769" s="33" t="s">
        <v>3246</v>
      </c>
      <c r="C769" s="33" t="s">
        <v>141</v>
      </c>
      <c r="D769" s="34"/>
      <c r="E769" s="33">
        <v>2021</v>
      </c>
      <c r="F769" s="33">
        <v>1</v>
      </c>
      <c r="G769" s="34"/>
      <c r="H769" s="33" t="s">
        <v>3248</v>
      </c>
      <c r="I769" s="33" t="s">
        <v>3249</v>
      </c>
      <c r="J769" s="33">
        <v>2021</v>
      </c>
      <c r="K769" s="33">
        <v>9781713835974</v>
      </c>
      <c r="L769" s="34"/>
      <c r="M769" s="34"/>
      <c r="N769" s="37" t="s">
        <v>3250</v>
      </c>
      <c r="O769" s="34"/>
      <c r="P769" s="33" t="s">
        <v>3251</v>
      </c>
      <c r="Q769" s="33" t="s">
        <v>185</v>
      </c>
      <c r="R769" s="34"/>
      <c r="S769" s="38"/>
      <c r="T769" s="38" t="s">
        <v>12690</v>
      </c>
    </row>
    <row r="770" spans="1:20" x14ac:dyDescent="0.25">
      <c r="A770" s="33" t="s">
        <v>4700</v>
      </c>
      <c r="B770" s="33" t="s">
        <v>4699</v>
      </c>
      <c r="C770" s="33" t="s">
        <v>13</v>
      </c>
      <c r="D770" s="33" t="s">
        <v>668</v>
      </c>
      <c r="E770" s="33">
        <v>2019</v>
      </c>
      <c r="F770" s="33">
        <v>7</v>
      </c>
      <c r="G770" s="34"/>
      <c r="H770" s="33" t="s">
        <v>4701</v>
      </c>
      <c r="I770" s="33" t="s">
        <v>257</v>
      </c>
      <c r="J770" s="33">
        <v>2019</v>
      </c>
      <c r="K770" s="34"/>
      <c r="L770" s="34"/>
      <c r="M770" s="33" t="s">
        <v>670</v>
      </c>
      <c r="N770" s="37" t="s">
        <v>4702</v>
      </c>
      <c r="O770" s="33" t="s">
        <v>4703</v>
      </c>
      <c r="P770" s="33" t="s">
        <v>4704</v>
      </c>
      <c r="Q770" s="33" t="s">
        <v>4705</v>
      </c>
      <c r="R770" s="34"/>
      <c r="S770" s="38"/>
      <c r="T770" s="38" t="s">
        <v>12690</v>
      </c>
    </row>
    <row r="771" spans="1:20" x14ac:dyDescent="0.25">
      <c r="A771" s="33" t="s">
        <v>3069</v>
      </c>
      <c r="B771" s="33" t="s">
        <v>3068</v>
      </c>
      <c r="C771" s="33" t="s">
        <v>13</v>
      </c>
      <c r="D771" s="33" t="s">
        <v>3070</v>
      </c>
      <c r="E771" s="33">
        <v>2021</v>
      </c>
      <c r="F771" s="33">
        <v>2</v>
      </c>
      <c r="G771" s="33">
        <v>1</v>
      </c>
      <c r="H771" s="34"/>
      <c r="I771" s="33" t="s">
        <v>2437</v>
      </c>
      <c r="J771" s="33">
        <v>2021</v>
      </c>
      <c r="K771" s="34"/>
      <c r="L771" s="34"/>
      <c r="M771" s="33" t="s">
        <v>3071</v>
      </c>
      <c r="N771" s="37" t="s">
        <v>3072</v>
      </c>
      <c r="O771" s="33" t="s">
        <v>3073</v>
      </c>
      <c r="P771" s="33" t="s">
        <v>3074</v>
      </c>
      <c r="Q771" s="33" t="s">
        <v>3075</v>
      </c>
      <c r="R771" s="34"/>
      <c r="S771" s="38"/>
      <c r="T771" s="38" t="s">
        <v>12690</v>
      </c>
    </row>
    <row r="772" spans="1:20" x14ac:dyDescent="0.25">
      <c r="A772" s="33" t="s">
        <v>5113</v>
      </c>
      <c r="B772" s="33" t="s">
        <v>5112</v>
      </c>
      <c r="C772" s="33" t="s">
        <v>141</v>
      </c>
      <c r="D772" s="34"/>
      <c r="E772" s="33">
        <v>2019</v>
      </c>
      <c r="F772" s="34"/>
      <c r="G772" s="34"/>
      <c r="H772" s="33" t="s">
        <v>5114</v>
      </c>
      <c r="I772" s="33" t="s">
        <v>257</v>
      </c>
      <c r="J772" s="33">
        <v>2019</v>
      </c>
      <c r="K772" s="33">
        <v>9781728163345</v>
      </c>
      <c r="L772" s="34"/>
      <c r="M772" s="34"/>
      <c r="N772" s="37" t="s">
        <v>5115</v>
      </c>
      <c r="O772" s="33" t="s">
        <v>5116</v>
      </c>
      <c r="P772" s="33" t="s">
        <v>5117</v>
      </c>
      <c r="Q772" s="33" t="s">
        <v>157</v>
      </c>
      <c r="R772" s="34"/>
      <c r="S772" s="38"/>
      <c r="T772" s="38" t="s">
        <v>12690</v>
      </c>
    </row>
    <row r="773" spans="1:20" x14ac:dyDescent="0.25">
      <c r="A773" s="33" t="s">
        <v>7556</v>
      </c>
      <c r="B773" s="33" t="s">
        <v>7555</v>
      </c>
      <c r="C773" s="33" t="s">
        <v>141</v>
      </c>
      <c r="D773" s="34"/>
      <c r="E773" s="33">
        <v>2022</v>
      </c>
      <c r="F773" s="34"/>
      <c r="G773" s="34"/>
      <c r="H773" s="33" t="s">
        <v>7557</v>
      </c>
      <c r="I773" s="33" t="s">
        <v>7558</v>
      </c>
      <c r="J773" s="35">
        <v>44835</v>
      </c>
      <c r="K773" s="36"/>
      <c r="L773" s="36"/>
      <c r="M773" s="33" t="s">
        <v>6449</v>
      </c>
      <c r="N773" s="37" t="s">
        <v>7559</v>
      </c>
      <c r="O773" s="33" t="s">
        <v>7560</v>
      </c>
      <c r="P773" s="33" t="s">
        <v>7561</v>
      </c>
      <c r="Q773" s="36"/>
      <c r="R773" s="36"/>
      <c r="S773" s="33" t="s">
        <v>7562</v>
      </c>
      <c r="T773" s="38" t="s">
        <v>12688</v>
      </c>
    </row>
    <row r="774" spans="1:20" x14ac:dyDescent="0.25">
      <c r="A774" s="33" t="s">
        <v>2264</v>
      </c>
      <c r="B774" s="33" t="s">
        <v>2263</v>
      </c>
      <c r="C774" s="33" t="s">
        <v>13</v>
      </c>
      <c r="D774" s="33" t="s">
        <v>2265</v>
      </c>
      <c r="E774" s="33">
        <v>2022</v>
      </c>
      <c r="F774" s="33">
        <v>43</v>
      </c>
      <c r="G774" s="33">
        <v>1</v>
      </c>
      <c r="H774" s="33" t="s">
        <v>2266</v>
      </c>
      <c r="I774" s="33" t="s">
        <v>2267</v>
      </c>
      <c r="J774" s="33">
        <v>2022</v>
      </c>
      <c r="K774" s="34"/>
      <c r="L774" s="34"/>
      <c r="M774" s="33" t="s">
        <v>2268</v>
      </c>
      <c r="N774" s="37" t="s">
        <v>2269</v>
      </c>
      <c r="O774" s="33" t="s">
        <v>2270</v>
      </c>
      <c r="P774" s="33" t="s">
        <v>2271</v>
      </c>
      <c r="Q774" s="33" t="s">
        <v>157</v>
      </c>
      <c r="R774" s="34"/>
      <c r="S774" s="38"/>
      <c r="T774" s="38" t="s">
        <v>12690</v>
      </c>
    </row>
    <row r="775" spans="1:20" x14ac:dyDescent="0.25">
      <c r="A775" s="33" t="s">
        <v>9219</v>
      </c>
      <c r="B775" s="33" t="s">
        <v>9218</v>
      </c>
      <c r="C775" s="33" t="s">
        <v>13</v>
      </c>
      <c r="D775" s="33" t="s">
        <v>1355</v>
      </c>
      <c r="E775" s="33">
        <v>2022</v>
      </c>
      <c r="F775" s="33">
        <v>202</v>
      </c>
      <c r="G775" s="36"/>
      <c r="H775" s="33">
        <v>117267</v>
      </c>
      <c r="I775" s="36"/>
      <c r="J775" s="33">
        <v>2022</v>
      </c>
      <c r="K775" s="34"/>
      <c r="L775" s="34"/>
      <c r="M775" s="33" t="s">
        <v>1356</v>
      </c>
      <c r="N775" s="37" t="s">
        <v>9220</v>
      </c>
      <c r="O775" s="33" t="s">
        <v>9221</v>
      </c>
      <c r="P775" s="33" t="s">
        <v>9222</v>
      </c>
      <c r="Q775" s="36"/>
      <c r="R775" s="36"/>
      <c r="S775" s="33" t="s">
        <v>9223</v>
      </c>
      <c r="T775" s="38" t="s">
        <v>12693</v>
      </c>
    </row>
    <row r="776" spans="1:20" x14ac:dyDescent="0.25">
      <c r="A776" s="33" t="s">
        <v>12174</v>
      </c>
      <c r="B776" s="33" t="s">
        <v>12173</v>
      </c>
      <c r="C776" s="33" t="s">
        <v>141</v>
      </c>
      <c r="D776" s="34"/>
      <c r="E776" s="33">
        <v>2016</v>
      </c>
      <c r="F776" s="34"/>
      <c r="G776" s="34"/>
      <c r="H776" s="33" t="s">
        <v>12175</v>
      </c>
      <c r="I776" s="44" t="s">
        <v>12755</v>
      </c>
      <c r="J776" s="33">
        <v>2016</v>
      </c>
      <c r="K776" s="33">
        <v>9781450342186</v>
      </c>
      <c r="L776" s="33" t="s">
        <v>11774</v>
      </c>
      <c r="M776" s="34"/>
      <c r="N776" s="37" t="s">
        <v>12176</v>
      </c>
      <c r="O776" s="33" t="s">
        <v>12177</v>
      </c>
      <c r="P776" s="33" t="s">
        <v>12178</v>
      </c>
      <c r="Q776" s="36"/>
      <c r="R776" s="36"/>
      <c r="S776" s="33" t="s">
        <v>12179</v>
      </c>
      <c r="T776" s="33" t="s">
        <v>12692</v>
      </c>
    </row>
    <row r="777" spans="1:20" x14ac:dyDescent="0.25">
      <c r="A777" s="33" t="s">
        <v>5686</v>
      </c>
      <c r="B777" s="33" t="s">
        <v>5685</v>
      </c>
      <c r="C777" s="33" t="s">
        <v>141</v>
      </c>
      <c r="D777" s="34"/>
      <c r="E777" s="33">
        <v>2018</v>
      </c>
      <c r="F777" s="45">
        <v>43221</v>
      </c>
      <c r="G777" s="34"/>
      <c r="H777" s="34"/>
      <c r="I777" s="33" t="s">
        <v>196</v>
      </c>
      <c r="J777" s="33">
        <v>2018</v>
      </c>
      <c r="K777" s="33">
        <v>9781450356633</v>
      </c>
      <c r="L777" s="34"/>
      <c r="M777" s="33" t="s">
        <v>1458</v>
      </c>
      <c r="N777" s="37" t="s">
        <v>5687</v>
      </c>
      <c r="O777" s="33" t="s">
        <v>5688</v>
      </c>
      <c r="P777" s="33" t="s">
        <v>5689</v>
      </c>
      <c r="Q777" s="33" t="s">
        <v>5690</v>
      </c>
      <c r="R777" s="34"/>
      <c r="S777" s="38"/>
      <c r="T777" s="38" t="s">
        <v>12690</v>
      </c>
    </row>
    <row r="778" spans="1:20" x14ac:dyDescent="0.25">
      <c r="A778" s="33" t="s">
        <v>2895</v>
      </c>
      <c r="B778" s="33" t="s">
        <v>2894</v>
      </c>
      <c r="C778" s="33" t="s">
        <v>141</v>
      </c>
      <c r="D778" s="34"/>
      <c r="E778" s="33">
        <v>2020</v>
      </c>
      <c r="F778" s="34"/>
      <c r="G778" s="34"/>
      <c r="H778" s="33" t="s">
        <v>2896</v>
      </c>
      <c r="I778" s="33" t="s">
        <v>257</v>
      </c>
      <c r="J778" s="33">
        <v>2020</v>
      </c>
      <c r="K778" s="33">
        <v>9781728140865</v>
      </c>
      <c r="L778" s="34"/>
      <c r="M778" s="34"/>
      <c r="N778" s="37" t="s">
        <v>2897</v>
      </c>
      <c r="O778" s="33" t="s">
        <v>2898</v>
      </c>
      <c r="P778" s="33" t="s">
        <v>2899</v>
      </c>
      <c r="Q778" s="33" t="s">
        <v>157</v>
      </c>
      <c r="R778" s="34"/>
      <c r="S778" s="38"/>
      <c r="T778" s="38" t="s">
        <v>12690</v>
      </c>
    </row>
    <row r="779" spans="1:20" x14ac:dyDescent="0.25">
      <c r="A779" s="33" t="s">
        <v>11285</v>
      </c>
      <c r="B779" s="33" t="s">
        <v>11284</v>
      </c>
      <c r="C779" s="33" t="s">
        <v>141</v>
      </c>
      <c r="D779" s="34"/>
      <c r="E779" s="33">
        <v>2012</v>
      </c>
      <c r="F779" s="34"/>
      <c r="G779" s="34"/>
      <c r="H779" s="33" t="s">
        <v>11286</v>
      </c>
      <c r="I779" s="44" t="s">
        <v>12756</v>
      </c>
      <c r="J779" s="33">
        <v>2012</v>
      </c>
      <c r="K779" s="33">
        <v>9781467317498</v>
      </c>
      <c r="L779" s="33" t="s">
        <v>11126</v>
      </c>
      <c r="M779" s="34"/>
      <c r="N779" s="34"/>
      <c r="O779" s="34"/>
      <c r="P779" s="33" t="s">
        <v>11287</v>
      </c>
      <c r="Q779" s="36"/>
      <c r="R779" s="36"/>
      <c r="S779" s="33" t="s">
        <v>11288</v>
      </c>
      <c r="T779" s="33" t="s">
        <v>12692</v>
      </c>
    </row>
    <row r="780" spans="1:20" x14ac:dyDescent="0.25">
      <c r="A780" s="39" t="s">
        <v>10758</v>
      </c>
      <c r="B780" s="39" t="s">
        <v>9455</v>
      </c>
      <c r="C780" s="39" t="s">
        <v>9539</v>
      </c>
      <c r="D780" s="36"/>
      <c r="E780" s="39">
        <v>2022</v>
      </c>
      <c r="F780" s="40"/>
      <c r="G780" s="40"/>
      <c r="H780" s="36"/>
      <c r="I780" s="39" t="s">
        <v>9453</v>
      </c>
      <c r="J780" s="36"/>
      <c r="K780" s="36"/>
      <c r="L780" s="36"/>
      <c r="M780" s="34"/>
      <c r="N780" s="41" t="s">
        <v>10760</v>
      </c>
      <c r="O780" s="39" t="s">
        <v>10759</v>
      </c>
      <c r="P780" s="33"/>
      <c r="Q780" s="36"/>
      <c r="R780" s="34"/>
      <c r="S780" s="38"/>
      <c r="T780" s="38" t="s">
        <v>12689</v>
      </c>
    </row>
    <row r="781" spans="1:20" x14ac:dyDescent="0.25">
      <c r="A781" s="33" t="s">
        <v>4583</v>
      </c>
      <c r="B781" s="33" t="s">
        <v>4582</v>
      </c>
      <c r="C781" s="33" t="s">
        <v>13</v>
      </c>
      <c r="D781" s="33" t="s">
        <v>209</v>
      </c>
      <c r="E781" s="33">
        <v>2020</v>
      </c>
      <c r="F781" s="33" t="s">
        <v>4584</v>
      </c>
      <c r="G781" s="34"/>
      <c r="H781" s="33" t="s">
        <v>4585</v>
      </c>
      <c r="I781" s="33" t="s">
        <v>212</v>
      </c>
      <c r="J781" s="33">
        <v>2020</v>
      </c>
      <c r="K781" s="34"/>
      <c r="L781" s="34"/>
      <c r="M781" s="33" t="s">
        <v>213</v>
      </c>
      <c r="N781" s="37" t="s">
        <v>4586</v>
      </c>
      <c r="O781" s="33" t="s">
        <v>4587</v>
      </c>
      <c r="P781" s="33" t="s">
        <v>4588</v>
      </c>
      <c r="Q781" s="33" t="s">
        <v>2717</v>
      </c>
      <c r="R781" s="34"/>
      <c r="S781" s="38"/>
      <c r="T781" s="38" t="s">
        <v>12690</v>
      </c>
    </row>
    <row r="782" spans="1:20" x14ac:dyDescent="0.25">
      <c r="A782" s="33" t="s">
        <v>7139</v>
      </c>
      <c r="B782" s="33" t="s">
        <v>7138</v>
      </c>
      <c r="C782" s="33" t="s">
        <v>13</v>
      </c>
      <c r="D782" s="33" t="s">
        <v>255</v>
      </c>
      <c r="E782" s="33">
        <v>2022</v>
      </c>
      <c r="F782" s="33">
        <v>48</v>
      </c>
      <c r="G782" s="33">
        <v>10</v>
      </c>
      <c r="H782" s="33" t="s">
        <v>7140</v>
      </c>
      <c r="I782" s="34"/>
      <c r="J782" s="35">
        <v>44835</v>
      </c>
      <c r="K782" s="36"/>
      <c r="L782" s="36"/>
      <c r="M782" s="33" t="s">
        <v>6115</v>
      </c>
      <c r="N782" s="37" t="s">
        <v>7141</v>
      </c>
      <c r="O782" s="33" t="s">
        <v>7142</v>
      </c>
      <c r="P782" s="33" t="s">
        <v>7143</v>
      </c>
      <c r="Q782" s="36"/>
      <c r="R782" s="36"/>
      <c r="S782" s="33" t="s">
        <v>7144</v>
      </c>
      <c r="T782" s="38" t="s">
        <v>12688</v>
      </c>
    </row>
    <row r="783" spans="1:20" x14ac:dyDescent="0.25">
      <c r="A783" s="33" t="s">
        <v>346</v>
      </c>
      <c r="B783" s="33" t="s">
        <v>345</v>
      </c>
      <c r="C783" s="33" t="s">
        <v>13</v>
      </c>
      <c r="D783" s="33" t="s">
        <v>347</v>
      </c>
      <c r="E783" s="33">
        <v>2022</v>
      </c>
      <c r="F783" s="33">
        <v>71</v>
      </c>
      <c r="G783" s="33">
        <v>2</v>
      </c>
      <c r="H783" s="33" t="s">
        <v>348</v>
      </c>
      <c r="I783" s="33" t="s">
        <v>257</v>
      </c>
      <c r="J783" s="33">
        <v>2022</v>
      </c>
      <c r="K783" s="34"/>
      <c r="L783" s="34"/>
      <c r="M783" s="33" t="s">
        <v>92</v>
      </c>
      <c r="N783" s="37" t="s">
        <v>349</v>
      </c>
      <c r="O783" s="33" t="s">
        <v>350</v>
      </c>
      <c r="P783" s="33" t="s">
        <v>351</v>
      </c>
      <c r="Q783" s="33" t="s">
        <v>157</v>
      </c>
      <c r="R783" s="34"/>
      <c r="S783" s="38"/>
      <c r="T783" s="38" t="s">
        <v>12690</v>
      </c>
    </row>
    <row r="784" spans="1:20" x14ac:dyDescent="0.25">
      <c r="A784" s="39" t="s">
        <v>9637</v>
      </c>
      <c r="B784" s="39" t="s">
        <v>9639</v>
      </c>
      <c r="C784" s="39" t="s">
        <v>539</v>
      </c>
      <c r="D784" s="36"/>
      <c r="E784" s="39">
        <v>2021</v>
      </c>
      <c r="F784" s="40"/>
      <c r="G784" s="40"/>
      <c r="H784" s="36"/>
      <c r="I784" s="39" t="s">
        <v>462</v>
      </c>
      <c r="J784" s="36"/>
      <c r="K784" s="36"/>
      <c r="L784" s="36"/>
      <c r="M784" s="34"/>
      <c r="N784" s="41" t="s">
        <v>9640</v>
      </c>
      <c r="O784" s="39" t="s">
        <v>9638</v>
      </c>
      <c r="P784" s="33"/>
      <c r="Q784" s="36"/>
      <c r="R784" s="34"/>
      <c r="S784" s="38"/>
      <c r="T784" s="38" t="s">
        <v>12689</v>
      </c>
    </row>
    <row r="785" spans="1:20" x14ac:dyDescent="0.25">
      <c r="A785" s="33" t="s">
        <v>2878</v>
      </c>
      <c r="B785" s="33" t="s">
        <v>2877</v>
      </c>
      <c r="C785" s="33" t="s">
        <v>141</v>
      </c>
      <c r="D785" s="34"/>
      <c r="E785" s="33">
        <v>2020</v>
      </c>
      <c r="F785" s="34"/>
      <c r="G785" s="34"/>
      <c r="H785" s="34"/>
      <c r="I785" s="33" t="s">
        <v>145</v>
      </c>
      <c r="J785" s="33">
        <v>2020</v>
      </c>
      <c r="K785" s="33">
        <v>9781450389235</v>
      </c>
      <c r="L785" s="34"/>
      <c r="M785" s="34"/>
      <c r="N785" s="37" t="s">
        <v>2879</v>
      </c>
      <c r="O785" s="33" t="s">
        <v>2880</v>
      </c>
      <c r="P785" s="33" t="s">
        <v>2881</v>
      </c>
      <c r="Q785" s="33" t="s">
        <v>157</v>
      </c>
      <c r="R785" s="34"/>
      <c r="S785" s="38"/>
      <c r="T785" s="38" t="s">
        <v>12690</v>
      </c>
    </row>
    <row r="786" spans="1:20" x14ac:dyDescent="0.25">
      <c r="A786" s="33" t="s">
        <v>877</v>
      </c>
      <c r="B786" s="33" t="s">
        <v>876</v>
      </c>
      <c r="C786" s="33" t="s">
        <v>13</v>
      </c>
      <c r="D786" s="33" t="s">
        <v>878</v>
      </c>
      <c r="E786" s="33">
        <v>2022</v>
      </c>
      <c r="F786" s="33">
        <v>34</v>
      </c>
      <c r="G786" s="33">
        <v>5</v>
      </c>
      <c r="H786" s="34"/>
      <c r="I786" s="33" t="s">
        <v>266</v>
      </c>
      <c r="J786" s="33">
        <v>2022</v>
      </c>
      <c r="K786" s="34"/>
      <c r="L786" s="34"/>
      <c r="M786" s="33" t="s">
        <v>879</v>
      </c>
      <c r="N786" s="37" t="s">
        <v>880</v>
      </c>
      <c r="O786" s="33" t="s">
        <v>881</v>
      </c>
      <c r="P786" s="33" t="s">
        <v>882</v>
      </c>
      <c r="Q786" s="33" t="s">
        <v>157</v>
      </c>
      <c r="R786" s="34"/>
      <c r="S786" s="38"/>
      <c r="T786" s="38" t="s">
        <v>12690</v>
      </c>
    </row>
    <row r="787" spans="1:20" x14ac:dyDescent="0.25">
      <c r="A787" s="33" t="s">
        <v>3797</v>
      </c>
      <c r="B787" s="33" t="s">
        <v>3796</v>
      </c>
      <c r="C787" s="33" t="s">
        <v>141</v>
      </c>
      <c r="D787" s="34"/>
      <c r="E787" s="33">
        <v>2021</v>
      </c>
      <c r="F787" s="33">
        <v>2978</v>
      </c>
      <c r="G787" s="34"/>
      <c r="H787" s="34"/>
      <c r="I787" s="33" t="s">
        <v>613</v>
      </c>
      <c r="J787" s="33">
        <v>2021</v>
      </c>
      <c r="K787" s="34"/>
      <c r="L787" s="34"/>
      <c r="M787" s="33" t="s">
        <v>614</v>
      </c>
      <c r="N787" s="37" t="s">
        <v>3798</v>
      </c>
      <c r="O787" s="34"/>
      <c r="P787" s="33" t="s">
        <v>3799</v>
      </c>
      <c r="Q787" s="33" t="s">
        <v>157</v>
      </c>
      <c r="R787" s="34"/>
      <c r="S787" s="38"/>
      <c r="T787" s="38" t="s">
        <v>12690</v>
      </c>
    </row>
    <row r="788" spans="1:20" x14ac:dyDescent="0.25">
      <c r="A788" s="33" t="s">
        <v>5132</v>
      </c>
      <c r="B788" s="33" t="s">
        <v>5131</v>
      </c>
      <c r="C788" s="33" t="s">
        <v>13</v>
      </c>
      <c r="D788" s="33" t="s">
        <v>255</v>
      </c>
      <c r="E788" s="33">
        <v>2019</v>
      </c>
      <c r="F788" s="33">
        <v>45</v>
      </c>
      <c r="G788" s="33">
        <v>7</v>
      </c>
      <c r="H788" s="33" t="s">
        <v>7203</v>
      </c>
      <c r="I788" s="34"/>
      <c r="J788" s="43">
        <v>43647</v>
      </c>
      <c r="K788" s="36"/>
      <c r="L788" s="36"/>
      <c r="M788" s="33" t="s">
        <v>6115</v>
      </c>
      <c r="N788" s="37" t="s">
        <v>7204</v>
      </c>
      <c r="O788" s="33" t="s">
        <v>5135</v>
      </c>
      <c r="P788" s="33" t="s">
        <v>7205</v>
      </c>
      <c r="Q788" s="36"/>
      <c r="R788" s="36"/>
      <c r="S788" s="33" t="s">
        <v>7206</v>
      </c>
      <c r="T788" s="38" t="s">
        <v>12688</v>
      </c>
    </row>
    <row r="789" spans="1:20" x14ac:dyDescent="0.25">
      <c r="A789" s="33" t="s">
        <v>5132</v>
      </c>
      <c r="B789" s="33" t="s">
        <v>5131</v>
      </c>
      <c r="C789" s="33" t="s">
        <v>13</v>
      </c>
      <c r="D789" s="33" t="s">
        <v>255</v>
      </c>
      <c r="E789" s="33">
        <v>2019</v>
      </c>
      <c r="F789" s="33">
        <v>45</v>
      </c>
      <c r="G789" s="33">
        <v>7</v>
      </c>
      <c r="H789" s="33" t="s">
        <v>5133</v>
      </c>
      <c r="I789" s="33" t="s">
        <v>257</v>
      </c>
      <c r="J789" s="33">
        <v>2019</v>
      </c>
      <c r="K789" s="34"/>
      <c r="L789" s="34"/>
      <c r="M789" s="33" t="s">
        <v>18</v>
      </c>
      <c r="N789" s="37" t="s">
        <v>5134</v>
      </c>
      <c r="O789" s="33" t="s">
        <v>5135</v>
      </c>
      <c r="P789" s="33" t="s">
        <v>5136</v>
      </c>
      <c r="Q789" s="33" t="s">
        <v>2804</v>
      </c>
      <c r="R789" s="34"/>
      <c r="S789" s="38"/>
      <c r="T789" s="38" t="s">
        <v>12690</v>
      </c>
    </row>
    <row r="790" spans="1:20" x14ac:dyDescent="0.25">
      <c r="A790" s="33" t="s">
        <v>4707</v>
      </c>
      <c r="B790" s="33" t="s">
        <v>4706</v>
      </c>
      <c r="C790" s="33" t="s">
        <v>141</v>
      </c>
      <c r="D790" s="34"/>
      <c r="E790" s="33">
        <v>2019</v>
      </c>
      <c r="F790" s="34"/>
      <c r="G790" s="34"/>
      <c r="H790" s="33" t="s">
        <v>4708</v>
      </c>
      <c r="I790" s="33" t="s">
        <v>257</v>
      </c>
      <c r="J790" s="33">
        <v>2019</v>
      </c>
      <c r="K790" s="33">
        <v>9781728130941</v>
      </c>
      <c r="L790" s="34"/>
      <c r="M790" s="34"/>
      <c r="N790" s="37" t="s">
        <v>4709</v>
      </c>
      <c r="O790" s="33" t="s">
        <v>4710</v>
      </c>
      <c r="P790" s="33" t="s">
        <v>4711</v>
      </c>
      <c r="Q790" s="33" t="s">
        <v>1813</v>
      </c>
      <c r="R790" s="34"/>
      <c r="S790" s="38"/>
      <c r="T790" s="38" t="s">
        <v>12690</v>
      </c>
    </row>
    <row r="791" spans="1:20" x14ac:dyDescent="0.25">
      <c r="A791" s="39" t="s">
        <v>9741</v>
      </c>
      <c r="B791" s="39" t="s">
        <v>9743</v>
      </c>
      <c r="C791" s="39" t="s">
        <v>539</v>
      </c>
      <c r="D791" s="36"/>
      <c r="E791" s="39">
        <v>2018</v>
      </c>
      <c r="F791" s="40"/>
      <c r="G791" s="40"/>
      <c r="H791" s="36"/>
      <c r="I791" s="39" t="s">
        <v>9275</v>
      </c>
      <c r="J791" s="36"/>
      <c r="K791" s="36"/>
      <c r="L791" s="36"/>
      <c r="M791" s="34"/>
      <c r="N791" s="41" t="s">
        <v>9744</v>
      </c>
      <c r="O791" s="39" t="s">
        <v>9742</v>
      </c>
      <c r="P791" s="33"/>
      <c r="Q791" s="36"/>
      <c r="R791" s="34"/>
      <c r="S791" s="38"/>
      <c r="T791" s="38" t="s">
        <v>12689</v>
      </c>
    </row>
    <row r="792" spans="1:20" x14ac:dyDescent="0.25">
      <c r="A792" s="33" t="s">
        <v>11827</v>
      </c>
      <c r="B792" s="33" t="s">
        <v>11826</v>
      </c>
      <c r="C792" s="33" t="s">
        <v>13</v>
      </c>
      <c r="D792" s="33" t="s">
        <v>11061</v>
      </c>
      <c r="E792" s="33">
        <v>2019</v>
      </c>
      <c r="F792" s="33">
        <v>43</v>
      </c>
      <c r="G792" s="33">
        <v>4</v>
      </c>
      <c r="H792" s="33" t="s">
        <v>11828</v>
      </c>
      <c r="I792" s="44" t="s">
        <v>12710</v>
      </c>
      <c r="J792" s="43">
        <v>43466</v>
      </c>
      <c r="K792" s="34"/>
      <c r="L792" s="34"/>
      <c r="M792" s="33" t="s">
        <v>11063</v>
      </c>
      <c r="N792" s="37" t="s">
        <v>11829</v>
      </c>
      <c r="O792" s="33" t="s">
        <v>11830</v>
      </c>
      <c r="P792" s="33" t="s">
        <v>11831</v>
      </c>
      <c r="Q792" s="36"/>
      <c r="R792" s="36"/>
      <c r="S792" s="33" t="s">
        <v>11832</v>
      </c>
      <c r="T792" s="33" t="s">
        <v>12692</v>
      </c>
    </row>
    <row r="793" spans="1:20" x14ac:dyDescent="0.25">
      <c r="A793" s="33" t="s">
        <v>2436</v>
      </c>
      <c r="B793" s="33" t="s">
        <v>2435</v>
      </c>
      <c r="C793" s="33" t="s">
        <v>141</v>
      </c>
      <c r="D793" s="34"/>
      <c r="E793" s="33">
        <v>2021</v>
      </c>
      <c r="F793" s="33">
        <v>1955</v>
      </c>
      <c r="G793" s="34"/>
      <c r="H793" s="34"/>
      <c r="I793" s="33" t="s">
        <v>2437</v>
      </c>
      <c r="J793" s="33">
        <v>2021</v>
      </c>
      <c r="K793" s="34"/>
      <c r="L793" s="34"/>
      <c r="M793" s="33" t="s">
        <v>2438</v>
      </c>
      <c r="N793" s="37" t="s">
        <v>2439</v>
      </c>
      <c r="O793" s="33" t="s">
        <v>2440</v>
      </c>
      <c r="P793" s="33" t="s">
        <v>2441</v>
      </c>
      <c r="Q793" s="33" t="s">
        <v>568</v>
      </c>
      <c r="R793" s="34"/>
      <c r="S793" s="38"/>
      <c r="T793" s="38" t="s">
        <v>12690</v>
      </c>
    </row>
    <row r="794" spans="1:20" x14ac:dyDescent="0.25">
      <c r="A794" s="33" t="s">
        <v>11576</v>
      </c>
      <c r="B794" s="33" t="s">
        <v>3183</v>
      </c>
      <c r="C794" s="33" t="s">
        <v>141</v>
      </c>
      <c r="D794" s="34"/>
      <c r="E794" s="33">
        <v>2021</v>
      </c>
      <c r="F794" s="34"/>
      <c r="G794" s="34"/>
      <c r="H794" s="33" t="s">
        <v>11577</v>
      </c>
      <c r="I794" s="44" t="s">
        <v>12757</v>
      </c>
      <c r="J794" s="33">
        <v>2021</v>
      </c>
      <c r="K794" s="33">
        <v>9781450367684</v>
      </c>
      <c r="L794" s="33" t="s">
        <v>11583</v>
      </c>
      <c r="M794" s="34"/>
      <c r="N794" s="37" t="s">
        <v>11580</v>
      </c>
      <c r="O794" s="33" t="s">
        <v>3187</v>
      </c>
      <c r="P794" s="33" t="s">
        <v>11581</v>
      </c>
      <c r="Q794" s="36"/>
      <c r="R794" s="36"/>
      <c r="S794" s="33" t="s">
        <v>11582</v>
      </c>
      <c r="T794" s="33" t="s">
        <v>12692</v>
      </c>
    </row>
    <row r="795" spans="1:20" x14ac:dyDescent="0.25">
      <c r="A795" s="33" t="s">
        <v>11576</v>
      </c>
      <c r="B795" s="33" t="s">
        <v>3183</v>
      </c>
      <c r="C795" s="33" t="s">
        <v>141</v>
      </c>
      <c r="D795" s="34"/>
      <c r="E795" s="33">
        <v>2020</v>
      </c>
      <c r="F795" s="34"/>
      <c r="G795" s="34"/>
      <c r="H795" s="33" t="s">
        <v>6462</v>
      </c>
      <c r="I795" s="33" t="s">
        <v>6463</v>
      </c>
      <c r="J795" s="43">
        <v>44075</v>
      </c>
      <c r="K795" s="36"/>
      <c r="L795" s="36"/>
      <c r="M795" s="33" t="s">
        <v>6190</v>
      </c>
      <c r="N795" s="34"/>
      <c r="O795" s="34"/>
      <c r="P795" s="33" t="s">
        <v>6464</v>
      </c>
      <c r="Q795" s="36"/>
      <c r="R795" s="36"/>
      <c r="S795" s="33" t="s">
        <v>6465</v>
      </c>
      <c r="T795" s="38" t="s">
        <v>12688</v>
      </c>
    </row>
    <row r="796" spans="1:20" x14ac:dyDescent="0.25">
      <c r="A796" s="33" t="s">
        <v>11576</v>
      </c>
      <c r="B796" s="33" t="s">
        <v>3183</v>
      </c>
      <c r="C796" s="33" t="s">
        <v>141</v>
      </c>
      <c r="D796" s="34"/>
      <c r="E796" s="33">
        <v>2020</v>
      </c>
      <c r="F796" s="34"/>
      <c r="G796" s="34"/>
      <c r="H796" s="33" t="s">
        <v>3185</v>
      </c>
      <c r="I796" s="33" t="s">
        <v>257</v>
      </c>
      <c r="J796" s="33">
        <v>2020</v>
      </c>
      <c r="K796" s="33">
        <v>9781450367684</v>
      </c>
      <c r="L796" s="34"/>
      <c r="M796" s="34"/>
      <c r="N796" s="37" t="s">
        <v>3186</v>
      </c>
      <c r="O796" s="33" t="s">
        <v>3187</v>
      </c>
      <c r="P796" s="33" t="s">
        <v>3188</v>
      </c>
      <c r="Q796" s="33" t="s">
        <v>1740</v>
      </c>
      <c r="R796" s="34"/>
      <c r="S796" s="38"/>
      <c r="T796" s="38" t="s">
        <v>12690</v>
      </c>
    </row>
    <row r="797" spans="1:20" x14ac:dyDescent="0.25">
      <c r="A797" s="33" t="s">
        <v>6408</v>
      </c>
      <c r="B797" s="33" t="s">
        <v>6128</v>
      </c>
      <c r="C797" s="33" t="s">
        <v>141</v>
      </c>
      <c r="D797" s="34"/>
      <c r="E797" s="33">
        <v>2018</v>
      </c>
      <c r="F797" s="34"/>
      <c r="G797" s="34"/>
      <c r="H797" s="33" t="s">
        <v>11642</v>
      </c>
      <c r="I797" s="44" t="s">
        <v>12758</v>
      </c>
      <c r="J797" s="33">
        <v>2018</v>
      </c>
      <c r="K797" s="33">
        <v>9781450356633</v>
      </c>
      <c r="L797" s="33" t="s">
        <v>11359</v>
      </c>
      <c r="M797" s="34"/>
      <c r="N797" s="37" t="s">
        <v>11643</v>
      </c>
      <c r="O797" s="33" t="s">
        <v>11644</v>
      </c>
      <c r="P797" s="33" t="s">
        <v>6410</v>
      </c>
      <c r="Q797" s="36"/>
      <c r="R797" s="36"/>
      <c r="S797" s="33" t="s">
        <v>11645</v>
      </c>
      <c r="T797" s="33" t="s">
        <v>12692</v>
      </c>
    </row>
    <row r="798" spans="1:20" x14ac:dyDescent="0.25">
      <c r="A798" s="33" t="s">
        <v>6408</v>
      </c>
      <c r="B798" s="33" t="s">
        <v>6128</v>
      </c>
      <c r="C798" s="33" t="s">
        <v>141</v>
      </c>
      <c r="D798" s="34"/>
      <c r="E798" s="33">
        <v>2018</v>
      </c>
      <c r="F798" s="34"/>
      <c r="G798" s="34"/>
      <c r="H798" s="33" t="s">
        <v>6409</v>
      </c>
      <c r="I798" s="33" t="s">
        <v>6238</v>
      </c>
      <c r="J798" s="43">
        <v>43221</v>
      </c>
      <c r="K798" s="36"/>
      <c r="L798" s="36"/>
      <c r="M798" s="33" t="s">
        <v>6239</v>
      </c>
      <c r="N798" s="34"/>
      <c r="O798" s="34"/>
      <c r="P798" s="33" t="s">
        <v>6410</v>
      </c>
      <c r="Q798" s="36"/>
      <c r="R798" s="36"/>
      <c r="S798" s="33" t="s">
        <v>6411</v>
      </c>
      <c r="T798" s="38" t="s">
        <v>12688</v>
      </c>
    </row>
    <row r="799" spans="1:20" x14ac:dyDescent="0.25">
      <c r="A799" s="33" t="s">
        <v>6262</v>
      </c>
      <c r="B799" s="33" t="s">
        <v>6261</v>
      </c>
      <c r="C799" s="33" t="s">
        <v>141</v>
      </c>
      <c r="D799" s="34"/>
      <c r="E799" s="33">
        <v>2015</v>
      </c>
      <c r="F799" s="34"/>
      <c r="G799" s="34"/>
      <c r="H799" s="42">
        <v>45184</v>
      </c>
      <c r="I799" s="33" t="s">
        <v>6256</v>
      </c>
      <c r="J799" s="35">
        <v>42278</v>
      </c>
      <c r="K799" s="36"/>
      <c r="L799" s="36"/>
      <c r="M799" s="34"/>
      <c r="N799" s="37" t="s">
        <v>6263</v>
      </c>
      <c r="O799" s="33" t="s">
        <v>6264</v>
      </c>
      <c r="P799" s="33" t="s">
        <v>6265</v>
      </c>
      <c r="Q799" s="36"/>
      <c r="R799" s="36"/>
      <c r="S799" s="33" t="s">
        <v>6266</v>
      </c>
      <c r="T799" s="38" t="s">
        <v>12688</v>
      </c>
    </row>
    <row r="800" spans="1:20" x14ac:dyDescent="0.25">
      <c r="A800" s="33" t="s">
        <v>11465</v>
      </c>
      <c r="B800" s="33" t="s">
        <v>4854</v>
      </c>
      <c r="C800" s="33" t="s">
        <v>141</v>
      </c>
      <c r="D800" s="34"/>
      <c r="E800" s="33">
        <v>2020</v>
      </c>
      <c r="F800" s="34"/>
      <c r="G800" s="34"/>
      <c r="H800" s="33" t="s">
        <v>11466</v>
      </c>
      <c r="I800" s="44" t="s">
        <v>12759</v>
      </c>
      <c r="J800" s="33">
        <v>2020</v>
      </c>
      <c r="K800" s="33">
        <v>9781450368667</v>
      </c>
      <c r="L800" s="33" t="s">
        <v>11472</v>
      </c>
      <c r="M800" s="34"/>
      <c r="N800" s="37" t="s">
        <v>11469</v>
      </c>
      <c r="O800" s="33" t="s">
        <v>4858</v>
      </c>
      <c r="P800" s="33" t="s">
        <v>11470</v>
      </c>
      <c r="Q800" s="36"/>
      <c r="R800" s="36"/>
      <c r="S800" s="33" t="s">
        <v>11471</v>
      </c>
      <c r="T800" s="33" t="s">
        <v>12692</v>
      </c>
    </row>
    <row r="801" spans="1:20" x14ac:dyDescent="0.25">
      <c r="A801" s="33" t="s">
        <v>11465</v>
      </c>
      <c r="B801" s="33" t="s">
        <v>4854</v>
      </c>
      <c r="C801" s="33" t="s">
        <v>141</v>
      </c>
      <c r="D801" s="34"/>
      <c r="E801" s="33">
        <v>2020</v>
      </c>
      <c r="F801" s="34"/>
      <c r="G801" s="34"/>
      <c r="H801" s="33" t="s">
        <v>4856</v>
      </c>
      <c r="I801" s="33" t="s">
        <v>145</v>
      </c>
      <c r="J801" s="33">
        <v>2020</v>
      </c>
      <c r="K801" s="33">
        <v>9781450368667</v>
      </c>
      <c r="L801" s="34"/>
      <c r="M801" s="34"/>
      <c r="N801" s="37" t="s">
        <v>4857</v>
      </c>
      <c r="O801" s="33" t="s">
        <v>4858</v>
      </c>
      <c r="P801" s="33" t="s">
        <v>4859</v>
      </c>
      <c r="Q801" s="33" t="s">
        <v>318</v>
      </c>
      <c r="R801" s="34"/>
      <c r="S801" s="38"/>
      <c r="T801" s="38" t="s">
        <v>12690</v>
      </c>
    </row>
    <row r="802" spans="1:20" x14ac:dyDescent="0.25">
      <c r="A802" s="33" t="s">
        <v>11346</v>
      </c>
      <c r="B802" s="33" t="s">
        <v>3984</v>
      </c>
      <c r="C802" s="33" t="s">
        <v>141</v>
      </c>
      <c r="D802" s="34"/>
      <c r="E802" s="33">
        <v>2020</v>
      </c>
      <c r="F802" s="34"/>
      <c r="G802" s="34"/>
      <c r="H802" s="33" t="s">
        <v>11347</v>
      </c>
      <c r="I802" s="44" t="s">
        <v>12711</v>
      </c>
      <c r="J802" s="33">
        <v>2020</v>
      </c>
      <c r="K802" s="33">
        <v>9781450379601</v>
      </c>
      <c r="L802" s="33" t="s">
        <v>11162</v>
      </c>
      <c r="M802" s="34"/>
      <c r="N802" s="37" t="s">
        <v>11348</v>
      </c>
      <c r="O802" s="33" t="s">
        <v>3988</v>
      </c>
      <c r="P802" s="33" t="s">
        <v>11349</v>
      </c>
      <c r="Q802" s="36"/>
      <c r="R802" s="36"/>
      <c r="S802" s="33" t="s">
        <v>11350</v>
      </c>
      <c r="T802" s="33" t="s">
        <v>12692</v>
      </c>
    </row>
    <row r="803" spans="1:20" x14ac:dyDescent="0.25">
      <c r="A803" s="33" t="s">
        <v>11346</v>
      </c>
      <c r="B803" s="33" t="s">
        <v>3984</v>
      </c>
      <c r="C803" s="33" t="s">
        <v>141</v>
      </c>
      <c r="D803" s="34"/>
      <c r="E803" s="33">
        <v>2020</v>
      </c>
      <c r="F803" s="34"/>
      <c r="G803" s="34"/>
      <c r="H803" s="33" t="s">
        <v>3986</v>
      </c>
      <c r="I803" s="33" t="s">
        <v>153</v>
      </c>
      <c r="J803" s="33">
        <v>2020</v>
      </c>
      <c r="K803" s="33">
        <v>9781450379601</v>
      </c>
      <c r="L803" s="34"/>
      <c r="M803" s="34"/>
      <c r="N803" s="37" t="s">
        <v>3987</v>
      </c>
      <c r="O803" s="33" t="s">
        <v>3988</v>
      </c>
      <c r="P803" s="33" t="s">
        <v>3989</v>
      </c>
      <c r="Q803" s="33" t="s">
        <v>1573</v>
      </c>
      <c r="R803" s="34"/>
      <c r="S803" s="38"/>
      <c r="T803" s="38" t="s">
        <v>12690</v>
      </c>
    </row>
    <row r="804" spans="1:20" x14ac:dyDescent="0.25">
      <c r="A804" s="33" t="s">
        <v>4861</v>
      </c>
      <c r="B804" s="33" t="s">
        <v>4860</v>
      </c>
      <c r="C804" s="33" t="s">
        <v>141</v>
      </c>
      <c r="D804" s="34"/>
      <c r="E804" s="33">
        <v>2019</v>
      </c>
      <c r="F804" s="34"/>
      <c r="G804" s="34"/>
      <c r="H804" s="33" t="s">
        <v>7077</v>
      </c>
      <c r="I804" s="33" t="s">
        <v>7078</v>
      </c>
      <c r="J804" s="35">
        <v>43739</v>
      </c>
      <c r="K804" s="36"/>
      <c r="L804" s="36"/>
      <c r="M804" s="33" t="s">
        <v>7079</v>
      </c>
      <c r="N804" s="37" t="s">
        <v>7080</v>
      </c>
      <c r="O804" s="33" t="s">
        <v>4865</v>
      </c>
      <c r="P804" s="33" t="s">
        <v>7081</v>
      </c>
      <c r="Q804" s="36"/>
      <c r="R804" s="36"/>
      <c r="S804" s="33" t="s">
        <v>7082</v>
      </c>
      <c r="T804" s="38" t="s">
        <v>12688</v>
      </c>
    </row>
    <row r="805" spans="1:20" x14ac:dyDescent="0.25">
      <c r="A805" s="33" t="s">
        <v>4861</v>
      </c>
      <c r="B805" s="33" t="s">
        <v>4860</v>
      </c>
      <c r="C805" s="33" t="s">
        <v>141</v>
      </c>
      <c r="D805" s="34"/>
      <c r="E805" s="33">
        <v>2019</v>
      </c>
      <c r="F805" s="45">
        <v>43739</v>
      </c>
      <c r="G805" s="34"/>
      <c r="H805" s="33" t="s">
        <v>4862</v>
      </c>
      <c r="I805" s="33" t="s">
        <v>257</v>
      </c>
      <c r="J805" s="33">
        <v>2019</v>
      </c>
      <c r="K805" s="33">
        <v>9781728118956</v>
      </c>
      <c r="L805" s="34"/>
      <c r="M805" s="33" t="s">
        <v>4863</v>
      </c>
      <c r="N805" s="37" t="s">
        <v>4864</v>
      </c>
      <c r="O805" s="33" t="s">
        <v>4865</v>
      </c>
      <c r="P805" s="33" t="s">
        <v>4866</v>
      </c>
      <c r="Q805" s="33" t="s">
        <v>2110</v>
      </c>
      <c r="R805" s="34"/>
      <c r="S805" s="38"/>
      <c r="T805" s="38" t="s">
        <v>12690</v>
      </c>
    </row>
    <row r="806" spans="1:20" x14ac:dyDescent="0.25">
      <c r="A806" s="33" t="s">
        <v>1227</v>
      </c>
      <c r="B806" s="33" t="s">
        <v>1226</v>
      </c>
      <c r="C806" s="33" t="s">
        <v>13</v>
      </c>
      <c r="D806" s="33" t="s">
        <v>307</v>
      </c>
      <c r="E806" s="33">
        <v>2023</v>
      </c>
      <c r="F806" s="33">
        <v>155</v>
      </c>
      <c r="G806" s="34"/>
      <c r="H806" s="34"/>
      <c r="I806" s="33" t="s">
        <v>280</v>
      </c>
      <c r="J806" s="33">
        <v>2023</v>
      </c>
      <c r="K806" s="34"/>
      <c r="L806" s="34"/>
      <c r="M806" s="33" t="s">
        <v>308</v>
      </c>
      <c r="N806" s="37" t="s">
        <v>1228</v>
      </c>
      <c r="O806" s="33" t="s">
        <v>1229</v>
      </c>
      <c r="P806" s="33" t="s">
        <v>1230</v>
      </c>
      <c r="Q806" s="33" t="s">
        <v>157</v>
      </c>
      <c r="R806" s="34"/>
      <c r="S806" s="38"/>
      <c r="T806" s="38" t="s">
        <v>12690</v>
      </c>
    </row>
    <row r="807" spans="1:20" x14ac:dyDescent="0.25">
      <c r="A807" s="33" t="s">
        <v>5976</v>
      </c>
      <c r="B807" s="33" t="s">
        <v>5975</v>
      </c>
      <c r="C807" s="33" t="s">
        <v>141</v>
      </c>
      <c r="D807" s="34"/>
      <c r="E807" s="33">
        <v>2018</v>
      </c>
      <c r="F807" s="34"/>
      <c r="G807" s="34"/>
      <c r="H807" s="33" t="s">
        <v>6709</v>
      </c>
      <c r="I807" s="33" t="s">
        <v>6710</v>
      </c>
      <c r="J807" s="43">
        <v>43160</v>
      </c>
      <c r="K807" s="36"/>
      <c r="L807" s="36"/>
      <c r="M807" s="34"/>
      <c r="N807" s="37" t="s">
        <v>6711</v>
      </c>
      <c r="O807" s="33" t="s">
        <v>5979</v>
      </c>
      <c r="P807" s="33" t="s">
        <v>6712</v>
      </c>
      <c r="Q807" s="36"/>
      <c r="R807" s="36"/>
      <c r="S807" s="33" t="s">
        <v>6713</v>
      </c>
      <c r="T807" s="38" t="s">
        <v>12688</v>
      </c>
    </row>
    <row r="808" spans="1:20" x14ac:dyDescent="0.25">
      <c r="A808" s="33" t="s">
        <v>5976</v>
      </c>
      <c r="B808" s="33" t="s">
        <v>5975</v>
      </c>
      <c r="C808" s="33" t="s">
        <v>141</v>
      </c>
      <c r="D808" s="34"/>
      <c r="E808" s="33">
        <v>2018</v>
      </c>
      <c r="F808" s="45">
        <v>43160</v>
      </c>
      <c r="G808" s="34"/>
      <c r="H808" s="33" t="s">
        <v>5977</v>
      </c>
      <c r="I808" s="33" t="s">
        <v>257</v>
      </c>
      <c r="J808" s="33">
        <v>2018</v>
      </c>
      <c r="K808" s="33">
        <v>9781538649695</v>
      </c>
      <c r="L808" s="34"/>
      <c r="M808" s="34"/>
      <c r="N808" s="37" t="s">
        <v>5978</v>
      </c>
      <c r="O808" s="33" t="s">
        <v>5979</v>
      </c>
      <c r="P808" s="33" t="s">
        <v>5980</v>
      </c>
      <c r="Q808" s="33" t="s">
        <v>5981</v>
      </c>
      <c r="R808" s="34"/>
      <c r="S808" s="38"/>
      <c r="T808" s="38" t="s">
        <v>12690</v>
      </c>
    </row>
    <row r="809" spans="1:20" x14ac:dyDescent="0.25">
      <c r="A809" s="33" t="s">
        <v>1820</v>
      </c>
      <c r="B809" s="33" t="s">
        <v>1819</v>
      </c>
      <c r="C809" s="33" t="s">
        <v>141</v>
      </c>
      <c r="D809" s="34"/>
      <c r="E809" s="33">
        <v>2022</v>
      </c>
      <c r="F809" s="34"/>
      <c r="G809" s="34"/>
      <c r="H809" s="33" t="s">
        <v>7178</v>
      </c>
      <c r="I809" s="33" t="s">
        <v>7179</v>
      </c>
      <c r="J809" s="43">
        <v>44682</v>
      </c>
      <c r="K809" s="36"/>
      <c r="L809" s="36"/>
      <c r="M809" s="33" t="s">
        <v>7180</v>
      </c>
      <c r="N809" s="37" t="s">
        <v>7181</v>
      </c>
      <c r="O809" s="33" t="s">
        <v>1823</v>
      </c>
      <c r="P809" s="33" t="s">
        <v>7182</v>
      </c>
      <c r="Q809" s="36"/>
      <c r="R809" s="36"/>
      <c r="S809" s="33" t="s">
        <v>7183</v>
      </c>
      <c r="T809" s="38" t="s">
        <v>12688</v>
      </c>
    </row>
    <row r="810" spans="1:20" x14ac:dyDescent="0.25">
      <c r="A810" s="33" t="s">
        <v>1820</v>
      </c>
      <c r="B810" s="33" t="s">
        <v>1819</v>
      </c>
      <c r="C810" s="33" t="s">
        <v>141</v>
      </c>
      <c r="D810" s="34"/>
      <c r="E810" s="33">
        <v>2022</v>
      </c>
      <c r="F810" s="34"/>
      <c r="G810" s="34"/>
      <c r="H810" s="33" t="s">
        <v>1821</v>
      </c>
      <c r="I810" s="33" t="s">
        <v>257</v>
      </c>
      <c r="J810" s="33">
        <v>2022</v>
      </c>
      <c r="K810" s="33">
        <v>9789532331035</v>
      </c>
      <c r="L810" s="34"/>
      <c r="M810" s="34"/>
      <c r="N810" s="37" t="s">
        <v>1822</v>
      </c>
      <c r="O810" s="33" t="s">
        <v>1823</v>
      </c>
      <c r="P810" s="33" t="s">
        <v>1824</v>
      </c>
      <c r="Q810" s="33" t="s">
        <v>157</v>
      </c>
      <c r="R810" s="34"/>
      <c r="S810" s="38"/>
      <c r="T810" s="38" t="s">
        <v>12690</v>
      </c>
    </row>
    <row r="811" spans="1:20" x14ac:dyDescent="0.25">
      <c r="A811" s="33" t="s">
        <v>5580</v>
      </c>
      <c r="B811" s="33" t="s">
        <v>5579</v>
      </c>
      <c r="C811" s="33" t="s">
        <v>141</v>
      </c>
      <c r="D811" s="34"/>
      <c r="E811" s="33">
        <v>2017</v>
      </c>
      <c r="F811" s="33">
        <v>2017</v>
      </c>
      <c r="G811" s="34"/>
      <c r="H811" s="33" t="s">
        <v>5581</v>
      </c>
      <c r="I811" s="33" t="s">
        <v>613</v>
      </c>
      <c r="J811" s="33">
        <v>2017</v>
      </c>
      <c r="K811" s="34"/>
      <c r="L811" s="34"/>
      <c r="M811" s="33" t="s">
        <v>614</v>
      </c>
      <c r="N811" s="37" t="s">
        <v>5582</v>
      </c>
      <c r="O811" s="34"/>
      <c r="P811" s="33" t="s">
        <v>5583</v>
      </c>
      <c r="Q811" s="33" t="s">
        <v>2110</v>
      </c>
      <c r="R811" s="34"/>
      <c r="S811" s="38"/>
      <c r="T811" s="38" t="s">
        <v>12690</v>
      </c>
    </row>
    <row r="812" spans="1:20" x14ac:dyDescent="0.25">
      <c r="A812" s="33" t="s">
        <v>4379</v>
      </c>
      <c r="B812" s="33" t="s">
        <v>4378</v>
      </c>
      <c r="C812" s="33" t="s">
        <v>13</v>
      </c>
      <c r="D812" s="33" t="s">
        <v>4380</v>
      </c>
      <c r="E812" s="33">
        <v>2019</v>
      </c>
      <c r="F812" s="33">
        <v>28</v>
      </c>
      <c r="G812" s="33">
        <v>3</v>
      </c>
      <c r="H812" s="33" t="s">
        <v>4381</v>
      </c>
      <c r="I812" s="33" t="s">
        <v>4382</v>
      </c>
      <c r="J812" s="33">
        <v>2019</v>
      </c>
      <c r="K812" s="34"/>
      <c r="L812" s="34"/>
      <c r="M812" s="33" t="s">
        <v>4383</v>
      </c>
      <c r="N812" s="37" t="s">
        <v>4384</v>
      </c>
      <c r="O812" s="33" t="s">
        <v>4385</v>
      </c>
      <c r="P812" s="33" t="s">
        <v>4386</v>
      </c>
      <c r="Q812" s="33" t="s">
        <v>1676</v>
      </c>
      <c r="R812" s="34"/>
      <c r="S812" s="38"/>
      <c r="T812" s="38" t="s">
        <v>12690</v>
      </c>
    </row>
    <row r="813" spans="1:20" x14ac:dyDescent="0.25">
      <c r="A813" s="33" t="s">
        <v>820</v>
      </c>
      <c r="B813" s="33" t="s">
        <v>819</v>
      </c>
      <c r="C813" s="33" t="s">
        <v>13</v>
      </c>
      <c r="D813" s="33" t="s">
        <v>255</v>
      </c>
      <c r="E813" s="33">
        <v>2022</v>
      </c>
      <c r="F813" s="33">
        <v>48</v>
      </c>
      <c r="G813" s="33">
        <v>9</v>
      </c>
      <c r="H813" s="33" t="s">
        <v>6738</v>
      </c>
      <c r="I813" s="34"/>
      <c r="J813" s="43">
        <v>44805</v>
      </c>
      <c r="K813" s="36"/>
      <c r="L813" s="36"/>
      <c r="M813" s="33" t="s">
        <v>6115</v>
      </c>
      <c r="N813" s="37" t="s">
        <v>6739</v>
      </c>
      <c r="O813" s="33" t="s">
        <v>823</v>
      </c>
      <c r="P813" s="33" t="s">
        <v>6740</v>
      </c>
      <c r="Q813" s="36"/>
      <c r="R813" s="36"/>
      <c r="S813" s="33" t="s">
        <v>6741</v>
      </c>
      <c r="T813" s="38" t="s">
        <v>12688</v>
      </c>
    </row>
    <row r="814" spans="1:20" x14ac:dyDescent="0.25">
      <c r="A814" s="33" t="s">
        <v>820</v>
      </c>
      <c r="B814" s="33" t="s">
        <v>819</v>
      </c>
      <c r="C814" s="33" t="s">
        <v>13</v>
      </c>
      <c r="D814" s="33" t="s">
        <v>255</v>
      </c>
      <c r="E814" s="33">
        <v>2022</v>
      </c>
      <c r="F814" s="33">
        <v>48</v>
      </c>
      <c r="G814" s="33">
        <v>9</v>
      </c>
      <c r="H814" s="33" t="s">
        <v>821</v>
      </c>
      <c r="I814" s="33" t="s">
        <v>257</v>
      </c>
      <c r="J814" s="33">
        <v>2022</v>
      </c>
      <c r="K814" s="34"/>
      <c r="L814" s="34"/>
      <c r="M814" s="33" t="s">
        <v>18</v>
      </c>
      <c r="N814" s="37" t="s">
        <v>822</v>
      </c>
      <c r="O814" s="33" t="s">
        <v>823</v>
      </c>
      <c r="P814" s="33" t="s">
        <v>824</v>
      </c>
      <c r="Q814" s="33" t="s">
        <v>318</v>
      </c>
      <c r="R814" s="34"/>
      <c r="S814" s="38"/>
      <c r="T814" s="38" t="s">
        <v>12690</v>
      </c>
    </row>
    <row r="815" spans="1:20" x14ac:dyDescent="0.25">
      <c r="A815" s="33" t="s">
        <v>218</v>
      </c>
      <c r="B815" s="33" t="s">
        <v>217</v>
      </c>
      <c r="C815" s="33" t="s">
        <v>13</v>
      </c>
      <c r="D815" s="33" t="s">
        <v>219</v>
      </c>
      <c r="E815" s="33">
        <v>2022</v>
      </c>
      <c r="F815" s="33">
        <v>24</v>
      </c>
      <c r="G815" s="33">
        <v>4</v>
      </c>
      <c r="H815" s="33" t="s">
        <v>220</v>
      </c>
      <c r="I815" s="33" t="s">
        <v>212</v>
      </c>
      <c r="J815" s="33">
        <v>2022</v>
      </c>
      <c r="K815" s="34"/>
      <c r="L815" s="34"/>
      <c r="M815" s="33" t="s">
        <v>221</v>
      </c>
      <c r="N815" s="37" t="s">
        <v>222</v>
      </c>
      <c r="O815" s="33" t="s">
        <v>223</v>
      </c>
      <c r="P815" s="33" t="s">
        <v>224</v>
      </c>
      <c r="Q815" s="33" t="s">
        <v>176</v>
      </c>
      <c r="R815" s="34"/>
      <c r="S815" s="38"/>
      <c r="T815" s="38" t="s">
        <v>12690</v>
      </c>
    </row>
    <row r="816" spans="1:20" x14ac:dyDescent="0.25">
      <c r="A816" s="39" t="s">
        <v>218</v>
      </c>
      <c r="B816" s="39" t="s">
        <v>10573</v>
      </c>
      <c r="C816" s="39" t="s">
        <v>9478</v>
      </c>
      <c r="D816" s="36"/>
      <c r="E816" s="39">
        <v>2022</v>
      </c>
      <c r="F816" s="39">
        <v>24</v>
      </c>
      <c r="G816" s="39">
        <v>4</v>
      </c>
      <c r="H816" s="36"/>
      <c r="I816" s="39" t="s">
        <v>219</v>
      </c>
      <c r="J816" s="36"/>
      <c r="K816" s="36"/>
      <c r="L816" s="36"/>
      <c r="M816" s="34"/>
      <c r="N816" s="41" t="s">
        <v>10574</v>
      </c>
      <c r="O816" s="39" t="s">
        <v>223</v>
      </c>
      <c r="P816" s="33"/>
      <c r="Q816" s="36"/>
      <c r="R816" s="34"/>
      <c r="S816" s="38"/>
      <c r="T816" s="38" t="s">
        <v>12689</v>
      </c>
    </row>
    <row r="817" spans="1:20" x14ac:dyDescent="0.25">
      <c r="A817" s="33" t="s">
        <v>7434</v>
      </c>
      <c r="B817" s="33" t="s">
        <v>7433</v>
      </c>
      <c r="C817" s="33" t="s">
        <v>141</v>
      </c>
      <c r="D817" s="34"/>
      <c r="E817" s="33">
        <v>2021</v>
      </c>
      <c r="F817" s="33">
        <v>2</v>
      </c>
      <c r="G817" s="34"/>
      <c r="H817" s="33" t="s">
        <v>7435</v>
      </c>
      <c r="I817" s="33" t="s">
        <v>7436</v>
      </c>
      <c r="J817" s="43">
        <v>44440</v>
      </c>
      <c r="K817" s="36"/>
      <c r="L817" s="36"/>
      <c r="M817" s="33" t="s">
        <v>7437</v>
      </c>
      <c r="N817" s="37" t="s">
        <v>7438</v>
      </c>
      <c r="O817" s="33" t="s">
        <v>7439</v>
      </c>
      <c r="P817" s="33" t="s">
        <v>7440</v>
      </c>
      <c r="Q817" s="36"/>
      <c r="R817" s="36"/>
      <c r="S817" s="33" t="s">
        <v>7441</v>
      </c>
      <c r="T817" s="38" t="s">
        <v>12688</v>
      </c>
    </row>
    <row r="818" spans="1:20" x14ac:dyDescent="0.25">
      <c r="A818" s="33" t="s">
        <v>4421</v>
      </c>
      <c r="B818" s="33" t="s">
        <v>4420</v>
      </c>
      <c r="C818" s="33" t="s">
        <v>141</v>
      </c>
      <c r="D818" s="34"/>
      <c r="E818" s="33">
        <v>2020</v>
      </c>
      <c r="F818" s="34"/>
      <c r="G818" s="34"/>
      <c r="H818" s="33" t="s">
        <v>6453</v>
      </c>
      <c r="I818" s="33" t="s">
        <v>6454</v>
      </c>
      <c r="J818" s="43">
        <v>43983</v>
      </c>
      <c r="K818" s="36"/>
      <c r="L818" s="36"/>
      <c r="M818" s="34"/>
      <c r="N818" s="37" t="s">
        <v>6455</v>
      </c>
      <c r="O818" s="33" t="s">
        <v>4424</v>
      </c>
      <c r="P818" s="33" t="s">
        <v>6456</v>
      </c>
      <c r="Q818" s="36"/>
      <c r="R818" s="36"/>
      <c r="S818" s="33" t="s">
        <v>6457</v>
      </c>
      <c r="T818" s="38" t="s">
        <v>12688</v>
      </c>
    </row>
    <row r="819" spans="1:20" x14ac:dyDescent="0.25">
      <c r="A819" s="33" t="s">
        <v>4421</v>
      </c>
      <c r="B819" s="33" t="s">
        <v>4420</v>
      </c>
      <c r="C819" s="33" t="s">
        <v>141</v>
      </c>
      <c r="D819" s="34"/>
      <c r="E819" s="33">
        <v>2020</v>
      </c>
      <c r="F819" s="34"/>
      <c r="G819" s="34"/>
      <c r="H819" s="33" t="s">
        <v>4422</v>
      </c>
      <c r="I819" s="33" t="s">
        <v>257</v>
      </c>
      <c r="J819" s="33">
        <v>2020</v>
      </c>
      <c r="K819" s="33">
        <v>9781728170169</v>
      </c>
      <c r="L819" s="34"/>
      <c r="M819" s="34"/>
      <c r="N819" s="37" t="s">
        <v>4423</v>
      </c>
      <c r="O819" s="33" t="s">
        <v>4424</v>
      </c>
      <c r="P819" s="33" t="s">
        <v>4425</v>
      </c>
      <c r="Q819" s="33" t="s">
        <v>318</v>
      </c>
      <c r="R819" s="34"/>
      <c r="S819" s="38"/>
      <c r="T819" s="38" t="s">
        <v>12690</v>
      </c>
    </row>
    <row r="820" spans="1:20" x14ac:dyDescent="0.25">
      <c r="A820" s="33" t="s">
        <v>6868</v>
      </c>
      <c r="B820" s="33" t="s">
        <v>6867</v>
      </c>
      <c r="C820" s="33" t="s">
        <v>13</v>
      </c>
      <c r="D820" s="33" t="s">
        <v>255</v>
      </c>
      <c r="E820" s="33">
        <v>2016</v>
      </c>
      <c r="F820" s="33">
        <v>42</v>
      </c>
      <c r="G820" s="33">
        <v>11</v>
      </c>
      <c r="H820" s="33" t="s">
        <v>6869</v>
      </c>
      <c r="I820" s="34"/>
      <c r="J820" s="35">
        <v>42675</v>
      </c>
      <c r="K820" s="36"/>
      <c r="L820" s="36"/>
      <c r="M820" s="33" t="s">
        <v>6115</v>
      </c>
      <c r="N820" s="37" t="s">
        <v>6870</v>
      </c>
      <c r="O820" s="33" t="s">
        <v>6871</v>
      </c>
      <c r="P820" s="33" t="s">
        <v>6872</v>
      </c>
      <c r="Q820" s="36"/>
      <c r="R820" s="36"/>
      <c r="S820" s="33" t="s">
        <v>6873</v>
      </c>
      <c r="T820" s="38" t="s">
        <v>12688</v>
      </c>
    </row>
    <row r="821" spans="1:20" x14ac:dyDescent="0.25">
      <c r="A821" s="39" t="s">
        <v>10444</v>
      </c>
      <c r="B821" s="39" t="s">
        <v>10446</v>
      </c>
      <c r="C821" s="39" t="s">
        <v>539</v>
      </c>
      <c r="D821" s="36"/>
      <c r="E821" s="39">
        <v>2021</v>
      </c>
      <c r="F821" s="40"/>
      <c r="G821" s="40"/>
      <c r="H821" s="36"/>
      <c r="I821" s="40"/>
      <c r="J821" s="36"/>
      <c r="K821" s="36"/>
      <c r="L821" s="36"/>
      <c r="M821" s="34"/>
      <c r="N821" s="41" t="s">
        <v>10447</v>
      </c>
      <c r="O821" s="39" t="s">
        <v>10445</v>
      </c>
      <c r="P821" s="33"/>
      <c r="Q821" s="36"/>
      <c r="R821" s="34"/>
      <c r="S821" s="38"/>
      <c r="T821" s="38" t="s">
        <v>12689</v>
      </c>
    </row>
    <row r="822" spans="1:20" x14ac:dyDescent="0.25">
      <c r="A822" s="33" t="s">
        <v>4576</v>
      </c>
      <c r="B822" s="33" t="s">
        <v>4575</v>
      </c>
      <c r="C822" s="33" t="s">
        <v>141</v>
      </c>
      <c r="D822" s="34"/>
      <c r="E822" s="33">
        <v>2020</v>
      </c>
      <c r="F822" s="34"/>
      <c r="G822" s="34"/>
      <c r="H822" s="33" t="s">
        <v>11779</v>
      </c>
      <c r="I822" s="44" t="s">
        <v>12716</v>
      </c>
      <c r="J822" s="33">
        <v>2020</v>
      </c>
      <c r="K822" s="33">
        <v>9781450375177</v>
      </c>
      <c r="L822" s="33" t="s">
        <v>11527</v>
      </c>
      <c r="M822" s="34"/>
      <c r="N822" s="37" t="s">
        <v>11780</v>
      </c>
      <c r="O822" s="33" t="s">
        <v>4579</v>
      </c>
      <c r="P822" s="33" t="s">
        <v>11781</v>
      </c>
      <c r="Q822" s="36"/>
      <c r="R822" s="36"/>
      <c r="S822" s="33" t="s">
        <v>11782</v>
      </c>
      <c r="T822" s="33" t="s">
        <v>12692</v>
      </c>
    </row>
    <row r="823" spans="1:20" x14ac:dyDescent="0.25">
      <c r="A823" s="33" t="s">
        <v>4576</v>
      </c>
      <c r="B823" s="33" t="s">
        <v>4575</v>
      </c>
      <c r="C823" s="33" t="s">
        <v>141</v>
      </c>
      <c r="D823" s="34"/>
      <c r="E823" s="33">
        <v>2020</v>
      </c>
      <c r="F823" s="34"/>
      <c r="G823" s="34"/>
      <c r="H823" s="33" t="s">
        <v>4577</v>
      </c>
      <c r="I823" s="33" t="s">
        <v>153</v>
      </c>
      <c r="J823" s="33">
        <v>2020</v>
      </c>
      <c r="K823" s="33">
        <v>9781450379571</v>
      </c>
      <c r="L823" s="34"/>
      <c r="M823" s="34"/>
      <c r="N823" s="37" t="s">
        <v>4578</v>
      </c>
      <c r="O823" s="33" t="s">
        <v>4579</v>
      </c>
      <c r="P823" s="33" t="s">
        <v>4580</v>
      </c>
      <c r="Q823" s="33" t="s">
        <v>4581</v>
      </c>
      <c r="R823" s="34"/>
      <c r="S823" s="38"/>
      <c r="T823" s="38" t="s">
        <v>12690</v>
      </c>
    </row>
    <row r="824" spans="1:20" x14ac:dyDescent="0.25">
      <c r="A824" s="33" t="s">
        <v>3512</v>
      </c>
      <c r="B824" s="33" t="s">
        <v>3511</v>
      </c>
      <c r="C824" s="33" t="s">
        <v>13</v>
      </c>
      <c r="D824" s="33" t="s">
        <v>1870</v>
      </c>
      <c r="E824" s="33">
        <v>2021</v>
      </c>
      <c r="F824" s="33" t="s">
        <v>3513</v>
      </c>
      <c r="G824" s="34"/>
      <c r="H824" s="33" t="s">
        <v>3514</v>
      </c>
      <c r="I824" s="33" t="s">
        <v>212</v>
      </c>
      <c r="J824" s="33">
        <v>2021</v>
      </c>
      <c r="K824" s="34"/>
      <c r="L824" s="34"/>
      <c r="M824" s="33" t="s">
        <v>1873</v>
      </c>
      <c r="N824" s="37" t="s">
        <v>3515</v>
      </c>
      <c r="O824" s="33" t="s">
        <v>3516</v>
      </c>
      <c r="P824" s="33" t="s">
        <v>3517</v>
      </c>
      <c r="Q824" s="33" t="s">
        <v>1656</v>
      </c>
      <c r="R824" s="34"/>
      <c r="S824" s="38"/>
      <c r="T824" s="38" t="s">
        <v>12690</v>
      </c>
    </row>
    <row r="825" spans="1:20" x14ac:dyDescent="0.25">
      <c r="A825" s="39" t="s">
        <v>3512</v>
      </c>
      <c r="B825" s="39" t="s">
        <v>10666</v>
      </c>
      <c r="C825" s="39" t="s">
        <v>9539</v>
      </c>
      <c r="D825" s="36"/>
      <c r="E825" s="39">
        <v>2021</v>
      </c>
      <c r="F825" s="40"/>
      <c r="G825" s="40"/>
      <c r="H825" s="36"/>
      <c r="I825" s="39" t="s">
        <v>9315</v>
      </c>
      <c r="J825" s="36"/>
      <c r="K825" s="36"/>
      <c r="L825" s="36"/>
      <c r="M825" s="34"/>
      <c r="N825" s="41" t="s">
        <v>10667</v>
      </c>
      <c r="O825" s="39" t="s">
        <v>3516</v>
      </c>
      <c r="P825" s="33"/>
      <c r="Q825" s="36"/>
      <c r="R825" s="34"/>
      <c r="S825" s="38"/>
      <c r="T825" s="38" t="s">
        <v>12689</v>
      </c>
    </row>
    <row r="826" spans="1:20" x14ac:dyDescent="0.25">
      <c r="A826" s="33" t="s">
        <v>11646</v>
      </c>
      <c r="B826" s="33" t="s">
        <v>1784</v>
      </c>
      <c r="C826" s="33" t="s">
        <v>141</v>
      </c>
      <c r="D826" s="34"/>
      <c r="E826" s="33">
        <v>2020</v>
      </c>
      <c r="F826" s="34"/>
      <c r="G826" s="34"/>
      <c r="H826" s="33" t="s">
        <v>11155</v>
      </c>
      <c r="I826" s="44" t="s">
        <v>12760</v>
      </c>
      <c r="J826" s="33">
        <v>2020</v>
      </c>
      <c r="K826" s="33">
        <v>9781450375122</v>
      </c>
      <c r="L826" s="33" t="s">
        <v>11456</v>
      </c>
      <c r="M826" s="34"/>
      <c r="N826" s="37" t="s">
        <v>11647</v>
      </c>
      <c r="O826" s="33" t="s">
        <v>5103</v>
      </c>
      <c r="P826" s="33" t="s">
        <v>11648</v>
      </c>
      <c r="Q826" s="36"/>
      <c r="R826" s="36"/>
      <c r="S826" s="33" t="s">
        <v>11649</v>
      </c>
      <c r="T826" s="33" t="s">
        <v>12692</v>
      </c>
    </row>
    <row r="827" spans="1:20" x14ac:dyDescent="0.25">
      <c r="A827" s="33" t="s">
        <v>11646</v>
      </c>
      <c r="B827" s="33" t="s">
        <v>1784</v>
      </c>
      <c r="C827" s="33" t="s">
        <v>141</v>
      </c>
      <c r="D827" s="34"/>
      <c r="E827" s="33">
        <v>2020</v>
      </c>
      <c r="F827" s="34"/>
      <c r="G827" s="34"/>
      <c r="H827" s="33" t="s">
        <v>3699</v>
      </c>
      <c r="I827" s="33" t="s">
        <v>153</v>
      </c>
      <c r="J827" s="33">
        <v>2020</v>
      </c>
      <c r="K827" s="33">
        <v>9781450375122</v>
      </c>
      <c r="L827" s="34"/>
      <c r="M827" s="34"/>
      <c r="N827" s="37" t="s">
        <v>5102</v>
      </c>
      <c r="O827" s="33" t="s">
        <v>5103</v>
      </c>
      <c r="P827" s="33" t="s">
        <v>5104</v>
      </c>
      <c r="Q827" s="33" t="s">
        <v>1573</v>
      </c>
      <c r="R827" s="34"/>
      <c r="S827" s="38"/>
      <c r="T827" s="38" t="s">
        <v>12690</v>
      </c>
    </row>
    <row r="828" spans="1:20" x14ac:dyDescent="0.25">
      <c r="A828" s="33" t="s">
        <v>3751</v>
      </c>
      <c r="B828" s="33" t="s">
        <v>3750</v>
      </c>
      <c r="C828" s="33" t="s">
        <v>13</v>
      </c>
      <c r="D828" s="33" t="s">
        <v>3752</v>
      </c>
      <c r="E828" s="33">
        <v>2021</v>
      </c>
      <c r="F828" s="33">
        <v>46</v>
      </c>
      <c r="G828" s="33">
        <v>1</v>
      </c>
      <c r="H828" s="33" t="s">
        <v>3753</v>
      </c>
      <c r="I828" s="33" t="s">
        <v>3754</v>
      </c>
      <c r="J828" s="33">
        <v>2021</v>
      </c>
      <c r="K828" s="34"/>
      <c r="L828" s="34"/>
      <c r="M828" s="33" t="s">
        <v>3755</v>
      </c>
      <c r="N828" s="37" t="s">
        <v>3756</v>
      </c>
      <c r="O828" s="33" t="s">
        <v>3757</v>
      </c>
      <c r="P828" s="33" t="s">
        <v>3758</v>
      </c>
      <c r="Q828" s="33" t="s">
        <v>568</v>
      </c>
      <c r="R828" s="34"/>
      <c r="S828" s="38"/>
      <c r="T828" s="38" t="s">
        <v>12690</v>
      </c>
    </row>
    <row r="829" spans="1:20" x14ac:dyDescent="0.25">
      <c r="A829" s="33" t="s">
        <v>1685</v>
      </c>
      <c r="B829" s="33" t="s">
        <v>1684</v>
      </c>
      <c r="C829" s="33" t="s">
        <v>13</v>
      </c>
      <c r="D829" s="33" t="s">
        <v>1686</v>
      </c>
      <c r="E829" s="33">
        <v>2021</v>
      </c>
      <c r="F829" s="33">
        <v>8</v>
      </c>
      <c r="G829" s="33">
        <v>22</v>
      </c>
      <c r="H829" s="33" t="s">
        <v>8087</v>
      </c>
      <c r="I829" s="34"/>
      <c r="J829" s="35">
        <v>44501</v>
      </c>
      <c r="K829" s="34"/>
      <c r="L829" s="36"/>
      <c r="M829" s="33" t="s">
        <v>1688</v>
      </c>
      <c r="N829" s="37" t="s">
        <v>8088</v>
      </c>
      <c r="O829" s="33" t="s">
        <v>1690</v>
      </c>
      <c r="P829" s="33" t="s">
        <v>8089</v>
      </c>
      <c r="Q829" s="36"/>
      <c r="R829" s="36"/>
      <c r="S829" s="33" t="s">
        <v>8090</v>
      </c>
      <c r="T829" s="38" t="s">
        <v>12688</v>
      </c>
    </row>
    <row r="830" spans="1:20" x14ac:dyDescent="0.25">
      <c r="A830" s="33" t="s">
        <v>1685</v>
      </c>
      <c r="B830" s="33" t="s">
        <v>1684</v>
      </c>
      <c r="C830" s="33" t="s">
        <v>13</v>
      </c>
      <c r="D830" s="33" t="s">
        <v>1686</v>
      </c>
      <c r="E830" s="33">
        <v>2021</v>
      </c>
      <c r="F830" s="33">
        <v>8</v>
      </c>
      <c r="G830" s="33">
        <v>22</v>
      </c>
      <c r="H830" s="33" t="s">
        <v>1687</v>
      </c>
      <c r="I830" s="33" t="s">
        <v>257</v>
      </c>
      <c r="J830" s="33">
        <v>2021</v>
      </c>
      <c r="K830" s="34"/>
      <c r="L830" s="34"/>
      <c r="M830" s="33" t="s">
        <v>1688</v>
      </c>
      <c r="N830" s="37" t="s">
        <v>1689</v>
      </c>
      <c r="O830" s="33" t="s">
        <v>1690</v>
      </c>
      <c r="P830" s="33" t="s">
        <v>1691</v>
      </c>
      <c r="Q830" s="33" t="s">
        <v>1598</v>
      </c>
      <c r="R830" s="34"/>
      <c r="S830" s="38"/>
      <c r="T830" s="38" t="s">
        <v>12690</v>
      </c>
    </row>
    <row r="831" spans="1:20" x14ac:dyDescent="0.25">
      <c r="A831" s="33" t="s">
        <v>3216</v>
      </c>
      <c r="B831" s="33" t="s">
        <v>3215</v>
      </c>
      <c r="C831" s="33" t="s">
        <v>141</v>
      </c>
      <c r="D831" s="34"/>
      <c r="E831" s="33">
        <v>2020</v>
      </c>
      <c r="F831" s="34"/>
      <c r="G831" s="34"/>
      <c r="H831" s="34"/>
      <c r="I831" s="33" t="s">
        <v>257</v>
      </c>
      <c r="J831" s="33">
        <v>2020</v>
      </c>
      <c r="K831" s="33">
        <v>9789532900996</v>
      </c>
      <c r="L831" s="34"/>
      <c r="M831" s="34"/>
      <c r="N831" s="37" t="s">
        <v>3217</v>
      </c>
      <c r="O831" s="33" t="s">
        <v>3218</v>
      </c>
      <c r="P831" s="33" t="s">
        <v>3219</v>
      </c>
      <c r="Q831" s="33" t="s">
        <v>3003</v>
      </c>
      <c r="R831" s="34"/>
      <c r="S831" s="38"/>
      <c r="T831" s="38" t="s">
        <v>12690</v>
      </c>
    </row>
    <row r="832" spans="1:20" x14ac:dyDescent="0.25">
      <c r="A832" s="33" t="s">
        <v>3216</v>
      </c>
      <c r="B832" s="33" t="s">
        <v>3215</v>
      </c>
      <c r="C832" s="33" t="s">
        <v>141</v>
      </c>
      <c r="D832" s="34"/>
      <c r="E832" s="33">
        <v>2020</v>
      </c>
      <c r="F832" s="34"/>
      <c r="G832" s="34"/>
      <c r="H832" s="42">
        <v>44932</v>
      </c>
      <c r="I832" s="33" t="s">
        <v>6923</v>
      </c>
      <c r="J832" s="43">
        <v>44075</v>
      </c>
      <c r="K832" s="36"/>
      <c r="L832" s="36"/>
      <c r="M832" s="33" t="s">
        <v>6924</v>
      </c>
      <c r="N832" s="37" t="s">
        <v>6925</v>
      </c>
      <c r="O832" s="33" t="s">
        <v>3218</v>
      </c>
      <c r="P832" s="33" t="s">
        <v>6926</v>
      </c>
      <c r="Q832" s="36"/>
      <c r="R832" s="36"/>
      <c r="S832" s="33" t="s">
        <v>6927</v>
      </c>
      <c r="T832" s="38" t="s">
        <v>12688</v>
      </c>
    </row>
    <row r="833" spans="1:20" x14ac:dyDescent="0.25">
      <c r="A833" s="39" t="s">
        <v>10165</v>
      </c>
      <c r="B833" s="39" t="s">
        <v>10167</v>
      </c>
      <c r="C833" s="39" t="s">
        <v>9539</v>
      </c>
      <c r="D833" s="36"/>
      <c r="E833" s="39">
        <v>2020</v>
      </c>
      <c r="F833" s="40"/>
      <c r="G833" s="40"/>
      <c r="H833" s="36"/>
      <c r="I833" s="39" t="s">
        <v>10164</v>
      </c>
      <c r="J833" s="36"/>
      <c r="K833" s="36"/>
      <c r="L833" s="36"/>
      <c r="M833" s="34"/>
      <c r="N833" s="41" t="s">
        <v>10168</v>
      </c>
      <c r="O833" s="39" t="s">
        <v>10166</v>
      </c>
      <c r="P833" s="33"/>
      <c r="Q833" s="36"/>
      <c r="R833" s="34"/>
      <c r="S833" s="38"/>
      <c r="T833" s="38" t="s">
        <v>12689</v>
      </c>
    </row>
    <row r="834" spans="1:20" x14ac:dyDescent="0.25">
      <c r="A834" s="33" t="s">
        <v>7536</v>
      </c>
      <c r="B834" s="33" t="s">
        <v>7535</v>
      </c>
      <c r="C834" s="33" t="s">
        <v>13</v>
      </c>
      <c r="D834" s="33" t="s">
        <v>255</v>
      </c>
      <c r="E834" s="33">
        <v>2022</v>
      </c>
      <c r="F834" s="33">
        <v>48</v>
      </c>
      <c r="G834" s="33">
        <v>10</v>
      </c>
      <c r="H834" s="33" t="s">
        <v>7537</v>
      </c>
      <c r="I834" s="34"/>
      <c r="J834" s="35">
        <v>44835</v>
      </c>
      <c r="K834" s="36"/>
      <c r="L834" s="36"/>
      <c r="M834" s="33" t="s">
        <v>6115</v>
      </c>
      <c r="N834" s="37" t="s">
        <v>7538</v>
      </c>
      <c r="O834" s="33" t="s">
        <v>7539</v>
      </c>
      <c r="P834" s="33" t="s">
        <v>7540</v>
      </c>
      <c r="Q834" s="36"/>
      <c r="R834" s="36"/>
      <c r="S834" s="33" t="s">
        <v>7541</v>
      </c>
      <c r="T834" s="38" t="s">
        <v>12688</v>
      </c>
    </row>
    <row r="835" spans="1:20" x14ac:dyDescent="0.25">
      <c r="A835" s="33" t="s">
        <v>12569</v>
      </c>
      <c r="B835" s="33" t="s">
        <v>12568</v>
      </c>
      <c r="C835" s="33" t="s">
        <v>141</v>
      </c>
      <c r="D835" s="34"/>
      <c r="E835" s="33">
        <v>2017</v>
      </c>
      <c r="F835" s="34"/>
      <c r="G835" s="34"/>
      <c r="H835" s="33">
        <v>326</v>
      </c>
      <c r="I835" s="44" t="s">
        <v>12761</v>
      </c>
      <c r="J835" s="33">
        <v>2017</v>
      </c>
      <c r="K835" s="34"/>
      <c r="L835" s="33" t="s">
        <v>12573</v>
      </c>
      <c r="M835" s="34"/>
      <c r="N835" s="34"/>
      <c r="O835" s="34"/>
      <c r="P835" s="33" t="s">
        <v>12572</v>
      </c>
      <c r="Q835" s="36"/>
      <c r="R835" s="36"/>
      <c r="S835" s="34"/>
      <c r="T835" s="33" t="s">
        <v>12692</v>
      </c>
    </row>
    <row r="836" spans="1:20" x14ac:dyDescent="0.25">
      <c r="A836" s="33" t="s">
        <v>9191</v>
      </c>
      <c r="B836" s="33" t="s">
        <v>9190</v>
      </c>
      <c r="C836" s="33" t="s">
        <v>13</v>
      </c>
      <c r="D836" s="33" t="s">
        <v>9031</v>
      </c>
      <c r="E836" s="33">
        <v>2019</v>
      </c>
      <c r="F836" s="33">
        <v>148</v>
      </c>
      <c r="G836" s="36"/>
      <c r="H836" s="33">
        <v>119735</v>
      </c>
      <c r="I836" s="36"/>
      <c r="J836" s="33">
        <v>2019</v>
      </c>
      <c r="K836" s="34"/>
      <c r="L836" s="34"/>
      <c r="M836" s="33" t="s">
        <v>9032</v>
      </c>
      <c r="N836" s="37" t="s">
        <v>9192</v>
      </c>
      <c r="O836" s="33" t="s">
        <v>9193</v>
      </c>
      <c r="P836" s="33" t="s">
        <v>9194</v>
      </c>
      <c r="Q836" s="36"/>
      <c r="R836" s="36"/>
      <c r="S836" s="33" t="s">
        <v>9195</v>
      </c>
      <c r="T836" s="38" t="s">
        <v>12693</v>
      </c>
    </row>
    <row r="837" spans="1:20" x14ac:dyDescent="0.25">
      <c r="A837" s="39" t="s">
        <v>9613</v>
      </c>
      <c r="B837" s="39" t="s">
        <v>9615</v>
      </c>
      <c r="C837" s="39" t="s">
        <v>539</v>
      </c>
      <c r="D837" s="36"/>
      <c r="E837" s="39">
        <v>2018</v>
      </c>
      <c r="F837" s="40"/>
      <c r="G837" s="40"/>
      <c r="H837" s="36"/>
      <c r="I837" s="40"/>
      <c r="J837" s="36"/>
      <c r="K837" s="36"/>
      <c r="L837" s="36"/>
      <c r="M837" s="34"/>
      <c r="N837" s="41" t="s">
        <v>9616</v>
      </c>
      <c r="O837" s="39" t="s">
        <v>9614</v>
      </c>
      <c r="P837" s="33"/>
      <c r="Q837" s="36"/>
      <c r="R837" s="34"/>
      <c r="S837" s="38"/>
      <c r="T837" s="38" t="s">
        <v>12689</v>
      </c>
    </row>
    <row r="838" spans="1:20" x14ac:dyDescent="0.25">
      <c r="A838" s="33" t="s">
        <v>5009</v>
      </c>
      <c r="B838" s="33" t="s">
        <v>5008</v>
      </c>
      <c r="C838" s="33" t="s">
        <v>13</v>
      </c>
      <c r="D838" s="33" t="s">
        <v>1870</v>
      </c>
      <c r="E838" s="33">
        <v>2020</v>
      </c>
      <c r="F838" s="33">
        <v>410</v>
      </c>
      <c r="G838" s="34"/>
      <c r="H838" s="33" t="s">
        <v>5010</v>
      </c>
      <c r="I838" s="33" t="s">
        <v>212</v>
      </c>
      <c r="J838" s="33">
        <v>2020</v>
      </c>
      <c r="K838" s="34"/>
      <c r="L838" s="34"/>
      <c r="M838" s="33" t="s">
        <v>1873</v>
      </c>
      <c r="N838" s="37" t="s">
        <v>5011</v>
      </c>
      <c r="O838" s="33" t="s">
        <v>5012</v>
      </c>
      <c r="P838" s="33" t="s">
        <v>5013</v>
      </c>
      <c r="Q838" s="33" t="s">
        <v>176</v>
      </c>
      <c r="R838" s="34"/>
      <c r="S838" s="38"/>
      <c r="T838" s="38" t="s">
        <v>12690</v>
      </c>
    </row>
    <row r="839" spans="1:20" x14ac:dyDescent="0.25">
      <c r="A839" s="33" t="s">
        <v>1772</v>
      </c>
      <c r="B839" s="33" t="s">
        <v>1771</v>
      </c>
      <c r="C839" s="33" t="s">
        <v>13</v>
      </c>
      <c r="D839" s="33" t="s">
        <v>1773</v>
      </c>
      <c r="E839" s="33">
        <v>2022</v>
      </c>
      <c r="F839" s="34"/>
      <c r="G839" s="34"/>
      <c r="H839" s="34"/>
      <c r="I839" s="33" t="s">
        <v>1714</v>
      </c>
      <c r="J839" s="33">
        <v>2022</v>
      </c>
      <c r="K839" s="34"/>
      <c r="L839" s="34"/>
      <c r="M839" s="33" t="s">
        <v>1774</v>
      </c>
      <c r="N839" s="37" t="s">
        <v>1775</v>
      </c>
      <c r="O839" s="33" t="s">
        <v>1776</v>
      </c>
      <c r="P839" s="33" t="s">
        <v>1777</v>
      </c>
      <c r="Q839" s="33" t="s">
        <v>585</v>
      </c>
      <c r="R839" s="34"/>
      <c r="S839" s="38"/>
      <c r="T839" s="38" t="s">
        <v>12690</v>
      </c>
    </row>
    <row r="840" spans="1:20" x14ac:dyDescent="0.25">
      <c r="A840" s="39" t="s">
        <v>10056</v>
      </c>
      <c r="B840" s="39" t="s">
        <v>10058</v>
      </c>
      <c r="C840" s="39" t="s">
        <v>539</v>
      </c>
      <c r="D840" s="36"/>
      <c r="E840" s="39">
        <v>2019</v>
      </c>
      <c r="F840" s="40"/>
      <c r="G840" s="40"/>
      <c r="H840" s="36"/>
      <c r="I840" s="39" t="s">
        <v>9839</v>
      </c>
      <c r="J840" s="36"/>
      <c r="K840" s="36"/>
      <c r="L840" s="36"/>
      <c r="M840" s="34"/>
      <c r="N840" s="41" t="s">
        <v>10059</v>
      </c>
      <c r="O840" s="39" t="s">
        <v>10057</v>
      </c>
      <c r="P840" s="33"/>
      <c r="Q840" s="36"/>
      <c r="R840" s="34"/>
      <c r="S840" s="38"/>
      <c r="T840" s="38" t="s">
        <v>12689</v>
      </c>
    </row>
    <row r="841" spans="1:20" x14ac:dyDescent="0.25">
      <c r="A841" s="39" t="s">
        <v>9840</v>
      </c>
      <c r="B841" s="39" t="s">
        <v>9842</v>
      </c>
      <c r="C841" s="39" t="s">
        <v>539</v>
      </c>
      <c r="D841" s="36"/>
      <c r="E841" s="39">
        <v>2021</v>
      </c>
      <c r="F841" s="40"/>
      <c r="G841" s="40"/>
      <c r="H841" s="36"/>
      <c r="I841" s="39" t="s">
        <v>9839</v>
      </c>
      <c r="J841" s="36"/>
      <c r="K841" s="36"/>
      <c r="L841" s="36"/>
      <c r="M841" s="34"/>
      <c r="N841" s="41" t="s">
        <v>9843</v>
      </c>
      <c r="O841" s="39" t="s">
        <v>9841</v>
      </c>
      <c r="P841" s="33"/>
      <c r="Q841" s="36"/>
      <c r="R841" s="34"/>
      <c r="S841" s="38"/>
      <c r="T841" s="38" t="s">
        <v>12689</v>
      </c>
    </row>
    <row r="842" spans="1:20" x14ac:dyDescent="0.25">
      <c r="A842" s="39" t="s">
        <v>10959</v>
      </c>
      <c r="B842" s="39" t="s">
        <v>10961</v>
      </c>
      <c r="C842" s="39" t="s">
        <v>9539</v>
      </c>
      <c r="D842" s="36"/>
      <c r="E842" s="39">
        <v>2021</v>
      </c>
      <c r="F842" s="40"/>
      <c r="G842" s="40"/>
      <c r="H842" s="36"/>
      <c r="I842" s="39" t="s">
        <v>9592</v>
      </c>
      <c r="J842" s="36"/>
      <c r="K842" s="36"/>
      <c r="L842" s="36"/>
      <c r="M842" s="34"/>
      <c r="N842" s="41" t="s">
        <v>10962</v>
      </c>
      <c r="O842" s="39" t="s">
        <v>10960</v>
      </c>
      <c r="P842" s="33"/>
      <c r="Q842" s="36"/>
      <c r="R842" s="34"/>
      <c r="S842" s="38"/>
      <c r="T842" s="38" t="s">
        <v>12689</v>
      </c>
    </row>
    <row r="843" spans="1:20" x14ac:dyDescent="0.25">
      <c r="A843" s="33" t="s">
        <v>2363</v>
      </c>
      <c r="B843" s="33" t="s">
        <v>2362</v>
      </c>
      <c r="C843" s="33" t="s">
        <v>141</v>
      </c>
      <c r="D843" s="34"/>
      <c r="E843" s="33">
        <v>2021</v>
      </c>
      <c r="F843" s="34"/>
      <c r="G843" s="34"/>
      <c r="H843" s="33" t="s">
        <v>2364</v>
      </c>
      <c r="I843" s="33" t="s">
        <v>153</v>
      </c>
      <c r="J843" s="33">
        <v>2021</v>
      </c>
      <c r="K843" s="33">
        <v>9781450385626</v>
      </c>
      <c r="L843" s="34"/>
      <c r="M843" s="34"/>
      <c r="N843" s="37" t="s">
        <v>2365</v>
      </c>
      <c r="O843" s="33" t="s">
        <v>2366</v>
      </c>
      <c r="P843" s="33" t="s">
        <v>2367</v>
      </c>
      <c r="Q843" s="33" t="s">
        <v>1591</v>
      </c>
      <c r="R843" s="34"/>
      <c r="S843" s="38"/>
      <c r="T843" s="38" t="s">
        <v>12690</v>
      </c>
    </row>
    <row r="844" spans="1:20" x14ac:dyDescent="0.25">
      <c r="A844" s="33" t="s">
        <v>2631</v>
      </c>
      <c r="B844" s="33" t="s">
        <v>2630</v>
      </c>
      <c r="C844" s="33" t="s">
        <v>141</v>
      </c>
      <c r="D844" s="34"/>
      <c r="E844" s="33">
        <v>2022</v>
      </c>
      <c r="F844" s="34"/>
      <c r="G844" s="34"/>
      <c r="H844" s="33" t="s">
        <v>11883</v>
      </c>
      <c r="I844" s="44" t="s">
        <v>12762</v>
      </c>
      <c r="J844" s="33">
        <v>2022</v>
      </c>
      <c r="K844" s="33">
        <v>9781450392211</v>
      </c>
      <c r="L844" s="33" t="s">
        <v>11634</v>
      </c>
      <c r="M844" s="34"/>
      <c r="N844" s="37" t="s">
        <v>11885</v>
      </c>
      <c r="O844" s="33" t="s">
        <v>2634</v>
      </c>
      <c r="P844" s="33" t="s">
        <v>11886</v>
      </c>
      <c r="Q844" s="36"/>
      <c r="R844" s="36"/>
      <c r="S844" s="33" t="s">
        <v>11887</v>
      </c>
      <c r="T844" s="33" t="s">
        <v>12692</v>
      </c>
    </row>
    <row r="845" spans="1:20" x14ac:dyDescent="0.25">
      <c r="A845" s="33" t="s">
        <v>2631</v>
      </c>
      <c r="B845" s="33" t="s">
        <v>2630</v>
      </c>
      <c r="C845" s="33" t="s">
        <v>141</v>
      </c>
      <c r="D845" s="34"/>
      <c r="E845" s="33">
        <v>2022</v>
      </c>
      <c r="F845" s="34"/>
      <c r="G845" s="34"/>
      <c r="H845" s="33" t="s">
        <v>7624</v>
      </c>
      <c r="I845" s="33" t="s">
        <v>7245</v>
      </c>
      <c r="J845" s="43">
        <v>44682</v>
      </c>
      <c r="K845" s="36"/>
      <c r="L845" s="36"/>
      <c r="M845" s="33" t="s">
        <v>6336</v>
      </c>
      <c r="N845" s="37" t="s">
        <v>7625</v>
      </c>
      <c r="O845" s="33" t="s">
        <v>2634</v>
      </c>
      <c r="P845" s="33" t="s">
        <v>7626</v>
      </c>
      <c r="Q845" s="36"/>
      <c r="R845" s="36"/>
      <c r="S845" s="33" t="s">
        <v>7627</v>
      </c>
      <c r="T845" s="38" t="s">
        <v>12688</v>
      </c>
    </row>
    <row r="846" spans="1:20" x14ac:dyDescent="0.25">
      <c r="A846" s="33" t="s">
        <v>2631</v>
      </c>
      <c r="B846" s="33" t="s">
        <v>2630</v>
      </c>
      <c r="C846" s="33" t="s">
        <v>141</v>
      </c>
      <c r="D846" s="34"/>
      <c r="E846" s="33">
        <v>2022</v>
      </c>
      <c r="F846" s="45">
        <v>44682</v>
      </c>
      <c r="G846" s="34"/>
      <c r="H846" s="33" t="s">
        <v>2632</v>
      </c>
      <c r="I846" s="33" t="s">
        <v>196</v>
      </c>
      <c r="J846" s="33">
        <v>2022</v>
      </c>
      <c r="K846" s="33">
        <v>9781450392211</v>
      </c>
      <c r="L846" s="34"/>
      <c r="M846" s="33" t="s">
        <v>1458</v>
      </c>
      <c r="N846" s="37" t="s">
        <v>2633</v>
      </c>
      <c r="O846" s="33" t="s">
        <v>2634</v>
      </c>
      <c r="P846" s="33" t="s">
        <v>2635</v>
      </c>
      <c r="Q846" s="33" t="s">
        <v>2636</v>
      </c>
      <c r="R846" s="34"/>
      <c r="S846" s="38"/>
      <c r="T846" s="38" t="s">
        <v>12690</v>
      </c>
    </row>
    <row r="847" spans="1:20" x14ac:dyDescent="0.25">
      <c r="A847" s="33" t="s">
        <v>1101</v>
      </c>
      <c r="B847" s="33" t="s">
        <v>1100</v>
      </c>
      <c r="C847" s="33" t="s">
        <v>141</v>
      </c>
      <c r="D847" s="34"/>
      <c r="E847" s="33">
        <v>2022</v>
      </c>
      <c r="F847" s="34"/>
      <c r="G847" s="34"/>
      <c r="H847" s="33" t="s">
        <v>1102</v>
      </c>
      <c r="I847" s="33" t="s">
        <v>153</v>
      </c>
      <c r="J847" s="33">
        <v>2022</v>
      </c>
      <c r="K847" s="33">
        <v>9781450394130</v>
      </c>
      <c r="L847" s="34"/>
      <c r="M847" s="34"/>
      <c r="N847" s="37" t="s">
        <v>1103</v>
      </c>
      <c r="O847" s="33" t="s">
        <v>1104</v>
      </c>
      <c r="P847" s="33" t="s">
        <v>1105</v>
      </c>
      <c r="Q847" s="33" t="s">
        <v>387</v>
      </c>
      <c r="R847" s="34"/>
      <c r="S847" s="38"/>
      <c r="T847" s="38" t="s">
        <v>12690</v>
      </c>
    </row>
    <row r="848" spans="1:20" x14ac:dyDescent="0.25">
      <c r="A848" s="33" t="s">
        <v>11766</v>
      </c>
      <c r="B848" s="33" t="s">
        <v>11765</v>
      </c>
      <c r="C848" s="33" t="s">
        <v>141</v>
      </c>
      <c r="D848" s="34"/>
      <c r="E848" s="33">
        <v>2016</v>
      </c>
      <c r="F848" s="34"/>
      <c r="G848" s="34"/>
      <c r="H848" s="33" t="s">
        <v>11767</v>
      </c>
      <c r="I848" s="44" t="s">
        <v>12755</v>
      </c>
      <c r="J848" s="33">
        <v>2016</v>
      </c>
      <c r="K848" s="33">
        <v>9781450342186</v>
      </c>
      <c r="L848" s="33" t="s">
        <v>11774</v>
      </c>
      <c r="M848" s="34"/>
      <c r="N848" s="37" t="s">
        <v>11770</v>
      </c>
      <c r="O848" s="33" t="s">
        <v>11771</v>
      </c>
      <c r="P848" s="33" t="s">
        <v>11772</v>
      </c>
      <c r="Q848" s="36"/>
      <c r="R848" s="36"/>
      <c r="S848" s="33" t="s">
        <v>11773</v>
      </c>
      <c r="T848" s="33" t="s">
        <v>12692</v>
      </c>
    </row>
    <row r="849" spans="1:20" x14ac:dyDescent="0.25">
      <c r="A849" s="33" t="s">
        <v>6985</v>
      </c>
      <c r="B849" s="33" t="s">
        <v>6984</v>
      </c>
      <c r="C849" s="33" t="s">
        <v>141</v>
      </c>
      <c r="D849" s="34"/>
      <c r="E849" s="33">
        <v>2019</v>
      </c>
      <c r="F849" s="34"/>
      <c r="G849" s="34"/>
      <c r="H849" s="33" t="s">
        <v>12271</v>
      </c>
      <c r="I849" s="44" t="s">
        <v>12763</v>
      </c>
      <c r="J849" s="33">
        <v>2019</v>
      </c>
      <c r="K849" s="34"/>
      <c r="L849" s="33" t="s">
        <v>12275</v>
      </c>
      <c r="M849" s="34"/>
      <c r="N849" s="37" t="s">
        <v>12273</v>
      </c>
      <c r="O849" s="33" t="s">
        <v>6988</v>
      </c>
      <c r="P849" s="33" t="s">
        <v>6989</v>
      </c>
      <c r="Q849" s="36"/>
      <c r="R849" s="36"/>
      <c r="S849" s="33" t="s">
        <v>12274</v>
      </c>
      <c r="T849" s="33" t="s">
        <v>12692</v>
      </c>
    </row>
    <row r="850" spans="1:20" x14ac:dyDescent="0.25">
      <c r="A850" s="33" t="s">
        <v>6985</v>
      </c>
      <c r="B850" s="33" t="s">
        <v>6984</v>
      </c>
      <c r="C850" s="33" t="s">
        <v>141</v>
      </c>
      <c r="D850" s="34"/>
      <c r="E850" s="33">
        <v>2019</v>
      </c>
      <c r="F850" s="34"/>
      <c r="G850" s="34"/>
      <c r="H850" s="33" t="s">
        <v>6863</v>
      </c>
      <c r="I850" s="33" t="s">
        <v>6986</v>
      </c>
      <c r="J850" s="43">
        <v>43586</v>
      </c>
      <c r="K850" s="36"/>
      <c r="L850" s="36"/>
      <c r="M850" s="33" t="s">
        <v>6336</v>
      </c>
      <c r="N850" s="37" t="s">
        <v>6987</v>
      </c>
      <c r="O850" s="33" t="s">
        <v>6988</v>
      </c>
      <c r="P850" s="33" t="s">
        <v>6989</v>
      </c>
      <c r="Q850" s="36"/>
      <c r="R850" s="36"/>
      <c r="S850" s="33" t="s">
        <v>6990</v>
      </c>
      <c r="T850" s="38" t="s">
        <v>12688</v>
      </c>
    </row>
    <row r="851" spans="1:20" x14ac:dyDescent="0.25">
      <c r="A851" s="33" t="s">
        <v>2038</v>
      </c>
      <c r="B851" s="33" t="s">
        <v>2037</v>
      </c>
      <c r="C851" s="33" t="s">
        <v>13</v>
      </c>
      <c r="D851" s="33" t="s">
        <v>1285</v>
      </c>
      <c r="E851" s="33">
        <v>2021</v>
      </c>
      <c r="F851" s="33">
        <v>5</v>
      </c>
      <c r="G851" s="33" t="s">
        <v>2005</v>
      </c>
      <c r="H851" s="34"/>
      <c r="I851" s="33" t="s">
        <v>145</v>
      </c>
      <c r="J851" s="33">
        <v>2021</v>
      </c>
      <c r="K851" s="34"/>
      <c r="L851" s="34"/>
      <c r="M851" s="33" t="s">
        <v>1287</v>
      </c>
      <c r="N851" s="37" t="s">
        <v>2039</v>
      </c>
      <c r="O851" s="33" t="s">
        <v>2040</v>
      </c>
      <c r="P851" s="33" t="s">
        <v>2041</v>
      </c>
      <c r="Q851" s="33" t="s">
        <v>2042</v>
      </c>
      <c r="R851" s="34"/>
      <c r="S851" s="38"/>
      <c r="T851" s="38" t="s">
        <v>12690</v>
      </c>
    </row>
    <row r="852" spans="1:20" x14ac:dyDescent="0.25">
      <c r="A852" s="33" t="s">
        <v>3562</v>
      </c>
      <c r="B852" s="33" t="s">
        <v>3561</v>
      </c>
      <c r="C852" s="33" t="s">
        <v>141</v>
      </c>
      <c r="D852" s="34"/>
      <c r="E852" s="33">
        <v>2021</v>
      </c>
      <c r="F852" s="34"/>
      <c r="G852" s="34"/>
      <c r="H852" s="33" t="s">
        <v>3563</v>
      </c>
      <c r="I852" s="33" t="s">
        <v>257</v>
      </c>
      <c r="J852" s="33">
        <v>2021</v>
      </c>
      <c r="K852" s="33">
        <v>9781665428828</v>
      </c>
      <c r="L852" s="34"/>
      <c r="M852" s="34"/>
      <c r="N852" s="37" t="s">
        <v>3564</v>
      </c>
      <c r="O852" s="33" t="s">
        <v>3565</v>
      </c>
      <c r="P852" s="33" t="s">
        <v>3566</v>
      </c>
      <c r="Q852" s="33" t="s">
        <v>520</v>
      </c>
      <c r="R852" s="34"/>
      <c r="S852" s="38"/>
      <c r="T852" s="38" t="s">
        <v>12690</v>
      </c>
    </row>
    <row r="853" spans="1:20" x14ac:dyDescent="0.25">
      <c r="A853" s="33" t="s">
        <v>2256</v>
      </c>
      <c r="B853" s="33" t="s">
        <v>2255</v>
      </c>
      <c r="C853" s="33" t="s">
        <v>13</v>
      </c>
      <c r="D853" s="33" t="s">
        <v>2257</v>
      </c>
      <c r="E853" s="33">
        <v>2022</v>
      </c>
      <c r="F853" s="33">
        <v>34</v>
      </c>
      <c r="G853" s="33">
        <v>1</v>
      </c>
      <c r="H853" s="33" t="s">
        <v>2258</v>
      </c>
      <c r="I853" s="33" t="s">
        <v>1714</v>
      </c>
      <c r="J853" s="33">
        <v>2022</v>
      </c>
      <c r="K853" s="34"/>
      <c r="L853" s="34"/>
      <c r="M853" s="33" t="s">
        <v>2259</v>
      </c>
      <c r="N853" s="37" t="s">
        <v>2260</v>
      </c>
      <c r="O853" s="33" t="s">
        <v>2261</v>
      </c>
      <c r="P853" s="33" t="s">
        <v>2262</v>
      </c>
      <c r="Q853" s="33" t="s">
        <v>447</v>
      </c>
      <c r="R853" s="34"/>
      <c r="S853" s="38"/>
      <c r="T853" s="38" t="s">
        <v>12690</v>
      </c>
    </row>
    <row r="854" spans="1:20" x14ac:dyDescent="0.25">
      <c r="A854" s="39" t="s">
        <v>10679</v>
      </c>
      <c r="B854" s="39" t="s">
        <v>10681</v>
      </c>
      <c r="C854" s="39" t="s">
        <v>539</v>
      </c>
      <c r="D854" s="36"/>
      <c r="E854" s="39">
        <v>2021</v>
      </c>
      <c r="F854" s="40"/>
      <c r="G854" s="40"/>
      <c r="H854" s="36"/>
      <c r="I854" s="40"/>
      <c r="J854" s="36"/>
      <c r="K854" s="36"/>
      <c r="L854" s="36"/>
      <c r="M854" s="34"/>
      <c r="N854" s="41" t="s">
        <v>10682</v>
      </c>
      <c r="O854" s="39" t="s">
        <v>10680</v>
      </c>
      <c r="P854" s="33"/>
      <c r="Q854" s="36"/>
      <c r="R854" s="34"/>
      <c r="S854" s="38"/>
      <c r="T854" s="38" t="s">
        <v>12689</v>
      </c>
    </row>
    <row r="855" spans="1:20" x14ac:dyDescent="0.25">
      <c r="A855" s="33" t="s">
        <v>12185</v>
      </c>
      <c r="B855" s="33" t="s">
        <v>6742</v>
      </c>
      <c r="C855" s="33" t="s">
        <v>141</v>
      </c>
      <c r="D855" s="34"/>
      <c r="E855" s="33">
        <v>2013</v>
      </c>
      <c r="F855" s="34"/>
      <c r="G855" s="34"/>
      <c r="H855" s="33" t="s">
        <v>6744</v>
      </c>
      <c r="I855" s="33" t="s">
        <v>6745</v>
      </c>
      <c r="J855" s="43">
        <v>41395</v>
      </c>
      <c r="K855" s="36"/>
      <c r="L855" s="36"/>
      <c r="M855" s="33" t="s">
        <v>6336</v>
      </c>
      <c r="N855" s="37" t="s">
        <v>6746</v>
      </c>
      <c r="O855" s="33" t="s">
        <v>6747</v>
      </c>
      <c r="P855" s="33" t="s">
        <v>6748</v>
      </c>
      <c r="Q855" s="36"/>
      <c r="R855" s="36"/>
      <c r="S855" s="33" t="s">
        <v>6749</v>
      </c>
      <c r="T855" s="38" t="s">
        <v>12688</v>
      </c>
    </row>
    <row r="856" spans="1:20" x14ac:dyDescent="0.25">
      <c r="A856" s="33" t="s">
        <v>12185</v>
      </c>
      <c r="B856" s="33" t="s">
        <v>12184</v>
      </c>
      <c r="C856" s="33" t="s">
        <v>141</v>
      </c>
      <c r="D856" s="34"/>
      <c r="E856" s="33">
        <v>2013</v>
      </c>
      <c r="F856" s="34"/>
      <c r="G856" s="34"/>
      <c r="H856" s="33" t="s">
        <v>12186</v>
      </c>
      <c r="I856" s="44" t="s">
        <v>12764</v>
      </c>
      <c r="J856" s="33">
        <v>2013</v>
      </c>
      <c r="K856" s="33">
        <v>9781467330763</v>
      </c>
      <c r="L856" s="33" t="s">
        <v>12189</v>
      </c>
      <c r="M856" s="34"/>
      <c r="N856" s="34"/>
      <c r="O856" s="34"/>
      <c r="P856" s="33" t="s">
        <v>6748</v>
      </c>
      <c r="Q856" s="36"/>
      <c r="R856" s="36"/>
      <c r="S856" s="34"/>
      <c r="T856" s="33" t="s">
        <v>12692</v>
      </c>
    </row>
    <row r="857" spans="1:20" x14ac:dyDescent="0.25">
      <c r="A857" s="33" t="s">
        <v>11595</v>
      </c>
      <c r="B857" s="33" t="s">
        <v>11594</v>
      </c>
      <c r="C857" s="33" t="s">
        <v>141</v>
      </c>
      <c r="D857" s="34"/>
      <c r="E857" s="33">
        <v>2022</v>
      </c>
      <c r="F857" s="34"/>
      <c r="G857" s="34"/>
      <c r="H857" s="33" t="s">
        <v>11596</v>
      </c>
      <c r="I857" s="44" t="s">
        <v>12765</v>
      </c>
      <c r="J857" s="33">
        <v>2022</v>
      </c>
      <c r="K857" s="33">
        <v>9781450387637</v>
      </c>
      <c r="L857" s="33" t="s">
        <v>11603</v>
      </c>
      <c r="M857" s="34"/>
      <c r="N857" s="37" t="s">
        <v>11599</v>
      </c>
      <c r="O857" s="33" t="s">
        <v>11600</v>
      </c>
      <c r="P857" s="33" t="s">
        <v>11601</v>
      </c>
      <c r="Q857" s="36"/>
      <c r="R857" s="36"/>
      <c r="S857" s="33" t="s">
        <v>11602</v>
      </c>
      <c r="T857" s="33" t="s">
        <v>12692</v>
      </c>
    </row>
    <row r="858" spans="1:20" x14ac:dyDescent="0.25">
      <c r="A858" s="33" t="s">
        <v>3221</v>
      </c>
      <c r="B858" s="33" t="s">
        <v>3220</v>
      </c>
      <c r="C858" s="33" t="s">
        <v>13</v>
      </c>
      <c r="D858" s="33" t="s">
        <v>354</v>
      </c>
      <c r="E858" s="33">
        <v>2021</v>
      </c>
      <c r="F858" s="33">
        <v>171</v>
      </c>
      <c r="G858" s="36"/>
      <c r="H858" s="33">
        <v>110806</v>
      </c>
      <c r="I858" s="36"/>
      <c r="J858" s="33">
        <v>2021</v>
      </c>
      <c r="K858" s="34"/>
      <c r="L858" s="34"/>
      <c r="M858" s="33" t="s">
        <v>65</v>
      </c>
      <c r="N858" s="37" t="s">
        <v>8434</v>
      </c>
      <c r="O858" s="33" t="s">
        <v>3223</v>
      </c>
      <c r="P858" s="33" t="s">
        <v>8435</v>
      </c>
      <c r="Q858" s="36"/>
      <c r="R858" s="36"/>
      <c r="S858" s="33" t="s">
        <v>8436</v>
      </c>
      <c r="T858" s="38" t="s">
        <v>12693</v>
      </c>
    </row>
    <row r="859" spans="1:20" x14ac:dyDescent="0.25">
      <c r="A859" s="33" t="s">
        <v>3221</v>
      </c>
      <c r="B859" s="33" t="s">
        <v>3220</v>
      </c>
      <c r="C859" s="33" t="s">
        <v>13</v>
      </c>
      <c r="D859" s="33" t="s">
        <v>354</v>
      </c>
      <c r="E859" s="33">
        <v>2021</v>
      </c>
      <c r="F859" s="33">
        <v>171</v>
      </c>
      <c r="G859" s="34"/>
      <c r="H859" s="34"/>
      <c r="I859" s="33" t="s">
        <v>355</v>
      </c>
      <c r="J859" s="33">
        <v>2021</v>
      </c>
      <c r="K859" s="34"/>
      <c r="L859" s="34"/>
      <c r="M859" s="33" t="s">
        <v>65</v>
      </c>
      <c r="N859" s="37" t="s">
        <v>3222</v>
      </c>
      <c r="O859" s="33" t="s">
        <v>3223</v>
      </c>
      <c r="P859" s="33" t="s">
        <v>3224</v>
      </c>
      <c r="Q859" s="33" t="s">
        <v>3225</v>
      </c>
      <c r="R859" s="34"/>
      <c r="S859" s="38"/>
      <c r="T859" s="38" t="s">
        <v>12690</v>
      </c>
    </row>
    <row r="860" spans="1:20" x14ac:dyDescent="0.25">
      <c r="A860" s="33" t="s">
        <v>2063</v>
      </c>
      <c r="B860" s="33" t="s">
        <v>2062</v>
      </c>
      <c r="C860" s="33" t="s">
        <v>141</v>
      </c>
      <c r="D860" s="34"/>
      <c r="E860" s="33">
        <v>2022</v>
      </c>
      <c r="F860" s="34"/>
      <c r="G860" s="34"/>
      <c r="H860" s="33" t="s">
        <v>2064</v>
      </c>
      <c r="I860" s="33" t="s">
        <v>257</v>
      </c>
      <c r="J860" s="33">
        <v>2022</v>
      </c>
      <c r="K860" s="33">
        <v>9781450393034</v>
      </c>
      <c r="L860" s="34"/>
      <c r="M860" s="34"/>
      <c r="N860" s="37" t="s">
        <v>2065</v>
      </c>
      <c r="O860" s="33" t="s">
        <v>2066</v>
      </c>
      <c r="P860" s="33" t="s">
        <v>2067</v>
      </c>
      <c r="Q860" s="33" t="s">
        <v>999</v>
      </c>
      <c r="R860" s="34"/>
      <c r="S860" s="38"/>
      <c r="T860" s="38" t="s">
        <v>12690</v>
      </c>
    </row>
    <row r="861" spans="1:20" x14ac:dyDescent="0.25">
      <c r="A861" s="33" t="s">
        <v>8770</v>
      </c>
      <c r="B861" s="33" t="s">
        <v>8769</v>
      </c>
      <c r="C861" s="33" t="s">
        <v>13</v>
      </c>
      <c r="D861" s="33" t="s">
        <v>354</v>
      </c>
      <c r="E861" s="33">
        <v>2020</v>
      </c>
      <c r="F861" s="33">
        <v>169</v>
      </c>
      <c r="G861" s="36"/>
      <c r="H861" s="33">
        <v>110710</v>
      </c>
      <c r="I861" s="36"/>
      <c r="J861" s="33">
        <v>2020</v>
      </c>
      <c r="K861" s="34"/>
      <c r="L861" s="34"/>
      <c r="M861" s="33" t="s">
        <v>65</v>
      </c>
      <c r="N861" s="37" t="s">
        <v>8771</v>
      </c>
      <c r="O861" s="33" t="s">
        <v>8772</v>
      </c>
      <c r="P861" s="33" t="s">
        <v>8773</v>
      </c>
      <c r="Q861" s="36"/>
      <c r="R861" s="36"/>
      <c r="S861" s="33" t="s">
        <v>8774</v>
      </c>
      <c r="T861" s="38" t="s">
        <v>12693</v>
      </c>
    </row>
    <row r="862" spans="1:20" x14ac:dyDescent="0.25">
      <c r="A862" s="39" t="s">
        <v>10174</v>
      </c>
      <c r="B862" s="39" t="s">
        <v>10176</v>
      </c>
      <c r="C862" s="39" t="s">
        <v>539</v>
      </c>
      <c r="D862" s="36"/>
      <c r="E862" s="39">
        <v>2021</v>
      </c>
      <c r="F862" s="40"/>
      <c r="G862" s="40"/>
      <c r="H862" s="36"/>
      <c r="I862" s="40"/>
      <c r="J862" s="36"/>
      <c r="K862" s="36"/>
      <c r="L862" s="36"/>
      <c r="M862" s="34"/>
      <c r="N862" s="41" t="s">
        <v>10177</v>
      </c>
      <c r="O862" s="39" t="s">
        <v>10175</v>
      </c>
      <c r="P862" s="33"/>
      <c r="Q862" s="36"/>
      <c r="R862" s="34"/>
      <c r="S862" s="38"/>
      <c r="T862" s="38" t="s">
        <v>12689</v>
      </c>
    </row>
    <row r="863" spans="1:20" x14ac:dyDescent="0.25">
      <c r="A863" s="33" t="s">
        <v>4344</v>
      </c>
      <c r="B863" s="33" t="s">
        <v>4343</v>
      </c>
      <c r="C863" s="33" t="s">
        <v>141</v>
      </c>
      <c r="D863" s="34"/>
      <c r="E863" s="33">
        <v>2020</v>
      </c>
      <c r="F863" s="34"/>
      <c r="G863" s="34"/>
      <c r="H863" s="33" t="s">
        <v>12528</v>
      </c>
      <c r="I863" s="44" t="s">
        <v>12766</v>
      </c>
      <c r="J863" s="33">
        <v>2020</v>
      </c>
      <c r="K863" s="33">
        <v>9781450377652</v>
      </c>
      <c r="L863" s="33" t="s">
        <v>12534</v>
      </c>
      <c r="M863" s="34"/>
      <c r="N863" s="37" t="s">
        <v>12531</v>
      </c>
      <c r="O863" s="33" t="s">
        <v>4347</v>
      </c>
      <c r="P863" s="33" t="s">
        <v>12532</v>
      </c>
      <c r="Q863" s="36"/>
      <c r="R863" s="36"/>
      <c r="S863" s="33" t="s">
        <v>12533</v>
      </c>
      <c r="T863" s="33" t="s">
        <v>12692</v>
      </c>
    </row>
    <row r="864" spans="1:20" x14ac:dyDescent="0.25">
      <c r="A864" s="33" t="s">
        <v>4344</v>
      </c>
      <c r="B864" s="33" t="s">
        <v>4343</v>
      </c>
      <c r="C864" s="33" t="s">
        <v>141</v>
      </c>
      <c r="D864" s="34"/>
      <c r="E864" s="33">
        <v>2020</v>
      </c>
      <c r="F864" s="34"/>
      <c r="G864" s="34"/>
      <c r="H864" s="33" t="s">
        <v>4345</v>
      </c>
      <c r="I864" s="33" t="s">
        <v>145</v>
      </c>
      <c r="J864" s="33">
        <v>2020</v>
      </c>
      <c r="K864" s="33">
        <v>9781450377652</v>
      </c>
      <c r="L864" s="34"/>
      <c r="M864" s="34"/>
      <c r="N864" s="37" t="s">
        <v>4346</v>
      </c>
      <c r="O864" s="33" t="s">
        <v>4347</v>
      </c>
      <c r="P864" s="33" t="s">
        <v>4348</v>
      </c>
      <c r="Q864" s="33" t="s">
        <v>176</v>
      </c>
      <c r="R864" s="34"/>
      <c r="S864" s="38"/>
      <c r="T864" s="38" t="s">
        <v>12690</v>
      </c>
    </row>
    <row r="865" spans="1:20" x14ac:dyDescent="0.25">
      <c r="A865" s="33" t="s">
        <v>11808</v>
      </c>
      <c r="B865" s="33" t="s">
        <v>11807</v>
      </c>
      <c r="C865" s="33" t="s">
        <v>141</v>
      </c>
      <c r="D865" s="34"/>
      <c r="E865" s="33">
        <v>2021</v>
      </c>
      <c r="F865" s="34"/>
      <c r="G865" s="34"/>
      <c r="H865" s="33" t="s">
        <v>11809</v>
      </c>
      <c r="I865" s="44" t="s">
        <v>12734</v>
      </c>
      <c r="J865" s="33">
        <v>2021</v>
      </c>
      <c r="K865" s="33">
        <v>9781450385626</v>
      </c>
      <c r="L865" s="33" t="s">
        <v>11815</v>
      </c>
      <c r="M865" s="34"/>
      <c r="N865" s="37" t="s">
        <v>11811</v>
      </c>
      <c r="O865" s="33" t="s">
        <v>11812</v>
      </c>
      <c r="P865" s="33" t="s">
        <v>11813</v>
      </c>
      <c r="Q865" s="36"/>
      <c r="R865" s="36"/>
      <c r="S865" s="33" t="s">
        <v>11814</v>
      </c>
      <c r="T865" s="33" t="s">
        <v>12692</v>
      </c>
    </row>
    <row r="866" spans="1:20" x14ac:dyDescent="0.25">
      <c r="A866" s="33" t="s">
        <v>11661</v>
      </c>
      <c r="B866" s="33" t="s">
        <v>11660</v>
      </c>
      <c r="C866" s="33" t="s">
        <v>141</v>
      </c>
      <c r="D866" s="34"/>
      <c r="E866" s="33">
        <v>2019</v>
      </c>
      <c r="F866" s="34"/>
      <c r="G866" s="34"/>
      <c r="H866" s="33" t="s">
        <v>11662</v>
      </c>
      <c r="I866" s="44" t="s">
        <v>12707</v>
      </c>
      <c r="J866" s="33">
        <v>2019</v>
      </c>
      <c r="K866" s="34"/>
      <c r="L866" s="33" t="s">
        <v>11170</v>
      </c>
      <c r="M866" s="34"/>
      <c r="N866" s="37" t="s">
        <v>11663</v>
      </c>
      <c r="O866" s="33" t="s">
        <v>11664</v>
      </c>
      <c r="P866" s="33" t="s">
        <v>11665</v>
      </c>
      <c r="Q866" s="36"/>
      <c r="R866" s="36"/>
      <c r="S866" s="33" t="s">
        <v>11666</v>
      </c>
      <c r="T866" s="33" t="s">
        <v>12692</v>
      </c>
    </row>
    <row r="867" spans="1:20" x14ac:dyDescent="0.25">
      <c r="A867" s="33" t="s">
        <v>12671</v>
      </c>
      <c r="B867" s="33" t="s">
        <v>12670</v>
      </c>
      <c r="C867" s="33" t="s">
        <v>13</v>
      </c>
      <c r="D867" s="33" t="s">
        <v>11507</v>
      </c>
      <c r="E867" s="33">
        <v>2022</v>
      </c>
      <c r="F867" s="33">
        <v>16</v>
      </c>
      <c r="G867" s="33">
        <v>2</v>
      </c>
      <c r="H867" s="34"/>
      <c r="I867" s="44" t="s">
        <v>12710</v>
      </c>
      <c r="J867" s="43">
        <v>44621</v>
      </c>
      <c r="K867" s="34"/>
      <c r="L867" s="34"/>
      <c r="M867" s="33" t="s">
        <v>1504</v>
      </c>
      <c r="N867" s="37" t="s">
        <v>12672</v>
      </c>
      <c r="O867" s="33" t="s">
        <v>12673</v>
      </c>
      <c r="P867" s="33" t="s">
        <v>12674</v>
      </c>
      <c r="Q867" s="36"/>
      <c r="R867" s="36"/>
      <c r="S867" s="33" t="s">
        <v>12675</v>
      </c>
      <c r="T867" s="33" t="s">
        <v>12692</v>
      </c>
    </row>
    <row r="868" spans="1:20" x14ac:dyDescent="0.25">
      <c r="A868" s="33" t="s">
        <v>12677</v>
      </c>
      <c r="B868" s="34"/>
      <c r="C868" s="33" t="s">
        <v>539</v>
      </c>
      <c r="D868" s="34"/>
      <c r="E868" s="33">
        <v>2022</v>
      </c>
      <c r="F868" s="34"/>
      <c r="G868" s="34"/>
      <c r="H868" s="34"/>
      <c r="I868" s="44" t="s">
        <v>12710</v>
      </c>
      <c r="J868" s="33">
        <v>2022</v>
      </c>
      <c r="K868" s="33">
        <v>9781450394772</v>
      </c>
      <c r="L868" s="34"/>
      <c r="M868" s="34"/>
      <c r="N868" s="34"/>
      <c r="O868" s="34"/>
      <c r="P868" s="34"/>
      <c r="Q868" s="36"/>
      <c r="R868" s="36"/>
      <c r="S868" s="34"/>
      <c r="T868" s="33" t="s">
        <v>12692</v>
      </c>
    </row>
    <row r="869" spans="1:20" x14ac:dyDescent="0.25">
      <c r="A869" s="39" t="s">
        <v>11009</v>
      </c>
      <c r="B869" s="39" t="s">
        <v>11011</v>
      </c>
      <c r="C869" s="39" t="s">
        <v>9539</v>
      </c>
      <c r="D869" s="36"/>
      <c r="E869" s="39">
        <v>2022</v>
      </c>
      <c r="F869" s="40"/>
      <c r="G869" s="40"/>
      <c r="H869" s="36"/>
      <c r="I869" s="39" t="s">
        <v>10205</v>
      </c>
      <c r="J869" s="36"/>
      <c r="K869" s="36"/>
      <c r="L869" s="36"/>
      <c r="M869" s="34"/>
      <c r="N869" s="41" t="s">
        <v>11012</v>
      </c>
      <c r="O869" s="39" t="s">
        <v>11010</v>
      </c>
      <c r="P869" s="33"/>
      <c r="Q869" s="36"/>
      <c r="R869" s="34"/>
      <c r="S869" s="38"/>
      <c r="T869" s="38" t="s">
        <v>12689</v>
      </c>
    </row>
    <row r="870" spans="1:20" x14ac:dyDescent="0.25">
      <c r="A870" s="33" t="s">
        <v>7360</v>
      </c>
      <c r="B870" s="33" t="s">
        <v>7359</v>
      </c>
      <c r="C870" s="33" t="s">
        <v>13</v>
      </c>
      <c r="D870" s="33" t="s">
        <v>668</v>
      </c>
      <c r="E870" s="33">
        <v>2021</v>
      </c>
      <c r="F870" s="33">
        <v>9</v>
      </c>
      <c r="G870" s="34"/>
      <c r="H870" s="33" t="s">
        <v>7361</v>
      </c>
      <c r="I870" s="34"/>
      <c r="J870" s="33">
        <v>2021</v>
      </c>
      <c r="K870" s="36"/>
      <c r="L870" s="36"/>
      <c r="M870" s="33" t="s">
        <v>670</v>
      </c>
      <c r="N870" s="37" t="s">
        <v>7362</v>
      </c>
      <c r="O870" s="33" t="s">
        <v>7363</v>
      </c>
      <c r="P870" s="33" t="s">
        <v>7364</v>
      </c>
      <c r="Q870" s="36"/>
      <c r="R870" s="36"/>
      <c r="S870" s="33" t="s">
        <v>7365</v>
      </c>
      <c r="T870" s="38" t="s">
        <v>12688</v>
      </c>
    </row>
    <row r="871" spans="1:20" x14ac:dyDescent="0.25">
      <c r="A871" s="33" t="s">
        <v>3274</v>
      </c>
      <c r="B871" s="33" t="s">
        <v>3273</v>
      </c>
      <c r="C871" s="33" t="s">
        <v>141</v>
      </c>
      <c r="D871" s="34"/>
      <c r="E871" s="33">
        <v>2021</v>
      </c>
      <c r="F871" s="34"/>
      <c r="G871" s="34"/>
      <c r="H871" s="33" t="s">
        <v>3275</v>
      </c>
      <c r="I871" s="33" t="s">
        <v>257</v>
      </c>
      <c r="J871" s="33">
        <v>2021</v>
      </c>
      <c r="K871" s="33">
        <v>9781665449700</v>
      </c>
      <c r="L871" s="34"/>
      <c r="M871" s="34"/>
      <c r="N871" s="37" t="s">
        <v>3276</v>
      </c>
      <c r="O871" s="33" t="s">
        <v>3277</v>
      </c>
      <c r="P871" s="33" t="s">
        <v>3278</v>
      </c>
      <c r="Q871" s="33" t="s">
        <v>2243</v>
      </c>
      <c r="R871" s="34"/>
      <c r="S871" s="38"/>
      <c r="T871" s="38" t="s">
        <v>12690</v>
      </c>
    </row>
    <row r="872" spans="1:20" x14ac:dyDescent="0.25">
      <c r="A872" s="39" t="s">
        <v>10835</v>
      </c>
      <c r="B872" s="39" t="s">
        <v>10837</v>
      </c>
      <c r="C872" s="39" t="s">
        <v>9478</v>
      </c>
      <c r="D872" s="36"/>
      <c r="E872" s="39">
        <v>2022</v>
      </c>
      <c r="F872" s="39">
        <v>14</v>
      </c>
      <c r="G872" s="39">
        <v>2</v>
      </c>
      <c r="H872" s="36"/>
      <c r="I872" s="39" t="s">
        <v>10081</v>
      </c>
      <c r="J872" s="36"/>
      <c r="K872" s="36"/>
      <c r="L872" s="36"/>
      <c r="M872" s="34"/>
      <c r="N872" s="41" t="s">
        <v>10838</v>
      </c>
      <c r="O872" s="39" t="s">
        <v>10836</v>
      </c>
      <c r="P872" s="33"/>
      <c r="Q872" s="36"/>
      <c r="R872" s="34"/>
      <c r="S872" s="38"/>
      <c r="T872" s="38" t="s">
        <v>12689</v>
      </c>
    </row>
    <row r="873" spans="1:20" x14ac:dyDescent="0.25">
      <c r="A873" s="39" t="s">
        <v>9768</v>
      </c>
      <c r="B873" s="39" t="s">
        <v>9770</v>
      </c>
      <c r="C873" s="39" t="s">
        <v>539</v>
      </c>
      <c r="D873" s="36"/>
      <c r="E873" s="39">
        <v>2022</v>
      </c>
      <c r="F873" s="40"/>
      <c r="G873" s="40"/>
      <c r="H873" s="36"/>
      <c r="I873" s="39" t="s">
        <v>9767</v>
      </c>
      <c r="J873" s="36"/>
      <c r="K873" s="36"/>
      <c r="L873" s="36"/>
      <c r="M873" s="34"/>
      <c r="N873" s="41" t="s">
        <v>9771</v>
      </c>
      <c r="O873" s="39" t="s">
        <v>9769</v>
      </c>
      <c r="P873" s="33"/>
      <c r="Q873" s="36"/>
      <c r="R873" s="34"/>
      <c r="S873" s="38"/>
      <c r="T873" s="38" t="s">
        <v>12689</v>
      </c>
    </row>
    <row r="874" spans="1:20" x14ac:dyDescent="0.25">
      <c r="A874" s="39" t="s">
        <v>10273</v>
      </c>
      <c r="B874" s="39" t="s">
        <v>10275</v>
      </c>
      <c r="C874" s="39" t="s">
        <v>9539</v>
      </c>
      <c r="D874" s="36"/>
      <c r="E874" s="39">
        <v>2022</v>
      </c>
      <c r="F874" s="40"/>
      <c r="G874" s="40"/>
      <c r="H874" s="36"/>
      <c r="I874" s="39" t="s">
        <v>9499</v>
      </c>
      <c r="J874" s="36"/>
      <c r="K874" s="36"/>
      <c r="L874" s="36"/>
      <c r="M874" s="34"/>
      <c r="N874" s="41" t="s">
        <v>10276</v>
      </c>
      <c r="O874" s="39" t="s">
        <v>10274</v>
      </c>
      <c r="P874" s="33"/>
      <c r="Q874" s="36"/>
      <c r="R874" s="34"/>
      <c r="S874" s="38"/>
      <c r="T874" s="38" t="s">
        <v>12689</v>
      </c>
    </row>
    <row r="875" spans="1:20" x14ac:dyDescent="0.25">
      <c r="A875" s="33" t="s">
        <v>11473</v>
      </c>
      <c r="B875" s="33" t="s">
        <v>6021</v>
      </c>
      <c r="C875" s="33" t="s">
        <v>141</v>
      </c>
      <c r="D875" s="34"/>
      <c r="E875" s="33">
        <v>2018</v>
      </c>
      <c r="F875" s="34"/>
      <c r="G875" s="34"/>
      <c r="H875" s="33" t="s">
        <v>11474</v>
      </c>
      <c r="I875" s="44" t="s">
        <v>12767</v>
      </c>
      <c r="J875" s="33">
        <v>2018</v>
      </c>
      <c r="K875" s="33">
        <v>9781450357173</v>
      </c>
      <c r="L875" s="33" t="s">
        <v>11479</v>
      </c>
      <c r="M875" s="34"/>
      <c r="N875" s="37" t="s">
        <v>11476</v>
      </c>
      <c r="O875" s="33" t="s">
        <v>6025</v>
      </c>
      <c r="P875" s="33" t="s">
        <v>11477</v>
      </c>
      <c r="Q875" s="36"/>
      <c r="R875" s="36"/>
      <c r="S875" s="33" t="s">
        <v>11478</v>
      </c>
      <c r="T875" s="33" t="s">
        <v>12692</v>
      </c>
    </row>
    <row r="876" spans="1:20" x14ac:dyDescent="0.25">
      <c r="A876" s="33" t="s">
        <v>11473</v>
      </c>
      <c r="B876" s="33" t="s">
        <v>6021</v>
      </c>
      <c r="C876" s="33" t="s">
        <v>141</v>
      </c>
      <c r="D876" s="34"/>
      <c r="E876" s="33">
        <v>2018</v>
      </c>
      <c r="F876" s="34"/>
      <c r="G876" s="34"/>
      <c r="H876" s="33" t="s">
        <v>6023</v>
      </c>
      <c r="I876" s="33" t="s">
        <v>196</v>
      </c>
      <c r="J876" s="33">
        <v>2018</v>
      </c>
      <c r="K876" s="33">
        <v>9781450357173</v>
      </c>
      <c r="L876" s="34"/>
      <c r="M876" s="33" t="s">
        <v>1458</v>
      </c>
      <c r="N876" s="37" t="s">
        <v>6024</v>
      </c>
      <c r="O876" s="33" t="s">
        <v>6025</v>
      </c>
      <c r="P876" s="33" t="s">
        <v>6026</v>
      </c>
      <c r="Q876" s="33" t="s">
        <v>157</v>
      </c>
      <c r="R876" s="34"/>
      <c r="S876" s="38"/>
      <c r="T876" s="38" t="s">
        <v>12690</v>
      </c>
    </row>
    <row r="877" spans="1:20" x14ac:dyDescent="0.25">
      <c r="A877" s="39" t="s">
        <v>10596</v>
      </c>
      <c r="B877" s="39" t="s">
        <v>10598</v>
      </c>
      <c r="C877" s="39" t="s">
        <v>9478</v>
      </c>
      <c r="D877" s="36"/>
      <c r="E877" s="39">
        <v>2022</v>
      </c>
      <c r="F877" s="40"/>
      <c r="G877" s="40"/>
      <c r="H877" s="36"/>
      <c r="I877" s="39" t="s">
        <v>803</v>
      </c>
      <c r="J877" s="36"/>
      <c r="K877" s="36"/>
      <c r="L877" s="36"/>
      <c r="M877" s="34"/>
      <c r="N877" s="41" t="s">
        <v>10599</v>
      </c>
      <c r="O877" s="39" t="s">
        <v>10597</v>
      </c>
      <c r="P877" s="33"/>
      <c r="Q877" s="36"/>
      <c r="R877" s="34"/>
      <c r="S877" s="38"/>
      <c r="T877" s="38" t="s">
        <v>12689</v>
      </c>
    </row>
    <row r="878" spans="1:20" x14ac:dyDescent="0.25">
      <c r="A878" s="33" t="s">
        <v>3428</v>
      </c>
      <c r="B878" s="33" t="s">
        <v>3427</v>
      </c>
      <c r="C878" s="33" t="s">
        <v>13</v>
      </c>
      <c r="D878" s="33" t="s">
        <v>3429</v>
      </c>
      <c r="E878" s="33">
        <v>2021</v>
      </c>
      <c r="F878" s="33">
        <v>21</v>
      </c>
      <c r="G878" s="33">
        <v>4</v>
      </c>
      <c r="H878" s="33" t="s">
        <v>3430</v>
      </c>
      <c r="I878" s="33" t="s">
        <v>3431</v>
      </c>
      <c r="J878" s="33">
        <v>2021</v>
      </c>
      <c r="K878" s="34"/>
      <c r="L878" s="34"/>
      <c r="M878" s="33" t="s">
        <v>956</v>
      </c>
      <c r="N878" s="37" t="s">
        <v>3432</v>
      </c>
      <c r="O878" s="33" t="s">
        <v>3433</v>
      </c>
      <c r="P878" s="33" t="s">
        <v>3434</v>
      </c>
      <c r="Q878" s="33" t="s">
        <v>3435</v>
      </c>
      <c r="R878" s="34"/>
      <c r="S878" s="38"/>
      <c r="T878" s="38" t="s">
        <v>12690</v>
      </c>
    </row>
    <row r="879" spans="1:20" x14ac:dyDescent="0.25">
      <c r="A879" s="33" t="s">
        <v>9099</v>
      </c>
      <c r="B879" s="33" t="s">
        <v>9098</v>
      </c>
      <c r="C879" s="33" t="s">
        <v>13</v>
      </c>
      <c r="D879" s="33" t="s">
        <v>1827</v>
      </c>
      <c r="E879" s="33">
        <v>2021</v>
      </c>
      <c r="F879" s="33">
        <v>201</v>
      </c>
      <c r="G879" s="36"/>
      <c r="H879" s="33">
        <v>102522</v>
      </c>
      <c r="I879" s="36"/>
      <c r="J879" s="33">
        <v>2021</v>
      </c>
      <c r="K879" s="34"/>
      <c r="L879" s="34"/>
      <c r="M879" s="33" t="s">
        <v>1828</v>
      </c>
      <c r="N879" s="37" t="s">
        <v>9100</v>
      </c>
      <c r="O879" s="33" t="s">
        <v>9101</v>
      </c>
      <c r="P879" s="33" t="s">
        <v>9102</v>
      </c>
      <c r="Q879" s="36"/>
      <c r="R879" s="36"/>
      <c r="S879" s="33" t="s">
        <v>9103</v>
      </c>
      <c r="T879" s="38" t="s">
        <v>12693</v>
      </c>
    </row>
    <row r="880" spans="1:20" x14ac:dyDescent="0.25">
      <c r="A880" s="33" t="s">
        <v>2825</v>
      </c>
      <c r="B880" s="33" t="s">
        <v>2824</v>
      </c>
      <c r="C880" s="33" t="s">
        <v>141</v>
      </c>
      <c r="D880" s="34"/>
      <c r="E880" s="33">
        <v>2020</v>
      </c>
      <c r="F880" s="34"/>
      <c r="G880" s="34"/>
      <c r="H880" s="33" t="s">
        <v>2826</v>
      </c>
      <c r="I880" s="33" t="s">
        <v>153</v>
      </c>
      <c r="J880" s="33">
        <v>2020</v>
      </c>
      <c r="K880" s="33">
        <v>9781450370431</v>
      </c>
      <c r="L880" s="34"/>
      <c r="M880" s="34"/>
      <c r="N880" s="37" t="s">
        <v>2827</v>
      </c>
      <c r="O880" s="33" t="s">
        <v>2828</v>
      </c>
      <c r="P880" s="33" t="s">
        <v>2829</v>
      </c>
      <c r="Q880" s="33" t="s">
        <v>2830</v>
      </c>
      <c r="R880" s="34"/>
      <c r="S880" s="38"/>
      <c r="T880" s="38" t="s">
        <v>12690</v>
      </c>
    </row>
    <row r="881" spans="1:20" x14ac:dyDescent="0.25">
      <c r="A881" s="39" t="s">
        <v>10569</v>
      </c>
      <c r="B881" s="39" t="s">
        <v>10571</v>
      </c>
      <c r="C881" s="39" t="s">
        <v>539</v>
      </c>
      <c r="D881" s="36"/>
      <c r="E881" s="39">
        <v>2021</v>
      </c>
      <c r="F881" s="40"/>
      <c r="G881" s="40"/>
      <c r="H881" s="36"/>
      <c r="I881" s="39" t="s">
        <v>10568</v>
      </c>
      <c r="J881" s="36"/>
      <c r="K881" s="36"/>
      <c r="L881" s="36"/>
      <c r="M881" s="34"/>
      <c r="N881" s="41" t="s">
        <v>10572</v>
      </c>
      <c r="O881" s="39" t="s">
        <v>10570</v>
      </c>
      <c r="P881" s="33"/>
      <c r="Q881" s="36"/>
      <c r="R881" s="34"/>
      <c r="S881" s="38"/>
      <c r="T881" s="38" t="s">
        <v>12689</v>
      </c>
    </row>
    <row r="882" spans="1:20" x14ac:dyDescent="0.25">
      <c r="A882" s="33" t="s">
        <v>837</v>
      </c>
      <c r="B882" s="33" t="s">
        <v>836</v>
      </c>
      <c r="C882" s="33" t="s">
        <v>141</v>
      </c>
      <c r="D882" s="34"/>
      <c r="E882" s="33">
        <v>2022</v>
      </c>
      <c r="F882" s="34"/>
      <c r="G882" s="34"/>
      <c r="H882" s="33" t="s">
        <v>11963</v>
      </c>
      <c r="I882" s="44" t="s">
        <v>12768</v>
      </c>
      <c r="J882" s="33">
        <v>2022</v>
      </c>
      <c r="K882" s="33">
        <v>9781450397803</v>
      </c>
      <c r="L882" s="33" t="s">
        <v>11969</v>
      </c>
      <c r="M882" s="34"/>
      <c r="N882" s="37" t="s">
        <v>11966</v>
      </c>
      <c r="O882" s="33" t="s">
        <v>840</v>
      </c>
      <c r="P882" s="33" t="s">
        <v>11967</v>
      </c>
      <c r="Q882" s="36"/>
      <c r="R882" s="36"/>
      <c r="S882" s="33" t="s">
        <v>11968</v>
      </c>
      <c r="T882" s="33" t="s">
        <v>12692</v>
      </c>
    </row>
    <row r="883" spans="1:20" x14ac:dyDescent="0.25">
      <c r="A883" s="33" t="s">
        <v>837</v>
      </c>
      <c r="B883" s="33" t="s">
        <v>836</v>
      </c>
      <c r="C883" s="33" t="s">
        <v>141</v>
      </c>
      <c r="D883" s="34"/>
      <c r="E883" s="33">
        <v>2022</v>
      </c>
      <c r="F883" s="34"/>
      <c r="G883" s="34"/>
      <c r="H883" s="33" t="s">
        <v>838</v>
      </c>
      <c r="I883" s="33" t="s">
        <v>145</v>
      </c>
      <c r="J883" s="33">
        <v>2022</v>
      </c>
      <c r="K883" s="33">
        <v>9781450397803</v>
      </c>
      <c r="L883" s="34"/>
      <c r="M883" s="34"/>
      <c r="N883" s="37" t="s">
        <v>839</v>
      </c>
      <c r="O883" s="33" t="s">
        <v>840</v>
      </c>
      <c r="P883" s="33" t="s">
        <v>841</v>
      </c>
      <c r="Q883" s="33" t="s">
        <v>157</v>
      </c>
      <c r="R883" s="34"/>
      <c r="S883" s="38"/>
      <c r="T883" s="38" t="s">
        <v>12690</v>
      </c>
    </row>
    <row r="884" spans="1:20" x14ac:dyDescent="0.25">
      <c r="A884" s="33" t="s">
        <v>12535</v>
      </c>
      <c r="B884" s="33" t="s">
        <v>7373</v>
      </c>
      <c r="C884" s="33" t="s">
        <v>13</v>
      </c>
      <c r="D884" s="33" t="s">
        <v>12354</v>
      </c>
      <c r="E884" s="33">
        <v>2022</v>
      </c>
      <c r="F884" s="33">
        <v>6</v>
      </c>
      <c r="G884" s="33" t="s">
        <v>1286</v>
      </c>
      <c r="H884" s="34"/>
      <c r="I884" s="44" t="s">
        <v>12710</v>
      </c>
      <c r="J884" s="43">
        <v>44652</v>
      </c>
      <c r="K884" s="34"/>
      <c r="L884" s="34"/>
      <c r="M884" s="34"/>
      <c r="N884" s="37" t="s">
        <v>12536</v>
      </c>
      <c r="O884" s="33" t="s">
        <v>12537</v>
      </c>
      <c r="P884" s="33" t="s">
        <v>12538</v>
      </c>
      <c r="Q884" s="36"/>
      <c r="R884" s="36"/>
      <c r="S884" s="33" t="s">
        <v>12539</v>
      </c>
      <c r="T884" s="33" t="s">
        <v>12692</v>
      </c>
    </row>
    <row r="885" spans="1:20" x14ac:dyDescent="0.25">
      <c r="A885" s="39" t="s">
        <v>9730</v>
      </c>
      <c r="B885" s="39" t="s">
        <v>9732</v>
      </c>
      <c r="C885" s="39" t="s">
        <v>539</v>
      </c>
      <c r="D885" s="36"/>
      <c r="E885" s="39">
        <v>2022</v>
      </c>
      <c r="F885" s="40"/>
      <c r="G885" s="40"/>
      <c r="H885" s="36"/>
      <c r="I885" s="39" t="s">
        <v>9275</v>
      </c>
      <c r="J885" s="36"/>
      <c r="K885" s="36"/>
      <c r="L885" s="36"/>
      <c r="M885" s="34"/>
      <c r="N885" s="41" t="s">
        <v>9733</v>
      </c>
      <c r="O885" s="39" t="s">
        <v>9731</v>
      </c>
      <c r="P885" s="33"/>
      <c r="Q885" s="36"/>
      <c r="R885" s="34"/>
      <c r="S885" s="38"/>
      <c r="T885" s="38" t="s">
        <v>12689</v>
      </c>
    </row>
    <row r="886" spans="1:20" x14ac:dyDescent="0.25">
      <c r="A886" s="39" t="s">
        <v>10093</v>
      </c>
      <c r="B886" s="39" t="s">
        <v>10095</v>
      </c>
      <c r="C886" s="39" t="s">
        <v>539</v>
      </c>
      <c r="D886" s="36"/>
      <c r="E886" s="39">
        <v>2022</v>
      </c>
      <c r="F886" s="40"/>
      <c r="G886" s="40"/>
      <c r="H886" s="36"/>
      <c r="I886" s="40"/>
      <c r="J886" s="36"/>
      <c r="K886" s="36"/>
      <c r="L886" s="36"/>
      <c r="M886" s="34"/>
      <c r="N886" s="41" t="s">
        <v>10096</v>
      </c>
      <c r="O886" s="39" t="s">
        <v>10094</v>
      </c>
      <c r="P886" s="33"/>
      <c r="Q886" s="36"/>
      <c r="R886" s="34"/>
      <c r="S886" s="38"/>
      <c r="T886" s="38" t="s">
        <v>12689</v>
      </c>
    </row>
    <row r="887" spans="1:20" x14ac:dyDescent="0.25">
      <c r="A887" s="33" t="s">
        <v>11450</v>
      </c>
      <c r="B887" s="33" t="s">
        <v>4134</v>
      </c>
      <c r="C887" s="33" t="s">
        <v>141</v>
      </c>
      <c r="D887" s="34"/>
      <c r="E887" s="33">
        <v>2020</v>
      </c>
      <c r="F887" s="34"/>
      <c r="G887" s="34"/>
      <c r="H887" s="33" t="s">
        <v>11451</v>
      </c>
      <c r="I887" s="44" t="s">
        <v>12760</v>
      </c>
      <c r="J887" s="33">
        <v>2020</v>
      </c>
      <c r="K887" s="33">
        <v>9781450375122</v>
      </c>
      <c r="L887" s="33" t="s">
        <v>11456</v>
      </c>
      <c r="M887" s="34"/>
      <c r="N887" s="37" t="s">
        <v>11453</v>
      </c>
      <c r="O887" s="33" t="s">
        <v>4138</v>
      </c>
      <c r="P887" s="33" t="s">
        <v>11454</v>
      </c>
      <c r="Q887" s="36"/>
      <c r="R887" s="36"/>
      <c r="S887" s="33" t="s">
        <v>11455</v>
      </c>
      <c r="T887" s="33" t="s">
        <v>12692</v>
      </c>
    </row>
    <row r="888" spans="1:20" x14ac:dyDescent="0.25">
      <c r="A888" s="33" t="s">
        <v>11450</v>
      </c>
      <c r="B888" s="33" t="s">
        <v>4134</v>
      </c>
      <c r="C888" s="33" t="s">
        <v>141</v>
      </c>
      <c r="D888" s="34"/>
      <c r="E888" s="33">
        <v>2020</v>
      </c>
      <c r="F888" s="34"/>
      <c r="G888" s="34"/>
      <c r="H888" s="33" t="s">
        <v>4136</v>
      </c>
      <c r="I888" s="33" t="s">
        <v>153</v>
      </c>
      <c r="J888" s="33">
        <v>2020</v>
      </c>
      <c r="K888" s="33">
        <v>9781450375122</v>
      </c>
      <c r="L888" s="34"/>
      <c r="M888" s="34"/>
      <c r="N888" s="37" t="s">
        <v>4137</v>
      </c>
      <c r="O888" s="33" t="s">
        <v>4138</v>
      </c>
      <c r="P888" s="33" t="s">
        <v>4139</v>
      </c>
      <c r="Q888" s="33" t="s">
        <v>1573</v>
      </c>
      <c r="R888" s="34"/>
      <c r="S888" s="38"/>
      <c r="T888" s="38" t="s">
        <v>12690</v>
      </c>
    </row>
    <row r="889" spans="1:20" x14ac:dyDescent="0.25">
      <c r="A889" s="39" t="s">
        <v>9605</v>
      </c>
      <c r="B889" s="39" t="s">
        <v>9607</v>
      </c>
      <c r="C889" s="39" t="s">
        <v>539</v>
      </c>
      <c r="D889" s="36"/>
      <c r="E889" s="39">
        <v>2023</v>
      </c>
      <c r="F889" s="40"/>
      <c r="G889" s="40"/>
      <c r="H889" s="36"/>
      <c r="I889" s="39" t="s">
        <v>1547</v>
      </c>
      <c r="J889" s="36"/>
      <c r="K889" s="36"/>
      <c r="L889" s="36"/>
      <c r="M889" s="34"/>
      <c r="N889" s="41" t="s">
        <v>9608</v>
      </c>
      <c r="O889" s="39" t="s">
        <v>9606</v>
      </c>
      <c r="P889" s="33"/>
      <c r="Q889" s="36"/>
      <c r="R889" s="34"/>
      <c r="S889" s="38"/>
      <c r="T889" s="38" t="s">
        <v>12689</v>
      </c>
    </row>
    <row r="890" spans="1:20" x14ac:dyDescent="0.25">
      <c r="A890" s="33" t="s">
        <v>3663</v>
      </c>
      <c r="B890" s="33" t="s">
        <v>3662</v>
      </c>
      <c r="C890" s="33" t="s">
        <v>141</v>
      </c>
      <c r="D890" s="34"/>
      <c r="E890" s="33">
        <v>2021</v>
      </c>
      <c r="F890" s="34"/>
      <c r="G890" s="34"/>
      <c r="H890" s="47">
        <v>44930</v>
      </c>
      <c r="I890" s="33" t="s">
        <v>6513</v>
      </c>
      <c r="J890" s="43">
        <v>44440</v>
      </c>
      <c r="K890" s="36"/>
      <c r="L890" s="36"/>
      <c r="M890" s="34"/>
      <c r="N890" s="37" t="s">
        <v>6514</v>
      </c>
      <c r="O890" s="33" t="s">
        <v>3666</v>
      </c>
      <c r="P890" s="33" t="s">
        <v>6515</v>
      </c>
      <c r="Q890" s="36"/>
      <c r="R890" s="36"/>
      <c r="S890" s="33" t="s">
        <v>6516</v>
      </c>
      <c r="T890" s="38" t="s">
        <v>12688</v>
      </c>
    </row>
    <row r="891" spans="1:20" x14ac:dyDescent="0.25">
      <c r="A891" s="33" t="s">
        <v>3663</v>
      </c>
      <c r="B891" s="33" t="s">
        <v>3662</v>
      </c>
      <c r="C891" s="33" t="s">
        <v>141</v>
      </c>
      <c r="D891" s="34"/>
      <c r="E891" s="33">
        <v>2021</v>
      </c>
      <c r="F891" s="45">
        <v>44440</v>
      </c>
      <c r="G891" s="34"/>
      <c r="H891" s="34"/>
      <c r="I891" s="33" t="s">
        <v>257</v>
      </c>
      <c r="J891" s="33">
        <v>2021</v>
      </c>
      <c r="K891" s="33">
        <v>9781728129891</v>
      </c>
      <c r="L891" s="34"/>
      <c r="M891" s="33" t="s">
        <v>3664</v>
      </c>
      <c r="N891" s="37" t="s">
        <v>3665</v>
      </c>
      <c r="O891" s="33" t="s">
        <v>3666</v>
      </c>
      <c r="P891" s="33" t="s">
        <v>3667</v>
      </c>
      <c r="Q891" s="33" t="s">
        <v>185</v>
      </c>
      <c r="R891" s="34"/>
      <c r="S891" s="38"/>
      <c r="T891" s="38" t="s">
        <v>12690</v>
      </c>
    </row>
    <row r="892" spans="1:20" x14ac:dyDescent="0.25">
      <c r="A892" s="33" t="s">
        <v>4043</v>
      </c>
      <c r="B892" s="33" t="s">
        <v>2500</v>
      </c>
      <c r="C892" s="33" t="s">
        <v>13</v>
      </c>
      <c r="D892" s="33" t="s">
        <v>2974</v>
      </c>
      <c r="E892" s="33">
        <v>2020</v>
      </c>
      <c r="F892" s="33">
        <v>617</v>
      </c>
      <c r="G892" s="34"/>
      <c r="H892" s="33" t="s">
        <v>4044</v>
      </c>
      <c r="I892" s="33" t="s">
        <v>212</v>
      </c>
      <c r="J892" s="33">
        <v>2020</v>
      </c>
      <c r="K892" s="34"/>
      <c r="L892" s="34"/>
      <c r="M892" s="33" t="s">
        <v>2976</v>
      </c>
      <c r="N892" s="37" t="s">
        <v>4045</v>
      </c>
      <c r="O892" s="33" t="s">
        <v>4046</v>
      </c>
      <c r="P892" s="33" t="s">
        <v>4047</v>
      </c>
      <c r="Q892" s="33" t="s">
        <v>157</v>
      </c>
      <c r="R892" s="34"/>
      <c r="S892" s="38"/>
      <c r="T892" s="38" t="s">
        <v>12690</v>
      </c>
    </row>
    <row r="893" spans="1:20" x14ac:dyDescent="0.25">
      <c r="A893" s="39" t="s">
        <v>10148</v>
      </c>
      <c r="B893" s="39" t="s">
        <v>10150</v>
      </c>
      <c r="C893" s="39" t="s">
        <v>539</v>
      </c>
      <c r="D893" s="36"/>
      <c r="E893" s="39">
        <v>2022</v>
      </c>
      <c r="F893" s="40"/>
      <c r="G893" s="40"/>
      <c r="H893" s="36"/>
      <c r="I893" s="39" t="s">
        <v>10147</v>
      </c>
      <c r="J893" s="36"/>
      <c r="K893" s="36"/>
      <c r="L893" s="36"/>
      <c r="M893" s="34"/>
      <c r="N893" s="41" t="s">
        <v>10151</v>
      </c>
      <c r="O893" s="39" t="s">
        <v>10149</v>
      </c>
      <c r="P893" s="33"/>
      <c r="Q893" s="36"/>
      <c r="R893" s="34"/>
      <c r="S893" s="38"/>
      <c r="T893" s="38" t="s">
        <v>12689</v>
      </c>
    </row>
    <row r="894" spans="1:20" x14ac:dyDescent="0.25">
      <c r="A894" s="33" t="s">
        <v>6928</v>
      </c>
      <c r="B894" s="33" t="s">
        <v>3844</v>
      </c>
      <c r="C894" s="33" t="s">
        <v>141</v>
      </c>
      <c r="D894" s="34"/>
      <c r="E894" s="33">
        <v>2021</v>
      </c>
      <c r="F894" s="34"/>
      <c r="G894" s="34"/>
      <c r="H894" s="33" t="s">
        <v>6929</v>
      </c>
      <c r="I894" s="33" t="s">
        <v>6930</v>
      </c>
      <c r="J894" s="43">
        <v>44317</v>
      </c>
      <c r="K894" s="36"/>
      <c r="L894" s="36"/>
      <c r="M894" s="34"/>
      <c r="N894" s="37" t="s">
        <v>6931</v>
      </c>
      <c r="O894" s="33" t="s">
        <v>3848</v>
      </c>
      <c r="P894" s="33" t="s">
        <v>6932</v>
      </c>
      <c r="Q894" s="36"/>
      <c r="R894" s="36"/>
      <c r="S894" s="33" t="s">
        <v>6933</v>
      </c>
      <c r="T894" s="38" t="s">
        <v>12688</v>
      </c>
    </row>
    <row r="895" spans="1:20" x14ac:dyDescent="0.25">
      <c r="A895" s="33" t="s">
        <v>6928</v>
      </c>
      <c r="B895" s="33" t="s">
        <v>3844</v>
      </c>
      <c r="C895" s="33" t="s">
        <v>141</v>
      </c>
      <c r="D895" s="34"/>
      <c r="E895" s="33">
        <v>2021</v>
      </c>
      <c r="F895" s="34"/>
      <c r="G895" s="34"/>
      <c r="H895" s="33" t="s">
        <v>3846</v>
      </c>
      <c r="I895" s="33" t="s">
        <v>257</v>
      </c>
      <c r="J895" s="33">
        <v>2021</v>
      </c>
      <c r="K895" s="33">
        <v>9781665445597</v>
      </c>
      <c r="L895" s="34"/>
      <c r="M895" s="34"/>
      <c r="N895" s="37" t="s">
        <v>3847</v>
      </c>
      <c r="O895" s="33" t="s">
        <v>3848</v>
      </c>
      <c r="P895" s="33" t="s">
        <v>3849</v>
      </c>
      <c r="Q895" s="33" t="s">
        <v>157</v>
      </c>
      <c r="R895" s="34"/>
      <c r="S895" s="38"/>
      <c r="T895" s="38" t="s">
        <v>12690</v>
      </c>
    </row>
    <row r="896" spans="1:20" x14ac:dyDescent="0.25">
      <c r="A896" s="39" t="s">
        <v>9680</v>
      </c>
      <c r="B896" s="39" t="s">
        <v>9682</v>
      </c>
      <c r="C896" s="39" t="s">
        <v>9539</v>
      </c>
      <c r="D896" s="36"/>
      <c r="E896" s="39">
        <v>2019</v>
      </c>
      <c r="F896" s="40"/>
      <c r="G896" s="40"/>
      <c r="H896" s="36"/>
      <c r="I896" s="39" t="s">
        <v>9276</v>
      </c>
      <c r="J896" s="36"/>
      <c r="K896" s="36"/>
      <c r="L896" s="36"/>
      <c r="M896" s="34"/>
      <c r="N896" s="41" t="s">
        <v>9683</v>
      </c>
      <c r="O896" s="39" t="s">
        <v>9681</v>
      </c>
      <c r="P896" s="33"/>
      <c r="Q896" s="36"/>
      <c r="R896" s="34"/>
      <c r="S896" s="38"/>
      <c r="T896" s="38" t="s">
        <v>12689</v>
      </c>
    </row>
    <row r="897" spans="1:20" x14ac:dyDescent="0.25">
      <c r="A897" s="39" t="s">
        <v>10867</v>
      </c>
      <c r="B897" s="39" t="s">
        <v>10869</v>
      </c>
      <c r="C897" s="39" t="s">
        <v>9478</v>
      </c>
      <c r="D897" s="36"/>
      <c r="E897" s="39">
        <v>2022</v>
      </c>
      <c r="F897" s="40"/>
      <c r="G897" s="40"/>
      <c r="H897" s="36"/>
      <c r="I897" s="39" t="s">
        <v>407</v>
      </c>
      <c r="J897" s="36"/>
      <c r="K897" s="36"/>
      <c r="L897" s="36"/>
      <c r="M897" s="34"/>
      <c r="N897" s="41" t="s">
        <v>10870</v>
      </c>
      <c r="O897" s="39" t="s">
        <v>10868</v>
      </c>
      <c r="P897" s="33"/>
      <c r="Q897" s="36"/>
      <c r="R897" s="34"/>
      <c r="S897" s="38"/>
      <c r="T897" s="38" t="s">
        <v>12689</v>
      </c>
    </row>
    <row r="898" spans="1:20" x14ac:dyDescent="0.25">
      <c r="A898" s="33" t="s">
        <v>3488</v>
      </c>
      <c r="B898" s="33" t="s">
        <v>3487</v>
      </c>
      <c r="C898" s="33" t="s">
        <v>141</v>
      </c>
      <c r="D898" s="34"/>
      <c r="E898" s="33">
        <v>2020</v>
      </c>
      <c r="F898" s="34"/>
      <c r="G898" s="34"/>
      <c r="H898" s="33" t="s">
        <v>3489</v>
      </c>
      <c r="I898" s="33" t="s">
        <v>257</v>
      </c>
      <c r="J898" s="33">
        <v>2020</v>
      </c>
      <c r="K898" s="33">
        <v>9781728192796</v>
      </c>
      <c r="L898" s="34"/>
      <c r="M898" s="34"/>
      <c r="N898" s="37" t="s">
        <v>3490</v>
      </c>
      <c r="O898" s="33" t="s">
        <v>3491</v>
      </c>
      <c r="P898" s="33" t="s">
        <v>3492</v>
      </c>
      <c r="Q898" s="33" t="s">
        <v>318</v>
      </c>
      <c r="R898" s="34"/>
      <c r="S898" s="38"/>
      <c r="T898" s="38" t="s">
        <v>12690</v>
      </c>
    </row>
    <row r="899" spans="1:20" x14ac:dyDescent="0.25">
      <c r="A899" s="33" t="s">
        <v>487</v>
      </c>
      <c r="B899" s="33" t="s">
        <v>486</v>
      </c>
      <c r="C899" s="33" t="s">
        <v>13</v>
      </c>
      <c r="D899" s="33" t="s">
        <v>488</v>
      </c>
      <c r="E899" s="33">
        <v>2022</v>
      </c>
      <c r="F899" s="33">
        <v>18</v>
      </c>
      <c r="G899" s="33">
        <v>3</v>
      </c>
      <c r="H899" s="33" t="s">
        <v>489</v>
      </c>
      <c r="I899" s="33" t="s">
        <v>490</v>
      </c>
      <c r="J899" s="33">
        <v>2022</v>
      </c>
      <c r="K899" s="34"/>
      <c r="L899" s="34"/>
      <c r="M899" s="33" t="s">
        <v>491</v>
      </c>
      <c r="N899" s="37" t="s">
        <v>492</v>
      </c>
      <c r="O899" s="33" t="s">
        <v>493</v>
      </c>
      <c r="P899" s="33" t="s">
        <v>494</v>
      </c>
      <c r="Q899" s="33" t="s">
        <v>318</v>
      </c>
      <c r="R899" s="34"/>
      <c r="S899" s="38"/>
      <c r="T899" s="38" t="s">
        <v>12690</v>
      </c>
    </row>
    <row r="900" spans="1:20" x14ac:dyDescent="0.25">
      <c r="A900" s="33" t="s">
        <v>8250</v>
      </c>
      <c r="B900" s="33" t="s">
        <v>8249</v>
      </c>
      <c r="C900" s="33" t="s">
        <v>141</v>
      </c>
      <c r="D900" s="34"/>
      <c r="E900" s="33">
        <v>2022</v>
      </c>
      <c r="F900" s="34"/>
      <c r="G900" s="34"/>
      <c r="H900" s="33" t="s">
        <v>12348</v>
      </c>
      <c r="I900" s="44" t="s">
        <v>12740</v>
      </c>
      <c r="J900" s="33">
        <v>2022</v>
      </c>
      <c r="K900" s="33">
        <v>9781450393034</v>
      </c>
      <c r="L900" s="33" t="s">
        <v>11329</v>
      </c>
      <c r="M900" s="34"/>
      <c r="N900" s="37" t="s">
        <v>12349</v>
      </c>
      <c r="O900" s="33" t="s">
        <v>8253</v>
      </c>
      <c r="P900" s="33" t="s">
        <v>12350</v>
      </c>
      <c r="Q900" s="36"/>
      <c r="R900" s="36"/>
      <c r="S900" s="33" t="s">
        <v>12351</v>
      </c>
      <c r="T900" s="33" t="s">
        <v>12692</v>
      </c>
    </row>
    <row r="901" spans="1:20" x14ac:dyDescent="0.25">
      <c r="A901" s="33" t="s">
        <v>8250</v>
      </c>
      <c r="B901" s="33" t="s">
        <v>8249</v>
      </c>
      <c r="C901" s="33" t="s">
        <v>141</v>
      </c>
      <c r="D901" s="34"/>
      <c r="E901" s="33">
        <v>2022</v>
      </c>
      <c r="F901" s="34"/>
      <c r="G901" s="34"/>
      <c r="H901" s="33" t="s">
        <v>8251</v>
      </c>
      <c r="I901" s="33" t="s">
        <v>6469</v>
      </c>
      <c r="J901" s="43">
        <v>44682</v>
      </c>
      <c r="K901" s="34"/>
      <c r="L901" s="36"/>
      <c r="M901" s="33" t="s">
        <v>6152</v>
      </c>
      <c r="N901" s="37" t="s">
        <v>8252</v>
      </c>
      <c r="O901" s="33" t="s">
        <v>8253</v>
      </c>
      <c r="P901" s="33" t="s">
        <v>8254</v>
      </c>
      <c r="Q901" s="36"/>
      <c r="R901" s="36"/>
      <c r="S901" s="33" t="s">
        <v>8255</v>
      </c>
      <c r="T901" s="38" t="s">
        <v>12688</v>
      </c>
    </row>
    <row r="902" spans="1:20" x14ac:dyDescent="0.25">
      <c r="A902" s="33" t="s">
        <v>7629</v>
      </c>
      <c r="B902" s="33" t="s">
        <v>7628</v>
      </c>
      <c r="C902" s="33" t="s">
        <v>141</v>
      </c>
      <c r="D902" s="34"/>
      <c r="E902" s="33">
        <v>2019</v>
      </c>
      <c r="F902" s="34"/>
      <c r="G902" s="34"/>
      <c r="H902" s="33" t="s">
        <v>7630</v>
      </c>
      <c r="I902" s="33" t="s">
        <v>7631</v>
      </c>
      <c r="J902" s="43">
        <v>43586</v>
      </c>
      <c r="K902" s="36"/>
      <c r="L902" s="36"/>
      <c r="M902" s="34"/>
      <c r="N902" s="37" t="s">
        <v>7632</v>
      </c>
      <c r="O902" s="33" t="s">
        <v>7633</v>
      </c>
      <c r="P902" s="33" t="s">
        <v>7634</v>
      </c>
      <c r="Q902" s="36"/>
      <c r="R902" s="36"/>
      <c r="S902" s="33" t="s">
        <v>7635</v>
      </c>
      <c r="T902" s="38" t="s">
        <v>12688</v>
      </c>
    </row>
    <row r="903" spans="1:20" x14ac:dyDescent="0.25">
      <c r="A903" s="33" t="s">
        <v>7629</v>
      </c>
      <c r="B903" s="33" t="s">
        <v>7628</v>
      </c>
      <c r="C903" s="33" t="s">
        <v>141</v>
      </c>
      <c r="D903" s="34"/>
      <c r="E903" s="33">
        <v>2019</v>
      </c>
      <c r="F903" s="34"/>
      <c r="G903" s="34"/>
      <c r="H903" s="33" t="s">
        <v>11910</v>
      </c>
      <c r="I903" s="44" t="s">
        <v>12769</v>
      </c>
      <c r="J903" s="33">
        <v>2019</v>
      </c>
      <c r="K903" s="34"/>
      <c r="L903" s="33" t="s">
        <v>11914</v>
      </c>
      <c r="M903" s="34"/>
      <c r="N903" s="37" t="s">
        <v>11912</v>
      </c>
      <c r="O903" s="33" t="s">
        <v>7633</v>
      </c>
      <c r="P903" s="33" t="s">
        <v>7634</v>
      </c>
      <c r="Q903" s="36"/>
      <c r="R903" s="36"/>
      <c r="S903" s="33" t="s">
        <v>11913</v>
      </c>
      <c r="T903" s="33" t="s">
        <v>12692</v>
      </c>
    </row>
    <row r="904" spans="1:20" x14ac:dyDescent="0.25">
      <c r="A904" s="33" t="s">
        <v>2004</v>
      </c>
      <c r="B904" s="33" t="s">
        <v>2003</v>
      </c>
      <c r="C904" s="33" t="s">
        <v>13</v>
      </c>
      <c r="D904" s="33" t="s">
        <v>1285</v>
      </c>
      <c r="E904" s="33">
        <v>2021</v>
      </c>
      <c r="F904" s="33">
        <v>5</v>
      </c>
      <c r="G904" s="33" t="s">
        <v>2005</v>
      </c>
      <c r="H904" s="34"/>
      <c r="I904" s="33" t="s">
        <v>145</v>
      </c>
      <c r="J904" s="33">
        <v>2021</v>
      </c>
      <c r="K904" s="34"/>
      <c r="L904" s="34"/>
      <c r="M904" s="33" t="s">
        <v>1287</v>
      </c>
      <c r="N904" s="37" t="s">
        <v>2006</v>
      </c>
      <c r="O904" s="33" t="s">
        <v>2007</v>
      </c>
      <c r="P904" s="33" t="s">
        <v>2008</v>
      </c>
      <c r="Q904" s="33" t="s">
        <v>387</v>
      </c>
      <c r="R904" s="34"/>
      <c r="S904" s="38"/>
      <c r="T904" s="38" t="s">
        <v>12690</v>
      </c>
    </row>
    <row r="905" spans="1:20" x14ac:dyDescent="0.25">
      <c r="A905" s="33" t="s">
        <v>1273</v>
      </c>
      <c r="B905" s="33" t="s">
        <v>1272</v>
      </c>
      <c r="C905" s="33" t="s">
        <v>13</v>
      </c>
      <c r="D905" s="33" t="s">
        <v>255</v>
      </c>
      <c r="E905" s="33">
        <v>2022</v>
      </c>
      <c r="F905" s="33">
        <v>48</v>
      </c>
      <c r="G905" s="33">
        <v>5</v>
      </c>
      <c r="H905" s="33" t="s">
        <v>7341</v>
      </c>
      <c r="I905" s="34"/>
      <c r="J905" s="43">
        <v>44682</v>
      </c>
      <c r="K905" s="36"/>
      <c r="L905" s="36"/>
      <c r="M905" s="33" t="s">
        <v>6115</v>
      </c>
      <c r="N905" s="37" t="s">
        <v>7342</v>
      </c>
      <c r="O905" s="33" t="s">
        <v>1276</v>
      </c>
      <c r="P905" s="33" t="s">
        <v>7343</v>
      </c>
      <c r="Q905" s="36"/>
      <c r="R905" s="36"/>
      <c r="S905" s="33" t="s">
        <v>7344</v>
      </c>
      <c r="T905" s="38" t="s">
        <v>12688</v>
      </c>
    </row>
    <row r="906" spans="1:20" x14ac:dyDescent="0.25">
      <c r="A906" s="33" t="s">
        <v>1273</v>
      </c>
      <c r="B906" s="33" t="s">
        <v>1272</v>
      </c>
      <c r="C906" s="33" t="s">
        <v>13</v>
      </c>
      <c r="D906" s="33" t="s">
        <v>255</v>
      </c>
      <c r="E906" s="33">
        <v>2022</v>
      </c>
      <c r="F906" s="33">
        <v>48</v>
      </c>
      <c r="G906" s="33">
        <v>5</v>
      </c>
      <c r="H906" s="33" t="s">
        <v>1274</v>
      </c>
      <c r="I906" s="33" t="s">
        <v>257</v>
      </c>
      <c r="J906" s="33">
        <v>2022</v>
      </c>
      <c r="K906" s="34"/>
      <c r="L906" s="34"/>
      <c r="M906" s="33" t="s">
        <v>18</v>
      </c>
      <c r="N906" s="37" t="s">
        <v>1275</v>
      </c>
      <c r="O906" s="33" t="s">
        <v>1276</v>
      </c>
      <c r="P906" s="33" t="s">
        <v>1277</v>
      </c>
      <c r="Q906" s="33" t="s">
        <v>157</v>
      </c>
      <c r="R906" s="34"/>
      <c r="S906" s="38"/>
      <c r="T906" s="38" t="s">
        <v>12690</v>
      </c>
    </row>
    <row r="907" spans="1:20" x14ac:dyDescent="0.25">
      <c r="A907" s="33" t="s">
        <v>6291</v>
      </c>
      <c r="B907" s="33" t="s">
        <v>6290</v>
      </c>
      <c r="C907" s="33" t="s">
        <v>13</v>
      </c>
      <c r="D907" s="33" t="s">
        <v>668</v>
      </c>
      <c r="E907" s="33">
        <v>2020</v>
      </c>
      <c r="F907" s="33">
        <v>8</v>
      </c>
      <c r="G907" s="34"/>
      <c r="H907" s="33" t="s">
        <v>6292</v>
      </c>
      <c r="I907" s="34"/>
      <c r="J907" s="33">
        <v>2020</v>
      </c>
      <c r="K907" s="36"/>
      <c r="L907" s="36"/>
      <c r="M907" s="33" t="s">
        <v>670</v>
      </c>
      <c r="N907" s="37" t="s">
        <v>6293</v>
      </c>
      <c r="O907" s="33" t="s">
        <v>6294</v>
      </c>
      <c r="P907" s="33" t="s">
        <v>6295</v>
      </c>
      <c r="Q907" s="36"/>
      <c r="R907" s="36"/>
      <c r="S907" s="33" t="s">
        <v>6296</v>
      </c>
      <c r="T907" s="38" t="s">
        <v>12688</v>
      </c>
    </row>
    <row r="908" spans="1:20" x14ac:dyDescent="0.25">
      <c r="A908" s="39" t="s">
        <v>9379</v>
      </c>
      <c r="B908" s="39" t="s">
        <v>9381</v>
      </c>
      <c r="C908" s="39" t="s">
        <v>9383</v>
      </c>
      <c r="D908" s="36"/>
      <c r="E908" s="39">
        <v>2022</v>
      </c>
      <c r="F908" s="40"/>
      <c r="G908" s="40"/>
      <c r="H908" s="36"/>
      <c r="I908" s="40"/>
      <c r="J908" s="36"/>
      <c r="K908" s="36"/>
      <c r="L908" s="36"/>
      <c r="M908" s="34"/>
      <c r="N908" s="41" t="s">
        <v>9382</v>
      </c>
      <c r="O908" s="39" t="s">
        <v>9380</v>
      </c>
      <c r="P908" s="33"/>
      <c r="Q908" s="36"/>
      <c r="R908" s="34"/>
      <c r="S908" s="38"/>
      <c r="T908" s="38" t="s">
        <v>12689</v>
      </c>
    </row>
    <row r="909" spans="1:20" x14ac:dyDescent="0.25">
      <c r="A909" s="39" t="s">
        <v>9527</v>
      </c>
      <c r="B909" s="39" t="s">
        <v>9529</v>
      </c>
      <c r="C909" s="39" t="s">
        <v>9383</v>
      </c>
      <c r="D909" s="36"/>
      <c r="E909" s="39">
        <v>2020</v>
      </c>
      <c r="F909" s="40"/>
      <c r="G909" s="40"/>
      <c r="H909" s="36"/>
      <c r="I909" s="40"/>
      <c r="J909" s="36"/>
      <c r="K909" s="36"/>
      <c r="L909" s="36"/>
      <c r="M909" s="34"/>
      <c r="N909" s="41" t="s">
        <v>9530</v>
      </c>
      <c r="O909" s="39" t="s">
        <v>9528</v>
      </c>
      <c r="P909" s="33"/>
      <c r="Q909" s="36"/>
      <c r="R909" s="34"/>
      <c r="S909" s="38"/>
      <c r="T909" s="38" t="s">
        <v>12689</v>
      </c>
    </row>
    <row r="910" spans="1:20" x14ac:dyDescent="0.25">
      <c r="A910" s="33" t="s">
        <v>7267</v>
      </c>
      <c r="B910" s="33" t="s">
        <v>7266</v>
      </c>
      <c r="C910" s="33" t="s">
        <v>13</v>
      </c>
      <c r="D910" s="33" t="s">
        <v>7268</v>
      </c>
      <c r="E910" s="33">
        <v>2022</v>
      </c>
      <c r="F910" s="33">
        <v>5</v>
      </c>
      <c r="G910" s="33">
        <v>1</v>
      </c>
      <c r="H910" s="33" t="s">
        <v>7269</v>
      </c>
      <c r="I910" s="34"/>
      <c r="J910" s="43">
        <v>44621</v>
      </c>
      <c r="K910" s="36"/>
      <c r="L910" s="36"/>
      <c r="M910" s="33" t="s">
        <v>7270</v>
      </c>
      <c r="N910" s="37" t="s">
        <v>7271</v>
      </c>
      <c r="O910" s="33" t="s">
        <v>7272</v>
      </c>
      <c r="P910" s="33" t="s">
        <v>7273</v>
      </c>
      <c r="Q910" s="36"/>
      <c r="R910" s="36"/>
      <c r="S910" s="33" t="s">
        <v>7274</v>
      </c>
      <c r="T910" s="38" t="s">
        <v>12688</v>
      </c>
    </row>
    <row r="911" spans="1:20" x14ac:dyDescent="0.25">
      <c r="A911" s="33" t="s">
        <v>3403</v>
      </c>
      <c r="B911" s="33" t="s">
        <v>3402</v>
      </c>
      <c r="C911" s="33" t="s">
        <v>539</v>
      </c>
      <c r="D911" s="34"/>
      <c r="E911" s="33">
        <v>2020</v>
      </c>
      <c r="F911" s="34"/>
      <c r="G911" s="34"/>
      <c r="H911" s="34"/>
      <c r="I911" s="33" t="s">
        <v>1465</v>
      </c>
      <c r="J911" s="33">
        <v>2020</v>
      </c>
      <c r="K911" s="33">
        <v>9781799851028</v>
      </c>
      <c r="L911" s="33">
        <v>9781799851011</v>
      </c>
      <c r="M911" s="34"/>
      <c r="N911" s="37" t="s">
        <v>3404</v>
      </c>
      <c r="O911" s="33" t="s">
        <v>3405</v>
      </c>
      <c r="P911" s="33" t="s">
        <v>3406</v>
      </c>
      <c r="Q911" s="33" t="s">
        <v>3407</v>
      </c>
      <c r="R911" s="33" t="s">
        <v>3408</v>
      </c>
      <c r="S911" s="38"/>
      <c r="T911" s="38" t="s">
        <v>12690</v>
      </c>
    </row>
    <row r="912" spans="1:20" x14ac:dyDescent="0.25">
      <c r="A912" s="39" t="s">
        <v>9460</v>
      </c>
      <c r="B912" s="39" t="s">
        <v>9462</v>
      </c>
      <c r="C912" s="39" t="s">
        <v>539</v>
      </c>
      <c r="D912" s="36"/>
      <c r="E912" s="39">
        <v>2021</v>
      </c>
      <c r="F912" s="40"/>
      <c r="G912" s="40"/>
      <c r="H912" s="36"/>
      <c r="I912" s="39" t="s">
        <v>9275</v>
      </c>
      <c r="J912" s="36"/>
      <c r="K912" s="36"/>
      <c r="L912" s="36"/>
      <c r="M912" s="34"/>
      <c r="N912" s="41" t="s">
        <v>9463</v>
      </c>
      <c r="O912" s="39" t="s">
        <v>9461</v>
      </c>
      <c r="P912" s="33"/>
      <c r="Q912" s="36"/>
      <c r="R912" s="34"/>
      <c r="S912" s="38"/>
      <c r="T912" s="38" t="s">
        <v>12689</v>
      </c>
    </row>
    <row r="913" spans="1:20" x14ac:dyDescent="0.25">
      <c r="A913" s="33" t="s">
        <v>5093</v>
      </c>
      <c r="B913" s="33" t="s">
        <v>5092</v>
      </c>
      <c r="C913" s="33" t="s">
        <v>13</v>
      </c>
      <c r="D913" s="33" t="s">
        <v>5094</v>
      </c>
      <c r="E913" s="33">
        <v>2020</v>
      </c>
      <c r="F913" s="33">
        <v>109</v>
      </c>
      <c r="G913" s="33">
        <v>5</v>
      </c>
      <c r="H913" s="33" t="s">
        <v>5095</v>
      </c>
      <c r="I913" s="33" t="s">
        <v>137</v>
      </c>
      <c r="J913" s="33">
        <v>2020</v>
      </c>
      <c r="K913" s="34"/>
      <c r="L913" s="34"/>
      <c r="M913" s="33" t="s">
        <v>5096</v>
      </c>
      <c r="N913" s="37" t="s">
        <v>5097</v>
      </c>
      <c r="O913" s="33" t="s">
        <v>5098</v>
      </c>
      <c r="P913" s="33" t="s">
        <v>5099</v>
      </c>
      <c r="Q913" s="33" t="s">
        <v>5100</v>
      </c>
      <c r="R913" s="34"/>
      <c r="S913" s="38"/>
      <c r="T913" s="38" t="s">
        <v>12690</v>
      </c>
    </row>
    <row r="914" spans="1:20" x14ac:dyDescent="0.25">
      <c r="A914" s="33" t="s">
        <v>6143</v>
      </c>
      <c r="B914" s="33" t="s">
        <v>4452</v>
      </c>
      <c r="C914" s="33" t="s">
        <v>141</v>
      </c>
      <c r="D914" s="34"/>
      <c r="E914" s="33">
        <v>2018</v>
      </c>
      <c r="F914" s="34"/>
      <c r="G914" s="34"/>
      <c r="H914" s="33" t="s">
        <v>6144</v>
      </c>
      <c r="I914" s="33" t="s">
        <v>6145</v>
      </c>
      <c r="J914" s="43">
        <v>43313</v>
      </c>
      <c r="K914" s="36"/>
      <c r="L914" s="36"/>
      <c r="M914" s="34"/>
      <c r="N914" s="37" t="s">
        <v>6146</v>
      </c>
      <c r="O914" s="33" t="s">
        <v>5934</v>
      </c>
      <c r="P914" s="33" t="s">
        <v>6147</v>
      </c>
      <c r="Q914" s="36"/>
      <c r="R914" s="36"/>
      <c r="S914" s="33" t="s">
        <v>6148</v>
      </c>
      <c r="T914" s="38" t="s">
        <v>12688</v>
      </c>
    </row>
    <row r="915" spans="1:20" x14ac:dyDescent="0.25">
      <c r="A915" s="33" t="s">
        <v>6143</v>
      </c>
      <c r="B915" s="33" t="s">
        <v>4452</v>
      </c>
      <c r="C915" s="33" t="s">
        <v>141</v>
      </c>
      <c r="D915" s="34"/>
      <c r="E915" s="33">
        <v>2018</v>
      </c>
      <c r="F915" s="34"/>
      <c r="G915" s="34"/>
      <c r="H915" s="33" t="s">
        <v>5932</v>
      </c>
      <c r="I915" s="33" t="s">
        <v>257</v>
      </c>
      <c r="J915" s="33">
        <v>2018</v>
      </c>
      <c r="K915" s="33">
        <v>9781538673829</v>
      </c>
      <c r="L915" s="34"/>
      <c r="M915" s="34"/>
      <c r="N915" s="37" t="s">
        <v>5933</v>
      </c>
      <c r="O915" s="33" t="s">
        <v>5934</v>
      </c>
      <c r="P915" s="33" t="s">
        <v>5935</v>
      </c>
      <c r="Q915" s="33" t="s">
        <v>2286</v>
      </c>
      <c r="R915" s="34"/>
      <c r="S915" s="38"/>
      <c r="T915" s="38" t="s">
        <v>12690</v>
      </c>
    </row>
    <row r="916" spans="1:20" x14ac:dyDescent="0.25">
      <c r="A916" s="33" t="s">
        <v>9071</v>
      </c>
      <c r="B916" s="33" t="s">
        <v>9070</v>
      </c>
      <c r="C916" s="33" t="s">
        <v>13</v>
      </c>
      <c r="D916" s="33" t="s">
        <v>354</v>
      </c>
      <c r="E916" s="33">
        <v>2018</v>
      </c>
      <c r="F916" s="33">
        <v>143</v>
      </c>
      <c r="G916" s="36"/>
      <c r="H916" s="33" t="s">
        <v>9072</v>
      </c>
      <c r="I916" s="36"/>
      <c r="J916" s="33">
        <v>2018</v>
      </c>
      <c r="K916" s="34"/>
      <c r="L916" s="34"/>
      <c r="M916" s="33" t="s">
        <v>65</v>
      </c>
      <c r="N916" s="37" t="s">
        <v>9073</v>
      </c>
      <c r="O916" s="33" t="s">
        <v>9074</v>
      </c>
      <c r="P916" s="33" t="s">
        <v>9075</v>
      </c>
      <c r="Q916" s="36"/>
      <c r="R916" s="36"/>
      <c r="S916" s="33" t="s">
        <v>9076</v>
      </c>
      <c r="T916" s="38" t="s">
        <v>12693</v>
      </c>
    </row>
    <row r="917" spans="1:20" x14ac:dyDescent="0.25">
      <c r="A917" s="39" t="s">
        <v>10178</v>
      </c>
      <c r="B917" s="39" t="s">
        <v>10180</v>
      </c>
      <c r="C917" s="39" t="s">
        <v>539</v>
      </c>
      <c r="D917" s="36"/>
      <c r="E917" s="39">
        <v>2022</v>
      </c>
      <c r="F917" s="40"/>
      <c r="G917" s="40"/>
      <c r="H917" s="36"/>
      <c r="I917" s="40"/>
      <c r="J917" s="36"/>
      <c r="K917" s="36"/>
      <c r="L917" s="36"/>
      <c r="M917" s="34"/>
      <c r="N917" s="41" t="s">
        <v>10181</v>
      </c>
      <c r="O917" s="39" t="s">
        <v>10179</v>
      </c>
      <c r="P917" s="33"/>
      <c r="Q917" s="36"/>
      <c r="R917" s="34"/>
      <c r="S917" s="38"/>
      <c r="T917" s="38" t="s">
        <v>12689</v>
      </c>
    </row>
    <row r="918" spans="1:20" x14ac:dyDescent="0.25">
      <c r="A918" s="39" t="s">
        <v>9693</v>
      </c>
      <c r="B918" s="39" t="s">
        <v>9695</v>
      </c>
      <c r="C918" s="39" t="s">
        <v>539</v>
      </c>
      <c r="D918" s="36"/>
      <c r="E918" s="39">
        <v>2022</v>
      </c>
      <c r="F918" s="40"/>
      <c r="G918" s="40"/>
      <c r="H918" s="36"/>
      <c r="I918" s="39" t="s">
        <v>9275</v>
      </c>
      <c r="J918" s="36"/>
      <c r="K918" s="36"/>
      <c r="L918" s="36"/>
      <c r="M918" s="34"/>
      <c r="N918" s="41" t="s">
        <v>9696</v>
      </c>
      <c r="O918" s="39" t="s">
        <v>9694</v>
      </c>
      <c r="P918" s="33"/>
      <c r="Q918" s="36"/>
      <c r="R918" s="34"/>
      <c r="S918" s="38"/>
      <c r="T918" s="38" t="s">
        <v>12689</v>
      </c>
    </row>
    <row r="919" spans="1:20" x14ac:dyDescent="0.25">
      <c r="A919" s="39" t="s">
        <v>1927</v>
      </c>
      <c r="B919" s="39" t="s">
        <v>9284</v>
      </c>
      <c r="C919" s="39" t="s">
        <v>539</v>
      </c>
      <c r="D919" s="36"/>
      <c r="E919" s="39">
        <v>2021</v>
      </c>
      <c r="F919" s="40"/>
      <c r="G919" s="40"/>
      <c r="H919" s="36"/>
      <c r="I919" s="39" t="s">
        <v>1870</v>
      </c>
      <c r="J919" s="36"/>
      <c r="K919" s="36"/>
      <c r="L919" s="36"/>
      <c r="M919" s="34"/>
      <c r="N919" s="41" t="s">
        <v>9285</v>
      </c>
      <c r="O919" s="39" t="s">
        <v>9283</v>
      </c>
      <c r="P919" s="33"/>
      <c r="Q919" s="36"/>
      <c r="R919" s="34"/>
      <c r="S919" s="38"/>
      <c r="T919" s="38" t="s">
        <v>12689</v>
      </c>
    </row>
    <row r="920" spans="1:20" x14ac:dyDescent="0.25">
      <c r="A920" s="39" t="s">
        <v>1927</v>
      </c>
      <c r="B920" s="39" t="s">
        <v>9284</v>
      </c>
      <c r="C920" s="39" t="s">
        <v>539</v>
      </c>
      <c r="D920" s="36"/>
      <c r="E920" s="39">
        <v>2022</v>
      </c>
      <c r="F920" s="40"/>
      <c r="G920" s="40"/>
      <c r="H920" s="36"/>
      <c r="I920" s="39" t="s">
        <v>1870</v>
      </c>
      <c r="J920" s="36"/>
      <c r="K920" s="36"/>
      <c r="L920" s="36"/>
      <c r="M920" s="34"/>
      <c r="N920" s="41" t="s">
        <v>9566</v>
      </c>
      <c r="O920" s="39" t="s">
        <v>9565</v>
      </c>
      <c r="P920" s="33"/>
      <c r="Q920" s="36"/>
      <c r="R920" s="34"/>
      <c r="S920" s="38"/>
      <c r="T920" s="38" t="s">
        <v>12689</v>
      </c>
    </row>
    <row r="921" spans="1:20" x14ac:dyDescent="0.25">
      <c r="A921" s="39" t="s">
        <v>10864</v>
      </c>
      <c r="B921" s="39" t="s">
        <v>9397</v>
      </c>
      <c r="C921" s="39" t="s">
        <v>9539</v>
      </c>
      <c r="D921" s="36"/>
      <c r="E921" s="39">
        <v>2022</v>
      </c>
      <c r="F921" s="40"/>
      <c r="G921" s="40"/>
      <c r="H921" s="36"/>
      <c r="I921" s="39" t="s">
        <v>9395</v>
      </c>
      <c r="J921" s="36"/>
      <c r="K921" s="36"/>
      <c r="L921" s="36"/>
      <c r="M921" s="34"/>
      <c r="N921" s="41" t="s">
        <v>10866</v>
      </c>
      <c r="O921" s="39" t="s">
        <v>10865</v>
      </c>
      <c r="P921" s="33"/>
      <c r="Q921" s="36"/>
      <c r="R921" s="34"/>
      <c r="S921" s="38"/>
      <c r="T921" s="38" t="s">
        <v>12689</v>
      </c>
    </row>
    <row r="922" spans="1:20" x14ac:dyDescent="0.25">
      <c r="A922" s="33" t="s">
        <v>3437</v>
      </c>
      <c r="B922" s="33" t="s">
        <v>3436</v>
      </c>
      <c r="C922" s="33" t="s">
        <v>13</v>
      </c>
      <c r="D922" s="33" t="s">
        <v>3438</v>
      </c>
      <c r="E922" s="33">
        <v>2020</v>
      </c>
      <c r="F922" s="33">
        <v>22</v>
      </c>
      <c r="G922" s="33">
        <v>10</v>
      </c>
      <c r="H922" s="33" t="s">
        <v>3439</v>
      </c>
      <c r="I922" s="33" t="s">
        <v>3431</v>
      </c>
      <c r="J922" s="33">
        <v>2020</v>
      </c>
      <c r="K922" s="34"/>
      <c r="L922" s="34"/>
      <c r="M922" s="33" t="s">
        <v>3440</v>
      </c>
      <c r="N922" s="37" t="s">
        <v>3441</v>
      </c>
      <c r="O922" s="33" t="s">
        <v>3442</v>
      </c>
      <c r="P922" s="33" t="s">
        <v>3443</v>
      </c>
      <c r="Q922" s="33" t="s">
        <v>960</v>
      </c>
      <c r="R922" s="34"/>
      <c r="S922" s="38"/>
      <c r="T922" s="38" t="s">
        <v>12690</v>
      </c>
    </row>
    <row r="923" spans="1:20" x14ac:dyDescent="0.25">
      <c r="A923" s="39" t="s">
        <v>10313</v>
      </c>
      <c r="B923" s="33" t="s">
        <v>4966</v>
      </c>
      <c r="C923" s="33" t="s">
        <v>13</v>
      </c>
      <c r="D923" s="33" t="s">
        <v>3475</v>
      </c>
      <c r="E923" s="33">
        <v>2020</v>
      </c>
      <c r="F923" s="33">
        <v>959</v>
      </c>
      <c r="G923" s="34"/>
      <c r="H923" s="33" t="s">
        <v>4968</v>
      </c>
      <c r="I923" s="33" t="s">
        <v>4155</v>
      </c>
      <c r="J923" s="33">
        <v>2020</v>
      </c>
      <c r="K923" s="34"/>
      <c r="L923" s="34"/>
      <c r="M923" s="33" t="s">
        <v>3478</v>
      </c>
      <c r="N923" s="37" t="s">
        <v>4969</v>
      </c>
      <c r="O923" s="33" t="s">
        <v>4970</v>
      </c>
      <c r="P923" s="33" t="s">
        <v>4971</v>
      </c>
      <c r="Q923" s="33" t="s">
        <v>318</v>
      </c>
      <c r="R923" s="34"/>
      <c r="S923" s="38"/>
      <c r="T923" s="38" t="s">
        <v>12690</v>
      </c>
    </row>
    <row r="924" spans="1:20" x14ac:dyDescent="0.25">
      <c r="A924" s="39" t="s">
        <v>10313</v>
      </c>
      <c r="B924" s="39" t="s">
        <v>10314</v>
      </c>
      <c r="C924" s="39" t="s">
        <v>9539</v>
      </c>
      <c r="D924" s="36"/>
      <c r="E924" s="39">
        <v>2020</v>
      </c>
      <c r="F924" s="40"/>
      <c r="G924" s="40"/>
      <c r="H924" s="36"/>
      <c r="I924" s="39" t="s">
        <v>10312</v>
      </c>
      <c r="J924" s="36"/>
      <c r="K924" s="36"/>
      <c r="L924" s="36"/>
      <c r="M924" s="34"/>
      <c r="N924" s="41" t="s">
        <v>10315</v>
      </c>
      <c r="O924" s="39" t="s">
        <v>4970</v>
      </c>
      <c r="P924" s="33"/>
      <c r="Q924" s="36"/>
      <c r="R924" s="34"/>
      <c r="S924" s="38"/>
      <c r="T924" s="38" t="s">
        <v>12689</v>
      </c>
    </row>
    <row r="925" spans="1:20" x14ac:dyDescent="0.25">
      <c r="A925" s="33" t="s">
        <v>587</v>
      </c>
      <c r="B925" s="33" t="s">
        <v>586</v>
      </c>
      <c r="C925" s="33" t="s">
        <v>13</v>
      </c>
      <c r="D925" s="33" t="s">
        <v>588</v>
      </c>
      <c r="E925" s="33">
        <v>2022</v>
      </c>
      <c r="F925" s="33">
        <v>70</v>
      </c>
      <c r="G925" s="33">
        <v>2</v>
      </c>
      <c r="H925" s="33" t="s">
        <v>589</v>
      </c>
      <c r="I925" s="33" t="s">
        <v>590</v>
      </c>
      <c r="J925" s="33">
        <v>2022</v>
      </c>
      <c r="K925" s="34"/>
      <c r="L925" s="34"/>
      <c r="M925" s="33" t="s">
        <v>591</v>
      </c>
      <c r="N925" s="37" t="s">
        <v>592</v>
      </c>
      <c r="O925" s="33" t="s">
        <v>593</v>
      </c>
      <c r="P925" s="33" t="s">
        <v>594</v>
      </c>
      <c r="Q925" s="33" t="s">
        <v>595</v>
      </c>
      <c r="R925" s="34"/>
      <c r="S925" s="38"/>
      <c r="T925" s="38" t="s">
        <v>12690</v>
      </c>
    </row>
    <row r="926" spans="1:20" x14ac:dyDescent="0.25">
      <c r="A926" s="33" t="s">
        <v>11457</v>
      </c>
      <c r="B926" s="34"/>
      <c r="C926" s="33" t="s">
        <v>539</v>
      </c>
      <c r="D926" s="34"/>
      <c r="E926" s="33">
        <v>2022</v>
      </c>
      <c r="F926" s="34"/>
      <c r="G926" s="34"/>
      <c r="H926" s="34"/>
      <c r="I926" s="44" t="s">
        <v>12710</v>
      </c>
      <c r="J926" s="33">
        <v>2022</v>
      </c>
      <c r="K926" s="33">
        <v>9781450394130</v>
      </c>
      <c r="L926" s="34"/>
      <c r="M926" s="34"/>
      <c r="N926" s="34"/>
      <c r="O926" s="34"/>
      <c r="P926" s="33" t="s">
        <v>11458</v>
      </c>
      <c r="Q926" s="36"/>
      <c r="R926" s="36"/>
      <c r="S926" s="34"/>
      <c r="T926" s="33" t="s">
        <v>12692</v>
      </c>
    </row>
    <row r="927" spans="1:20" x14ac:dyDescent="0.25">
      <c r="A927" s="33" t="s">
        <v>11560</v>
      </c>
      <c r="B927" s="34"/>
      <c r="C927" s="33" t="s">
        <v>539</v>
      </c>
      <c r="D927" s="34"/>
      <c r="E927" s="33">
        <v>2022</v>
      </c>
      <c r="F927" s="34"/>
      <c r="G927" s="34"/>
      <c r="H927" s="34"/>
      <c r="I927" s="44" t="s">
        <v>12710</v>
      </c>
      <c r="J927" s="33">
        <v>2022</v>
      </c>
      <c r="K927" s="33">
        <v>9781450394277</v>
      </c>
      <c r="L927" s="34"/>
      <c r="M927" s="34"/>
      <c r="N927" s="34"/>
      <c r="O927" s="34"/>
      <c r="P927" s="34"/>
      <c r="Q927" s="36"/>
      <c r="R927" s="36"/>
      <c r="S927" s="34"/>
      <c r="T927" s="33" t="s">
        <v>12692</v>
      </c>
    </row>
    <row r="928" spans="1:20" x14ac:dyDescent="0.25">
      <c r="A928" s="33" t="s">
        <v>8358</v>
      </c>
      <c r="B928" s="34"/>
      <c r="C928" s="33" t="s">
        <v>141</v>
      </c>
      <c r="D928" s="34"/>
      <c r="E928" s="33">
        <v>2019</v>
      </c>
      <c r="F928" s="34"/>
      <c r="G928" s="34"/>
      <c r="H928" s="33" t="s">
        <v>8359</v>
      </c>
      <c r="I928" s="33" t="s">
        <v>6943</v>
      </c>
      <c r="J928" s="43">
        <v>43709</v>
      </c>
      <c r="K928" s="36"/>
      <c r="L928" s="36"/>
      <c r="M928" s="33" t="s">
        <v>6944</v>
      </c>
      <c r="N928" s="37" t="s">
        <v>8360</v>
      </c>
      <c r="O928" s="33" t="s">
        <v>8361</v>
      </c>
      <c r="P928" s="33" t="s">
        <v>8357</v>
      </c>
      <c r="Q928" s="36"/>
      <c r="R928" s="34"/>
      <c r="S928" s="38"/>
      <c r="T928" s="38" t="s">
        <v>12688</v>
      </c>
    </row>
    <row r="929" spans="1:20" x14ac:dyDescent="0.25">
      <c r="A929" s="33" t="s">
        <v>1575</v>
      </c>
      <c r="B929" s="33" t="s">
        <v>1574</v>
      </c>
      <c r="C929" s="33" t="s">
        <v>13</v>
      </c>
      <c r="D929" s="33" t="s">
        <v>668</v>
      </c>
      <c r="E929" s="33">
        <v>2022</v>
      </c>
      <c r="F929" s="33">
        <v>10</v>
      </c>
      <c r="G929" s="34"/>
      <c r="H929" s="33" t="s">
        <v>6702</v>
      </c>
      <c r="I929" s="34"/>
      <c r="J929" s="33">
        <v>2022</v>
      </c>
      <c r="K929" s="36"/>
      <c r="L929" s="36"/>
      <c r="M929" s="33" t="s">
        <v>670</v>
      </c>
      <c r="N929" s="37" t="s">
        <v>6703</v>
      </c>
      <c r="O929" s="33" t="s">
        <v>1578</v>
      </c>
      <c r="P929" s="33" t="s">
        <v>6704</v>
      </c>
      <c r="Q929" s="36"/>
      <c r="R929" s="36"/>
      <c r="S929" s="33" t="s">
        <v>6705</v>
      </c>
      <c r="T929" s="38" t="s">
        <v>12688</v>
      </c>
    </row>
    <row r="930" spans="1:20" x14ac:dyDescent="0.25">
      <c r="A930" s="33" t="s">
        <v>1575</v>
      </c>
      <c r="B930" s="33" t="s">
        <v>1574</v>
      </c>
      <c r="C930" s="33" t="s">
        <v>13</v>
      </c>
      <c r="D930" s="33" t="s">
        <v>668</v>
      </c>
      <c r="E930" s="33">
        <v>2022</v>
      </c>
      <c r="F930" s="33">
        <v>10</v>
      </c>
      <c r="G930" s="34"/>
      <c r="H930" s="33" t="s">
        <v>1576</v>
      </c>
      <c r="I930" s="33" t="s">
        <v>257</v>
      </c>
      <c r="J930" s="33">
        <v>2022</v>
      </c>
      <c r="K930" s="34"/>
      <c r="L930" s="34"/>
      <c r="M930" s="33" t="s">
        <v>670</v>
      </c>
      <c r="N930" s="37" t="s">
        <v>1577</v>
      </c>
      <c r="O930" s="33" t="s">
        <v>1578</v>
      </c>
      <c r="P930" s="33" t="s">
        <v>1579</v>
      </c>
      <c r="Q930" s="33" t="s">
        <v>233</v>
      </c>
      <c r="R930" s="34"/>
      <c r="S930" s="38"/>
      <c r="T930" s="38" t="s">
        <v>12690</v>
      </c>
    </row>
    <row r="931" spans="1:20" x14ac:dyDescent="0.25">
      <c r="A931" s="33" t="s">
        <v>11735</v>
      </c>
      <c r="B931" s="33" t="s">
        <v>11734</v>
      </c>
      <c r="C931" s="33" t="s">
        <v>141</v>
      </c>
      <c r="D931" s="34"/>
      <c r="E931" s="33">
        <v>2016</v>
      </c>
      <c r="F931" s="34"/>
      <c r="G931" s="34"/>
      <c r="H931" s="34"/>
      <c r="I931" s="44" t="s">
        <v>12770</v>
      </c>
      <c r="J931" s="33">
        <v>2016</v>
      </c>
      <c r="K931" s="33">
        <v>9781450347723</v>
      </c>
      <c r="L931" s="33" t="s">
        <v>11742</v>
      </c>
      <c r="M931" s="34"/>
      <c r="N931" s="37" t="s">
        <v>11738</v>
      </c>
      <c r="O931" s="33" t="s">
        <v>11739</v>
      </c>
      <c r="P931" s="33" t="s">
        <v>11740</v>
      </c>
      <c r="Q931" s="36"/>
      <c r="R931" s="36"/>
      <c r="S931" s="33" t="s">
        <v>11741</v>
      </c>
      <c r="T931" s="33" t="s">
        <v>12692</v>
      </c>
    </row>
    <row r="932" spans="1:20" x14ac:dyDescent="0.25">
      <c r="A932" s="39" t="s">
        <v>5195</v>
      </c>
      <c r="B932" s="39" t="s">
        <v>9912</v>
      </c>
      <c r="C932" s="39" t="s">
        <v>9478</v>
      </c>
      <c r="D932" s="36"/>
      <c r="E932" s="39">
        <v>2017</v>
      </c>
      <c r="F932" s="39">
        <v>22</v>
      </c>
      <c r="G932" s="39">
        <v>3</v>
      </c>
      <c r="H932" s="36"/>
      <c r="I932" s="39" t="s">
        <v>136</v>
      </c>
      <c r="J932" s="36"/>
      <c r="K932" s="36"/>
      <c r="L932" s="36"/>
      <c r="M932" s="34"/>
      <c r="N932" s="41" t="s">
        <v>9913</v>
      </c>
      <c r="O932" s="39" t="s">
        <v>5198</v>
      </c>
      <c r="P932" s="33"/>
      <c r="Q932" s="36"/>
      <c r="R932" s="34"/>
      <c r="S932" s="38"/>
      <c r="T932" s="38" t="s">
        <v>12689</v>
      </c>
    </row>
    <row r="933" spans="1:20" x14ac:dyDescent="0.25">
      <c r="A933" s="33" t="s">
        <v>5195</v>
      </c>
      <c r="B933" s="33" t="s">
        <v>5194</v>
      </c>
      <c r="C933" s="33" t="s">
        <v>13</v>
      </c>
      <c r="D933" s="33" t="s">
        <v>136</v>
      </c>
      <c r="E933" s="33">
        <v>2017</v>
      </c>
      <c r="F933" s="33">
        <v>22</v>
      </c>
      <c r="G933" s="33">
        <v>3</v>
      </c>
      <c r="H933" s="33" t="s">
        <v>5196</v>
      </c>
      <c r="I933" s="33" t="s">
        <v>3998</v>
      </c>
      <c r="J933" s="33">
        <v>2017</v>
      </c>
      <c r="K933" s="34"/>
      <c r="L933" s="34"/>
      <c r="M933" s="33" t="s">
        <v>33</v>
      </c>
      <c r="N933" s="37" t="s">
        <v>5197</v>
      </c>
      <c r="O933" s="33" t="s">
        <v>5198</v>
      </c>
      <c r="P933" s="33" t="s">
        <v>5199</v>
      </c>
      <c r="Q933" s="33" t="s">
        <v>4002</v>
      </c>
      <c r="R933" s="34"/>
      <c r="S933" s="38"/>
      <c r="T933" s="38" t="s">
        <v>12690</v>
      </c>
    </row>
    <row r="934" spans="1:20" x14ac:dyDescent="0.25">
      <c r="A934" s="33" t="s">
        <v>7547</v>
      </c>
      <c r="B934" s="33" t="s">
        <v>7546</v>
      </c>
      <c r="C934" s="33" t="s">
        <v>141</v>
      </c>
      <c r="D934" s="34"/>
      <c r="E934" s="33">
        <v>2017</v>
      </c>
      <c r="F934" s="34"/>
      <c r="G934" s="34"/>
      <c r="H934" s="33" t="s">
        <v>7548</v>
      </c>
      <c r="I934" s="33" t="s">
        <v>7549</v>
      </c>
      <c r="J934" s="35">
        <v>43040</v>
      </c>
      <c r="K934" s="36"/>
      <c r="L934" s="36"/>
      <c r="M934" s="33" t="s">
        <v>7550</v>
      </c>
      <c r="N934" s="37" t="s">
        <v>7551</v>
      </c>
      <c r="O934" s="33" t="s">
        <v>7552</v>
      </c>
      <c r="P934" s="33" t="s">
        <v>7553</v>
      </c>
      <c r="Q934" s="36"/>
      <c r="R934" s="36"/>
      <c r="S934" s="33" t="s">
        <v>7554</v>
      </c>
      <c r="T934" s="38" t="s">
        <v>12688</v>
      </c>
    </row>
    <row r="935" spans="1:20" x14ac:dyDescent="0.25">
      <c r="A935" s="33" t="s">
        <v>8199</v>
      </c>
      <c r="B935" s="33" t="s">
        <v>8198</v>
      </c>
      <c r="C935" s="33" t="s">
        <v>141</v>
      </c>
      <c r="D935" s="34"/>
      <c r="E935" s="33">
        <v>2020</v>
      </c>
      <c r="F935" s="34"/>
      <c r="G935" s="34"/>
      <c r="H935" s="33" t="s">
        <v>8200</v>
      </c>
      <c r="I935" s="33" t="s">
        <v>8201</v>
      </c>
      <c r="J935" s="35">
        <v>44136</v>
      </c>
      <c r="K935" s="34"/>
      <c r="L935" s="36"/>
      <c r="M935" s="33" t="s">
        <v>8202</v>
      </c>
      <c r="N935" s="37" t="s">
        <v>8203</v>
      </c>
      <c r="O935" s="33" t="s">
        <v>8204</v>
      </c>
      <c r="P935" s="33" t="s">
        <v>8205</v>
      </c>
      <c r="Q935" s="36"/>
      <c r="R935" s="36"/>
      <c r="S935" s="33" t="s">
        <v>8206</v>
      </c>
      <c r="T935" s="38" t="s">
        <v>12688</v>
      </c>
    </row>
    <row r="936" spans="1:20" x14ac:dyDescent="0.25">
      <c r="A936" s="39" t="s">
        <v>2857</v>
      </c>
      <c r="B936" s="39" t="s">
        <v>9799</v>
      </c>
      <c r="C936" s="39" t="s">
        <v>9539</v>
      </c>
      <c r="D936" s="36"/>
      <c r="E936" s="39">
        <v>2021</v>
      </c>
      <c r="F936" s="40"/>
      <c r="G936" s="40"/>
      <c r="H936" s="36"/>
      <c r="I936" s="39" t="s">
        <v>1927</v>
      </c>
      <c r="J936" s="36"/>
      <c r="K936" s="36"/>
      <c r="L936" s="36"/>
      <c r="M936" s="34"/>
      <c r="N936" s="41" t="s">
        <v>9800</v>
      </c>
      <c r="O936" s="39" t="s">
        <v>2860</v>
      </c>
      <c r="P936" s="33"/>
      <c r="Q936" s="36"/>
      <c r="R936" s="34"/>
      <c r="S936" s="38"/>
      <c r="T936" s="38" t="s">
        <v>12689</v>
      </c>
    </row>
    <row r="937" spans="1:20" x14ac:dyDescent="0.25">
      <c r="A937" s="33" t="s">
        <v>2857</v>
      </c>
      <c r="B937" s="33" t="s">
        <v>2856</v>
      </c>
      <c r="C937" s="33" t="s">
        <v>13</v>
      </c>
      <c r="D937" s="33" t="s">
        <v>1870</v>
      </c>
      <c r="E937" s="33">
        <v>2021</v>
      </c>
      <c r="F937" s="33">
        <v>417</v>
      </c>
      <c r="G937" s="34"/>
      <c r="H937" s="33" t="s">
        <v>2858</v>
      </c>
      <c r="I937" s="33" t="s">
        <v>212</v>
      </c>
      <c r="J937" s="33">
        <v>2021</v>
      </c>
      <c r="K937" s="34"/>
      <c r="L937" s="34"/>
      <c r="M937" s="33" t="s">
        <v>1873</v>
      </c>
      <c r="N937" s="37" t="s">
        <v>2859</v>
      </c>
      <c r="O937" s="33" t="s">
        <v>2860</v>
      </c>
      <c r="P937" s="33" t="s">
        <v>2861</v>
      </c>
      <c r="Q937" s="33" t="s">
        <v>157</v>
      </c>
      <c r="R937" s="34"/>
      <c r="S937" s="38"/>
      <c r="T937" s="38" t="s">
        <v>12690</v>
      </c>
    </row>
    <row r="938" spans="1:20" x14ac:dyDescent="0.25">
      <c r="A938" s="33" t="s">
        <v>5478</v>
      </c>
      <c r="B938" s="33" t="s">
        <v>5477</v>
      </c>
      <c r="C938" s="33" t="s">
        <v>141</v>
      </c>
      <c r="D938" s="34"/>
      <c r="E938" s="33">
        <v>2018</v>
      </c>
      <c r="F938" s="34"/>
      <c r="G938" s="34"/>
      <c r="H938" s="33" t="s">
        <v>4489</v>
      </c>
      <c r="I938" s="33" t="s">
        <v>196</v>
      </c>
      <c r="J938" s="33">
        <v>2018</v>
      </c>
      <c r="K938" s="33">
        <v>9781450357135</v>
      </c>
      <c r="L938" s="34"/>
      <c r="M938" s="33" t="s">
        <v>1458</v>
      </c>
      <c r="N938" s="37" t="s">
        <v>5479</v>
      </c>
      <c r="O938" s="33" t="s">
        <v>5480</v>
      </c>
      <c r="P938" s="33" t="s">
        <v>5481</v>
      </c>
      <c r="Q938" s="33" t="s">
        <v>4286</v>
      </c>
      <c r="R938" s="34"/>
      <c r="S938" s="38"/>
      <c r="T938" s="38" t="s">
        <v>12690</v>
      </c>
    </row>
    <row r="939" spans="1:20" x14ac:dyDescent="0.25">
      <c r="A939" s="33" t="s">
        <v>2099</v>
      </c>
      <c r="B939" s="33" t="s">
        <v>2098</v>
      </c>
      <c r="C939" s="33" t="s">
        <v>141</v>
      </c>
      <c r="D939" s="34"/>
      <c r="E939" s="33">
        <v>2021</v>
      </c>
      <c r="F939" s="34"/>
      <c r="G939" s="34"/>
      <c r="H939" s="33" t="s">
        <v>2100</v>
      </c>
      <c r="I939" s="33" t="s">
        <v>196</v>
      </c>
      <c r="J939" s="33">
        <v>2021</v>
      </c>
      <c r="K939" s="33">
        <v>9780738113197</v>
      </c>
      <c r="L939" s="34"/>
      <c r="M939" s="33" t="s">
        <v>1458</v>
      </c>
      <c r="N939" s="37" t="s">
        <v>2101</v>
      </c>
      <c r="O939" s="33" t="s">
        <v>2102</v>
      </c>
      <c r="P939" s="33" t="s">
        <v>2103</v>
      </c>
      <c r="Q939" s="33" t="s">
        <v>818</v>
      </c>
      <c r="R939" s="34"/>
      <c r="S939" s="38"/>
      <c r="T939" s="38" t="s">
        <v>12690</v>
      </c>
    </row>
    <row r="940" spans="1:20" x14ac:dyDescent="0.25">
      <c r="A940" s="39" t="s">
        <v>9711</v>
      </c>
      <c r="B940" s="39" t="s">
        <v>9713</v>
      </c>
      <c r="C940" s="39" t="s">
        <v>9478</v>
      </c>
      <c r="D940" s="36"/>
      <c r="E940" s="39">
        <v>2020</v>
      </c>
      <c r="F940" s="39">
        <v>25</v>
      </c>
      <c r="G940" s="39">
        <v>5</v>
      </c>
      <c r="H940" s="36"/>
      <c r="I940" s="39" t="s">
        <v>136</v>
      </c>
      <c r="J940" s="36"/>
      <c r="K940" s="36"/>
      <c r="L940" s="36"/>
      <c r="M940" s="34"/>
      <c r="N940" s="41" t="s">
        <v>9714</v>
      </c>
      <c r="O940" s="39" t="s">
        <v>9712</v>
      </c>
      <c r="P940" s="33"/>
      <c r="Q940" s="36"/>
      <c r="R940" s="34"/>
      <c r="S940" s="38"/>
      <c r="T940" s="38" t="s">
        <v>12689</v>
      </c>
    </row>
    <row r="941" spans="1:20" x14ac:dyDescent="0.25">
      <c r="A941" s="33" t="s">
        <v>1791</v>
      </c>
      <c r="B941" s="33" t="s">
        <v>1790</v>
      </c>
      <c r="C941" s="33" t="s">
        <v>141</v>
      </c>
      <c r="D941" s="34"/>
      <c r="E941" s="33">
        <v>2022</v>
      </c>
      <c r="F941" s="34"/>
      <c r="G941" s="34"/>
      <c r="H941" s="33" t="s">
        <v>1792</v>
      </c>
      <c r="I941" s="33" t="s">
        <v>257</v>
      </c>
      <c r="J941" s="33">
        <v>2022</v>
      </c>
      <c r="K941" s="33">
        <v>9781665437868</v>
      </c>
      <c r="L941" s="34"/>
      <c r="M941" s="34"/>
      <c r="N941" s="37" t="s">
        <v>1793</v>
      </c>
      <c r="O941" s="33" t="s">
        <v>1794</v>
      </c>
      <c r="P941" s="33" t="s">
        <v>1795</v>
      </c>
      <c r="Q941" s="33" t="s">
        <v>157</v>
      </c>
      <c r="R941" s="34"/>
      <c r="S941" s="38"/>
      <c r="T941" s="38" t="s">
        <v>12690</v>
      </c>
    </row>
    <row r="942" spans="1:20" x14ac:dyDescent="0.25">
      <c r="A942" s="33" t="s">
        <v>1385</v>
      </c>
      <c r="B942" s="33" t="s">
        <v>1384</v>
      </c>
      <c r="C942" s="33" t="s">
        <v>141</v>
      </c>
      <c r="D942" s="34"/>
      <c r="E942" s="33">
        <v>2022</v>
      </c>
      <c r="F942" s="34"/>
      <c r="G942" s="34"/>
      <c r="H942" s="33" t="s">
        <v>1386</v>
      </c>
      <c r="I942" s="33" t="s">
        <v>145</v>
      </c>
      <c r="J942" s="33">
        <v>2022</v>
      </c>
      <c r="K942" s="33">
        <v>9781450393522</v>
      </c>
      <c r="L942" s="34"/>
      <c r="M942" s="34"/>
      <c r="N942" s="37" t="s">
        <v>1387</v>
      </c>
      <c r="O942" s="33" t="s">
        <v>1388</v>
      </c>
      <c r="P942" s="33" t="s">
        <v>1389</v>
      </c>
      <c r="Q942" s="33" t="s">
        <v>387</v>
      </c>
      <c r="R942" s="34"/>
      <c r="S942" s="38"/>
      <c r="T942" s="38" t="s">
        <v>12690</v>
      </c>
    </row>
    <row r="943" spans="1:20" x14ac:dyDescent="0.25">
      <c r="A943" s="33" t="s">
        <v>12771</v>
      </c>
      <c r="B943" s="33" t="s">
        <v>12520</v>
      </c>
      <c r="C943" s="33" t="s">
        <v>141</v>
      </c>
      <c r="D943" s="34"/>
      <c r="E943" s="33">
        <v>2021</v>
      </c>
      <c r="F943" s="34"/>
      <c r="G943" s="34"/>
      <c r="H943" s="34"/>
      <c r="I943" s="44" t="s">
        <v>12772</v>
      </c>
      <c r="J943" s="33">
        <v>2021</v>
      </c>
      <c r="K943" s="33">
        <v>9781450380966</v>
      </c>
      <c r="L943" s="33" t="s">
        <v>12527</v>
      </c>
      <c r="M943" s="34"/>
      <c r="N943" s="37" t="s">
        <v>12524</v>
      </c>
      <c r="O943" s="33" t="s">
        <v>1607</v>
      </c>
      <c r="P943" s="33" t="s">
        <v>12525</v>
      </c>
      <c r="Q943" s="36"/>
      <c r="R943" s="36"/>
      <c r="S943" s="33" t="s">
        <v>12526</v>
      </c>
      <c r="T943" s="33" t="s">
        <v>12692</v>
      </c>
    </row>
    <row r="944" spans="1:20" x14ac:dyDescent="0.25">
      <c r="A944" s="33" t="s">
        <v>12771</v>
      </c>
      <c r="B944" s="33" t="s">
        <v>1604</v>
      </c>
      <c r="C944" s="33" t="s">
        <v>141</v>
      </c>
      <c r="D944" s="34"/>
      <c r="E944" s="33">
        <v>2021</v>
      </c>
      <c r="F944" s="34"/>
      <c r="G944" s="34"/>
      <c r="H944" s="34"/>
      <c r="I944" s="33" t="s">
        <v>145</v>
      </c>
      <c r="J944" s="33">
        <v>2021</v>
      </c>
      <c r="K944" s="33">
        <v>9781450380966</v>
      </c>
      <c r="L944" s="34"/>
      <c r="M944" s="34"/>
      <c r="N944" s="37" t="s">
        <v>1606</v>
      </c>
      <c r="O944" s="33" t="s">
        <v>1607</v>
      </c>
      <c r="P944" s="33" t="s">
        <v>1608</v>
      </c>
      <c r="Q944" s="33" t="s">
        <v>1609</v>
      </c>
      <c r="R944" s="34"/>
      <c r="S944" s="38"/>
      <c r="T944" s="38" t="s">
        <v>12690</v>
      </c>
    </row>
    <row r="945" spans="1:20" x14ac:dyDescent="0.25">
      <c r="A945" s="33" t="s">
        <v>320</v>
      </c>
      <c r="B945" s="33" t="s">
        <v>319</v>
      </c>
      <c r="C945" s="33" t="s">
        <v>141</v>
      </c>
      <c r="D945" s="34"/>
      <c r="E945" s="33">
        <v>2022</v>
      </c>
      <c r="F945" s="45">
        <v>44774</v>
      </c>
      <c r="G945" s="34"/>
      <c r="H945" s="33" t="s">
        <v>321</v>
      </c>
      <c r="I945" s="33" t="s">
        <v>196</v>
      </c>
      <c r="J945" s="33">
        <v>2022</v>
      </c>
      <c r="K945" s="33">
        <v>9781665470001</v>
      </c>
      <c r="L945" s="34"/>
      <c r="M945" s="33" t="s">
        <v>322</v>
      </c>
      <c r="N945" s="37" t="s">
        <v>323</v>
      </c>
      <c r="O945" s="33" t="s">
        <v>324</v>
      </c>
      <c r="P945" s="33" t="s">
        <v>325</v>
      </c>
      <c r="Q945" s="33" t="s">
        <v>157</v>
      </c>
      <c r="R945" s="34"/>
      <c r="S945" s="38"/>
      <c r="T945" s="38" t="s">
        <v>12690</v>
      </c>
    </row>
    <row r="946" spans="1:20" x14ac:dyDescent="0.25">
      <c r="A946" s="33" t="s">
        <v>2916</v>
      </c>
      <c r="B946" s="33" t="s">
        <v>2915</v>
      </c>
      <c r="C946" s="33" t="s">
        <v>13</v>
      </c>
      <c r="D946" s="33" t="s">
        <v>2917</v>
      </c>
      <c r="E946" s="33">
        <v>2020</v>
      </c>
      <c r="F946" s="33">
        <v>41</v>
      </c>
      <c r="G946" s="33">
        <v>4</v>
      </c>
      <c r="H946" s="33" t="s">
        <v>2918</v>
      </c>
      <c r="I946" s="33" t="s">
        <v>2919</v>
      </c>
      <c r="J946" s="33">
        <v>2020</v>
      </c>
      <c r="K946" s="34"/>
      <c r="L946" s="34"/>
      <c r="M946" s="33" t="s">
        <v>2920</v>
      </c>
      <c r="N946" s="37" t="s">
        <v>2921</v>
      </c>
      <c r="O946" s="33" t="s">
        <v>2922</v>
      </c>
      <c r="P946" s="33" t="s">
        <v>2923</v>
      </c>
      <c r="Q946" s="33" t="s">
        <v>404</v>
      </c>
      <c r="R946" s="34"/>
      <c r="S946" s="38"/>
      <c r="T946" s="38" t="s">
        <v>12690</v>
      </c>
    </row>
    <row r="947" spans="1:20" x14ac:dyDescent="0.25">
      <c r="A947" s="33" t="s">
        <v>8575</v>
      </c>
      <c r="B947" s="33" t="s">
        <v>8574</v>
      </c>
      <c r="C947" s="33" t="s">
        <v>13</v>
      </c>
      <c r="D947" s="33" t="s">
        <v>354</v>
      </c>
      <c r="E947" s="33">
        <v>2015</v>
      </c>
      <c r="F947" s="33">
        <v>110</v>
      </c>
      <c r="G947" s="36"/>
      <c r="H947" s="33" t="s">
        <v>8576</v>
      </c>
      <c r="I947" s="36"/>
      <c r="J947" s="33">
        <v>2015</v>
      </c>
      <c r="K947" s="34"/>
      <c r="L947" s="34"/>
      <c r="M947" s="33" t="s">
        <v>65</v>
      </c>
      <c r="N947" s="37" t="s">
        <v>8577</v>
      </c>
      <c r="O947" s="33" t="s">
        <v>8578</v>
      </c>
      <c r="P947" s="33" t="s">
        <v>8579</v>
      </c>
      <c r="Q947" s="36"/>
      <c r="R947" s="36"/>
      <c r="S947" s="33" t="s">
        <v>8580</v>
      </c>
      <c r="T947" s="38" t="s">
        <v>12693</v>
      </c>
    </row>
    <row r="948" spans="1:20" x14ac:dyDescent="0.25">
      <c r="A948" s="33" t="s">
        <v>8560</v>
      </c>
      <c r="B948" s="33" t="s">
        <v>8559</v>
      </c>
      <c r="C948" s="33" t="s">
        <v>13</v>
      </c>
      <c r="D948" s="33" t="s">
        <v>354</v>
      </c>
      <c r="E948" s="33">
        <v>2019</v>
      </c>
      <c r="F948" s="33">
        <v>156</v>
      </c>
      <c r="G948" s="36"/>
      <c r="H948" s="33" t="s">
        <v>8561</v>
      </c>
      <c r="I948" s="36"/>
      <c r="J948" s="33">
        <v>2019</v>
      </c>
      <c r="K948" s="34"/>
      <c r="L948" s="34"/>
      <c r="M948" s="33" t="s">
        <v>65</v>
      </c>
      <c r="N948" s="37" t="s">
        <v>8562</v>
      </c>
      <c r="O948" s="33" t="s">
        <v>8563</v>
      </c>
      <c r="P948" s="33" t="s">
        <v>8564</v>
      </c>
      <c r="Q948" s="36"/>
      <c r="R948" s="36"/>
      <c r="S948" s="33" t="s">
        <v>8565</v>
      </c>
      <c r="T948" s="38" t="s">
        <v>12693</v>
      </c>
    </row>
    <row r="949" spans="1:20" x14ac:dyDescent="0.25">
      <c r="A949" s="33" t="s">
        <v>1215</v>
      </c>
      <c r="B949" s="33" t="s">
        <v>1214</v>
      </c>
      <c r="C949" s="33" t="s">
        <v>141</v>
      </c>
      <c r="D949" s="34"/>
      <c r="E949" s="33">
        <v>2022</v>
      </c>
      <c r="F949" s="33" t="s">
        <v>1216</v>
      </c>
      <c r="G949" s="34"/>
      <c r="H949" s="33" t="s">
        <v>1217</v>
      </c>
      <c r="I949" s="33" t="s">
        <v>153</v>
      </c>
      <c r="J949" s="33">
        <v>2022</v>
      </c>
      <c r="K949" s="33">
        <v>9781450394437</v>
      </c>
      <c r="L949" s="34"/>
      <c r="M949" s="34"/>
      <c r="N949" s="37" t="s">
        <v>1218</v>
      </c>
      <c r="O949" s="33" t="s">
        <v>1219</v>
      </c>
      <c r="P949" s="33" t="s">
        <v>1220</v>
      </c>
      <c r="Q949" s="33" t="s">
        <v>404</v>
      </c>
      <c r="R949" s="34"/>
      <c r="S949" s="38"/>
      <c r="T949" s="38" t="s">
        <v>12690</v>
      </c>
    </row>
    <row r="950" spans="1:20" x14ac:dyDescent="0.25">
      <c r="A950" s="39" t="s">
        <v>10020</v>
      </c>
      <c r="B950" s="39" t="s">
        <v>10022</v>
      </c>
      <c r="C950" s="39" t="s">
        <v>539</v>
      </c>
      <c r="D950" s="36"/>
      <c r="E950" s="39">
        <v>2019</v>
      </c>
      <c r="F950" s="40"/>
      <c r="G950" s="40"/>
      <c r="H950" s="36"/>
      <c r="I950" s="40"/>
      <c r="J950" s="36"/>
      <c r="K950" s="36"/>
      <c r="L950" s="36"/>
      <c r="M950" s="34"/>
      <c r="N950" s="41" t="s">
        <v>10023</v>
      </c>
      <c r="O950" s="39" t="s">
        <v>10021</v>
      </c>
      <c r="P950" s="33"/>
      <c r="Q950" s="36"/>
      <c r="R950" s="34"/>
      <c r="S950" s="38"/>
      <c r="T950" s="38" t="s">
        <v>12689</v>
      </c>
    </row>
    <row r="951" spans="1:20" x14ac:dyDescent="0.25">
      <c r="A951" s="33" t="s">
        <v>5572</v>
      </c>
      <c r="B951" s="33" t="s">
        <v>5571</v>
      </c>
      <c r="C951" s="33" t="s">
        <v>539</v>
      </c>
      <c r="D951" s="34"/>
      <c r="E951" s="33">
        <v>2014</v>
      </c>
      <c r="F951" s="34"/>
      <c r="G951" s="34"/>
      <c r="H951" s="34"/>
      <c r="I951" s="33" t="s">
        <v>5573</v>
      </c>
      <c r="J951" s="33">
        <v>2014</v>
      </c>
      <c r="K951" s="33">
        <v>9783642453984</v>
      </c>
      <c r="L951" s="33">
        <v>9783642453977</v>
      </c>
      <c r="M951" s="34"/>
      <c r="N951" s="37" t="s">
        <v>5574</v>
      </c>
      <c r="O951" s="33" t="s">
        <v>5575</v>
      </c>
      <c r="P951" s="33" t="s">
        <v>5576</v>
      </c>
      <c r="Q951" s="33" t="s">
        <v>5577</v>
      </c>
      <c r="R951" s="33" t="s">
        <v>5578</v>
      </c>
      <c r="S951" s="38"/>
      <c r="T951" s="38" t="s">
        <v>12690</v>
      </c>
    </row>
    <row r="952" spans="1:20" x14ac:dyDescent="0.25">
      <c r="A952" s="33" t="s">
        <v>3635</v>
      </c>
      <c r="B952" s="33" t="s">
        <v>3634</v>
      </c>
      <c r="C952" s="33" t="s">
        <v>13</v>
      </c>
      <c r="D952" s="33" t="s">
        <v>354</v>
      </c>
      <c r="E952" s="33">
        <v>2020</v>
      </c>
      <c r="F952" s="33">
        <v>169</v>
      </c>
      <c r="G952" s="34"/>
      <c r="H952" s="34"/>
      <c r="I952" s="33" t="s">
        <v>355</v>
      </c>
      <c r="J952" s="33">
        <v>2020</v>
      </c>
      <c r="K952" s="34"/>
      <c r="L952" s="34"/>
      <c r="M952" s="33" t="s">
        <v>65</v>
      </c>
      <c r="N952" s="37" t="s">
        <v>3636</v>
      </c>
      <c r="O952" s="33" t="s">
        <v>3637</v>
      </c>
      <c r="P952" s="33" t="s">
        <v>3638</v>
      </c>
      <c r="Q952" s="33" t="s">
        <v>1656</v>
      </c>
      <c r="R952" s="34"/>
      <c r="S952" s="38"/>
      <c r="T952" s="38" t="s">
        <v>12690</v>
      </c>
    </row>
    <row r="953" spans="1:20" x14ac:dyDescent="0.25">
      <c r="A953" s="39" t="s">
        <v>10090</v>
      </c>
      <c r="B953" s="39" t="s">
        <v>9995</v>
      </c>
      <c r="C953" s="39" t="s">
        <v>9539</v>
      </c>
      <c r="D953" s="36"/>
      <c r="E953" s="39">
        <v>2018</v>
      </c>
      <c r="F953" s="40"/>
      <c r="G953" s="40"/>
      <c r="H953" s="36"/>
      <c r="I953" s="39" t="s">
        <v>9992</v>
      </c>
      <c r="J953" s="36"/>
      <c r="K953" s="36"/>
      <c r="L953" s="36"/>
      <c r="M953" s="34"/>
      <c r="N953" s="41" t="s">
        <v>10092</v>
      </c>
      <c r="O953" s="39" t="s">
        <v>10091</v>
      </c>
      <c r="P953" s="33"/>
      <c r="Q953" s="36"/>
      <c r="R953" s="34"/>
      <c r="S953" s="38"/>
      <c r="T953" s="38" t="s">
        <v>12689</v>
      </c>
    </row>
    <row r="954" spans="1:20" x14ac:dyDescent="0.25">
      <c r="A954" s="33" t="s">
        <v>5382</v>
      </c>
      <c r="B954" s="33" t="s">
        <v>5381</v>
      </c>
      <c r="C954" s="33" t="s">
        <v>141</v>
      </c>
      <c r="D954" s="34"/>
      <c r="E954" s="33">
        <v>2017</v>
      </c>
      <c r="F954" s="45">
        <v>43009</v>
      </c>
      <c r="G954" s="34"/>
      <c r="H954" s="33" t="s">
        <v>5383</v>
      </c>
      <c r="I954" s="33" t="s">
        <v>196</v>
      </c>
      <c r="J954" s="33">
        <v>2017</v>
      </c>
      <c r="K954" s="33">
        <v>9781538609415</v>
      </c>
      <c r="L954" s="34"/>
      <c r="M954" s="33" t="s">
        <v>2680</v>
      </c>
      <c r="N954" s="37" t="s">
        <v>5384</v>
      </c>
      <c r="O954" s="33" t="s">
        <v>5385</v>
      </c>
      <c r="P954" s="33" t="s">
        <v>5386</v>
      </c>
      <c r="Q954" s="33" t="s">
        <v>5387</v>
      </c>
      <c r="R954" s="34"/>
      <c r="S954" s="38"/>
      <c r="T954" s="38" t="s">
        <v>12690</v>
      </c>
    </row>
    <row r="955" spans="1:20" x14ac:dyDescent="0.25">
      <c r="A955" s="33" t="s">
        <v>4488</v>
      </c>
      <c r="B955" s="33" t="s">
        <v>4487</v>
      </c>
      <c r="C955" s="33" t="s">
        <v>141</v>
      </c>
      <c r="D955" s="34"/>
      <c r="E955" s="33">
        <v>2020</v>
      </c>
      <c r="F955" s="34"/>
      <c r="G955" s="34"/>
      <c r="H955" s="33" t="s">
        <v>4489</v>
      </c>
      <c r="I955" s="33" t="s">
        <v>153</v>
      </c>
      <c r="J955" s="33">
        <v>2020</v>
      </c>
      <c r="K955" s="33">
        <v>9781450379601</v>
      </c>
      <c r="L955" s="34"/>
      <c r="M955" s="34"/>
      <c r="N955" s="37" t="s">
        <v>4490</v>
      </c>
      <c r="O955" s="33" t="s">
        <v>4491</v>
      </c>
      <c r="P955" s="33" t="s">
        <v>4492</v>
      </c>
      <c r="Q955" s="33" t="s">
        <v>2286</v>
      </c>
      <c r="R955" s="34"/>
      <c r="S955" s="38"/>
      <c r="T955" s="38" t="s">
        <v>12690</v>
      </c>
    </row>
    <row r="956" spans="1:20" x14ac:dyDescent="0.25">
      <c r="A956" s="39" t="s">
        <v>10321</v>
      </c>
      <c r="B956" s="39" t="s">
        <v>10323</v>
      </c>
      <c r="C956" s="39" t="s">
        <v>9539</v>
      </c>
      <c r="D956" s="36"/>
      <c r="E956" s="39">
        <v>2023</v>
      </c>
      <c r="F956" s="40"/>
      <c r="G956" s="40"/>
      <c r="H956" s="36"/>
      <c r="I956" s="39" t="s">
        <v>9649</v>
      </c>
      <c r="J956" s="36"/>
      <c r="K956" s="36"/>
      <c r="L956" s="36"/>
      <c r="M956" s="34"/>
      <c r="N956" s="41" t="s">
        <v>10324</v>
      </c>
      <c r="O956" s="39" t="s">
        <v>10322</v>
      </c>
      <c r="P956" s="33"/>
      <c r="Q956" s="36"/>
      <c r="R956" s="34"/>
      <c r="S956" s="38"/>
      <c r="T956" s="38" t="s">
        <v>12689</v>
      </c>
    </row>
    <row r="957" spans="1:20" x14ac:dyDescent="0.25">
      <c r="A957" s="39" t="s">
        <v>9649</v>
      </c>
      <c r="B957" s="39" t="s">
        <v>9651</v>
      </c>
      <c r="C957" s="39" t="s">
        <v>539</v>
      </c>
      <c r="D957" s="36"/>
      <c r="E957" s="39">
        <v>2023</v>
      </c>
      <c r="F957" s="40"/>
      <c r="G957" s="40"/>
      <c r="H957" s="36"/>
      <c r="I957" s="39" t="s">
        <v>9648</v>
      </c>
      <c r="J957" s="36"/>
      <c r="K957" s="36"/>
      <c r="L957" s="36"/>
      <c r="M957" s="34"/>
      <c r="N957" s="41" t="s">
        <v>9652</v>
      </c>
      <c r="O957" s="39" t="s">
        <v>9650</v>
      </c>
      <c r="P957" s="33"/>
      <c r="Q957" s="36"/>
      <c r="R957" s="34"/>
      <c r="S957" s="38"/>
      <c r="T957" s="38" t="s">
        <v>12689</v>
      </c>
    </row>
    <row r="958" spans="1:20" x14ac:dyDescent="0.25">
      <c r="A958" s="39" t="s">
        <v>9655</v>
      </c>
      <c r="B958" s="39" t="s">
        <v>9657</v>
      </c>
      <c r="C958" s="39" t="s">
        <v>539</v>
      </c>
      <c r="D958" s="36"/>
      <c r="E958" s="39">
        <v>2021</v>
      </c>
      <c r="F958" s="40"/>
      <c r="G958" s="40"/>
      <c r="H958" s="36"/>
      <c r="I958" s="39" t="s">
        <v>9275</v>
      </c>
      <c r="J958" s="36"/>
      <c r="K958" s="36"/>
      <c r="L958" s="36"/>
      <c r="M958" s="34"/>
      <c r="N958" s="41" t="s">
        <v>9658</v>
      </c>
      <c r="O958" s="39" t="s">
        <v>9656</v>
      </c>
      <c r="P958" s="33"/>
      <c r="Q958" s="36"/>
      <c r="R958" s="34"/>
      <c r="S958" s="38"/>
      <c r="T958" s="38" t="s">
        <v>12689</v>
      </c>
    </row>
    <row r="959" spans="1:20" x14ac:dyDescent="0.25">
      <c r="A959" s="33" t="s">
        <v>3604</v>
      </c>
      <c r="B959" s="33" t="s">
        <v>3603</v>
      </c>
      <c r="C959" s="33" t="s">
        <v>141</v>
      </c>
      <c r="D959" s="34"/>
      <c r="E959" s="33">
        <v>2020</v>
      </c>
      <c r="F959" s="34"/>
      <c r="G959" s="34"/>
      <c r="H959" s="33" t="s">
        <v>3605</v>
      </c>
      <c r="I959" s="33" t="s">
        <v>257</v>
      </c>
      <c r="J959" s="33">
        <v>2020</v>
      </c>
      <c r="K959" s="33">
        <v>9781665438629</v>
      </c>
      <c r="L959" s="34"/>
      <c r="M959" s="34"/>
      <c r="N959" s="37" t="s">
        <v>3606</v>
      </c>
      <c r="O959" s="33" t="s">
        <v>3607</v>
      </c>
      <c r="P959" s="33" t="s">
        <v>3608</v>
      </c>
      <c r="Q959" s="33" t="s">
        <v>157</v>
      </c>
      <c r="R959" s="34"/>
      <c r="S959" s="38"/>
      <c r="T959" s="38" t="s">
        <v>12690</v>
      </c>
    </row>
    <row r="960" spans="1:20" x14ac:dyDescent="0.25">
      <c r="A960" s="33" t="s">
        <v>389</v>
      </c>
      <c r="B960" s="33" t="s">
        <v>388</v>
      </c>
      <c r="C960" s="33" t="s">
        <v>13</v>
      </c>
      <c r="D960" s="33" t="s">
        <v>390</v>
      </c>
      <c r="E960" s="33">
        <v>2022</v>
      </c>
      <c r="F960" s="33">
        <v>55</v>
      </c>
      <c r="G960" s="33">
        <v>5</v>
      </c>
      <c r="H960" s="33" t="s">
        <v>391</v>
      </c>
      <c r="I960" s="33" t="s">
        <v>392</v>
      </c>
      <c r="J960" s="33">
        <v>2022</v>
      </c>
      <c r="K960" s="34"/>
      <c r="L960" s="34"/>
      <c r="M960" s="33" t="s">
        <v>393</v>
      </c>
      <c r="N960" s="37" t="s">
        <v>394</v>
      </c>
      <c r="O960" s="33" t="s">
        <v>395</v>
      </c>
      <c r="P960" s="33" t="s">
        <v>396</v>
      </c>
      <c r="Q960" s="33" t="s">
        <v>397</v>
      </c>
      <c r="R960" s="34"/>
      <c r="S960" s="38"/>
      <c r="T960" s="38" t="s">
        <v>12690</v>
      </c>
    </row>
    <row r="961" spans="1:20" x14ac:dyDescent="0.25">
      <c r="A961" s="33" t="s">
        <v>1200</v>
      </c>
      <c r="B961" s="33" t="s">
        <v>1199</v>
      </c>
      <c r="C961" s="33" t="s">
        <v>13</v>
      </c>
      <c r="D961" s="33" t="s">
        <v>354</v>
      </c>
      <c r="E961" s="33">
        <v>2022</v>
      </c>
      <c r="F961" s="33">
        <v>187</v>
      </c>
      <c r="G961" s="36"/>
      <c r="H961" s="33">
        <v>111219</v>
      </c>
      <c r="I961" s="36"/>
      <c r="J961" s="33">
        <v>2022</v>
      </c>
      <c r="K961" s="34"/>
      <c r="L961" s="34"/>
      <c r="M961" s="33" t="s">
        <v>65</v>
      </c>
      <c r="N961" s="37" t="s">
        <v>8705</v>
      </c>
      <c r="O961" s="33" t="s">
        <v>1202</v>
      </c>
      <c r="P961" s="33" t="s">
        <v>8706</v>
      </c>
      <c r="Q961" s="36"/>
      <c r="R961" s="36"/>
      <c r="S961" s="33" t="s">
        <v>8707</v>
      </c>
      <c r="T961" s="38" t="s">
        <v>12693</v>
      </c>
    </row>
    <row r="962" spans="1:20" x14ac:dyDescent="0.25">
      <c r="A962" s="33" t="s">
        <v>1200</v>
      </c>
      <c r="B962" s="33" t="s">
        <v>1199</v>
      </c>
      <c r="C962" s="33" t="s">
        <v>13</v>
      </c>
      <c r="D962" s="33" t="s">
        <v>354</v>
      </c>
      <c r="E962" s="33">
        <v>2022</v>
      </c>
      <c r="F962" s="33">
        <v>187</v>
      </c>
      <c r="G962" s="34"/>
      <c r="H962" s="34"/>
      <c r="I962" s="33" t="s">
        <v>355</v>
      </c>
      <c r="J962" s="33">
        <v>2022</v>
      </c>
      <c r="K962" s="34"/>
      <c r="L962" s="34"/>
      <c r="M962" s="33" t="s">
        <v>65</v>
      </c>
      <c r="N962" s="37" t="s">
        <v>1201</v>
      </c>
      <c r="O962" s="33" t="s">
        <v>1202</v>
      </c>
      <c r="P962" s="33" t="s">
        <v>1203</v>
      </c>
      <c r="Q962" s="33" t="s">
        <v>185</v>
      </c>
      <c r="R962" s="34"/>
      <c r="S962" s="38"/>
      <c r="T962" s="38" t="s">
        <v>12690</v>
      </c>
    </row>
    <row r="963" spans="1:20" x14ac:dyDescent="0.25">
      <c r="A963" s="33" t="s">
        <v>9142</v>
      </c>
      <c r="B963" s="33" t="s">
        <v>9141</v>
      </c>
      <c r="C963" s="33" t="s">
        <v>13</v>
      </c>
      <c r="D963" s="33" t="s">
        <v>2450</v>
      </c>
      <c r="E963" s="33">
        <v>2022</v>
      </c>
      <c r="F963" s="33">
        <v>117</v>
      </c>
      <c r="G963" s="36"/>
      <c r="H963" s="33">
        <v>108441</v>
      </c>
      <c r="I963" s="36"/>
      <c r="J963" s="33">
        <v>2022</v>
      </c>
      <c r="K963" s="34"/>
      <c r="L963" s="34"/>
      <c r="M963" s="33" t="s">
        <v>2451</v>
      </c>
      <c r="N963" s="37" t="s">
        <v>9143</v>
      </c>
      <c r="O963" s="33" t="s">
        <v>9144</v>
      </c>
      <c r="P963" s="33" t="s">
        <v>9145</v>
      </c>
      <c r="Q963" s="36"/>
      <c r="R963" s="36"/>
      <c r="S963" s="33" t="s">
        <v>9146</v>
      </c>
      <c r="T963" s="38" t="s">
        <v>12693</v>
      </c>
    </row>
    <row r="964" spans="1:20" x14ac:dyDescent="0.25">
      <c r="A964" s="33" t="s">
        <v>12603</v>
      </c>
      <c r="B964" s="33" t="s">
        <v>12602</v>
      </c>
      <c r="C964" s="33" t="s">
        <v>141</v>
      </c>
      <c r="D964" s="34"/>
      <c r="E964" s="33">
        <v>2018</v>
      </c>
      <c r="F964" s="34"/>
      <c r="G964" s="34"/>
      <c r="H964" s="33" t="s">
        <v>11991</v>
      </c>
      <c r="I964" s="44" t="s">
        <v>12773</v>
      </c>
      <c r="J964" s="33">
        <v>2018</v>
      </c>
      <c r="K964" s="33">
        <v>9781450356206</v>
      </c>
      <c r="L964" s="33" t="s">
        <v>12610</v>
      </c>
      <c r="M964" s="34"/>
      <c r="N964" s="37" t="s">
        <v>12606</v>
      </c>
      <c r="O964" s="33" t="s">
        <v>12607</v>
      </c>
      <c r="P964" s="33" t="s">
        <v>12608</v>
      </c>
      <c r="Q964" s="36"/>
      <c r="R964" s="36"/>
      <c r="S964" s="33" t="s">
        <v>12609</v>
      </c>
      <c r="T964" s="33" t="s">
        <v>12692</v>
      </c>
    </row>
    <row r="965" spans="1:20" x14ac:dyDescent="0.25">
      <c r="A965" s="33" t="s">
        <v>2404</v>
      </c>
      <c r="B965" s="33" t="s">
        <v>2403</v>
      </c>
      <c r="C965" s="33" t="s">
        <v>13</v>
      </c>
      <c r="D965" s="33" t="s">
        <v>523</v>
      </c>
      <c r="E965" s="33">
        <v>2021</v>
      </c>
      <c r="F965" s="33">
        <v>29</v>
      </c>
      <c r="G965" s="33">
        <v>2</v>
      </c>
      <c r="H965" s="33" t="s">
        <v>2405</v>
      </c>
      <c r="I965" s="33" t="s">
        <v>137</v>
      </c>
      <c r="J965" s="33">
        <v>2021</v>
      </c>
      <c r="K965" s="34"/>
      <c r="L965" s="34"/>
      <c r="M965" s="33" t="s">
        <v>525</v>
      </c>
      <c r="N965" s="37" t="s">
        <v>2406</v>
      </c>
      <c r="O965" s="33" t="s">
        <v>2407</v>
      </c>
      <c r="P965" s="33" t="s">
        <v>2408</v>
      </c>
      <c r="Q965" s="33" t="s">
        <v>1813</v>
      </c>
      <c r="R965" s="34"/>
      <c r="S965" s="38"/>
      <c r="T965" s="38" t="s">
        <v>12690</v>
      </c>
    </row>
    <row r="966" spans="1:20" x14ac:dyDescent="0.25">
      <c r="A966" s="33" t="s">
        <v>5620</v>
      </c>
      <c r="B966" s="33" t="s">
        <v>5619</v>
      </c>
      <c r="C966" s="33" t="s">
        <v>13</v>
      </c>
      <c r="D966" s="33" t="s">
        <v>264</v>
      </c>
      <c r="E966" s="33">
        <v>2018</v>
      </c>
      <c r="F966" s="33">
        <v>48</v>
      </c>
      <c r="G966" s="33">
        <v>5</v>
      </c>
      <c r="H966" s="33" t="s">
        <v>5621</v>
      </c>
      <c r="I966" s="33" t="s">
        <v>266</v>
      </c>
      <c r="J966" s="33">
        <v>2018</v>
      </c>
      <c r="K966" s="34"/>
      <c r="L966" s="34"/>
      <c r="M966" s="33" t="s">
        <v>267</v>
      </c>
      <c r="N966" s="37" t="s">
        <v>5622</v>
      </c>
      <c r="O966" s="33" t="s">
        <v>5623</v>
      </c>
      <c r="P966" s="33" t="s">
        <v>5624</v>
      </c>
      <c r="Q966" s="33" t="s">
        <v>1813</v>
      </c>
      <c r="R966" s="34"/>
      <c r="S966" s="38"/>
      <c r="T966" s="38" t="s">
        <v>12690</v>
      </c>
    </row>
    <row r="967" spans="1:20" x14ac:dyDescent="0.25">
      <c r="A967" s="33" t="s">
        <v>6537</v>
      </c>
      <c r="B967" s="33" t="s">
        <v>6536</v>
      </c>
      <c r="C967" s="33" t="s">
        <v>13</v>
      </c>
      <c r="D967" s="33" t="s">
        <v>255</v>
      </c>
      <c r="E967" s="33">
        <v>2021</v>
      </c>
      <c r="F967" s="33">
        <v>47</v>
      </c>
      <c r="G967" s="33">
        <v>3</v>
      </c>
      <c r="H967" s="33" t="s">
        <v>6538</v>
      </c>
      <c r="I967" s="34"/>
      <c r="J967" s="43">
        <v>44256</v>
      </c>
      <c r="K967" s="36"/>
      <c r="L967" s="36"/>
      <c r="M967" s="33" t="s">
        <v>6115</v>
      </c>
      <c r="N967" s="37" t="s">
        <v>6539</v>
      </c>
      <c r="O967" s="33" t="s">
        <v>6540</v>
      </c>
      <c r="P967" s="33" t="s">
        <v>6541</v>
      </c>
      <c r="Q967" s="36"/>
      <c r="R967" s="36"/>
      <c r="S967" s="33" t="s">
        <v>6542</v>
      </c>
      <c r="T967" s="38" t="s">
        <v>12688</v>
      </c>
    </row>
    <row r="968" spans="1:20" x14ac:dyDescent="0.25">
      <c r="A968" s="33" t="s">
        <v>1412</v>
      </c>
      <c r="B968" s="33" t="s">
        <v>1411</v>
      </c>
      <c r="C968" s="33" t="s">
        <v>13</v>
      </c>
      <c r="D968" s="33" t="s">
        <v>1059</v>
      </c>
      <c r="E968" s="33">
        <v>2022</v>
      </c>
      <c r="F968" s="33">
        <v>115</v>
      </c>
      <c r="G968" s="36"/>
      <c r="H968" s="33">
        <v>105240</v>
      </c>
      <c r="I968" s="36"/>
      <c r="J968" s="33">
        <v>2022</v>
      </c>
      <c r="K968" s="34"/>
      <c r="L968" s="34"/>
      <c r="M968" s="33" t="s">
        <v>1061</v>
      </c>
      <c r="N968" s="37" t="s">
        <v>8880</v>
      </c>
      <c r="O968" s="33" t="s">
        <v>1414</v>
      </c>
      <c r="P968" s="33" t="s">
        <v>8881</v>
      </c>
      <c r="Q968" s="36"/>
      <c r="R968" s="36"/>
      <c r="S968" s="33" t="s">
        <v>8882</v>
      </c>
      <c r="T968" s="38" t="s">
        <v>12693</v>
      </c>
    </row>
    <row r="969" spans="1:20" x14ac:dyDescent="0.25">
      <c r="A969" s="33" t="s">
        <v>1412</v>
      </c>
      <c r="B969" s="33" t="s">
        <v>1411</v>
      </c>
      <c r="C969" s="33" t="s">
        <v>13</v>
      </c>
      <c r="D969" s="33" t="s">
        <v>1059</v>
      </c>
      <c r="E969" s="33">
        <v>2022</v>
      </c>
      <c r="F969" s="33">
        <v>115</v>
      </c>
      <c r="G969" s="34"/>
      <c r="H969" s="34"/>
      <c r="I969" s="33" t="s">
        <v>1060</v>
      </c>
      <c r="J969" s="33">
        <v>2022</v>
      </c>
      <c r="K969" s="34"/>
      <c r="L969" s="34"/>
      <c r="M969" s="33" t="s">
        <v>1061</v>
      </c>
      <c r="N969" s="37" t="s">
        <v>1413</v>
      </c>
      <c r="O969" s="33" t="s">
        <v>1414</v>
      </c>
      <c r="P969" s="33" t="s">
        <v>1415</v>
      </c>
      <c r="Q969" s="33" t="s">
        <v>157</v>
      </c>
      <c r="R969" s="34"/>
      <c r="S969" s="38"/>
      <c r="T969" s="38" t="s">
        <v>12690</v>
      </c>
    </row>
    <row r="970" spans="1:20" x14ac:dyDescent="0.25">
      <c r="A970" s="33" t="s">
        <v>1700</v>
      </c>
      <c r="B970" s="33" t="s">
        <v>1699</v>
      </c>
      <c r="C970" s="33" t="s">
        <v>141</v>
      </c>
      <c r="D970" s="34"/>
      <c r="E970" s="33">
        <v>2022</v>
      </c>
      <c r="F970" s="34"/>
      <c r="G970" s="34"/>
      <c r="H970" s="33" t="s">
        <v>1701</v>
      </c>
      <c r="I970" s="33" t="s">
        <v>257</v>
      </c>
      <c r="J970" s="33">
        <v>2022</v>
      </c>
      <c r="K970" s="33">
        <v>9781450392754</v>
      </c>
      <c r="L970" s="34"/>
      <c r="M970" s="34"/>
      <c r="N970" s="37" t="s">
        <v>1702</v>
      </c>
      <c r="O970" s="33" t="s">
        <v>1703</v>
      </c>
      <c r="P970" s="33" t="s">
        <v>1704</v>
      </c>
      <c r="Q970" s="33" t="s">
        <v>568</v>
      </c>
      <c r="R970" s="34"/>
      <c r="S970" s="38"/>
      <c r="T970" s="38" t="s">
        <v>12690</v>
      </c>
    </row>
    <row r="971" spans="1:20" x14ac:dyDescent="0.25">
      <c r="A971" s="33" t="s">
        <v>1131</v>
      </c>
      <c r="B971" s="33" t="s">
        <v>1130</v>
      </c>
      <c r="C971" s="33" t="s">
        <v>13</v>
      </c>
      <c r="D971" s="33" t="s">
        <v>354</v>
      </c>
      <c r="E971" s="33">
        <v>2022</v>
      </c>
      <c r="F971" s="33">
        <v>194</v>
      </c>
      <c r="G971" s="36"/>
      <c r="H971" s="33">
        <v>111508</v>
      </c>
      <c r="I971" s="36"/>
      <c r="J971" s="33">
        <v>2022</v>
      </c>
      <c r="K971" s="34"/>
      <c r="L971" s="34"/>
      <c r="M971" s="33" t="s">
        <v>65</v>
      </c>
      <c r="N971" s="37" t="s">
        <v>8938</v>
      </c>
      <c r="O971" s="33" t="s">
        <v>1133</v>
      </c>
      <c r="P971" s="33" t="s">
        <v>8939</v>
      </c>
      <c r="Q971" s="36"/>
      <c r="R971" s="36"/>
      <c r="S971" s="33" t="s">
        <v>8940</v>
      </c>
      <c r="T971" s="38" t="s">
        <v>12693</v>
      </c>
    </row>
    <row r="972" spans="1:20" x14ac:dyDescent="0.25">
      <c r="A972" s="33" t="s">
        <v>1131</v>
      </c>
      <c r="B972" s="33" t="s">
        <v>1130</v>
      </c>
      <c r="C972" s="33" t="s">
        <v>13</v>
      </c>
      <c r="D972" s="33" t="s">
        <v>354</v>
      </c>
      <c r="E972" s="33">
        <v>2022</v>
      </c>
      <c r="F972" s="33">
        <v>194</v>
      </c>
      <c r="G972" s="34"/>
      <c r="H972" s="34"/>
      <c r="I972" s="33" t="s">
        <v>355</v>
      </c>
      <c r="J972" s="33">
        <v>2022</v>
      </c>
      <c r="K972" s="34"/>
      <c r="L972" s="34"/>
      <c r="M972" s="33" t="s">
        <v>65</v>
      </c>
      <c r="N972" s="37" t="s">
        <v>1132</v>
      </c>
      <c r="O972" s="33" t="s">
        <v>1133</v>
      </c>
      <c r="P972" s="33" t="s">
        <v>1134</v>
      </c>
      <c r="Q972" s="33" t="s">
        <v>157</v>
      </c>
      <c r="R972" s="34"/>
      <c r="S972" s="38"/>
      <c r="T972" s="38" t="s">
        <v>12690</v>
      </c>
    </row>
    <row r="973" spans="1:20" x14ac:dyDescent="0.25">
      <c r="A973" s="33" t="s">
        <v>2660</v>
      </c>
      <c r="B973" s="33" t="s">
        <v>2659</v>
      </c>
      <c r="C973" s="33" t="s">
        <v>141</v>
      </c>
      <c r="D973" s="34"/>
      <c r="E973" s="33">
        <v>2021</v>
      </c>
      <c r="F973" s="34"/>
      <c r="G973" s="34"/>
      <c r="H973" s="33" t="s">
        <v>2661</v>
      </c>
      <c r="I973" s="33" t="s">
        <v>257</v>
      </c>
      <c r="J973" s="33">
        <v>2021</v>
      </c>
      <c r="K973" s="33">
        <v>9781665445559</v>
      </c>
      <c r="L973" s="34"/>
      <c r="M973" s="34"/>
      <c r="N973" s="37" t="s">
        <v>2662</v>
      </c>
      <c r="O973" s="33" t="s">
        <v>2663</v>
      </c>
      <c r="P973" s="33" t="s">
        <v>2664</v>
      </c>
      <c r="Q973" s="33" t="s">
        <v>1598</v>
      </c>
      <c r="R973" s="34"/>
      <c r="S973" s="38"/>
      <c r="T973" s="38" t="s">
        <v>12690</v>
      </c>
    </row>
    <row r="974" spans="1:20" x14ac:dyDescent="0.25">
      <c r="A974" s="33" t="s">
        <v>2843</v>
      </c>
      <c r="B974" s="33" t="s">
        <v>2842</v>
      </c>
      <c r="C974" s="33" t="s">
        <v>141</v>
      </c>
      <c r="D974" s="34"/>
      <c r="E974" s="33">
        <v>2021</v>
      </c>
      <c r="F974" s="34"/>
      <c r="G974" s="34"/>
      <c r="H974" s="33" t="s">
        <v>1917</v>
      </c>
      <c r="I974" s="33" t="s">
        <v>257</v>
      </c>
      <c r="J974" s="33">
        <v>2021</v>
      </c>
      <c r="K974" s="33">
        <v>9781728184760</v>
      </c>
      <c r="L974" s="34"/>
      <c r="M974" s="34"/>
      <c r="N974" s="37" t="s">
        <v>2844</v>
      </c>
      <c r="O974" s="33" t="s">
        <v>2845</v>
      </c>
      <c r="P974" s="33" t="s">
        <v>2846</v>
      </c>
      <c r="Q974" s="33" t="s">
        <v>157</v>
      </c>
      <c r="R974" s="34"/>
      <c r="S974" s="38"/>
      <c r="T974" s="38" t="s">
        <v>12690</v>
      </c>
    </row>
    <row r="975" spans="1:20" x14ac:dyDescent="0.25">
      <c r="A975" s="33" t="s">
        <v>159</v>
      </c>
      <c r="B975" s="33" t="s">
        <v>158</v>
      </c>
      <c r="C975" s="33" t="s">
        <v>141</v>
      </c>
      <c r="D975" s="34"/>
      <c r="E975" s="33">
        <v>2022</v>
      </c>
      <c r="F975" s="34"/>
      <c r="G975" s="34"/>
      <c r="H975" s="33" t="s">
        <v>160</v>
      </c>
      <c r="I975" s="33" t="s">
        <v>161</v>
      </c>
      <c r="J975" s="33">
        <v>2022</v>
      </c>
      <c r="K975" s="33">
        <v>9789897585685</v>
      </c>
      <c r="L975" s="34"/>
      <c r="M975" s="33" t="s">
        <v>162</v>
      </c>
      <c r="N975" s="37" t="s">
        <v>163</v>
      </c>
      <c r="O975" s="33" t="s">
        <v>164</v>
      </c>
      <c r="P975" s="33" t="s">
        <v>165</v>
      </c>
      <c r="Q975" s="33" t="s">
        <v>166</v>
      </c>
      <c r="R975" s="34"/>
      <c r="S975" s="38"/>
      <c r="T975" s="38" t="s">
        <v>12690</v>
      </c>
    </row>
    <row r="976" spans="1:20" x14ac:dyDescent="0.25">
      <c r="A976" s="39" t="s">
        <v>10654</v>
      </c>
      <c r="B976" s="39" t="s">
        <v>10656</v>
      </c>
      <c r="C976" s="39" t="s">
        <v>9478</v>
      </c>
      <c r="D976" s="36"/>
      <c r="E976" s="39">
        <v>2022</v>
      </c>
      <c r="F976" s="39">
        <v>27</v>
      </c>
      <c r="G976" s="39">
        <v>7</v>
      </c>
      <c r="H976" s="36"/>
      <c r="I976" s="39" t="s">
        <v>136</v>
      </c>
      <c r="J976" s="36"/>
      <c r="K976" s="36"/>
      <c r="L976" s="36"/>
      <c r="M976" s="34"/>
      <c r="N976" s="41" t="s">
        <v>10657</v>
      </c>
      <c r="O976" s="39" t="s">
        <v>10655</v>
      </c>
      <c r="P976" s="33"/>
      <c r="Q976" s="36"/>
      <c r="R976" s="34"/>
      <c r="S976" s="38"/>
      <c r="T976" s="38" t="s">
        <v>12689</v>
      </c>
    </row>
    <row r="977" spans="1:20" x14ac:dyDescent="0.25">
      <c r="A977" s="33" t="s">
        <v>5201</v>
      </c>
      <c r="B977" s="33" t="s">
        <v>5200</v>
      </c>
      <c r="C977" s="33" t="s">
        <v>141</v>
      </c>
      <c r="D977" s="34"/>
      <c r="E977" s="33">
        <v>2018</v>
      </c>
      <c r="F977" s="34"/>
      <c r="G977" s="34"/>
      <c r="H977" s="33" t="s">
        <v>5202</v>
      </c>
      <c r="I977" s="33" t="s">
        <v>257</v>
      </c>
      <c r="J977" s="33">
        <v>2018</v>
      </c>
      <c r="K977" s="33">
        <v>9781538673829</v>
      </c>
      <c r="L977" s="34"/>
      <c r="M977" s="34"/>
      <c r="N977" s="37" t="s">
        <v>5203</v>
      </c>
      <c r="O977" s="33" t="s">
        <v>5204</v>
      </c>
      <c r="P977" s="33" t="s">
        <v>5205</v>
      </c>
      <c r="Q977" s="33" t="s">
        <v>1573</v>
      </c>
      <c r="R977" s="34"/>
      <c r="S977" s="38"/>
      <c r="T977" s="38" t="s">
        <v>12690</v>
      </c>
    </row>
    <row r="978" spans="1:20" x14ac:dyDescent="0.25">
      <c r="A978" s="39" t="s">
        <v>10354</v>
      </c>
      <c r="B978" s="39" t="s">
        <v>10356</v>
      </c>
      <c r="C978" s="39" t="s">
        <v>9478</v>
      </c>
      <c r="D978" s="36"/>
      <c r="E978" s="39">
        <v>2019</v>
      </c>
      <c r="F978" s="39">
        <v>27</v>
      </c>
      <c r="G978" s="39">
        <v>1</v>
      </c>
      <c r="H978" s="36"/>
      <c r="I978" s="39" t="s">
        <v>523</v>
      </c>
      <c r="J978" s="36"/>
      <c r="K978" s="36"/>
      <c r="L978" s="36"/>
      <c r="M978" s="34"/>
      <c r="N978" s="41" t="s">
        <v>10357</v>
      </c>
      <c r="O978" s="39" t="s">
        <v>10355</v>
      </c>
      <c r="P978" s="33"/>
      <c r="Q978" s="36"/>
      <c r="R978" s="34"/>
      <c r="S978" s="38"/>
      <c r="T978" s="38" t="s">
        <v>12689</v>
      </c>
    </row>
    <row r="979" spans="1:20" x14ac:dyDescent="0.25">
      <c r="A979" s="39" t="s">
        <v>2785</v>
      </c>
      <c r="B979" s="39" t="s">
        <v>9990</v>
      </c>
      <c r="C979" s="39" t="s">
        <v>9478</v>
      </c>
      <c r="D979" s="36"/>
      <c r="E979" s="39">
        <v>2020</v>
      </c>
      <c r="F979" s="39">
        <v>7</v>
      </c>
      <c r="G979" s="39">
        <v>1</v>
      </c>
      <c r="H979" s="36"/>
      <c r="I979" s="39" t="s">
        <v>2786</v>
      </c>
      <c r="J979" s="36"/>
      <c r="K979" s="36"/>
      <c r="L979" s="36"/>
      <c r="M979" s="34"/>
      <c r="N979" s="41" t="s">
        <v>9991</v>
      </c>
      <c r="O979" s="39" t="s">
        <v>2789</v>
      </c>
      <c r="P979" s="33"/>
      <c r="Q979" s="36"/>
      <c r="R979" s="34"/>
      <c r="S979" s="38"/>
      <c r="T979" s="38" t="s">
        <v>12689</v>
      </c>
    </row>
    <row r="980" spans="1:20" x14ac:dyDescent="0.25">
      <c r="A980" s="33" t="s">
        <v>2785</v>
      </c>
      <c r="B980" s="33" t="s">
        <v>2784</v>
      </c>
      <c r="C980" s="33" t="s">
        <v>13</v>
      </c>
      <c r="D980" s="33" t="s">
        <v>2786</v>
      </c>
      <c r="E980" s="33">
        <v>2020</v>
      </c>
      <c r="F980" s="33">
        <v>7</v>
      </c>
      <c r="G980" s="33">
        <v>1</v>
      </c>
      <c r="H980" s="34"/>
      <c r="I980" s="33" t="s">
        <v>137</v>
      </c>
      <c r="J980" s="33">
        <v>2020</v>
      </c>
      <c r="K980" s="34"/>
      <c r="L980" s="34"/>
      <c r="M980" s="33" t="s">
        <v>2787</v>
      </c>
      <c r="N980" s="37" t="s">
        <v>2788</v>
      </c>
      <c r="O980" s="33" t="s">
        <v>2789</v>
      </c>
      <c r="P980" s="33" t="s">
        <v>2790</v>
      </c>
      <c r="Q980" s="33" t="s">
        <v>2791</v>
      </c>
      <c r="R980" s="34"/>
      <c r="S980" s="38"/>
      <c r="T980" s="38" t="s">
        <v>12690</v>
      </c>
    </row>
    <row r="981" spans="1:20" x14ac:dyDescent="0.25">
      <c r="A981" s="39" t="s">
        <v>1096</v>
      </c>
      <c r="B981" s="39" t="s">
        <v>9653</v>
      </c>
      <c r="C981" s="39" t="s">
        <v>9478</v>
      </c>
      <c r="D981" s="36"/>
      <c r="E981" s="39">
        <v>2022</v>
      </c>
      <c r="F981" s="39">
        <v>27</v>
      </c>
      <c r="G981" s="39">
        <v>7</v>
      </c>
      <c r="H981" s="36"/>
      <c r="I981" s="39" t="s">
        <v>136</v>
      </c>
      <c r="J981" s="36"/>
      <c r="K981" s="36"/>
      <c r="L981" s="36"/>
      <c r="M981" s="34"/>
      <c r="N981" s="41" t="s">
        <v>9654</v>
      </c>
      <c r="O981" s="39" t="s">
        <v>1098</v>
      </c>
      <c r="P981" s="33"/>
      <c r="Q981" s="36"/>
      <c r="R981" s="34"/>
      <c r="S981" s="38"/>
      <c r="T981" s="38" t="s">
        <v>12689</v>
      </c>
    </row>
    <row r="982" spans="1:20" x14ac:dyDescent="0.25">
      <c r="A982" s="33" t="s">
        <v>1096</v>
      </c>
      <c r="B982" s="33" t="s">
        <v>1095</v>
      </c>
      <c r="C982" s="33" t="s">
        <v>13</v>
      </c>
      <c r="D982" s="33" t="s">
        <v>136</v>
      </c>
      <c r="E982" s="33">
        <v>2022</v>
      </c>
      <c r="F982" s="33">
        <v>27</v>
      </c>
      <c r="G982" s="33">
        <v>7</v>
      </c>
      <c r="H982" s="34"/>
      <c r="I982" s="33" t="s">
        <v>137</v>
      </c>
      <c r="J982" s="33">
        <v>2022</v>
      </c>
      <c r="K982" s="34"/>
      <c r="L982" s="34"/>
      <c r="M982" s="33" t="s">
        <v>33</v>
      </c>
      <c r="N982" s="37" t="s">
        <v>1097</v>
      </c>
      <c r="O982" s="33" t="s">
        <v>1098</v>
      </c>
      <c r="P982" s="33" t="s">
        <v>1099</v>
      </c>
      <c r="Q982" s="33" t="s">
        <v>157</v>
      </c>
      <c r="R982" s="34"/>
      <c r="S982" s="38"/>
      <c r="T982" s="38" t="s">
        <v>12690</v>
      </c>
    </row>
    <row r="983" spans="1:20" x14ac:dyDescent="0.25">
      <c r="A983" s="33" t="s">
        <v>415</v>
      </c>
      <c r="B983" s="33" t="s">
        <v>414</v>
      </c>
      <c r="C983" s="33" t="s">
        <v>141</v>
      </c>
      <c r="D983" s="34"/>
      <c r="E983" s="33">
        <v>2022</v>
      </c>
      <c r="F983" s="34"/>
      <c r="G983" s="34"/>
      <c r="H983" s="33" t="s">
        <v>416</v>
      </c>
      <c r="I983" s="33" t="s">
        <v>257</v>
      </c>
      <c r="J983" s="33">
        <v>2022</v>
      </c>
      <c r="K983" s="33">
        <v>9781665488648</v>
      </c>
      <c r="L983" s="34"/>
      <c r="M983" s="34"/>
      <c r="N983" s="37" t="s">
        <v>417</v>
      </c>
      <c r="O983" s="33" t="s">
        <v>418</v>
      </c>
      <c r="P983" s="33" t="s">
        <v>419</v>
      </c>
      <c r="Q983" s="33" t="s">
        <v>404</v>
      </c>
      <c r="R983" s="34"/>
      <c r="S983" s="38"/>
      <c r="T983" s="38" t="s">
        <v>12690</v>
      </c>
    </row>
    <row r="984" spans="1:20" x14ac:dyDescent="0.25">
      <c r="A984" s="33" t="s">
        <v>8041</v>
      </c>
      <c r="B984" s="33" t="s">
        <v>8040</v>
      </c>
      <c r="C984" s="33" t="s">
        <v>141</v>
      </c>
      <c r="D984" s="34"/>
      <c r="E984" s="33">
        <v>2014</v>
      </c>
      <c r="F984" s="34"/>
      <c r="G984" s="34"/>
      <c r="H984" s="33" t="s">
        <v>8042</v>
      </c>
      <c r="I984" s="33" t="s">
        <v>8043</v>
      </c>
      <c r="J984" s="43">
        <v>41671</v>
      </c>
      <c r="K984" s="34"/>
      <c r="L984" s="36"/>
      <c r="M984" s="34"/>
      <c r="N984" s="37" t="s">
        <v>8044</v>
      </c>
      <c r="O984" s="33" t="s">
        <v>8045</v>
      </c>
      <c r="P984" s="33" t="s">
        <v>8046</v>
      </c>
      <c r="Q984" s="36"/>
      <c r="R984" s="36"/>
      <c r="S984" s="33" t="s">
        <v>8047</v>
      </c>
      <c r="T984" s="38" t="s">
        <v>12688</v>
      </c>
    </row>
    <row r="985" spans="1:20" x14ac:dyDescent="0.25">
      <c r="A985" s="33" t="s">
        <v>4448</v>
      </c>
      <c r="B985" s="33" t="s">
        <v>4447</v>
      </c>
      <c r="C985" s="33" t="s">
        <v>141</v>
      </c>
      <c r="D985" s="34"/>
      <c r="E985" s="33">
        <v>2020</v>
      </c>
      <c r="F985" s="34"/>
      <c r="G985" s="34"/>
      <c r="H985" s="34"/>
      <c r="I985" s="33" t="s">
        <v>4449</v>
      </c>
      <c r="J985" s="33">
        <v>2020</v>
      </c>
      <c r="K985" s="34"/>
      <c r="L985" s="34"/>
      <c r="M985" s="34"/>
      <c r="N985" s="37" t="s">
        <v>4450</v>
      </c>
      <c r="O985" s="34"/>
      <c r="P985" s="33" t="s">
        <v>4451</v>
      </c>
      <c r="Q985" s="33" t="s">
        <v>185</v>
      </c>
      <c r="R985" s="34"/>
      <c r="S985" s="38"/>
      <c r="T985" s="38" t="s">
        <v>12690</v>
      </c>
    </row>
    <row r="986" spans="1:20" x14ac:dyDescent="0.25">
      <c r="A986" s="33" t="s">
        <v>8143</v>
      </c>
      <c r="B986" s="33" t="s">
        <v>8142</v>
      </c>
      <c r="C986" s="33" t="s">
        <v>141</v>
      </c>
      <c r="D986" s="34"/>
      <c r="E986" s="33">
        <v>2022</v>
      </c>
      <c r="F986" s="34"/>
      <c r="G986" s="34"/>
      <c r="H986" s="33" t="s">
        <v>8144</v>
      </c>
      <c r="I986" s="33" t="s">
        <v>7760</v>
      </c>
      <c r="J986" s="35">
        <v>44835</v>
      </c>
      <c r="K986" s="34"/>
      <c r="L986" s="36"/>
      <c r="M986" s="34"/>
      <c r="N986" s="37" t="s">
        <v>8145</v>
      </c>
      <c r="O986" s="33" t="s">
        <v>8146</v>
      </c>
      <c r="P986" s="33" t="s">
        <v>8147</v>
      </c>
      <c r="Q986" s="36"/>
      <c r="R986" s="36"/>
      <c r="S986" s="33" t="s">
        <v>8148</v>
      </c>
      <c r="T986" s="38" t="s">
        <v>12688</v>
      </c>
    </row>
    <row r="987" spans="1:20" x14ac:dyDescent="0.25">
      <c r="A987" s="33" t="s">
        <v>5182</v>
      </c>
      <c r="B987" s="33" t="s">
        <v>5181</v>
      </c>
      <c r="C987" s="33" t="s">
        <v>141</v>
      </c>
      <c r="D987" s="34"/>
      <c r="E987" s="33">
        <v>2018</v>
      </c>
      <c r="F987" s="34"/>
      <c r="G987" s="34"/>
      <c r="H987" s="33" t="s">
        <v>5183</v>
      </c>
      <c r="I987" s="33" t="s">
        <v>153</v>
      </c>
      <c r="J987" s="33">
        <v>2018</v>
      </c>
      <c r="K987" s="33">
        <v>9781450360562</v>
      </c>
      <c r="L987" s="34"/>
      <c r="M987" s="34"/>
      <c r="N987" s="37" t="s">
        <v>5184</v>
      </c>
      <c r="O987" s="33" t="s">
        <v>5185</v>
      </c>
      <c r="P987" s="33" t="s">
        <v>5186</v>
      </c>
      <c r="Q987" s="33" t="s">
        <v>176</v>
      </c>
      <c r="R987" s="34"/>
      <c r="S987" s="38"/>
      <c r="T987" s="38" t="s">
        <v>12690</v>
      </c>
    </row>
    <row r="988" spans="1:20" x14ac:dyDescent="0.25">
      <c r="A988" s="33" t="s">
        <v>4049</v>
      </c>
      <c r="B988" s="33" t="s">
        <v>4048</v>
      </c>
      <c r="C988" s="33" t="s">
        <v>141</v>
      </c>
      <c r="D988" s="34"/>
      <c r="E988" s="33">
        <v>2019</v>
      </c>
      <c r="F988" s="33">
        <v>32</v>
      </c>
      <c r="G988" s="34"/>
      <c r="H988" s="34"/>
      <c r="I988" s="33" t="s">
        <v>3301</v>
      </c>
      <c r="J988" s="33">
        <v>2019</v>
      </c>
      <c r="K988" s="34"/>
      <c r="L988" s="34"/>
      <c r="M988" s="33" t="s">
        <v>3302</v>
      </c>
      <c r="N988" s="37" t="s">
        <v>4050</v>
      </c>
      <c r="O988" s="34"/>
      <c r="P988" s="33" t="s">
        <v>4051</v>
      </c>
      <c r="Q988" s="33" t="s">
        <v>4052</v>
      </c>
      <c r="R988" s="34"/>
      <c r="S988" s="38"/>
      <c r="T988" s="38" t="s">
        <v>12690</v>
      </c>
    </row>
    <row r="989" spans="1:20" x14ac:dyDescent="0.25">
      <c r="A989" s="33" t="s">
        <v>6853</v>
      </c>
      <c r="B989" s="33" t="s">
        <v>6852</v>
      </c>
      <c r="C989" s="33" t="s">
        <v>141</v>
      </c>
      <c r="D989" s="34"/>
      <c r="E989" s="33">
        <v>2021</v>
      </c>
      <c r="F989" s="34"/>
      <c r="G989" s="34"/>
      <c r="H989" s="42">
        <v>44930</v>
      </c>
      <c r="I989" s="33" t="s">
        <v>6854</v>
      </c>
      <c r="J989" s="35">
        <v>44531</v>
      </c>
      <c r="K989" s="36"/>
      <c r="L989" s="36"/>
      <c r="M989" s="34"/>
      <c r="N989" s="37" t="s">
        <v>6855</v>
      </c>
      <c r="O989" s="33" t="s">
        <v>6856</v>
      </c>
      <c r="P989" s="33" t="s">
        <v>6857</v>
      </c>
      <c r="Q989" s="36"/>
      <c r="R989" s="36"/>
      <c r="S989" s="33" t="s">
        <v>6858</v>
      </c>
      <c r="T989" s="38" t="s">
        <v>12688</v>
      </c>
    </row>
    <row r="990" spans="1:20" x14ac:dyDescent="0.25">
      <c r="A990" s="33" t="s">
        <v>547</v>
      </c>
      <c r="B990" s="33" t="s">
        <v>546</v>
      </c>
      <c r="C990" s="33" t="s">
        <v>13</v>
      </c>
      <c r="D990" s="33" t="s">
        <v>548</v>
      </c>
      <c r="E990" s="33">
        <v>2022</v>
      </c>
      <c r="F990" s="33">
        <v>14</v>
      </c>
      <c r="G990" s="33">
        <v>5</v>
      </c>
      <c r="H990" s="34"/>
      <c r="I990" s="33" t="s">
        <v>228</v>
      </c>
      <c r="J990" s="33">
        <v>2022</v>
      </c>
      <c r="K990" s="34"/>
      <c r="L990" s="34"/>
      <c r="M990" s="33" t="s">
        <v>549</v>
      </c>
      <c r="N990" s="37" t="s">
        <v>550</v>
      </c>
      <c r="O990" s="33" t="s">
        <v>551</v>
      </c>
      <c r="P990" s="33" t="s">
        <v>552</v>
      </c>
      <c r="Q990" s="33" t="s">
        <v>447</v>
      </c>
      <c r="R990" s="34"/>
      <c r="S990" s="38"/>
      <c r="T990" s="38" t="s">
        <v>12690</v>
      </c>
    </row>
    <row r="991" spans="1:20" x14ac:dyDescent="0.25">
      <c r="A991" s="39" t="s">
        <v>9867</v>
      </c>
      <c r="B991" s="39" t="s">
        <v>9869</v>
      </c>
      <c r="C991" s="39" t="s">
        <v>9539</v>
      </c>
      <c r="D991" s="36"/>
      <c r="E991" s="39">
        <v>2018</v>
      </c>
      <c r="F991" s="40"/>
      <c r="G991" s="40"/>
      <c r="H991" s="36"/>
      <c r="I991" s="39" t="s">
        <v>9866</v>
      </c>
      <c r="J991" s="36"/>
      <c r="K991" s="36"/>
      <c r="L991" s="36"/>
      <c r="M991" s="34"/>
      <c r="N991" s="41" t="s">
        <v>9870</v>
      </c>
      <c r="O991" s="39" t="s">
        <v>9868</v>
      </c>
      <c r="P991" s="33"/>
      <c r="Q991" s="36"/>
      <c r="R991" s="34"/>
      <c r="S991" s="38"/>
      <c r="T991" s="38" t="s">
        <v>12689</v>
      </c>
    </row>
    <row r="992" spans="1:20" x14ac:dyDescent="0.25">
      <c r="A992" s="33" t="s">
        <v>3501</v>
      </c>
      <c r="B992" s="33" t="s">
        <v>3500</v>
      </c>
      <c r="C992" s="33" t="s">
        <v>141</v>
      </c>
      <c r="D992" s="34"/>
      <c r="E992" s="33">
        <v>2020</v>
      </c>
      <c r="F992" s="45">
        <v>44105</v>
      </c>
      <c r="G992" s="34"/>
      <c r="H992" s="33" t="s">
        <v>3024</v>
      </c>
      <c r="I992" s="33" t="s">
        <v>196</v>
      </c>
      <c r="J992" s="33">
        <v>2020</v>
      </c>
      <c r="K992" s="33">
        <v>9781728198705</v>
      </c>
      <c r="L992" s="34"/>
      <c r="M992" s="33" t="s">
        <v>2680</v>
      </c>
      <c r="N992" s="37" t="s">
        <v>3502</v>
      </c>
      <c r="O992" s="33" t="s">
        <v>3503</v>
      </c>
      <c r="P992" s="33" t="s">
        <v>3504</v>
      </c>
      <c r="Q992" s="33" t="s">
        <v>2811</v>
      </c>
      <c r="R992" s="34"/>
      <c r="S992" s="38"/>
      <c r="T992" s="38" t="s">
        <v>12690</v>
      </c>
    </row>
    <row r="993" spans="1:20" x14ac:dyDescent="0.25">
      <c r="A993" s="33" t="s">
        <v>3538</v>
      </c>
      <c r="B993" s="33" t="s">
        <v>3537</v>
      </c>
      <c r="C993" s="33" t="s">
        <v>141</v>
      </c>
      <c r="D993" s="34"/>
      <c r="E993" s="33">
        <v>2020</v>
      </c>
      <c r="F993" s="34"/>
      <c r="G993" s="34"/>
      <c r="H993" s="33" t="s">
        <v>3539</v>
      </c>
      <c r="I993" s="33" t="s">
        <v>257</v>
      </c>
      <c r="J993" s="33">
        <v>2020</v>
      </c>
      <c r="K993" s="33">
        <v>9781665414852</v>
      </c>
      <c r="L993" s="34"/>
      <c r="M993" s="34"/>
      <c r="N993" s="37" t="s">
        <v>3540</v>
      </c>
      <c r="O993" s="33" t="s">
        <v>3541</v>
      </c>
      <c r="P993" s="33" t="s">
        <v>3542</v>
      </c>
      <c r="Q993" s="33" t="s">
        <v>176</v>
      </c>
      <c r="R993" s="34"/>
      <c r="S993" s="38"/>
      <c r="T993" s="38" t="s">
        <v>12690</v>
      </c>
    </row>
    <row r="994" spans="1:20" x14ac:dyDescent="0.25">
      <c r="A994" s="33" t="s">
        <v>7660</v>
      </c>
      <c r="B994" s="33" t="s">
        <v>7659</v>
      </c>
      <c r="C994" s="33" t="s">
        <v>141</v>
      </c>
      <c r="D994" s="34"/>
      <c r="E994" s="33">
        <v>2021</v>
      </c>
      <c r="F994" s="34"/>
      <c r="G994" s="34"/>
      <c r="H994" s="33" t="s">
        <v>7661</v>
      </c>
      <c r="I994" s="33" t="s">
        <v>7662</v>
      </c>
      <c r="J994" s="35">
        <v>44501</v>
      </c>
      <c r="K994" s="36"/>
      <c r="L994" s="36"/>
      <c r="M994" s="34"/>
      <c r="N994" s="37" t="s">
        <v>7663</v>
      </c>
      <c r="O994" s="33" t="s">
        <v>7664</v>
      </c>
      <c r="P994" s="33" t="s">
        <v>7665</v>
      </c>
      <c r="Q994" s="36"/>
      <c r="R994" s="36"/>
      <c r="S994" s="33" t="s">
        <v>7666</v>
      </c>
      <c r="T994" s="38" t="s">
        <v>12688</v>
      </c>
    </row>
    <row r="995" spans="1:20" x14ac:dyDescent="0.25">
      <c r="A995" s="33" t="s">
        <v>4402</v>
      </c>
      <c r="B995" s="33" t="s">
        <v>4401</v>
      </c>
      <c r="C995" s="33" t="s">
        <v>141</v>
      </c>
      <c r="D995" s="34"/>
      <c r="E995" s="33">
        <v>2020</v>
      </c>
      <c r="F995" s="45">
        <v>44166</v>
      </c>
      <c r="G995" s="34"/>
      <c r="H995" s="34"/>
      <c r="I995" s="33" t="s">
        <v>3301</v>
      </c>
      <c r="J995" s="33">
        <v>2020</v>
      </c>
      <c r="K995" s="34"/>
      <c r="L995" s="34"/>
      <c r="M995" s="33" t="s">
        <v>3302</v>
      </c>
      <c r="N995" s="37" t="s">
        <v>4403</v>
      </c>
      <c r="O995" s="34"/>
      <c r="P995" s="33" t="s">
        <v>4404</v>
      </c>
      <c r="Q995" s="33" t="s">
        <v>1573</v>
      </c>
      <c r="R995" s="34"/>
      <c r="S995" s="38"/>
      <c r="T995" s="38" t="s">
        <v>12690</v>
      </c>
    </row>
    <row r="996" spans="1:20" x14ac:dyDescent="0.25">
      <c r="A996" s="33" t="s">
        <v>5334</v>
      </c>
      <c r="B996" s="33" t="s">
        <v>5333</v>
      </c>
      <c r="C996" s="33" t="s">
        <v>141</v>
      </c>
      <c r="D996" s="34"/>
      <c r="E996" s="33">
        <v>2017</v>
      </c>
      <c r="F996" s="45">
        <v>42856</v>
      </c>
      <c r="G996" s="34"/>
      <c r="H996" s="33" t="s">
        <v>5335</v>
      </c>
      <c r="I996" s="33" t="s">
        <v>145</v>
      </c>
      <c r="J996" s="33">
        <v>2017</v>
      </c>
      <c r="K996" s="33">
        <v>9781450346559</v>
      </c>
      <c r="L996" s="34"/>
      <c r="M996" s="34"/>
      <c r="N996" s="37" t="s">
        <v>5336</v>
      </c>
      <c r="O996" s="33" t="s">
        <v>5337</v>
      </c>
      <c r="P996" s="33" t="s">
        <v>5338</v>
      </c>
      <c r="Q996" s="33" t="s">
        <v>5339</v>
      </c>
      <c r="R996" s="34"/>
      <c r="S996" s="38"/>
      <c r="T996" s="38" t="s">
        <v>12690</v>
      </c>
    </row>
    <row r="997" spans="1:20" x14ac:dyDescent="0.25">
      <c r="A997" s="33" t="s">
        <v>8989</v>
      </c>
      <c r="B997" s="33" t="s">
        <v>8988</v>
      </c>
      <c r="C997" s="33" t="s">
        <v>13</v>
      </c>
      <c r="D997" s="33" t="s">
        <v>354</v>
      </c>
      <c r="E997" s="33">
        <v>2019</v>
      </c>
      <c r="F997" s="33">
        <v>158</v>
      </c>
      <c r="G997" s="36"/>
      <c r="H997" s="33">
        <v>110420</v>
      </c>
      <c r="I997" s="36"/>
      <c r="J997" s="33">
        <v>2019</v>
      </c>
      <c r="K997" s="34"/>
      <c r="L997" s="34"/>
      <c r="M997" s="33" t="s">
        <v>65</v>
      </c>
      <c r="N997" s="37" t="s">
        <v>8990</v>
      </c>
      <c r="O997" s="33" t="s">
        <v>8991</v>
      </c>
      <c r="P997" s="33" t="s">
        <v>8992</v>
      </c>
      <c r="Q997" s="36"/>
      <c r="R997" s="36"/>
      <c r="S997" s="33" t="s">
        <v>8993</v>
      </c>
      <c r="T997" s="38" t="s">
        <v>12693</v>
      </c>
    </row>
    <row r="998" spans="1:20" x14ac:dyDescent="0.25">
      <c r="A998" s="33" t="s">
        <v>2416</v>
      </c>
      <c r="B998" s="33" t="s">
        <v>2415</v>
      </c>
      <c r="C998" s="33" t="s">
        <v>141</v>
      </c>
      <c r="D998" s="34"/>
      <c r="E998" s="33">
        <v>2021</v>
      </c>
      <c r="F998" s="34"/>
      <c r="G998" s="34"/>
      <c r="H998" s="34"/>
      <c r="I998" s="33" t="s">
        <v>145</v>
      </c>
      <c r="J998" s="33">
        <v>2021</v>
      </c>
      <c r="K998" s="33">
        <v>9781450380966</v>
      </c>
      <c r="L998" s="34"/>
      <c r="M998" s="34"/>
      <c r="N998" s="37" t="s">
        <v>2417</v>
      </c>
      <c r="O998" s="33" t="s">
        <v>2418</v>
      </c>
      <c r="P998" s="33" t="s">
        <v>2419</v>
      </c>
      <c r="Q998" s="33" t="s">
        <v>2420</v>
      </c>
      <c r="R998" s="34"/>
      <c r="S998" s="38"/>
      <c r="T998" s="38" t="s">
        <v>12690</v>
      </c>
    </row>
    <row r="999" spans="1:20" x14ac:dyDescent="0.25">
      <c r="A999" s="39" t="s">
        <v>10658</v>
      </c>
      <c r="B999" s="39" t="s">
        <v>10660</v>
      </c>
      <c r="C999" s="39" t="s">
        <v>9539</v>
      </c>
      <c r="D999" s="36"/>
      <c r="E999" s="39">
        <v>2021</v>
      </c>
      <c r="F999" s="40"/>
      <c r="G999" s="40"/>
      <c r="H999" s="36"/>
      <c r="I999" s="39" t="s">
        <v>9460</v>
      </c>
      <c r="J999" s="36"/>
      <c r="K999" s="36"/>
      <c r="L999" s="36"/>
      <c r="M999" s="34"/>
      <c r="N999" s="41" t="s">
        <v>10661</v>
      </c>
      <c r="O999" s="39" t="s">
        <v>10659</v>
      </c>
      <c r="P999" s="33"/>
      <c r="Q999" s="36"/>
      <c r="R999" s="34"/>
      <c r="S999" s="38"/>
      <c r="T999" s="38" t="s">
        <v>12689</v>
      </c>
    </row>
    <row r="1000" spans="1:20" x14ac:dyDescent="0.25">
      <c r="A1000" s="33" t="s">
        <v>12002</v>
      </c>
      <c r="B1000" s="33" t="s">
        <v>12001</v>
      </c>
      <c r="C1000" s="33" t="s">
        <v>141</v>
      </c>
      <c r="D1000" s="34"/>
      <c r="E1000" s="33">
        <v>2021</v>
      </c>
      <c r="F1000" s="34"/>
      <c r="G1000" s="34"/>
      <c r="H1000" s="33" t="s">
        <v>12003</v>
      </c>
      <c r="I1000" s="44" t="s">
        <v>12774</v>
      </c>
      <c r="J1000" s="33">
        <v>2021</v>
      </c>
      <c r="K1000" s="33">
        <v>9781450385428</v>
      </c>
      <c r="L1000" s="33" t="s">
        <v>12010</v>
      </c>
      <c r="M1000" s="34"/>
      <c r="N1000" s="37" t="s">
        <v>12006</v>
      </c>
      <c r="O1000" s="33" t="s">
        <v>12007</v>
      </c>
      <c r="P1000" s="33" t="s">
        <v>12008</v>
      </c>
      <c r="Q1000" s="36"/>
      <c r="R1000" s="36"/>
      <c r="S1000" s="33" t="s">
        <v>12009</v>
      </c>
      <c r="T1000" s="33" t="s">
        <v>12692</v>
      </c>
    </row>
    <row r="1001" spans="1:20" x14ac:dyDescent="0.25">
      <c r="A1001" s="33" t="s">
        <v>3299</v>
      </c>
      <c r="B1001" s="33" t="s">
        <v>3298</v>
      </c>
      <c r="C1001" s="33" t="s">
        <v>141</v>
      </c>
      <c r="D1001" s="34"/>
      <c r="E1001" s="33">
        <v>2021</v>
      </c>
      <c r="F1001" s="33">
        <v>14</v>
      </c>
      <c r="G1001" s="34"/>
      <c r="H1001" s="33" t="s">
        <v>3300</v>
      </c>
      <c r="I1001" s="33" t="s">
        <v>3301</v>
      </c>
      <c r="J1001" s="33">
        <v>2021</v>
      </c>
      <c r="K1001" s="33">
        <v>9781713845393</v>
      </c>
      <c r="L1001" s="34"/>
      <c r="M1001" s="33" t="s">
        <v>3302</v>
      </c>
      <c r="N1001" s="37" t="s">
        <v>3303</v>
      </c>
      <c r="O1001" s="34"/>
      <c r="P1001" s="33" t="s">
        <v>3304</v>
      </c>
      <c r="Q1001" s="33" t="s">
        <v>157</v>
      </c>
      <c r="R1001" s="34"/>
      <c r="S1001" s="38"/>
      <c r="T1001" s="38" t="s">
        <v>12690</v>
      </c>
    </row>
    <row r="1002" spans="1:20" x14ac:dyDescent="0.25">
      <c r="A1002" s="33" t="s">
        <v>11493</v>
      </c>
      <c r="B1002" s="33" t="s">
        <v>3590</v>
      </c>
      <c r="C1002" s="33" t="s">
        <v>141</v>
      </c>
      <c r="D1002" s="34"/>
      <c r="E1002" s="33">
        <v>2022</v>
      </c>
      <c r="F1002" s="34"/>
      <c r="G1002" s="34"/>
      <c r="H1002" s="33" t="s">
        <v>11494</v>
      </c>
      <c r="I1002" s="44" t="s">
        <v>12775</v>
      </c>
      <c r="J1002" s="33">
        <v>2022</v>
      </c>
      <c r="K1002" s="33">
        <v>9781665403375</v>
      </c>
      <c r="L1002" s="33" t="s">
        <v>11498</v>
      </c>
      <c r="M1002" s="34"/>
      <c r="N1002" s="37" t="s">
        <v>11497</v>
      </c>
      <c r="O1002" s="33" t="s">
        <v>3594</v>
      </c>
      <c r="P1002" s="33" t="s">
        <v>6493</v>
      </c>
      <c r="Q1002" s="36"/>
      <c r="R1002" s="36"/>
      <c r="S1002" s="34"/>
      <c r="T1002" s="33" t="s">
        <v>12692</v>
      </c>
    </row>
    <row r="1003" spans="1:20" x14ac:dyDescent="0.25">
      <c r="A1003" s="33" t="s">
        <v>11493</v>
      </c>
      <c r="B1003" s="33" t="s">
        <v>3590</v>
      </c>
      <c r="C1003" s="33" t="s">
        <v>141</v>
      </c>
      <c r="D1003" s="34"/>
      <c r="E1003" s="33">
        <v>2021</v>
      </c>
      <c r="F1003" s="34"/>
      <c r="G1003" s="34"/>
      <c r="H1003" s="33" t="s">
        <v>6491</v>
      </c>
      <c r="I1003" s="33" t="s">
        <v>6189</v>
      </c>
      <c r="J1003" s="35">
        <v>44501</v>
      </c>
      <c r="K1003" s="36"/>
      <c r="L1003" s="36"/>
      <c r="M1003" s="33" t="s">
        <v>6190</v>
      </c>
      <c r="N1003" s="37" t="s">
        <v>6492</v>
      </c>
      <c r="O1003" s="33" t="s">
        <v>3594</v>
      </c>
      <c r="P1003" s="33" t="s">
        <v>6493</v>
      </c>
      <c r="Q1003" s="36"/>
      <c r="R1003" s="36"/>
      <c r="S1003" s="33" t="s">
        <v>6494</v>
      </c>
      <c r="T1003" s="38" t="s">
        <v>12688</v>
      </c>
    </row>
    <row r="1004" spans="1:20" x14ac:dyDescent="0.25">
      <c r="A1004" s="33" t="s">
        <v>11493</v>
      </c>
      <c r="B1004" s="33" t="s">
        <v>3590</v>
      </c>
      <c r="C1004" s="33" t="s">
        <v>141</v>
      </c>
      <c r="D1004" s="34"/>
      <c r="E1004" s="33">
        <v>2021</v>
      </c>
      <c r="F1004" s="34"/>
      <c r="G1004" s="34"/>
      <c r="H1004" s="33" t="s">
        <v>3592</v>
      </c>
      <c r="I1004" s="33" t="s">
        <v>257</v>
      </c>
      <c r="J1004" s="33">
        <v>2021</v>
      </c>
      <c r="K1004" s="33">
        <v>9781665403375</v>
      </c>
      <c r="L1004" s="34"/>
      <c r="M1004" s="34"/>
      <c r="N1004" s="37" t="s">
        <v>3593</v>
      </c>
      <c r="O1004" s="33" t="s">
        <v>3594</v>
      </c>
      <c r="P1004" s="33" t="s">
        <v>3595</v>
      </c>
      <c r="Q1004" s="33" t="s">
        <v>404</v>
      </c>
      <c r="R1004" s="34"/>
      <c r="S1004" s="38"/>
      <c r="T1004" s="38" t="s">
        <v>12690</v>
      </c>
    </row>
    <row r="1005" spans="1:20" x14ac:dyDescent="0.25">
      <c r="A1005" s="39" t="s">
        <v>570</v>
      </c>
      <c r="B1005" s="39" t="s">
        <v>9603</v>
      </c>
      <c r="C1005" s="39" t="s">
        <v>9478</v>
      </c>
      <c r="D1005" s="36"/>
      <c r="E1005" s="39">
        <v>2022</v>
      </c>
      <c r="F1005" s="39">
        <v>27</v>
      </c>
      <c r="G1005" s="39">
        <v>6</v>
      </c>
      <c r="H1005" s="36"/>
      <c r="I1005" s="39" t="s">
        <v>136</v>
      </c>
      <c r="J1005" s="36"/>
      <c r="K1005" s="36"/>
      <c r="L1005" s="36"/>
      <c r="M1005" s="34"/>
      <c r="N1005" s="41" t="s">
        <v>9604</v>
      </c>
      <c r="O1005" s="39" t="s">
        <v>572</v>
      </c>
      <c r="P1005" s="33"/>
      <c r="Q1005" s="36"/>
      <c r="R1005" s="34"/>
      <c r="S1005" s="38"/>
      <c r="T1005" s="38" t="s">
        <v>12689</v>
      </c>
    </row>
    <row r="1006" spans="1:20" x14ac:dyDescent="0.25">
      <c r="A1006" s="33" t="s">
        <v>570</v>
      </c>
      <c r="B1006" s="33" t="s">
        <v>569</v>
      </c>
      <c r="C1006" s="33" t="s">
        <v>13</v>
      </c>
      <c r="D1006" s="33" t="s">
        <v>136</v>
      </c>
      <c r="E1006" s="33">
        <v>2022</v>
      </c>
      <c r="F1006" s="33">
        <v>27</v>
      </c>
      <c r="G1006" s="33">
        <v>6</v>
      </c>
      <c r="H1006" s="34"/>
      <c r="I1006" s="33" t="s">
        <v>137</v>
      </c>
      <c r="J1006" s="33">
        <v>2022</v>
      </c>
      <c r="K1006" s="34"/>
      <c r="L1006" s="34"/>
      <c r="M1006" s="33" t="s">
        <v>33</v>
      </c>
      <c r="N1006" s="37" t="s">
        <v>571</v>
      </c>
      <c r="O1006" s="33" t="s">
        <v>572</v>
      </c>
      <c r="P1006" s="33" t="s">
        <v>573</v>
      </c>
      <c r="Q1006" s="33" t="s">
        <v>404</v>
      </c>
      <c r="R1006" s="34"/>
      <c r="S1006" s="38"/>
      <c r="T1006" s="38" t="s">
        <v>12690</v>
      </c>
    </row>
    <row r="1007" spans="1:20" x14ac:dyDescent="0.25">
      <c r="A1007" s="33" t="s">
        <v>4789</v>
      </c>
      <c r="B1007" s="33" t="s">
        <v>4788</v>
      </c>
      <c r="C1007" s="33" t="s">
        <v>13</v>
      </c>
      <c r="D1007" s="33" t="s">
        <v>4790</v>
      </c>
      <c r="E1007" s="33">
        <v>2020</v>
      </c>
      <c r="F1007" s="33">
        <v>2020</v>
      </c>
      <c r="G1007" s="33" t="s">
        <v>4791</v>
      </c>
      <c r="H1007" s="33" t="s">
        <v>4792</v>
      </c>
      <c r="I1007" s="33" t="s">
        <v>4793</v>
      </c>
      <c r="J1007" s="33">
        <v>2020</v>
      </c>
      <c r="K1007" s="34"/>
      <c r="L1007" s="34"/>
      <c r="M1007" s="33" t="s">
        <v>4794</v>
      </c>
      <c r="N1007" s="37" t="s">
        <v>4795</v>
      </c>
      <c r="O1007" s="34"/>
      <c r="P1007" s="33" t="s">
        <v>4796</v>
      </c>
      <c r="Q1007" s="33" t="s">
        <v>157</v>
      </c>
      <c r="R1007" s="34"/>
      <c r="S1007" s="38"/>
      <c r="T1007" s="38" t="s">
        <v>12690</v>
      </c>
    </row>
    <row r="1008" spans="1:20" x14ac:dyDescent="0.25">
      <c r="A1008" s="33" t="s">
        <v>7336</v>
      </c>
      <c r="B1008" s="33" t="s">
        <v>783</v>
      </c>
      <c r="C1008" s="33" t="s">
        <v>13</v>
      </c>
      <c r="D1008" s="33" t="s">
        <v>255</v>
      </c>
      <c r="E1008" s="33">
        <v>2022</v>
      </c>
      <c r="F1008" s="33">
        <v>48</v>
      </c>
      <c r="G1008" s="33">
        <v>7</v>
      </c>
      <c r="H1008" s="33" t="s">
        <v>7337</v>
      </c>
      <c r="I1008" s="34"/>
      <c r="J1008" s="43">
        <v>44743</v>
      </c>
      <c r="K1008" s="36"/>
      <c r="L1008" s="36"/>
      <c r="M1008" s="33" t="s">
        <v>6115</v>
      </c>
      <c r="N1008" s="37" t="s">
        <v>7338</v>
      </c>
      <c r="O1008" s="33" t="s">
        <v>787</v>
      </c>
      <c r="P1008" s="33" t="s">
        <v>7339</v>
      </c>
      <c r="Q1008" s="36"/>
      <c r="R1008" s="36"/>
      <c r="S1008" s="33" t="s">
        <v>7340</v>
      </c>
      <c r="T1008" s="38" t="s">
        <v>12688</v>
      </c>
    </row>
    <row r="1009" spans="1:20" x14ac:dyDescent="0.25">
      <c r="A1009" s="33" t="s">
        <v>7336</v>
      </c>
      <c r="B1009" s="33" t="s">
        <v>783</v>
      </c>
      <c r="C1009" s="33" t="s">
        <v>13</v>
      </c>
      <c r="D1009" s="33" t="s">
        <v>255</v>
      </c>
      <c r="E1009" s="33">
        <v>2022</v>
      </c>
      <c r="F1009" s="33">
        <v>48</v>
      </c>
      <c r="G1009" s="33">
        <v>7</v>
      </c>
      <c r="H1009" s="33" t="s">
        <v>785</v>
      </c>
      <c r="I1009" s="33" t="s">
        <v>257</v>
      </c>
      <c r="J1009" s="33">
        <v>2022</v>
      </c>
      <c r="K1009" s="34"/>
      <c r="L1009" s="34"/>
      <c r="M1009" s="33" t="s">
        <v>18</v>
      </c>
      <c r="N1009" s="37" t="s">
        <v>786</v>
      </c>
      <c r="O1009" s="33" t="s">
        <v>787</v>
      </c>
      <c r="P1009" s="33" t="s">
        <v>788</v>
      </c>
      <c r="Q1009" s="33" t="s">
        <v>176</v>
      </c>
      <c r="R1009" s="34"/>
      <c r="S1009" s="38"/>
      <c r="T1009" s="38" t="s">
        <v>12690</v>
      </c>
    </row>
    <row r="1010" spans="1:20" x14ac:dyDescent="0.25">
      <c r="A1010" s="33" t="s">
        <v>44</v>
      </c>
      <c r="B1010" s="33" t="s">
        <v>43</v>
      </c>
      <c r="C1010" s="33" t="s">
        <v>13</v>
      </c>
      <c r="D1010" s="33" t="s">
        <v>629</v>
      </c>
      <c r="E1010" s="33">
        <v>2023</v>
      </c>
      <c r="F1010" s="33">
        <v>17</v>
      </c>
      <c r="G1010" s="33">
        <v>3</v>
      </c>
      <c r="H1010" s="34"/>
      <c r="I1010" s="33" t="s">
        <v>630</v>
      </c>
      <c r="J1010" s="33">
        <v>2023</v>
      </c>
      <c r="K1010" s="34"/>
      <c r="L1010" s="34"/>
      <c r="M1010" s="33" t="s">
        <v>46</v>
      </c>
      <c r="N1010" s="37" t="s">
        <v>631</v>
      </c>
      <c r="O1010" s="33" t="s">
        <v>48</v>
      </c>
      <c r="P1010" s="33" t="s">
        <v>632</v>
      </c>
      <c r="Q1010" s="33" t="s">
        <v>157</v>
      </c>
      <c r="R1010" s="34"/>
      <c r="S1010" s="38"/>
      <c r="T1010" s="38" t="s">
        <v>12690</v>
      </c>
    </row>
    <row r="1011" spans="1:20" x14ac:dyDescent="0.25">
      <c r="A1011" s="33" t="s">
        <v>44</v>
      </c>
      <c r="B1011" s="33" t="s">
        <v>43</v>
      </c>
      <c r="C1011" s="33" t="s">
        <v>13</v>
      </c>
      <c r="D1011" s="33" t="s">
        <v>45</v>
      </c>
      <c r="E1011" s="33">
        <v>2023</v>
      </c>
      <c r="F1011" s="33">
        <v>17</v>
      </c>
      <c r="G1011" s="33">
        <v>3</v>
      </c>
      <c r="H1011" s="34"/>
      <c r="I1011" s="38" t="s">
        <v>12699</v>
      </c>
      <c r="J1011" s="43">
        <v>45078</v>
      </c>
      <c r="K1011" s="33" t="s">
        <v>46</v>
      </c>
      <c r="L1011" s="38" t="s">
        <v>12699</v>
      </c>
      <c r="M1011" s="38" t="s">
        <v>12699</v>
      </c>
      <c r="N1011" s="37" t="s">
        <v>47</v>
      </c>
      <c r="O1011" s="33" t="s">
        <v>48</v>
      </c>
      <c r="P1011" s="33" t="s">
        <v>49</v>
      </c>
      <c r="Q1011" s="38" t="s">
        <v>12699</v>
      </c>
      <c r="R1011" s="38" t="s">
        <v>12699</v>
      </c>
      <c r="S1011" s="38"/>
      <c r="T1011" s="38" t="s">
        <v>12700</v>
      </c>
    </row>
    <row r="1012" spans="1:20" x14ac:dyDescent="0.25">
      <c r="A1012" s="39" t="s">
        <v>44</v>
      </c>
      <c r="B1012" s="39" t="s">
        <v>9563</v>
      </c>
      <c r="C1012" s="39" t="s">
        <v>9478</v>
      </c>
      <c r="D1012" s="36"/>
      <c r="E1012" s="39">
        <v>2022</v>
      </c>
      <c r="F1012" s="39">
        <v>17</v>
      </c>
      <c r="G1012" s="39">
        <v>3</v>
      </c>
      <c r="H1012" s="36"/>
      <c r="I1012" s="39" t="s">
        <v>629</v>
      </c>
      <c r="J1012" s="36"/>
      <c r="K1012" s="36"/>
      <c r="L1012" s="36"/>
      <c r="M1012" s="34"/>
      <c r="N1012" s="41" t="s">
        <v>9564</v>
      </c>
      <c r="O1012" s="39" t="s">
        <v>48</v>
      </c>
      <c r="P1012" s="33"/>
      <c r="Q1012" s="36"/>
      <c r="R1012" s="34"/>
      <c r="S1012" s="38"/>
      <c r="T1012" s="38" t="s">
        <v>12689</v>
      </c>
    </row>
    <row r="1013" spans="1:20" x14ac:dyDescent="0.25">
      <c r="A1013" s="33" t="s">
        <v>6791</v>
      </c>
      <c r="B1013" s="33" t="s">
        <v>6790</v>
      </c>
      <c r="C1013" s="33" t="s">
        <v>13</v>
      </c>
      <c r="D1013" s="33" t="s">
        <v>255</v>
      </c>
      <c r="E1013" s="33">
        <v>2022</v>
      </c>
      <c r="F1013" s="34"/>
      <c r="G1013" s="34"/>
      <c r="H1013" s="42">
        <v>44941</v>
      </c>
      <c r="I1013" s="34"/>
      <c r="J1013" s="33">
        <v>2022</v>
      </c>
      <c r="K1013" s="36"/>
      <c r="L1013" s="36"/>
      <c r="M1013" s="33" t="s">
        <v>6115</v>
      </c>
      <c r="N1013" s="37" t="s">
        <v>6792</v>
      </c>
      <c r="O1013" s="33" t="s">
        <v>6793</v>
      </c>
      <c r="P1013" s="33" t="s">
        <v>6794</v>
      </c>
      <c r="Q1013" s="36"/>
      <c r="R1013" s="36"/>
      <c r="S1013" s="33" t="s">
        <v>6795</v>
      </c>
      <c r="T1013" s="38" t="s">
        <v>12688</v>
      </c>
    </row>
    <row r="1014" spans="1:20" x14ac:dyDescent="0.25">
      <c r="A1014" s="39" t="s">
        <v>10186</v>
      </c>
      <c r="B1014" s="39" t="s">
        <v>10188</v>
      </c>
      <c r="C1014" s="39" t="s">
        <v>9539</v>
      </c>
      <c r="D1014" s="36"/>
      <c r="E1014" s="39">
        <v>2022</v>
      </c>
      <c r="F1014" s="40"/>
      <c r="G1014" s="40"/>
      <c r="H1014" s="36"/>
      <c r="I1014" s="39" t="s">
        <v>9331</v>
      </c>
      <c r="J1014" s="36"/>
      <c r="K1014" s="36"/>
      <c r="L1014" s="36"/>
      <c r="M1014" s="34"/>
      <c r="N1014" s="41" t="s">
        <v>10189</v>
      </c>
      <c r="O1014" s="39" t="s">
        <v>10187</v>
      </c>
      <c r="P1014" s="33"/>
      <c r="Q1014" s="36"/>
      <c r="R1014" s="34"/>
      <c r="S1014" s="38"/>
      <c r="T1014" s="38" t="s">
        <v>12689</v>
      </c>
    </row>
    <row r="1015" spans="1:20" x14ac:dyDescent="0.25">
      <c r="A1015" s="39" t="s">
        <v>9531</v>
      </c>
      <c r="B1015" s="39" t="s">
        <v>9533</v>
      </c>
      <c r="C1015" s="39" t="s">
        <v>539</v>
      </c>
      <c r="D1015" s="36"/>
      <c r="E1015" s="39">
        <v>2022</v>
      </c>
      <c r="F1015" s="40"/>
      <c r="G1015" s="40"/>
      <c r="H1015" s="36"/>
      <c r="I1015" s="39" t="s">
        <v>2974</v>
      </c>
      <c r="J1015" s="36"/>
      <c r="K1015" s="36"/>
      <c r="L1015" s="36"/>
      <c r="M1015" s="34"/>
      <c r="N1015" s="41" t="s">
        <v>9534</v>
      </c>
      <c r="O1015" s="39" t="s">
        <v>9532</v>
      </c>
      <c r="P1015" s="33"/>
      <c r="Q1015" s="36"/>
      <c r="R1015" s="34"/>
      <c r="S1015" s="38"/>
      <c r="T1015" s="38" t="s">
        <v>12689</v>
      </c>
    </row>
    <row r="1016" spans="1:20" x14ac:dyDescent="0.25">
      <c r="A1016" s="39" t="s">
        <v>10790</v>
      </c>
      <c r="B1016" s="39" t="s">
        <v>9847</v>
      </c>
      <c r="C1016" s="39" t="s">
        <v>9539</v>
      </c>
      <c r="D1016" s="36"/>
      <c r="E1016" s="39">
        <v>2023</v>
      </c>
      <c r="F1016" s="40"/>
      <c r="G1016" s="40"/>
      <c r="H1016" s="36"/>
      <c r="I1016" s="39" t="s">
        <v>9845</v>
      </c>
      <c r="J1016" s="36"/>
      <c r="K1016" s="36"/>
      <c r="L1016" s="36"/>
      <c r="M1016" s="34"/>
      <c r="N1016" s="41" t="s">
        <v>10792</v>
      </c>
      <c r="O1016" s="39" t="s">
        <v>10791</v>
      </c>
      <c r="P1016" s="33"/>
      <c r="Q1016" s="36"/>
      <c r="R1016" s="34"/>
      <c r="S1016" s="38"/>
      <c r="T1016" s="38" t="s">
        <v>12689</v>
      </c>
    </row>
    <row r="1017" spans="1:20" x14ac:dyDescent="0.25">
      <c r="A1017" s="39" t="s">
        <v>9952</v>
      </c>
      <c r="B1017" s="39" t="s">
        <v>9954</v>
      </c>
      <c r="C1017" s="39" t="s">
        <v>9539</v>
      </c>
      <c r="D1017" s="36"/>
      <c r="E1017" s="39">
        <v>2020</v>
      </c>
      <c r="F1017" s="40"/>
      <c r="G1017" s="40"/>
      <c r="H1017" s="36"/>
      <c r="I1017" s="39" t="s">
        <v>9276</v>
      </c>
      <c r="J1017" s="36"/>
      <c r="K1017" s="36"/>
      <c r="L1017" s="36"/>
      <c r="M1017" s="34"/>
      <c r="N1017" s="41" t="s">
        <v>9955</v>
      </c>
      <c r="O1017" s="39" t="s">
        <v>9953</v>
      </c>
      <c r="P1017" s="33"/>
      <c r="Q1017" s="36"/>
      <c r="R1017" s="34"/>
      <c r="S1017" s="38"/>
      <c r="T1017" s="38" t="s">
        <v>12689</v>
      </c>
    </row>
    <row r="1018" spans="1:20" x14ac:dyDescent="0.25">
      <c r="A1018" s="33" t="s">
        <v>226</v>
      </c>
      <c r="B1018" s="33" t="s">
        <v>225</v>
      </c>
      <c r="C1018" s="33" t="s">
        <v>13</v>
      </c>
      <c r="D1018" s="33" t="s">
        <v>227</v>
      </c>
      <c r="E1018" s="33">
        <v>2022</v>
      </c>
      <c r="F1018" s="33">
        <v>12</v>
      </c>
      <c r="G1018" s="33">
        <v>19</v>
      </c>
      <c r="H1018" s="34"/>
      <c r="I1018" s="33" t="s">
        <v>228</v>
      </c>
      <c r="J1018" s="33">
        <v>2022</v>
      </c>
      <c r="K1018" s="34"/>
      <c r="L1018" s="34"/>
      <c r="M1018" s="33" t="s">
        <v>229</v>
      </c>
      <c r="N1018" s="37" t="s">
        <v>230</v>
      </c>
      <c r="O1018" s="33" t="s">
        <v>231</v>
      </c>
      <c r="P1018" s="33" t="s">
        <v>232</v>
      </c>
      <c r="Q1018" s="33" t="s">
        <v>233</v>
      </c>
      <c r="R1018" s="34"/>
      <c r="S1018" s="38"/>
      <c r="T1018" s="38" t="s">
        <v>12690</v>
      </c>
    </row>
    <row r="1019" spans="1:20" x14ac:dyDescent="0.25">
      <c r="A1019" s="33" t="s">
        <v>187</v>
      </c>
      <c r="B1019" s="33" t="s">
        <v>186</v>
      </c>
      <c r="C1019" s="33" t="s">
        <v>13</v>
      </c>
      <c r="D1019" s="33" t="s">
        <v>188</v>
      </c>
      <c r="E1019" s="33">
        <v>2022</v>
      </c>
      <c r="F1019" s="34"/>
      <c r="G1019" s="34"/>
      <c r="H1019" s="34"/>
      <c r="I1019" s="33" t="s">
        <v>189</v>
      </c>
      <c r="J1019" s="33">
        <v>2022</v>
      </c>
      <c r="K1019" s="34"/>
      <c r="L1019" s="34"/>
      <c r="M1019" s="33" t="s">
        <v>73</v>
      </c>
      <c r="N1019" s="37" t="s">
        <v>190</v>
      </c>
      <c r="O1019" s="33" t="s">
        <v>191</v>
      </c>
      <c r="P1019" s="33" t="s">
        <v>192</v>
      </c>
      <c r="Q1019" s="33" t="s">
        <v>157</v>
      </c>
      <c r="R1019" s="34"/>
      <c r="S1019" s="38"/>
      <c r="T1019" s="38" t="s">
        <v>12690</v>
      </c>
    </row>
    <row r="1020" spans="1:20" x14ac:dyDescent="0.25">
      <c r="A1020" s="33" t="s">
        <v>8270</v>
      </c>
      <c r="B1020" s="33" t="s">
        <v>8259</v>
      </c>
      <c r="C1020" s="33" t="s">
        <v>7972</v>
      </c>
      <c r="D1020" s="34"/>
      <c r="E1020" s="33">
        <v>2020</v>
      </c>
      <c r="F1020" s="34"/>
      <c r="G1020" s="34"/>
      <c r="H1020" s="33" t="s">
        <v>8275</v>
      </c>
      <c r="I1020" s="33" t="s">
        <v>12726</v>
      </c>
      <c r="J1020" s="33">
        <v>2020</v>
      </c>
      <c r="K1020" s="33">
        <v>9781119602507</v>
      </c>
      <c r="L1020" s="36"/>
      <c r="M1020" s="34"/>
      <c r="N1020" s="37" t="s">
        <v>8276</v>
      </c>
      <c r="O1020" s="33" t="s">
        <v>8277</v>
      </c>
      <c r="P1020" s="33" t="s">
        <v>8278</v>
      </c>
      <c r="Q1020" s="36"/>
      <c r="R1020" s="36"/>
      <c r="S1020" s="34"/>
      <c r="T1020" s="38" t="s">
        <v>12688</v>
      </c>
    </row>
    <row r="1021" spans="1:20" x14ac:dyDescent="0.25">
      <c r="A1021" s="33" t="s">
        <v>8270</v>
      </c>
      <c r="B1021" s="34"/>
      <c r="C1021" s="33" t="s">
        <v>7972</v>
      </c>
      <c r="D1021" s="34"/>
      <c r="E1021" s="33">
        <v>2020</v>
      </c>
      <c r="F1021" s="34"/>
      <c r="G1021" s="34"/>
      <c r="H1021" s="33" t="s">
        <v>8271</v>
      </c>
      <c r="I1021" s="33" t="s">
        <v>12714</v>
      </c>
      <c r="J1021" s="33">
        <v>2020</v>
      </c>
      <c r="K1021" s="33">
        <v>9781119513940</v>
      </c>
      <c r="L1021" s="36"/>
      <c r="M1021" s="34"/>
      <c r="N1021" s="37" t="s">
        <v>8272</v>
      </c>
      <c r="O1021" s="33" t="s">
        <v>8273</v>
      </c>
      <c r="P1021" s="33" t="s">
        <v>8274</v>
      </c>
      <c r="Q1021" s="36"/>
      <c r="R1021" s="36"/>
      <c r="S1021" s="34"/>
      <c r="T1021" s="38" t="s">
        <v>12688</v>
      </c>
    </row>
    <row r="1022" spans="1:20" x14ac:dyDescent="0.25">
      <c r="A1022" s="33" t="s">
        <v>3363</v>
      </c>
      <c r="B1022" s="33" t="s">
        <v>96</v>
      </c>
      <c r="C1022" s="33" t="s">
        <v>141</v>
      </c>
      <c r="D1022" s="34"/>
      <c r="E1022" s="33">
        <v>2022</v>
      </c>
      <c r="F1022" s="34"/>
      <c r="G1022" s="34"/>
      <c r="H1022" s="33" t="s">
        <v>12040</v>
      </c>
      <c r="I1022" s="44" t="s">
        <v>12775</v>
      </c>
      <c r="J1022" s="33">
        <v>2022</v>
      </c>
      <c r="K1022" s="33">
        <v>9781665403375</v>
      </c>
      <c r="L1022" s="33" t="s">
        <v>11498</v>
      </c>
      <c r="M1022" s="34"/>
      <c r="N1022" s="37" t="s">
        <v>12041</v>
      </c>
      <c r="O1022" s="33" t="s">
        <v>3366</v>
      </c>
      <c r="P1022" s="33" t="s">
        <v>12042</v>
      </c>
      <c r="Q1022" s="36"/>
      <c r="R1022" s="36"/>
      <c r="S1022" s="33" t="s">
        <v>12043</v>
      </c>
      <c r="T1022" s="33" t="s">
        <v>12692</v>
      </c>
    </row>
    <row r="1023" spans="1:20" x14ac:dyDescent="0.25">
      <c r="A1023" s="33" t="s">
        <v>3363</v>
      </c>
      <c r="B1023" s="33" t="s">
        <v>96</v>
      </c>
      <c r="C1023" s="33" t="s">
        <v>141</v>
      </c>
      <c r="D1023" s="34"/>
      <c r="E1023" s="33">
        <v>2021</v>
      </c>
      <c r="F1023" s="34"/>
      <c r="G1023" s="34"/>
      <c r="H1023" s="33" t="s">
        <v>7649</v>
      </c>
      <c r="I1023" s="33" t="s">
        <v>6189</v>
      </c>
      <c r="J1023" s="35">
        <v>44501</v>
      </c>
      <c r="K1023" s="36"/>
      <c r="L1023" s="36"/>
      <c r="M1023" s="33" t="s">
        <v>6190</v>
      </c>
      <c r="N1023" s="37" t="s">
        <v>7650</v>
      </c>
      <c r="O1023" s="33" t="s">
        <v>3366</v>
      </c>
      <c r="P1023" s="33" t="s">
        <v>7651</v>
      </c>
      <c r="Q1023" s="36"/>
      <c r="R1023" s="36"/>
      <c r="S1023" s="33" t="s">
        <v>7652</v>
      </c>
      <c r="T1023" s="38" t="s">
        <v>12688</v>
      </c>
    </row>
    <row r="1024" spans="1:20" x14ac:dyDescent="0.25">
      <c r="A1024" s="33" t="s">
        <v>3363</v>
      </c>
      <c r="B1024" s="33" t="s">
        <v>96</v>
      </c>
      <c r="C1024" s="33" t="s">
        <v>141</v>
      </c>
      <c r="D1024" s="34"/>
      <c r="E1024" s="33">
        <v>2021</v>
      </c>
      <c r="F1024" s="34"/>
      <c r="G1024" s="34"/>
      <c r="H1024" s="33" t="s">
        <v>3364</v>
      </c>
      <c r="I1024" s="33" t="s">
        <v>257</v>
      </c>
      <c r="J1024" s="33">
        <v>2021</v>
      </c>
      <c r="K1024" s="33">
        <v>9781665403375</v>
      </c>
      <c r="L1024" s="34"/>
      <c r="M1024" s="34"/>
      <c r="N1024" s="37" t="s">
        <v>3365</v>
      </c>
      <c r="O1024" s="33" t="s">
        <v>3366</v>
      </c>
      <c r="P1024" s="33" t="s">
        <v>3367</v>
      </c>
      <c r="Q1024" s="33" t="s">
        <v>157</v>
      </c>
      <c r="R1024" s="34"/>
      <c r="S1024" s="38"/>
      <c r="T1024" s="38" t="s">
        <v>12690</v>
      </c>
    </row>
    <row r="1025" spans="1:20" x14ac:dyDescent="0.25">
      <c r="A1025" s="33" t="s">
        <v>7952</v>
      </c>
      <c r="B1025" s="33" t="s">
        <v>7951</v>
      </c>
      <c r="C1025" s="33" t="s">
        <v>141</v>
      </c>
      <c r="D1025" s="34"/>
      <c r="E1025" s="33">
        <v>2021</v>
      </c>
      <c r="F1025" s="34"/>
      <c r="G1025" s="34"/>
      <c r="H1025" s="33" t="s">
        <v>7953</v>
      </c>
      <c r="I1025" s="33" t="s">
        <v>7954</v>
      </c>
      <c r="J1025" s="43">
        <v>44256</v>
      </c>
      <c r="K1025" s="36"/>
      <c r="L1025" s="36"/>
      <c r="M1025" s="34"/>
      <c r="N1025" s="37" t="s">
        <v>7955</v>
      </c>
      <c r="O1025" s="33" t="s">
        <v>7956</v>
      </c>
      <c r="P1025" s="33" t="s">
        <v>7957</v>
      </c>
      <c r="Q1025" s="36"/>
      <c r="R1025" s="36"/>
      <c r="S1025" s="33" t="s">
        <v>7958</v>
      </c>
      <c r="T1025" s="38" t="s">
        <v>12688</v>
      </c>
    </row>
    <row r="1026" spans="1:20" x14ac:dyDescent="0.25">
      <c r="A1026" s="39" t="s">
        <v>10040</v>
      </c>
      <c r="B1026" s="39" t="s">
        <v>10042</v>
      </c>
      <c r="C1026" s="39" t="s">
        <v>539</v>
      </c>
      <c r="D1026" s="36"/>
      <c r="E1026" s="39">
        <v>2021</v>
      </c>
      <c r="F1026" s="40"/>
      <c r="G1026" s="40"/>
      <c r="H1026" s="36"/>
      <c r="I1026" s="40"/>
      <c r="J1026" s="36"/>
      <c r="K1026" s="36"/>
      <c r="L1026" s="36"/>
      <c r="M1026" s="34"/>
      <c r="N1026" s="41" t="s">
        <v>10043</v>
      </c>
      <c r="O1026" s="39" t="s">
        <v>10041</v>
      </c>
      <c r="P1026" s="33"/>
      <c r="Q1026" s="36"/>
      <c r="R1026" s="34"/>
      <c r="S1026" s="38"/>
      <c r="T1026" s="38" t="s">
        <v>12689</v>
      </c>
    </row>
    <row r="1027" spans="1:20" x14ac:dyDescent="0.25">
      <c r="A1027" s="33" t="s">
        <v>6028</v>
      </c>
      <c r="B1027" s="33" t="s">
        <v>6027</v>
      </c>
      <c r="C1027" s="33" t="s">
        <v>13</v>
      </c>
      <c r="D1027" s="33" t="s">
        <v>6029</v>
      </c>
      <c r="E1027" s="33">
        <v>2016</v>
      </c>
      <c r="F1027" s="33">
        <v>3</v>
      </c>
      <c r="G1027" s="33" t="s">
        <v>6030</v>
      </c>
      <c r="H1027" s="34"/>
      <c r="I1027" s="33" t="s">
        <v>891</v>
      </c>
      <c r="J1027" s="33">
        <v>2016</v>
      </c>
      <c r="K1027" s="34"/>
      <c r="L1027" s="34"/>
      <c r="M1027" s="33" t="s">
        <v>6031</v>
      </c>
      <c r="N1027" s="37" t="s">
        <v>6032</v>
      </c>
      <c r="O1027" s="33" t="s">
        <v>6033</v>
      </c>
      <c r="P1027" s="33" t="s">
        <v>6034</v>
      </c>
      <c r="Q1027" s="33" t="s">
        <v>6035</v>
      </c>
      <c r="R1027" s="34"/>
      <c r="S1027" s="38"/>
      <c r="T1027" s="38" t="s">
        <v>12690</v>
      </c>
    </row>
    <row r="1028" spans="1:20" x14ac:dyDescent="0.25">
      <c r="A1028" s="39" t="s">
        <v>10205</v>
      </c>
      <c r="B1028" s="39" t="s">
        <v>10207</v>
      </c>
      <c r="C1028" s="39" t="s">
        <v>539</v>
      </c>
      <c r="D1028" s="36"/>
      <c r="E1028" s="39">
        <v>2022</v>
      </c>
      <c r="F1028" s="40"/>
      <c r="G1028" s="40"/>
      <c r="H1028" s="36"/>
      <c r="I1028" s="39" t="s">
        <v>10204</v>
      </c>
      <c r="J1028" s="36"/>
      <c r="K1028" s="36"/>
      <c r="L1028" s="36"/>
      <c r="M1028" s="34"/>
      <c r="N1028" s="41" t="s">
        <v>10208</v>
      </c>
      <c r="O1028" s="39" t="s">
        <v>10206</v>
      </c>
      <c r="P1028" s="33"/>
      <c r="Q1028" s="36"/>
      <c r="R1028" s="34"/>
      <c r="S1028" s="38"/>
      <c r="T1028" s="38" t="s">
        <v>12689</v>
      </c>
    </row>
    <row r="1029" spans="1:20" x14ac:dyDescent="0.25">
      <c r="A1029" s="33" t="s">
        <v>5033</v>
      </c>
      <c r="B1029" s="33" t="s">
        <v>5032</v>
      </c>
      <c r="C1029" s="33" t="s">
        <v>539</v>
      </c>
      <c r="D1029" s="34"/>
      <c r="E1029" s="33">
        <v>2019</v>
      </c>
      <c r="F1029" s="34"/>
      <c r="G1029" s="34"/>
      <c r="H1029" s="34"/>
      <c r="I1029" s="33" t="s">
        <v>5034</v>
      </c>
      <c r="J1029" s="33">
        <v>2019</v>
      </c>
      <c r="K1029" s="33">
        <v>9783658199388</v>
      </c>
      <c r="L1029" s="33">
        <v>9783658199371</v>
      </c>
      <c r="M1029" s="34"/>
      <c r="N1029" s="37" t="s">
        <v>5035</v>
      </c>
      <c r="O1029" s="33" t="s">
        <v>5036</v>
      </c>
      <c r="P1029" s="33" t="s">
        <v>5037</v>
      </c>
      <c r="Q1029" s="33" t="s">
        <v>818</v>
      </c>
      <c r="R1029" s="33" t="s">
        <v>5038</v>
      </c>
      <c r="S1029" s="38"/>
      <c r="T1029" s="38" t="s">
        <v>12690</v>
      </c>
    </row>
    <row r="1030" spans="1:20" x14ac:dyDescent="0.25">
      <c r="A1030" s="33" t="s">
        <v>12480</v>
      </c>
      <c r="B1030" s="33" t="s">
        <v>12479</v>
      </c>
      <c r="C1030" s="33" t="s">
        <v>141</v>
      </c>
      <c r="D1030" s="34"/>
      <c r="E1030" s="33">
        <v>2021</v>
      </c>
      <c r="F1030" s="34"/>
      <c r="G1030" s="34"/>
      <c r="H1030" s="33" t="s">
        <v>11390</v>
      </c>
      <c r="I1030" s="44" t="s">
        <v>12746</v>
      </c>
      <c r="J1030" s="33">
        <v>2021</v>
      </c>
      <c r="K1030" s="33">
        <v>9781450386586</v>
      </c>
      <c r="L1030" s="33" t="s">
        <v>11659</v>
      </c>
      <c r="M1030" s="34"/>
      <c r="N1030" s="37" t="s">
        <v>12481</v>
      </c>
      <c r="O1030" s="33" t="s">
        <v>12482</v>
      </c>
      <c r="P1030" s="33" t="s">
        <v>12483</v>
      </c>
      <c r="Q1030" s="36"/>
      <c r="R1030" s="36"/>
      <c r="S1030" s="33" t="s">
        <v>12484</v>
      </c>
      <c r="T1030" s="33" t="s">
        <v>12692</v>
      </c>
    </row>
    <row r="1031" spans="1:20" x14ac:dyDescent="0.25">
      <c r="A1031" s="33" t="s">
        <v>8637</v>
      </c>
      <c r="B1031" s="33" t="s">
        <v>8636</v>
      </c>
      <c r="C1031" s="33" t="s">
        <v>13</v>
      </c>
      <c r="D1031" s="33" t="s">
        <v>354</v>
      </c>
      <c r="E1031" s="33">
        <v>2020</v>
      </c>
      <c r="F1031" s="33">
        <v>159</v>
      </c>
      <c r="G1031" s="36"/>
      <c r="H1031" s="33">
        <v>110424</v>
      </c>
      <c r="I1031" s="36"/>
      <c r="J1031" s="33">
        <v>2020</v>
      </c>
      <c r="K1031" s="34"/>
      <c r="L1031" s="34"/>
      <c r="M1031" s="33" t="s">
        <v>65</v>
      </c>
      <c r="N1031" s="37" t="s">
        <v>8638</v>
      </c>
      <c r="O1031" s="33" t="s">
        <v>8639</v>
      </c>
      <c r="P1031" s="33" t="s">
        <v>8640</v>
      </c>
      <c r="Q1031" s="36"/>
      <c r="R1031" s="36"/>
      <c r="S1031" s="33" t="s">
        <v>8641</v>
      </c>
      <c r="T1031" s="38" t="s">
        <v>12693</v>
      </c>
    </row>
    <row r="1032" spans="1:20" x14ac:dyDescent="0.25">
      <c r="A1032" s="33" t="s">
        <v>4411</v>
      </c>
      <c r="B1032" s="33" t="s">
        <v>4410</v>
      </c>
      <c r="C1032" s="33" t="s">
        <v>141</v>
      </c>
      <c r="D1032" s="34"/>
      <c r="E1032" s="33">
        <v>2020</v>
      </c>
      <c r="F1032" s="34"/>
      <c r="G1032" s="34"/>
      <c r="H1032" s="33" t="s">
        <v>4412</v>
      </c>
      <c r="I1032" s="33" t="s">
        <v>3109</v>
      </c>
      <c r="J1032" s="33">
        <v>2020</v>
      </c>
      <c r="K1032" s="33">
        <v>9789897584213</v>
      </c>
      <c r="L1032" s="34"/>
      <c r="M1032" s="34"/>
      <c r="N1032" s="37" t="s">
        <v>4413</v>
      </c>
      <c r="O1032" s="34"/>
      <c r="P1032" s="33" t="s">
        <v>4414</v>
      </c>
      <c r="Q1032" s="33" t="s">
        <v>318</v>
      </c>
      <c r="R1032" s="34"/>
      <c r="S1032" s="38"/>
      <c r="T1032" s="38" t="s">
        <v>12690</v>
      </c>
    </row>
    <row r="1033" spans="1:20" x14ac:dyDescent="0.25">
      <c r="A1033" s="33" t="s">
        <v>2221</v>
      </c>
      <c r="B1033" s="33" t="s">
        <v>2220</v>
      </c>
      <c r="C1033" s="33" t="s">
        <v>141</v>
      </c>
      <c r="D1033" s="34"/>
      <c r="E1033" s="33">
        <v>2022</v>
      </c>
      <c r="F1033" s="34"/>
      <c r="G1033" s="34"/>
      <c r="H1033" s="33" t="s">
        <v>7721</v>
      </c>
      <c r="I1033" s="33" t="s">
        <v>6592</v>
      </c>
      <c r="J1033" s="43">
        <v>44621</v>
      </c>
      <c r="K1033" s="36"/>
      <c r="L1033" s="36"/>
      <c r="M1033" s="33" t="s">
        <v>6593</v>
      </c>
      <c r="N1033" s="37" t="s">
        <v>7722</v>
      </c>
      <c r="O1033" s="33" t="s">
        <v>2224</v>
      </c>
      <c r="P1033" s="33" t="s">
        <v>7723</v>
      </c>
      <c r="Q1033" s="36"/>
      <c r="R1033" s="36"/>
      <c r="S1033" s="33" t="s">
        <v>7724</v>
      </c>
      <c r="T1033" s="38" t="s">
        <v>12688</v>
      </c>
    </row>
    <row r="1034" spans="1:20" x14ac:dyDescent="0.25">
      <c r="A1034" s="33" t="s">
        <v>2221</v>
      </c>
      <c r="B1034" s="33" t="s">
        <v>2220</v>
      </c>
      <c r="C1034" s="33" t="s">
        <v>141</v>
      </c>
      <c r="D1034" s="34"/>
      <c r="E1034" s="33">
        <v>2022</v>
      </c>
      <c r="F1034" s="34"/>
      <c r="G1034" s="34"/>
      <c r="H1034" s="33" t="s">
        <v>2222</v>
      </c>
      <c r="I1034" s="33" t="s">
        <v>257</v>
      </c>
      <c r="J1034" s="33">
        <v>2022</v>
      </c>
      <c r="K1034" s="33">
        <v>9781665437868</v>
      </c>
      <c r="L1034" s="34"/>
      <c r="M1034" s="34"/>
      <c r="N1034" s="37" t="s">
        <v>2223</v>
      </c>
      <c r="O1034" s="33" t="s">
        <v>2224</v>
      </c>
      <c r="P1034" s="33" t="s">
        <v>2225</v>
      </c>
      <c r="Q1034" s="33" t="s">
        <v>318</v>
      </c>
      <c r="R1034" s="34"/>
      <c r="S1034" s="38"/>
      <c r="T1034" s="38" t="s">
        <v>12690</v>
      </c>
    </row>
    <row r="1035" spans="1:20" x14ac:dyDescent="0.25">
      <c r="A1035" s="39" t="s">
        <v>10006</v>
      </c>
      <c r="B1035" s="39" t="s">
        <v>10008</v>
      </c>
      <c r="C1035" s="39" t="s">
        <v>9539</v>
      </c>
      <c r="D1035" s="36"/>
      <c r="E1035" s="39">
        <v>2022</v>
      </c>
      <c r="F1035" s="40"/>
      <c r="G1035" s="40"/>
      <c r="H1035" s="36"/>
      <c r="I1035" s="39" t="s">
        <v>9403</v>
      </c>
      <c r="J1035" s="36"/>
      <c r="K1035" s="36"/>
      <c r="L1035" s="36"/>
      <c r="M1035" s="34"/>
      <c r="N1035" s="41" t="s">
        <v>10009</v>
      </c>
      <c r="O1035" s="39" t="s">
        <v>10007</v>
      </c>
      <c r="P1035" s="33"/>
      <c r="Q1035" s="36"/>
      <c r="R1035" s="34"/>
      <c r="S1035" s="38"/>
      <c r="T1035" s="38" t="s">
        <v>12689</v>
      </c>
    </row>
    <row r="1036" spans="1:20" x14ac:dyDescent="0.25">
      <c r="A1036" s="33" t="s">
        <v>7116</v>
      </c>
      <c r="B1036" s="33" t="s">
        <v>7115</v>
      </c>
      <c r="C1036" s="33" t="s">
        <v>141</v>
      </c>
      <c r="D1036" s="34"/>
      <c r="E1036" s="33">
        <v>2021</v>
      </c>
      <c r="F1036" s="34"/>
      <c r="G1036" s="34"/>
      <c r="H1036" s="33" t="s">
        <v>7117</v>
      </c>
      <c r="I1036" s="33" t="s">
        <v>7118</v>
      </c>
      <c r="J1036" s="35">
        <v>44501</v>
      </c>
      <c r="K1036" s="36"/>
      <c r="L1036" s="36"/>
      <c r="M1036" s="33" t="s">
        <v>7119</v>
      </c>
      <c r="N1036" s="37" t="s">
        <v>7120</v>
      </c>
      <c r="O1036" s="33" t="s">
        <v>7121</v>
      </c>
      <c r="P1036" s="33" t="s">
        <v>7122</v>
      </c>
      <c r="Q1036" s="36"/>
      <c r="R1036" s="36"/>
      <c r="S1036" s="33" t="s">
        <v>7123</v>
      </c>
      <c r="T1036" s="38" t="s">
        <v>12688</v>
      </c>
    </row>
    <row r="1037" spans="1:20" x14ac:dyDescent="0.25">
      <c r="A1037" s="39" t="s">
        <v>10668</v>
      </c>
      <c r="B1037" s="39" t="s">
        <v>10670</v>
      </c>
      <c r="C1037" s="39" t="s">
        <v>9478</v>
      </c>
      <c r="D1037" s="36"/>
      <c r="E1037" s="39">
        <v>2022</v>
      </c>
      <c r="F1037" s="39">
        <v>27</v>
      </c>
      <c r="G1037" s="39">
        <v>5</v>
      </c>
      <c r="H1037" s="36"/>
      <c r="I1037" s="39" t="s">
        <v>136</v>
      </c>
      <c r="J1037" s="36"/>
      <c r="K1037" s="36"/>
      <c r="L1037" s="36"/>
      <c r="M1037" s="34"/>
      <c r="N1037" s="41" t="s">
        <v>10671</v>
      </c>
      <c r="O1037" s="39" t="s">
        <v>10669</v>
      </c>
      <c r="P1037" s="33"/>
      <c r="Q1037" s="36"/>
      <c r="R1037" s="34"/>
      <c r="S1037" s="38"/>
      <c r="T1037" s="38" t="s">
        <v>12689</v>
      </c>
    </row>
    <row r="1038" spans="1:20" x14ac:dyDescent="0.25">
      <c r="A1038" s="33" t="s">
        <v>2456</v>
      </c>
      <c r="B1038" s="33" t="s">
        <v>2455</v>
      </c>
      <c r="C1038" s="33" t="s">
        <v>13</v>
      </c>
      <c r="D1038" s="33" t="s">
        <v>1161</v>
      </c>
      <c r="E1038" s="33">
        <v>2021</v>
      </c>
      <c r="F1038" s="33">
        <v>9</v>
      </c>
      <c r="G1038" s="33">
        <v>21</v>
      </c>
      <c r="H1038" s="34"/>
      <c r="I1038" s="33" t="s">
        <v>228</v>
      </c>
      <c r="J1038" s="33">
        <v>2021</v>
      </c>
      <c r="K1038" s="34"/>
      <c r="L1038" s="34"/>
      <c r="M1038" s="33" t="s">
        <v>1162</v>
      </c>
      <c r="N1038" s="37" t="s">
        <v>2457</v>
      </c>
      <c r="O1038" s="33" t="s">
        <v>2458</v>
      </c>
      <c r="P1038" s="33" t="s">
        <v>2459</v>
      </c>
      <c r="Q1038" s="33" t="s">
        <v>233</v>
      </c>
      <c r="R1038" s="34"/>
      <c r="S1038" s="38"/>
      <c r="T1038" s="38" t="s">
        <v>12690</v>
      </c>
    </row>
    <row r="1039" spans="1:20" x14ac:dyDescent="0.25">
      <c r="A1039" s="39" t="s">
        <v>10234</v>
      </c>
      <c r="B1039" s="39" t="s">
        <v>10236</v>
      </c>
      <c r="C1039" s="39" t="s">
        <v>9478</v>
      </c>
      <c r="D1039" s="36"/>
      <c r="E1039" s="39">
        <v>2020</v>
      </c>
      <c r="F1039" s="39">
        <v>88</v>
      </c>
      <c r="G1039" s="39">
        <v>1</v>
      </c>
      <c r="H1039" s="36"/>
      <c r="I1039" s="39" t="s">
        <v>10233</v>
      </c>
      <c r="J1039" s="36"/>
      <c r="K1039" s="36"/>
      <c r="L1039" s="36"/>
      <c r="M1039" s="34"/>
      <c r="N1039" s="41" t="s">
        <v>10237</v>
      </c>
      <c r="O1039" s="39" t="s">
        <v>10235</v>
      </c>
      <c r="P1039" s="33"/>
      <c r="Q1039" s="36"/>
      <c r="R1039" s="34"/>
      <c r="S1039" s="38"/>
      <c r="T1039" s="38" t="s">
        <v>12689</v>
      </c>
    </row>
    <row r="1040" spans="1:20" x14ac:dyDescent="0.25">
      <c r="A1040" s="39" t="s">
        <v>10764</v>
      </c>
      <c r="B1040" s="39" t="s">
        <v>10766</v>
      </c>
      <c r="C1040" s="39" t="s">
        <v>539</v>
      </c>
      <c r="D1040" s="36"/>
      <c r="E1040" s="39">
        <v>2019</v>
      </c>
      <c r="F1040" s="40"/>
      <c r="G1040" s="40"/>
      <c r="H1040" s="36"/>
      <c r="I1040" s="40"/>
      <c r="J1040" s="36"/>
      <c r="K1040" s="36"/>
      <c r="L1040" s="36"/>
      <c r="M1040" s="34"/>
      <c r="N1040" s="41" t="s">
        <v>10767</v>
      </c>
      <c r="O1040" s="39" t="s">
        <v>10765</v>
      </c>
      <c r="P1040" s="33"/>
      <c r="Q1040" s="36"/>
      <c r="R1040" s="34"/>
      <c r="S1040" s="38"/>
      <c r="T1040" s="38" t="s">
        <v>12689</v>
      </c>
    </row>
    <row r="1041" spans="1:20" x14ac:dyDescent="0.25">
      <c r="A1041" s="39" t="s">
        <v>10471</v>
      </c>
      <c r="B1041" s="39" t="s">
        <v>10473</v>
      </c>
      <c r="C1041" s="39" t="s">
        <v>9478</v>
      </c>
      <c r="D1041" s="36"/>
      <c r="E1041" s="39">
        <v>2021</v>
      </c>
      <c r="F1041" s="39">
        <v>27</v>
      </c>
      <c r="G1041" s="39">
        <v>1</v>
      </c>
      <c r="H1041" s="36"/>
      <c r="I1041" s="39" t="s">
        <v>136</v>
      </c>
      <c r="J1041" s="36"/>
      <c r="K1041" s="36"/>
      <c r="L1041" s="36"/>
      <c r="M1041" s="34"/>
      <c r="N1041" s="41" t="s">
        <v>10474</v>
      </c>
      <c r="O1041" s="39" t="s">
        <v>10472</v>
      </c>
      <c r="P1041" s="33"/>
      <c r="Q1041" s="36"/>
      <c r="R1041" s="34"/>
      <c r="S1041" s="38"/>
      <c r="T1041" s="38" t="s">
        <v>12689</v>
      </c>
    </row>
    <row r="1042" spans="1:20" x14ac:dyDescent="0.25">
      <c r="A1042" s="33" t="s">
        <v>6341</v>
      </c>
      <c r="B1042" s="33" t="s">
        <v>6340</v>
      </c>
      <c r="C1042" s="33" t="s">
        <v>13</v>
      </c>
      <c r="D1042" s="33" t="s">
        <v>4637</v>
      </c>
      <c r="E1042" s="33">
        <v>2017</v>
      </c>
      <c r="F1042" s="33">
        <v>34</v>
      </c>
      <c r="G1042" s="33">
        <v>2</v>
      </c>
      <c r="H1042" s="33" t="s">
        <v>6342</v>
      </c>
      <c r="I1042" s="34"/>
      <c r="J1042" s="43">
        <v>42795</v>
      </c>
      <c r="K1042" s="36"/>
      <c r="L1042" s="36"/>
      <c r="M1042" s="33" t="s">
        <v>6207</v>
      </c>
      <c r="N1042" s="37" t="s">
        <v>6343</v>
      </c>
      <c r="O1042" s="33" t="s">
        <v>6344</v>
      </c>
      <c r="P1042" s="33" t="s">
        <v>6345</v>
      </c>
      <c r="Q1042" s="36"/>
      <c r="R1042" s="36"/>
      <c r="S1042" s="33" t="s">
        <v>6346</v>
      </c>
      <c r="T1042" s="38" t="s">
        <v>12688</v>
      </c>
    </row>
    <row r="1043" spans="1:20" x14ac:dyDescent="0.25">
      <c r="A1043" s="33" t="s">
        <v>2398</v>
      </c>
      <c r="B1043" s="33" t="s">
        <v>728</v>
      </c>
      <c r="C1043" s="33" t="s">
        <v>141</v>
      </c>
      <c r="D1043" s="34"/>
      <c r="E1043" s="33">
        <v>2022</v>
      </c>
      <c r="F1043" s="34"/>
      <c r="G1043" s="34"/>
      <c r="H1043" s="33" t="s">
        <v>2399</v>
      </c>
      <c r="I1043" s="33" t="s">
        <v>257</v>
      </c>
      <c r="J1043" s="33">
        <v>2022</v>
      </c>
      <c r="K1043" s="33">
        <v>9781450393034</v>
      </c>
      <c r="L1043" s="34"/>
      <c r="M1043" s="34"/>
      <c r="N1043" s="37" t="s">
        <v>2400</v>
      </c>
      <c r="O1043" s="33" t="s">
        <v>2401</v>
      </c>
      <c r="P1043" s="33" t="s">
        <v>2402</v>
      </c>
      <c r="Q1043" s="33" t="s">
        <v>149</v>
      </c>
      <c r="R1043" s="34"/>
      <c r="S1043" s="38"/>
      <c r="T1043" s="38" t="s">
        <v>12690</v>
      </c>
    </row>
    <row r="1044" spans="1:20" x14ac:dyDescent="0.25">
      <c r="A1044" s="33" t="s">
        <v>12776</v>
      </c>
      <c r="B1044" s="33" t="s">
        <v>596</v>
      </c>
      <c r="C1044" s="33" t="s">
        <v>13</v>
      </c>
      <c r="D1044" s="33" t="s">
        <v>598</v>
      </c>
      <c r="E1044" s="33">
        <v>2022</v>
      </c>
      <c r="F1044" s="33">
        <v>33</v>
      </c>
      <c r="G1044" s="33">
        <v>11</v>
      </c>
      <c r="H1044" s="33" t="s">
        <v>599</v>
      </c>
      <c r="I1044" s="33" t="s">
        <v>600</v>
      </c>
      <c r="J1044" s="33">
        <v>2022</v>
      </c>
      <c r="K1044" s="34"/>
      <c r="L1044" s="34"/>
      <c r="M1044" s="33" t="s">
        <v>601</v>
      </c>
      <c r="N1044" s="37" t="s">
        <v>602</v>
      </c>
      <c r="O1044" s="33" t="s">
        <v>603</v>
      </c>
      <c r="P1044" s="33" t="s">
        <v>604</v>
      </c>
      <c r="Q1044" s="33" t="s">
        <v>157</v>
      </c>
      <c r="R1044" s="34"/>
      <c r="S1044" s="38"/>
      <c r="T1044" s="38" t="s">
        <v>12690</v>
      </c>
    </row>
    <row r="1045" spans="1:20" x14ac:dyDescent="0.25">
      <c r="A1045" s="33" t="s">
        <v>6199</v>
      </c>
      <c r="B1045" s="33" t="s">
        <v>6198</v>
      </c>
      <c r="C1045" s="33" t="s">
        <v>141</v>
      </c>
      <c r="D1045" s="34"/>
      <c r="E1045" s="33">
        <v>2016</v>
      </c>
      <c r="F1045" s="34"/>
      <c r="G1045" s="34"/>
      <c r="H1045" s="33" t="s">
        <v>11068</v>
      </c>
      <c r="I1045" s="44" t="s">
        <v>12777</v>
      </c>
      <c r="J1045" s="33">
        <v>2016</v>
      </c>
      <c r="K1045" s="33">
        <v>9781450341868</v>
      </c>
      <c r="L1045" s="33" t="s">
        <v>11074</v>
      </c>
      <c r="M1045" s="34"/>
      <c r="N1045" s="37" t="s">
        <v>11071</v>
      </c>
      <c r="O1045" s="33" t="s">
        <v>11072</v>
      </c>
      <c r="P1045" s="33" t="s">
        <v>6202</v>
      </c>
      <c r="Q1045" s="36"/>
      <c r="R1045" s="36"/>
      <c r="S1045" s="33" t="s">
        <v>11073</v>
      </c>
      <c r="T1045" s="33" t="s">
        <v>12692</v>
      </c>
    </row>
    <row r="1046" spans="1:20" x14ac:dyDescent="0.25">
      <c r="A1046" s="33" t="s">
        <v>6199</v>
      </c>
      <c r="B1046" s="33" t="s">
        <v>6198</v>
      </c>
      <c r="C1046" s="33" t="s">
        <v>141</v>
      </c>
      <c r="D1046" s="34"/>
      <c r="E1046" s="33">
        <v>2016</v>
      </c>
      <c r="F1046" s="34"/>
      <c r="G1046" s="34"/>
      <c r="H1046" s="33" t="s">
        <v>6200</v>
      </c>
      <c r="I1046" s="33" t="s">
        <v>6201</v>
      </c>
      <c r="J1046" s="43">
        <v>42491</v>
      </c>
      <c r="K1046" s="36"/>
      <c r="L1046" s="36"/>
      <c r="M1046" s="34"/>
      <c r="N1046" s="34"/>
      <c r="O1046" s="34"/>
      <c r="P1046" s="33" t="s">
        <v>6202</v>
      </c>
      <c r="Q1046" s="36"/>
      <c r="R1046" s="36"/>
      <c r="S1046" s="33" t="s">
        <v>6203</v>
      </c>
      <c r="T1046" s="38" t="s">
        <v>12688</v>
      </c>
    </row>
    <row r="1047" spans="1:20" x14ac:dyDescent="0.25">
      <c r="A1047" s="33" t="s">
        <v>12540</v>
      </c>
      <c r="B1047" s="34"/>
      <c r="C1047" s="33" t="s">
        <v>539</v>
      </c>
      <c r="D1047" s="34"/>
      <c r="E1047" s="33">
        <v>2022</v>
      </c>
      <c r="F1047" s="34"/>
      <c r="G1047" s="34"/>
      <c r="H1047" s="34"/>
      <c r="I1047" s="44" t="s">
        <v>12710</v>
      </c>
      <c r="J1047" s="33">
        <v>2022</v>
      </c>
      <c r="K1047" s="33">
        <v>9781450399203</v>
      </c>
      <c r="L1047" s="34"/>
      <c r="M1047" s="34"/>
      <c r="N1047" s="34"/>
      <c r="O1047" s="34"/>
      <c r="P1047" s="33" t="s">
        <v>12542</v>
      </c>
      <c r="Q1047" s="36"/>
      <c r="R1047" s="36"/>
      <c r="S1047" s="34"/>
      <c r="T1047" s="33" t="s">
        <v>12692</v>
      </c>
    </row>
    <row r="1048" spans="1:20" x14ac:dyDescent="0.25">
      <c r="A1048" s="33" t="s">
        <v>12342</v>
      </c>
      <c r="B1048" s="33" t="s">
        <v>12341</v>
      </c>
      <c r="C1048" s="33" t="s">
        <v>141</v>
      </c>
      <c r="D1048" s="34"/>
      <c r="E1048" s="33">
        <v>2020</v>
      </c>
      <c r="F1048" s="34"/>
      <c r="G1048" s="34"/>
      <c r="H1048" s="33" t="s">
        <v>12343</v>
      </c>
      <c r="I1048" s="44" t="s">
        <v>12727</v>
      </c>
      <c r="J1048" s="33">
        <v>2020</v>
      </c>
      <c r="K1048" s="33">
        <v>9781450370431</v>
      </c>
      <c r="L1048" s="33" t="s">
        <v>12092</v>
      </c>
      <c r="M1048" s="34"/>
      <c r="N1048" s="37" t="s">
        <v>12344</v>
      </c>
      <c r="O1048" s="33" t="s">
        <v>12345</v>
      </c>
      <c r="P1048" s="33" t="s">
        <v>12346</v>
      </c>
      <c r="Q1048" s="36"/>
      <c r="R1048" s="36"/>
      <c r="S1048" s="33" t="s">
        <v>12347</v>
      </c>
      <c r="T1048" s="33" t="s">
        <v>12692</v>
      </c>
    </row>
    <row r="1049" spans="1:20" x14ac:dyDescent="0.25">
      <c r="A1049" s="33" t="s">
        <v>1326</v>
      </c>
      <c r="B1049" s="33" t="s">
        <v>1325</v>
      </c>
      <c r="C1049" s="33" t="s">
        <v>13</v>
      </c>
      <c r="D1049" s="33" t="s">
        <v>354</v>
      </c>
      <c r="E1049" s="33">
        <v>2022</v>
      </c>
      <c r="F1049" s="33">
        <v>190</v>
      </c>
      <c r="G1049" s="34"/>
      <c r="H1049" s="34"/>
      <c r="I1049" s="33" t="s">
        <v>355</v>
      </c>
      <c r="J1049" s="33">
        <v>2022</v>
      </c>
      <c r="K1049" s="34"/>
      <c r="L1049" s="34"/>
      <c r="M1049" s="33" t="s">
        <v>65</v>
      </c>
      <c r="N1049" s="37" t="s">
        <v>1327</v>
      </c>
      <c r="O1049" s="33" t="s">
        <v>1328</v>
      </c>
      <c r="P1049" s="33" t="s">
        <v>1329</v>
      </c>
      <c r="Q1049" s="33" t="s">
        <v>176</v>
      </c>
      <c r="R1049" s="34"/>
      <c r="S1049" s="38"/>
      <c r="T1049" s="38" t="s">
        <v>12690</v>
      </c>
    </row>
    <row r="1050" spans="1:20" x14ac:dyDescent="0.25">
      <c r="A1050" s="33" t="s">
        <v>962</v>
      </c>
      <c r="B1050" s="33" t="s">
        <v>961</v>
      </c>
      <c r="C1050" s="33" t="s">
        <v>13</v>
      </c>
      <c r="D1050" s="33" t="s">
        <v>963</v>
      </c>
      <c r="E1050" s="33">
        <v>2022</v>
      </c>
      <c r="F1050" s="33">
        <v>24</v>
      </c>
      <c r="G1050" s="33">
        <v>6</v>
      </c>
      <c r="H1050" s="33" t="s">
        <v>964</v>
      </c>
      <c r="I1050" s="33" t="s">
        <v>212</v>
      </c>
      <c r="J1050" s="33">
        <v>2022</v>
      </c>
      <c r="K1050" s="34"/>
      <c r="L1050" s="34"/>
      <c r="M1050" s="33" t="s">
        <v>965</v>
      </c>
      <c r="N1050" s="37" t="s">
        <v>966</v>
      </c>
      <c r="O1050" s="33" t="s">
        <v>967</v>
      </c>
      <c r="P1050" s="33" t="s">
        <v>968</v>
      </c>
      <c r="Q1050" s="33" t="s">
        <v>157</v>
      </c>
      <c r="R1050" s="34"/>
      <c r="S1050" s="38"/>
      <c r="T1050" s="38" t="s">
        <v>12690</v>
      </c>
    </row>
    <row r="1051" spans="1:20" x14ac:dyDescent="0.25">
      <c r="A1051" s="39" t="s">
        <v>10329</v>
      </c>
      <c r="B1051" s="39" t="s">
        <v>10331</v>
      </c>
      <c r="C1051" s="39" t="s">
        <v>9478</v>
      </c>
      <c r="D1051" s="36"/>
      <c r="E1051" s="39">
        <v>2019</v>
      </c>
      <c r="F1051" s="39">
        <v>24</v>
      </c>
      <c r="G1051" s="39">
        <v>3</v>
      </c>
      <c r="H1051" s="36"/>
      <c r="I1051" s="39" t="s">
        <v>136</v>
      </c>
      <c r="J1051" s="36"/>
      <c r="K1051" s="36"/>
      <c r="L1051" s="36"/>
      <c r="M1051" s="34"/>
      <c r="N1051" s="41" t="s">
        <v>10332</v>
      </c>
      <c r="O1051" s="39" t="s">
        <v>10330</v>
      </c>
      <c r="P1051" s="33"/>
      <c r="Q1051" s="36"/>
      <c r="R1051" s="34"/>
      <c r="S1051" s="38"/>
      <c r="T1051" s="38" t="s">
        <v>12689</v>
      </c>
    </row>
    <row r="1052" spans="1:20" x14ac:dyDescent="0.25">
      <c r="A1052" s="33" t="s">
        <v>360</v>
      </c>
      <c r="B1052" s="33" t="s">
        <v>359</v>
      </c>
      <c r="C1052" s="33" t="s">
        <v>13</v>
      </c>
      <c r="D1052" s="33" t="s">
        <v>361</v>
      </c>
      <c r="E1052" s="33">
        <v>2022</v>
      </c>
      <c r="F1052" s="33">
        <v>5</v>
      </c>
      <c r="G1052" s="33">
        <v>1</v>
      </c>
      <c r="H1052" s="34"/>
      <c r="I1052" s="33" t="s">
        <v>362</v>
      </c>
      <c r="J1052" s="33">
        <v>2022</v>
      </c>
      <c r="K1052" s="34"/>
      <c r="L1052" s="34"/>
      <c r="M1052" s="33" t="s">
        <v>363</v>
      </c>
      <c r="N1052" s="37" t="s">
        <v>364</v>
      </c>
      <c r="O1052" s="33" t="s">
        <v>365</v>
      </c>
      <c r="P1052" s="33" t="s">
        <v>366</v>
      </c>
      <c r="Q1052" s="33" t="s">
        <v>367</v>
      </c>
      <c r="R1052" s="34"/>
      <c r="S1052" s="38"/>
      <c r="T1052" s="38" t="s">
        <v>12690</v>
      </c>
    </row>
    <row r="1053" spans="1:20" x14ac:dyDescent="0.25">
      <c r="A1053" s="33" t="s">
        <v>2591</v>
      </c>
      <c r="B1053" s="33" t="s">
        <v>2590</v>
      </c>
      <c r="C1053" s="33" t="s">
        <v>13</v>
      </c>
      <c r="D1053" s="33" t="s">
        <v>2592</v>
      </c>
      <c r="E1053" s="33">
        <v>2022</v>
      </c>
      <c r="F1053" s="33">
        <v>24</v>
      </c>
      <c r="G1053" s="33">
        <v>1</v>
      </c>
      <c r="H1053" s="33" t="s">
        <v>2593</v>
      </c>
      <c r="I1053" s="33" t="s">
        <v>2267</v>
      </c>
      <c r="J1053" s="33">
        <v>2022</v>
      </c>
      <c r="K1053" s="34"/>
      <c r="L1053" s="34"/>
      <c r="M1053" s="33" t="s">
        <v>2594</v>
      </c>
      <c r="N1053" s="37" t="s">
        <v>2595</v>
      </c>
      <c r="O1053" s="33" t="s">
        <v>2596</v>
      </c>
      <c r="P1053" s="33" t="s">
        <v>2597</v>
      </c>
      <c r="Q1053" s="33" t="s">
        <v>999</v>
      </c>
      <c r="R1053" s="34"/>
      <c r="S1053" s="38"/>
      <c r="T1053" s="38" t="s">
        <v>12690</v>
      </c>
    </row>
    <row r="1054" spans="1:20" x14ac:dyDescent="0.25">
      <c r="A1054" s="33" t="s">
        <v>3878</v>
      </c>
      <c r="B1054" s="33" t="s">
        <v>3877</v>
      </c>
      <c r="C1054" s="33" t="s">
        <v>13</v>
      </c>
      <c r="D1054" s="33" t="s">
        <v>188</v>
      </c>
      <c r="E1054" s="33">
        <v>2020</v>
      </c>
      <c r="F1054" s="33">
        <v>30</v>
      </c>
      <c r="G1054" s="42">
        <v>45242</v>
      </c>
      <c r="H1054" s="33" t="s">
        <v>3879</v>
      </c>
      <c r="I1054" s="33" t="s">
        <v>189</v>
      </c>
      <c r="J1054" s="33">
        <v>2020</v>
      </c>
      <c r="K1054" s="34"/>
      <c r="L1054" s="34"/>
      <c r="M1054" s="33" t="s">
        <v>73</v>
      </c>
      <c r="N1054" s="37" t="s">
        <v>3880</v>
      </c>
      <c r="O1054" s="33" t="s">
        <v>3881</v>
      </c>
      <c r="P1054" s="33" t="s">
        <v>3882</v>
      </c>
      <c r="Q1054" s="33" t="s">
        <v>529</v>
      </c>
      <c r="R1054" s="34"/>
      <c r="S1054" s="38"/>
      <c r="T1054" s="38" t="s">
        <v>12690</v>
      </c>
    </row>
    <row r="1055" spans="1:20" x14ac:dyDescent="0.25">
      <c r="A1055" s="33" t="s">
        <v>7020</v>
      </c>
      <c r="B1055" s="33" t="s">
        <v>7019</v>
      </c>
      <c r="C1055" s="33" t="s">
        <v>13</v>
      </c>
      <c r="D1055" s="33" t="s">
        <v>7021</v>
      </c>
      <c r="E1055" s="33">
        <v>2016</v>
      </c>
      <c r="F1055" s="33">
        <v>27</v>
      </c>
      <c r="G1055" s="33">
        <v>3</v>
      </c>
      <c r="H1055" s="33" t="s">
        <v>7022</v>
      </c>
      <c r="I1055" s="34"/>
      <c r="J1055" s="43">
        <v>42430</v>
      </c>
      <c r="K1055" s="36"/>
      <c r="L1055" s="36"/>
      <c r="M1055" s="33" t="s">
        <v>7023</v>
      </c>
      <c r="N1055" s="37" t="s">
        <v>7024</v>
      </c>
      <c r="O1055" s="33" t="s">
        <v>7025</v>
      </c>
      <c r="P1055" s="33" t="s">
        <v>7026</v>
      </c>
      <c r="Q1055" s="36"/>
      <c r="R1055" s="36"/>
      <c r="S1055" s="33" t="s">
        <v>7027</v>
      </c>
      <c r="T1055" s="38" t="s">
        <v>12688</v>
      </c>
    </row>
    <row r="1056" spans="1:20" x14ac:dyDescent="0.25">
      <c r="A1056" s="33" t="s">
        <v>7758</v>
      </c>
      <c r="B1056" s="33" t="s">
        <v>7757</v>
      </c>
      <c r="C1056" s="33" t="s">
        <v>141</v>
      </c>
      <c r="D1056" s="34"/>
      <c r="E1056" s="33">
        <v>2022</v>
      </c>
      <c r="F1056" s="34"/>
      <c r="G1056" s="34"/>
      <c r="H1056" s="33" t="s">
        <v>7759</v>
      </c>
      <c r="I1056" s="33" t="s">
        <v>7760</v>
      </c>
      <c r="J1056" s="35">
        <v>44835</v>
      </c>
      <c r="K1056" s="36"/>
      <c r="L1056" s="36"/>
      <c r="M1056" s="34"/>
      <c r="N1056" s="37" t="s">
        <v>7761</v>
      </c>
      <c r="O1056" s="33" t="s">
        <v>7762</v>
      </c>
      <c r="P1056" s="33" t="s">
        <v>7763</v>
      </c>
      <c r="Q1056" s="36"/>
      <c r="R1056" s="36"/>
      <c r="S1056" s="33" t="s">
        <v>7764</v>
      </c>
      <c r="T1056" s="38" t="s">
        <v>12688</v>
      </c>
    </row>
    <row r="1057" spans="1:20" x14ac:dyDescent="0.25">
      <c r="A1057" s="39" t="s">
        <v>10540</v>
      </c>
      <c r="B1057" s="39" t="s">
        <v>10542</v>
      </c>
      <c r="C1057" s="39" t="s">
        <v>9383</v>
      </c>
      <c r="D1057" s="36"/>
      <c r="E1057" s="39">
        <v>2022</v>
      </c>
      <c r="F1057" s="40"/>
      <c r="G1057" s="40"/>
      <c r="H1057" s="36"/>
      <c r="I1057" s="40"/>
      <c r="J1057" s="36"/>
      <c r="K1057" s="36"/>
      <c r="L1057" s="36"/>
      <c r="M1057" s="34"/>
      <c r="N1057" s="41" t="s">
        <v>10543</v>
      </c>
      <c r="O1057" s="39" t="s">
        <v>10541</v>
      </c>
      <c r="P1057" s="33"/>
      <c r="Q1057" s="36"/>
      <c r="R1057" s="34"/>
      <c r="S1057" s="38"/>
      <c r="T1057" s="38" t="s">
        <v>12689</v>
      </c>
    </row>
    <row r="1058" spans="1:20" x14ac:dyDescent="0.25">
      <c r="A1058" s="39" t="s">
        <v>9371</v>
      </c>
      <c r="B1058" s="39" t="s">
        <v>9373</v>
      </c>
      <c r="C1058" s="39" t="s">
        <v>539</v>
      </c>
      <c r="D1058" s="36"/>
      <c r="E1058" s="39">
        <v>2023</v>
      </c>
      <c r="F1058" s="40"/>
      <c r="G1058" s="40"/>
      <c r="H1058" s="36"/>
      <c r="I1058" s="40"/>
      <c r="J1058" s="36"/>
      <c r="K1058" s="36"/>
      <c r="L1058" s="36"/>
      <c r="M1058" s="34"/>
      <c r="N1058" s="41" t="s">
        <v>9374</v>
      </c>
      <c r="O1058" s="39" t="s">
        <v>9372</v>
      </c>
      <c r="P1058" s="33"/>
      <c r="Q1058" s="36"/>
      <c r="R1058" s="34"/>
      <c r="S1058" s="38"/>
      <c r="T1058" s="38" t="s">
        <v>12689</v>
      </c>
    </row>
    <row r="1059" spans="1:20" x14ac:dyDescent="0.25">
      <c r="A1059" s="33" t="s">
        <v>1464</v>
      </c>
      <c r="B1059" s="33" t="s">
        <v>1463</v>
      </c>
      <c r="C1059" s="33" t="s">
        <v>539</v>
      </c>
      <c r="D1059" s="34"/>
      <c r="E1059" s="33">
        <v>2021</v>
      </c>
      <c r="F1059" s="34"/>
      <c r="G1059" s="34"/>
      <c r="H1059" s="34"/>
      <c r="I1059" s="33" t="s">
        <v>1465</v>
      </c>
      <c r="J1059" s="33">
        <v>2021</v>
      </c>
      <c r="K1059" s="33">
        <v>9781799869863</v>
      </c>
      <c r="L1059" s="33">
        <v>9781799869856</v>
      </c>
      <c r="M1059" s="34"/>
      <c r="N1059" s="37" t="s">
        <v>1466</v>
      </c>
      <c r="O1059" s="33" t="s">
        <v>1467</v>
      </c>
      <c r="P1059" s="33" t="s">
        <v>1468</v>
      </c>
      <c r="Q1059" s="33" t="s">
        <v>157</v>
      </c>
      <c r="R1059" s="33" t="s">
        <v>1469</v>
      </c>
      <c r="S1059" s="38"/>
      <c r="T1059" s="38" t="s">
        <v>12690</v>
      </c>
    </row>
    <row r="1060" spans="1:20" x14ac:dyDescent="0.25">
      <c r="A1060" s="39" t="s">
        <v>9295</v>
      </c>
      <c r="B1060" s="39" t="s">
        <v>9297</v>
      </c>
      <c r="C1060" s="39" t="s">
        <v>539</v>
      </c>
      <c r="D1060" s="36"/>
      <c r="E1060" s="39">
        <v>2022</v>
      </c>
      <c r="F1060" s="40"/>
      <c r="G1060" s="40"/>
      <c r="H1060" s="36"/>
      <c r="I1060" s="39" t="s">
        <v>9294</v>
      </c>
      <c r="J1060" s="36"/>
      <c r="K1060" s="36"/>
      <c r="L1060" s="36"/>
      <c r="M1060" s="34"/>
      <c r="N1060" s="41" t="s">
        <v>9298</v>
      </c>
      <c r="O1060" s="39" t="s">
        <v>9296</v>
      </c>
      <c r="P1060" s="33"/>
      <c r="Q1060" s="36"/>
      <c r="R1060" s="34"/>
      <c r="S1060" s="38"/>
      <c r="T1060" s="38" t="s">
        <v>12689</v>
      </c>
    </row>
    <row r="1061" spans="1:20" x14ac:dyDescent="0.25">
      <c r="A1061" s="33" t="s">
        <v>5162</v>
      </c>
      <c r="B1061" s="33" t="s">
        <v>5161</v>
      </c>
      <c r="C1061" s="33" t="s">
        <v>13</v>
      </c>
      <c r="D1061" s="33" t="s">
        <v>5163</v>
      </c>
      <c r="E1061" s="33">
        <v>2017</v>
      </c>
      <c r="F1061" s="33">
        <v>22</v>
      </c>
      <c r="G1061" s="34"/>
      <c r="H1061" s="33" t="s">
        <v>5164</v>
      </c>
      <c r="I1061" s="33" t="s">
        <v>212</v>
      </c>
      <c r="J1061" s="33">
        <v>2017</v>
      </c>
      <c r="K1061" s="34"/>
      <c r="L1061" s="34"/>
      <c r="M1061" s="33" t="s">
        <v>5165</v>
      </c>
      <c r="N1061" s="37" t="s">
        <v>5166</v>
      </c>
      <c r="O1061" s="33" t="s">
        <v>5167</v>
      </c>
      <c r="P1061" s="33" t="s">
        <v>5168</v>
      </c>
      <c r="Q1061" s="33" t="s">
        <v>397</v>
      </c>
      <c r="R1061" s="34"/>
      <c r="S1061" s="38"/>
      <c r="T1061" s="38" t="s">
        <v>12690</v>
      </c>
    </row>
    <row r="1062" spans="1:20" x14ac:dyDescent="0.25">
      <c r="A1062" s="39" t="s">
        <v>10325</v>
      </c>
      <c r="B1062" s="39" t="s">
        <v>10327</v>
      </c>
      <c r="C1062" s="39" t="s">
        <v>539</v>
      </c>
      <c r="D1062" s="36"/>
      <c r="E1062" s="39">
        <v>2022</v>
      </c>
      <c r="F1062" s="40"/>
      <c r="G1062" s="40"/>
      <c r="H1062" s="36"/>
      <c r="I1062" s="40"/>
      <c r="J1062" s="36"/>
      <c r="K1062" s="36"/>
      <c r="L1062" s="36"/>
      <c r="M1062" s="34"/>
      <c r="N1062" s="41" t="s">
        <v>10328</v>
      </c>
      <c r="O1062" s="39" t="s">
        <v>10326</v>
      </c>
      <c r="P1062" s="33"/>
      <c r="Q1062" s="36"/>
      <c r="R1062" s="34"/>
      <c r="S1062" s="38"/>
      <c r="T1062" s="38" t="s">
        <v>12689</v>
      </c>
    </row>
    <row r="1063" spans="1:20" x14ac:dyDescent="0.25">
      <c r="A1063" s="33" t="s">
        <v>12152</v>
      </c>
      <c r="B1063" s="33" t="s">
        <v>12151</v>
      </c>
      <c r="C1063" s="33" t="s">
        <v>141</v>
      </c>
      <c r="D1063" s="34"/>
      <c r="E1063" s="33">
        <v>2022</v>
      </c>
      <c r="F1063" s="34"/>
      <c r="G1063" s="34"/>
      <c r="H1063" s="33" t="s">
        <v>12153</v>
      </c>
      <c r="I1063" s="44" t="s">
        <v>12778</v>
      </c>
      <c r="J1063" s="33">
        <v>2022</v>
      </c>
      <c r="K1063" s="33">
        <v>9781450398787</v>
      </c>
      <c r="L1063" s="33" t="s">
        <v>11397</v>
      </c>
      <c r="M1063" s="34"/>
      <c r="N1063" s="37" t="s">
        <v>12154</v>
      </c>
      <c r="O1063" s="33" t="s">
        <v>12155</v>
      </c>
      <c r="P1063" s="33" t="s">
        <v>12156</v>
      </c>
      <c r="Q1063" s="36"/>
      <c r="R1063" s="36"/>
      <c r="S1063" s="33" t="s">
        <v>12157</v>
      </c>
      <c r="T1063" s="33" t="s">
        <v>12692</v>
      </c>
    </row>
    <row r="1064" spans="1:20" x14ac:dyDescent="0.25">
      <c r="A1064" s="33" t="s">
        <v>3393</v>
      </c>
      <c r="B1064" s="33" t="s">
        <v>3392</v>
      </c>
      <c r="C1064" s="33" t="s">
        <v>13</v>
      </c>
      <c r="D1064" s="33" t="s">
        <v>3394</v>
      </c>
      <c r="E1064" s="33">
        <v>2020</v>
      </c>
      <c r="F1064" s="33">
        <v>18</v>
      </c>
      <c r="G1064" s="33">
        <v>6</v>
      </c>
      <c r="H1064" s="33" t="s">
        <v>3395</v>
      </c>
      <c r="I1064" s="33" t="s">
        <v>3396</v>
      </c>
      <c r="J1064" s="33">
        <v>2020</v>
      </c>
      <c r="K1064" s="34"/>
      <c r="L1064" s="34"/>
      <c r="M1064" s="33" t="s">
        <v>3397</v>
      </c>
      <c r="N1064" s="37" t="s">
        <v>3398</v>
      </c>
      <c r="O1064" s="33" t="s">
        <v>3399</v>
      </c>
      <c r="P1064" s="33" t="s">
        <v>3400</v>
      </c>
      <c r="Q1064" s="33" t="s">
        <v>3401</v>
      </c>
      <c r="R1064" s="34"/>
      <c r="S1064" s="38"/>
      <c r="T1064" s="38" t="s">
        <v>12690</v>
      </c>
    </row>
    <row r="1065" spans="1:20" x14ac:dyDescent="0.25">
      <c r="A1065" s="33" t="s">
        <v>5452</v>
      </c>
      <c r="B1065" s="33" t="s">
        <v>5451</v>
      </c>
      <c r="C1065" s="33" t="s">
        <v>141</v>
      </c>
      <c r="D1065" s="34"/>
      <c r="E1065" s="33">
        <v>2017</v>
      </c>
      <c r="F1065" s="34"/>
      <c r="G1065" s="34"/>
      <c r="H1065" s="33" t="s">
        <v>5453</v>
      </c>
      <c r="I1065" s="33" t="s">
        <v>153</v>
      </c>
      <c r="J1065" s="33">
        <v>2017</v>
      </c>
      <c r="K1065" s="33">
        <v>9781450355698</v>
      </c>
      <c r="L1065" s="34"/>
      <c r="M1065" s="34"/>
      <c r="N1065" s="37" t="s">
        <v>5454</v>
      </c>
      <c r="O1065" s="33" t="s">
        <v>5455</v>
      </c>
      <c r="P1065" s="33" t="s">
        <v>5456</v>
      </c>
      <c r="Q1065" s="33" t="s">
        <v>2811</v>
      </c>
      <c r="R1065" s="34"/>
      <c r="S1065" s="38"/>
      <c r="T1065" s="38" t="s">
        <v>12690</v>
      </c>
    </row>
    <row r="1066" spans="1:20" x14ac:dyDescent="0.25">
      <c r="A1066" s="33" t="s">
        <v>12485</v>
      </c>
      <c r="B1066" s="33" t="s">
        <v>1422</v>
      </c>
      <c r="C1066" s="33" t="s">
        <v>141</v>
      </c>
      <c r="D1066" s="34"/>
      <c r="E1066" s="33">
        <v>2022</v>
      </c>
      <c r="F1066" s="34"/>
      <c r="G1066" s="34"/>
      <c r="H1066" s="33" t="s">
        <v>12486</v>
      </c>
      <c r="I1066" s="44" t="s">
        <v>12698</v>
      </c>
      <c r="J1066" s="33">
        <v>2022</v>
      </c>
      <c r="K1066" s="33">
        <v>9781450392983</v>
      </c>
      <c r="L1066" s="33" t="s">
        <v>11270</v>
      </c>
      <c r="M1066" s="34"/>
      <c r="N1066" s="37" t="s">
        <v>12487</v>
      </c>
      <c r="O1066" s="33" t="s">
        <v>1426</v>
      </c>
      <c r="P1066" s="33" t="s">
        <v>12488</v>
      </c>
      <c r="Q1066" s="36"/>
      <c r="R1066" s="36"/>
      <c r="S1066" s="33" t="s">
        <v>12489</v>
      </c>
      <c r="T1066" s="33" t="s">
        <v>12692</v>
      </c>
    </row>
    <row r="1067" spans="1:20" x14ac:dyDescent="0.25">
      <c r="A1067" s="33" t="s">
        <v>12485</v>
      </c>
      <c r="B1067" s="33" t="s">
        <v>1422</v>
      </c>
      <c r="C1067" s="33" t="s">
        <v>141</v>
      </c>
      <c r="D1067" s="34"/>
      <c r="E1067" s="33">
        <v>2022</v>
      </c>
      <c r="F1067" s="34"/>
      <c r="G1067" s="34"/>
      <c r="H1067" s="33" t="s">
        <v>8155</v>
      </c>
      <c r="I1067" s="33" t="s">
        <v>6722</v>
      </c>
      <c r="J1067" s="43">
        <v>44682</v>
      </c>
      <c r="K1067" s="34"/>
      <c r="L1067" s="36"/>
      <c r="M1067" s="33" t="s">
        <v>6226</v>
      </c>
      <c r="N1067" s="37" t="s">
        <v>8156</v>
      </c>
      <c r="O1067" s="33" t="s">
        <v>1426</v>
      </c>
      <c r="P1067" s="33" t="s">
        <v>8157</v>
      </c>
      <c r="Q1067" s="36"/>
      <c r="R1067" s="36"/>
      <c r="S1067" s="33" t="s">
        <v>8158</v>
      </c>
      <c r="T1067" s="38" t="s">
        <v>12688</v>
      </c>
    </row>
    <row r="1068" spans="1:20" x14ac:dyDescent="0.25">
      <c r="A1068" s="33" t="s">
        <v>12485</v>
      </c>
      <c r="B1068" s="33" t="s">
        <v>1422</v>
      </c>
      <c r="C1068" s="33" t="s">
        <v>141</v>
      </c>
      <c r="D1068" s="34"/>
      <c r="E1068" s="33">
        <v>2022</v>
      </c>
      <c r="F1068" s="45">
        <v>44621</v>
      </c>
      <c r="G1068" s="34"/>
      <c r="H1068" s="33" t="s">
        <v>1424</v>
      </c>
      <c r="I1068" s="33" t="s">
        <v>196</v>
      </c>
      <c r="J1068" s="33">
        <v>2022</v>
      </c>
      <c r="K1068" s="33">
        <v>9781450392983</v>
      </c>
      <c r="L1068" s="34"/>
      <c r="M1068" s="34"/>
      <c r="N1068" s="37" t="s">
        <v>1425</v>
      </c>
      <c r="O1068" s="33" t="s">
        <v>1426</v>
      </c>
      <c r="P1068" s="33" t="s">
        <v>1427</v>
      </c>
      <c r="Q1068" s="33" t="s">
        <v>999</v>
      </c>
      <c r="R1068" s="34"/>
      <c r="S1068" s="38"/>
      <c r="T1068" s="38" t="s">
        <v>12690</v>
      </c>
    </row>
    <row r="1069" spans="1:20" x14ac:dyDescent="0.25">
      <c r="A1069" s="33" t="s">
        <v>12207</v>
      </c>
      <c r="B1069" s="33" t="s">
        <v>12206</v>
      </c>
      <c r="C1069" s="33" t="s">
        <v>141</v>
      </c>
      <c r="D1069" s="34"/>
      <c r="E1069" s="33">
        <v>2016</v>
      </c>
      <c r="F1069" s="34"/>
      <c r="G1069" s="34"/>
      <c r="H1069" s="33" t="s">
        <v>12208</v>
      </c>
      <c r="I1069" s="44" t="s">
        <v>12779</v>
      </c>
      <c r="J1069" s="33">
        <v>2016</v>
      </c>
      <c r="K1069" s="33">
        <v>9781450345705</v>
      </c>
      <c r="L1069" s="33" t="s">
        <v>12062</v>
      </c>
      <c r="M1069" s="34"/>
      <c r="N1069" s="37" t="s">
        <v>12209</v>
      </c>
      <c r="O1069" s="33" t="s">
        <v>12210</v>
      </c>
      <c r="P1069" s="33" t="s">
        <v>12211</v>
      </c>
      <c r="Q1069" s="36"/>
      <c r="R1069" s="36"/>
      <c r="S1069" s="33" t="s">
        <v>12212</v>
      </c>
      <c r="T1069" s="33" t="s">
        <v>12692</v>
      </c>
    </row>
    <row r="1070" spans="1:20" x14ac:dyDescent="0.25">
      <c r="A1070" s="39" t="s">
        <v>9583</v>
      </c>
      <c r="B1070" s="39" t="s">
        <v>9585</v>
      </c>
      <c r="C1070" s="39" t="s">
        <v>539</v>
      </c>
      <c r="D1070" s="36"/>
      <c r="E1070" s="39">
        <v>2021</v>
      </c>
      <c r="F1070" s="40"/>
      <c r="G1070" s="40"/>
      <c r="H1070" s="36"/>
      <c r="I1070" s="39" t="s">
        <v>9275</v>
      </c>
      <c r="J1070" s="36"/>
      <c r="K1070" s="36"/>
      <c r="L1070" s="36"/>
      <c r="M1070" s="34"/>
      <c r="N1070" s="41" t="s">
        <v>9586</v>
      </c>
      <c r="O1070" s="39" t="s">
        <v>9584</v>
      </c>
      <c r="P1070" s="33"/>
      <c r="Q1070" s="36"/>
      <c r="R1070" s="34"/>
      <c r="S1070" s="38"/>
      <c r="T1070" s="38" t="s">
        <v>12689</v>
      </c>
    </row>
    <row r="1071" spans="1:20" x14ac:dyDescent="0.25">
      <c r="A1071" s="33" t="s">
        <v>1344</v>
      </c>
      <c r="B1071" s="33" t="s">
        <v>1343</v>
      </c>
      <c r="C1071" s="33" t="s">
        <v>13</v>
      </c>
      <c r="D1071" s="33" t="s">
        <v>307</v>
      </c>
      <c r="E1071" s="33">
        <v>2022</v>
      </c>
      <c r="F1071" s="33">
        <v>152</v>
      </c>
      <c r="G1071" s="36"/>
      <c r="H1071" s="33">
        <v>107034</v>
      </c>
      <c r="I1071" s="36"/>
      <c r="J1071" s="33">
        <v>2022</v>
      </c>
      <c r="K1071" s="34"/>
      <c r="L1071" s="34"/>
      <c r="M1071" s="33" t="s">
        <v>308</v>
      </c>
      <c r="N1071" s="37" t="s">
        <v>9215</v>
      </c>
      <c r="O1071" s="33" t="s">
        <v>1346</v>
      </c>
      <c r="P1071" s="33" t="s">
        <v>9216</v>
      </c>
      <c r="Q1071" s="36"/>
      <c r="R1071" s="36"/>
      <c r="S1071" s="33" t="s">
        <v>9217</v>
      </c>
      <c r="T1071" s="38" t="s">
        <v>12693</v>
      </c>
    </row>
    <row r="1072" spans="1:20" x14ac:dyDescent="0.25">
      <c r="A1072" s="33" t="s">
        <v>1344</v>
      </c>
      <c r="B1072" s="33" t="s">
        <v>1343</v>
      </c>
      <c r="C1072" s="33" t="s">
        <v>13</v>
      </c>
      <c r="D1072" s="33" t="s">
        <v>307</v>
      </c>
      <c r="E1072" s="33">
        <v>2022</v>
      </c>
      <c r="F1072" s="33">
        <v>152</v>
      </c>
      <c r="G1072" s="34"/>
      <c r="H1072" s="34"/>
      <c r="I1072" s="33" t="s">
        <v>280</v>
      </c>
      <c r="J1072" s="33">
        <v>2022</v>
      </c>
      <c r="K1072" s="34"/>
      <c r="L1072" s="34"/>
      <c r="M1072" s="33" t="s">
        <v>308</v>
      </c>
      <c r="N1072" s="37" t="s">
        <v>1345</v>
      </c>
      <c r="O1072" s="33" t="s">
        <v>1346</v>
      </c>
      <c r="P1072" s="33" t="s">
        <v>1347</v>
      </c>
      <c r="Q1072" s="33" t="s">
        <v>157</v>
      </c>
      <c r="R1072" s="34"/>
      <c r="S1072" s="38"/>
      <c r="T1072" s="38" t="s">
        <v>12690</v>
      </c>
    </row>
    <row r="1073" spans="1:20" x14ac:dyDescent="0.25">
      <c r="A1073" s="33" t="s">
        <v>5912</v>
      </c>
      <c r="B1073" s="33" t="s">
        <v>5911</v>
      </c>
      <c r="C1073" s="33" t="s">
        <v>141</v>
      </c>
      <c r="D1073" s="34"/>
      <c r="E1073" s="33">
        <v>2018</v>
      </c>
      <c r="F1073" s="34"/>
      <c r="G1073" s="34"/>
      <c r="H1073" s="33" t="s">
        <v>4109</v>
      </c>
      <c r="I1073" s="33" t="s">
        <v>5913</v>
      </c>
      <c r="J1073" s="33">
        <v>2018</v>
      </c>
      <c r="K1073" s="34"/>
      <c r="L1073" s="34"/>
      <c r="M1073" s="34"/>
      <c r="N1073" s="37" t="s">
        <v>5914</v>
      </c>
      <c r="O1073" s="34"/>
      <c r="P1073" s="33" t="s">
        <v>5915</v>
      </c>
      <c r="Q1073" s="33" t="s">
        <v>318</v>
      </c>
      <c r="R1073" s="34"/>
      <c r="S1073" s="38"/>
      <c r="T1073" s="38" t="s">
        <v>12690</v>
      </c>
    </row>
    <row r="1074" spans="1:20" x14ac:dyDescent="0.25">
      <c r="A1074" s="39" t="s">
        <v>3693</v>
      </c>
      <c r="B1074" s="39" t="s">
        <v>10136</v>
      </c>
      <c r="C1074" s="39" t="s">
        <v>9539</v>
      </c>
      <c r="D1074" s="36"/>
      <c r="E1074" s="39">
        <v>2021</v>
      </c>
      <c r="F1074" s="40"/>
      <c r="G1074" s="40"/>
      <c r="H1074" s="36"/>
      <c r="I1074" s="39" t="s">
        <v>10135</v>
      </c>
      <c r="J1074" s="36"/>
      <c r="K1074" s="36"/>
      <c r="L1074" s="36"/>
      <c r="M1074" s="34"/>
      <c r="N1074" s="41" t="s">
        <v>10137</v>
      </c>
      <c r="O1074" s="39" t="s">
        <v>3696</v>
      </c>
      <c r="P1074" s="33"/>
      <c r="Q1074" s="36"/>
      <c r="R1074" s="34"/>
      <c r="S1074" s="38"/>
      <c r="T1074" s="38" t="s">
        <v>12689</v>
      </c>
    </row>
    <row r="1075" spans="1:20" x14ac:dyDescent="0.25">
      <c r="A1075" s="33" t="s">
        <v>3693</v>
      </c>
      <c r="B1075" s="33" t="s">
        <v>3692</v>
      </c>
      <c r="C1075" s="33" t="s">
        <v>13</v>
      </c>
      <c r="D1075" s="33" t="s">
        <v>1870</v>
      </c>
      <c r="E1075" s="33">
        <v>2021</v>
      </c>
      <c r="F1075" s="33">
        <v>404</v>
      </c>
      <c r="G1075" s="34"/>
      <c r="H1075" s="33" t="s">
        <v>3694</v>
      </c>
      <c r="I1075" s="33" t="s">
        <v>212</v>
      </c>
      <c r="J1075" s="33">
        <v>2021</v>
      </c>
      <c r="K1075" s="34"/>
      <c r="L1075" s="34"/>
      <c r="M1075" s="33" t="s">
        <v>1873</v>
      </c>
      <c r="N1075" s="37" t="s">
        <v>3695</v>
      </c>
      <c r="O1075" s="33" t="s">
        <v>3696</v>
      </c>
      <c r="P1075" s="33" t="s">
        <v>3697</v>
      </c>
      <c r="Q1075" s="33" t="s">
        <v>1598</v>
      </c>
      <c r="R1075" s="34"/>
      <c r="S1075" s="38"/>
      <c r="T1075" s="38" t="s">
        <v>12690</v>
      </c>
    </row>
    <row r="1076" spans="1:20" x14ac:dyDescent="0.25">
      <c r="A1076" s="33" t="s">
        <v>5483</v>
      </c>
      <c r="B1076" s="33" t="s">
        <v>5482</v>
      </c>
      <c r="C1076" s="33" t="s">
        <v>141</v>
      </c>
      <c r="D1076" s="34"/>
      <c r="E1076" s="33">
        <v>2015</v>
      </c>
      <c r="F1076" s="45">
        <v>42005</v>
      </c>
      <c r="G1076" s="34"/>
      <c r="H1076" s="33" t="s">
        <v>5484</v>
      </c>
      <c r="I1076" s="33" t="s">
        <v>3301</v>
      </c>
      <c r="J1076" s="33">
        <v>2015</v>
      </c>
      <c r="K1076" s="34"/>
      <c r="L1076" s="34"/>
      <c r="M1076" s="33" t="s">
        <v>3302</v>
      </c>
      <c r="N1076" s="37" t="s">
        <v>5485</v>
      </c>
      <c r="O1076" s="34"/>
      <c r="P1076" s="33" t="s">
        <v>5486</v>
      </c>
      <c r="Q1076" s="33" t="s">
        <v>5487</v>
      </c>
      <c r="R1076" s="34"/>
      <c r="S1076" s="38"/>
      <c r="T1076" s="38" t="s">
        <v>12690</v>
      </c>
    </row>
    <row r="1077" spans="1:20" x14ac:dyDescent="0.25">
      <c r="A1077" s="39" t="s">
        <v>10305</v>
      </c>
      <c r="B1077" s="39" t="s">
        <v>10307</v>
      </c>
      <c r="C1077" s="39" t="s">
        <v>9478</v>
      </c>
      <c r="D1077" s="36"/>
      <c r="E1077" s="39">
        <v>2019</v>
      </c>
      <c r="F1077" s="39">
        <v>24</v>
      </c>
      <c r="G1077" s="39">
        <v>3</v>
      </c>
      <c r="H1077" s="36"/>
      <c r="I1077" s="39" t="s">
        <v>136</v>
      </c>
      <c r="J1077" s="36"/>
      <c r="K1077" s="36"/>
      <c r="L1077" s="36"/>
      <c r="M1077" s="34"/>
      <c r="N1077" s="41" t="s">
        <v>10308</v>
      </c>
      <c r="O1077" s="39" t="s">
        <v>10306</v>
      </c>
      <c r="P1077" s="33"/>
      <c r="Q1077" s="36"/>
      <c r="R1077" s="34"/>
      <c r="S1077" s="38"/>
      <c r="T1077" s="38" t="s">
        <v>12689</v>
      </c>
    </row>
    <row r="1078" spans="1:20" x14ac:dyDescent="0.25">
      <c r="A1078" s="33" t="s">
        <v>2147</v>
      </c>
      <c r="B1078" s="33" t="s">
        <v>2146</v>
      </c>
      <c r="C1078" s="33" t="s">
        <v>13</v>
      </c>
      <c r="D1078" s="33" t="s">
        <v>422</v>
      </c>
      <c r="E1078" s="33">
        <v>2021</v>
      </c>
      <c r="F1078" s="33">
        <v>33</v>
      </c>
      <c r="G1078" s="33">
        <v>11</v>
      </c>
      <c r="H1078" s="33" t="s">
        <v>2148</v>
      </c>
      <c r="I1078" s="33" t="s">
        <v>212</v>
      </c>
      <c r="J1078" s="33">
        <v>2021</v>
      </c>
      <c r="K1078" s="34"/>
      <c r="L1078" s="34"/>
      <c r="M1078" s="33" t="s">
        <v>423</v>
      </c>
      <c r="N1078" s="37" t="s">
        <v>2149</v>
      </c>
      <c r="O1078" s="33" t="s">
        <v>2150</v>
      </c>
      <c r="P1078" s="33" t="s">
        <v>2151</v>
      </c>
      <c r="Q1078" s="33" t="s">
        <v>318</v>
      </c>
      <c r="R1078" s="34"/>
      <c r="S1078" s="38"/>
      <c r="T1078" s="38" t="s">
        <v>12690</v>
      </c>
    </row>
    <row r="1079" spans="1:20" x14ac:dyDescent="0.25">
      <c r="A1079" s="33" t="s">
        <v>12078</v>
      </c>
      <c r="B1079" s="33" t="s">
        <v>4239</v>
      </c>
      <c r="C1079" s="33" t="s">
        <v>13</v>
      </c>
      <c r="D1079" s="33" t="s">
        <v>12079</v>
      </c>
      <c r="E1079" s="33">
        <v>2021</v>
      </c>
      <c r="F1079" s="33">
        <v>14</v>
      </c>
      <c r="G1079" s="33">
        <v>4</v>
      </c>
      <c r="H1079" s="33" t="s">
        <v>12080</v>
      </c>
      <c r="I1079" s="44" t="s">
        <v>12780</v>
      </c>
      <c r="J1079" s="43">
        <v>44228</v>
      </c>
      <c r="K1079" s="34"/>
      <c r="L1079" s="34"/>
      <c r="M1079" s="33" t="s">
        <v>4235</v>
      </c>
      <c r="N1079" s="37" t="s">
        <v>12081</v>
      </c>
      <c r="O1079" s="33" t="s">
        <v>4243</v>
      </c>
      <c r="P1079" s="33" t="s">
        <v>12082</v>
      </c>
      <c r="Q1079" s="36"/>
      <c r="R1079" s="36"/>
      <c r="S1079" s="34"/>
      <c r="T1079" s="33" t="s">
        <v>12692</v>
      </c>
    </row>
    <row r="1080" spans="1:20" x14ac:dyDescent="0.25">
      <c r="A1080" s="33" t="s">
        <v>12078</v>
      </c>
      <c r="B1080" s="33" t="s">
        <v>4239</v>
      </c>
      <c r="C1080" s="33" t="s">
        <v>13</v>
      </c>
      <c r="D1080" s="33" t="s">
        <v>4232</v>
      </c>
      <c r="E1080" s="33">
        <v>2020</v>
      </c>
      <c r="F1080" s="33">
        <v>14</v>
      </c>
      <c r="G1080" s="33">
        <v>4</v>
      </c>
      <c r="H1080" s="33" t="s">
        <v>4241</v>
      </c>
      <c r="I1080" s="33" t="s">
        <v>4234</v>
      </c>
      <c r="J1080" s="33">
        <v>2020</v>
      </c>
      <c r="K1080" s="34"/>
      <c r="L1080" s="34"/>
      <c r="M1080" s="33" t="s">
        <v>4235</v>
      </c>
      <c r="N1080" s="37" t="s">
        <v>4242</v>
      </c>
      <c r="O1080" s="33" t="s">
        <v>4243</v>
      </c>
      <c r="P1080" s="33" t="s">
        <v>4244</v>
      </c>
      <c r="Q1080" s="33" t="s">
        <v>289</v>
      </c>
      <c r="R1080" s="34"/>
      <c r="S1080" s="38"/>
      <c r="T1080" s="38" t="s">
        <v>12690</v>
      </c>
    </row>
    <row r="1081" spans="1:20" x14ac:dyDescent="0.25">
      <c r="A1081" s="33" t="s">
        <v>278</v>
      </c>
      <c r="B1081" s="33" t="s">
        <v>277</v>
      </c>
      <c r="C1081" s="33" t="s">
        <v>13</v>
      </c>
      <c r="D1081" s="33" t="s">
        <v>279</v>
      </c>
      <c r="E1081" s="33">
        <v>2022</v>
      </c>
      <c r="F1081" s="33">
        <v>20</v>
      </c>
      <c r="G1081" s="34"/>
      <c r="H1081" s="34"/>
      <c r="I1081" s="33" t="s">
        <v>280</v>
      </c>
      <c r="J1081" s="33">
        <v>2022</v>
      </c>
      <c r="K1081" s="34"/>
      <c r="L1081" s="34"/>
      <c r="M1081" s="33" t="s">
        <v>281</v>
      </c>
      <c r="N1081" s="37" t="s">
        <v>282</v>
      </c>
      <c r="O1081" s="33" t="s">
        <v>283</v>
      </c>
      <c r="P1081" s="33" t="s">
        <v>284</v>
      </c>
      <c r="Q1081" s="33" t="s">
        <v>285</v>
      </c>
      <c r="R1081" s="34"/>
      <c r="S1081" s="38"/>
      <c r="T1081" s="38" t="s">
        <v>12690</v>
      </c>
    </row>
    <row r="1082" spans="1:20" x14ac:dyDescent="0.25">
      <c r="A1082" s="33" t="s">
        <v>4874</v>
      </c>
      <c r="B1082" s="33" t="s">
        <v>4873</v>
      </c>
      <c r="C1082" s="33" t="s">
        <v>141</v>
      </c>
      <c r="D1082" s="34"/>
      <c r="E1082" s="33">
        <v>2020</v>
      </c>
      <c r="F1082" s="34"/>
      <c r="G1082" s="34"/>
      <c r="H1082" s="33" t="s">
        <v>4875</v>
      </c>
      <c r="I1082" s="33" t="s">
        <v>153</v>
      </c>
      <c r="J1082" s="33">
        <v>2020</v>
      </c>
      <c r="K1082" s="33">
        <v>9781450369916</v>
      </c>
      <c r="L1082" s="34"/>
      <c r="M1082" s="34"/>
      <c r="N1082" s="37" t="s">
        <v>4876</v>
      </c>
      <c r="O1082" s="33" t="s">
        <v>4877</v>
      </c>
      <c r="P1082" s="33" t="s">
        <v>4878</v>
      </c>
      <c r="Q1082" s="33" t="s">
        <v>1094</v>
      </c>
      <c r="R1082" s="34"/>
      <c r="S1082" s="38"/>
      <c r="T1082" s="38" t="s">
        <v>12690</v>
      </c>
    </row>
    <row r="1083" spans="1:20" x14ac:dyDescent="0.25">
      <c r="A1083" s="33" t="s">
        <v>7766</v>
      </c>
      <c r="B1083" s="33" t="s">
        <v>7765</v>
      </c>
      <c r="C1083" s="33" t="s">
        <v>13</v>
      </c>
      <c r="D1083" s="33" t="s">
        <v>255</v>
      </c>
      <c r="E1083" s="33">
        <v>2022</v>
      </c>
      <c r="F1083" s="33">
        <v>48</v>
      </c>
      <c r="G1083" s="33">
        <v>12</v>
      </c>
      <c r="H1083" s="33" t="s">
        <v>7767</v>
      </c>
      <c r="I1083" s="34"/>
      <c r="J1083" s="35">
        <v>44896</v>
      </c>
      <c r="K1083" s="36"/>
      <c r="L1083" s="36"/>
      <c r="M1083" s="33" t="s">
        <v>6115</v>
      </c>
      <c r="N1083" s="37" t="s">
        <v>7768</v>
      </c>
      <c r="O1083" s="33" t="s">
        <v>7769</v>
      </c>
      <c r="P1083" s="33" t="s">
        <v>7770</v>
      </c>
      <c r="Q1083" s="36"/>
      <c r="R1083" s="36"/>
      <c r="S1083" s="33" t="s">
        <v>7771</v>
      </c>
      <c r="T1083" s="38" t="s">
        <v>12688</v>
      </c>
    </row>
    <row r="1084" spans="1:20" x14ac:dyDescent="0.25">
      <c r="A1084" s="33" t="s">
        <v>1616</v>
      </c>
      <c r="B1084" s="33" t="s">
        <v>1615</v>
      </c>
      <c r="C1084" s="33" t="s">
        <v>141</v>
      </c>
      <c r="D1084" s="34"/>
      <c r="E1084" s="33">
        <v>2021</v>
      </c>
      <c r="F1084" s="34"/>
      <c r="G1084" s="34"/>
      <c r="H1084" s="33" t="s">
        <v>1617</v>
      </c>
      <c r="I1084" s="33" t="s">
        <v>153</v>
      </c>
      <c r="J1084" s="33">
        <v>2021</v>
      </c>
      <c r="K1084" s="33">
        <v>9781450385626</v>
      </c>
      <c r="L1084" s="34"/>
      <c r="M1084" s="34"/>
      <c r="N1084" s="37" t="s">
        <v>1618</v>
      </c>
      <c r="O1084" s="33" t="s">
        <v>1619</v>
      </c>
      <c r="P1084" s="33" t="s">
        <v>1620</v>
      </c>
      <c r="Q1084" s="33" t="s">
        <v>185</v>
      </c>
      <c r="R1084" s="34"/>
      <c r="S1084" s="38"/>
      <c r="T1084" s="38" t="s">
        <v>12690</v>
      </c>
    </row>
    <row r="1085" spans="1:20" x14ac:dyDescent="0.25">
      <c r="A1085" s="33" t="s">
        <v>6129</v>
      </c>
      <c r="B1085" s="33" t="s">
        <v>6128</v>
      </c>
      <c r="C1085" s="33" t="s">
        <v>141</v>
      </c>
      <c r="D1085" s="34"/>
      <c r="E1085" s="33">
        <v>2019</v>
      </c>
      <c r="F1085" s="34"/>
      <c r="G1085" s="34"/>
      <c r="H1085" s="33" t="s">
        <v>11199</v>
      </c>
      <c r="I1085" s="44" t="s">
        <v>12707</v>
      </c>
      <c r="J1085" s="33">
        <v>2019</v>
      </c>
      <c r="K1085" s="34"/>
      <c r="L1085" s="33" t="s">
        <v>11170</v>
      </c>
      <c r="M1085" s="34"/>
      <c r="N1085" s="37" t="s">
        <v>11289</v>
      </c>
      <c r="O1085" s="33" t="s">
        <v>6133</v>
      </c>
      <c r="P1085" s="33" t="s">
        <v>11290</v>
      </c>
      <c r="Q1085" s="36"/>
      <c r="R1085" s="36"/>
      <c r="S1085" s="33" t="s">
        <v>11291</v>
      </c>
      <c r="T1085" s="33" t="s">
        <v>12692</v>
      </c>
    </row>
    <row r="1086" spans="1:20" x14ac:dyDescent="0.25">
      <c r="A1086" s="33" t="s">
        <v>6129</v>
      </c>
      <c r="B1086" s="33" t="s">
        <v>6128</v>
      </c>
      <c r="C1086" s="33" t="s">
        <v>141</v>
      </c>
      <c r="D1086" s="34"/>
      <c r="E1086" s="33">
        <v>2019</v>
      </c>
      <c r="F1086" s="34"/>
      <c r="G1086" s="34"/>
      <c r="H1086" s="33" t="s">
        <v>6130</v>
      </c>
      <c r="I1086" s="33" t="s">
        <v>6131</v>
      </c>
      <c r="J1086" s="43">
        <v>43586</v>
      </c>
      <c r="K1086" s="36"/>
      <c r="L1086" s="36"/>
      <c r="M1086" s="34"/>
      <c r="N1086" s="37" t="s">
        <v>6132</v>
      </c>
      <c r="O1086" s="33" t="s">
        <v>6133</v>
      </c>
      <c r="P1086" s="33" t="s">
        <v>6134</v>
      </c>
      <c r="Q1086" s="36"/>
      <c r="R1086" s="36"/>
      <c r="S1086" s="33" t="s">
        <v>6135</v>
      </c>
      <c r="T1086" s="38" t="s">
        <v>12688</v>
      </c>
    </row>
    <row r="1087" spans="1:20" x14ac:dyDescent="0.25">
      <c r="A1087" s="33" t="s">
        <v>7921</v>
      </c>
      <c r="B1087" s="33" t="s">
        <v>7920</v>
      </c>
      <c r="C1087" s="33" t="s">
        <v>141</v>
      </c>
      <c r="D1087" s="34"/>
      <c r="E1087" s="33">
        <v>2019</v>
      </c>
      <c r="F1087" s="34"/>
      <c r="G1087" s="34"/>
      <c r="H1087" s="33" t="s">
        <v>6506</v>
      </c>
      <c r="I1087" s="33" t="s">
        <v>7922</v>
      </c>
      <c r="J1087" s="43">
        <v>43525</v>
      </c>
      <c r="K1087" s="36"/>
      <c r="L1087" s="36"/>
      <c r="M1087" s="34"/>
      <c r="N1087" s="37" t="s">
        <v>7923</v>
      </c>
      <c r="O1087" s="33" t="s">
        <v>7924</v>
      </c>
      <c r="P1087" s="33" t="s">
        <v>7925</v>
      </c>
      <c r="Q1087" s="36"/>
      <c r="R1087" s="36"/>
      <c r="S1087" s="33" t="s">
        <v>7926</v>
      </c>
      <c r="T1087" s="38" t="s">
        <v>12688</v>
      </c>
    </row>
    <row r="1088" spans="1:20" x14ac:dyDescent="0.25">
      <c r="A1088" s="33" t="s">
        <v>5849</v>
      </c>
      <c r="B1088" s="33" t="s">
        <v>5848</v>
      </c>
      <c r="C1088" s="33" t="s">
        <v>141</v>
      </c>
      <c r="D1088" s="34"/>
      <c r="E1088" s="33">
        <v>2018</v>
      </c>
      <c r="F1088" s="34"/>
      <c r="G1088" s="34"/>
      <c r="H1088" s="33" t="s">
        <v>5850</v>
      </c>
      <c r="I1088" s="33" t="s">
        <v>196</v>
      </c>
      <c r="J1088" s="33">
        <v>2018</v>
      </c>
      <c r="K1088" s="33">
        <v>9781450356633</v>
      </c>
      <c r="L1088" s="34"/>
      <c r="M1088" s="33" t="s">
        <v>1458</v>
      </c>
      <c r="N1088" s="37" t="s">
        <v>5851</v>
      </c>
      <c r="O1088" s="33" t="s">
        <v>5852</v>
      </c>
      <c r="P1088" s="33" t="s">
        <v>5853</v>
      </c>
      <c r="Q1088" s="33" t="s">
        <v>2420</v>
      </c>
      <c r="R1088" s="34"/>
      <c r="S1088" s="38"/>
      <c r="T1088" s="38" t="s">
        <v>12690</v>
      </c>
    </row>
    <row r="1089" spans="1:20" x14ac:dyDescent="0.25">
      <c r="A1089" s="33" t="s">
        <v>4848</v>
      </c>
      <c r="B1089" s="33" t="s">
        <v>4847</v>
      </c>
      <c r="C1089" s="33" t="s">
        <v>141</v>
      </c>
      <c r="D1089" s="34"/>
      <c r="E1089" s="33">
        <v>2019</v>
      </c>
      <c r="F1089" s="34"/>
      <c r="G1089" s="34"/>
      <c r="H1089" s="33" t="s">
        <v>4849</v>
      </c>
      <c r="I1089" s="33" t="s">
        <v>257</v>
      </c>
      <c r="J1089" s="33">
        <v>2019</v>
      </c>
      <c r="K1089" s="33">
        <v>9781728122649</v>
      </c>
      <c r="L1089" s="34"/>
      <c r="M1089" s="34"/>
      <c r="N1089" s="37" t="s">
        <v>4850</v>
      </c>
      <c r="O1089" s="33" t="s">
        <v>4851</v>
      </c>
      <c r="P1089" s="33" t="s">
        <v>4852</v>
      </c>
      <c r="Q1089" s="33" t="s">
        <v>4853</v>
      </c>
      <c r="R1089" s="34"/>
      <c r="S1089" s="38"/>
      <c r="T1089" s="38" t="s">
        <v>12690</v>
      </c>
    </row>
    <row r="1090" spans="1:20" x14ac:dyDescent="0.25">
      <c r="A1090" s="33" t="s">
        <v>4500</v>
      </c>
      <c r="B1090" s="33" t="s">
        <v>4499</v>
      </c>
      <c r="C1090" s="33" t="s">
        <v>141</v>
      </c>
      <c r="D1090" s="34"/>
      <c r="E1090" s="33">
        <v>2020</v>
      </c>
      <c r="F1090" s="34"/>
      <c r="G1090" s="34"/>
      <c r="H1090" s="33" t="s">
        <v>4501</v>
      </c>
      <c r="I1090" s="33" t="s">
        <v>145</v>
      </c>
      <c r="J1090" s="33">
        <v>2020</v>
      </c>
      <c r="K1090" s="33">
        <v>9781450377317</v>
      </c>
      <c r="L1090" s="34"/>
      <c r="M1090" s="34"/>
      <c r="N1090" s="37" t="s">
        <v>4502</v>
      </c>
      <c r="O1090" s="33" t="s">
        <v>4503</v>
      </c>
      <c r="P1090" s="33" t="s">
        <v>4504</v>
      </c>
      <c r="Q1090" s="33" t="s">
        <v>2723</v>
      </c>
      <c r="R1090" s="34"/>
      <c r="S1090" s="38"/>
      <c r="T1090" s="38" t="s">
        <v>12690</v>
      </c>
    </row>
    <row r="1091" spans="1:20" x14ac:dyDescent="0.25">
      <c r="A1091" s="39" t="s">
        <v>2581</v>
      </c>
      <c r="B1091" s="39" t="s">
        <v>10109</v>
      </c>
      <c r="C1091" s="39" t="s">
        <v>9478</v>
      </c>
      <c r="D1091" s="36"/>
      <c r="E1091" s="39">
        <v>2021</v>
      </c>
      <c r="F1091" s="39">
        <v>27</v>
      </c>
      <c r="G1091" s="39">
        <v>1</v>
      </c>
      <c r="H1091" s="36"/>
      <c r="I1091" s="39" t="s">
        <v>136</v>
      </c>
      <c r="J1091" s="36"/>
      <c r="K1091" s="36"/>
      <c r="L1091" s="36"/>
      <c r="M1091" s="34"/>
      <c r="N1091" s="41" t="s">
        <v>10110</v>
      </c>
      <c r="O1091" s="39" t="s">
        <v>2583</v>
      </c>
      <c r="P1091" s="33"/>
      <c r="Q1091" s="36"/>
      <c r="R1091" s="34"/>
      <c r="S1091" s="38"/>
      <c r="T1091" s="38" t="s">
        <v>12689</v>
      </c>
    </row>
    <row r="1092" spans="1:20" x14ac:dyDescent="0.25">
      <c r="A1092" s="33" t="s">
        <v>2581</v>
      </c>
      <c r="B1092" s="33" t="s">
        <v>2580</v>
      </c>
      <c r="C1092" s="33" t="s">
        <v>13</v>
      </c>
      <c r="D1092" s="33" t="s">
        <v>136</v>
      </c>
      <c r="E1092" s="33">
        <v>2022</v>
      </c>
      <c r="F1092" s="33">
        <v>27</v>
      </c>
      <c r="G1092" s="33">
        <v>1</v>
      </c>
      <c r="H1092" s="34"/>
      <c r="I1092" s="33" t="s">
        <v>137</v>
      </c>
      <c r="J1092" s="33">
        <v>2022</v>
      </c>
      <c r="K1092" s="34"/>
      <c r="L1092" s="34"/>
      <c r="M1092" s="33" t="s">
        <v>33</v>
      </c>
      <c r="N1092" s="37" t="s">
        <v>2582</v>
      </c>
      <c r="O1092" s="33" t="s">
        <v>2583</v>
      </c>
      <c r="P1092" s="33" t="s">
        <v>2584</v>
      </c>
      <c r="Q1092" s="33" t="s">
        <v>818</v>
      </c>
      <c r="R1092" s="34"/>
      <c r="S1092" s="38"/>
      <c r="T1092" s="38" t="s">
        <v>12690</v>
      </c>
    </row>
    <row r="1093" spans="1:20" x14ac:dyDescent="0.25">
      <c r="A1093" s="33" t="s">
        <v>7172</v>
      </c>
      <c r="B1093" s="33" t="s">
        <v>7171</v>
      </c>
      <c r="C1093" s="33" t="s">
        <v>141</v>
      </c>
      <c r="D1093" s="34"/>
      <c r="E1093" s="33">
        <v>2020</v>
      </c>
      <c r="F1093" s="34"/>
      <c r="G1093" s="34"/>
      <c r="H1093" s="42">
        <v>44938</v>
      </c>
      <c r="I1093" s="33" t="s">
        <v>7173</v>
      </c>
      <c r="J1093" s="43">
        <v>43952</v>
      </c>
      <c r="K1093" s="36"/>
      <c r="L1093" s="36"/>
      <c r="M1093" s="34"/>
      <c r="N1093" s="37" t="s">
        <v>7174</v>
      </c>
      <c r="O1093" s="33" t="s">
        <v>7175</v>
      </c>
      <c r="P1093" s="33" t="s">
        <v>7176</v>
      </c>
      <c r="Q1093" s="36"/>
      <c r="R1093" s="36"/>
      <c r="S1093" s="33" t="s">
        <v>7177</v>
      </c>
      <c r="T1093" s="38" t="s">
        <v>12688</v>
      </c>
    </row>
    <row r="1094" spans="1:20" x14ac:dyDescent="0.25">
      <c r="A1094" s="33" t="s">
        <v>11744</v>
      </c>
      <c r="B1094" s="33" t="s">
        <v>11743</v>
      </c>
      <c r="C1094" s="33" t="s">
        <v>141</v>
      </c>
      <c r="D1094" s="34"/>
      <c r="E1094" s="33">
        <v>2022</v>
      </c>
      <c r="F1094" s="34"/>
      <c r="G1094" s="34"/>
      <c r="H1094" s="33" t="s">
        <v>11745</v>
      </c>
      <c r="I1094" s="44" t="s">
        <v>12781</v>
      </c>
      <c r="J1094" s="33">
        <v>2022</v>
      </c>
      <c r="K1094" s="33">
        <v>9781450397452</v>
      </c>
      <c r="L1094" s="33" t="s">
        <v>11751</v>
      </c>
      <c r="M1094" s="34"/>
      <c r="N1094" s="37" t="s">
        <v>11748</v>
      </c>
      <c r="O1094" s="33" t="s">
        <v>852</v>
      </c>
      <c r="P1094" s="33" t="s">
        <v>11749</v>
      </c>
      <c r="Q1094" s="36"/>
      <c r="R1094" s="36"/>
      <c r="S1094" s="33" t="s">
        <v>11750</v>
      </c>
      <c r="T1094" s="33" t="s">
        <v>12692</v>
      </c>
    </row>
    <row r="1095" spans="1:20" x14ac:dyDescent="0.25">
      <c r="A1095" s="33" t="s">
        <v>11744</v>
      </c>
      <c r="B1095" s="33" t="s">
        <v>848</v>
      </c>
      <c r="C1095" s="33" t="s">
        <v>141</v>
      </c>
      <c r="D1095" s="34"/>
      <c r="E1095" s="33">
        <v>2022</v>
      </c>
      <c r="F1095" s="34"/>
      <c r="G1095" s="34"/>
      <c r="H1095" s="33" t="s">
        <v>850</v>
      </c>
      <c r="I1095" s="33" t="s">
        <v>145</v>
      </c>
      <c r="J1095" s="33">
        <v>2022</v>
      </c>
      <c r="K1095" s="33">
        <v>9781450397452</v>
      </c>
      <c r="L1095" s="34"/>
      <c r="M1095" s="34"/>
      <c r="N1095" s="37" t="s">
        <v>851</v>
      </c>
      <c r="O1095" s="33" t="s">
        <v>852</v>
      </c>
      <c r="P1095" s="33" t="s">
        <v>853</v>
      </c>
      <c r="Q1095" s="33" t="s">
        <v>157</v>
      </c>
      <c r="R1095" s="34"/>
      <c r="S1095" s="38"/>
      <c r="T1095" s="38" t="s">
        <v>12690</v>
      </c>
    </row>
    <row r="1096" spans="1:20" x14ac:dyDescent="0.25">
      <c r="A1096" s="33" t="s">
        <v>7166</v>
      </c>
      <c r="B1096" s="33" t="s">
        <v>7165</v>
      </c>
      <c r="C1096" s="33" t="s">
        <v>141</v>
      </c>
      <c r="D1096" s="34"/>
      <c r="E1096" s="33">
        <v>2020</v>
      </c>
      <c r="F1096" s="34"/>
      <c r="G1096" s="34"/>
      <c r="H1096" s="33" t="s">
        <v>11347</v>
      </c>
      <c r="I1096" s="44" t="s">
        <v>12782</v>
      </c>
      <c r="J1096" s="33">
        <v>2020</v>
      </c>
      <c r="K1096" s="33">
        <v>9781450371230</v>
      </c>
      <c r="L1096" s="33" t="s">
        <v>12317</v>
      </c>
      <c r="M1096" s="34"/>
      <c r="N1096" s="37" t="s">
        <v>12314</v>
      </c>
      <c r="O1096" s="33" t="s">
        <v>12315</v>
      </c>
      <c r="P1096" s="33" t="s">
        <v>12316</v>
      </c>
      <c r="Q1096" s="36"/>
      <c r="R1096" s="36"/>
      <c r="S1096" s="34"/>
      <c r="T1096" s="33" t="s">
        <v>12692</v>
      </c>
    </row>
    <row r="1097" spans="1:20" x14ac:dyDescent="0.25">
      <c r="A1097" s="33" t="s">
        <v>7166</v>
      </c>
      <c r="B1097" s="33" t="s">
        <v>7165</v>
      </c>
      <c r="C1097" s="33" t="s">
        <v>141</v>
      </c>
      <c r="D1097" s="34"/>
      <c r="E1097" s="33">
        <v>2020</v>
      </c>
      <c r="F1097" s="34"/>
      <c r="G1097" s="34"/>
      <c r="H1097" s="33" t="s">
        <v>7167</v>
      </c>
      <c r="I1097" s="33" t="s">
        <v>7168</v>
      </c>
      <c r="J1097" s="35">
        <v>44105</v>
      </c>
      <c r="K1097" s="36"/>
      <c r="L1097" s="36"/>
      <c r="M1097" s="34"/>
      <c r="N1097" s="34"/>
      <c r="O1097" s="34"/>
      <c r="P1097" s="33" t="s">
        <v>7169</v>
      </c>
      <c r="Q1097" s="36"/>
      <c r="R1097" s="36"/>
      <c r="S1097" s="33" t="s">
        <v>7170</v>
      </c>
      <c r="T1097" s="38" t="s">
        <v>12688</v>
      </c>
    </row>
    <row r="1098" spans="1:20" x14ac:dyDescent="0.25">
      <c r="A1098" s="39" t="s">
        <v>10609</v>
      </c>
      <c r="B1098" s="39" t="s">
        <v>10611</v>
      </c>
      <c r="C1098" s="39" t="s">
        <v>9478</v>
      </c>
      <c r="D1098" s="36"/>
      <c r="E1098" s="39">
        <v>2020</v>
      </c>
      <c r="F1098" s="39">
        <v>25</v>
      </c>
      <c r="G1098" s="39">
        <v>6</v>
      </c>
      <c r="H1098" s="36"/>
      <c r="I1098" s="39" t="s">
        <v>136</v>
      </c>
      <c r="J1098" s="36"/>
      <c r="K1098" s="36"/>
      <c r="L1098" s="36"/>
      <c r="M1098" s="34"/>
      <c r="N1098" s="41" t="s">
        <v>10612</v>
      </c>
      <c r="O1098" s="39" t="s">
        <v>10610</v>
      </c>
      <c r="P1098" s="33"/>
      <c r="Q1098" s="36"/>
      <c r="R1098" s="34"/>
      <c r="S1098" s="38"/>
      <c r="T1098" s="38" t="s">
        <v>12689</v>
      </c>
    </row>
    <row r="1099" spans="1:20" x14ac:dyDescent="0.25">
      <c r="A1099" s="33" t="s">
        <v>7502</v>
      </c>
      <c r="B1099" s="33" t="s">
        <v>6219</v>
      </c>
      <c r="C1099" s="33" t="s">
        <v>141</v>
      </c>
      <c r="D1099" s="34"/>
      <c r="E1099" s="33">
        <v>2017</v>
      </c>
      <c r="F1099" s="34"/>
      <c r="G1099" s="34"/>
      <c r="H1099" s="42">
        <v>44934</v>
      </c>
      <c r="I1099" s="33" t="s">
        <v>7503</v>
      </c>
      <c r="J1099" s="43">
        <v>42979</v>
      </c>
      <c r="K1099" s="36"/>
      <c r="L1099" s="36"/>
      <c r="M1099" s="34"/>
      <c r="N1099" s="37" t="s">
        <v>7504</v>
      </c>
      <c r="O1099" s="33" t="s">
        <v>7505</v>
      </c>
      <c r="P1099" s="33" t="s">
        <v>7506</v>
      </c>
      <c r="Q1099" s="36"/>
      <c r="R1099" s="36"/>
      <c r="S1099" s="33" t="s">
        <v>7507</v>
      </c>
      <c r="T1099" s="38" t="s">
        <v>12688</v>
      </c>
    </row>
    <row r="1100" spans="1:20" x14ac:dyDescent="0.25">
      <c r="A1100" s="33" t="s">
        <v>6247</v>
      </c>
      <c r="B1100" s="33" t="s">
        <v>6246</v>
      </c>
      <c r="C1100" s="33" t="s">
        <v>13</v>
      </c>
      <c r="D1100" s="33" t="s">
        <v>255</v>
      </c>
      <c r="E1100" s="33">
        <v>2021</v>
      </c>
      <c r="F1100" s="33">
        <v>47</v>
      </c>
      <c r="G1100" s="33">
        <v>9</v>
      </c>
      <c r="H1100" s="33" t="s">
        <v>6248</v>
      </c>
      <c r="I1100" s="34"/>
      <c r="J1100" s="43">
        <v>44440</v>
      </c>
      <c r="K1100" s="36"/>
      <c r="L1100" s="36"/>
      <c r="M1100" s="33" t="s">
        <v>6115</v>
      </c>
      <c r="N1100" s="37" t="s">
        <v>6249</v>
      </c>
      <c r="O1100" s="33" t="s">
        <v>6250</v>
      </c>
      <c r="P1100" s="33" t="s">
        <v>6251</v>
      </c>
      <c r="Q1100" s="36"/>
      <c r="R1100" s="36"/>
      <c r="S1100" s="33" t="s">
        <v>6252</v>
      </c>
      <c r="T1100" s="38" t="s">
        <v>12688</v>
      </c>
    </row>
    <row r="1101" spans="1:20" x14ac:dyDescent="0.25">
      <c r="A1101" s="33" t="s">
        <v>1284</v>
      </c>
      <c r="B1101" s="33" t="s">
        <v>1283</v>
      </c>
      <c r="C1101" s="33" t="s">
        <v>13</v>
      </c>
      <c r="D1101" s="33" t="s">
        <v>1285</v>
      </c>
      <c r="E1101" s="33">
        <v>2022</v>
      </c>
      <c r="F1101" s="33">
        <v>6</v>
      </c>
      <c r="G1101" s="33" t="s">
        <v>1286</v>
      </c>
      <c r="H1101" s="34"/>
      <c r="I1101" s="33" t="s">
        <v>145</v>
      </c>
      <c r="J1101" s="33">
        <v>2022</v>
      </c>
      <c r="K1101" s="34"/>
      <c r="L1101" s="34"/>
      <c r="M1101" s="33" t="s">
        <v>1287</v>
      </c>
      <c r="N1101" s="37" t="s">
        <v>1288</v>
      </c>
      <c r="O1101" s="33" t="s">
        <v>1289</v>
      </c>
      <c r="P1101" s="33" t="s">
        <v>1290</v>
      </c>
      <c r="Q1101" s="33" t="s">
        <v>157</v>
      </c>
      <c r="R1101" s="34"/>
      <c r="S1101" s="38"/>
      <c r="T1101" s="38" t="s">
        <v>12690</v>
      </c>
    </row>
    <row r="1102" spans="1:20" x14ac:dyDescent="0.25">
      <c r="A1102" s="33" t="s">
        <v>11667</v>
      </c>
      <c r="B1102" s="33" t="s">
        <v>2295</v>
      </c>
      <c r="C1102" s="33" t="s">
        <v>13</v>
      </c>
      <c r="D1102" s="33" t="s">
        <v>11246</v>
      </c>
      <c r="E1102" s="33">
        <v>2021</v>
      </c>
      <c r="F1102" s="33">
        <v>30</v>
      </c>
      <c r="G1102" s="33">
        <v>4</v>
      </c>
      <c r="H1102" s="34"/>
      <c r="I1102" s="44" t="s">
        <v>12710</v>
      </c>
      <c r="J1102" s="43">
        <v>44378</v>
      </c>
      <c r="K1102" s="34"/>
      <c r="L1102" s="34"/>
      <c r="M1102" s="33" t="s">
        <v>329</v>
      </c>
      <c r="N1102" s="37" t="s">
        <v>11668</v>
      </c>
      <c r="O1102" s="33" t="s">
        <v>2298</v>
      </c>
      <c r="P1102" s="33" t="s">
        <v>11669</v>
      </c>
      <c r="Q1102" s="36"/>
      <c r="R1102" s="36"/>
      <c r="S1102" s="33" t="s">
        <v>11670</v>
      </c>
      <c r="T1102" s="33" t="s">
        <v>12692</v>
      </c>
    </row>
    <row r="1103" spans="1:20" x14ac:dyDescent="0.25">
      <c r="A1103" s="33" t="s">
        <v>11667</v>
      </c>
      <c r="B1103" s="33" t="s">
        <v>2295</v>
      </c>
      <c r="C1103" s="33" t="s">
        <v>13</v>
      </c>
      <c r="D1103" s="33" t="s">
        <v>328</v>
      </c>
      <c r="E1103" s="33">
        <v>2021</v>
      </c>
      <c r="F1103" s="33">
        <v>30</v>
      </c>
      <c r="G1103" s="33">
        <v>4</v>
      </c>
      <c r="H1103" s="34"/>
      <c r="I1103" s="33" t="s">
        <v>145</v>
      </c>
      <c r="J1103" s="33">
        <v>2021</v>
      </c>
      <c r="K1103" s="34"/>
      <c r="L1103" s="34"/>
      <c r="M1103" s="33" t="s">
        <v>329</v>
      </c>
      <c r="N1103" s="37" t="s">
        <v>2297</v>
      </c>
      <c r="O1103" s="33" t="s">
        <v>2298</v>
      </c>
      <c r="P1103" s="33" t="s">
        <v>2299</v>
      </c>
      <c r="Q1103" s="33" t="s">
        <v>1573</v>
      </c>
      <c r="R1103" s="34"/>
      <c r="S1103" s="38"/>
      <c r="T1103" s="38" t="s">
        <v>12690</v>
      </c>
    </row>
    <row r="1104" spans="1:20" x14ac:dyDescent="0.25">
      <c r="A1104" s="33" t="s">
        <v>508</v>
      </c>
      <c r="B1104" s="33" t="s">
        <v>507</v>
      </c>
      <c r="C1104" s="33" t="s">
        <v>13</v>
      </c>
      <c r="D1104" s="33" t="s">
        <v>354</v>
      </c>
      <c r="E1104" s="33">
        <v>2023</v>
      </c>
      <c r="F1104" s="33">
        <v>195</v>
      </c>
      <c r="G1104" s="34"/>
      <c r="H1104" s="34"/>
      <c r="I1104" s="33" t="s">
        <v>355</v>
      </c>
      <c r="J1104" s="33">
        <v>2023</v>
      </c>
      <c r="K1104" s="34"/>
      <c r="L1104" s="34"/>
      <c r="M1104" s="33" t="s">
        <v>65</v>
      </c>
      <c r="N1104" s="37" t="s">
        <v>509</v>
      </c>
      <c r="O1104" s="33" t="s">
        <v>510</v>
      </c>
      <c r="P1104" s="33" t="s">
        <v>511</v>
      </c>
      <c r="Q1104" s="33" t="s">
        <v>157</v>
      </c>
      <c r="R1104" s="34"/>
      <c r="S1104" s="38"/>
      <c r="T1104" s="38" t="s">
        <v>12690</v>
      </c>
    </row>
    <row r="1105" spans="1:20" x14ac:dyDescent="0.25">
      <c r="A1105" s="33" t="s">
        <v>3819</v>
      </c>
      <c r="B1105" s="33" t="s">
        <v>3818</v>
      </c>
      <c r="C1105" s="33" t="s">
        <v>141</v>
      </c>
      <c r="D1105" s="34"/>
      <c r="E1105" s="33">
        <v>2020</v>
      </c>
      <c r="F1105" s="34"/>
      <c r="G1105" s="34"/>
      <c r="H1105" s="34"/>
      <c r="I1105" s="33" t="s">
        <v>196</v>
      </c>
      <c r="J1105" s="33">
        <v>2020</v>
      </c>
      <c r="K1105" s="33">
        <v>9781450375801</v>
      </c>
      <c r="L1105" s="34"/>
      <c r="M1105" s="33" t="s">
        <v>197</v>
      </c>
      <c r="N1105" s="37" t="s">
        <v>3820</v>
      </c>
      <c r="O1105" s="33" t="s">
        <v>3821</v>
      </c>
      <c r="P1105" s="33" t="s">
        <v>3822</v>
      </c>
      <c r="Q1105" s="33" t="s">
        <v>2723</v>
      </c>
      <c r="R1105" s="34"/>
      <c r="S1105" s="38"/>
      <c r="T1105" s="38" t="s">
        <v>12690</v>
      </c>
    </row>
    <row r="1106" spans="1:20" x14ac:dyDescent="0.25">
      <c r="A1106" s="33" t="s">
        <v>6397</v>
      </c>
      <c r="B1106" s="33" t="s">
        <v>6396</v>
      </c>
      <c r="C1106" s="33" t="s">
        <v>141</v>
      </c>
      <c r="D1106" s="34"/>
      <c r="E1106" s="33">
        <v>2019</v>
      </c>
      <c r="F1106" s="34"/>
      <c r="G1106" s="34"/>
      <c r="H1106" s="33" t="s">
        <v>6398</v>
      </c>
      <c r="I1106" s="33" t="s">
        <v>6399</v>
      </c>
      <c r="J1106" s="43">
        <v>43678</v>
      </c>
      <c r="K1106" s="36"/>
      <c r="L1106" s="36"/>
      <c r="M1106" s="34"/>
      <c r="N1106" s="37" t="s">
        <v>6400</v>
      </c>
      <c r="O1106" s="33" t="s">
        <v>6401</v>
      </c>
      <c r="P1106" s="33" t="s">
        <v>6402</v>
      </c>
      <c r="Q1106" s="36"/>
      <c r="R1106" s="36"/>
      <c r="S1106" s="33" t="s">
        <v>6403</v>
      </c>
      <c r="T1106" s="38" t="s">
        <v>12688</v>
      </c>
    </row>
    <row r="1107" spans="1:20" x14ac:dyDescent="0.25">
      <c r="A1107" s="33" t="s">
        <v>1496</v>
      </c>
      <c r="B1107" s="33" t="s">
        <v>1495</v>
      </c>
      <c r="C1107" s="33" t="s">
        <v>13</v>
      </c>
      <c r="D1107" s="33" t="s">
        <v>1285</v>
      </c>
      <c r="E1107" s="33">
        <v>2021</v>
      </c>
      <c r="F1107" s="33">
        <v>5</v>
      </c>
      <c r="G1107" s="33" t="s">
        <v>1497</v>
      </c>
      <c r="H1107" s="34"/>
      <c r="I1107" s="33" t="s">
        <v>145</v>
      </c>
      <c r="J1107" s="33">
        <v>2021</v>
      </c>
      <c r="K1107" s="34"/>
      <c r="L1107" s="34"/>
      <c r="M1107" s="33" t="s">
        <v>1287</v>
      </c>
      <c r="N1107" s="37" t="s">
        <v>1498</v>
      </c>
      <c r="O1107" s="33" t="s">
        <v>1499</v>
      </c>
      <c r="P1107" s="33" t="s">
        <v>1500</v>
      </c>
      <c r="Q1107" s="33" t="s">
        <v>568</v>
      </c>
      <c r="R1107" s="34"/>
      <c r="S1107" s="38"/>
      <c r="T1107" s="38" t="s">
        <v>12690</v>
      </c>
    </row>
    <row r="1108" spans="1:20" x14ac:dyDescent="0.25">
      <c r="A1108" s="33" t="s">
        <v>7736</v>
      </c>
      <c r="B1108" s="33" t="s">
        <v>7735</v>
      </c>
      <c r="C1108" s="33" t="s">
        <v>13</v>
      </c>
      <c r="D1108" s="33" t="s">
        <v>255</v>
      </c>
      <c r="E1108" s="33">
        <v>2023</v>
      </c>
      <c r="F1108" s="34"/>
      <c r="G1108" s="34"/>
      <c r="H1108" s="42">
        <v>44943</v>
      </c>
      <c r="I1108" s="34"/>
      <c r="J1108" s="33">
        <v>2023</v>
      </c>
      <c r="K1108" s="36"/>
      <c r="L1108" s="36"/>
      <c r="M1108" s="33" t="s">
        <v>6115</v>
      </c>
      <c r="N1108" s="37" t="s">
        <v>7737</v>
      </c>
      <c r="O1108" s="33" t="s">
        <v>7738</v>
      </c>
      <c r="P1108" s="33" t="s">
        <v>7739</v>
      </c>
      <c r="Q1108" s="36"/>
      <c r="R1108" s="36"/>
      <c r="S1108" s="33" t="s">
        <v>7740</v>
      </c>
      <c r="T1108" s="38" t="s">
        <v>12688</v>
      </c>
    </row>
    <row r="1109" spans="1:20" x14ac:dyDescent="0.25">
      <c r="A1109" s="33" t="s">
        <v>11878</v>
      </c>
      <c r="B1109" s="33" t="s">
        <v>1981</v>
      </c>
      <c r="C1109" s="33" t="s">
        <v>141</v>
      </c>
      <c r="D1109" s="34"/>
      <c r="E1109" s="33">
        <v>2022</v>
      </c>
      <c r="F1109" s="34"/>
      <c r="G1109" s="34"/>
      <c r="H1109" s="33" t="s">
        <v>6773</v>
      </c>
      <c r="I1109" s="33" t="s">
        <v>6469</v>
      </c>
      <c r="J1109" s="43">
        <v>44682</v>
      </c>
      <c r="K1109" s="36"/>
      <c r="L1109" s="36"/>
      <c r="M1109" s="33" t="s">
        <v>6152</v>
      </c>
      <c r="N1109" s="37" t="s">
        <v>6774</v>
      </c>
      <c r="O1109" s="33" t="s">
        <v>1985</v>
      </c>
      <c r="P1109" s="33" t="s">
        <v>6775</v>
      </c>
      <c r="Q1109" s="36"/>
      <c r="R1109" s="36"/>
      <c r="S1109" s="33" t="s">
        <v>6776</v>
      </c>
      <c r="T1109" s="38" t="s">
        <v>12688</v>
      </c>
    </row>
    <row r="1110" spans="1:20" x14ac:dyDescent="0.25">
      <c r="A1110" s="33" t="s">
        <v>11878</v>
      </c>
      <c r="B1110" s="33" t="s">
        <v>1981</v>
      </c>
      <c r="C1110" s="33" t="s">
        <v>141</v>
      </c>
      <c r="D1110" s="34"/>
      <c r="E1110" s="33">
        <v>2022</v>
      </c>
      <c r="F1110" s="34"/>
      <c r="G1110" s="34"/>
      <c r="H1110" s="33" t="s">
        <v>1983</v>
      </c>
      <c r="I1110" s="33" t="s">
        <v>257</v>
      </c>
      <c r="J1110" s="33">
        <v>2022</v>
      </c>
      <c r="K1110" s="33">
        <v>9781450393034</v>
      </c>
      <c r="L1110" s="34"/>
      <c r="M1110" s="34"/>
      <c r="N1110" s="37" t="s">
        <v>1984</v>
      </c>
      <c r="O1110" s="33" t="s">
        <v>1985</v>
      </c>
      <c r="P1110" s="33" t="s">
        <v>1986</v>
      </c>
      <c r="Q1110" s="33" t="s">
        <v>149</v>
      </c>
      <c r="R1110" s="34"/>
      <c r="S1110" s="38"/>
      <c r="T1110" s="38" t="s">
        <v>12690</v>
      </c>
    </row>
    <row r="1111" spans="1:20" x14ac:dyDescent="0.25">
      <c r="A1111" s="33" t="s">
        <v>11878</v>
      </c>
      <c r="B1111" s="33" t="s">
        <v>1981</v>
      </c>
      <c r="C1111" s="33" t="s">
        <v>141</v>
      </c>
      <c r="D1111" s="34"/>
      <c r="E1111" s="33">
        <v>2022</v>
      </c>
      <c r="F1111" s="34"/>
      <c r="G1111" s="34"/>
      <c r="H1111" s="33" t="s">
        <v>11879</v>
      </c>
      <c r="I1111" s="44" t="s">
        <v>12740</v>
      </c>
      <c r="J1111" s="33">
        <v>2022</v>
      </c>
      <c r="K1111" s="33">
        <v>9781450393034</v>
      </c>
      <c r="L1111" s="33" t="s">
        <v>11329</v>
      </c>
      <c r="M1111" s="34"/>
      <c r="N1111" s="37" t="s">
        <v>11880</v>
      </c>
      <c r="O1111" s="33" t="s">
        <v>1985</v>
      </c>
      <c r="P1111" s="33" t="s">
        <v>11881</v>
      </c>
      <c r="Q1111" s="36"/>
      <c r="R1111" s="36"/>
      <c r="S1111" s="33" t="s">
        <v>11882</v>
      </c>
      <c r="T1111" s="33" t="s">
        <v>12692</v>
      </c>
    </row>
    <row r="1112" spans="1:20" x14ac:dyDescent="0.25">
      <c r="A1112" s="33" t="s">
        <v>9779</v>
      </c>
      <c r="B1112" s="33" t="s">
        <v>244</v>
      </c>
      <c r="C1112" s="33" t="s">
        <v>13</v>
      </c>
      <c r="D1112" s="33" t="s">
        <v>246</v>
      </c>
      <c r="E1112" s="33">
        <v>2022</v>
      </c>
      <c r="F1112" s="33">
        <v>23</v>
      </c>
      <c r="G1112" s="33">
        <v>5</v>
      </c>
      <c r="H1112" s="33" t="s">
        <v>247</v>
      </c>
      <c r="I1112" s="33" t="s">
        <v>248</v>
      </c>
      <c r="J1112" s="33">
        <v>2022</v>
      </c>
      <c r="K1112" s="34"/>
      <c r="L1112" s="34"/>
      <c r="M1112" s="33" t="s">
        <v>249</v>
      </c>
      <c r="N1112" s="37" t="s">
        <v>250</v>
      </c>
      <c r="O1112" s="33" t="s">
        <v>251</v>
      </c>
      <c r="P1112" s="33" t="s">
        <v>252</v>
      </c>
      <c r="Q1112" s="33" t="s">
        <v>157</v>
      </c>
      <c r="R1112" s="34"/>
      <c r="S1112" s="38"/>
      <c r="T1112" s="38" t="s">
        <v>12690</v>
      </c>
    </row>
    <row r="1113" spans="1:20" x14ac:dyDescent="0.25">
      <c r="A1113" s="39" t="s">
        <v>9779</v>
      </c>
      <c r="B1113" s="39" t="s">
        <v>9780</v>
      </c>
      <c r="C1113" s="39" t="s">
        <v>9478</v>
      </c>
      <c r="D1113" s="36"/>
      <c r="E1113" s="39">
        <v>2022</v>
      </c>
      <c r="F1113" s="39">
        <v>23</v>
      </c>
      <c r="G1113" s="39">
        <v>5</v>
      </c>
      <c r="H1113" s="36"/>
      <c r="I1113" s="39" t="s">
        <v>9778</v>
      </c>
      <c r="J1113" s="36"/>
      <c r="K1113" s="36"/>
      <c r="L1113" s="36"/>
      <c r="M1113" s="34"/>
      <c r="N1113" s="41" t="s">
        <v>9781</v>
      </c>
      <c r="O1113" s="39" t="s">
        <v>251</v>
      </c>
      <c r="P1113" s="33"/>
      <c r="Q1113" s="36"/>
      <c r="R1113" s="34"/>
      <c r="S1113" s="38"/>
      <c r="T1113" s="38" t="s">
        <v>12689</v>
      </c>
    </row>
    <row r="1114" spans="1:20" x14ac:dyDescent="0.25">
      <c r="A1114" s="33" t="s">
        <v>2819</v>
      </c>
      <c r="B1114" s="33" t="s">
        <v>2818</v>
      </c>
      <c r="C1114" s="33" t="s">
        <v>13</v>
      </c>
      <c r="D1114" s="33" t="s">
        <v>1355</v>
      </c>
      <c r="E1114" s="33">
        <v>2021</v>
      </c>
      <c r="F1114" s="33">
        <v>167</v>
      </c>
      <c r="G1114" s="36"/>
      <c r="H1114" s="33">
        <v>114176</v>
      </c>
      <c r="I1114" s="36"/>
      <c r="J1114" s="33">
        <v>2021</v>
      </c>
      <c r="K1114" s="34"/>
      <c r="L1114" s="34"/>
      <c r="M1114" s="33" t="s">
        <v>1356</v>
      </c>
      <c r="N1114" s="37" t="s">
        <v>8790</v>
      </c>
      <c r="O1114" s="33" t="s">
        <v>2821</v>
      </c>
      <c r="P1114" s="33" t="s">
        <v>8791</v>
      </c>
      <c r="Q1114" s="36"/>
      <c r="R1114" s="36"/>
      <c r="S1114" s="33" t="s">
        <v>8792</v>
      </c>
      <c r="T1114" s="38" t="s">
        <v>12693</v>
      </c>
    </row>
    <row r="1115" spans="1:20" x14ac:dyDescent="0.25">
      <c r="A1115" s="33" t="s">
        <v>2819</v>
      </c>
      <c r="B1115" s="33" t="s">
        <v>2818</v>
      </c>
      <c r="C1115" s="33" t="s">
        <v>13</v>
      </c>
      <c r="D1115" s="33" t="s">
        <v>1355</v>
      </c>
      <c r="E1115" s="33">
        <v>2021</v>
      </c>
      <c r="F1115" s="33">
        <v>167</v>
      </c>
      <c r="G1115" s="34"/>
      <c r="H1115" s="34"/>
      <c r="I1115" s="33" t="s">
        <v>1060</v>
      </c>
      <c r="J1115" s="33">
        <v>2021</v>
      </c>
      <c r="K1115" s="34"/>
      <c r="L1115" s="34"/>
      <c r="M1115" s="33" t="s">
        <v>1356</v>
      </c>
      <c r="N1115" s="37" t="s">
        <v>2820</v>
      </c>
      <c r="O1115" s="33" t="s">
        <v>2821</v>
      </c>
      <c r="P1115" s="33" t="s">
        <v>2822</v>
      </c>
      <c r="Q1115" s="33" t="s">
        <v>2823</v>
      </c>
      <c r="R1115" s="34"/>
      <c r="S1115" s="38"/>
      <c r="T1115" s="38" t="s">
        <v>12690</v>
      </c>
    </row>
    <row r="1116" spans="1:20" x14ac:dyDescent="0.25">
      <c r="A1116" s="39" t="s">
        <v>10683</v>
      </c>
      <c r="B1116" s="39" t="s">
        <v>10685</v>
      </c>
      <c r="C1116" s="39" t="s">
        <v>9478</v>
      </c>
      <c r="D1116" s="36"/>
      <c r="E1116" s="39">
        <v>2022</v>
      </c>
      <c r="F1116" s="39">
        <v>29</v>
      </c>
      <c r="G1116" s="39">
        <v>2</v>
      </c>
      <c r="H1116" s="36"/>
      <c r="I1116" s="39" t="s">
        <v>582</v>
      </c>
      <c r="J1116" s="36"/>
      <c r="K1116" s="36"/>
      <c r="L1116" s="36"/>
      <c r="M1116" s="34"/>
      <c r="N1116" s="41" t="s">
        <v>10686</v>
      </c>
      <c r="O1116" s="39" t="s">
        <v>10684</v>
      </c>
      <c r="P1116" s="33"/>
      <c r="Q1116" s="36"/>
      <c r="R1116" s="34"/>
      <c r="S1116" s="38"/>
      <c r="T1116" s="38" t="s">
        <v>12689</v>
      </c>
    </row>
    <row r="1117" spans="1:20" x14ac:dyDescent="0.25">
      <c r="A1117" s="33" t="s">
        <v>540</v>
      </c>
      <c r="B1117" s="34"/>
      <c r="C1117" s="33" t="s">
        <v>539</v>
      </c>
      <c r="D1117" s="34"/>
      <c r="E1117" s="33">
        <v>2022</v>
      </c>
      <c r="F1117" s="34"/>
      <c r="G1117" s="34"/>
      <c r="H1117" s="34"/>
      <c r="I1117" s="33" t="s">
        <v>541</v>
      </c>
      <c r="J1117" s="33">
        <v>2022</v>
      </c>
      <c r="K1117" s="33">
        <v>9780309270175</v>
      </c>
      <c r="L1117" s="34"/>
      <c r="M1117" s="34"/>
      <c r="N1117" s="37" t="s">
        <v>542</v>
      </c>
      <c r="O1117" s="33" t="s">
        <v>543</v>
      </c>
      <c r="P1117" s="33" t="s">
        <v>544</v>
      </c>
      <c r="Q1117" s="33" t="s">
        <v>176</v>
      </c>
      <c r="R1117" s="33" t="s">
        <v>545</v>
      </c>
      <c r="S1117" s="38"/>
      <c r="T1117" s="38" t="s">
        <v>12690</v>
      </c>
    </row>
    <row r="1118" spans="1:20" x14ac:dyDescent="0.25">
      <c r="A1118" s="33" t="s">
        <v>9065</v>
      </c>
      <c r="B1118" s="33" t="s">
        <v>9064</v>
      </c>
      <c r="C1118" s="33" t="s">
        <v>13</v>
      </c>
      <c r="D1118" s="33" t="s">
        <v>354</v>
      </c>
      <c r="E1118" s="33">
        <v>2022</v>
      </c>
      <c r="F1118" s="33">
        <v>184</v>
      </c>
      <c r="G1118" s="36"/>
      <c r="H1118" s="33">
        <v>111124</v>
      </c>
      <c r="I1118" s="36"/>
      <c r="J1118" s="33">
        <v>2022</v>
      </c>
      <c r="K1118" s="34"/>
      <c r="L1118" s="34"/>
      <c r="M1118" s="33" t="s">
        <v>65</v>
      </c>
      <c r="N1118" s="37" t="s">
        <v>9066</v>
      </c>
      <c r="O1118" s="33" t="s">
        <v>9067</v>
      </c>
      <c r="P1118" s="33" t="s">
        <v>9068</v>
      </c>
      <c r="Q1118" s="36"/>
      <c r="R1118" s="36"/>
      <c r="S1118" s="33" t="s">
        <v>9069</v>
      </c>
      <c r="T1118" s="38" t="s">
        <v>12693</v>
      </c>
    </row>
    <row r="1119" spans="1:20" x14ac:dyDescent="0.25">
      <c r="A1119" s="33" t="s">
        <v>240</v>
      </c>
      <c r="B1119" s="33" t="s">
        <v>239</v>
      </c>
      <c r="C1119" s="33" t="s">
        <v>13</v>
      </c>
      <c r="D1119" s="33" t="s">
        <v>188</v>
      </c>
      <c r="E1119" s="33">
        <v>2022</v>
      </c>
      <c r="F1119" s="34"/>
      <c r="G1119" s="34"/>
      <c r="H1119" s="34"/>
      <c r="I1119" s="33" t="s">
        <v>189</v>
      </c>
      <c r="J1119" s="33">
        <v>2022</v>
      </c>
      <c r="K1119" s="34"/>
      <c r="L1119" s="34"/>
      <c r="M1119" s="33" t="s">
        <v>73</v>
      </c>
      <c r="N1119" s="37" t="s">
        <v>241</v>
      </c>
      <c r="O1119" s="33" t="s">
        <v>242</v>
      </c>
      <c r="P1119" s="33" t="s">
        <v>243</v>
      </c>
      <c r="Q1119" s="33" t="s">
        <v>157</v>
      </c>
      <c r="R1119" s="34"/>
      <c r="S1119" s="38"/>
      <c r="T1119" s="38" t="s">
        <v>12690</v>
      </c>
    </row>
    <row r="1120" spans="1:20" x14ac:dyDescent="0.25">
      <c r="A1120" s="39" t="s">
        <v>9468</v>
      </c>
      <c r="B1120" s="39" t="s">
        <v>9470</v>
      </c>
      <c r="C1120" s="39" t="s">
        <v>539</v>
      </c>
      <c r="D1120" s="36"/>
      <c r="E1120" s="39">
        <v>2022</v>
      </c>
      <c r="F1120" s="40"/>
      <c r="G1120" s="40"/>
      <c r="H1120" s="36"/>
      <c r="I1120" s="39" t="s">
        <v>1547</v>
      </c>
      <c r="J1120" s="36"/>
      <c r="K1120" s="36"/>
      <c r="L1120" s="36"/>
      <c r="M1120" s="34"/>
      <c r="N1120" s="41" t="s">
        <v>9471</v>
      </c>
      <c r="O1120" s="39" t="s">
        <v>9469</v>
      </c>
      <c r="P1120" s="33"/>
      <c r="Q1120" s="36"/>
      <c r="R1120" s="34"/>
      <c r="S1120" s="38"/>
      <c r="T1120" s="38" t="s">
        <v>12689</v>
      </c>
    </row>
    <row r="1121" spans="1:20" x14ac:dyDescent="0.25">
      <c r="A1121" s="39" t="s">
        <v>9508</v>
      </c>
      <c r="B1121" s="39" t="s">
        <v>9510</v>
      </c>
      <c r="C1121" s="39" t="s">
        <v>539</v>
      </c>
      <c r="D1121" s="36"/>
      <c r="E1121" s="39">
        <v>2022</v>
      </c>
      <c r="F1121" s="40"/>
      <c r="G1121" s="40"/>
      <c r="H1121" s="36"/>
      <c r="I1121" s="39" t="s">
        <v>676</v>
      </c>
      <c r="J1121" s="36"/>
      <c r="K1121" s="36"/>
      <c r="L1121" s="36"/>
      <c r="M1121" s="34"/>
      <c r="N1121" s="41" t="s">
        <v>9511</v>
      </c>
      <c r="O1121" s="39" t="s">
        <v>9509</v>
      </c>
      <c r="P1121" s="33"/>
      <c r="Q1121" s="36"/>
      <c r="R1121" s="34"/>
      <c r="S1121" s="38"/>
      <c r="T1121" s="38" t="s">
        <v>12689</v>
      </c>
    </row>
    <row r="1122" spans="1:20" x14ac:dyDescent="0.25">
      <c r="A1122" s="33" t="s">
        <v>832</v>
      </c>
      <c r="B1122" s="33" t="s">
        <v>831</v>
      </c>
      <c r="C1122" s="33" t="s">
        <v>13</v>
      </c>
      <c r="D1122" s="33" t="s">
        <v>354</v>
      </c>
      <c r="E1122" s="33">
        <v>2022</v>
      </c>
      <c r="F1122" s="33">
        <v>194</v>
      </c>
      <c r="G1122" s="34"/>
      <c r="H1122" s="34"/>
      <c r="I1122" s="33" t="s">
        <v>355</v>
      </c>
      <c r="J1122" s="33">
        <v>2022</v>
      </c>
      <c r="K1122" s="34"/>
      <c r="L1122" s="34"/>
      <c r="M1122" s="33" t="s">
        <v>65</v>
      </c>
      <c r="N1122" s="37" t="s">
        <v>833</v>
      </c>
      <c r="O1122" s="33" t="s">
        <v>834</v>
      </c>
      <c r="P1122" s="33" t="s">
        <v>835</v>
      </c>
      <c r="Q1122" s="33" t="s">
        <v>585</v>
      </c>
      <c r="R1122" s="34"/>
      <c r="S1122" s="38"/>
      <c r="T1122" s="38" t="s">
        <v>12690</v>
      </c>
    </row>
    <row r="1123" spans="1:20" x14ac:dyDescent="0.25">
      <c r="A1123" s="33" t="s">
        <v>6320</v>
      </c>
      <c r="B1123" s="33" t="s">
        <v>30</v>
      </c>
      <c r="C1123" s="33" t="s">
        <v>141</v>
      </c>
      <c r="D1123" s="34"/>
      <c r="E1123" s="33">
        <v>2020</v>
      </c>
      <c r="F1123" s="34"/>
      <c r="G1123" s="34"/>
      <c r="H1123" s="33" t="s">
        <v>6321</v>
      </c>
      <c r="I1123" s="33" t="s">
        <v>6322</v>
      </c>
      <c r="J1123" s="43">
        <v>44044</v>
      </c>
      <c r="K1123" s="36"/>
      <c r="L1123" s="36"/>
      <c r="M1123" s="34"/>
      <c r="N1123" s="37" t="s">
        <v>6323</v>
      </c>
      <c r="O1123" s="33" t="s">
        <v>6324</v>
      </c>
      <c r="P1123" s="33" t="s">
        <v>6325</v>
      </c>
      <c r="Q1123" s="36"/>
      <c r="R1123" s="36"/>
      <c r="S1123" s="33" t="s">
        <v>6326</v>
      </c>
      <c r="T1123" s="38" t="s">
        <v>12688</v>
      </c>
    </row>
    <row r="1124" spans="1:20" x14ac:dyDescent="0.25">
      <c r="A1124" s="33" t="s">
        <v>4506</v>
      </c>
      <c r="B1124" s="33" t="s">
        <v>4505</v>
      </c>
      <c r="C1124" s="33" t="s">
        <v>141</v>
      </c>
      <c r="D1124" s="34"/>
      <c r="E1124" s="33">
        <v>2019</v>
      </c>
      <c r="F1124" s="34"/>
      <c r="G1124" s="34"/>
      <c r="H1124" s="33" t="s">
        <v>4507</v>
      </c>
      <c r="I1124" s="33" t="s">
        <v>257</v>
      </c>
      <c r="J1124" s="33">
        <v>2019</v>
      </c>
      <c r="K1124" s="33">
        <v>9781538681138</v>
      </c>
      <c r="L1124" s="34"/>
      <c r="M1124" s="34"/>
      <c r="N1124" s="37" t="s">
        <v>4508</v>
      </c>
      <c r="O1124" s="33" t="s">
        <v>4509</v>
      </c>
      <c r="P1124" s="33" t="s">
        <v>4510</v>
      </c>
      <c r="Q1124" s="33" t="s">
        <v>185</v>
      </c>
      <c r="R1124" s="34"/>
      <c r="S1124" s="38"/>
      <c r="T1124" s="38" t="s">
        <v>12690</v>
      </c>
    </row>
    <row r="1125" spans="1:20" x14ac:dyDescent="0.25">
      <c r="A1125" s="33" t="s">
        <v>4453</v>
      </c>
      <c r="B1125" s="33" t="s">
        <v>4452</v>
      </c>
      <c r="C1125" s="33" t="s">
        <v>13</v>
      </c>
      <c r="D1125" s="33" t="s">
        <v>668</v>
      </c>
      <c r="E1125" s="33">
        <v>2019</v>
      </c>
      <c r="F1125" s="33">
        <v>7</v>
      </c>
      <c r="G1125" s="34"/>
      <c r="H1125" s="33" t="s">
        <v>6587</v>
      </c>
      <c r="I1125" s="34"/>
      <c r="J1125" s="33">
        <v>2019</v>
      </c>
      <c r="K1125" s="36"/>
      <c r="L1125" s="36"/>
      <c r="M1125" s="33" t="s">
        <v>670</v>
      </c>
      <c r="N1125" s="37" t="s">
        <v>6588</v>
      </c>
      <c r="O1125" s="33" t="s">
        <v>4456</v>
      </c>
      <c r="P1125" s="33" t="s">
        <v>6589</v>
      </c>
      <c r="Q1125" s="36"/>
      <c r="R1125" s="36"/>
      <c r="S1125" s="33" t="s">
        <v>6590</v>
      </c>
      <c r="T1125" s="38" t="s">
        <v>12688</v>
      </c>
    </row>
    <row r="1126" spans="1:20" x14ac:dyDescent="0.25">
      <c r="A1126" s="33" t="s">
        <v>4453</v>
      </c>
      <c r="B1126" s="33" t="s">
        <v>4452</v>
      </c>
      <c r="C1126" s="33" t="s">
        <v>13</v>
      </c>
      <c r="D1126" s="33" t="s">
        <v>668</v>
      </c>
      <c r="E1126" s="33">
        <v>2019</v>
      </c>
      <c r="F1126" s="33">
        <v>7</v>
      </c>
      <c r="G1126" s="34"/>
      <c r="H1126" s="33" t="s">
        <v>4454</v>
      </c>
      <c r="I1126" s="33" t="s">
        <v>257</v>
      </c>
      <c r="J1126" s="33">
        <v>2019</v>
      </c>
      <c r="K1126" s="34"/>
      <c r="L1126" s="34"/>
      <c r="M1126" s="33" t="s">
        <v>670</v>
      </c>
      <c r="N1126" s="37" t="s">
        <v>4455</v>
      </c>
      <c r="O1126" s="33" t="s">
        <v>4456</v>
      </c>
      <c r="P1126" s="33" t="s">
        <v>4457</v>
      </c>
      <c r="Q1126" s="33" t="s">
        <v>4458</v>
      </c>
      <c r="R1126" s="34"/>
      <c r="S1126" s="38"/>
      <c r="T1126" s="38" t="s">
        <v>12690</v>
      </c>
    </row>
    <row r="1127" spans="1:20" x14ac:dyDescent="0.25">
      <c r="A1127" s="33" t="s">
        <v>7742</v>
      </c>
      <c r="B1127" s="33" t="s">
        <v>7741</v>
      </c>
      <c r="C1127" s="33" t="s">
        <v>141</v>
      </c>
      <c r="D1127" s="34"/>
      <c r="E1127" s="33">
        <v>2021</v>
      </c>
      <c r="F1127" s="34"/>
      <c r="G1127" s="34"/>
      <c r="H1127" s="33" t="s">
        <v>7743</v>
      </c>
      <c r="I1127" s="33" t="s">
        <v>7744</v>
      </c>
      <c r="J1127" s="35">
        <v>44531</v>
      </c>
      <c r="K1127" s="36"/>
      <c r="L1127" s="36"/>
      <c r="M1127" s="34"/>
      <c r="N1127" s="37" t="s">
        <v>7745</v>
      </c>
      <c r="O1127" s="33" t="s">
        <v>7746</v>
      </c>
      <c r="P1127" s="33" t="s">
        <v>7747</v>
      </c>
      <c r="Q1127" s="36"/>
      <c r="R1127" s="36"/>
      <c r="S1127" s="33" t="s">
        <v>7748</v>
      </c>
      <c r="T1127" s="38" t="s">
        <v>12688</v>
      </c>
    </row>
    <row r="1128" spans="1:20" x14ac:dyDescent="0.25">
      <c r="A1128" s="33" t="s">
        <v>2736</v>
      </c>
      <c r="B1128" s="33" t="s">
        <v>2735</v>
      </c>
      <c r="C1128" s="33" t="s">
        <v>141</v>
      </c>
      <c r="D1128" s="34"/>
      <c r="E1128" s="33">
        <v>2020</v>
      </c>
      <c r="F1128" s="34"/>
      <c r="G1128" s="34"/>
      <c r="H1128" s="34"/>
      <c r="I1128" s="33" t="s">
        <v>257</v>
      </c>
      <c r="J1128" s="33">
        <v>2020</v>
      </c>
      <c r="K1128" s="33">
        <v>9781728191058</v>
      </c>
      <c r="L1128" s="34"/>
      <c r="M1128" s="34"/>
      <c r="N1128" s="37" t="s">
        <v>2737</v>
      </c>
      <c r="O1128" s="33" t="s">
        <v>2738</v>
      </c>
      <c r="P1128" s="33" t="s">
        <v>2739</v>
      </c>
      <c r="Q1128" s="33" t="s">
        <v>318</v>
      </c>
      <c r="R1128" s="34"/>
      <c r="S1128" s="38"/>
      <c r="T1128" s="38" t="s">
        <v>12690</v>
      </c>
    </row>
    <row r="1129" spans="1:20" x14ac:dyDescent="0.25">
      <c r="A1129" s="33" t="s">
        <v>6314</v>
      </c>
      <c r="B1129" s="33" t="s">
        <v>4688</v>
      </c>
      <c r="C1129" s="33" t="s">
        <v>141</v>
      </c>
      <c r="D1129" s="34"/>
      <c r="E1129" s="33">
        <v>2018</v>
      </c>
      <c r="F1129" s="34"/>
      <c r="G1129" s="34"/>
      <c r="H1129" s="42">
        <v>45119</v>
      </c>
      <c r="I1129" s="33" t="s">
        <v>6315</v>
      </c>
      <c r="J1129" s="35">
        <v>43435</v>
      </c>
      <c r="K1129" s="36"/>
      <c r="L1129" s="36"/>
      <c r="M1129" s="33" t="s">
        <v>6316</v>
      </c>
      <c r="N1129" s="37" t="s">
        <v>6317</v>
      </c>
      <c r="O1129" s="33" t="s">
        <v>4691</v>
      </c>
      <c r="P1129" s="33" t="s">
        <v>6318</v>
      </c>
      <c r="Q1129" s="36"/>
      <c r="R1129" s="36"/>
      <c r="S1129" s="33" t="s">
        <v>6319</v>
      </c>
      <c r="T1129" s="38" t="s">
        <v>12688</v>
      </c>
    </row>
    <row r="1130" spans="1:20" x14ac:dyDescent="0.25">
      <c r="A1130" s="33" t="s">
        <v>6314</v>
      </c>
      <c r="B1130" s="33" t="s">
        <v>4688</v>
      </c>
      <c r="C1130" s="33" t="s">
        <v>141</v>
      </c>
      <c r="D1130" s="34"/>
      <c r="E1130" s="33">
        <v>2019</v>
      </c>
      <c r="F1130" s="34"/>
      <c r="G1130" s="34"/>
      <c r="H1130" s="33" t="s">
        <v>1977</v>
      </c>
      <c r="I1130" s="33" t="s">
        <v>257</v>
      </c>
      <c r="J1130" s="33">
        <v>2019</v>
      </c>
      <c r="K1130" s="33">
        <v>9781728104393</v>
      </c>
      <c r="L1130" s="34"/>
      <c r="M1130" s="34"/>
      <c r="N1130" s="37" t="s">
        <v>4690</v>
      </c>
      <c r="O1130" s="33" t="s">
        <v>4691</v>
      </c>
      <c r="P1130" s="33" t="s">
        <v>4692</v>
      </c>
      <c r="Q1130" s="33" t="s">
        <v>747</v>
      </c>
      <c r="R1130" s="34"/>
      <c r="S1130" s="38"/>
      <c r="T1130" s="38" t="s">
        <v>12690</v>
      </c>
    </row>
    <row r="1131" spans="1:20" x14ac:dyDescent="0.25">
      <c r="A1131" s="33" t="s">
        <v>1058</v>
      </c>
      <c r="B1131" s="33" t="s">
        <v>1057</v>
      </c>
      <c r="C1131" s="33" t="s">
        <v>13</v>
      </c>
      <c r="D1131" s="33" t="s">
        <v>1059</v>
      </c>
      <c r="E1131" s="33">
        <v>2022</v>
      </c>
      <c r="F1131" s="33">
        <v>115</v>
      </c>
      <c r="G1131" s="36"/>
      <c r="H1131" s="33">
        <v>105209</v>
      </c>
      <c r="I1131" s="36"/>
      <c r="J1131" s="33">
        <v>2022</v>
      </c>
      <c r="K1131" s="34"/>
      <c r="L1131" s="34"/>
      <c r="M1131" s="33" t="s">
        <v>1061</v>
      </c>
      <c r="N1131" s="37" t="s">
        <v>8471</v>
      </c>
      <c r="O1131" s="33" t="s">
        <v>1063</v>
      </c>
      <c r="P1131" s="33" t="s">
        <v>8472</v>
      </c>
      <c r="Q1131" s="36"/>
      <c r="R1131" s="36"/>
      <c r="S1131" s="33" t="s">
        <v>8473</v>
      </c>
      <c r="T1131" s="38" t="s">
        <v>12693</v>
      </c>
    </row>
    <row r="1132" spans="1:20" x14ac:dyDescent="0.25">
      <c r="A1132" s="33" t="s">
        <v>1058</v>
      </c>
      <c r="B1132" s="33" t="s">
        <v>1057</v>
      </c>
      <c r="C1132" s="33" t="s">
        <v>13</v>
      </c>
      <c r="D1132" s="33" t="s">
        <v>1059</v>
      </c>
      <c r="E1132" s="33">
        <v>2022</v>
      </c>
      <c r="F1132" s="33">
        <v>115</v>
      </c>
      <c r="G1132" s="34"/>
      <c r="H1132" s="34"/>
      <c r="I1132" s="33" t="s">
        <v>1060</v>
      </c>
      <c r="J1132" s="33">
        <v>2022</v>
      </c>
      <c r="K1132" s="34"/>
      <c r="L1132" s="34"/>
      <c r="M1132" s="33" t="s">
        <v>1061</v>
      </c>
      <c r="N1132" s="37" t="s">
        <v>1062</v>
      </c>
      <c r="O1132" s="33" t="s">
        <v>1063</v>
      </c>
      <c r="P1132" s="33" t="s">
        <v>1064</v>
      </c>
      <c r="Q1132" s="33" t="s">
        <v>157</v>
      </c>
      <c r="R1132" s="34"/>
      <c r="S1132" s="38"/>
      <c r="T1132" s="38" t="s">
        <v>12690</v>
      </c>
    </row>
    <row r="1133" spans="1:20" x14ac:dyDescent="0.25">
      <c r="A1133" s="33" t="s">
        <v>6803</v>
      </c>
      <c r="B1133" s="33" t="s">
        <v>4349</v>
      </c>
      <c r="C1133" s="33" t="s">
        <v>141</v>
      </c>
      <c r="D1133" s="34"/>
      <c r="E1133" s="33">
        <v>2019</v>
      </c>
      <c r="F1133" s="34"/>
      <c r="G1133" s="34"/>
      <c r="H1133" s="33" t="s">
        <v>6804</v>
      </c>
      <c r="I1133" s="33" t="s">
        <v>6805</v>
      </c>
      <c r="J1133" s="43">
        <v>43586</v>
      </c>
      <c r="K1133" s="36"/>
      <c r="L1133" s="36"/>
      <c r="M1133" s="33" t="s">
        <v>6152</v>
      </c>
      <c r="N1133" s="37" t="s">
        <v>6806</v>
      </c>
      <c r="O1133" s="33" t="s">
        <v>4354</v>
      </c>
      <c r="P1133" s="33" t="s">
        <v>6807</v>
      </c>
      <c r="Q1133" s="36"/>
      <c r="R1133" s="36"/>
      <c r="S1133" s="33" t="s">
        <v>6808</v>
      </c>
      <c r="T1133" s="38" t="s">
        <v>12688</v>
      </c>
    </row>
    <row r="1134" spans="1:20" x14ac:dyDescent="0.25">
      <c r="A1134" s="33" t="s">
        <v>6803</v>
      </c>
      <c r="B1134" s="33" t="s">
        <v>4349</v>
      </c>
      <c r="C1134" s="33" t="s">
        <v>141</v>
      </c>
      <c r="D1134" s="34"/>
      <c r="E1134" s="33">
        <v>2019</v>
      </c>
      <c r="F1134" s="45">
        <v>43586</v>
      </c>
      <c r="G1134" s="34"/>
      <c r="H1134" s="33" t="s">
        <v>4351</v>
      </c>
      <c r="I1134" s="33" t="s">
        <v>196</v>
      </c>
      <c r="J1134" s="33">
        <v>2019</v>
      </c>
      <c r="K1134" s="33">
        <v>9781728134123</v>
      </c>
      <c r="L1134" s="34"/>
      <c r="M1134" s="33" t="s">
        <v>4352</v>
      </c>
      <c r="N1134" s="37" t="s">
        <v>4353</v>
      </c>
      <c r="O1134" s="33" t="s">
        <v>4354</v>
      </c>
      <c r="P1134" s="33" t="s">
        <v>4355</v>
      </c>
      <c r="Q1134" s="33" t="s">
        <v>4356</v>
      </c>
      <c r="R1134" s="34"/>
      <c r="S1134" s="38"/>
      <c r="T1134" s="38" t="s">
        <v>12690</v>
      </c>
    </row>
    <row r="1135" spans="1:20" x14ac:dyDescent="0.25">
      <c r="A1135" s="33" t="s">
        <v>6803</v>
      </c>
      <c r="B1135" s="33" t="s">
        <v>11849</v>
      </c>
      <c r="C1135" s="33" t="s">
        <v>141</v>
      </c>
      <c r="D1135" s="34"/>
      <c r="E1135" s="33">
        <v>2019</v>
      </c>
      <c r="F1135" s="34"/>
      <c r="G1135" s="34"/>
      <c r="H1135" s="33" t="s">
        <v>11851</v>
      </c>
      <c r="I1135" s="44" t="s">
        <v>12783</v>
      </c>
      <c r="J1135" s="33">
        <v>2019</v>
      </c>
      <c r="K1135" s="34"/>
      <c r="L1135" s="33" t="s">
        <v>11854</v>
      </c>
      <c r="M1135" s="34"/>
      <c r="N1135" s="37" t="s">
        <v>11853</v>
      </c>
      <c r="O1135" s="33" t="s">
        <v>4354</v>
      </c>
      <c r="P1135" s="33" t="s">
        <v>6807</v>
      </c>
      <c r="Q1135" s="36"/>
      <c r="R1135" s="36"/>
      <c r="S1135" s="34"/>
      <c r="T1135" s="33" t="s">
        <v>12692</v>
      </c>
    </row>
    <row r="1136" spans="1:20" x14ac:dyDescent="0.25">
      <c r="A1136" s="33" t="s">
        <v>31</v>
      </c>
      <c r="B1136" s="33" t="s">
        <v>30</v>
      </c>
      <c r="C1136" s="33" t="s">
        <v>13</v>
      </c>
      <c r="D1136" s="33" t="s">
        <v>136</v>
      </c>
      <c r="E1136" s="33">
        <v>2022</v>
      </c>
      <c r="F1136" s="33">
        <v>27</v>
      </c>
      <c r="G1136" s="33">
        <v>6</v>
      </c>
      <c r="H1136" s="34"/>
      <c r="I1136" s="33" t="s">
        <v>137</v>
      </c>
      <c r="J1136" s="33">
        <v>2022</v>
      </c>
      <c r="K1136" s="34"/>
      <c r="L1136" s="34"/>
      <c r="M1136" s="33" t="s">
        <v>33</v>
      </c>
      <c r="N1136" s="37" t="s">
        <v>138</v>
      </c>
      <c r="O1136" s="33" t="s">
        <v>35</v>
      </c>
      <c r="P1136" s="33" t="s">
        <v>139</v>
      </c>
      <c r="Q1136" s="33" t="s">
        <v>140</v>
      </c>
      <c r="R1136" s="34"/>
      <c r="S1136" s="38"/>
      <c r="T1136" s="38" t="s">
        <v>12690</v>
      </c>
    </row>
    <row r="1137" spans="1:20" x14ac:dyDescent="0.25">
      <c r="A1137" s="33" t="s">
        <v>31</v>
      </c>
      <c r="B1137" s="33" t="s">
        <v>30</v>
      </c>
      <c r="C1137" s="33" t="s">
        <v>13</v>
      </c>
      <c r="D1137" s="33" t="s">
        <v>32</v>
      </c>
      <c r="E1137" s="33">
        <v>2022</v>
      </c>
      <c r="F1137" s="33">
        <v>27</v>
      </c>
      <c r="G1137" s="33">
        <v>6</v>
      </c>
      <c r="H1137" s="34"/>
      <c r="I1137" s="38" t="s">
        <v>12699</v>
      </c>
      <c r="J1137" s="35">
        <v>44866</v>
      </c>
      <c r="K1137" s="33" t="s">
        <v>33</v>
      </c>
      <c r="L1137" s="38" t="s">
        <v>12699</v>
      </c>
      <c r="M1137" s="38" t="s">
        <v>12699</v>
      </c>
      <c r="N1137" s="37" t="s">
        <v>34</v>
      </c>
      <c r="O1137" s="33" t="s">
        <v>35</v>
      </c>
      <c r="P1137" s="33" t="s">
        <v>36</v>
      </c>
      <c r="Q1137" s="38" t="s">
        <v>12699</v>
      </c>
      <c r="R1137" s="38" t="s">
        <v>12699</v>
      </c>
      <c r="S1137" s="38"/>
      <c r="T1137" s="38" t="s">
        <v>12700</v>
      </c>
    </row>
    <row r="1138" spans="1:20" x14ac:dyDescent="0.25">
      <c r="A1138" s="39" t="s">
        <v>31</v>
      </c>
      <c r="B1138" s="39" t="s">
        <v>9687</v>
      </c>
      <c r="C1138" s="39" t="s">
        <v>9478</v>
      </c>
      <c r="D1138" s="36"/>
      <c r="E1138" s="39">
        <v>2022</v>
      </c>
      <c r="F1138" s="39">
        <v>27</v>
      </c>
      <c r="G1138" s="39">
        <v>6</v>
      </c>
      <c r="H1138" s="36"/>
      <c r="I1138" s="39" t="s">
        <v>136</v>
      </c>
      <c r="J1138" s="36"/>
      <c r="K1138" s="36"/>
      <c r="L1138" s="36"/>
      <c r="M1138" s="34"/>
      <c r="N1138" s="41" t="s">
        <v>9688</v>
      </c>
      <c r="O1138" s="39" t="s">
        <v>35</v>
      </c>
      <c r="P1138" s="33"/>
      <c r="Q1138" s="36"/>
      <c r="R1138" s="34"/>
      <c r="S1138" s="38"/>
      <c r="T1138" s="38" t="s">
        <v>12689</v>
      </c>
    </row>
    <row r="1139" spans="1:20" x14ac:dyDescent="0.25">
      <c r="A1139" s="33" t="s">
        <v>83</v>
      </c>
      <c r="B1139" s="33" t="s">
        <v>82</v>
      </c>
      <c r="C1139" s="33" t="s">
        <v>13</v>
      </c>
      <c r="D1139" s="33" t="s">
        <v>136</v>
      </c>
      <c r="E1139" s="33">
        <v>2018</v>
      </c>
      <c r="F1139" s="33">
        <v>23</v>
      </c>
      <c r="G1139" s="33">
        <v>1</v>
      </c>
      <c r="H1139" s="33" t="s">
        <v>6005</v>
      </c>
      <c r="I1139" s="33" t="s">
        <v>3998</v>
      </c>
      <c r="J1139" s="33">
        <v>2018</v>
      </c>
      <c r="K1139" s="34"/>
      <c r="L1139" s="34"/>
      <c r="M1139" s="33" t="s">
        <v>33</v>
      </c>
      <c r="N1139" s="37" t="s">
        <v>6006</v>
      </c>
      <c r="O1139" s="33" t="s">
        <v>86</v>
      </c>
      <c r="P1139" s="33" t="s">
        <v>6007</v>
      </c>
      <c r="Q1139" s="33" t="s">
        <v>5595</v>
      </c>
      <c r="R1139" s="34"/>
      <c r="S1139" s="38"/>
      <c r="T1139" s="38" t="s">
        <v>12690</v>
      </c>
    </row>
    <row r="1140" spans="1:20" x14ac:dyDescent="0.25">
      <c r="A1140" s="33" t="s">
        <v>83</v>
      </c>
      <c r="B1140" s="33" t="s">
        <v>82</v>
      </c>
      <c r="C1140" s="33" t="s">
        <v>13</v>
      </c>
      <c r="D1140" s="33" t="s">
        <v>32</v>
      </c>
      <c r="E1140" s="33">
        <v>2018</v>
      </c>
      <c r="F1140" s="33">
        <v>23</v>
      </c>
      <c r="G1140" s="33">
        <v>1</v>
      </c>
      <c r="H1140" s="33" t="s">
        <v>84</v>
      </c>
      <c r="I1140" s="38" t="s">
        <v>12699</v>
      </c>
      <c r="J1140" s="43">
        <v>43132</v>
      </c>
      <c r="K1140" s="33" t="s">
        <v>33</v>
      </c>
      <c r="L1140" s="38" t="s">
        <v>12699</v>
      </c>
      <c r="M1140" s="38" t="s">
        <v>12699</v>
      </c>
      <c r="N1140" s="37" t="s">
        <v>85</v>
      </c>
      <c r="O1140" s="33" t="s">
        <v>86</v>
      </c>
      <c r="P1140" s="33" t="s">
        <v>87</v>
      </c>
      <c r="Q1140" s="38" t="s">
        <v>12699</v>
      </c>
      <c r="R1140" s="38" t="s">
        <v>12699</v>
      </c>
      <c r="S1140" s="38"/>
      <c r="T1140" s="38" t="s">
        <v>12700</v>
      </c>
    </row>
    <row r="1141" spans="1:20" x14ac:dyDescent="0.25">
      <c r="A1141" s="39" t="s">
        <v>83</v>
      </c>
      <c r="B1141" s="39" t="s">
        <v>9561</v>
      </c>
      <c r="C1141" s="39" t="s">
        <v>9478</v>
      </c>
      <c r="D1141" s="36"/>
      <c r="E1141" s="39">
        <v>2018</v>
      </c>
      <c r="F1141" s="39">
        <v>23</v>
      </c>
      <c r="G1141" s="39">
        <v>1</v>
      </c>
      <c r="H1141" s="36"/>
      <c r="I1141" s="39" t="s">
        <v>136</v>
      </c>
      <c r="J1141" s="36"/>
      <c r="K1141" s="36"/>
      <c r="L1141" s="36"/>
      <c r="M1141" s="34"/>
      <c r="N1141" s="41" t="s">
        <v>9562</v>
      </c>
      <c r="O1141" s="39" t="s">
        <v>86</v>
      </c>
      <c r="P1141" s="33"/>
      <c r="Q1141" s="36"/>
      <c r="R1141" s="34"/>
      <c r="S1141" s="38"/>
      <c r="T1141" s="38" t="s">
        <v>12689</v>
      </c>
    </row>
    <row r="1142" spans="1:20" x14ac:dyDescent="0.25">
      <c r="A1142" s="33" t="s">
        <v>4122</v>
      </c>
      <c r="B1142" s="33" t="s">
        <v>8765</v>
      </c>
      <c r="C1142" s="33" t="s">
        <v>13</v>
      </c>
      <c r="D1142" s="33" t="s">
        <v>307</v>
      </c>
      <c r="E1142" s="33">
        <v>2020</v>
      </c>
      <c r="F1142" s="33">
        <v>121</v>
      </c>
      <c r="G1142" s="36"/>
      <c r="H1142" s="33">
        <v>106270</v>
      </c>
      <c r="I1142" s="36"/>
      <c r="J1142" s="33">
        <v>2020</v>
      </c>
      <c r="K1142" s="34"/>
      <c r="L1142" s="34"/>
      <c r="M1142" s="33" t="s">
        <v>308</v>
      </c>
      <c r="N1142" s="37" t="s">
        <v>8766</v>
      </c>
      <c r="O1142" s="33" t="s">
        <v>4124</v>
      </c>
      <c r="P1142" s="33" t="s">
        <v>8767</v>
      </c>
      <c r="Q1142" s="36"/>
      <c r="R1142" s="36"/>
      <c r="S1142" s="33" t="s">
        <v>8768</v>
      </c>
      <c r="T1142" s="38" t="s">
        <v>12693</v>
      </c>
    </row>
    <row r="1143" spans="1:20" x14ac:dyDescent="0.25">
      <c r="A1143" s="33" t="s">
        <v>4122</v>
      </c>
      <c r="B1143" s="33" t="s">
        <v>4121</v>
      </c>
      <c r="C1143" s="33" t="s">
        <v>13</v>
      </c>
      <c r="D1143" s="33" t="s">
        <v>307</v>
      </c>
      <c r="E1143" s="33">
        <v>2020</v>
      </c>
      <c r="F1143" s="33">
        <v>121</v>
      </c>
      <c r="G1143" s="34"/>
      <c r="H1143" s="34"/>
      <c r="I1143" s="33" t="s">
        <v>280</v>
      </c>
      <c r="J1143" s="33">
        <v>2020</v>
      </c>
      <c r="K1143" s="34"/>
      <c r="L1143" s="34"/>
      <c r="M1143" s="33" t="s">
        <v>308</v>
      </c>
      <c r="N1143" s="37" t="s">
        <v>4123</v>
      </c>
      <c r="O1143" s="33" t="s">
        <v>4124</v>
      </c>
      <c r="P1143" s="33" t="s">
        <v>4125</v>
      </c>
      <c r="Q1143" s="33" t="s">
        <v>3118</v>
      </c>
      <c r="R1143" s="34"/>
      <c r="S1143" s="38"/>
      <c r="T1143" s="38" t="s">
        <v>12690</v>
      </c>
    </row>
    <row r="1144" spans="1:20" x14ac:dyDescent="0.25">
      <c r="A1144" s="33" t="s">
        <v>110</v>
      </c>
      <c r="B1144" s="33" t="s">
        <v>109</v>
      </c>
      <c r="C1144" s="33" t="s">
        <v>13</v>
      </c>
      <c r="D1144" s="33" t="s">
        <v>255</v>
      </c>
      <c r="E1144" s="33">
        <v>2022</v>
      </c>
      <c r="F1144" s="33">
        <v>48</v>
      </c>
      <c r="G1144" s="33">
        <v>5</v>
      </c>
      <c r="H1144" s="33" t="s">
        <v>111</v>
      </c>
      <c r="I1144" s="34"/>
      <c r="J1144" s="43">
        <v>44682</v>
      </c>
      <c r="K1144" s="36"/>
      <c r="L1144" s="36"/>
      <c r="M1144" s="33" t="s">
        <v>6115</v>
      </c>
      <c r="N1144" s="37" t="s">
        <v>112</v>
      </c>
      <c r="O1144" s="33" t="s">
        <v>113</v>
      </c>
      <c r="P1144" s="33" t="s">
        <v>6430</v>
      </c>
      <c r="Q1144" s="36"/>
      <c r="R1144" s="36"/>
      <c r="S1144" s="33" t="s">
        <v>6431</v>
      </c>
      <c r="T1144" s="38" t="s">
        <v>12688</v>
      </c>
    </row>
    <row r="1145" spans="1:20" x14ac:dyDescent="0.25">
      <c r="A1145" s="33" t="s">
        <v>110</v>
      </c>
      <c r="B1145" s="33" t="s">
        <v>109</v>
      </c>
      <c r="C1145" s="33" t="s">
        <v>13</v>
      </c>
      <c r="D1145" s="33" t="s">
        <v>255</v>
      </c>
      <c r="E1145" s="33">
        <v>2022</v>
      </c>
      <c r="F1145" s="33">
        <v>48</v>
      </c>
      <c r="G1145" s="33">
        <v>5</v>
      </c>
      <c r="H1145" s="33" t="s">
        <v>815</v>
      </c>
      <c r="I1145" s="33" t="s">
        <v>257</v>
      </c>
      <c r="J1145" s="33">
        <v>2022</v>
      </c>
      <c r="K1145" s="34"/>
      <c r="L1145" s="34"/>
      <c r="M1145" s="33" t="s">
        <v>18</v>
      </c>
      <c r="N1145" s="37" t="s">
        <v>816</v>
      </c>
      <c r="O1145" s="33" t="s">
        <v>113</v>
      </c>
      <c r="P1145" s="33" t="s">
        <v>817</v>
      </c>
      <c r="Q1145" s="33" t="s">
        <v>818</v>
      </c>
      <c r="R1145" s="34"/>
      <c r="S1145" s="38"/>
      <c r="T1145" s="38" t="s">
        <v>12690</v>
      </c>
    </row>
    <row r="1146" spans="1:20" x14ac:dyDescent="0.25">
      <c r="A1146" s="33" t="s">
        <v>110</v>
      </c>
      <c r="B1146" s="33" t="s">
        <v>109</v>
      </c>
      <c r="C1146" s="33" t="s">
        <v>13</v>
      </c>
      <c r="D1146" s="33" t="s">
        <v>16</v>
      </c>
      <c r="E1146" s="33">
        <v>2022</v>
      </c>
      <c r="F1146" s="33">
        <v>48</v>
      </c>
      <c r="G1146" s="33">
        <v>5</v>
      </c>
      <c r="H1146" s="33" t="s">
        <v>111</v>
      </c>
      <c r="I1146" s="38" t="s">
        <v>12699</v>
      </c>
      <c r="J1146" s="48">
        <v>44682</v>
      </c>
      <c r="K1146" s="33" t="s">
        <v>18</v>
      </c>
      <c r="L1146" s="38" t="s">
        <v>12699</v>
      </c>
      <c r="M1146" s="38" t="s">
        <v>12699</v>
      </c>
      <c r="N1146" s="37" t="s">
        <v>112</v>
      </c>
      <c r="O1146" s="33" t="s">
        <v>113</v>
      </c>
      <c r="P1146" s="33" t="s">
        <v>114</v>
      </c>
      <c r="Q1146" s="38" t="s">
        <v>12699</v>
      </c>
      <c r="R1146" s="38" t="s">
        <v>12699</v>
      </c>
      <c r="S1146" s="38"/>
      <c r="T1146" s="38" t="s">
        <v>12700</v>
      </c>
    </row>
    <row r="1147" spans="1:20" x14ac:dyDescent="0.25">
      <c r="A1147" s="33" t="s">
        <v>6843</v>
      </c>
      <c r="B1147" s="33" t="s">
        <v>6842</v>
      </c>
      <c r="C1147" s="33" t="s">
        <v>141</v>
      </c>
      <c r="D1147" s="34"/>
      <c r="E1147" s="33">
        <v>2021</v>
      </c>
      <c r="F1147" s="34"/>
      <c r="G1147" s="34"/>
      <c r="H1147" s="33" t="s">
        <v>11938</v>
      </c>
      <c r="I1147" s="44" t="s">
        <v>12757</v>
      </c>
      <c r="J1147" s="33">
        <v>2021</v>
      </c>
      <c r="K1147" s="33">
        <v>9781450367684</v>
      </c>
      <c r="L1147" s="33" t="s">
        <v>11583</v>
      </c>
      <c r="M1147" s="34"/>
      <c r="N1147" s="37" t="s">
        <v>11939</v>
      </c>
      <c r="O1147" s="33" t="s">
        <v>11940</v>
      </c>
      <c r="P1147" s="33" t="s">
        <v>11941</v>
      </c>
      <c r="Q1147" s="36"/>
      <c r="R1147" s="36"/>
      <c r="S1147" s="33" t="s">
        <v>11942</v>
      </c>
      <c r="T1147" s="33" t="s">
        <v>12692</v>
      </c>
    </row>
    <row r="1148" spans="1:20" x14ac:dyDescent="0.25">
      <c r="A1148" s="33" t="s">
        <v>6843</v>
      </c>
      <c r="B1148" s="33" t="s">
        <v>6842</v>
      </c>
      <c r="C1148" s="33" t="s">
        <v>141</v>
      </c>
      <c r="D1148" s="34"/>
      <c r="E1148" s="33">
        <v>2020</v>
      </c>
      <c r="F1148" s="34"/>
      <c r="G1148" s="34"/>
      <c r="H1148" s="33" t="s">
        <v>6844</v>
      </c>
      <c r="I1148" s="33" t="s">
        <v>6463</v>
      </c>
      <c r="J1148" s="43">
        <v>44075</v>
      </c>
      <c r="K1148" s="36"/>
      <c r="L1148" s="36"/>
      <c r="M1148" s="33" t="s">
        <v>6190</v>
      </c>
      <c r="N1148" s="34"/>
      <c r="O1148" s="34"/>
      <c r="P1148" s="33" t="s">
        <v>6845</v>
      </c>
      <c r="Q1148" s="36"/>
      <c r="R1148" s="36"/>
      <c r="S1148" s="33" t="s">
        <v>6846</v>
      </c>
      <c r="T1148" s="38" t="s">
        <v>12688</v>
      </c>
    </row>
    <row r="1149" spans="1:20" x14ac:dyDescent="0.25">
      <c r="A1149" s="33" t="s">
        <v>5170</v>
      </c>
      <c r="B1149" s="33" t="s">
        <v>5169</v>
      </c>
      <c r="C1149" s="33" t="s">
        <v>141</v>
      </c>
      <c r="D1149" s="34"/>
      <c r="E1149" s="33">
        <v>2017</v>
      </c>
      <c r="F1149" s="33" t="s">
        <v>5171</v>
      </c>
      <c r="G1149" s="34"/>
      <c r="H1149" s="33" t="s">
        <v>5172</v>
      </c>
      <c r="I1149" s="33" t="s">
        <v>2919</v>
      </c>
      <c r="J1149" s="33">
        <v>2017</v>
      </c>
      <c r="K1149" s="33">
        <v>9781577357797</v>
      </c>
      <c r="L1149" s="34"/>
      <c r="M1149" s="34"/>
      <c r="N1149" s="37" t="s">
        <v>5173</v>
      </c>
      <c r="O1149" s="34"/>
      <c r="P1149" s="33" t="s">
        <v>5174</v>
      </c>
      <c r="Q1149" s="33" t="s">
        <v>157</v>
      </c>
      <c r="R1149" s="34"/>
      <c r="S1149" s="38"/>
      <c r="T1149" s="38" t="s">
        <v>12690</v>
      </c>
    </row>
    <row r="1150" spans="1:20" x14ac:dyDescent="0.25">
      <c r="A1150" s="33" t="s">
        <v>6544</v>
      </c>
      <c r="B1150" s="33" t="s">
        <v>6543</v>
      </c>
      <c r="C1150" s="33" t="s">
        <v>141</v>
      </c>
      <c r="D1150" s="34"/>
      <c r="E1150" s="33">
        <v>2018</v>
      </c>
      <c r="F1150" s="34"/>
      <c r="G1150" s="34"/>
      <c r="H1150" s="33" t="s">
        <v>6545</v>
      </c>
      <c r="I1150" s="33" t="s">
        <v>6145</v>
      </c>
      <c r="J1150" s="43">
        <v>43313</v>
      </c>
      <c r="K1150" s="36"/>
      <c r="L1150" s="36"/>
      <c r="M1150" s="34"/>
      <c r="N1150" s="37" t="s">
        <v>6546</v>
      </c>
      <c r="O1150" s="33" t="s">
        <v>6547</v>
      </c>
      <c r="P1150" s="33" t="s">
        <v>6548</v>
      </c>
      <c r="Q1150" s="36"/>
      <c r="R1150" s="36"/>
      <c r="S1150" s="33" t="s">
        <v>6549</v>
      </c>
      <c r="T1150" s="38" t="s">
        <v>12688</v>
      </c>
    </row>
    <row r="1151" spans="1:20" x14ac:dyDescent="0.25">
      <c r="A1151" s="33" t="s">
        <v>8336</v>
      </c>
      <c r="B1151" s="34"/>
      <c r="C1151" s="33" t="s">
        <v>13</v>
      </c>
      <c r="D1151" s="33" t="s">
        <v>532</v>
      </c>
      <c r="E1151" s="33">
        <v>2021</v>
      </c>
      <c r="F1151" s="33">
        <v>54</v>
      </c>
      <c r="G1151" s="33">
        <v>9</v>
      </c>
      <c r="H1151" s="33" t="s">
        <v>8337</v>
      </c>
      <c r="I1151" s="34"/>
      <c r="J1151" s="43">
        <v>44440</v>
      </c>
      <c r="K1151" s="34"/>
      <c r="L1151" s="36"/>
      <c r="M1151" s="33" t="s">
        <v>7409</v>
      </c>
      <c r="N1151" s="37" t="s">
        <v>8338</v>
      </c>
      <c r="O1151" s="33" t="s">
        <v>8339</v>
      </c>
      <c r="P1151" s="33" t="s">
        <v>8340</v>
      </c>
      <c r="Q1151" s="36"/>
      <c r="R1151" s="34"/>
      <c r="S1151" s="38"/>
      <c r="T1151" s="38" t="s">
        <v>12688</v>
      </c>
    </row>
    <row r="1152" spans="1:20" x14ac:dyDescent="0.25">
      <c r="A1152" s="33" t="s">
        <v>8336</v>
      </c>
      <c r="B1152" s="34"/>
      <c r="C1152" s="33" t="s">
        <v>13</v>
      </c>
      <c r="D1152" s="33" t="s">
        <v>532</v>
      </c>
      <c r="E1152" s="33">
        <v>2022</v>
      </c>
      <c r="F1152" s="33">
        <v>55</v>
      </c>
      <c r="G1152" s="33">
        <v>8</v>
      </c>
      <c r="H1152" s="33" t="s">
        <v>8341</v>
      </c>
      <c r="I1152" s="34"/>
      <c r="J1152" s="43">
        <v>44774</v>
      </c>
      <c r="K1152" s="34"/>
      <c r="L1152" s="36"/>
      <c r="M1152" s="33" t="s">
        <v>7409</v>
      </c>
      <c r="N1152" s="37" t="s">
        <v>8342</v>
      </c>
      <c r="O1152" s="33" t="s">
        <v>8343</v>
      </c>
      <c r="P1152" s="33" t="s">
        <v>8344</v>
      </c>
      <c r="Q1152" s="36"/>
      <c r="R1152" s="34"/>
      <c r="S1152" s="38"/>
      <c r="T1152" s="38" t="s">
        <v>12688</v>
      </c>
    </row>
    <row r="1153" spans="1:20" x14ac:dyDescent="0.25">
      <c r="A1153" s="33" t="s">
        <v>7680</v>
      </c>
      <c r="B1153" s="34"/>
      <c r="C1153" s="33" t="s">
        <v>13</v>
      </c>
      <c r="D1153" s="33" t="s">
        <v>7681</v>
      </c>
      <c r="E1153" s="33">
        <v>2020</v>
      </c>
      <c r="F1153" s="34"/>
      <c r="G1153" s="34"/>
      <c r="H1153" s="33" t="s">
        <v>7682</v>
      </c>
      <c r="I1153" s="34"/>
      <c r="J1153" s="43">
        <v>44044</v>
      </c>
      <c r="K1153" s="36"/>
      <c r="L1153" s="36"/>
      <c r="M1153" s="34"/>
      <c r="N1153" s="34"/>
      <c r="O1153" s="34"/>
      <c r="P1153" s="33" t="s">
        <v>7683</v>
      </c>
      <c r="Q1153" s="36"/>
      <c r="R1153" s="36"/>
      <c r="S1153" s="33" t="s">
        <v>7684</v>
      </c>
      <c r="T1153" s="38" t="s">
        <v>12688</v>
      </c>
    </row>
    <row r="1154" spans="1:20" x14ac:dyDescent="0.25">
      <c r="A1154" s="33" t="s">
        <v>7934</v>
      </c>
      <c r="B1154" s="34"/>
      <c r="C1154" s="33" t="s">
        <v>13</v>
      </c>
      <c r="D1154" s="33" t="s">
        <v>7935</v>
      </c>
      <c r="E1154" s="33">
        <v>2021</v>
      </c>
      <c r="F1154" s="34"/>
      <c r="G1154" s="34"/>
      <c r="H1154" s="33" t="s">
        <v>7936</v>
      </c>
      <c r="I1154" s="34"/>
      <c r="J1154" s="43">
        <v>44287</v>
      </c>
      <c r="K1154" s="36"/>
      <c r="L1154" s="36"/>
      <c r="M1154" s="34"/>
      <c r="N1154" s="37" t="s">
        <v>7937</v>
      </c>
      <c r="O1154" s="33" t="s">
        <v>7938</v>
      </c>
      <c r="P1154" s="33" t="s">
        <v>7683</v>
      </c>
      <c r="Q1154" s="36"/>
      <c r="R1154" s="36"/>
      <c r="S1154" s="33" t="s">
        <v>7939</v>
      </c>
      <c r="T1154" s="38" t="s">
        <v>12688</v>
      </c>
    </row>
    <row r="1155" spans="1:20" x14ac:dyDescent="0.25">
      <c r="A1155" s="33" t="s">
        <v>11588</v>
      </c>
      <c r="B1155" s="33" t="s">
        <v>11587</v>
      </c>
      <c r="C1155" s="33" t="s">
        <v>141</v>
      </c>
      <c r="D1155" s="34"/>
      <c r="E1155" s="33">
        <v>2021</v>
      </c>
      <c r="F1155" s="34"/>
      <c r="G1155" s="34"/>
      <c r="H1155" s="33" t="s">
        <v>11589</v>
      </c>
      <c r="I1155" s="44" t="s">
        <v>12703</v>
      </c>
      <c r="J1155" s="33">
        <v>2021</v>
      </c>
      <c r="K1155" s="33">
        <v>9781450390538</v>
      </c>
      <c r="L1155" s="33" t="s">
        <v>11058</v>
      </c>
      <c r="M1155" s="34"/>
      <c r="N1155" s="37" t="s">
        <v>11590</v>
      </c>
      <c r="O1155" s="33" t="s">
        <v>11591</v>
      </c>
      <c r="P1155" s="33" t="s">
        <v>11592</v>
      </c>
      <c r="Q1155" s="36"/>
      <c r="R1155" s="36"/>
      <c r="S1155" s="33" t="s">
        <v>11593</v>
      </c>
      <c r="T1155" s="33" t="s">
        <v>12692</v>
      </c>
    </row>
    <row r="1156" spans="1:20" x14ac:dyDescent="0.25">
      <c r="A1156" s="33" t="s">
        <v>4076</v>
      </c>
      <c r="B1156" s="33" t="s">
        <v>4075</v>
      </c>
      <c r="C1156" s="33" t="s">
        <v>13</v>
      </c>
      <c r="D1156" s="33" t="s">
        <v>227</v>
      </c>
      <c r="E1156" s="33">
        <v>2020</v>
      </c>
      <c r="F1156" s="33">
        <v>10</v>
      </c>
      <c r="G1156" s="33">
        <v>13</v>
      </c>
      <c r="H1156" s="34"/>
      <c r="I1156" s="33" t="s">
        <v>3431</v>
      </c>
      <c r="J1156" s="33">
        <v>2020</v>
      </c>
      <c r="K1156" s="34"/>
      <c r="L1156" s="34"/>
      <c r="M1156" s="33" t="s">
        <v>229</v>
      </c>
      <c r="N1156" s="37" t="s">
        <v>4077</v>
      </c>
      <c r="O1156" s="33" t="s">
        <v>4078</v>
      </c>
      <c r="P1156" s="33" t="s">
        <v>4079</v>
      </c>
      <c r="Q1156" s="33" t="s">
        <v>960</v>
      </c>
      <c r="R1156" s="34"/>
      <c r="S1156" s="38"/>
      <c r="T1156" s="38" t="s">
        <v>12690</v>
      </c>
    </row>
    <row r="1157" spans="1:20" x14ac:dyDescent="0.25">
      <c r="A1157" s="33" t="s">
        <v>2535</v>
      </c>
      <c r="B1157" s="33" t="s">
        <v>2534</v>
      </c>
      <c r="C1157" s="33" t="s">
        <v>141</v>
      </c>
      <c r="D1157" s="34"/>
      <c r="E1157" s="33">
        <v>2021</v>
      </c>
      <c r="F1157" s="34"/>
      <c r="G1157" s="34"/>
      <c r="H1157" s="33" t="s">
        <v>2536</v>
      </c>
      <c r="I1157" s="33" t="s">
        <v>257</v>
      </c>
      <c r="J1157" s="33">
        <v>2021</v>
      </c>
      <c r="K1157" s="33">
        <v>9781665414050</v>
      </c>
      <c r="L1157" s="34"/>
      <c r="M1157" s="34"/>
      <c r="N1157" s="37" t="s">
        <v>2537</v>
      </c>
      <c r="O1157" s="33" t="s">
        <v>2538</v>
      </c>
      <c r="P1157" s="33" t="s">
        <v>2539</v>
      </c>
      <c r="Q1157" s="33" t="s">
        <v>1404</v>
      </c>
      <c r="R1157" s="34"/>
      <c r="S1157" s="38"/>
      <c r="T1157" s="38" t="s">
        <v>12690</v>
      </c>
    </row>
    <row r="1158" spans="1:20" x14ac:dyDescent="0.25">
      <c r="A1158" s="33" t="s">
        <v>263</v>
      </c>
      <c r="B1158" s="33" t="s">
        <v>262</v>
      </c>
      <c r="C1158" s="33" t="s">
        <v>13</v>
      </c>
      <c r="D1158" s="33" t="s">
        <v>264</v>
      </c>
      <c r="E1158" s="33">
        <v>2022</v>
      </c>
      <c r="F1158" s="33">
        <v>52</v>
      </c>
      <c r="G1158" s="33">
        <v>12</v>
      </c>
      <c r="H1158" s="33" t="s">
        <v>265</v>
      </c>
      <c r="I1158" s="33" t="s">
        <v>266</v>
      </c>
      <c r="J1158" s="33">
        <v>2022</v>
      </c>
      <c r="K1158" s="34"/>
      <c r="L1158" s="34"/>
      <c r="M1158" s="33" t="s">
        <v>267</v>
      </c>
      <c r="N1158" s="37" t="s">
        <v>268</v>
      </c>
      <c r="O1158" s="33" t="s">
        <v>269</v>
      </c>
      <c r="P1158" s="33" t="s">
        <v>270</v>
      </c>
      <c r="Q1158" s="33" t="s">
        <v>157</v>
      </c>
      <c r="R1158" s="34"/>
      <c r="S1158" s="38"/>
      <c r="T1158" s="38" t="s">
        <v>12690</v>
      </c>
    </row>
    <row r="1159" spans="1:20" x14ac:dyDescent="0.25">
      <c r="A1159" s="33" t="s">
        <v>1999</v>
      </c>
      <c r="B1159" s="33" t="s">
        <v>1998</v>
      </c>
      <c r="C1159" s="33" t="s">
        <v>13</v>
      </c>
      <c r="D1159" s="33" t="s">
        <v>878</v>
      </c>
      <c r="E1159" s="33">
        <v>2021</v>
      </c>
      <c r="F1159" s="33">
        <v>33</v>
      </c>
      <c r="G1159" s="33">
        <v>12</v>
      </c>
      <c r="H1159" s="34"/>
      <c r="I1159" s="33" t="s">
        <v>266</v>
      </c>
      <c r="J1159" s="33">
        <v>2021</v>
      </c>
      <c r="K1159" s="34"/>
      <c r="L1159" s="34"/>
      <c r="M1159" s="33" t="s">
        <v>879</v>
      </c>
      <c r="N1159" s="37" t="s">
        <v>2000</v>
      </c>
      <c r="O1159" s="33" t="s">
        <v>2001</v>
      </c>
      <c r="P1159" s="33" t="s">
        <v>2002</v>
      </c>
      <c r="Q1159" s="33" t="s">
        <v>157</v>
      </c>
      <c r="R1159" s="34"/>
      <c r="S1159" s="38"/>
      <c r="T1159" s="38" t="s">
        <v>12690</v>
      </c>
    </row>
    <row r="1160" spans="1:20" x14ac:dyDescent="0.25">
      <c r="A1160" s="39" t="s">
        <v>10819</v>
      </c>
      <c r="B1160" s="39" t="s">
        <v>10821</v>
      </c>
      <c r="C1160" s="39" t="s">
        <v>9539</v>
      </c>
      <c r="D1160" s="36"/>
      <c r="E1160" s="39">
        <v>2021</v>
      </c>
      <c r="F1160" s="40"/>
      <c r="G1160" s="40"/>
      <c r="H1160" s="36"/>
      <c r="I1160" s="39" t="s">
        <v>9722</v>
      </c>
      <c r="J1160" s="36"/>
      <c r="K1160" s="36"/>
      <c r="L1160" s="36"/>
      <c r="M1160" s="34"/>
      <c r="N1160" s="41" t="s">
        <v>10822</v>
      </c>
      <c r="O1160" s="39" t="s">
        <v>10820</v>
      </c>
      <c r="P1160" s="33"/>
      <c r="Q1160" s="36"/>
      <c r="R1160" s="34"/>
      <c r="S1160" s="38"/>
      <c r="T1160" s="38" t="s">
        <v>12689</v>
      </c>
    </row>
    <row r="1161" spans="1:20" x14ac:dyDescent="0.25">
      <c r="A1161" s="33" t="s">
        <v>3979</v>
      </c>
      <c r="B1161" s="33" t="s">
        <v>3978</v>
      </c>
      <c r="C1161" s="33" t="s">
        <v>13</v>
      </c>
      <c r="D1161" s="33" t="s">
        <v>136</v>
      </c>
      <c r="E1161" s="33">
        <v>2020</v>
      </c>
      <c r="F1161" s="33">
        <v>25</v>
      </c>
      <c r="G1161" s="33">
        <v>1</v>
      </c>
      <c r="H1161" s="33" t="s">
        <v>3980</v>
      </c>
      <c r="I1161" s="33" t="s">
        <v>137</v>
      </c>
      <c r="J1161" s="33">
        <v>2020</v>
      </c>
      <c r="K1161" s="34"/>
      <c r="L1161" s="34"/>
      <c r="M1161" s="33" t="s">
        <v>33</v>
      </c>
      <c r="N1161" s="37" t="s">
        <v>3981</v>
      </c>
      <c r="O1161" s="33" t="s">
        <v>3982</v>
      </c>
      <c r="P1161" s="33" t="s">
        <v>3983</v>
      </c>
      <c r="Q1161" s="33" t="s">
        <v>3067</v>
      </c>
      <c r="R1161" s="34"/>
      <c r="S1161" s="38"/>
      <c r="T1161" s="38" t="s">
        <v>12690</v>
      </c>
    </row>
    <row r="1162" spans="1:20" x14ac:dyDescent="0.25">
      <c r="A1162" s="39" t="s">
        <v>3979</v>
      </c>
      <c r="B1162" s="39" t="s">
        <v>10575</v>
      </c>
      <c r="C1162" s="39" t="s">
        <v>9478</v>
      </c>
      <c r="D1162" s="36"/>
      <c r="E1162" s="39">
        <v>2020</v>
      </c>
      <c r="F1162" s="39">
        <v>25</v>
      </c>
      <c r="G1162" s="39">
        <v>1</v>
      </c>
      <c r="H1162" s="36"/>
      <c r="I1162" s="39" t="s">
        <v>136</v>
      </c>
      <c r="J1162" s="36"/>
      <c r="K1162" s="36"/>
      <c r="L1162" s="36"/>
      <c r="M1162" s="34"/>
      <c r="N1162" s="41" t="s">
        <v>10576</v>
      </c>
      <c r="O1162" s="39" t="s">
        <v>3982</v>
      </c>
      <c r="P1162" s="33"/>
      <c r="Q1162" s="36"/>
      <c r="R1162" s="34"/>
      <c r="S1162" s="38"/>
      <c r="T1162" s="38" t="s">
        <v>12689</v>
      </c>
    </row>
    <row r="1163" spans="1:20" x14ac:dyDescent="0.25">
      <c r="A1163" s="33" t="s">
        <v>6893</v>
      </c>
      <c r="B1163" s="33" t="s">
        <v>6892</v>
      </c>
      <c r="C1163" s="33" t="s">
        <v>141</v>
      </c>
      <c r="D1163" s="34"/>
      <c r="E1163" s="33">
        <v>2018</v>
      </c>
      <c r="F1163" s="34"/>
      <c r="G1163" s="34"/>
      <c r="H1163" s="33" t="s">
        <v>6894</v>
      </c>
      <c r="I1163" s="33" t="s">
        <v>6895</v>
      </c>
      <c r="J1163" s="43">
        <v>43282</v>
      </c>
      <c r="K1163" s="36"/>
      <c r="L1163" s="36"/>
      <c r="M1163" s="34"/>
      <c r="N1163" s="37" t="s">
        <v>6896</v>
      </c>
      <c r="O1163" s="33" t="s">
        <v>6897</v>
      </c>
      <c r="P1163" s="33" t="s">
        <v>6898</v>
      </c>
      <c r="Q1163" s="36"/>
      <c r="R1163" s="36"/>
      <c r="S1163" s="33" t="s">
        <v>6899</v>
      </c>
      <c r="T1163" s="38" t="s">
        <v>12688</v>
      </c>
    </row>
    <row r="1164" spans="1:20" x14ac:dyDescent="0.25">
      <c r="A1164" s="33" t="s">
        <v>12411</v>
      </c>
      <c r="B1164" s="33" t="s">
        <v>5716</v>
      </c>
      <c r="C1164" s="33" t="s">
        <v>141</v>
      </c>
      <c r="D1164" s="34"/>
      <c r="E1164" s="33">
        <v>2014</v>
      </c>
      <c r="F1164" s="34"/>
      <c r="G1164" s="34"/>
      <c r="H1164" s="33" t="s">
        <v>12412</v>
      </c>
      <c r="I1164" s="44" t="s">
        <v>12784</v>
      </c>
      <c r="J1164" s="33">
        <v>2014</v>
      </c>
      <c r="K1164" s="33">
        <v>9781450327688</v>
      </c>
      <c r="L1164" s="33" t="s">
        <v>12418</v>
      </c>
      <c r="M1164" s="34"/>
      <c r="N1164" s="37" t="s">
        <v>12415</v>
      </c>
      <c r="O1164" s="33" t="s">
        <v>5720</v>
      </c>
      <c r="P1164" s="33" t="s">
        <v>12416</v>
      </c>
      <c r="Q1164" s="36"/>
      <c r="R1164" s="36"/>
      <c r="S1164" s="33" t="s">
        <v>12417</v>
      </c>
      <c r="T1164" s="33" t="s">
        <v>12692</v>
      </c>
    </row>
    <row r="1165" spans="1:20" x14ac:dyDescent="0.25">
      <c r="A1165" s="33" t="s">
        <v>12411</v>
      </c>
      <c r="B1165" s="33" t="s">
        <v>5716</v>
      </c>
      <c r="C1165" s="33" t="s">
        <v>141</v>
      </c>
      <c r="D1165" s="34"/>
      <c r="E1165" s="33">
        <v>2014</v>
      </c>
      <c r="F1165" s="34"/>
      <c r="G1165" s="34"/>
      <c r="H1165" s="33" t="s">
        <v>5718</v>
      </c>
      <c r="I1165" s="33" t="s">
        <v>145</v>
      </c>
      <c r="J1165" s="33">
        <v>2014</v>
      </c>
      <c r="K1165" s="33">
        <v>9781450327688</v>
      </c>
      <c r="L1165" s="34"/>
      <c r="M1165" s="34"/>
      <c r="N1165" s="37" t="s">
        <v>5719</v>
      </c>
      <c r="O1165" s="33" t="s">
        <v>5720</v>
      </c>
      <c r="P1165" s="33" t="s">
        <v>5721</v>
      </c>
      <c r="Q1165" s="33" t="s">
        <v>318</v>
      </c>
      <c r="R1165" s="34"/>
      <c r="S1165" s="38"/>
      <c r="T1165" s="38" t="s">
        <v>12690</v>
      </c>
    </row>
    <row r="1166" spans="1:20" x14ac:dyDescent="0.25">
      <c r="A1166" s="33" t="s">
        <v>4288</v>
      </c>
      <c r="B1166" s="33" t="s">
        <v>4287</v>
      </c>
      <c r="C1166" s="33" t="s">
        <v>141</v>
      </c>
      <c r="D1166" s="34"/>
      <c r="E1166" s="33">
        <v>2019</v>
      </c>
      <c r="F1166" s="34"/>
      <c r="G1166" s="34"/>
      <c r="H1166" s="34"/>
      <c r="I1166" s="33" t="s">
        <v>145</v>
      </c>
      <c r="J1166" s="33">
        <v>2019</v>
      </c>
      <c r="K1166" s="33">
        <v>9781450359702</v>
      </c>
      <c r="L1166" s="34"/>
      <c r="M1166" s="34"/>
      <c r="N1166" s="37" t="s">
        <v>4289</v>
      </c>
      <c r="O1166" s="33" t="s">
        <v>4290</v>
      </c>
      <c r="P1166" s="33" t="s">
        <v>4291</v>
      </c>
      <c r="Q1166" s="33" t="s">
        <v>4292</v>
      </c>
      <c r="R1166" s="34"/>
      <c r="S1166" s="38"/>
      <c r="T1166" s="38" t="s">
        <v>12690</v>
      </c>
    </row>
    <row r="1167" spans="1:20" x14ac:dyDescent="0.25">
      <c r="A1167" s="33" t="s">
        <v>3745</v>
      </c>
      <c r="B1167" s="33" t="s">
        <v>3744</v>
      </c>
      <c r="C1167" s="33" t="s">
        <v>13</v>
      </c>
      <c r="D1167" s="33" t="s">
        <v>307</v>
      </c>
      <c r="E1167" s="33">
        <v>2021</v>
      </c>
      <c r="F1167" s="33">
        <v>133</v>
      </c>
      <c r="G1167" s="34"/>
      <c r="H1167" s="34"/>
      <c r="I1167" s="33" t="s">
        <v>280</v>
      </c>
      <c r="J1167" s="33">
        <v>2021</v>
      </c>
      <c r="K1167" s="34"/>
      <c r="L1167" s="34"/>
      <c r="M1167" s="33" t="s">
        <v>308</v>
      </c>
      <c r="N1167" s="37" t="s">
        <v>3746</v>
      </c>
      <c r="O1167" s="33" t="s">
        <v>3747</v>
      </c>
      <c r="P1167" s="33" t="s">
        <v>3748</v>
      </c>
      <c r="Q1167" s="33" t="s">
        <v>3749</v>
      </c>
      <c r="R1167" s="34"/>
      <c r="S1167" s="38"/>
      <c r="T1167" s="38" t="s">
        <v>12690</v>
      </c>
    </row>
    <row r="1168" spans="1:20" x14ac:dyDescent="0.25">
      <c r="A1168" s="33" t="s">
        <v>6529</v>
      </c>
      <c r="B1168" s="33" t="s">
        <v>6528</v>
      </c>
      <c r="C1168" s="33" t="s">
        <v>141</v>
      </c>
      <c r="D1168" s="34"/>
      <c r="E1168" s="33">
        <v>2018</v>
      </c>
      <c r="F1168" s="34"/>
      <c r="G1168" s="34"/>
      <c r="H1168" s="33" t="s">
        <v>6530</v>
      </c>
      <c r="I1168" s="33" t="s">
        <v>6531</v>
      </c>
      <c r="J1168" s="43">
        <v>43344</v>
      </c>
      <c r="K1168" s="36"/>
      <c r="L1168" s="36"/>
      <c r="M1168" s="34"/>
      <c r="N1168" s="37" t="s">
        <v>6532</v>
      </c>
      <c r="O1168" s="33" t="s">
        <v>6533</v>
      </c>
      <c r="P1168" s="33" t="s">
        <v>6534</v>
      </c>
      <c r="Q1168" s="36"/>
      <c r="R1168" s="36"/>
      <c r="S1168" s="33" t="s">
        <v>6535</v>
      </c>
      <c r="T1168" s="38" t="s">
        <v>12688</v>
      </c>
    </row>
    <row r="1169" spans="1:20" x14ac:dyDescent="0.25">
      <c r="A1169" s="39" t="s">
        <v>10358</v>
      </c>
      <c r="B1169" s="39" t="s">
        <v>10360</v>
      </c>
      <c r="C1169" s="39" t="s">
        <v>9478</v>
      </c>
      <c r="D1169" s="36"/>
      <c r="E1169" s="39">
        <v>2020</v>
      </c>
      <c r="F1169" s="39">
        <v>14</v>
      </c>
      <c r="G1169" s="39">
        <v>5</v>
      </c>
      <c r="H1169" s="36"/>
      <c r="I1169" s="39" t="s">
        <v>629</v>
      </c>
      <c r="J1169" s="36"/>
      <c r="K1169" s="36"/>
      <c r="L1169" s="36"/>
      <c r="M1169" s="34"/>
      <c r="N1169" s="41" t="s">
        <v>10361</v>
      </c>
      <c r="O1169" s="39" t="s">
        <v>10359</v>
      </c>
      <c r="P1169" s="33"/>
      <c r="Q1169" s="36"/>
      <c r="R1169" s="34"/>
      <c r="S1169" s="38"/>
      <c r="T1169" s="38" t="s">
        <v>12689</v>
      </c>
    </row>
    <row r="1170" spans="1:20" x14ac:dyDescent="0.25">
      <c r="A1170" s="33" t="s">
        <v>3725</v>
      </c>
      <c r="B1170" s="33" t="s">
        <v>3724</v>
      </c>
      <c r="C1170" s="33" t="s">
        <v>141</v>
      </c>
      <c r="D1170" s="34"/>
      <c r="E1170" s="33">
        <v>2021</v>
      </c>
      <c r="F1170" s="34"/>
      <c r="G1170" s="34"/>
      <c r="H1170" s="33" t="s">
        <v>3726</v>
      </c>
      <c r="I1170" s="33" t="s">
        <v>257</v>
      </c>
      <c r="J1170" s="33">
        <v>2021</v>
      </c>
      <c r="K1170" s="33">
        <v>9781665403375</v>
      </c>
      <c r="L1170" s="34"/>
      <c r="M1170" s="34"/>
      <c r="N1170" s="37" t="s">
        <v>3727</v>
      </c>
      <c r="O1170" s="33" t="s">
        <v>3728</v>
      </c>
      <c r="P1170" s="33" t="s">
        <v>3729</v>
      </c>
      <c r="Q1170" s="33" t="s">
        <v>1656</v>
      </c>
      <c r="R1170" s="34"/>
      <c r="S1170" s="38"/>
      <c r="T1170" s="38" t="s">
        <v>12690</v>
      </c>
    </row>
    <row r="1171" spans="1:20" x14ac:dyDescent="0.25">
      <c r="A1171" s="33" t="s">
        <v>4767</v>
      </c>
      <c r="B1171" s="33" t="s">
        <v>4766</v>
      </c>
      <c r="C1171" s="33" t="s">
        <v>141</v>
      </c>
      <c r="D1171" s="34"/>
      <c r="E1171" s="33">
        <v>2019</v>
      </c>
      <c r="F1171" s="34"/>
      <c r="G1171" s="34"/>
      <c r="H1171" s="33" t="s">
        <v>7947</v>
      </c>
      <c r="I1171" s="33" t="s">
        <v>7111</v>
      </c>
      <c r="J1171" s="43">
        <v>43647</v>
      </c>
      <c r="K1171" s="36"/>
      <c r="L1171" s="36"/>
      <c r="M1171" s="34"/>
      <c r="N1171" s="37" t="s">
        <v>7948</v>
      </c>
      <c r="O1171" s="33" t="s">
        <v>4770</v>
      </c>
      <c r="P1171" s="33" t="s">
        <v>7949</v>
      </c>
      <c r="Q1171" s="36"/>
      <c r="R1171" s="36"/>
      <c r="S1171" s="33" t="s">
        <v>7950</v>
      </c>
      <c r="T1171" s="38" t="s">
        <v>12688</v>
      </c>
    </row>
    <row r="1172" spans="1:20" x14ac:dyDescent="0.25">
      <c r="A1172" s="33" t="s">
        <v>4767</v>
      </c>
      <c r="B1172" s="33" t="s">
        <v>4766</v>
      </c>
      <c r="C1172" s="33" t="s">
        <v>141</v>
      </c>
      <c r="D1172" s="34"/>
      <c r="E1172" s="33">
        <v>2019</v>
      </c>
      <c r="F1172" s="34"/>
      <c r="G1172" s="34"/>
      <c r="H1172" s="33" t="s">
        <v>4768</v>
      </c>
      <c r="I1172" s="33" t="s">
        <v>257</v>
      </c>
      <c r="J1172" s="33">
        <v>2019</v>
      </c>
      <c r="K1172" s="33">
        <v>9781728139272</v>
      </c>
      <c r="L1172" s="34"/>
      <c r="M1172" s="34"/>
      <c r="N1172" s="37" t="s">
        <v>4769</v>
      </c>
      <c r="O1172" s="33" t="s">
        <v>4770</v>
      </c>
      <c r="P1172" s="33" t="s">
        <v>4771</v>
      </c>
      <c r="Q1172" s="33" t="s">
        <v>1740</v>
      </c>
      <c r="R1172" s="34"/>
      <c r="S1172" s="38"/>
      <c r="T1172" s="38" t="s">
        <v>12690</v>
      </c>
    </row>
    <row r="1173" spans="1:20" x14ac:dyDescent="0.25">
      <c r="A1173" s="33" t="s">
        <v>9148</v>
      </c>
      <c r="B1173" s="33" t="s">
        <v>9147</v>
      </c>
      <c r="C1173" s="33" t="s">
        <v>13</v>
      </c>
      <c r="D1173" s="33" t="s">
        <v>307</v>
      </c>
      <c r="E1173" s="33">
        <v>2018</v>
      </c>
      <c r="F1173" s="33">
        <v>103</v>
      </c>
      <c r="G1173" s="36"/>
      <c r="H1173" s="33" t="s">
        <v>9149</v>
      </c>
      <c r="I1173" s="36"/>
      <c r="J1173" s="33">
        <v>2018</v>
      </c>
      <c r="K1173" s="34"/>
      <c r="L1173" s="34"/>
      <c r="M1173" s="33" t="s">
        <v>308</v>
      </c>
      <c r="N1173" s="37" t="s">
        <v>9150</v>
      </c>
      <c r="O1173" s="33" t="s">
        <v>9151</v>
      </c>
      <c r="P1173" s="33" t="s">
        <v>9152</v>
      </c>
      <c r="Q1173" s="36"/>
      <c r="R1173" s="36"/>
      <c r="S1173" s="33" t="s">
        <v>9153</v>
      </c>
      <c r="T1173" s="38" t="s">
        <v>12693</v>
      </c>
    </row>
    <row r="1174" spans="1:20" x14ac:dyDescent="0.25">
      <c r="A1174" s="33" t="s">
        <v>7707</v>
      </c>
      <c r="B1174" s="33" t="s">
        <v>7706</v>
      </c>
      <c r="C1174" s="33" t="s">
        <v>13</v>
      </c>
      <c r="D1174" s="33" t="s">
        <v>668</v>
      </c>
      <c r="E1174" s="33">
        <v>2022</v>
      </c>
      <c r="F1174" s="33">
        <v>10</v>
      </c>
      <c r="G1174" s="34"/>
      <c r="H1174" s="33" t="s">
        <v>7708</v>
      </c>
      <c r="I1174" s="34"/>
      <c r="J1174" s="33">
        <v>2022</v>
      </c>
      <c r="K1174" s="36"/>
      <c r="L1174" s="36"/>
      <c r="M1174" s="33" t="s">
        <v>670</v>
      </c>
      <c r="N1174" s="37" t="s">
        <v>7709</v>
      </c>
      <c r="O1174" s="33" t="s">
        <v>7710</v>
      </c>
      <c r="P1174" s="33" t="s">
        <v>7711</v>
      </c>
      <c r="Q1174" s="36"/>
      <c r="R1174" s="36"/>
      <c r="S1174" s="33" t="s">
        <v>7712</v>
      </c>
      <c r="T1174" s="38" t="s">
        <v>12688</v>
      </c>
    </row>
    <row r="1175" spans="1:20" x14ac:dyDescent="0.25">
      <c r="A1175" s="33" t="s">
        <v>7159</v>
      </c>
      <c r="B1175" s="33" t="s">
        <v>7158</v>
      </c>
      <c r="C1175" s="33" t="s">
        <v>13</v>
      </c>
      <c r="D1175" s="33" t="s">
        <v>255</v>
      </c>
      <c r="E1175" s="33">
        <v>2021</v>
      </c>
      <c r="F1175" s="33">
        <v>47</v>
      </c>
      <c r="G1175" s="33">
        <v>11</v>
      </c>
      <c r="H1175" s="33" t="s">
        <v>7160</v>
      </c>
      <c r="I1175" s="34"/>
      <c r="J1175" s="35">
        <v>44501</v>
      </c>
      <c r="K1175" s="36"/>
      <c r="L1175" s="36"/>
      <c r="M1175" s="33" t="s">
        <v>6115</v>
      </c>
      <c r="N1175" s="37" t="s">
        <v>7161</v>
      </c>
      <c r="O1175" s="33" t="s">
        <v>7162</v>
      </c>
      <c r="P1175" s="33" t="s">
        <v>7163</v>
      </c>
      <c r="Q1175" s="36"/>
      <c r="R1175" s="36"/>
      <c r="S1175" s="33" t="s">
        <v>7164</v>
      </c>
      <c r="T1175" s="38" t="s">
        <v>12688</v>
      </c>
    </row>
    <row r="1176" spans="1:20" x14ac:dyDescent="0.25">
      <c r="A1176" s="39" t="s">
        <v>10714</v>
      </c>
      <c r="B1176" s="39" t="s">
        <v>10716</v>
      </c>
      <c r="C1176" s="39" t="s">
        <v>9478</v>
      </c>
      <c r="D1176" s="36"/>
      <c r="E1176" s="39">
        <v>2020</v>
      </c>
      <c r="F1176" s="39">
        <v>28</v>
      </c>
      <c r="G1176" s="39">
        <v>4</v>
      </c>
      <c r="H1176" s="36"/>
      <c r="I1176" s="39" t="s">
        <v>523</v>
      </c>
      <c r="J1176" s="36"/>
      <c r="K1176" s="36"/>
      <c r="L1176" s="36"/>
      <c r="M1176" s="34"/>
      <c r="N1176" s="41" t="s">
        <v>10717</v>
      </c>
      <c r="O1176" s="39" t="s">
        <v>10715</v>
      </c>
      <c r="P1176" s="33"/>
      <c r="Q1176" s="36"/>
      <c r="R1176" s="34"/>
      <c r="S1176" s="38"/>
      <c r="T1176" s="38" t="s">
        <v>12689</v>
      </c>
    </row>
    <row r="1177" spans="1:20" x14ac:dyDescent="0.25">
      <c r="A1177" s="33" t="s">
        <v>143</v>
      </c>
      <c r="B1177" s="33" t="s">
        <v>142</v>
      </c>
      <c r="C1177" s="33" t="s">
        <v>141</v>
      </c>
      <c r="D1177" s="34"/>
      <c r="E1177" s="33">
        <v>2022</v>
      </c>
      <c r="F1177" s="34"/>
      <c r="G1177" s="34"/>
      <c r="H1177" s="33" t="s">
        <v>144</v>
      </c>
      <c r="I1177" s="33" t="s">
        <v>145</v>
      </c>
      <c r="J1177" s="33">
        <v>2022</v>
      </c>
      <c r="K1177" s="33">
        <v>9781450396134</v>
      </c>
      <c r="L1177" s="34"/>
      <c r="M1177" s="34"/>
      <c r="N1177" s="37" t="s">
        <v>146</v>
      </c>
      <c r="O1177" s="33" t="s">
        <v>147</v>
      </c>
      <c r="P1177" s="33" t="s">
        <v>148</v>
      </c>
      <c r="Q1177" s="33" t="s">
        <v>149</v>
      </c>
      <c r="R1177" s="34"/>
      <c r="S1177" s="38"/>
      <c r="T1177" s="38" t="s">
        <v>12690</v>
      </c>
    </row>
    <row r="1178" spans="1:20" x14ac:dyDescent="0.25">
      <c r="A1178" s="33" t="s">
        <v>496</v>
      </c>
      <c r="B1178" s="33" t="s">
        <v>495</v>
      </c>
      <c r="C1178" s="33" t="s">
        <v>141</v>
      </c>
      <c r="D1178" s="34"/>
      <c r="E1178" s="33">
        <v>2022</v>
      </c>
      <c r="F1178" s="34"/>
      <c r="G1178" s="34"/>
      <c r="H1178" s="33" t="s">
        <v>497</v>
      </c>
      <c r="I1178" s="33" t="s">
        <v>145</v>
      </c>
      <c r="J1178" s="33">
        <v>2022</v>
      </c>
      <c r="K1178" s="33">
        <v>9781450397803</v>
      </c>
      <c r="L1178" s="34"/>
      <c r="M1178" s="34"/>
      <c r="N1178" s="37" t="s">
        <v>498</v>
      </c>
      <c r="O1178" s="33" t="s">
        <v>499</v>
      </c>
      <c r="P1178" s="33" t="s">
        <v>500</v>
      </c>
      <c r="Q1178" s="33" t="s">
        <v>157</v>
      </c>
      <c r="R1178" s="34"/>
      <c r="S1178" s="38"/>
      <c r="T1178" s="38" t="s">
        <v>12690</v>
      </c>
    </row>
    <row r="1179" spans="1:20" x14ac:dyDescent="0.25">
      <c r="A1179" s="33" t="s">
        <v>8168</v>
      </c>
      <c r="B1179" s="33" t="s">
        <v>8134</v>
      </c>
      <c r="C1179" s="33" t="s">
        <v>7972</v>
      </c>
      <c r="D1179" s="34"/>
      <c r="E1179" s="33">
        <v>2020</v>
      </c>
      <c r="F1179" s="34"/>
      <c r="G1179" s="34"/>
      <c r="H1179" s="33" t="s">
        <v>8256</v>
      </c>
      <c r="I1179" s="33" t="s">
        <v>12732</v>
      </c>
      <c r="J1179" s="33">
        <v>2020</v>
      </c>
      <c r="K1179" s="33">
        <v>9781119642831</v>
      </c>
      <c r="L1179" s="36"/>
      <c r="M1179" s="34"/>
      <c r="N1179" s="37" t="s">
        <v>8257</v>
      </c>
      <c r="O1179" s="33" t="s">
        <v>8258</v>
      </c>
      <c r="P1179" s="34"/>
      <c r="Q1179" s="36"/>
      <c r="R1179" s="36"/>
      <c r="S1179" s="34"/>
      <c r="T1179" s="38" t="s">
        <v>12688</v>
      </c>
    </row>
    <row r="1180" spans="1:20" x14ac:dyDescent="0.25">
      <c r="A1180" s="33" t="s">
        <v>8168</v>
      </c>
      <c r="B1180" s="34"/>
      <c r="C1180" s="33" t="s">
        <v>7972</v>
      </c>
      <c r="D1180" s="34"/>
      <c r="E1180" s="33">
        <v>2020</v>
      </c>
      <c r="F1180" s="34"/>
      <c r="G1180" s="34"/>
      <c r="H1180" s="33" t="s">
        <v>6844</v>
      </c>
      <c r="I1180" s="33" t="s">
        <v>12714</v>
      </c>
      <c r="J1180" s="33">
        <v>2020</v>
      </c>
      <c r="K1180" s="33">
        <v>9781119513940</v>
      </c>
      <c r="L1180" s="36"/>
      <c r="M1180" s="34"/>
      <c r="N1180" s="37" t="s">
        <v>8170</v>
      </c>
      <c r="O1180" s="33" t="s">
        <v>8171</v>
      </c>
      <c r="P1180" s="34"/>
      <c r="Q1180" s="36"/>
      <c r="R1180" s="36"/>
      <c r="S1180" s="34"/>
      <c r="T1180" s="38" t="s">
        <v>12688</v>
      </c>
    </row>
    <row r="1181" spans="1:20" x14ac:dyDescent="0.25">
      <c r="A1181" s="39" t="s">
        <v>10290</v>
      </c>
      <c r="B1181" s="39" t="s">
        <v>10292</v>
      </c>
      <c r="C1181" s="39" t="s">
        <v>9478</v>
      </c>
      <c r="D1181" s="36"/>
      <c r="E1181" s="39">
        <v>2021</v>
      </c>
      <c r="F1181" s="39">
        <v>27</v>
      </c>
      <c r="G1181" s="39">
        <v>1</v>
      </c>
      <c r="H1181" s="36"/>
      <c r="I1181" s="39" t="s">
        <v>4461</v>
      </c>
      <c r="J1181" s="36"/>
      <c r="K1181" s="36"/>
      <c r="L1181" s="36"/>
      <c r="M1181" s="34"/>
      <c r="N1181" s="41" t="s">
        <v>10293</v>
      </c>
      <c r="O1181" s="39" t="s">
        <v>10291</v>
      </c>
      <c r="P1181" s="33"/>
      <c r="Q1181" s="36"/>
      <c r="R1181" s="34"/>
      <c r="S1181" s="38"/>
      <c r="T1181" s="38" t="s">
        <v>12689</v>
      </c>
    </row>
    <row r="1182" spans="1:20" x14ac:dyDescent="0.25">
      <c r="A1182" s="33" t="s">
        <v>2335</v>
      </c>
      <c r="B1182" s="33" t="s">
        <v>2334</v>
      </c>
      <c r="C1182" s="33" t="s">
        <v>141</v>
      </c>
      <c r="D1182" s="34"/>
      <c r="E1182" s="33">
        <v>2021</v>
      </c>
      <c r="F1182" s="45">
        <v>44409</v>
      </c>
      <c r="G1182" s="34"/>
      <c r="H1182" s="33" t="s">
        <v>2336</v>
      </c>
      <c r="I1182" s="33" t="s">
        <v>196</v>
      </c>
      <c r="J1182" s="33">
        <v>2021</v>
      </c>
      <c r="K1182" s="33">
        <v>9781665418737</v>
      </c>
      <c r="L1182" s="34"/>
      <c r="M1182" s="33" t="s">
        <v>2337</v>
      </c>
      <c r="N1182" s="37" t="s">
        <v>2338</v>
      </c>
      <c r="O1182" s="33" t="s">
        <v>2339</v>
      </c>
      <c r="P1182" s="33" t="s">
        <v>2340</v>
      </c>
      <c r="Q1182" s="33" t="s">
        <v>318</v>
      </c>
      <c r="R1182" s="34"/>
      <c r="S1182" s="38"/>
      <c r="T1182" s="38" t="s">
        <v>12690</v>
      </c>
    </row>
    <row r="1183" spans="1:20" x14ac:dyDescent="0.25">
      <c r="A1183" s="33" t="s">
        <v>8267</v>
      </c>
      <c r="B1183" s="33" t="s">
        <v>8266</v>
      </c>
      <c r="C1183" s="33" t="s">
        <v>13</v>
      </c>
      <c r="D1183" s="33" t="s">
        <v>8267</v>
      </c>
      <c r="E1183" s="33">
        <v>2022</v>
      </c>
      <c r="F1183" s="34"/>
      <c r="G1183" s="34"/>
      <c r="H1183" s="42">
        <v>44938</v>
      </c>
      <c r="I1183" s="34"/>
      <c r="J1183" s="43">
        <v>44774</v>
      </c>
      <c r="K1183" s="34"/>
      <c r="L1183" s="36"/>
      <c r="M1183" s="34"/>
      <c r="N1183" s="34"/>
      <c r="O1183" s="34"/>
      <c r="P1183" s="33" t="s">
        <v>8268</v>
      </c>
      <c r="Q1183" s="36"/>
      <c r="R1183" s="36"/>
      <c r="S1183" s="33" t="s">
        <v>8269</v>
      </c>
      <c r="T1183" s="38" t="s">
        <v>12688</v>
      </c>
    </row>
    <row r="1184" spans="1:20" x14ac:dyDescent="0.25">
      <c r="A1184" s="39" t="s">
        <v>9956</v>
      </c>
      <c r="B1184" s="39" t="s">
        <v>9958</v>
      </c>
      <c r="C1184" s="39" t="s">
        <v>539</v>
      </c>
      <c r="D1184" s="36"/>
      <c r="E1184" s="39">
        <v>2022</v>
      </c>
      <c r="F1184" s="40"/>
      <c r="G1184" s="40"/>
      <c r="H1184" s="36"/>
      <c r="I1184" s="40"/>
      <c r="J1184" s="36"/>
      <c r="K1184" s="36"/>
      <c r="L1184" s="36"/>
      <c r="M1184" s="34"/>
      <c r="N1184" s="41" t="s">
        <v>9959</v>
      </c>
      <c r="O1184" s="39" t="s">
        <v>9957</v>
      </c>
      <c r="P1184" s="33"/>
      <c r="Q1184" s="36"/>
      <c r="R1184" s="34"/>
      <c r="S1184" s="38"/>
      <c r="T1184" s="38" t="s">
        <v>12689</v>
      </c>
    </row>
    <row r="1185" spans="1:20" x14ac:dyDescent="0.25">
      <c r="A1185" s="33" t="s">
        <v>8107</v>
      </c>
      <c r="B1185" s="33" t="s">
        <v>8106</v>
      </c>
      <c r="C1185" s="33" t="s">
        <v>13</v>
      </c>
      <c r="D1185" s="33" t="s">
        <v>4637</v>
      </c>
      <c r="E1185" s="33">
        <v>2022</v>
      </c>
      <c r="F1185" s="33">
        <v>39</v>
      </c>
      <c r="G1185" s="33">
        <v>3</v>
      </c>
      <c r="H1185" s="42">
        <v>45280</v>
      </c>
      <c r="I1185" s="34"/>
      <c r="J1185" s="43">
        <v>44682</v>
      </c>
      <c r="K1185" s="34"/>
      <c r="L1185" s="36"/>
      <c r="M1185" s="33" t="s">
        <v>6207</v>
      </c>
      <c r="N1185" s="37" t="s">
        <v>8108</v>
      </c>
      <c r="O1185" s="33" t="s">
        <v>8109</v>
      </c>
      <c r="P1185" s="33" t="s">
        <v>8110</v>
      </c>
      <c r="Q1185" s="36"/>
      <c r="R1185" s="36"/>
      <c r="S1185" s="33" t="s">
        <v>8111</v>
      </c>
      <c r="T1185" s="38" t="s">
        <v>12688</v>
      </c>
    </row>
    <row r="1186" spans="1:20" x14ac:dyDescent="0.25">
      <c r="A1186" s="33" t="s">
        <v>11916</v>
      </c>
      <c r="B1186" s="33" t="s">
        <v>11915</v>
      </c>
      <c r="C1186" s="33" t="s">
        <v>13</v>
      </c>
      <c r="D1186" s="33" t="s">
        <v>11246</v>
      </c>
      <c r="E1186" s="33">
        <v>2022</v>
      </c>
      <c r="F1186" s="33">
        <v>31</v>
      </c>
      <c r="G1186" s="33">
        <v>3</v>
      </c>
      <c r="H1186" s="34"/>
      <c r="I1186" s="44" t="s">
        <v>12710</v>
      </c>
      <c r="J1186" s="43">
        <v>44621</v>
      </c>
      <c r="K1186" s="34"/>
      <c r="L1186" s="34"/>
      <c r="M1186" s="33" t="s">
        <v>329</v>
      </c>
      <c r="N1186" s="37" t="s">
        <v>11917</v>
      </c>
      <c r="O1186" s="33" t="s">
        <v>11918</v>
      </c>
      <c r="P1186" s="33" t="s">
        <v>11919</v>
      </c>
      <c r="Q1186" s="36"/>
      <c r="R1186" s="36"/>
      <c r="S1186" s="33" t="s">
        <v>11920</v>
      </c>
      <c r="T1186" s="33" t="s">
        <v>12692</v>
      </c>
    </row>
    <row r="1187" spans="1:20" x14ac:dyDescent="0.25">
      <c r="A1187" s="33" t="s">
        <v>1339</v>
      </c>
      <c r="B1187" s="33" t="s">
        <v>1338</v>
      </c>
      <c r="C1187" s="33" t="s">
        <v>13</v>
      </c>
      <c r="D1187" s="33" t="s">
        <v>354</v>
      </c>
      <c r="E1187" s="33">
        <v>2022</v>
      </c>
      <c r="F1187" s="33">
        <v>190</v>
      </c>
      <c r="G1187" s="36"/>
      <c r="H1187" s="33">
        <v>111336</v>
      </c>
      <c r="I1187" s="36"/>
      <c r="J1187" s="33">
        <v>2022</v>
      </c>
      <c r="K1187" s="34"/>
      <c r="L1187" s="34"/>
      <c r="M1187" s="33" t="s">
        <v>65</v>
      </c>
      <c r="N1187" s="37" t="s">
        <v>8807</v>
      </c>
      <c r="O1187" s="33" t="s">
        <v>1341</v>
      </c>
      <c r="P1187" s="33" t="s">
        <v>8808</v>
      </c>
      <c r="Q1187" s="36"/>
      <c r="R1187" s="36"/>
      <c r="S1187" s="33" t="s">
        <v>8809</v>
      </c>
      <c r="T1187" s="38" t="s">
        <v>12693</v>
      </c>
    </row>
    <row r="1188" spans="1:20" x14ac:dyDescent="0.25">
      <c r="A1188" s="33" t="s">
        <v>1339</v>
      </c>
      <c r="B1188" s="33" t="s">
        <v>1338</v>
      </c>
      <c r="C1188" s="33" t="s">
        <v>13</v>
      </c>
      <c r="D1188" s="33" t="s">
        <v>354</v>
      </c>
      <c r="E1188" s="33">
        <v>2022</v>
      </c>
      <c r="F1188" s="33">
        <v>190</v>
      </c>
      <c r="G1188" s="34"/>
      <c r="H1188" s="34"/>
      <c r="I1188" s="33" t="s">
        <v>355</v>
      </c>
      <c r="J1188" s="33">
        <v>2022</v>
      </c>
      <c r="K1188" s="34"/>
      <c r="L1188" s="34"/>
      <c r="M1188" s="33" t="s">
        <v>65</v>
      </c>
      <c r="N1188" s="37" t="s">
        <v>1340</v>
      </c>
      <c r="O1188" s="33" t="s">
        <v>1341</v>
      </c>
      <c r="P1188" s="33" t="s">
        <v>1342</v>
      </c>
      <c r="Q1188" s="33" t="s">
        <v>157</v>
      </c>
      <c r="R1188" s="34"/>
      <c r="S1188" s="38"/>
      <c r="T1188" s="38" t="s">
        <v>12690</v>
      </c>
    </row>
    <row r="1189" spans="1:20" x14ac:dyDescent="0.25">
      <c r="A1189" s="39" t="s">
        <v>10333</v>
      </c>
      <c r="B1189" s="39" t="s">
        <v>10335</v>
      </c>
      <c r="C1189" s="39" t="s">
        <v>9478</v>
      </c>
      <c r="D1189" s="36"/>
      <c r="E1189" s="39">
        <v>2014</v>
      </c>
      <c r="F1189" s="39">
        <v>22</v>
      </c>
      <c r="G1189" s="39">
        <v>4</v>
      </c>
      <c r="H1189" s="36"/>
      <c r="I1189" s="39" t="s">
        <v>523</v>
      </c>
      <c r="J1189" s="36"/>
      <c r="K1189" s="36"/>
      <c r="L1189" s="36"/>
      <c r="M1189" s="34"/>
      <c r="N1189" s="41" t="s">
        <v>10336</v>
      </c>
      <c r="O1189" s="39" t="s">
        <v>10334</v>
      </c>
      <c r="P1189" s="33"/>
      <c r="Q1189" s="36"/>
      <c r="R1189" s="34"/>
      <c r="S1189" s="38"/>
      <c r="T1189" s="38" t="s">
        <v>12689</v>
      </c>
    </row>
    <row r="1190" spans="1:20" x14ac:dyDescent="0.25">
      <c r="A1190" s="39" t="s">
        <v>9425</v>
      </c>
      <c r="B1190" s="39" t="s">
        <v>9427</v>
      </c>
      <c r="C1190" s="39" t="s">
        <v>539</v>
      </c>
      <c r="D1190" s="36"/>
      <c r="E1190" s="39">
        <v>2022</v>
      </c>
      <c r="F1190" s="40"/>
      <c r="G1190" s="40"/>
      <c r="H1190" s="36"/>
      <c r="I1190" s="39" t="s">
        <v>1870</v>
      </c>
      <c r="J1190" s="36"/>
      <c r="K1190" s="36"/>
      <c r="L1190" s="36"/>
      <c r="M1190" s="34"/>
      <c r="N1190" s="41" t="s">
        <v>9428</v>
      </c>
      <c r="O1190" s="39" t="s">
        <v>9426</v>
      </c>
      <c r="P1190" s="33"/>
      <c r="Q1190" s="36"/>
      <c r="R1190" s="34"/>
      <c r="S1190" s="38"/>
      <c r="T1190" s="38" t="s">
        <v>12689</v>
      </c>
    </row>
    <row r="1191" spans="1:20" x14ac:dyDescent="0.25">
      <c r="A1191" s="39" t="s">
        <v>9433</v>
      </c>
      <c r="B1191" s="39" t="s">
        <v>9435</v>
      </c>
      <c r="C1191" s="39" t="s">
        <v>539</v>
      </c>
      <c r="D1191" s="36"/>
      <c r="E1191" s="39">
        <v>2022</v>
      </c>
      <c r="F1191" s="40"/>
      <c r="G1191" s="40"/>
      <c r="H1191" s="36"/>
      <c r="I1191" s="39" t="s">
        <v>676</v>
      </c>
      <c r="J1191" s="36"/>
      <c r="K1191" s="36"/>
      <c r="L1191" s="36"/>
      <c r="M1191" s="34"/>
      <c r="N1191" s="41" t="s">
        <v>9436</v>
      </c>
      <c r="O1191" s="39" t="s">
        <v>9434</v>
      </c>
      <c r="P1191" s="33"/>
      <c r="Q1191" s="36"/>
      <c r="R1191" s="34"/>
      <c r="S1191" s="38"/>
      <c r="T1191" s="38" t="s">
        <v>12689</v>
      </c>
    </row>
    <row r="1192" spans="1:20" x14ac:dyDescent="0.25">
      <c r="A1192" s="39" t="s">
        <v>9433</v>
      </c>
      <c r="B1192" s="39" t="s">
        <v>9435</v>
      </c>
      <c r="C1192" s="39" t="s">
        <v>539</v>
      </c>
      <c r="D1192" s="36"/>
      <c r="E1192" s="39">
        <v>2022</v>
      </c>
      <c r="F1192" s="40"/>
      <c r="G1192" s="40"/>
      <c r="H1192" s="36"/>
      <c r="I1192" s="39" t="s">
        <v>676</v>
      </c>
      <c r="J1192" s="36"/>
      <c r="K1192" s="36"/>
      <c r="L1192" s="36"/>
      <c r="M1192" s="34"/>
      <c r="N1192" s="41" t="s">
        <v>9441</v>
      </c>
      <c r="O1192" s="39" t="s">
        <v>9440</v>
      </c>
      <c r="P1192" s="33"/>
      <c r="Q1192" s="36"/>
      <c r="R1192" s="34"/>
      <c r="S1192" s="38"/>
      <c r="T1192" s="38" t="s">
        <v>12689</v>
      </c>
    </row>
    <row r="1193" spans="1:20" x14ac:dyDescent="0.25">
      <c r="A1193" s="39" t="s">
        <v>10129</v>
      </c>
      <c r="B1193" s="39" t="s">
        <v>10131</v>
      </c>
      <c r="C1193" s="39" t="s">
        <v>539</v>
      </c>
      <c r="D1193" s="36"/>
      <c r="E1193" s="39">
        <v>2023</v>
      </c>
      <c r="F1193" s="40"/>
      <c r="G1193" s="40"/>
      <c r="H1193" s="36"/>
      <c r="I1193" s="40"/>
      <c r="J1193" s="36"/>
      <c r="K1193" s="36"/>
      <c r="L1193" s="36"/>
      <c r="M1193" s="34"/>
      <c r="N1193" s="41" t="s">
        <v>10132</v>
      </c>
      <c r="O1193" s="39" t="s">
        <v>10130</v>
      </c>
      <c r="P1193" s="33"/>
      <c r="Q1193" s="36"/>
      <c r="R1193" s="34"/>
      <c r="S1193" s="38"/>
      <c r="T1193" s="38" t="s">
        <v>12689</v>
      </c>
    </row>
    <row r="1194" spans="1:20" x14ac:dyDescent="0.25">
      <c r="A1194" s="39" t="s">
        <v>9845</v>
      </c>
      <c r="B1194" s="39" t="s">
        <v>9847</v>
      </c>
      <c r="C1194" s="39" t="s">
        <v>539</v>
      </c>
      <c r="D1194" s="36"/>
      <c r="E1194" s="39">
        <v>2023</v>
      </c>
      <c r="F1194" s="40"/>
      <c r="G1194" s="40"/>
      <c r="H1194" s="36"/>
      <c r="I1194" s="39" t="s">
        <v>9844</v>
      </c>
      <c r="J1194" s="36"/>
      <c r="K1194" s="36"/>
      <c r="L1194" s="36"/>
      <c r="M1194" s="34"/>
      <c r="N1194" s="41" t="s">
        <v>9848</v>
      </c>
      <c r="O1194" s="39" t="s">
        <v>9846</v>
      </c>
      <c r="P1194" s="33"/>
      <c r="Q1194" s="36"/>
      <c r="R1194" s="34"/>
      <c r="S1194" s="38"/>
      <c r="T1194" s="38" t="s">
        <v>12689</v>
      </c>
    </row>
    <row r="1195" spans="1:20" x14ac:dyDescent="0.25">
      <c r="A1195" s="39" t="s">
        <v>9327</v>
      </c>
      <c r="B1195" s="39" t="s">
        <v>9329</v>
      </c>
      <c r="C1195" s="39" t="s">
        <v>539</v>
      </c>
      <c r="D1195" s="36"/>
      <c r="E1195" s="39">
        <v>2021</v>
      </c>
      <c r="F1195" s="40"/>
      <c r="G1195" s="40"/>
      <c r="H1195" s="36"/>
      <c r="I1195" s="39" t="s">
        <v>9326</v>
      </c>
      <c r="J1195" s="36"/>
      <c r="K1195" s="36"/>
      <c r="L1195" s="36"/>
      <c r="M1195" s="34"/>
      <c r="N1195" s="41" t="s">
        <v>9330</v>
      </c>
      <c r="O1195" s="39" t="s">
        <v>9328</v>
      </c>
      <c r="P1195" s="33"/>
      <c r="Q1195" s="36"/>
      <c r="R1195" s="34"/>
      <c r="S1195" s="38"/>
      <c r="T1195" s="38" t="s">
        <v>12689</v>
      </c>
    </row>
    <row r="1196" spans="1:20" x14ac:dyDescent="0.25">
      <c r="A1196" s="33" t="s">
        <v>3199</v>
      </c>
      <c r="B1196" s="33" t="s">
        <v>3034</v>
      </c>
      <c r="C1196" s="33" t="s">
        <v>141</v>
      </c>
      <c r="D1196" s="34"/>
      <c r="E1196" s="33">
        <v>2020</v>
      </c>
      <c r="F1196" s="34"/>
      <c r="G1196" s="34"/>
      <c r="H1196" s="33" t="s">
        <v>3200</v>
      </c>
      <c r="I1196" s="33" t="s">
        <v>145</v>
      </c>
      <c r="J1196" s="33">
        <v>2020</v>
      </c>
      <c r="K1196" s="33">
        <v>9781450387538</v>
      </c>
      <c r="L1196" s="34"/>
      <c r="M1196" s="34"/>
      <c r="N1196" s="37" t="s">
        <v>3201</v>
      </c>
      <c r="O1196" s="33" t="s">
        <v>3202</v>
      </c>
      <c r="P1196" s="33" t="s">
        <v>3203</v>
      </c>
      <c r="Q1196" s="33" t="s">
        <v>185</v>
      </c>
      <c r="R1196" s="34"/>
      <c r="S1196" s="38"/>
      <c r="T1196" s="38" t="s">
        <v>12690</v>
      </c>
    </row>
    <row r="1197" spans="1:20" x14ac:dyDescent="0.25">
      <c r="A1197" s="33" t="s">
        <v>2999</v>
      </c>
      <c r="B1197" s="33" t="s">
        <v>2998</v>
      </c>
      <c r="C1197" s="33" t="s">
        <v>13</v>
      </c>
      <c r="D1197" s="33" t="s">
        <v>307</v>
      </c>
      <c r="E1197" s="33">
        <v>2021</v>
      </c>
      <c r="F1197" s="33">
        <v>129</v>
      </c>
      <c r="G1197" s="36"/>
      <c r="H1197" s="33">
        <v>106407</v>
      </c>
      <c r="I1197" s="36"/>
      <c r="J1197" s="33">
        <v>2021</v>
      </c>
      <c r="K1197" s="34"/>
      <c r="L1197" s="34"/>
      <c r="M1197" s="33" t="s">
        <v>308</v>
      </c>
      <c r="N1197" s="37" t="s">
        <v>8801</v>
      </c>
      <c r="O1197" s="33" t="s">
        <v>3001</v>
      </c>
      <c r="P1197" s="33" t="s">
        <v>8802</v>
      </c>
      <c r="Q1197" s="36"/>
      <c r="R1197" s="36"/>
      <c r="S1197" s="33" t="s">
        <v>8803</v>
      </c>
      <c r="T1197" s="38" t="s">
        <v>12693</v>
      </c>
    </row>
    <row r="1198" spans="1:20" x14ac:dyDescent="0.25">
      <c r="A1198" s="33" t="s">
        <v>2999</v>
      </c>
      <c r="B1198" s="33" t="s">
        <v>2998</v>
      </c>
      <c r="C1198" s="33" t="s">
        <v>13</v>
      </c>
      <c r="D1198" s="33" t="s">
        <v>307</v>
      </c>
      <c r="E1198" s="33">
        <v>2021</v>
      </c>
      <c r="F1198" s="33">
        <v>129</v>
      </c>
      <c r="G1198" s="34"/>
      <c r="H1198" s="34"/>
      <c r="I1198" s="33" t="s">
        <v>280</v>
      </c>
      <c r="J1198" s="33">
        <v>2021</v>
      </c>
      <c r="K1198" s="34"/>
      <c r="L1198" s="34"/>
      <c r="M1198" s="33" t="s">
        <v>308</v>
      </c>
      <c r="N1198" s="37" t="s">
        <v>3000</v>
      </c>
      <c r="O1198" s="33" t="s">
        <v>3001</v>
      </c>
      <c r="P1198" s="33" t="s">
        <v>3002</v>
      </c>
      <c r="Q1198" s="33" t="s">
        <v>3003</v>
      </c>
      <c r="R1198" s="34"/>
      <c r="S1198" s="38"/>
      <c r="T1198" s="38" t="s">
        <v>12690</v>
      </c>
    </row>
    <row r="1199" spans="1:20" x14ac:dyDescent="0.25">
      <c r="A1199" s="39" t="s">
        <v>9926</v>
      </c>
      <c r="B1199" s="39" t="s">
        <v>9928</v>
      </c>
      <c r="C1199" s="39" t="s">
        <v>539</v>
      </c>
      <c r="D1199" s="36"/>
      <c r="E1199" s="39">
        <v>2022</v>
      </c>
      <c r="F1199" s="40"/>
      <c r="G1199" s="40"/>
      <c r="H1199" s="36"/>
      <c r="I1199" s="40"/>
      <c r="J1199" s="36"/>
      <c r="K1199" s="36"/>
      <c r="L1199" s="36"/>
      <c r="M1199" s="34"/>
      <c r="N1199" s="41" t="s">
        <v>9929</v>
      </c>
      <c r="O1199" s="39" t="s">
        <v>9927</v>
      </c>
      <c r="P1199" s="33"/>
      <c r="Q1199" s="36"/>
      <c r="R1199" s="34"/>
      <c r="S1199" s="38"/>
      <c r="T1199" s="38" t="s">
        <v>12689</v>
      </c>
    </row>
    <row r="1200" spans="1:20" x14ac:dyDescent="0.25">
      <c r="A1200" s="39" t="s">
        <v>9523</v>
      </c>
      <c r="B1200" s="39" t="s">
        <v>9525</v>
      </c>
      <c r="C1200" s="39" t="s">
        <v>539</v>
      </c>
      <c r="D1200" s="36"/>
      <c r="E1200" s="39">
        <v>2022</v>
      </c>
      <c r="F1200" s="40"/>
      <c r="G1200" s="40"/>
      <c r="H1200" s="36"/>
      <c r="I1200" s="39" t="s">
        <v>3916</v>
      </c>
      <c r="J1200" s="36"/>
      <c r="K1200" s="36"/>
      <c r="L1200" s="36"/>
      <c r="M1200" s="34"/>
      <c r="N1200" s="41" t="s">
        <v>9526</v>
      </c>
      <c r="O1200" s="39" t="s">
        <v>9524</v>
      </c>
      <c r="P1200" s="33"/>
      <c r="Q1200" s="36"/>
      <c r="R1200" s="34"/>
      <c r="S1200" s="38"/>
      <c r="T1200" s="38" t="s">
        <v>12689</v>
      </c>
    </row>
    <row r="1201" spans="1:20" x14ac:dyDescent="0.25">
      <c r="A1201" s="39" t="s">
        <v>9399</v>
      </c>
      <c r="B1201" s="39" t="s">
        <v>9401</v>
      </c>
      <c r="C1201" s="39" t="s">
        <v>539</v>
      </c>
      <c r="D1201" s="36"/>
      <c r="E1201" s="39">
        <v>2022</v>
      </c>
      <c r="F1201" s="40"/>
      <c r="G1201" s="40"/>
      <c r="H1201" s="36"/>
      <c r="I1201" s="39" t="s">
        <v>676</v>
      </c>
      <c r="J1201" s="36"/>
      <c r="K1201" s="36"/>
      <c r="L1201" s="36"/>
      <c r="M1201" s="34"/>
      <c r="N1201" s="41" t="s">
        <v>9402</v>
      </c>
      <c r="O1201" s="39" t="s">
        <v>9400</v>
      </c>
      <c r="P1201" s="33"/>
      <c r="Q1201" s="36"/>
      <c r="R1201" s="34"/>
      <c r="S1201" s="38"/>
      <c r="T1201" s="38" t="s">
        <v>12689</v>
      </c>
    </row>
    <row r="1202" spans="1:20" x14ac:dyDescent="0.25">
      <c r="A1202" s="39" t="s">
        <v>9399</v>
      </c>
      <c r="B1202" s="39" t="s">
        <v>9401</v>
      </c>
      <c r="C1202" s="39" t="s">
        <v>539</v>
      </c>
      <c r="D1202" s="36"/>
      <c r="E1202" s="39">
        <v>2022</v>
      </c>
      <c r="F1202" s="40"/>
      <c r="G1202" s="40"/>
      <c r="H1202" s="36"/>
      <c r="I1202" s="39" t="s">
        <v>676</v>
      </c>
      <c r="J1202" s="36"/>
      <c r="K1202" s="36"/>
      <c r="L1202" s="36"/>
      <c r="M1202" s="34"/>
      <c r="N1202" s="41" t="s">
        <v>9424</v>
      </c>
      <c r="O1202" s="39" t="s">
        <v>9423</v>
      </c>
      <c r="P1202" s="33"/>
      <c r="Q1202" s="36"/>
      <c r="R1202" s="34"/>
      <c r="S1202" s="38"/>
      <c r="T1202" s="38" t="s">
        <v>12689</v>
      </c>
    </row>
    <row r="1203" spans="1:20" x14ac:dyDescent="0.25">
      <c r="A1203" s="33" t="s">
        <v>5257</v>
      </c>
      <c r="B1203" s="33" t="s">
        <v>5256</v>
      </c>
      <c r="C1203" s="33" t="s">
        <v>141</v>
      </c>
      <c r="D1203" s="34"/>
      <c r="E1203" s="33">
        <v>2015</v>
      </c>
      <c r="F1203" s="34"/>
      <c r="G1203" s="34"/>
      <c r="H1203" s="33" t="s">
        <v>5258</v>
      </c>
      <c r="I1203" s="33" t="s">
        <v>257</v>
      </c>
      <c r="J1203" s="33">
        <v>2015</v>
      </c>
      <c r="K1203" s="33">
        <v>9781467375320</v>
      </c>
      <c r="L1203" s="34"/>
      <c r="M1203" s="34"/>
      <c r="N1203" s="37" t="s">
        <v>5259</v>
      </c>
      <c r="O1203" s="33" t="s">
        <v>5260</v>
      </c>
      <c r="P1203" s="33" t="s">
        <v>5261</v>
      </c>
      <c r="Q1203" s="33" t="s">
        <v>2610</v>
      </c>
      <c r="R1203" s="34"/>
      <c r="S1203" s="38"/>
      <c r="T1203" s="38" t="s">
        <v>12690</v>
      </c>
    </row>
    <row r="1204" spans="1:20" x14ac:dyDescent="0.25">
      <c r="A1204" s="33" t="s">
        <v>5770</v>
      </c>
      <c r="B1204" s="33" t="s">
        <v>5769</v>
      </c>
      <c r="C1204" s="33" t="s">
        <v>141</v>
      </c>
      <c r="D1204" s="34"/>
      <c r="E1204" s="33">
        <v>2016</v>
      </c>
      <c r="F1204" s="33" t="s">
        <v>5771</v>
      </c>
      <c r="G1204" s="34"/>
      <c r="H1204" s="33" t="s">
        <v>5327</v>
      </c>
      <c r="I1204" s="33" t="s">
        <v>145</v>
      </c>
      <c r="J1204" s="33">
        <v>2016</v>
      </c>
      <c r="K1204" s="33">
        <v>9781450342186</v>
      </c>
      <c r="L1204" s="34"/>
      <c r="M1204" s="34"/>
      <c r="N1204" s="37" t="s">
        <v>5772</v>
      </c>
      <c r="O1204" s="33" t="s">
        <v>5773</v>
      </c>
      <c r="P1204" s="33" t="s">
        <v>5774</v>
      </c>
      <c r="Q1204" s="33" t="s">
        <v>5775</v>
      </c>
      <c r="R1204" s="34"/>
      <c r="S1204" s="38"/>
      <c r="T1204" s="38" t="s">
        <v>12690</v>
      </c>
    </row>
    <row r="1205" spans="1:20" x14ac:dyDescent="0.25">
      <c r="A1205" s="33" t="s">
        <v>3622</v>
      </c>
      <c r="B1205" s="33" t="s">
        <v>3621</v>
      </c>
      <c r="C1205" s="33" t="s">
        <v>141</v>
      </c>
      <c r="D1205" s="34"/>
      <c r="E1205" s="33">
        <v>2020</v>
      </c>
      <c r="F1205" s="34"/>
      <c r="G1205" s="34"/>
      <c r="H1205" s="33" t="s">
        <v>6979</v>
      </c>
      <c r="I1205" s="33" t="s">
        <v>6980</v>
      </c>
      <c r="J1205" s="43">
        <v>44075</v>
      </c>
      <c r="K1205" s="36"/>
      <c r="L1205" s="36"/>
      <c r="M1205" s="33" t="s">
        <v>6818</v>
      </c>
      <c r="N1205" s="37" t="s">
        <v>6981</v>
      </c>
      <c r="O1205" s="33" t="s">
        <v>3625</v>
      </c>
      <c r="P1205" s="33" t="s">
        <v>6982</v>
      </c>
      <c r="Q1205" s="36"/>
      <c r="R1205" s="36"/>
      <c r="S1205" s="33" t="s">
        <v>6983</v>
      </c>
      <c r="T1205" s="38" t="s">
        <v>12688</v>
      </c>
    </row>
    <row r="1206" spans="1:20" x14ac:dyDescent="0.25">
      <c r="A1206" s="33" t="s">
        <v>3622</v>
      </c>
      <c r="B1206" s="33" t="s">
        <v>3621</v>
      </c>
      <c r="C1206" s="33" t="s">
        <v>141</v>
      </c>
      <c r="D1206" s="34"/>
      <c r="E1206" s="33">
        <v>2020</v>
      </c>
      <c r="F1206" s="34"/>
      <c r="G1206" s="34"/>
      <c r="H1206" s="33" t="s">
        <v>3623</v>
      </c>
      <c r="I1206" s="33" t="s">
        <v>257</v>
      </c>
      <c r="J1206" s="33">
        <v>2020</v>
      </c>
      <c r="K1206" s="33">
        <v>9781728156194</v>
      </c>
      <c r="L1206" s="34"/>
      <c r="M1206" s="34"/>
      <c r="N1206" s="37" t="s">
        <v>3624</v>
      </c>
      <c r="O1206" s="33" t="s">
        <v>3625</v>
      </c>
      <c r="P1206" s="33" t="s">
        <v>3626</v>
      </c>
      <c r="Q1206" s="33" t="s">
        <v>2723</v>
      </c>
      <c r="R1206" s="34"/>
      <c r="S1206" s="38"/>
      <c r="T1206" s="38" t="s">
        <v>12690</v>
      </c>
    </row>
    <row r="1207" spans="1:20" x14ac:dyDescent="0.25">
      <c r="A1207" s="33" t="s">
        <v>7811</v>
      </c>
      <c r="B1207" s="33" t="s">
        <v>7810</v>
      </c>
      <c r="C1207" s="33" t="s">
        <v>141</v>
      </c>
      <c r="D1207" s="34"/>
      <c r="E1207" s="33">
        <v>2020</v>
      </c>
      <c r="F1207" s="34"/>
      <c r="G1207" s="34"/>
      <c r="H1207" s="33" t="s">
        <v>7812</v>
      </c>
      <c r="I1207" s="33" t="s">
        <v>6322</v>
      </c>
      <c r="J1207" s="43">
        <v>44044</v>
      </c>
      <c r="K1207" s="36"/>
      <c r="L1207" s="36"/>
      <c r="M1207" s="34"/>
      <c r="N1207" s="37" t="s">
        <v>7813</v>
      </c>
      <c r="O1207" s="33" t="s">
        <v>7814</v>
      </c>
      <c r="P1207" s="33" t="s">
        <v>7815</v>
      </c>
      <c r="Q1207" s="36"/>
      <c r="R1207" s="36"/>
      <c r="S1207" s="33" t="s">
        <v>7816</v>
      </c>
      <c r="T1207" s="38" t="s">
        <v>12688</v>
      </c>
    </row>
    <row r="1208" spans="1:20" x14ac:dyDescent="0.25">
      <c r="A1208" s="39" t="s">
        <v>9358</v>
      </c>
      <c r="B1208" s="39" t="s">
        <v>9360</v>
      </c>
      <c r="C1208" s="39" t="s">
        <v>539</v>
      </c>
      <c r="D1208" s="36"/>
      <c r="E1208" s="39">
        <v>2022</v>
      </c>
      <c r="F1208" s="40"/>
      <c r="G1208" s="40"/>
      <c r="H1208" s="36"/>
      <c r="I1208" s="39" t="s">
        <v>3475</v>
      </c>
      <c r="J1208" s="36"/>
      <c r="K1208" s="36"/>
      <c r="L1208" s="36"/>
      <c r="M1208" s="34"/>
      <c r="N1208" s="41" t="s">
        <v>9361</v>
      </c>
      <c r="O1208" s="39" t="s">
        <v>9359</v>
      </c>
      <c r="P1208" s="33"/>
      <c r="Q1208" s="36"/>
      <c r="R1208" s="34"/>
      <c r="S1208" s="38"/>
      <c r="T1208" s="38" t="s">
        <v>12689</v>
      </c>
    </row>
    <row r="1209" spans="1:20" x14ac:dyDescent="0.25">
      <c r="A1209" s="33" t="s">
        <v>12567</v>
      </c>
      <c r="B1209" s="34"/>
      <c r="C1209" s="33" t="s">
        <v>539</v>
      </c>
      <c r="D1209" s="34"/>
      <c r="E1209" s="33">
        <v>2022</v>
      </c>
      <c r="F1209" s="34"/>
      <c r="G1209" s="34"/>
      <c r="H1209" s="34"/>
      <c r="I1209" s="44" t="s">
        <v>12710</v>
      </c>
      <c r="J1209" s="33">
        <v>2022</v>
      </c>
      <c r="K1209" s="33">
        <v>9781450397803</v>
      </c>
      <c r="L1209" s="34"/>
      <c r="M1209" s="34"/>
      <c r="N1209" s="34"/>
      <c r="O1209" s="34"/>
      <c r="P1209" s="34"/>
      <c r="Q1209" s="36"/>
      <c r="R1209" s="36"/>
      <c r="S1209" s="34"/>
      <c r="T1209" s="33" t="s">
        <v>12692</v>
      </c>
    </row>
    <row r="1210" spans="1:20" x14ac:dyDescent="0.25">
      <c r="A1210" s="33" t="s">
        <v>12353</v>
      </c>
      <c r="B1210" s="33" t="s">
        <v>12352</v>
      </c>
      <c r="C1210" s="33" t="s">
        <v>13</v>
      </c>
      <c r="D1210" s="33" t="s">
        <v>12354</v>
      </c>
      <c r="E1210" s="33">
        <v>2022</v>
      </c>
      <c r="F1210" s="33">
        <v>6</v>
      </c>
      <c r="G1210" s="33" t="s">
        <v>1286</v>
      </c>
      <c r="H1210" s="34"/>
      <c r="I1210" s="44" t="s">
        <v>12710</v>
      </c>
      <c r="J1210" s="43">
        <v>44652</v>
      </c>
      <c r="K1210" s="34"/>
      <c r="L1210" s="34"/>
      <c r="M1210" s="34"/>
      <c r="N1210" s="37" t="s">
        <v>12355</v>
      </c>
      <c r="O1210" s="33" t="s">
        <v>12356</v>
      </c>
      <c r="P1210" s="33" t="s">
        <v>12357</v>
      </c>
      <c r="Q1210" s="36"/>
      <c r="R1210" s="36"/>
      <c r="S1210" s="33" t="s">
        <v>12358</v>
      </c>
      <c r="T1210" s="33" t="s">
        <v>12692</v>
      </c>
    </row>
    <row r="1211" spans="1:20" x14ac:dyDescent="0.25">
      <c r="A1211" s="33" t="s">
        <v>2981</v>
      </c>
      <c r="B1211" s="33" t="s">
        <v>2980</v>
      </c>
      <c r="C1211" s="33" t="s">
        <v>141</v>
      </c>
      <c r="D1211" s="34"/>
      <c r="E1211" s="33">
        <v>2020</v>
      </c>
      <c r="F1211" s="34"/>
      <c r="G1211" s="34"/>
      <c r="H1211" s="42">
        <v>44932</v>
      </c>
      <c r="I1211" s="33" t="s">
        <v>6500</v>
      </c>
      <c r="J1211" s="35">
        <v>44136</v>
      </c>
      <c r="K1211" s="36"/>
      <c r="L1211" s="36"/>
      <c r="M1211" s="34"/>
      <c r="N1211" s="37" t="s">
        <v>6501</v>
      </c>
      <c r="O1211" s="33" t="s">
        <v>2983</v>
      </c>
      <c r="P1211" s="33" t="s">
        <v>6502</v>
      </c>
      <c r="Q1211" s="36"/>
      <c r="R1211" s="36"/>
      <c r="S1211" s="33" t="s">
        <v>6503</v>
      </c>
      <c r="T1211" s="38" t="s">
        <v>12688</v>
      </c>
    </row>
    <row r="1212" spans="1:20" x14ac:dyDescent="0.25">
      <c r="A1212" s="33" t="s">
        <v>2981</v>
      </c>
      <c r="B1212" s="33" t="s">
        <v>2980</v>
      </c>
      <c r="C1212" s="33" t="s">
        <v>141</v>
      </c>
      <c r="D1212" s="34"/>
      <c r="E1212" s="33">
        <v>2020</v>
      </c>
      <c r="F1212" s="34"/>
      <c r="G1212" s="34"/>
      <c r="H1212" s="34"/>
      <c r="I1212" s="33" t="s">
        <v>257</v>
      </c>
      <c r="J1212" s="33">
        <v>2020</v>
      </c>
      <c r="K1212" s="33">
        <v>9781728120355</v>
      </c>
      <c r="L1212" s="34"/>
      <c r="M1212" s="34"/>
      <c r="N1212" s="37" t="s">
        <v>2982</v>
      </c>
      <c r="O1212" s="33" t="s">
        <v>2983</v>
      </c>
      <c r="P1212" s="33" t="s">
        <v>2984</v>
      </c>
      <c r="Q1212" s="33" t="s">
        <v>176</v>
      </c>
      <c r="R1212" s="34"/>
      <c r="S1212" s="38"/>
      <c r="T1212" s="38" t="s">
        <v>12690</v>
      </c>
    </row>
    <row r="1213" spans="1:20" x14ac:dyDescent="0.25">
      <c r="A1213" s="33" t="s">
        <v>8392</v>
      </c>
      <c r="B1213" s="33" t="s">
        <v>8391</v>
      </c>
      <c r="C1213" s="33" t="s">
        <v>13</v>
      </c>
      <c r="D1213" s="33" t="s">
        <v>8393</v>
      </c>
      <c r="E1213" s="33">
        <v>2022</v>
      </c>
      <c r="F1213" s="33">
        <v>17</v>
      </c>
      <c r="G1213" s="33">
        <v>5</v>
      </c>
      <c r="H1213" s="33" t="s">
        <v>8394</v>
      </c>
      <c r="I1213" s="34"/>
      <c r="J1213" s="43">
        <v>44713</v>
      </c>
      <c r="K1213" s="36"/>
      <c r="L1213" s="36"/>
      <c r="M1213" s="33" t="s">
        <v>8395</v>
      </c>
      <c r="N1213" s="37" t="s">
        <v>8396</v>
      </c>
      <c r="O1213" s="33" t="s">
        <v>8397</v>
      </c>
      <c r="P1213" s="33" t="s">
        <v>8398</v>
      </c>
      <c r="Q1213" s="36"/>
      <c r="R1213" s="34"/>
      <c r="S1213" s="38"/>
      <c r="T1213" s="38" t="s">
        <v>12688</v>
      </c>
    </row>
    <row r="1214" spans="1:20" x14ac:dyDescent="0.25">
      <c r="A1214" s="39" t="s">
        <v>10513</v>
      </c>
      <c r="B1214" s="39" t="s">
        <v>9497</v>
      </c>
      <c r="C1214" s="39" t="s">
        <v>9539</v>
      </c>
      <c r="D1214" s="36"/>
      <c r="E1214" s="39">
        <v>2020</v>
      </c>
      <c r="F1214" s="40"/>
      <c r="G1214" s="40"/>
      <c r="H1214" s="36"/>
      <c r="I1214" s="39" t="s">
        <v>9495</v>
      </c>
      <c r="J1214" s="36"/>
      <c r="K1214" s="36"/>
      <c r="L1214" s="36"/>
      <c r="M1214" s="34"/>
      <c r="N1214" s="41" t="s">
        <v>10515</v>
      </c>
      <c r="O1214" s="39" t="s">
        <v>10514</v>
      </c>
      <c r="P1214" s="33"/>
      <c r="Q1214" s="36"/>
      <c r="R1214" s="34"/>
      <c r="S1214" s="38"/>
      <c r="T1214" s="38" t="s">
        <v>12689</v>
      </c>
    </row>
    <row r="1215" spans="1:20" x14ac:dyDescent="0.25">
      <c r="A1215" s="39" t="s">
        <v>10143</v>
      </c>
      <c r="B1215" s="39" t="s">
        <v>10145</v>
      </c>
      <c r="C1215" s="39" t="s">
        <v>539</v>
      </c>
      <c r="D1215" s="36"/>
      <c r="E1215" s="39">
        <v>2022</v>
      </c>
      <c r="F1215" s="40"/>
      <c r="G1215" s="40"/>
      <c r="H1215" s="36"/>
      <c r="I1215" s="40"/>
      <c r="J1215" s="36"/>
      <c r="K1215" s="36"/>
      <c r="L1215" s="36"/>
      <c r="M1215" s="34"/>
      <c r="N1215" s="41" t="s">
        <v>10146</v>
      </c>
      <c r="O1215" s="39" t="s">
        <v>10144</v>
      </c>
      <c r="P1215" s="33"/>
      <c r="Q1215" s="36"/>
      <c r="R1215" s="34"/>
      <c r="S1215" s="38"/>
      <c r="T1215" s="38" t="s">
        <v>12689</v>
      </c>
    </row>
    <row r="1216" spans="1:20" x14ac:dyDescent="0.25">
      <c r="A1216" s="39" t="s">
        <v>10894</v>
      </c>
      <c r="B1216" s="39" t="s">
        <v>10896</v>
      </c>
      <c r="C1216" s="39" t="s">
        <v>9539</v>
      </c>
      <c r="D1216" s="36"/>
      <c r="E1216" s="39">
        <v>2015</v>
      </c>
      <c r="F1216" s="40"/>
      <c r="G1216" s="40"/>
      <c r="H1216" s="36"/>
      <c r="I1216" s="39" t="s">
        <v>10893</v>
      </c>
      <c r="J1216" s="36"/>
      <c r="K1216" s="36"/>
      <c r="L1216" s="36"/>
      <c r="M1216" s="34"/>
      <c r="N1216" s="41" t="s">
        <v>10897</v>
      </c>
      <c r="O1216" s="39" t="s">
        <v>10895</v>
      </c>
      <c r="P1216" s="33"/>
      <c r="Q1216" s="36"/>
      <c r="R1216" s="34"/>
      <c r="S1216" s="38"/>
      <c r="T1216" s="38" t="s">
        <v>12689</v>
      </c>
    </row>
    <row r="1217" spans="1:20" x14ac:dyDescent="0.25">
      <c r="A1217" s="39" t="s">
        <v>10561</v>
      </c>
      <c r="B1217" s="39" t="s">
        <v>9292</v>
      </c>
      <c r="C1217" s="39" t="s">
        <v>9539</v>
      </c>
      <c r="D1217" s="36"/>
      <c r="E1217" s="39">
        <v>2021</v>
      </c>
      <c r="F1217" s="40"/>
      <c r="G1217" s="40"/>
      <c r="H1217" s="36"/>
      <c r="I1217" s="39" t="s">
        <v>9290</v>
      </c>
      <c r="J1217" s="36"/>
      <c r="K1217" s="36"/>
      <c r="L1217" s="36"/>
      <c r="M1217" s="34"/>
      <c r="N1217" s="41" t="s">
        <v>10563</v>
      </c>
      <c r="O1217" s="39" t="s">
        <v>10562</v>
      </c>
      <c r="P1217" s="33"/>
      <c r="Q1217" s="36"/>
      <c r="R1217" s="34"/>
      <c r="S1217" s="38"/>
      <c r="T1217" s="38" t="s">
        <v>12689</v>
      </c>
    </row>
    <row r="1218" spans="1:20" x14ac:dyDescent="0.25">
      <c r="A1218" s="33" t="s">
        <v>911</v>
      </c>
      <c r="B1218" s="33" t="s">
        <v>910</v>
      </c>
      <c r="C1218" s="33" t="s">
        <v>13</v>
      </c>
      <c r="D1218" s="33" t="s">
        <v>912</v>
      </c>
      <c r="E1218" s="33">
        <v>2023</v>
      </c>
      <c r="F1218" s="34"/>
      <c r="G1218" s="34"/>
      <c r="H1218" s="33" t="s">
        <v>913</v>
      </c>
      <c r="I1218" s="33" t="s">
        <v>212</v>
      </c>
      <c r="J1218" s="33">
        <v>2023</v>
      </c>
      <c r="K1218" s="34"/>
      <c r="L1218" s="34"/>
      <c r="M1218" s="33" t="s">
        <v>914</v>
      </c>
      <c r="N1218" s="37" t="s">
        <v>915</v>
      </c>
      <c r="O1218" s="33" t="s">
        <v>916</v>
      </c>
      <c r="P1218" s="33" t="s">
        <v>917</v>
      </c>
      <c r="Q1218" s="33" t="s">
        <v>157</v>
      </c>
      <c r="R1218" s="34"/>
      <c r="S1218" s="38"/>
      <c r="T1218" s="38" t="s">
        <v>12690</v>
      </c>
    </row>
    <row r="1219" spans="1:20" x14ac:dyDescent="0.25">
      <c r="A1219" s="33" t="s">
        <v>5496</v>
      </c>
      <c r="B1219" s="33" t="s">
        <v>5495</v>
      </c>
      <c r="C1219" s="33" t="s">
        <v>141</v>
      </c>
      <c r="D1219" s="34"/>
      <c r="E1219" s="33">
        <v>2017</v>
      </c>
      <c r="F1219" s="34"/>
      <c r="G1219" s="34"/>
      <c r="H1219" s="33" t="s">
        <v>5497</v>
      </c>
      <c r="I1219" s="33" t="s">
        <v>257</v>
      </c>
      <c r="J1219" s="33">
        <v>2017</v>
      </c>
      <c r="K1219" s="33">
        <v>9781509065974</v>
      </c>
      <c r="L1219" s="34"/>
      <c r="M1219" s="34"/>
      <c r="N1219" s="37" t="s">
        <v>5498</v>
      </c>
      <c r="O1219" s="33" t="s">
        <v>5499</v>
      </c>
      <c r="P1219" s="33" t="s">
        <v>5500</v>
      </c>
      <c r="Q1219" s="33" t="s">
        <v>4581</v>
      </c>
      <c r="R1219" s="34"/>
      <c r="S1219" s="38"/>
      <c r="T1219" s="38" t="s">
        <v>12690</v>
      </c>
    </row>
    <row r="1220" spans="1:20" x14ac:dyDescent="0.25">
      <c r="A1220" s="33" t="s">
        <v>3035</v>
      </c>
      <c r="B1220" s="33" t="s">
        <v>3034</v>
      </c>
      <c r="C1220" s="33" t="s">
        <v>141</v>
      </c>
      <c r="D1220" s="34"/>
      <c r="E1220" s="33">
        <v>2020</v>
      </c>
      <c r="F1220" s="34"/>
      <c r="G1220" s="34"/>
      <c r="H1220" s="33" t="s">
        <v>2496</v>
      </c>
      <c r="I1220" s="33" t="s">
        <v>145</v>
      </c>
      <c r="J1220" s="33">
        <v>2020</v>
      </c>
      <c r="K1220" s="33">
        <v>9781450387545</v>
      </c>
      <c r="L1220" s="34"/>
      <c r="M1220" s="34"/>
      <c r="N1220" s="37" t="s">
        <v>3036</v>
      </c>
      <c r="O1220" s="33" t="s">
        <v>3037</v>
      </c>
      <c r="P1220" s="33" t="s">
        <v>3038</v>
      </c>
      <c r="Q1220" s="33" t="s">
        <v>318</v>
      </c>
      <c r="R1220" s="34"/>
      <c r="S1220" s="38"/>
      <c r="T1220" s="38" t="s">
        <v>12690</v>
      </c>
    </row>
    <row r="1221" spans="1:20" x14ac:dyDescent="0.25">
      <c r="A1221" s="33" t="s">
        <v>11179</v>
      </c>
      <c r="B1221" s="33" t="s">
        <v>4991</v>
      </c>
      <c r="C1221" s="33" t="s">
        <v>141</v>
      </c>
      <c r="D1221" s="34"/>
      <c r="E1221" s="33">
        <v>2019</v>
      </c>
      <c r="F1221" s="34"/>
      <c r="G1221" s="34"/>
      <c r="H1221" s="33" t="s">
        <v>11180</v>
      </c>
      <c r="I1221" s="44" t="s">
        <v>12707</v>
      </c>
      <c r="J1221" s="33">
        <v>2019</v>
      </c>
      <c r="K1221" s="34"/>
      <c r="L1221" s="33" t="s">
        <v>11170</v>
      </c>
      <c r="M1221" s="34"/>
      <c r="N1221" s="37" t="s">
        <v>11181</v>
      </c>
      <c r="O1221" s="33" t="s">
        <v>4995</v>
      </c>
      <c r="P1221" s="33" t="s">
        <v>11182</v>
      </c>
      <c r="Q1221" s="36"/>
      <c r="R1221" s="36"/>
      <c r="S1221" s="33" t="s">
        <v>11183</v>
      </c>
      <c r="T1221" s="33" t="s">
        <v>12692</v>
      </c>
    </row>
    <row r="1222" spans="1:20" x14ac:dyDescent="0.25">
      <c r="A1222" s="33" t="s">
        <v>4992</v>
      </c>
      <c r="B1222" s="33" t="s">
        <v>4991</v>
      </c>
      <c r="C1222" s="33" t="s">
        <v>141</v>
      </c>
      <c r="D1222" s="34"/>
      <c r="E1222" s="33">
        <v>2019</v>
      </c>
      <c r="F1222" s="34"/>
      <c r="G1222" s="34"/>
      <c r="H1222" s="33" t="s">
        <v>4993</v>
      </c>
      <c r="I1222" s="33" t="s">
        <v>257</v>
      </c>
      <c r="J1222" s="33">
        <v>2019</v>
      </c>
      <c r="K1222" s="33">
        <v>9781728133713</v>
      </c>
      <c r="L1222" s="34"/>
      <c r="M1222" s="34"/>
      <c r="N1222" s="37" t="s">
        <v>4994</v>
      </c>
      <c r="O1222" s="33" t="s">
        <v>4995</v>
      </c>
      <c r="P1222" s="33" t="s">
        <v>4996</v>
      </c>
      <c r="Q1222" s="33" t="s">
        <v>1813</v>
      </c>
      <c r="R1222" s="34"/>
      <c r="S1222" s="38"/>
      <c r="T1222" s="38" t="s">
        <v>12690</v>
      </c>
    </row>
    <row r="1223" spans="1:20" x14ac:dyDescent="0.25">
      <c r="A1223" s="39" t="s">
        <v>10627</v>
      </c>
      <c r="B1223" s="39" t="s">
        <v>10629</v>
      </c>
      <c r="C1223" s="39" t="s">
        <v>9478</v>
      </c>
      <c r="D1223" s="36"/>
      <c r="E1223" s="39">
        <v>2021</v>
      </c>
      <c r="F1223" s="39">
        <v>2</v>
      </c>
      <c r="G1223" s="39">
        <v>1</v>
      </c>
      <c r="H1223" s="36"/>
      <c r="I1223" s="39" t="s">
        <v>2166</v>
      </c>
      <c r="J1223" s="36"/>
      <c r="K1223" s="36"/>
      <c r="L1223" s="36"/>
      <c r="M1223" s="34"/>
      <c r="N1223" s="41" t="s">
        <v>10630</v>
      </c>
      <c r="O1223" s="39" t="s">
        <v>10628</v>
      </c>
      <c r="P1223" s="33"/>
      <c r="Q1223" s="36"/>
      <c r="R1223" s="34"/>
      <c r="S1223" s="38"/>
      <c r="T1223" s="38" t="s">
        <v>12689</v>
      </c>
    </row>
    <row r="1224" spans="1:20" x14ac:dyDescent="0.25">
      <c r="A1224" s="33" t="s">
        <v>5880</v>
      </c>
      <c r="B1224" s="33" t="s">
        <v>5879</v>
      </c>
      <c r="C1224" s="33" t="s">
        <v>13</v>
      </c>
      <c r="D1224" s="33" t="s">
        <v>523</v>
      </c>
      <c r="E1224" s="33">
        <v>2017</v>
      </c>
      <c r="F1224" s="33">
        <v>25</v>
      </c>
      <c r="G1224" s="33">
        <v>3</v>
      </c>
      <c r="H1224" s="33" t="s">
        <v>5881</v>
      </c>
      <c r="I1224" s="33" t="s">
        <v>3998</v>
      </c>
      <c r="J1224" s="33">
        <v>2017</v>
      </c>
      <c r="K1224" s="34"/>
      <c r="L1224" s="34"/>
      <c r="M1224" s="33" t="s">
        <v>525</v>
      </c>
      <c r="N1224" s="37" t="s">
        <v>5882</v>
      </c>
      <c r="O1224" s="33" t="s">
        <v>5883</v>
      </c>
      <c r="P1224" s="33" t="s">
        <v>5884</v>
      </c>
      <c r="Q1224" s="33" t="s">
        <v>3003</v>
      </c>
      <c r="R1224" s="34"/>
      <c r="S1224" s="38"/>
      <c r="T1224" s="38" t="s">
        <v>12690</v>
      </c>
    </row>
    <row r="1225" spans="1:20" x14ac:dyDescent="0.25">
      <c r="A1225" s="39" t="s">
        <v>5880</v>
      </c>
      <c r="B1225" s="39" t="s">
        <v>10631</v>
      </c>
      <c r="C1225" s="39" t="s">
        <v>9478</v>
      </c>
      <c r="D1225" s="36"/>
      <c r="E1225" s="39">
        <v>2017</v>
      </c>
      <c r="F1225" s="39">
        <v>25</v>
      </c>
      <c r="G1225" s="39">
        <v>3</v>
      </c>
      <c r="H1225" s="36"/>
      <c r="I1225" s="39" t="s">
        <v>523</v>
      </c>
      <c r="J1225" s="36"/>
      <c r="K1225" s="36"/>
      <c r="L1225" s="36"/>
      <c r="M1225" s="34"/>
      <c r="N1225" s="41" t="s">
        <v>10632</v>
      </c>
      <c r="O1225" s="39" t="s">
        <v>5883</v>
      </c>
      <c r="P1225" s="33"/>
      <c r="Q1225" s="36"/>
      <c r="R1225" s="34"/>
      <c r="S1225" s="38"/>
      <c r="T1225" s="38" t="s">
        <v>12689</v>
      </c>
    </row>
    <row r="1226" spans="1:20" x14ac:dyDescent="0.25">
      <c r="A1226" s="33" t="s">
        <v>6757</v>
      </c>
      <c r="B1226" s="33" t="s">
        <v>3561</v>
      </c>
      <c r="C1226" s="33" t="s">
        <v>141</v>
      </c>
      <c r="D1226" s="34"/>
      <c r="E1226" s="33">
        <v>2020</v>
      </c>
      <c r="F1226" s="34"/>
      <c r="G1226" s="34"/>
      <c r="H1226" s="33" t="s">
        <v>6758</v>
      </c>
      <c r="I1226" s="33" t="s">
        <v>6322</v>
      </c>
      <c r="J1226" s="43">
        <v>44044</v>
      </c>
      <c r="K1226" s="36"/>
      <c r="L1226" s="36"/>
      <c r="M1226" s="34"/>
      <c r="N1226" s="37" t="s">
        <v>6759</v>
      </c>
      <c r="O1226" s="33" t="s">
        <v>6760</v>
      </c>
      <c r="P1226" s="33" t="s">
        <v>6761</v>
      </c>
      <c r="Q1226" s="36"/>
      <c r="R1226" s="36"/>
      <c r="S1226" s="33" t="s">
        <v>6762</v>
      </c>
      <c r="T1226" s="38" t="s">
        <v>12688</v>
      </c>
    </row>
    <row r="1227" spans="1:20" x14ac:dyDescent="0.25">
      <c r="A1227" s="33" t="s">
        <v>5566</v>
      </c>
      <c r="B1227" s="33" t="s">
        <v>5565</v>
      </c>
      <c r="C1227" s="33" t="s">
        <v>13</v>
      </c>
      <c r="D1227" s="33" t="s">
        <v>598</v>
      </c>
      <c r="E1227" s="33">
        <v>2018</v>
      </c>
      <c r="F1227" s="33">
        <v>29</v>
      </c>
      <c r="G1227" s="33">
        <v>5</v>
      </c>
      <c r="H1227" s="33" t="s">
        <v>5567</v>
      </c>
      <c r="I1227" s="33" t="s">
        <v>600</v>
      </c>
      <c r="J1227" s="33">
        <v>2018</v>
      </c>
      <c r="K1227" s="34"/>
      <c r="L1227" s="34"/>
      <c r="M1227" s="33" t="s">
        <v>601</v>
      </c>
      <c r="N1227" s="37" t="s">
        <v>5568</v>
      </c>
      <c r="O1227" s="33" t="s">
        <v>5569</v>
      </c>
      <c r="P1227" s="33" t="s">
        <v>5570</v>
      </c>
      <c r="Q1227" s="33" t="s">
        <v>2723</v>
      </c>
      <c r="R1227" s="34"/>
      <c r="S1227" s="38"/>
      <c r="T1227" s="38" t="s">
        <v>12690</v>
      </c>
    </row>
    <row r="1228" spans="1:20" x14ac:dyDescent="0.25">
      <c r="A1228" s="39" t="s">
        <v>10169</v>
      </c>
      <c r="B1228" s="39" t="s">
        <v>9455</v>
      </c>
      <c r="C1228" s="39" t="s">
        <v>9539</v>
      </c>
      <c r="D1228" s="36"/>
      <c r="E1228" s="39">
        <v>2022</v>
      </c>
      <c r="F1228" s="40"/>
      <c r="G1228" s="40"/>
      <c r="H1228" s="36"/>
      <c r="I1228" s="39" t="s">
        <v>9453</v>
      </c>
      <c r="J1228" s="36"/>
      <c r="K1228" s="36"/>
      <c r="L1228" s="36"/>
      <c r="M1228" s="34"/>
      <c r="N1228" s="41" t="s">
        <v>10171</v>
      </c>
      <c r="O1228" s="39" t="s">
        <v>10170</v>
      </c>
      <c r="P1228" s="33"/>
      <c r="Q1228" s="36"/>
      <c r="R1228" s="34"/>
      <c r="S1228" s="38"/>
      <c r="T1228" s="38" t="s">
        <v>12689</v>
      </c>
    </row>
    <row r="1229" spans="1:20" x14ac:dyDescent="0.25">
      <c r="A1229" s="33" t="s">
        <v>3923</v>
      </c>
      <c r="B1229" s="33" t="s">
        <v>3922</v>
      </c>
      <c r="C1229" s="33" t="s">
        <v>141</v>
      </c>
      <c r="D1229" s="34"/>
      <c r="E1229" s="33">
        <v>2019</v>
      </c>
      <c r="F1229" s="34"/>
      <c r="G1229" s="34"/>
      <c r="H1229" s="33" t="s">
        <v>6643</v>
      </c>
      <c r="I1229" s="33" t="s">
        <v>6644</v>
      </c>
      <c r="J1229" s="43">
        <v>43497</v>
      </c>
      <c r="K1229" s="36"/>
      <c r="L1229" s="36"/>
      <c r="M1229" s="33" t="s">
        <v>6593</v>
      </c>
      <c r="N1229" s="37" t="s">
        <v>6645</v>
      </c>
      <c r="O1229" s="33" t="s">
        <v>3926</v>
      </c>
      <c r="P1229" s="33" t="s">
        <v>6646</v>
      </c>
      <c r="Q1229" s="36"/>
      <c r="R1229" s="36"/>
      <c r="S1229" s="33" t="s">
        <v>6647</v>
      </c>
      <c r="T1229" s="38" t="s">
        <v>12688</v>
      </c>
    </row>
    <row r="1230" spans="1:20" x14ac:dyDescent="0.25">
      <c r="A1230" s="33" t="s">
        <v>3923</v>
      </c>
      <c r="B1230" s="33" t="s">
        <v>3922</v>
      </c>
      <c r="C1230" s="33" t="s">
        <v>141</v>
      </c>
      <c r="D1230" s="34"/>
      <c r="E1230" s="33">
        <v>2019</v>
      </c>
      <c r="F1230" s="34"/>
      <c r="G1230" s="34"/>
      <c r="H1230" s="33" t="s">
        <v>3924</v>
      </c>
      <c r="I1230" s="33" t="s">
        <v>257</v>
      </c>
      <c r="J1230" s="33">
        <v>2019</v>
      </c>
      <c r="K1230" s="33">
        <v>9781728105918</v>
      </c>
      <c r="L1230" s="34"/>
      <c r="M1230" s="34"/>
      <c r="N1230" s="37" t="s">
        <v>3925</v>
      </c>
      <c r="O1230" s="33" t="s">
        <v>3926</v>
      </c>
      <c r="P1230" s="33" t="s">
        <v>3927</v>
      </c>
      <c r="Q1230" s="33" t="s">
        <v>2286</v>
      </c>
      <c r="R1230" s="34"/>
      <c r="S1230" s="38"/>
      <c r="T1230" s="38" t="s">
        <v>12690</v>
      </c>
    </row>
    <row r="1231" spans="1:20" x14ac:dyDescent="0.25">
      <c r="A1231" s="39" t="s">
        <v>3864</v>
      </c>
      <c r="B1231" s="39" t="s">
        <v>10762</v>
      </c>
      <c r="C1231" s="39" t="s">
        <v>9539</v>
      </c>
      <c r="D1231" s="36"/>
      <c r="E1231" s="39">
        <v>2021</v>
      </c>
      <c r="F1231" s="40"/>
      <c r="G1231" s="40"/>
      <c r="H1231" s="36"/>
      <c r="I1231" s="39" t="s">
        <v>10761</v>
      </c>
      <c r="J1231" s="36"/>
      <c r="K1231" s="36"/>
      <c r="L1231" s="36"/>
      <c r="M1231" s="34"/>
      <c r="N1231" s="41" t="s">
        <v>10763</v>
      </c>
      <c r="O1231" s="39" t="s">
        <v>3868</v>
      </c>
      <c r="P1231" s="33"/>
      <c r="Q1231" s="36"/>
      <c r="R1231" s="34"/>
      <c r="S1231" s="38"/>
      <c r="T1231" s="38" t="s">
        <v>12689</v>
      </c>
    </row>
    <row r="1232" spans="1:20" x14ac:dyDescent="0.25">
      <c r="A1232" s="33" t="s">
        <v>3864</v>
      </c>
      <c r="B1232" s="33" t="s">
        <v>3863</v>
      </c>
      <c r="C1232" s="33" t="s">
        <v>13</v>
      </c>
      <c r="D1232" s="33" t="s">
        <v>3475</v>
      </c>
      <c r="E1232" s="33">
        <v>2021</v>
      </c>
      <c r="F1232" s="33" t="s">
        <v>3865</v>
      </c>
      <c r="G1232" s="34"/>
      <c r="H1232" s="33" t="s">
        <v>3866</v>
      </c>
      <c r="I1232" s="33" t="s">
        <v>212</v>
      </c>
      <c r="J1232" s="33">
        <v>2021</v>
      </c>
      <c r="K1232" s="34"/>
      <c r="L1232" s="34"/>
      <c r="M1232" s="33" t="s">
        <v>3478</v>
      </c>
      <c r="N1232" s="37" t="s">
        <v>3867</v>
      </c>
      <c r="O1232" s="33" t="s">
        <v>3868</v>
      </c>
      <c r="P1232" s="33" t="s">
        <v>3869</v>
      </c>
      <c r="Q1232" s="33" t="s">
        <v>157</v>
      </c>
      <c r="R1232" s="34"/>
      <c r="S1232" s="38"/>
      <c r="T1232" s="38" t="s">
        <v>12690</v>
      </c>
    </row>
    <row r="1233" spans="1:20" x14ac:dyDescent="0.25">
      <c r="A1233" s="33" t="s">
        <v>4102</v>
      </c>
      <c r="B1233" s="33" t="s">
        <v>4101</v>
      </c>
      <c r="C1233" s="33" t="s">
        <v>13</v>
      </c>
      <c r="D1233" s="33" t="s">
        <v>307</v>
      </c>
      <c r="E1233" s="33">
        <v>2020</v>
      </c>
      <c r="F1233" s="33">
        <v>122</v>
      </c>
      <c r="G1233" s="36"/>
      <c r="H1233" s="33">
        <v>106274</v>
      </c>
      <c r="I1233" s="36"/>
      <c r="J1233" s="33">
        <v>2020</v>
      </c>
      <c r="K1233" s="34"/>
      <c r="L1233" s="34"/>
      <c r="M1233" s="33" t="s">
        <v>308</v>
      </c>
      <c r="N1233" s="37" t="s">
        <v>8443</v>
      </c>
      <c r="O1233" s="33" t="s">
        <v>4104</v>
      </c>
      <c r="P1233" s="33" t="s">
        <v>8444</v>
      </c>
      <c r="Q1233" s="36"/>
      <c r="R1233" s="36"/>
      <c r="S1233" s="33" t="s">
        <v>8445</v>
      </c>
      <c r="T1233" s="38" t="s">
        <v>12693</v>
      </c>
    </row>
    <row r="1234" spans="1:20" x14ac:dyDescent="0.25">
      <c r="A1234" s="33" t="s">
        <v>4102</v>
      </c>
      <c r="B1234" s="33" t="s">
        <v>4101</v>
      </c>
      <c r="C1234" s="33" t="s">
        <v>13</v>
      </c>
      <c r="D1234" s="33" t="s">
        <v>307</v>
      </c>
      <c r="E1234" s="33">
        <v>2020</v>
      </c>
      <c r="F1234" s="33">
        <v>122</v>
      </c>
      <c r="G1234" s="34"/>
      <c r="H1234" s="34"/>
      <c r="I1234" s="33" t="s">
        <v>280</v>
      </c>
      <c r="J1234" s="33">
        <v>2020</v>
      </c>
      <c r="K1234" s="34"/>
      <c r="L1234" s="34"/>
      <c r="M1234" s="33" t="s">
        <v>308</v>
      </c>
      <c r="N1234" s="37" t="s">
        <v>4103</v>
      </c>
      <c r="O1234" s="33" t="s">
        <v>4104</v>
      </c>
      <c r="P1234" s="33" t="s">
        <v>4105</v>
      </c>
      <c r="Q1234" s="33" t="s">
        <v>4106</v>
      </c>
      <c r="R1234" s="34"/>
      <c r="S1234" s="38"/>
      <c r="T1234" s="38" t="s">
        <v>12690</v>
      </c>
    </row>
    <row r="1235" spans="1:20" x14ac:dyDescent="0.25">
      <c r="A1235" s="33" t="s">
        <v>3698</v>
      </c>
      <c r="B1235" s="33" t="s">
        <v>3344</v>
      </c>
      <c r="C1235" s="33" t="s">
        <v>141</v>
      </c>
      <c r="D1235" s="34"/>
      <c r="E1235" s="33">
        <v>2020</v>
      </c>
      <c r="F1235" s="34"/>
      <c r="G1235" s="34"/>
      <c r="H1235" s="33" t="s">
        <v>11155</v>
      </c>
      <c r="I1235" s="44" t="s">
        <v>12785</v>
      </c>
      <c r="J1235" s="33">
        <v>2020</v>
      </c>
      <c r="K1235" s="33">
        <v>9781450371254</v>
      </c>
      <c r="L1235" s="33" t="s">
        <v>11387</v>
      </c>
      <c r="M1235" s="34"/>
      <c r="N1235" s="37" t="s">
        <v>11385</v>
      </c>
      <c r="O1235" s="33" t="s">
        <v>4359</v>
      </c>
      <c r="P1235" s="33" t="s">
        <v>6394</v>
      </c>
      <c r="Q1235" s="36"/>
      <c r="R1235" s="36"/>
      <c r="S1235" s="33" t="s">
        <v>11386</v>
      </c>
      <c r="T1235" s="33" t="s">
        <v>12692</v>
      </c>
    </row>
    <row r="1236" spans="1:20" x14ac:dyDescent="0.25">
      <c r="A1236" s="33" t="s">
        <v>3698</v>
      </c>
      <c r="B1236" s="33" t="s">
        <v>3344</v>
      </c>
      <c r="C1236" s="33" t="s">
        <v>141</v>
      </c>
      <c r="D1236" s="34"/>
      <c r="E1236" s="33">
        <v>2020</v>
      </c>
      <c r="F1236" s="34"/>
      <c r="G1236" s="34"/>
      <c r="H1236" s="42">
        <v>44936</v>
      </c>
      <c r="I1236" s="33" t="s">
        <v>6393</v>
      </c>
      <c r="J1236" s="35">
        <v>44105</v>
      </c>
      <c r="K1236" s="36"/>
      <c r="L1236" s="36"/>
      <c r="M1236" s="34"/>
      <c r="N1236" s="34"/>
      <c r="O1236" s="34"/>
      <c r="P1236" s="33" t="s">
        <v>6394</v>
      </c>
      <c r="Q1236" s="36"/>
      <c r="R1236" s="36"/>
      <c r="S1236" s="33" t="s">
        <v>6395</v>
      </c>
      <c r="T1236" s="38" t="s">
        <v>12688</v>
      </c>
    </row>
    <row r="1237" spans="1:20" x14ac:dyDescent="0.25">
      <c r="A1237" s="33" t="s">
        <v>3698</v>
      </c>
      <c r="B1237" s="33" t="s">
        <v>3344</v>
      </c>
      <c r="C1237" s="33" t="s">
        <v>141</v>
      </c>
      <c r="D1237" s="34"/>
      <c r="E1237" s="33">
        <v>2020</v>
      </c>
      <c r="F1237" s="34"/>
      <c r="G1237" s="34"/>
      <c r="H1237" s="33" t="s">
        <v>3699</v>
      </c>
      <c r="I1237" s="33" t="s">
        <v>257</v>
      </c>
      <c r="J1237" s="33">
        <v>2020</v>
      </c>
      <c r="K1237" s="33">
        <v>9781450371254</v>
      </c>
      <c r="L1237" s="34"/>
      <c r="M1237" s="34"/>
      <c r="N1237" s="37" t="s">
        <v>3700</v>
      </c>
      <c r="O1237" s="34"/>
      <c r="P1237" s="33" t="s">
        <v>3701</v>
      </c>
      <c r="Q1237" s="33" t="s">
        <v>2110</v>
      </c>
      <c r="R1237" s="34"/>
      <c r="S1237" s="38"/>
      <c r="T1237" s="38" t="s">
        <v>12690</v>
      </c>
    </row>
    <row r="1238" spans="1:20" x14ac:dyDescent="0.25">
      <c r="A1238" s="33" t="s">
        <v>3698</v>
      </c>
      <c r="B1238" s="33" t="s">
        <v>3344</v>
      </c>
      <c r="C1238" s="33" t="s">
        <v>141</v>
      </c>
      <c r="D1238" s="34"/>
      <c r="E1238" s="33">
        <v>2020</v>
      </c>
      <c r="F1238" s="34"/>
      <c r="G1238" s="34"/>
      <c r="H1238" s="33" t="s">
        <v>3699</v>
      </c>
      <c r="I1238" s="33" t="s">
        <v>196</v>
      </c>
      <c r="J1238" s="33">
        <v>2020</v>
      </c>
      <c r="K1238" s="33">
        <v>9781450371247</v>
      </c>
      <c r="L1238" s="34"/>
      <c r="M1238" s="33" t="s">
        <v>1458</v>
      </c>
      <c r="N1238" s="37" t="s">
        <v>4358</v>
      </c>
      <c r="O1238" s="33" t="s">
        <v>4359</v>
      </c>
      <c r="P1238" s="33" t="s">
        <v>4360</v>
      </c>
      <c r="Q1238" s="33" t="s">
        <v>2243</v>
      </c>
      <c r="R1238" s="34"/>
      <c r="S1238" s="38"/>
      <c r="T1238" s="38" t="s">
        <v>12690</v>
      </c>
    </row>
    <row r="1239" spans="1:20" x14ac:dyDescent="0.25">
      <c r="A1239" s="33" t="s">
        <v>7037</v>
      </c>
      <c r="B1239" s="34"/>
      <c r="C1239" s="33" t="s">
        <v>13</v>
      </c>
      <c r="D1239" s="33" t="s">
        <v>7038</v>
      </c>
      <c r="E1239" s="33">
        <v>2017</v>
      </c>
      <c r="F1239" s="34"/>
      <c r="G1239" s="34"/>
      <c r="H1239" s="33" t="s">
        <v>7039</v>
      </c>
      <c r="I1239" s="34"/>
      <c r="J1239" s="43">
        <v>42736</v>
      </c>
      <c r="K1239" s="36"/>
      <c r="L1239" s="36"/>
      <c r="M1239" s="34"/>
      <c r="N1239" s="34"/>
      <c r="O1239" s="34"/>
      <c r="P1239" s="33" t="s">
        <v>7035</v>
      </c>
      <c r="Q1239" s="36"/>
      <c r="R1239" s="36"/>
      <c r="S1239" s="33" t="s">
        <v>7040</v>
      </c>
      <c r="T1239" s="38" t="s">
        <v>12688</v>
      </c>
    </row>
    <row r="1240" spans="1:20" x14ac:dyDescent="0.25">
      <c r="A1240" s="33" t="s">
        <v>7032</v>
      </c>
      <c r="B1240" s="34"/>
      <c r="C1240" s="33" t="s">
        <v>13</v>
      </c>
      <c r="D1240" s="33" t="s">
        <v>7033</v>
      </c>
      <c r="E1240" s="33">
        <v>2016</v>
      </c>
      <c r="F1240" s="34"/>
      <c r="G1240" s="34"/>
      <c r="H1240" s="33" t="s">
        <v>7034</v>
      </c>
      <c r="I1240" s="34"/>
      <c r="J1240" s="43">
        <v>42370</v>
      </c>
      <c r="K1240" s="36"/>
      <c r="L1240" s="36"/>
      <c r="M1240" s="34"/>
      <c r="N1240" s="34"/>
      <c r="O1240" s="34"/>
      <c r="P1240" s="33" t="s">
        <v>7035</v>
      </c>
      <c r="Q1240" s="36"/>
      <c r="R1240" s="36"/>
      <c r="S1240" s="33" t="s">
        <v>7036</v>
      </c>
      <c r="T1240" s="38" t="s">
        <v>12688</v>
      </c>
    </row>
    <row r="1241" spans="1:20" x14ac:dyDescent="0.25">
      <c r="A1241" s="33" t="s">
        <v>7032</v>
      </c>
      <c r="B1241" s="34"/>
      <c r="C1241" s="33" t="s">
        <v>13</v>
      </c>
      <c r="D1241" s="33" t="s">
        <v>7041</v>
      </c>
      <c r="E1241" s="33">
        <v>2017</v>
      </c>
      <c r="F1241" s="34"/>
      <c r="G1241" s="34"/>
      <c r="H1241" s="33" t="s">
        <v>7042</v>
      </c>
      <c r="I1241" s="34"/>
      <c r="J1241" s="43">
        <v>42736</v>
      </c>
      <c r="K1241" s="36"/>
      <c r="L1241" s="36"/>
      <c r="M1241" s="34"/>
      <c r="N1241" s="34"/>
      <c r="O1241" s="34"/>
      <c r="P1241" s="33" t="s">
        <v>7035</v>
      </c>
      <c r="Q1241" s="36"/>
      <c r="R1241" s="36"/>
      <c r="S1241" s="33" t="s">
        <v>7043</v>
      </c>
      <c r="T1241" s="38" t="s">
        <v>12688</v>
      </c>
    </row>
    <row r="1242" spans="1:20" x14ac:dyDescent="0.25">
      <c r="A1242" s="33" t="s">
        <v>6580</v>
      </c>
      <c r="B1242" s="34"/>
      <c r="C1242" s="33" t="s">
        <v>13</v>
      </c>
      <c r="D1242" s="33" t="s">
        <v>6581</v>
      </c>
      <c r="E1242" s="33">
        <v>2017</v>
      </c>
      <c r="F1242" s="34"/>
      <c r="G1242" s="34"/>
      <c r="H1242" s="33" t="s">
        <v>6582</v>
      </c>
      <c r="I1242" s="34"/>
      <c r="J1242" s="43">
        <v>42948</v>
      </c>
      <c r="K1242" s="36"/>
      <c r="L1242" s="36"/>
      <c r="M1242" s="34"/>
      <c r="N1242" s="37" t="s">
        <v>6583</v>
      </c>
      <c r="O1242" s="33" t="s">
        <v>6584</v>
      </c>
      <c r="P1242" s="33" t="s">
        <v>6585</v>
      </c>
      <c r="Q1242" s="36"/>
      <c r="R1242" s="36"/>
      <c r="S1242" s="33" t="s">
        <v>6586</v>
      </c>
      <c r="T1242" s="38" t="s">
        <v>12688</v>
      </c>
    </row>
    <row r="1243" spans="1:20" x14ac:dyDescent="0.25">
      <c r="A1243" s="33" t="s">
        <v>554</v>
      </c>
      <c r="B1243" s="33" t="s">
        <v>553</v>
      </c>
      <c r="C1243" s="33" t="s">
        <v>13</v>
      </c>
      <c r="D1243" s="33" t="s">
        <v>555</v>
      </c>
      <c r="E1243" s="33">
        <v>2022</v>
      </c>
      <c r="F1243" s="33">
        <v>13</v>
      </c>
      <c r="G1243" s="33">
        <v>11</v>
      </c>
      <c r="H1243" s="33" t="s">
        <v>556</v>
      </c>
      <c r="I1243" s="33" t="s">
        <v>557</v>
      </c>
      <c r="J1243" s="33">
        <v>2022</v>
      </c>
      <c r="K1243" s="34"/>
      <c r="L1243" s="34"/>
      <c r="M1243" s="33" t="s">
        <v>558</v>
      </c>
      <c r="N1243" s="37" t="s">
        <v>559</v>
      </c>
      <c r="O1243" s="33" t="s">
        <v>560</v>
      </c>
      <c r="P1243" s="33" t="s">
        <v>561</v>
      </c>
      <c r="Q1243" s="33" t="s">
        <v>285</v>
      </c>
      <c r="R1243" s="34"/>
      <c r="S1243" s="38"/>
      <c r="T1243" s="38" t="s">
        <v>12690</v>
      </c>
    </row>
    <row r="1244" spans="1:20" x14ac:dyDescent="0.25">
      <c r="A1244" s="33" t="s">
        <v>7509</v>
      </c>
      <c r="B1244" s="33" t="s">
        <v>7508</v>
      </c>
      <c r="C1244" s="33" t="s">
        <v>141</v>
      </c>
      <c r="D1244" s="34"/>
      <c r="E1244" s="33">
        <v>2021</v>
      </c>
      <c r="F1244" s="34"/>
      <c r="G1244" s="34"/>
      <c r="H1244" s="33" t="s">
        <v>7510</v>
      </c>
      <c r="I1244" s="33" t="s">
        <v>6179</v>
      </c>
      <c r="J1244" s="43">
        <v>44440</v>
      </c>
      <c r="K1244" s="36"/>
      <c r="L1244" s="36"/>
      <c r="M1244" s="34"/>
      <c r="N1244" s="37" t="s">
        <v>7511</v>
      </c>
      <c r="O1244" s="33" t="s">
        <v>7512</v>
      </c>
      <c r="P1244" s="33" t="s">
        <v>7513</v>
      </c>
      <c r="Q1244" s="36"/>
      <c r="R1244" s="36"/>
      <c r="S1244" s="33" t="s">
        <v>7514</v>
      </c>
      <c r="T1244" s="38" t="s">
        <v>12688</v>
      </c>
    </row>
    <row r="1245" spans="1:20" x14ac:dyDescent="0.25">
      <c r="A1245" s="39" t="s">
        <v>10931</v>
      </c>
      <c r="B1245" s="39" t="s">
        <v>10933</v>
      </c>
      <c r="C1245" s="39" t="s">
        <v>539</v>
      </c>
      <c r="D1245" s="36"/>
      <c r="E1245" s="39">
        <v>2022</v>
      </c>
      <c r="F1245" s="40"/>
      <c r="G1245" s="40"/>
      <c r="H1245" s="36"/>
      <c r="I1245" s="39" t="s">
        <v>10535</v>
      </c>
      <c r="J1245" s="36"/>
      <c r="K1245" s="36"/>
      <c r="L1245" s="36"/>
      <c r="M1245" s="34"/>
      <c r="N1245" s="41" t="s">
        <v>10934</v>
      </c>
      <c r="O1245" s="39" t="s">
        <v>10932</v>
      </c>
      <c r="P1245" s="33"/>
      <c r="Q1245" s="36"/>
      <c r="R1245" s="34"/>
      <c r="S1245" s="38"/>
      <c r="T1245" s="38" t="s">
        <v>12689</v>
      </c>
    </row>
    <row r="1246" spans="1:20" x14ac:dyDescent="0.25">
      <c r="A1246" s="33" t="s">
        <v>2477</v>
      </c>
      <c r="B1246" s="33" t="s">
        <v>2476</v>
      </c>
      <c r="C1246" s="33" t="s">
        <v>13</v>
      </c>
      <c r="D1246" s="33" t="s">
        <v>668</v>
      </c>
      <c r="E1246" s="33">
        <v>2022</v>
      </c>
      <c r="F1246" s="33">
        <v>10</v>
      </c>
      <c r="G1246" s="34"/>
      <c r="H1246" s="33" t="s">
        <v>2478</v>
      </c>
      <c r="I1246" s="33" t="s">
        <v>257</v>
      </c>
      <c r="J1246" s="33">
        <v>2022</v>
      </c>
      <c r="K1246" s="34"/>
      <c r="L1246" s="34"/>
      <c r="M1246" s="33" t="s">
        <v>670</v>
      </c>
      <c r="N1246" s="37" t="s">
        <v>2479</v>
      </c>
      <c r="O1246" s="33" t="s">
        <v>2480</v>
      </c>
      <c r="P1246" s="33" t="s">
        <v>2481</v>
      </c>
      <c r="Q1246" s="33" t="s">
        <v>285</v>
      </c>
      <c r="R1246" s="34"/>
      <c r="S1246" s="38"/>
      <c r="T1246" s="38" t="s">
        <v>12690</v>
      </c>
    </row>
    <row r="1247" spans="1:20" x14ac:dyDescent="0.25">
      <c r="A1247" s="33" t="s">
        <v>2301</v>
      </c>
      <c r="B1247" s="33" t="s">
        <v>2300</v>
      </c>
      <c r="C1247" s="33" t="s">
        <v>13</v>
      </c>
      <c r="D1247" s="33" t="s">
        <v>2302</v>
      </c>
      <c r="E1247" s="33">
        <v>2022</v>
      </c>
      <c r="F1247" s="34"/>
      <c r="G1247" s="34"/>
      <c r="H1247" s="34"/>
      <c r="I1247" s="33" t="s">
        <v>137</v>
      </c>
      <c r="J1247" s="33">
        <v>2022</v>
      </c>
      <c r="K1247" s="34"/>
      <c r="L1247" s="34"/>
      <c r="M1247" s="33" t="s">
        <v>2303</v>
      </c>
      <c r="N1247" s="37" t="s">
        <v>2304</v>
      </c>
      <c r="O1247" s="33" t="s">
        <v>2305</v>
      </c>
      <c r="P1247" s="33" t="s">
        <v>2306</v>
      </c>
      <c r="Q1247" s="33" t="s">
        <v>157</v>
      </c>
      <c r="R1247" s="34"/>
      <c r="S1247" s="38"/>
      <c r="T1247" s="38" t="s">
        <v>12690</v>
      </c>
    </row>
    <row r="1248" spans="1:20" x14ac:dyDescent="0.25">
      <c r="A1248" s="39" t="s">
        <v>10824</v>
      </c>
      <c r="B1248" s="39" t="s">
        <v>10826</v>
      </c>
      <c r="C1248" s="39" t="s">
        <v>9539</v>
      </c>
      <c r="D1248" s="36"/>
      <c r="E1248" s="39">
        <v>2014</v>
      </c>
      <c r="F1248" s="40"/>
      <c r="G1248" s="40"/>
      <c r="H1248" s="36"/>
      <c r="I1248" s="39" t="s">
        <v>10823</v>
      </c>
      <c r="J1248" s="36"/>
      <c r="K1248" s="36"/>
      <c r="L1248" s="36"/>
      <c r="M1248" s="34"/>
      <c r="N1248" s="41" t="s">
        <v>10827</v>
      </c>
      <c r="O1248" s="39" t="s">
        <v>10825</v>
      </c>
      <c r="P1248" s="33"/>
      <c r="Q1248" s="36"/>
      <c r="R1248" s="34"/>
      <c r="S1248" s="38"/>
      <c r="T1248" s="38" t="s">
        <v>12689</v>
      </c>
    </row>
    <row r="1249" spans="1:20" x14ac:dyDescent="0.25">
      <c r="A1249" s="33" t="s">
        <v>6043</v>
      </c>
      <c r="B1249" s="33" t="s">
        <v>6042</v>
      </c>
      <c r="C1249" s="33" t="s">
        <v>141</v>
      </c>
      <c r="D1249" s="34"/>
      <c r="E1249" s="33">
        <v>2018</v>
      </c>
      <c r="F1249" s="34"/>
      <c r="G1249" s="34"/>
      <c r="H1249" s="34"/>
      <c r="I1249" s="33" t="s">
        <v>3683</v>
      </c>
      <c r="J1249" s="33">
        <v>2018</v>
      </c>
      <c r="K1249" s="33">
        <v>9780996683173</v>
      </c>
      <c r="L1249" s="34"/>
      <c r="M1249" s="34"/>
      <c r="N1249" s="37" t="s">
        <v>6044</v>
      </c>
      <c r="O1249" s="34"/>
      <c r="P1249" s="33" t="s">
        <v>6045</v>
      </c>
      <c r="Q1249" s="33" t="s">
        <v>2110</v>
      </c>
      <c r="R1249" s="34"/>
      <c r="S1249" s="38"/>
      <c r="T1249" s="38" t="s">
        <v>12690</v>
      </c>
    </row>
    <row r="1250" spans="1:20" x14ac:dyDescent="0.25">
      <c r="A1250" s="33" t="s">
        <v>8688</v>
      </c>
      <c r="B1250" s="33" t="s">
        <v>8687</v>
      </c>
      <c r="C1250" s="33" t="s">
        <v>13</v>
      </c>
      <c r="D1250" s="33" t="s">
        <v>354</v>
      </c>
      <c r="E1250" s="33">
        <v>2022</v>
      </c>
      <c r="F1250" s="33">
        <v>188</v>
      </c>
      <c r="G1250" s="36"/>
      <c r="H1250" s="33">
        <v>111283</v>
      </c>
      <c r="I1250" s="36"/>
      <c r="J1250" s="33">
        <v>2022</v>
      </c>
      <c r="K1250" s="34"/>
      <c r="L1250" s="34"/>
      <c r="M1250" s="33" t="s">
        <v>65</v>
      </c>
      <c r="N1250" s="37" t="s">
        <v>8689</v>
      </c>
      <c r="O1250" s="33" t="s">
        <v>8690</v>
      </c>
      <c r="P1250" s="33" t="s">
        <v>8691</v>
      </c>
      <c r="Q1250" s="36"/>
      <c r="R1250" s="36"/>
      <c r="S1250" s="33" t="s">
        <v>8692</v>
      </c>
      <c r="T1250" s="38" t="s">
        <v>12693</v>
      </c>
    </row>
    <row r="1251" spans="1:20" x14ac:dyDescent="0.25">
      <c r="A1251" s="33" t="s">
        <v>5326</v>
      </c>
      <c r="B1251" s="33" t="s">
        <v>5325</v>
      </c>
      <c r="C1251" s="33" t="s">
        <v>141</v>
      </c>
      <c r="D1251" s="34"/>
      <c r="E1251" s="33">
        <v>2017</v>
      </c>
      <c r="F1251" s="34"/>
      <c r="G1251" s="34"/>
      <c r="H1251" s="33" t="s">
        <v>5327</v>
      </c>
      <c r="I1251" s="33" t="s">
        <v>196</v>
      </c>
      <c r="J1251" s="33">
        <v>2017</v>
      </c>
      <c r="K1251" s="33">
        <v>9781509065431</v>
      </c>
      <c r="L1251" s="34"/>
      <c r="M1251" s="33" t="s">
        <v>5328</v>
      </c>
      <c r="N1251" s="37" t="s">
        <v>5329</v>
      </c>
      <c r="O1251" s="33" t="s">
        <v>5330</v>
      </c>
      <c r="P1251" s="33" t="s">
        <v>5331</v>
      </c>
      <c r="Q1251" s="33" t="s">
        <v>5332</v>
      </c>
      <c r="R1251" s="34"/>
      <c r="S1251" s="38"/>
      <c r="T1251" s="38" t="s">
        <v>12690</v>
      </c>
    </row>
    <row r="1252" spans="1:20" x14ac:dyDescent="0.25">
      <c r="A1252" s="39" t="s">
        <v>10509</v>
      </c>
      <c r="B1252" s="39" t="s">
        <v>10511</v>
      </c>
      <c r="C1252" s="39" t="s">
        <v>539</v>
      </c>
      <c r="D1252" s="36"/>
      <c r="E1252" s="39">
        <v>2021</v>
      </c>
      <c r="F1252" s="40"/>
      <c r="G1252" s="40"/>
      <c r="H1252" s="36"/>
      <c r="I1252" s="40"/>
      <c r="J1252" s="36"/>
      <c r="K1252" s="36"/>
      <c r="L1252" s="36"/>
      <c r="M1252" s="34"/>
      <c r="N1252" s="41" t="s">
        <v>10512</v>
      </c>
      <c r="O1252" s="39" t="s">
        <v>10510</v>
      </c>
      <c r="P1252" s="33"/>
      <c r="Q1252" s="36"/>
      <c r="R1252" s="34"/>
      <c r="S1252" s="38"/>
      <c r="T1252" s="38" t="s">
        <v>12689</v>
      </c>
    </row>
    <row r="1253" spans="1:20" x14ac:dyDescent="0.25">
      <c r="A1253" s="33" t="s">
        <v>1049</v>
      </c>
      <c r="B1253" s="33" t="s">
        <v>1048</v>
      </c>
      <c r="C1253" s="33" t="s">
        <v>13</v>
      </c>
      <c r="D1253" s="33" t="s">
        <v>588</v>
      </c>
      <c r="E1253" s="33">
        <v>2022</v>
      </c>
      <c r="F1253" s="33">
        <v>70</v>
      </c>
      <c r="G1253" s="33">
        <v>9</v>
      </c>
      <c r="H1253" s="33" t="s">
        <v>1050</v>
      </c>
      <c r="I1253" s="33" t="s">
        <v>590</v>
      </c>
      <c r="J1253" s="33">
        <v>2022</v>
      </c>
      <c r="K1253" s="34"/>
      <c r="L1253" s="34"/>
      <c r="M1253" s="33" t="s">
        <v>591</v>
      </c>
      <c r="N1253" s="37" t="s">
        <v>1051</v>
      </c>
      <c r="O1253" s="33" t="s">
        <v>1052</v>
      </c>
      <c r="P1253" s="33" t="s">
        <v>1053</v>
      </c>
      <c r="Q1253" s="33" t="s">
        <v>166</v>
      </c>
      <c r="R1253" s="34"/>
      <c r="S1253" s="38"/>
      <c r="T1253" s="38" t="s">
        <v>12690</v>
      </c>
    </row>
    <row r="1254" spans="1:20" x14ac:dyDescent="0.25">
      <c r="A1254" s="33" t="s">
        <v>4550</v>
      </c>
      <c r="B1254" s="33" t="s">
        <v>4549</v>
      </c>
      <c r="C1254" s="33" t="s">
        <v>141</v>
      </c>
      <c r="D1254" s="34"/>
      <c r="E1254" s="33">
        <v>2019</v>
      </c>
      <c r="F1254" s="34"/>
      <c r="G1254" s="34"/>
      <c r="H1254" s="33" t="s">
        <v>4551</v>
      </c>
      <c r="I1254" s="33" t="s">
        <v>257</v>
      </c>
      <c r="J1254" s="33">
        <v>2019</v>
      </c>
      <c r="K1254" s="33">
        <v>9781728130941</v>
      </c>
      <c r="L1254" s="34"/>
      <c r="M1254" s="34"/>
      <c r="N1254" s="37" t="s">
        <v>4552</v>
      </c>
      <c r="O1254" s="33" t="s">
        <v>4553</v>
      </c>
      <c r="P1254" s="33" t="s">
        <v>4554</v>
      </c>
      <c r="Q1254" s="33" t="s">
        <v>2243</v>
      </c>
      <c r="R1254" s="34"/>
      <c r="S1254" s="38"/>
      <c r="T1254" s="38" t="s">
        <v>12690</v>
      </c>
    </row>
    <row r="1255" spans="1:20" x14ac:dyDescent="0.25">
      <c r="A1255" s="33" t="s">
        <v>8649</v>
      </c>
      <c r="B1255" s="33" t="s">
        <v>8648</v>
      </c>
      <c r="C1255" s="33" t="s">
        <v>13</v>
      </c>
      <c r="D1255" s="33" t="s">
        <v>307</v>
      </c>
      <c r="E1255" s="33">
        <v>2023</v>
      </c>
      <c r="F1255" s="33">
        <v>156</v>
      </c>
      <c r="G1255" s="36"/>
      <c r="H1255" s="33">
        <v>107131</v>
      </c>
      <c r="I1255" s="36"/>
      <c r="J1255" s="33">
        <v>2023</v>
      </c>
      <c r="K1255" s="34"/>
      <c r="L1255" s="34"/>
      <c r="M1255" s="33" t="s">
        <v>308</v>
      </c>
      <c r="N1255" s="37" t="s">
        <v>8650</v>
      </c>
      <c r="O1255" s="33" t="s">
        <v>8651</v>
      </c>
      <c r="P1255" s="33" t="s">
        <v>8652</v>
      </c>
      <c r="Q1255" s="36"/>
      <c r="R1255" s="36"/>
      <c r="S1255" s="33" t="s">
        <v>8653</v>
      </c>
      <c r="T1255" s="38" t="s">
        <v>12693</v>
      </c>
    </row>
    <row r="1256" spans="1:20" x14ac:dyDescent="0.25">
      <c r="A1256" s="33" t="s">
        <v>3791</v>
      </c>
      <c r="B1256" s="33" t="s">
        <v>3790</v>
      </c>
      <c r="C1256" s="33" t="s">
        <v>141</v>
      </c>
      <c r="D1256" s="34"/>
      <c r="E1256" s="33">
        <v>2020</v>
      </c>
      <c r="F1256" s="34"/>
      <c r="G1256" s="34"/>
      <c r="H1256" s="33" t="s">
        <v>3792</v>
      </c>
      <c r="I1256" s="33" t="s">
        <v>196</v>
      </c>
      <c r="J1256" s="33">
        <v>2020</v>
      </c>
      <c r="K1256" s="33">
        <v>9781450379588</v>
      </c>
      <c r="L1256" s="34"/>
      <c r="M1256" s="34"/>
      <c r="N1256" s="37" t="s">
        <v>3793</v>
      </c>
      <c r="O1256" s="33" t="s">
        <v>3794</v>
      </c>
      <c r="P1256" s="33" t="s">
        <v>3795</v>
      </c>
      <c r="Q1256" s="33" t="s">
        <v>2243</v>
      </c>
      <c r="R1256" s="34"/>
      <c r="S1256" s="38"/>
      <c r="T1256" s="38" t="s">
        <v>12690</v>
      </c>
    </row>
    <row r="1257" spans="1:20" x14ac:dyDescent="0.25">
      <c r="A1257" s="33" t="s">
        <v>3952</v>
      </c>
      <c r="B1257" s="33" t="s">
        <v>3951</v>
      </c>
      <c r="C1257" s="33" t="s">
        <v>141</v>
      </c>
      <c r="D1257" s="34"/>
      <c r="E1257" s="33">
        <v>2020</v>
      </c>
      <c r="F1257" s="33">
        <v>2826</v>
      </c>
      <c r="G1257" s="34"/>
      <c r="H1257" s="33" t="s">
        <v>3953</v>
      </c>
      <c r="I1257" s="33" t="s">
        <v>613</v>
      </c>
      <c r="J1257" s="33">
        <v>2020</v>
      </c>
      <c r="K1257" s="34"/>
      <c r="L1257" s="34"/>
      <c r="M1257" s="33" t="s">
        <v>614</v>
      </c>
      <c r="N1257" s="37" t="s">
        <v>3954</v>
      </c>
      <c r="O1257" s="34"/>
      <c r="P1257" s="33" t="s">
        <v>3955</v>
      </c>
      <c r="Q1257" s="33" t="s">
        <v>318</v>
      </c>
      <c r="R1257" s="34"/>
      <c r="S1257" s="38"/>
      <c r="T1257" s="38" t="s">
        <v>12690</v>
      </c>
    </row>
    <row r="1258" spans="1:20" x14ac:dyDescent="0.25">
      <c r="A1258" s="33" t="s">
        <v>1429</v>
      </c>
      <c r="B1258" s="33" t="s">
        <v>1428</v>
      </c>
      <c r="C1258" s="33" t="s">
        <v>13</v>
      </c>
      <c r="D1258" s="33" t="s">
        <v>676</v>
      </c>
      <c r="E1258" s="33">
        <v>2022</v>
      </c>
      <c r="F1258" s="33" t="s">
        <v>1430</v>
      </c>
      <c r="G1258" s="34"/>
      <c r="H1258" s="33" t="s">
        <v>1431</v>
      </c>
      <c r="I1258" s="33" t="s">
        <v>212</v>
      </c>
      <c r="J1258" s="33">
        <v>2022</v>
      </c>
      <c r="K1258" s="34"/>
      <c r="L1258" s="34"/>
      <c r="M1258" s="33" t="s">
        <v>679</v>
      </c>
      <c r="N1258" s="37" t="s">
        <v>1432</v>
      </c>
      <c r="O1258" s="33" t="s">
        <v>1433</v>
      </c>
      <c r="P1258" s="33" t="s">
        <v>1434</v>
      </c>
      <c r="Q1258" s="33" t="s">
        <v>157</v>
      </c>
      <c r="R1258" s="34"/>
      <c r="S1258" s="38"/>
      <c r="T1258" s="38" t="s">
        <v>12690</v>
      </c>
    </row>
    <row r="1259" spans="1:20" x14ac:dyDescent="0.25">
      <c r="A1259" s="33" t="s">
        <v>5403</v>
      </c>
      <c r="B1259" s="33" t="s">
        <v>5402</v>
      </c>
      <c r="C1259" s="33" t="s">
        <v>141</v>
      </c>
      <c r="D1259" s="34"/>
      <c r="E1259" s="33">
        <v>2018</v>
      </c>
      <c r="F1259" s="34"/>
      <c r="G1259" s="34"/>
      <c r="H1259" s="34"/>
      <c r="I1259" s="33" t="s">
        <v>5404</v>
      </c>
      <c r="J1259" s="33">
        <v>2018</v>
      </c>
      <c r="K1259" s="34"/>
      <c r="L1259" s="34"/>
      <c r="M1259" s="34"/>
      <c r="N1259" s="37" t="s">
        <v>5405</v>
      </c>
      <c r="O1259" s="34"/>
      <c r="P1259" s="33" t="s">
        <v>5406</v>
      </c>
      <c r="Q1259" s="33" t="s">
        <v>5407</v>
      </c>
      <c r="R1259" s="34"/>
      <c r="S1259" s="38"/>
      <c r="T1259" s="38" t="s">
        <v>12690</v>
      </c>
    </row>
    <row r="1260" spans="1:20" x14ac:dyDescent="0.25">
      <c r="A1260" s="33" t="s">
        <v>2772</v>
      </c>
      <c r="B1260" s="33" t="s">
        <v>2771</v>
      </c>
      <c r="C1260" s="33" t="s">
        <v>13</v>
      </c>
      <c r="D1260" s="33" t="s">
        <v>307</v>
      </c>
      <c r="E1260" s="33">
        <v>2020</v>
      </c>
      <c r="F1260" s="33">
        <v>127</v>
      </c>
      <c r="G1260" s="36"/>
      <c r="H1260" s="33">
        <v>106368</v>
      </c>
      <c r="I1260" s="36"/>
      <c r="J1260" s="33">
        <v>2020</v>
      </c>
      <c r="K1260" s="34"/>
      <c r="L1260" s="34"/>
      <c r="M1260" s="33" t="s">
        <v>308</v>
      </c>
      <c r="N1260" s="37" t="s">
        <v>8746</v>
      </c>
      <c r="O1260" s="33" t="s">
        <v>2774</v>
      </c>
      <c r="P1260" s="33" t="s">
        <v>8747</v>
      </c>
      <c r="Q1260" s="36"/>
      <c r="R1260" s="36"/>
      <c r="S1260" s="33" t="s">
        <v>8748</v>
      </c>
      <c r="T1260" s="38" t="s">
        <v>12693</v>
      </c>
    </row>
    <row r="1261" spans="1:20" x14ac:dyDescent="0.25">
      <c r="A1261" s="33" t="s">
        <v>2772</v>
      </c>
      <c r="B1261" s="33" t="s">
        <v>2771</v>
      </c>
      <c r="C1261" s="33" t="s">
        <v>13</v>
      </c>
      <c r="D1261" s="33" t="s">
        <v>307</v>
      </c>
      <c r="E1261" s="33">
        <v>2020</v>
      </c>
      <c r="F1261" s="33">
        <v>127</v>
      </c>
      <c r="G1261" s="34"/>
      <c r="H1261" s="34"/>
      <c r="I1261" s="33" t="s">
        <v>280</v>
      </c>
      <c r="J1261" s="33">
        <v>2020</v>
      </c>
      <c r="K1261" s="34"/>
      <c r="L1261" s="34"/>
      <c r="M1261" s="33" t="s">
        <v>308</v>
      </c>
      <c r="N1261" s="37" t="s">
        <v>2773</v>
      </c>
      <c r="O1261" s="33" t="s">
        <v>2774</v>
      </c>
      <c r="P1261" s="33" t="s">
        <v>2775</v>
      </c>
      <c r="Q1261" s="33" t="s">
        <v>2776</v>
      </c>
      <c r="R1261" s="34"/>
      <c r="S1261" s="38"/>
      <c r="T1261" s="38" t="s">
        <v>12690</v>
      </c>
    </row>
    <row r="1262" spans="1:20" x14ac:dyDescent="0.25">
      <c r="A1262" s="39" t="s">
        <v>9722</v>
      </c>
      <c r="B1262" s="39" t="s">
        <v>9724</v>
      </c>
      <c r="C1262" s="39" t="s">
        <v>539</v>
      </c>
      <c r="D1262" s="36"/>
      <c r="E1262" s="39">
        <v>2022</v>
      </c>
      <c r="F1262" s="40"/>
      <c r="G1262" s="40"/>
      <c r="H1262" s="36"/>
      <c r="I1262" s="39" t="s">
        <v>1870</v>
      </c>
      <c r="J1262" s="36"/>
      <c r="K1262" s="36"/>
      <c r="L1262" s="36"/>
      <c r="M1262" s="34"/>
      <c r="N1262" s="41" t="s">
        <v>9725</v>
      </c>
      <c r="O1262" s="39" t="s">
        <v>9723</v>
      </c>
      <c r="P1262" s="33"/>
      <c r="Q1262" s="36"/>
      <c r="R1262" s="34"/>
      <c r="S1262" s="38"/>
      <c r="T1262" s="38" t="s">
        <v>12689</v>
      </c>
    </row>
    <row r="1263" spans="1:20" x14ac:dyDescent="0.25">
      <c r="A1263" s="39" t="s">
        <v>9722</v>
      </c>
      <c r="B1263" s="39" t="s">
        <v>9810</v>
      </c>
      <c r="C1263" s="39" t="s">
        <v>539</v>
      </c>
      <c r="D1263" s="36"/>
      <c r="E1263" s="39">
        <v>2021</v>
      </c>
      <c r="F1263" s="40"/>
      <c r="G1263" s="40"/>
      <c r="H1263" s="36"/>
      <c r="I1263" s="39" t="s">
        <v>1870</v>
      </c>
      <c r="J1263" s="36"/>
      <c r="K1263" s="36"/>
      <c r="L1263" s="36"/>
      <c r="M1263" s="34"/>
      <c r="N1263" s="41" t="s">
        <v>9811</v>
      </c>
      <c r="O1263" s="39" t="s">
        <v>9809</v>
      </c>
      <c r="P1263" s="33"/>
      <c r="Q1263" s="36"/>
      <c r="R1263" s="34"/>
      <c r="S1263" s="38"/>
      <c r="T1263" s="38" t="s">
        <v>12689</v>
      </c>
    </row>
    <row r="1264" spans="1:20" x14ac:dyDescent="0.25">
      <c r="A1264" s="39" t="s">
        <v>10613</v>
      </c>
      <c r="B1264" s="39" t="s">
        <v>10167</v>
      </c>
      <c r="C1264" s="39" t="s">
        <v>9539</v>
      </c>
      <c r="D1264" s="36"/>
      <c r="E1264" s="39">
        <v>2020</v>
      </c>
      <c r="F1264" s="40"/>
      <c r="G1264" s="40"/>
      <c r="H1264" s="36"/>
      <c r="I1264" s="39" t="s">
        <v>10164</v>
      </c>
      <c r="J1264" s="36"/>
      <c r="K1264" s="36"/>
      <c r="L1264" s="36"/>
      <c r="M1264" s="34"/>
      <c r="N1264" s="41" t="s">
        <v>10615</v>
      </c>
      <c r="O1264" s="39" t="s">
        <v>10614</v>
      </c>
      <c r="P1264" s="33"/>
      <c r="Q1264" s="36"/>
      <c r="R1264" s="34"/>
      <c r="S1264" s="38"/>
      <c r="T1264" s="38" t="s">
        <v>12689</v>
      </c>
    </row>
    <row r="1265" spans="1:20" x14ac:dyDescent="0.25">
      <c r="A1265" s="33" t="s">
        <v>5466</v>
      </c>
      <c r="B1265" s="33" t="s">
        <v>5465</v>
      </c>
      <c r="C1265" s="33" t="s">
        <v>13</v>
      </c>
      <c r="D1265" s="33" t="s">
        <v>307</v>
      </c>
      <c r="E1265" s="33">
        <v>2015</v>
      </c>
      <c r="F1265" s="33">
        <v>57</v>
      </c>
      <c r="G1265" s="33">
        <v>1</v>
      </c>
      <c r="H1265" s="33" t="s">
        <v>5467</v>
      </c>
      <c r="I1265" s="33" t="s">
        <v>280</v>
      </c>
      <c r="J1265" s="33">
        <v>2015</v>
      </c>
      <c r="K1265" s="34"/>
      <c r="L1265" s="34"/>
      <c r="M1265" s="33" t="s">
        <v>308</v>
      </c>
      <c r="N1265" s="37" t="s">
        <v>5468</v>
      </c>
      <c r="O1265" s="33" t="s">
        <v>5469</v>
      </c>
      <c r="P1265" s="33" t="s">
        <v>5470</v>
      </c>
      <c r="Q1265" s="33" t="s">
        <v>747</v>
      </c>
      <c r="R1265" s="34"/>
      <c r="S1265" s="38"/>
      <c r="T1265" s="38" t="s">
        <v>12690</v>
      </c>
    </row>
    <row r="1266" spans="1:20" x14ac:dyDescent="0.25">
      <c r="A1266" s="39" t="s">
        <v>10221</v>
      </c>
      <c r="B1266" s="39" t="s">
        <v>10223</v>
      </c>
      <c r="C1266" s="39" t="s">
        <v>539</v>
      </c>
      <c r="D1266" s="36"/>
      <c r="E1266" s="39">
        <v>2021</v>
      </c>
      <c r="F1266" s="40"/>
      <c r="G1266" s="40"/>
      <c r="H1266" s="36"/>
      <c r="I1266" s="39" t="s">
        <v>2974</v>
      </c>
      <c r="J1266" s="36"/>
      <c r="K1266" s="36"/>
      <c r="L1266" s="36"/>
      <c r="M1266" s="34"/>
      <c r="N1266" s="41" t="s">
        <v>10224</v>
      </c>
      <c r="O1266" s="39" t="s">
        <v>10222</v>
      </c>
      <c r="P1266" s="33"/>
      <c r="Q1266" s="36"/>
      <c r="R1266" s="34"/>
      <c r="S1266" s="38"/>
      <c r="T1266" s="38" t="s">
        <v>12689</v>
      </c>
    </row>
    <row r="1267" spans="1:20" x14ac:dyDescent="0.25">
      <c r="A1267" s="33" t="s">
        <v>8842</v>
      </c>
      <c r="B1267" s="33" t="s">
        <v>8841</v>
      </c>
      <c r="C1267" s="33" t="s">
        <v>13</v>
      </c>
      <c r="D1267" s="33" t="s">
        <v>5526</v>
      </c>
      <c r="E1267" s="33">
        <v>2020</v>
      </c>
      <c r="F1267" s="33">
        <v>204</v>
      </c>
      <c r="G1267" s="36"/>
      <c r="H1267" s="33">
        <v>106201</v>
      </c>
      <c r="I1267" s="36"/>
      <c r="J1267" s="33">
        <v>2020</v>
      </c>
      <c r="K1267" s="34"/>
      <c r="L1267" s="34"/>
      <c r="M1267" s="33" t="s">
        <v>5528</v>
      </c>
      <c r="N1267" s="37" t="s">
        <v>8843</v>
      </c>
      <c r="O1267" s="33" t="s">
        <v>8844</v>
      </c>
      <c r="P1267" s="33" t="s">
        <v>8845</v>
      </c>
      <c r="Q1267" s="36"/>
      <c r="R1267" s="36"/>
      <c r="S1267" s="33" t="s">
        <v>8846</v>
      </c>
      <c r="T1267" s="38" t="s">
        <v>12693</v>
      </c>
    </row>
    <row r="1268" spans="1:20" x14ac:dyDescent="0.25">
      <c r="A1268" s="33" t="s">
        <v>3628</v>
      </c>
      <c r="B1268" s="33" t="s">
        <v>3627</v>
      </c>
      <c r="C1268" s="33" t="s">
        <v>13</v>
      </c>
      <c r="D1268" s="33" t="s">
        <v>3629</v>
      </c>
      <c r="E1268" s="33">
        <v>2020</v>
      </c>
      <c r="F1268" s="33">
        <v>95</v>
      </c>
      <c r="G1268" s="34"/>
      <c r="H1268" s="34"/>
      <c r="I1268" s="33" t="s">
        <v>1060</v>
      </c>
      <c r="J1268" s="33">
        <v>2020</v>
      </c>
      <c r="K1268" s="34"/>
      <c r="L1268" s="34"/>
      <c r="M1268" s="33" t="s">
        <v>2451</v>
      </c>
      <c r="N1268" s="37" t="s">
        <v>3630</v>
      </c>
      <c r="O1268" s="33" t="s">
        <v>3631</v>
      </c>
      <c r="P1268" s="33" t="s">
        <v>3632</v>
      </c>
      <c r="Q1268" s="33" t="s">
        <v>3633</v>
      </c>
      <c r="R1268" s="34"/>
      <c r="S1268" s="38"/>
      <c r="T1268" s="38" t="s">
        <v>12690</v>
      </c>
    </row>
    <row r="1269" spans="1:20" x14ac:dyDescent="0.25">
      <c r="A1269" s="39" t="s">
        <v>9922</v>
      </c>
      <c r="B1269" s="39" t="s">
        <v>9924</v>
      </c>
      <c r="C1269" s="39" t="s">
        <v>539</v>
      </c>
      <c r="D1269" s="36"/>
      <c r="E1269" s="39">
        <v>2021</v>
      </c>
      <c r="F1269" s="40"/>
      <c r="G1269" s="40"/>
      <c r="H1269" s="36"/>
      <c r="I1269" s="39" t="s">
        <v>9921</v>
      </c>
      <c r="J1269" s="36"/>
      <c r="K1269" s="36"/>
      <c r="L1269" s="36"/>
      <c r="M1269" s="34"/>
      <c r="N1269" s="41" t="s">
        <v>9925</v>
      </c>
      <c r="O1269" s="39" t="s">
        <v>9923</v>
      </c>
      <c r="P1269" s="33"/>
      <c r="Q1269" s="36"/>
      <c r="R1269" s="34"/>
      <c r="S1269" s="38"/>
      <c r="T1269" s="38" t="s">
        <v>12689</v>
      </c>
    </row>
    <row r="1270" spans="1:20" x14ac:dyDescent="0.25">
      <c r="A1270" s="33" t="s">
        <v>7847</v>
      </c>
      <c r="B1270" s="33" t="s">
        <v>7846</v>
      </c>
      <c r="C1270" s="33" t="s">
        <v>141</v>
      </c>
      <c r="D1270" s="34"/>
      <c r="E1270" s="33">
        <v>2019</v>
      </c>
      <c r="F1270" s="34"/>
      <c r="G1270" s="34"/>
      <c r="H1270" s="33" t="s">
        <v>7848</v>
      </c>
      <c r="I1270" s="33" t="s">
        <v>7849</v>
      </c>
      <c r="J1270" s="43">
        <v>43709</v>
      </c>
      <c r="K1270" s="36"/>
      <c r="L1270" s="36"/>
      <c r="M1270" s="33" t="s">
        <v>6449</v>
      </c>
      <c r="N1270" s="37" t="s">
        <v>7850</v>
      </c>
      <c r="O1270" s="33" t="s">
        <v>7851</v>
      </c>
      <c r="P1270" s="33" t="s">
        <v>7852</v>
      </c>
      <c r="Q1270" s="36"/>
      <c r="R1270" s="36"/>
      <c r="S1270" s="33" t="s">
        <v>7853</v>
      </c>
      <c r="T1270" s="38" t="s">
        <v>12688</v>
      </c>
    </row>
    <row r="1271" spans="1:20" x14ac:dyDescent="0.25">
      <c r="A1271" s="33" t="s">
        <v>5777</v>
      </c>
      <c r="B1271" s="33" t="s">
        <v>5776</v>
      </c>
      <c r="C1271" s="33" t="s">
        <v>13</v>
      </c>
      <c r="D1271" s="33" t="s">
        <v>307</v>
      </c>
      <c r="E1271" s="33">
        <v>2017</v>
      </c>
      <c r="F1271" s="33">
        <v>88</v>
      </c>
      <c r="G1271" s="34"/>
      <c r="H1271" s="33" t="s">
        <v>5778</v>
      </c>
      <c r="I1271" s="33" t="s">
        <v>280</v>
      </c>
      <c r="J1271" s="33">
        <v>2017</v>
      </c>
      <c r="K1271" s="34"/>
      <c r="L1271" s="34"/>
      <c r="M1271" s="33" t="s">
        <v>308</v>
      </c>
      <c r="N1271" s="37" t="s">
        <v>5779</v>
      </c>
      <c r="O1271" s="33" t="s">
        <v>5780</v>
      </c>
      <c r="P1271" s="33" t="s">
        <v>5781</v>
      </c>
      <c r="Q1271" s="33" t="s">
        <v>2830</v>
      </c>
      <c r="R1271" s="34"/>
      <c r="S1271" s="38"/>
      <c r="T1271" s="38" t="s">
        <v>12690</v>
      </c>
    </row>
    <row r="1272" spans="1:20" x14ac:dyDescent="0.25">
      <c r="A1272" s="33" t="s">
        <v>12180</v>
      </c>
      <c r="B1272" s="33" t="s">
        <v>7145</v>
      </c>
      <c r="C1272" s="33" t="s">
        <v>141</v>
      </c>
      <c r="D1272" s="34"/>
      <c r="E1272" s="33">
        <v>2022</v>
      </c>
      <c r="F1272" s="34"/>
      <c r="G1272" s="34"/>
      <c r="H1272" s="33" t="s">
        <v>12181</v>
      </c>
      <c r="I1272" s="44" t="s">
        <v>12775</v>
      </c>
      <c r="J1272" s="33">
        <v>2022</v>
      </c>
      <c r="K1272" s="33">
        <v>9781665403375</v>
      </c>
      <c r="L1272" s="33" t="s">
        <v>11498</v>
      </c>
      <c r="M1272" s="34"/>
      <c r="N1272" s="37" t="s">
        <v>12182</v>
      </c>
      <c r="O1272" s="33" t="s">
        <v>7149</v>
      </c>
      <c r="P1272" s="33" t="s">
        <v>7150</v>
      </c>
      <c r="Q1272" s="36"/>
      <c r="R1272" s="36"/>
      <c r="S1272" s="33" t="s">
        <v>12183</v>
      </c>
      <c r="T1272" s="33" t="s">
        <v>12692</v>
      </c>
    </row>
    <row r="1273" spans="1:20" x14ac:dyDescent="0.25">
      <c r="A1273" s="33" t="s">
        <v>12180</v>
      </c>
      <c r="B1273" s="33" t="s">
        <v>7145</v>
      </c>
      <c r="C1273" s="33" t="s">
        <v>141</v>
      </c>
      <c r="D1273" s="34"/>
      <c r="E1273" s="33">
        <v>2021</v>
      </c>
      <c r="F1273" s="34"/>
      <c r="G1273" s="34"/>
      <c r="H1273" s="33" t="s">
        <v>7147</v>
      </c>
      <c r="I1273" s="33" t="s">
        <v>6189</v>
      </c>
      <c r="J1273" s="35">
        <v>44501</v>
      </c>
      <c r="K1273" s="36"/>
      <c r="L1273" s="36"/>
      <c r="M1273" s="33" t="s">
        <v>6190</v>
      </c>
      <c r="N1273" s="37" t="s">
        <v>7148</v>
      </c>
      <c r="O1273" s="33" t="s">
        <v>7149</v>
      </c>
      <c r="P1273" s="33" t="s">
        <v>7150</v>
      </c>
      <c r="Q1273" s="36"/>
      <c r="R1273" s="36"/>
      <c r="S1273" s="33" t="s">
        <v>7151</v>
      </c>
      <c r="T1273" s="38" t="s">
        <v>12688</v>
      </c>
    </row>
    <row r="1274" spans="1:20" x14ac:dyDescent="0.25">
      <c r="A1274" s="39" t="s">
        <v>9946</v>
      </c>
      <c r="B1274" s="33" t="s">
        <v>5233</v>
      </c>
      <c r="C1274" s="33" t="s">
        <v>13</v>
      </c>
      <c r="D1274" s="33" t="s">
        <v>209</v>
      </c>
      <c r="E1274" s="33">
        <v>2017</v>
      </c>
      <c r="F1274" s="33" t="s">
        <v>5208</v>
      </c>
      <c r="G1274" s="34"/>
      <c r="H1274" s="33" t="s">
        <v>5235</v>
      </c>
      <c r="I1274" s="33" t="s">
        <v>4155</v>
      </c>
      <c r="J1274" s="33">
        <v>2017</v>
      </c>
      <c r="K1274" s="34"/>
      <c r="L1274" s="34"/>
      <c r="M1274" s="33" t="s">
        <v>213</v>
      </c>
      <c r="N1274" s="37" t="s">
        <v>5236</v>
      </c>
      <c r="O1274" s="33" t="s">
        <v>5237</v>
      </c>
      <c r="P1274" s="33" t="s">
        <v>5238</v>
      </c>
      <c r="Q1274" s="33" t="s">
        <v>176</v>
      </c>
      <c r="R1274" s="34"/>
      <c r="S1274" s="38"/>
      <c r="T1274" s="38" t="s">
        <v>12690</v>
      </c>
    </row>
    <row r="1275" spans="1:20" x14ac:dyDescent="0.25">
      <c r="A1275" s="39" t="s">
        <v>9946</v>
      </c>
      <c r="B1275" s="39" t="s">
        <v>9947</v>
      </c>
      <c r="C1275" s="39" t="s">
        <v>9539</v>
      </c>
      <c r="D1275" s="36"/>
      <c r="E1275" s="39">
        <v>2017</v>
      </c>
      <c r="F1275" s="40"/>
      <c r="G1275" s="40"/>
      <c r="H1275" s="36"/>
      <c r="I1275" s="39" t="s">
        <v>9276</v>
      </c>
      <c r="J1275" s="36"/>
      <c r="K1275" s="36"/>
      <c r="L1275" s="36"/>
      <c r="M1275" s="34"/>
      <c r="N1275" s="41" t="s">
        <v>9948</v>
      </c>
      <c r="O1275" s="39" t="s">
        <v>5237</v>
      </c>
      <c r="P1275" s="33"/>
      <c r="Q1275" s="36"/>
      <c r="R1275" s="34"/>
      <c r="S1275" s="38"/>
      <c r="T1275" s="38" t="s">
        <v>12689</v>
      </c>
    </row>
    <row r="1276" spans="1:20" x14ac:dyDescent="0.25">
      <c r="A1276" s="39" t="s">
        <v>9464</v>
      </c>
      <c r="B1276" s="39" t="s">
        <v>9466</v>
      </c>
      <c r="C1276" s="39" t="s">
        <v>539</v>
      </c>
      <c r="D1276" s="36"/>
      <c r="E1276" s="39">
        <v>2021</v>
      </c>
      <c r="F1276" s="40"/>
      <c r="G1276" s="40"/>
      <c r="H1276" s="36"/>
      <c r="I1276" s="39" t="s">
        <v>9275</v>
      </c>
      <c r="J1276" s="36"/>
      <c r="K1276" s="36"/>
      <c r="L1276" s="36"/>
      <c r="M1276" s="34"/>
      <c r="N1276" s="41" t="s">
        <v>9467</v>
      </c>
      <c r="O1276" s="39" t="s">
        <v>9465</v>
      </c>
      <c r="P1276" s="33"/>
      <c r="Q1276" s="36"/>
      <c r="R1276" s="34"/>
      <c r="S1276" s="38"/>
      <c r="T1276" s="38" t="s">
        <v>12689</v>
      </c>
    </row>
    <row r="1277" spans="1:20" x14ac:dyDescent="0.25">
      <c r="A1277" s="39" t="s">
        <v>9472</v>
      </c>
      <c r="B1277" s="39" t="s">
        <v>9474</v>
      </c>
      <c r="C1277" s="39" t="s">
        <v>539</v>
      </c>
      <c r="D1277" s="36"/>
      <c r="E1277" s="39">
        <v>2022</v>
      </c>
      <c r="F1277" s="40"/>
      <c r="G1277" s="40"/>
      <c r="H1277" s="36"/>
      <c r="I1277" s="39" t="s">
        <v>9275</v>
      </c>
      <c r="J1277" s="36"/>
      <c r="K1277" s="36"/>
      <c r="L1277" s="36"/>
      <c r="M1277" s="34"/>
      <c r="N1277" s="41" t="s">
        <v>9475</v>
      </c>
      <c r="O1277" s="39" t="s">
        <v>9473</v>
      </c>
      <c r="P1277" s="33"/>
      <c r="Q1277" s="36"/>
      <c r="R1277" s="34"/>
      <c r="S1277" s="38"/>
      <c r="T1277" s="38" t="s">
        <v>12689</v>
      </c>
    </row>
    <row r="1278" spans="1:20" x14ac:dyDescent="0.25">
      <c r="A1278" s="39" t="s">
        <v>9751</v>
      </c>
      <c r="B1278" s="39" t="s">
        <v>9474</v>
      </c>
      <c r="C1278" s="39" t="s">
        <v>539</v>
      </c>
      <c r="D1278" s="36"/>
      <c r="E1278" s="39">
        <v>2022</v>
      </c>
      <c r="F1278" s="40"/>
      <c r="G1278" s="40"/>
      <c r="H1278" s="36"/>
      <c r="I1278" s="39" t="s">
        <v>9275</v>
      </c>
      <c r="J1278" s="36"/>
      <c r="K1278" s="36"/>
      <c r="L1278" s="36"/>
      <c r="M1278" s="34"/>
      <c r="N1278" s="41" t="s">
        <v>9753</v>
      </c>
      <c r="O1278" s="39" t="s">
        <v>9752</v>
      </c>
      <c r="P1278" s="33"/>
      <c r="Q1278" s="36"/>
      <c r="R1278" s="34"/>
      <c r="S1278" s="38"/>
      <c r="T1278" s="38" t="s">
        <v>12689</v>
      </c>
    </row>
    <row r="1279" spans="1:20" x14ac:dyDescent="0.25">
      <c r="A1279" s="33" t="s">
        <v>4258</v>
      </c>
      <c r="B1279" s="33" t="s">
        <v>4257</v>
      </c>
      <c r="C1279" s="33" t="s">
        <v>13</v>
      </c>
      <c r="D1279" s="33" t="s">
        <v>1870</v>
      </c>
      <c r="E1279" s="33">
        <v>2019</v>
      </c>
      <c r="F1279" s="33" t="s">
        <v>4259</v>
      </c>
      <c r="G1279" s="34"/>
      <c r="H1279" s="33" t="s">
        <v>4260</v>
      </c>
      <c r="I1279" s="33" t="s">
        <v>137</v>
      </c>
      <c r="J1279" s="33">
        <v>2019</v>
      </c>
      <c r="K1279" s="34"/>
      <c r="L1279" s="34"/>
      <c r="M1279" s="33" t="s">
        <v>1873</v>
      </c>
      <c r="N1279" s="37" t="s">
        <v>4261</v>
      </c>
      <c r="O1279" s="33" t="s">
        <v>4262</v>
      </c>
      <c r="P1279" s="33" t="s">
        <v>4263</v>
      </c>
      <c r="Q1279" s="33" t="s">
        <v>318</v>
      </c>
      <c r="R1279" s="34"/>
      <c r="S1279" s="38"/>
      <c r="T1279" s="38" t="s">
        <v>12690</v>
      </c>
    </row>
    <row r="1280" spans="1:20" x14ac:dyDescent="0.25">
      <c r="A1280" s="33" t="s">
        <v>5074</v>
      </c>
      <c r="B1280" s="33" t="s">
        <v>5073</v>
      </c>
      <c r="C1280" s="33" t="s">
        <v>141</v>
      </c>
      <c r="D1280" s="34"/>
      <c r="E1280" s="33">
        <v>2020</v>
      </c>
      <c r="F1280" s="45">
        <v>43983</v>
      </c>
      <c r="G1280" s="34"/>
      <c r="H1280" s="33" t="s">
        <v>5075</v>
      </c>
      <c r="I1280" s="33" t="s">
        <v>196</v>
      </c>
      <c r="J1280" s="33">
        <v>2020</v>
      </c>
      <c r="K1280" s="33">
        <v>9781728193601</v>
      </c>
      <c r="L1280" s="34"/>
      <c r="M1280" s="33" t="s">
        <v>5076</v>
      </c>
      <c r="N1280" s="37" t="s">
        <v>5077</v>
      </c>
      <c r="O1280" s="33" t="s">
        <v>5078</v>
      </c>
      <c r="P1280" s="33" t="s">
        <v>5079</v>
      </c>
      <c r="Q1280" s="33" t="s">
        <v>3633</v>
      </c>
      <c r="R1280" s="34"/>
      <c r="S1280" s="38"/>
      <c r="T1280" s="38" t="s">
        <v>12690</v>
      </c>
    </row>
    <row r="1281" spans="1:20" x14ac:dyDescent="0.25">
      <c r="A1281" s="33" t="s">
        <v>3934</v>
      </c>
      <c r="B1281" s="33" t="s">
        <v>3933</v>
      </c>
      <c r="C1281" s="33" t="s">
        <v>13</v>
      </c>
      <c r="D1281" s="33" t="s">
        <v>255</v>
      </c>
      <c r="E1281" s="33">
        <v>2020</v>
      </c>
      <c r="F1281" s="33">
        <v>46</v>
      </c>
      <c r="G1281" s="33">
        <v>4</v>
      </c>
      <c r="H1281" s="33" t="s">
        <v>3935</v>
      </c>
      <c r="I1281" s="33" t="s">
        <v>257</v>
      </c>
      <c r="J1281" s="33">
        <v>2020</v>
      </c>
      <c r="K1281" s="34"/>
      <c r="L1281" s="34"/>
      <c r="M1281" s="33" t="s">
        <v>18</v>
      </c>
      <c r="N1281" s="37" t="s">
        <v>3936</v>
      </c>
      <c r="O1281" s="33" t="s">
        <v>3937</v>
      </c>
      <c r="P1281" s="33" t="s">
        <v>3938</v>
      </c>
      <c r="Q1281" s="33" t="s">
        <v>1656</v>
      </c>
      <c r="R1281" s="34"/>
      <c r="S1281" s="38"/>
      <c r="T1281" s="38" t="s">
        <v>12690</v>
      </c>
    </row>
    <row r="1282" spans="1:20" x14ac:dyDescent="0.25">
      <c r="A1282" s="33" t="s">
        <v>2209</v>
      </c>
      <c r="B1282" s="33" t="s">
        <v>2208</v>
      </c>
      <c r="C1282" s="33" t="s">
        <v>141</v>
      </c>
      <c r="D1282" s="34"/>
      <c r="E1282" s="33">
        <v>2022</v>
      </c>
      <c r="F1282" s="34"/>
      <c r="G1282" s="34"/>
      <c r="H1282" s="33" t="s">
        <v>2210</v>
      </c>
      <c r="I1282" s="33" t="s">
        <v>257</v>
      </c>
      <c r="J1282" s="33">
        <v>2022</v>
      </c>
      <c r="K1282" s="33">
        <v>9781665437868</v>
      </c>
      <c r="L1282" s="34"/>
      <c r="M1282" s="34"/>
      <c r="N1282" s="37" t="s">
        <v>2211</v>
      </c>
      <c r="O1282" s="33" t="s">
        <v>2212</v>
      </c>
      <c r="P1282" s="33" t="s">
        <v>2213</v>
      </c>
      <c r="Q1282" s="33" t="s">
        <v>520</v>
      </c>
      <c r="R1282" s="34"/>
      <c r="S1282" s="38"/>
      <c r="T1282" s="38" t="s">
        <v>12690</v>
      </c>
    </row>
    <row r="1283" spans="1:20" x14ac:dyDescent="0.25">
      <c r="A1283" s="33" t="s">
        <v>2869</v>
      </c>
      <c r="B1283" s="33" t="s">
        <v>2868</v>
      </c>
      <c r="C1283" s="33" t="s">
        <v>141</v>
      </c>
      <c r="D1283" s="34"/>
      <c r="E1283" s="33">
        <v>2021</v>
      </c>
      <c r="F1283" s="34"/>
      <c r="G1283" s="34"/>
      <c r="H1283" s="33" t="s">
        <v>2870</v>
      </c>
      <c r="I1283" s="33" t="s">
        <v>2565</v>
      </c>
      <c r="J1283" s="33">
        <v>2021</v>
      </c>
      <c r="K1283" s="33">
        <v>9781950737109</v>
      </c>
      <c r="L1283" s="34"/>
      <c r="M1283" s="34"/>
      <c r="N1283" s="37" t="s">
        <v>2871</v>
      </c>
      <c r="O1283" s="34"/>
      <c r="P1283" s="33" t="s">
        <v>2872</v>
      </c>
      <c r="Q1283" s="33" t="s">
        <v>1813</v>
      </c>
      <c r="R1283" s="34"/>
      <c r="S1283" s="38"/>
      <c r="T1283" s="38" t="s">
        <v>12690</v>
      </c>
    </row>
    <row r="1284" spans="1:20" x14ac:dyDescent="0.25">
      <c r="A1284" s="33" t="s">
        <v>2793</v>
      </c>
      <c r="B1284" s="33" t="s">
        <v>2792</v>
      </c>
      <c r="C1284" s="33" t="s">
        <v>13</v>
      </c>
      <c r="D1284" s="33" t="s">
        <v>255</v>
      </c>
      <c r="E1284" s="33">
        <v>2021</v>
      </c>
      <c r="F1284" s="33">
        <v>47</v>
      </c>
      <c r="G1284" s="33">
        <v>4</v>
      </c>
      <c r="H1284" s="33" t="s">
        <v>7386</v>
      </c>
      <c r="I1284" s="34"/>
      <c r="J1284" s="43">
        <v>44287</v>
      </c>
      <c r="K1284" s="36"/>
      <c r="L1284" s="36"/>
      <c r="M1284" s="33" t="s">
        <v>6115</v>
      </c>
      <c r="N1284" s="37" t="s">
        <v>7387</v>
      </c>
      <c r="O1284" s="33" t="s">
        <v>2796</v>
      </c>
      <c r="P1284" s="33" t="s">
        <v>7388</v>
      </c>
      <c r="Q1284" s="36"/>
      <c r="R1284" s="36"/>
      <c r="S1284" s="33" t="s">
        <v>7389</v>
      </c>
      <c r="T1284" s="38" t="s">
        <v>12688</v>
      </c>
    </row>
    <row r="1285" spans="1:20" x14ac:dyDescent="0.25">
      <c r="A1285" s="33" t="s">
        <v>2793</v>
      </c>
      <c r="B1285" s="33" t="s">
        <v>2792</v>
      </c>
      <c r="C1285" s="33" t="s">
        <v>13</v>
      </c>
      <c r="D1285" s="33" t="s">
        <v>255</v>
      </c>
      <c r="E1285" s="33">
        <v>2021</v>
      </c>
      <c r="F1285" s="33">
        <v>47</v>
      </c>
      <c r="G1285" s="33">
        <v>4</v>
      </c>
      <c r="H1285" s="33" t="s">
        <v>2794</v>
      </c>
      <c r="I1285" s="33" t="s">
        <v>257</v>
      </c>
      <c r="J1285" s="33">
        <v>2021</v>
      </c>
      <c r="K1285" s="34"/>
      <c r="L1285" s="34"/>
      <c r="M1285" s="33" t="s">
        <v>18</v>
      </c>
      <c r="N1285" s="37" t="s">
        <v>2795</v>
      </c>
      <c r="O1285" s="33" t="s">
        <v>2796</v>
      </c>
      <c r="P1285" s="33" t="s">
        <v>2797</v>
      </c>
      <c r="Q1285" s="33" t="s">
        <v>1733</v>
      </c>
      <c r="R1285" s="34"/>
      <c r="S1285" s="38"/>
      <c r="T1285" s="38" t="s">
        <v>12690</v>
      </c>
    </row>
    <row r="1286" spans="1:20" x14ac:dyDescent="0.25">
      <c r="A1286" s="33" t="s">
        <v>954</v>
      </c>
      <c r="B1286" s="33" t="s">
        <v>953</v>
      </c>
      <c r="C1286" s="33" t="s">
        <v>13</v>
      </c>
      <c r="D1286" s="33" t="s">
        <v>955</v>
      </c>
      <c r="E1286" s="33">
        <v>2022</v>
      </c>
      <c r="F1286" s="33">
        <v>22</v>
      </c>
      <c r="G1286" s="33">
        <v>3</v>
      </c>
      <c r="H1286" s="34"/>
      <c r="I1286" s="33" t="s">
        <v>228</v>
      </c>
      <c r="J1286" s="33">
        <v>2022</v>
      </c>
      <c r="K1286" s="34"/>
      <c r="L1286" s="34"/>
      <c r="M1286" s="33" t="s">
        <v>956</v>
      </c>
      <c r="N1286" s="37" t="s">
        <v>957</v>
      </c>
      <c r="O1286" s="33" t="s">
        <v>958</v>
      </c>
      <c r="P1286" s="33" t="s">
        <v>959</v>
      </c>
      <c r="Q1286" s="33" t="s">
        <v>960</v>
      </c>
      <c r="R1286" s="34"/>
      <c r="S1286" s="38"/>
      <c r="T1286" s="38" t="s">
        <v>12690</v>
      </c>
    </row>
    <row r="1287" spans="1:20" x14ac:dyDescent="0.25">
      <c r="A1287" s="33" t="s">
        <v>3422</v>
      </c>
      <c r="B1287" s="33" t="s">
        <v>3421</v>
      </c>
      <c r="C1287" s="33" t="s">
        <v>141</v>
      </c>
      <c r="D1287" s="34"/>
      <c r="E1287" s="33">
        <v>2021</v>
      </c>
      <c r="F1287" s="34"/>
      <c r="G1287" s="34"/>
      <c r="H1287" s="42">
        <v>45248</v>
      </c>
      <c r="I1287" s="33" t="s">
        <v>6677</v>
      </c>
      <c r="J1287" s="43">
        <v>44317</v>
      </c>
      <c r="K1287" s="36"/>
      <c r="L1287" s="36"/>
      <c r="M1287" s="34"/>
      <c r="N1287" s="37" t="s">
        <v>6706</v>
      </c>
      <c r="O1287" s="33" t="s">
        <v>3425</v>
      </c>
      <c r="P1287" s="33" t="s">
        <v>6707</v>
      </c>
      <c r="Q1287" s="36"/>
      <c r="R1287" s="36"/>
      <c r="S1287" s="33" t="s">
        <v>6708</v>
      </c>
      <c r="T1287" s="38" t="s">
        <v>12688</v>
      </c>
    </row>
    <row r="1288" spans="1:20" x14ac:dyDescent="0.25">
      <c r="A1288" s="33" t="s">
        <v>3422</v>
      </c>
      <c r="B1288" s="33" t="s">
        <v>3421</v>
      </c>
      <c r="C1288" s="33" t="s">
        <v>141</v>
      </c>
      <c r="D1288" s="34"/>
      <c r="E1288" s="33">
        <v>2021</v>
      </c>
      <c r="F1288" s="34"/>
      <c r="G1288" s="34"/>
      <c r="H1288" s="33" t="s">
        <v>3423</v>
      </c>
      <c r="I1288" s="33" t="s">
        <v>257</v>
      </c>
      <c r="J1288" s="33">
        <v>2021</v>
      </c>
      <c r="K1288" s="33">
        <v>9781665444705</v>
      </c>
      <c r="L1288" s="34"/>
      <c r="M1288" s="34"/>
      <c r="N1288" s="37" t="s">
        <v>3424</v>
      </c>
      <c r="O1288" s="33" t="s">
        <v>3425</v>
      </c>
      <c r="P1288" s="33" t="s">
        <v>3426</v>
      </c>
      <c r="Q1288" s="33" t="s">
        <v>404</v>
      </c>
      <c r="R1288" s="34"/>
      <c r="S1288" s="38"/>
      <c r="T1288" s="38" t="s">
        <v>12690</v>
      </c>
    </row>
    <row r="1289" spans="1:20" x14ac:dyDescent="0.25">
      <c r="A1289" s="33" t="s">
        <v>2227</v>
      </c>
      <c r="B1289" s="33" t="s">
        <v>2226</v>
      </c>
      <c r="C1289" s="33" t="s">
        <v>141</v>
      </c>
      <c r="D1289" s="34"/>
      <c r="E1289" s="33">
        <v>2021</v>
      </c>
      <c r="F1289" s="34"/>
      <c r="G1289" s="34"/>
      <c r="H1289" s="33" t="s">
        <v>2228</v>
      </c>
      <c r="I1289" s="33" t="s">
        <v>257</v>
      </c>
      <c r="J1289" s="33">
        <v>2021</v>
      </c>
      <c r="K1289" s="33">
        <v>9781665423922</v>
      </c>
      <c r="L1289" s="34"/>
      <c r="M1289" s="34"/>
      <c r="N1289" s="37" t="s">
        <v>2229</v>
      </c>
      <c r="O1289" s="33" t="s">
        <v>2230</v>
      </c>
      <c r="P1289" s="33" t="s">
        <v>2231</v>
      </c>
      <c r="Q1289" s="33" t="s">
        <v>157</v>
      </c>
      <c r="R1289" s="34"/>
      <c r="S1289" s="38"/>
      <c r="T1289" s="38" t="s">
        <v>12690</v>
      </c>
    </row>
    <row r="1290" spans="1:20" x14ac:dyDescent="0.25">
      <c r="A1290" s="33" t="s">
        <v>433</v>
      </c>
      <c r="B1290" s="33" t="s">
        <v>432</v>
      </c>
      <c r="C1290" s="33" t="s">
        <v>13</v>
      </c>
      <c r="D1290" s="33" t="s">
        <v>307</v>
      </c>
      <c r="E1290" s="33">
        <v>2022</v>
      </c>
      <c r="F1290" s="33">
        <v>147</v>
      </c>
      <c r="G1290" s="34"/>
      <c r="H1290" s="34"/>
      <c r="I1290" s="33" t="s">
        <v>280</v>
      </c>
      <c r="J1290" s="33">
        <v>2022</v>
      </c>
      <c r="K1290" s="34"/>
      <c r="L1290" s="34"/>
      <c r="M1290" s="33" t="s">
        <v>308</v>
      </c>
      <c r="N1290" s="37" t="s">
        <v>434</v>
      </c>
      <c r="O1290" s="33" t="s">
        <v>435</v>
      </c>
      <c r="P1290" s="33" t="s">
        <v>436</v>
      </c>
      <c r="Q1290" s="33" t="s">
        <v>157</v>
      </c>
      <c r="R1290" s="34"/>
      <c r="S1290" s="38"/>
      <c r="T1290" s="38" t="s">
        <v>12690</v>
      </c>
    </row>
    <row r="1291" spans="1:20" x14ac:dyDescent="0.25">
      <c r="A1291" s="33" t="s">
        <v>5472</v>
      </c>
      <c r="B1291" s="33" t="s">
        <v>5471</v>
      </c>
      <c r="C1291" s="33" t="s">
        <v>141</v>
      </c>
      <c r="D1291" s="34"/>
      <c r="E1291" s="33">
        <v>2016</v>
      </c>
      <c r="F1291" s="34"/>
      <c r="G1291" s="34"/>
      <c r="H1291" s="33" t="s">
        <v>5473</v>
      </c>
      <c r="I1291" s="33" t="s">
        <v>257</v>
      </c>
      <c r="J1291" s="33">
        <v>2016</v>
      </c>
      <c r="K1291" s="33">
        <v>9781467390040</v>
      </c>
      <c r="L1291" s="34"/>
      <c r="M1291" s="34"/>
      <c r="N1291" s="37" t="s">
        <v>5474</v>
      </c>
      <c r="O1291" s="33" t="s">
        <v>5475</v>
      </c>
      <c r="P1291" s="33" t="s">
        <v>5476</v>
      </c>
      <c r="Q1291" s="33" t="s">
        <v>2110</v>
      </c>
      <c r="R1291" s="34"/>
      <c r="S1291" s="38"/>
      <c r="T1291" s="38" t="s">
        <v>12690</v>
      </c>
    </row>
    <row r="1292" spans="1:20" x14ac:dyDescent="0.25">
      <c r="A1292" s="33" t="s">
        <v>4973</v>
      </c>
      <c r="B1292" s="33" t="s">
        <v>4972</v>
      </c>
      <c r="C1292" s="33" t="s">
        <v>141</v>
      </c>
      <c r="D1292" s="34"/>
      <c r="E1292" s="33">
        <v>2020</v>
      </c>
      <c r="F1292" s="33">
        <v>2</v>
      </c>
      <c r="G1292" s="34"/>
      <c r="H1292" s="33" t="s">
        <v>4974</v>
      </c>
      <c r="I1292" s="33" t="s">
        <v>3109</v>
      </c>
      <c r="J1292" s="33">
        <v>2020</v>
      </c>
      <c r="K1292" s="33">
        <v>9789897584237</v>
      </c>
      <c r="L1292" s="34"/>
      <c r="M1292" s="34"/>
      <c r="N1292" s="37" t="s">
        <v>4975</v>
      </c>
      <c r="O1292" s="34"/>
      <c r="P1292" s="33" t="s">
        <v>4976</v>
      </c>
      <c r="Q1292" s="33" t="s">
        <v>1813</v>
      </c>
      <c r="R1292" s="34"/>
      <c r="S1292" s="38"/>
      <c r="T1292" s="38" t="s">
        <v>12690</v>
      </c>
    </row>
    <row r="1293" spans="1:20" x14ac:dyDescent="0.25">
      <c r="A1293" s="33" t="s">
        <v>11204</v>
      </c>
      <c r="B1293" s="33" t="s">
        <v>11203</v>
      </c>
      <c r="C1293" s="33" t="s">
        <v>141</v>
      </c>
      <c r="D1293" s="34"/>
      <c r="E1293" s="33">
        <v>2020</v>
      </c>
      <c r="F1293" s="34"/>
      <c r="G1293" s="34"/>
      <c r="H1293" s="34"/>
      <c r="I1293" s="44" t="s">
        <v>12715</v>
      </c>
      <c r="J1293" s="33">
        <v>2020</v>
      </c>
      <c r="K1293" s="33">
        <v>9781450375801</v>
      </c>
      <c r="L1293" s="33" t="s">
        <v>11211</v>
      </c>
      <c r="M1293" s="34"/>
      <c r="N1293" s="37" t="s">
        <v>11207</v>
      </c>
      <c r="O1293" s="33" t="s">
        <v>11208</v>
      </c>
      <c r="P1293" s="33" t="s">
        <v>11209</v>
      </c>
      <c r="Q1293" s="36"/>
      <c r="R1293" s="36"/>
      <c r="S1293" s="33" t="s">
        <v>11210</v>
      </c>
      <c r="T1293" s="33" t="s">
        <v>12692</v>
      </c>
    </row>
    <row r="1294" spans="1:20" x14ac:dyDescent="0.25">
      <c r="A1294" s="33" t="s">
        <v>399</v>
      </c>
      <c r="B1294" s="33" t="s">
        <v>398</v>
      </c>
      <c r="C1294" s="33" t="s">
        <v>141</v>
      </c>
      <c r="D1294" s="34"/>
      <c r="E1294" s="33">
        <v>2022</v>
      </c>
      <c r="F1294" s="34"/>
      <c r="G1294" s="34"/>
      <c r="H1294" s="33" t="s">
        <v>11871</v>
      </c>
      <c r="I1294" s="44" t="s">
        <v>12786</v>
      </c>
      <c r="J1294" s="33">
        <v>2022</v>
      </c>
      <c r="K1294" s="33">
        <v>9781450393850</v>
      </c>
      <c r="L1294" s="33" t="s">
        <v>11877</v>
      </c>
      <c r="M1294" s="34"/>
      <c r="N1294" s="37" t="s">
        <v>11874</v>
      </c>
      <c r="O1294" s="33" t="s">
        <v>402</v>
      </c>
      <c r="P1294" s="33" t="s">
        <v>11875</v>
      </c>
      <c r="Q1294" s="36"/>
      <c r="R1294" s="36"/>
      <c r="S1294" s="33" t="s">
        <v>11876</v>
      </c>
      <c r="T1294" s="33" t="s">
        <v>12692</v>
      </c>
    </row>
    <row r="1295" spans="1:20" x14ac:dyDescent="0.25">
      <c r="A1295" s="33" t="s">
        <v>399</v>
      </c>
      <c r="B1295" s="33" t="s">
        <v>398</v>
      </c>
      <c r="C1295" s="33" t="s">
        <v>141</v>
      </c>
      <c r="D1295" s="34"/>
      <c r="E1295" s="33">
        <v>2022</v>
      </c>
      <c r="F1295" s="34"/>
      <c r="G1295" s="34"/>
      <c r="H1295" s="33" t="s">
        <v>400</v>
      </c>
      <c r="I1295" s="33" t="s">
        <v>145</v>
      </c>
      <c r="J1295" s="33">
        <v>2022</v>
      </c>
      <c r="K1295" s="33">
        <v>9781450393850</v>
      </c>
      <c r="L1295" s="34"/>
      <c r="M1295" s="34"/>
      <c r="N1295" s="37" t="s">
        <v>401</v>
      </c>
      <c r="O1295" s="33" t="s">
        <v>402</v>
      </c>
      <c r="P1295" s="33" t="s">
        <v>403</v>
      </c>
      <c r="Q1295" s="33" t="s">
        <v>404</v>
      </c>
      <c r="R1295" s="34"/>
      <c r="S1295" s="38"/>
      <c r="T1295" s="38" t="s">
        <v>12690</v>
      </c>
    </row>
    <row r="1296" spans="1:20" x14ac:dyDescent="0.25">
      <c r="A1296" s="39" t="s">
        <v>10060</v>
      </c>
      <c r="B1296" s="39" t="s">
        <v>10062</v>
      </c>
      <c r="C1296" s="39" t="s">
        <v>9539</v>
      </c>
      <c r="D1296" s="36"/>
      <c r="E1296" s="39">
        <v>2021</v>
      </c>
      <c r="F1296" s="40"/>
      <c r="G1296" s="40"/>
      <c r="H1296" s="36"/>
      <c r="I1296" s="39" t="s">
        <v>9464</v>
      </c>
      <c r="J1296" s="36"/>
      <c r="K1296" s="36"/>
      <c r="L1296" s="36"/>
      <c r="M1296" s="34"/>
      <c r="N1296" s="41" t="s">
        <v>10063</v>
      </c>
      <c r="O1296" s="39" t="s">
        <v>10061</v>
      </c>
      <c r="P1296" s="33"/>
      <c r="Q1296" s="36"/>
      <c r="R1296" s="34"/>
      <c r="S1296" s="38"/>
      <c r="T1296" s="38" t="s">
        <v>12689</v>
      </c>
    </row>
    <row r="1297" spans="1:20" x14ac:dyDescent="0.25">
      <c r="A1297" s="33" t="s">
        <v>4027</v>
      </c>
      <c r="B1297" s="33" t="s">
        <v>4026</v>
      </c>
      <c r="C1297" s="33" t="s">
        <v>13</v>
      </c>
      <c r="D1297" s="33" t="s">
        <v>307</v>
      </c>
      <c r="E1297" s="33">
        <v>2019</v>
      </c>
      <c r="F1297" s="33">
        <v>113</v>
      </c>
      <c r="G1297" s="34"/>
      <c r="H1297" s="33" t="s">
        <v>4028</v>
      </c>
      <c r="I1297" s="33" t="s">
        <v>280</v>
      </c>
      <c r="J1297" s="33">
        <v>2019</v>
      </c>
      <c r="K1297" s="34"/>
      <c r="L1297" s="34"/>
      <c r="M1297" s="33" t="s">
        <v>308</v>
      </c>
      <c r="N1297" s="37" t="s">
        <v>4029</v>
      </c>
      <c r="O1297" s="33" t="s">
        <v>4030</v>
      </c>
      <c r="P1297" s="33" t="s">
        <v>4031</v>
      </c>
      <c r="Q1297" s="33" t="s">
        <v>2723</v>
      </c>
      <c r="R1297" s="34"/>
      <c r="S1297" s="38"/>
      <c r="T1297" s="38" t="s">
        <v>12690</v>
      </c>
    </row>
    <row r="1298" spans="1:20" x14ac:dyDescent="0.25">
      <c r="A1298" s="33" t="s">
        <v>5094</v>
      </c>
      <c r="B1298" s="33" t="s">
        <v>6367</v>
      </c>
      <c r="C1298" s="33" t="s">
        <v>13</v>
      </c>
      <c r="D1298" s="33" t="s">
        <v>4637</v>
      </c>
      <c r="E1298" s="33">
        <v>2016</v>
      </c>
      <c r="F1298" s="33">
        <v>33</v>
      </c>
      <c r="G1298" s="33">
        <v>5</v>
      </c>
      <c r="H1298" s="33" t="s">
        <v>6368</v>
      </c>
      <c r="I1298" s="34"/>
      <c r="J1298" s="43">
        <v>42614</v>
      </c>
      <c r="K1298" s="36"/>
      <c r="L1298" s="36"/>
      <c r="M1298" s="33" t="s">
        <v>6207</v>
      </c>
      <c r="N1298" s="37" t="s">
        <v>6369</v>
      </c>
      <c r="O1298" s="33" t="s">
        <v>6370</v>
      </c>
      <c r="P1298" s="33" t="s">
        <v>6371</v>
      </c>
      <c r="Q1298" s="36"/>
      <c r="R1298" s="36"/>
      <c r="S1298" s="33" t="s">
        <v>6372</v>
      </c>
      <c r="T1298" s="38" t="s">
        <v>12688</v>
      </c>
    </row>
    <row r="1299" spans="1:20" x14ac:dyDescent="0.25">
      <c r="A1299" s="33" t="s">
        <v>5814</v>
      </c>
      <c r="B1299" s="33" t="s">
        <v>5813</v>
      </c>
      <c r="C1299" s="33" t="s">
        <v>13</v>
      </c>
      <c r="D1299" s="33" t="s">
        <v>209</v>
      </c>
      <c r="E1299" s="33">
        <v>2016</v>
      </c>
      <c r="F1299" s="33" t="s">
        <v>5815</v>
      </c>
      <c r="G1299" s="34"/>
      <c r="H1299" s="33" t="s">
        <v>5816</v>
      </c>
      <c r="I1299" s="33" t="s">
        <v>4155</v>
      </c>
      <c r="J1299" s="33">
        <v>2016</v>
      </c>
      <c r="K1299" s="34"/>
      <c r="L1299" s="34"/>
      <c r="M1299" s="33" t="s">
        <v>213</v>
      </c>
      <c r="N1299" s="37" t="s">
        <v>5817</v>
      </c>
      <c r="O1299" s="33" t="s">
        <v>5818</v>
      </c>
      <c r="P1299" s="33" t="s">
        <v>5819</v>
      </c>
      <c r="Q1299" s="33" t="s">
        <v>3749</v>
      </c>
      <c r="R1299" s="34"/>
      <c r="S1299" s="38"/>
      <c r="T1299" s="38" t="s">
        <v>12690</v>
      </c>
    </row>
    <row r="1300" spans="1:20" x14ac:dyDescent="0.25">
      <c r="A1300" s="39" t="s">
        <v>1637</v>
      </c>
      <c r="B1300" s="39" t="s">
        <v>9438</v>
      </c>
      <c r="C1300" s="39" t="s">
        <v>539</v>
      </c>
      <c r="D1300" s="36"/>
      <c r="E1300" s="39">
        <v>2020</v>
      </c>
      <c r="F1300" s="40"/>
      <c r="G1300" s="40"/>
      <c r="H1300" s="36"/>
      <c r="I1300" s="39" t="s">
        <v>9275</v>
      </c>
      <c r="J1300" s="36"/>
      <c r="K1300" s="36"/>
      <c r="L1300" s="36"/>
      <c r="M1300" s="34"/>
      <c r="N1300" s="41" t="s">
        <v>9439</v>
      </c>
      <c r="O1300" s="39" t="s">
        <v>9437</v>
      </c>
      <c r="P1300" s="33"/>
      <c r="Q1300" s="36"/>
      <c r="R1300" s="34"/>
      <c r="S1300" s="38"/>
      <c r="T1300" s="38" t="s">
        <v>12689</v>
      </c>
    </row>
    <row r="1301" spans="1:20" x14ac:dyDescent="0.25">
      <c r="A1301" s="33" t="s">
        <v>4179</v>
      </c>
      <c r="B1301" s="33" t="s">
        <v>4178</v>
      </c>
      <c r="C1301" s="33" t="s">
        <v>141</v>
      </c>
      <c r="D1301" s="34"/>
      <c r="E1301" s="33">
        <v>2019</v>
      </c>
      <c r="F1301" s="33">
        <v>2520</v>
      </c>
      <c r="G1301" s="34"/>
      <c r="H1301" s="33" t="s">
        <v>4180</v>
      </c>
      <c r="I1301" s="33" t="s">
        <v>613</v>
      </c>
      <c r="J1301" s="33">
        <v>2019</v>
      </c>
      <c r="K1301" s="34"/>
      <c r="L1301" s="34"/>
      <c r="M1301" s="33" t="s">
        <v>614</v>
      </c>
      <c r="N1301" s="37" t="s">
        <v>4181</v>
      </c>
      <c r="O1301" s="34"/>
      <c r="P1301" s="33" t="s">
        <v>4182</v>
      </c>
      <c r="Q1301" s="33" t="s">
        <v>157</v>
      </c>
      <c r="R1301" s="34"/>
      <c r="S1301" s="38"/>
      <c r="T1301" s="38" t="s">
        <v>12690</v>
      </c>
    </row>
    <row r="1302" spans="1:20" x14ac:dyDescent="0.25">
      <c r="A1302" s="33" t="s">
        <v>871</v>
      </c>
      <c r="B1302" s="33" t="s">
        <v>870</v>
      </c>
      <c r="C1302" s="33" t="s">
        <v>141</v>
      </c>
      <c r="D1302" s="34"/>
      <c r="E1302" s="33">
        <v>2022</v>
      </c>
      <c r="F1302" s="34"/>
      <c r="G1302" s="34"/>
      <c r="H1302" s="33" t="s">
        <v>872</v>
      </c>
      <c r="I1302" s="33" t="s">
        <v>145</v>
      </c>
      <c r="J1302" s="33">
        <v>2022</v>
      </c>
      <c r="K1302" s="33">
        <v>9781450397353</v>
      </c>
      <c r="L1302" s="34"/>
      <c r="M1302" s="34"/>
      <c r="N1302" s="37" t="s">
        <v>873</v>
      </c>
      <c r="O1302" s="33" t="s">
        <v>874</v>
      </c>
      <c r="P1302" s="33" t="s">
        <v>875</v>
      </c>
      <c r="Q1302" s="33" t="s">
        <v>404</v>
      </c>
      <c r="R1302" s="34"/>
      <c r="S1302" s="38"/>
      <c r="T1302" s="38" t="s">
        <v>12690</v>
      </c>
    </row>
    <row r="1303" spans="1:20" x14ac:dyDescent="0.25">
      <c r="A1303" s="33" t="s">
        <v>1020</v>
      </c>
      <c r="B1303" s="33" t="s">
        <v>1019</v>
      </c>
      <c r="C1303" s="33" t="s">
        <v>13</v>
      </c>
      <c r="D1303" s="33" t="s">
        <v>361</v>
      </c>
      <c r="E1303" s="33">
        <v>2022</v>
      </c>
      <c r="F1303" s="33">
        <v>5</v>
      </c>
      <c r="G1303" s="33">
        <v>1</v>
      </c>
      <c r="H1303" s="34"/>
      <c r="I1303" s="33" t="s">
        <v>362</v>
      </c>
      <c r="J1303" s="33">
        <v>2022</v>
      </c>
      <c r="K1303" s="34"/>
      <c r="L1303" s="34"/>
      <c r="M1303" s="33" t="s">
        <v>363</v>
      </c>
      <c r="N1303" s="37" t="s">
        <v>1021</v>
      </c>
      <c r="O1303" s="33" t="s">
        <v>1022</v>
      </c>
      <c r="P1303" s="33" t="s">
        <v>1023</v>
      </c>
      <c r="Q1303" s="33" t="s">
        <v>1024</v>
      </c>
      <c r="R1303" s="34"/>
      <c r="S1303" s="38"/>
      <c r="T1303" s="38" t="s">
        <v>12690</v>
      </c>
    </row>
    <row r="1304" spans="1:20" x14ac:dyDescent="0.25">
      <c r="A1304" s="33" t="s">
        <v>38</v>
      </c>
      <c r="B1304" s="33" t="s">
        <v>37</v>
      </c>
      <c r="C1304" s="33" t="s">
        <v>13</v>
      </c>
      <c r="D1304" s="33" t="s">
        <v>255</v>
      </c>
      <c r="E1304" s="33">
        <v>2022</v>
      </c>
      <c r="F1304" s="33">
        <v>48</v>
      </c>
      <c r="G1304" s="33">
        <v>12</v>
      </c>
      <c r="H1304" s="33" t="s">
        <v>39</v>
      </c>
      <c r="I1304" s="34"/>
      <c r="J1304" s="35">
        <v>44896</v>
      </c>
      <c r="K1304" s="36"/>
      <c r="L1304" s="36"/>
      <c r="M1304" s="33" t="s">
        <v>6115</v>
      </c>
      <c r="N1304" s="37" t="s">
        <v>40</v>
      </c>
      <c r="O1304" s="33" t="s">
        <v>41</v>
      </c>
      <c r="P1304" s="33" t="s">
        <v>42</v>
      </c>
      <c r="Q1304" s="36"/>
      <c r="R1304" s="36"/>
      <c r="S1304" s="33" t="s">
        <v>6404</v>
      </c>
      <c r="T1304" s="38" t="s">
        <v>12688</v>
      </c>
    </row>
    <row r="1305" spans="1:20" x14ac:dyDescent="0.25">
      <c r="A1305" s="33" t="s">
        <v>38</v>
      </c>
      <c r="B1305" s="33" t="s">
        <v>37</v>
      </c>
      <c r="C1305" s="33" t="s">
        <v>13</v>
      </c>
      <c r="D1305" s="33" t="s">
        <v>255</v>
      </c>
      <c r="E1305" s="33">
        <v>2022</v>
      </c>
      <c r="F1305" s="33">
        <v>48</v>
      </c>
      <c r="G1305" s="33">
        <v>12</v>
      </c>
      <c r="H1305" s="33" t="s">
        <v>1211</v>
      </c>
      <c r="I1305" s="33" t="s">
        <v>257</v>
      </c>
      <c r="J1305" s="33">
        <v>2022</v>
      </c>
      <c r="K1305" s="34"/>
      <c r="L1305" s="34"/>
      <c r="M1305" s="33" t="s">
        <v>18</v>
      </c>
      <c r="N1305" s="37" t="s">
        <v>1212</v>
      </c>
      <c r="O1305" s="33" t="s">
        <v>41</v>
      </c>
      <c r="P1305" s="33" t="s">
        <v>1213</v>
      </c>
      <c r="Q1305" s="33" t="s">
        <v>149</v>
      </c>
      <c r="R1305" s="34"/>
      <c r="S1305" s="38"/>
      <c r="T1305" s="38" t="s">
        <v>12690</v>
      </c>
    </row>
    <row r="1306" spans="1:20" x14ac:dyDescent="0.25">
      <c r="A1306" s="33" t="s">
        <v>38</v>
      </c>
      <c r="B1306" s="33" t="s">
        <v>37</v>
      </c>
      <c r="C1306" s="33" t="s">
        <v>13</v>
      </c>
      <c r="D1306" s="33" t="s">
        <v>16</v>
      </c>
      <c r="E1306" s="33">
        <v>2022</v>
      </c>
      <c r="F1306" s="33">
        <v>48</v>
      </c>
      <c r="G1306" s="33">
        <v>12</v>
      </c>
      <c r="H1306" s="33" t="s">
        <v>39</v>
      </c>
      <c r="I1306" s="38" t="s">
        <v>12699</v>
      </c>
      <c r="J1306" s="48">
        <v>44896</v>
      </c>
      <c r="K1306" s="33" t="s">
        <v>18</v>
      </c>
      <c r="L1306" s="38" t="s">
        <v>12699</v>
      </c>
      <c r="M1306" s="38" t="s">
        <v>12699</v>
      </c>
      <c r="N1306" s="37" t="s">
        <v>40</v>
      </c>
      <c r="O1306" s="33" t="s">
        <v>41</v>
      </c>
      <c r="P1306" s="33" t="s">
        <v>42</v>
      </c>
      <c r="Q1306" s="38" t="s">
        <v>12699</v>
      </c>
      <c r="R1306" s="38" t="s">
        <v>12699</v>
      </c>
      <c r="S1306" s="38"/>
      <c r="T1306" s="38" t="s">
        <v>12700</v>
      </c>
    </row>
    <row r="1307" spans="1:20" x14ac:dyDescent="0.25">
      <c r="A1307" s="33" t="s">
        <v>1305</v>
      </c>
      <c r="B1307" s="33" t="s">
        <v>1304</v>
      </c>
      <c r="C1307" s="33" t="s">
        <v>13</v>
      </c>
      <c r="D1307" s="33" t="s">
        <v>1306</v>
      </c>
      <c r="E1307" s="33">
        <v>2022</v>
      </c>
      <c r="F1307" s="33">
        <v>10</v>
      </c>
      <c r="G1307" s="33">
        <v>12</v>
      </c>
      <c r="H1307" s="34"/>
      <c r="I1307" s="33" t="s">
        <v>228</v>
      </c>
      <c r="J1307" s="33">
        <v>2022</v>
      </c>
      <c r="K1307" s="34"/>
      <c r="L1307" s="34"/>
      <c r="M1307" s="33" t="s">
        <v>1307</v>
      </c>
      <c r="N1307" s="37" t="s">
        <v>1308</v>
      </c>
      <c r="O1307" s="33" t="s">
        <v>1309</v>
      </c>
      <c r="P1307" s="33" t="s">
        <v>1310</v>
      </c>
      <c r="Q1307" s="33" t="s">
        <v>233</v>
      </c>
      <c r="R1307" s="34"/>
      <c r="S1307" s="38"/>
      <c r="T1307" s="38" t="s">
        <v>12690</v>
      </c>
    </row>
    <row r="1308" spans="1:20" x14ac:dyDescent="0.25">
      <c r="A1308" s="33" t="s">
        <v>4440</v>
      </c>
      <c r="B1308" s="33" t="s">
        <v>4439</v>
      </c>
      <c r="C1308" s="33" t="s">
        <v>141</v>
      </c>
      <c r="D1308" s="34"/>
      <c r="E1308" s="33">
        <v>2020</v>
      </c>
      <c r="F1308" s="45">
        <v>44044</v>
      </c>
      <c r="G1308" s="34"/>
      <c r="H1308" s="33" t="s">
        <v>4441</v>
      </c>
      <c r="I1308" s="33" t="s">
        <v>4442</v>
      </c>
      <c r="J1308" s="33">
        <v>2020</v>
      </c>
      <c r="K1308" s="33">
        <v>9786197603040</v>
      </c>
      <c r="L1308" s="33">
        <v>9786197603057</v>
      </c>
      <c r="M1308" s="33" t="s">
        <v>4443</v>
      </c>
      <c r="N1308" s="37" t="s">
        <v>4444</v>
      </c>
      <c r="O1308" s="33" t="s">
        <v>4445</v>
      </c>
      <c r="P1308" s="33" t="s">
        <v>4446</v>
      </c>
      <c r="Q1308" s="33" t="s">
        <v>185</v>
      </c>
      <c r="R1308" s="34"/>
      <c r="S1308" s="38"/>
      <c r="T1308" s="38" t="s">
        <v>12690</v>
      </c>
    </row>
    <row r="1309" spans="1:20" x14ac:dyDescent="0.25">
      <c r="A1309" s="33" t="s">
        <v>4281</v>
      </c>
      <c r="B1309" s="33" t="s">
        <v>4280</v>
      </c>
      <c r="C1309" s="33" t="s">
        <v>141</v>
      </c>
      <c r="D1309" s="34"/>
      <c r="E1309" s="33">
        <v>2019</v>
      </c>
      <c r="F1309" s="34"/>
      <c r="G1309" s="34"/>
      <c r="H1309" s="33" t="s">
        <v>4282</v>
      </c>
      <c r="I1309" s="33" t="s">
        <v>257</v>
      </c>
      <c r="J1309" s="33">
        <v>2019</v>
      </c>
      <c r="K1309" s="33">
        <v>9781728118765</v>
      </c>
      <c r="L1309" s="34"/>
      <c r="M1309" s="34"/>
      <c r="N1309" s="37" t="s">
        <v>4283</v>
      </c>
      <c r="O1309" s="33" t="s">
        <v>4284</v>
      </c>
      <c r="P1309" s="33" t="s">
        <v>4285</v>
      </c>
      <c r="Q1309" s="33" t="s">
        <v>4286</v>
      </c>
      <c r="R1309" s="34"/>
      <c r="S1309" s="38"/>
      <c r="T1309" s="38" t="s">
        <v>12690</v>
      </c>
    </row>
    <row r="1310" spans="1:20" x14ac:dyDescent="0.25">
      <c r="A1310" s="33" t="s">
        <v>3462</v>
      </c>
      <c r="B1310" s="33" t="s">
        <v>3461</v>
      </c>
      <c r="C1310" s="33" t="s">
        <v>141</v>
      </c>
      <c r="D1310" s="34"/>
      <c r="E1310" s="33">
        <v>2020</v>
      </c>
      <c r="F1310" s="34"/>
      <c r="G1310" s="34"/>
      <c r="H1310" s="33" t="s">
        <v>3463</v>
      </c>
      <c r="I1310" s="33" t="s">
        <v>257</v>
      </c>
      <c r="J1310" s="33">
        <v>2020</v>
      </c>
      <c r="K1310" s="33">
        <v>9781728141442</v>
      </c>
      <c r="L1310" s="34"/>
      <c r="M1310" s="34"/>
      <c r="N1310" s="37" t="s">
        <v>3464</v>
      </c>
      <c r="O1310" s="33" t="s">
        <v>3465</v>
      </c>
      <c r="P1310" s="33" t="s">
        <v>3466</v>
      </c>
      <c r="Q1310" s="33" t="s">
        <v>1094</v>
      </c>
      <c r="R1310" s="34"/>
      <c r="S1310" s="38"/>
      <c r="T1310" s="38" t="s">
        <v>12690</v>
      </c>
    </row>
    <row r="1311" spans="1:20" x14ac:dyDescent="0.25">
      <c r="A1311" s="33" t="s">
        <v>4146</v>
      </c>
      <c r="B1311" s="33" t="s">
        <v>4145</v>
      </c>
      <c r="C1311" s="33" t="s">
        <v>13</v>
      </c>
      <c r="D1311" s="33" t="s">
        <v>307</v>
      </c>
      <c r="E1311" s="33">
        <v>2019</v>
      </c>
      <c r="F1311" s="33">
        <v>108</v>
      </c>
      <c r="G1311" s="36"/>
      <c r="H1311" s="33" t="s">
        <v>8749</v>
      </c>
      <c r="I1311" s="36"/>
      <c r="J1311" s="33">
        <v>2019</v>
      </c>
      <c r="K1311" s="34"/>
      <c r="L1311" s="34"/>
      <c r="M1311" s="33" t="s">
        <v>308</v>
      </c>
      <c r="N1311" s="37" t="s">
        <v>8750</v>
      </c>
      <c r="O1311" s="33" t="s">
        <v>4149</v>
      </c>
      <c r="P1311" s="33" t="s">
        <v>8751</v>
      </c>
      <c r="Q1311" s="36"/>
      <c r="R1311" s="36"/>
      <c r="S1311" s="33" t="s">
        <v>8752</v>
      </c>
      <c r="T1311" s="38" t="s">
        <v>12693</v>
      </c>
    </row>
    <row r="1312" spans="1:20" x14ac:dyDescent="0.25">
      <c r="A1312" s="33" t="s">
        <v>4146</v>
      </c>
      <c r="B1312" s="33" t="s">
        <v>4145</v>
      </c>
      <c r="C1312" s="33" t="s">
        <v>13</v>
      </c>
      <c r="D1312" s="33" t="s">
        <v>307</v>
      </c>
      <c r="E1312" s="33">
        <v>2019</v>
      </c>
      <c r="F1312" s="33">
        <v>108</v>
      </c>
      <c r="G1312" s="34"/>
      <c r="H1312" s="33" t="s">
        <v>4147</v>
      </c>
      <c r="I1312" s="33" t="s">
        <v>280</v>
      </c>
      <c r="J1312" s="33">
        <v>2019</v>
      </c>
      <c r="K1312" s="34"/>
      <c r="L1312" s="34"/>
      <c r="M1312" s="33" t="s">
        <v>308</v>
      </c>
      <c r="N1312" s="37" t="s">
        <v>4148</v>
      </c>
      <c r="O1312" s="33" t="s">
        <v>4149</v>
      </c>
      <c r="P1312" s="33" t="s">
        <v>4150</v>
      </c>
      <c r="Q1312" s="33" t="s">
        <v>4151</v>
      </c>
      <c r="R1312" s="34"/>
      <c r="S1312" s="38"/>
      <c r="T1312" s="38" t="s">
        <v>12690</v>
      </c>
    </row>
    <row r="1313" spans="1:20" x14ac:dyDescent="0.25">
      <c r="A1313" s="33" t="s">
        <v>1706</v>
      </c>
      <c r="B1313" s="33" t="s">
        <v>1705</v>
      </c>
      <c r="C1313" s="33" t="s">
        <v>13</v>
      </c>
      <c r="D1313" s="33" t="s">
        <v>255</v>
      </c>
      <c r="E1313" s="33">
        <v>2022</v>
      </c>
      <c r="F1313" s="33">
        <v>48</v>
      </c>
      <c r="G1313" s="33">
        <v>1</v>
      </c>
      <c r="H1313" s="34"/>
      <c r="I1313" s="33" t="s">
        <v>257</v>
      </c>
      <c r="J1313" s="33">
        <v>2022</v>
      </c>
      <c r="K1313" s="34"/>
      <c r="L1313" s="34"/>
      <c r="M1313" s="33" t="s">
        <v>18</v>
      </c>
      <c r="N1313" s="37" t="s">
        <v>1707</v>
      </c>
      <c r="O1313" s="33" t="s">
        <v>1708</v>
      </c>
      <c r="P1313" s="33" t="s">
        <v>1709</v>
      </c>
      <c r="Q1313" s="33" t="s">
        <v>1710</v>
      </c>
      <c r="R1313" s="34"/>
      <c r="S1313" s="38"/>
      <c r="T1313" s="38" t="s">
        <v>12690</v>
      </c>
    </row>
    <row r="1314" spans="1:20" x14ac:dyDescent="0.25">
      <c r="A1314" s="33" t="s">
        <v>4294</v>
      </c>
      <c r="B1314" s="33" t="s">
        <v>4293</v>
      </c>
      <c r="C1314" s="33" t="s">
        <v>13</v>
      </c>
      <c r="D1314" s="33" t="s">
        <v>668</v>
      </c>
      <c r="E1314" s="33">
        <v>2020</v>
      </c>
      <c r="F1314" s="33">
        <v>8</v>
      </c>
      <c r="G1314" s="34"/>
      <c r="H1314" s="33" t="s">
        <v>4295</v>
      </c>
      <c r="I1314" s="33" t="s">
        <v>257</v>
      </c>
      <c r="J1314" s="33">
        <v>2020</v>
      </c>
      <c r="K1314" s="34"/>
      <c r="L1314" s="34"/>
      <c r="M1314" s="33" t="s">
        <v>670</v>
      </c>
      <c r="N1314" s="37" t="s">
        <v>4296</v>
      </c>
      <c r="O1314" s="33" t="s">
        <v>4297</v>
      </c>
      <c r="P1314" s="33" t="s">
        <v>4298</v>
      </c>
      <c r="Q1314" s="33" t="s">
        <v>4299</v>
      </c>
      <c r="R1314" s="34"/>
      <c r="S1314" s="38"/>
      <c r="T1314" s="38" t="s">
        <v>12690</v>
      </c>
    </row>
    <row r="1315" spans="1:20" x14ac:dyDescent="0.25">
      <c r="A1315" s="33" t="s">
        <v>5341</v>
      </c>
      <c r="B1315" s="33" t="s">
        <v>5340</v>
      </c>
      <c r="C1315" s="33" t="s">
        <v>141</v>
      </c>
      <c r="D1315" s="34"/>
      <c r="E1315" s="33">
        <v>2018</v>
      </c>
      <c r="F1315" s="34"/>
      <c r="G1315" s="34"/>
      <c r="H1315" s="33" t="s">
        <v>5342</v>
      </c>
      <c r="I1315" s="33" t="s">
        <v>257</v>
      </c>
      <c r="J1315" s="33">
        <v>2018</v>
      </c>
      <c r="K1315" s="33">
        <v>9781538677575</v>
      </c>
      <c r="L1315" s="34"/>
      <c r="M1315" s="34"/>
      <c r="N1315" s="37" t="s">
        <v>5343</v>
      </c>
      <c r="O1315" s="33" t="s">
        <v>5344</v>
      </c>
      <c r="P1315" s="33" t="s">
        <v>5345</v>
      </c>
      <c r="Q1315" s="33" t="s">
        <v>1573</v>
      </c>
      <c r="R1315" s="34"/>
      <c r="S1315" s="38"/>
      <c r="T1315" s="38" t="s">
        <v>12690</v>
      </c>
    </row>
    <row r="1316" spans="1:20" x14ac:dyDescent="0.25">
      <c r="A1316" s="33" t="s">
        <v>6565</v>
      </c>
      <c r="B1316" s="33" t="s">
        <v>6564</v>
      </c>
      <c r="C1316" s="33" t="s">
        <v>141</v>
      </c>
      <c r="D1316" s="34"/>
      <c r="E1316" s="33">
        <v>2021</v>
      </c>
      <c r="F1316" s="34"/>
      <c r="G1316" s="34"/>
      <c r="H1316" s="33" t="s">
        <v>6566</v>
      </c>
      <c r="I1316" s="33" t="s">
        <v>6567</v>
      </c>
      <c r="J1316" s="43">
        <v>44440</v>
      </c>
      <c r="K1316" s="36"/>
      <c r="L1316" s="36"/>
      <c r="M1316" s="34"/>
      <c r="N1316" s="37" t="s">
        <v>6568</v>
      </c>
      <c r="O1316" s="33" t="s">
        <v>6569</v>
      </c>
      <c r="P1316" s="33" t="s">
        <v>6570</v>
      </c>
      <c r="Q1316" s="36"/>
      <c r="R1316" s="36"/>
      <c r="S1316" s="33" t="s">
        <v>6571</v>
      </c>
      <c r="T1316" s="38" t="s">
        <v>12688</v>
      </c>
    </row>
    <row r="1317" spans="1:20" x14ac:dyDescent="0.25">
      <c r="A1317" s="33" t="s">
        <v>7316</v>
      </c>
      <c r="B1317" s="33" t="s">
        <v>7315</v>
      </c>
      <c r="C1317" s="33" t="s">
        <v>141</v>
      </c>
      <c r="D1317" s="34"/>
      <c r="E1317" s="33">
        <v>2022</v>
      </c>
      <c r="F1317" s="34"/>
      <c r="G1317" s="34"/>
      <c r="H1317" s="33" t="s">
        <v>7317</v>
      </c>
      <c r="I1317" s="33" t="s">
        <v>6166</v>
      </c>
      <c r="J1317" s="43">
        <v>44774</v>
      </c>
      <c r="K1317" s="36"/>
      <c r="L1317" s="36"/>
      <c r="M1317" s="34"/>
      <c r="N1317" s="37" t="s">
        <v>7318</v>
      </c>
      <c r="O1317" s="33" t="s">
        <v>7319</v>
      </c>
      <c r="P1317" s="33" t="s">
        <v>7320</v>
      </c>
      <c r="Q1317" s="36"/>
      <c r="R1317" s="36"/>
      <c r="S1317" s="33" t="s">
        <v>7321</v>
      </c>
      <c r="T1317" s="38" t="s">
        <v>12688</v>
      </c>
    </row>
    <row r="1318" spans="1:20" x14ac:dyDescent="0.25">
      <c r="A1318" s="33" t="s">
        <v>4219</v>
      </c>
      <c r="B1318" s="33" t="s">
        <v>4218</v>
      </c>
      <c r="C1318" s="33" t="s">
        <v>13</v>
      </c>
      <c r="D1318" s="33" t="s">
        <v>878</v>
      </c>
      <c r="E1318" s="33">
        <v>2019</v>
      </c>
      <c r="F1318" s="33">
        <v>31</v>
      </c>
      <c r="G1318" s="33">
        <v>9</v>
      </c>
      <c r="H1318" s="34"/>
      <c r="I1318" s="33" t="s">
        <v>266</v>
      </c>
      <c r="J1318" s="33">
        <v>2019</v>
      </c>
      <c r="K1318" s="34"/>
      <c r="L1318" s="34"/>
      <c r="M1318" s="33" t="s">
        <v>879</v>
      </c>
      <c r="N1318" s="37" t="s">
        <v>4220</v>
      </c>
      <c r="O1318" s="33" t="s">
        <v>4221</v>
      </c>
      <c r="P1318" s="33" t="s">
        <v>4222</v>
      </c>
      <c r="Q1318" s="33" t="s">
        <v>2723</v>
      </c>
      <c r="R1318" s="34"/>
      <c r="S1318" s="38"/>
      <c r="T1318" s="38" t="s">
        <v>12690</v>
      </c>
    </row>
    <row r="1319" spans="1:20" x14ac:dyDescent="0.25">
      <c r="A1319" s="33" t="s">
        <v>2541</v>
      </c>
      <c r="B1319" s="33" t="s">
        <v>2540</v>
      </c>
      <c r="C1319" s="33" t="s">
        <v>13</v>
      </c>
      <c r="D1319" s="33" t="s">
        <v>136</v>
      </c>
      <c r="E1319" s="33">
        <v>2021</v>
      </c>
      <c r="F1319" s="33">
        <v>26</v>
      </c>
      <c r="G1319" s="33">
        <v>6</v>
      </c>
      <c r="H1319" s="34"/>
      <c r="I1319" s="33" t="s">
        <v>137</v>
      </c>
      <c r="J1319" s="33">
        <v>2021</v>
      </c>
      <c r="K1319" s="34"/>
      <c r="L1319" s="34"/>
      <c r="M1319" s="33" t="s">
        <v>33</v>
      </c>
      <c r="N1319" s="37" t="s">
        <v>2542</v>
      </c>
      <c r="O1319" s="33" t="s">
        <v>2543</v>
      </c>
      <c r="P1319" s="33" t="s">
        <v>2544</v>
      </c>
      <c r="Q1319" s="33" t="s">
        <v>1404</v>
      </c>
      <c r="R1319" s="34"/>
      <c r="S1319" s="38"/>
      <c r="T1319" s="38" t="s">
        <v>12690</v>
      </c>
    </row>
    <row r="1320" spans="1:20" x14ac:dyDescent="0.25">
      <c r="A1320" s="39" t="s">
        <v>2541</v>
      </c>
      <c r="B1320" s="39" t="s">
        <v>10288</v>
      </c>
      <c r="C1320" s="39" t="s">
        <v>9478</v>
      </c>
      <c r="D1320" s="36"/>
      <c r="E1320" s="39">
        <v>2021</v>
      </c>
      <c r="F1320" s="39">
        <v>26</v>
      </c>
      <c r="G1320" s="39">
        <v>6</v>
      </c>
      <c r="H1320" s="36"/>
      <c r="I1320" s="39" t="s">
        <v>136</v>
      </c>
      <c r="J1320" s="36"/>
      <c r="K1320" s="36"/>
      <c r="L1320" s="36"/>
      <c r="M1320" s="34"/>
      <c r="N1320" s="41" t="s">
        <v>10289</v>
      </c>
      <c r="O1320" s="39" t="s">
        <v>2543</v>
      </c>
      <c r="P1320" s="33"/>
      <c r="Q1320" s="36"/>
      <c r="R1320" s="34"/>
      <c r="S1320" s="38"/>
      <c r="T1320" s="38" t="s">
        <v>12689</v>
      </c>
    </row>
    <row r="1321" spans="1:20" x14ac:dyDescent="0.25">
      <c r="A1321" s="39" t="s">
        <v>10453</v>
      </c>
      <c r="B1321" s="39" t="s">
        <v>10455</v>
      </c>
      <c r="C1321" s="39" t="s">
        <v>9539</v>
      </c>
      <c r="D1321" s="36"/>
      <c r="E1321" s="39">
        <v>2019</v>
      </c>
      <c r="F1321" s="40"/>
      <c r="G1321" s="40"/>
      <c r="H1321" s="36"/>
      <c r="I1321" s="39" t="s">
        <v>10452</v>
      </c>
      <c r="J1321" s="36"/>
      <c r="K1321" s="36"/>
      <c r="L1321" s="36"/>
      <c r="M1321" s="34"/>
      <c r="N1321" s="41" t="s">
        <v>10456</v>
      </c>
      <c r="O1321" s="39" t="s">
        <v>10454</v>
      </c>
      <c r="P1321" s="33"/>
      <c r="Q1321" s="36"/>
      <c r="R1321" s="34"/>
      <c r="S1321" s="38"/>
      <c r="T1321" s="38" t="s">
        <v>12689</v>
      </c>
    </row>
    <row r="1322" spans="1:20" x14ac:dyDescent="0.25">
      <c r="A1322" s="39" t="s">
        <v>10691</v>
      </c>
      <c r="B1322" s="39" t="s">
        <v>10693</v>
      </c>
      <c r="C1322" s="39" t="s">
        <v>9539</v>
      </c>
      <c r="D1322" s="36"/>
      <c r="E1322" s="39">
        <v>2018</v>
      </c>
      <c r="F1322" s="40"/>
      <c r="G1322" s="40"/>
      <c r="H1322" s="36"/>
      <c r="I1322" s="39" t="s">
        <v>9276</v>
      </c>
      <c r="J1322" s="36"/>
      <c r="K1322" s="36"/>
      <c r="L1322" s="36"/>
      <c r="M1322" s="34"/>
      <c r="N1322" s="41" t="s">
        <v>10694</v>
      </c>
      <c r="O1322" s="39" t="s">
        <v>10692</v>
      </c>
      <c r="P1322" s="33"/>
      <c r="Q1322" s="36"/>
      <c r="R1322" s="34"/>
      <c r="S1322" s="38"/>
      <c r="T1322" s="38" t="s">
        <v>12689</v>
      </c>
    </row>
    <row r="1323" spans="1:20" x14ac:dyDescent="0.25">
      <c r="A1323" s="33" t="s">
        <v>5300</v>
      </c>
      <c r="B1323" s="33" t="s">
        <v>5299</v>
      </c>
      <c r="C1323" s="33" t="s">
        <v>13</v>
      </c>
      <c r="D1323" s="33" t="s">
        <v>209</v>
      </c>
      <c r="E1323" s="33">
        <v>2017</v>
      </c>
      <c r="F1323" s="33" t="s">
        <v>5301</v>
      </c>
      <c r="G1323" s="34"/>
      <c r="H1323" s="33" t="s">
        <v>5302</v>
      </c>
      <c r="I1323" s="33" t="s">
        <v>4155</v>
      </c>
      <c r="J1323" s="33">
        <v>2017</v>
      </c>
      <c r="K1323" s="34"/>
      <c r="L1323" s="34"/>
      <c r="M1323" s="33" t="s">
        <v>213</v>
      </c>
      <c r="N1323" s="37" t="s">
        <v>5303</v>
      </c>
      <c r="O1323" s="33" t="s">
        <v>5304</v>
      </c>
      <c r="P1323" s="33" t="s">
        <v>5305</v>
      </c>
      <c r="Q1323" s="33" t="s">
        <v>5306</v>
      </c>
      <c r="R1323" s="34"/>
      <c r="S1323" s="38"/>
      <c r="T1323" s="38" t="s">
        <v>12690</v>
      </c>
    </row>
    <row r="1324" spans="1:20" x14ac:dyDescent="0.25">
      <c r="A1324" s="33" t="s">
        <v>978</v>
      </c>
      <c r="B1324" s="33" t="s">
        <v>977</v>
      </c>
      <c r="C1324" s="33" t="s">
        <v>13</v>
      </c>
      <c r="D1324" s="33" t="s">
        <v>255</v>
      </c>
      <c r="E1324" s="33">
        <v>2022</v>
      </c>
      <c r="F1324" s="33">
        <v>48</v>
      </c>
      <c r="G1324" s="33">
        <v>12</v>
      </c>
      <c r="H1324" s="33" t="s">
        <v>6355</v>
      </c>
      <c r="I1324" s="34"/>
      <c r="J1324" s="35">
        <v>44896</v>
      </c>
      <c r="K1324" s="36"/>
      <c r="L1324" s="36"/>
      <c r="M1324" s="33" t="s">
        <v>6115</v>
      </c>
      <c r="N1324" s="37" t="s">
        <v>6356</v>
      </c>
      <c r="O1324" s="33" t="s">
        <v>981</v>
      </c>
      <c r="P1324" s="33" t="s">
        <v>6357</v>
      </c>
      <c r="Q1324" s="36"/>
      <c r="R1324" s="36"/>
      <c r="S1324" s="33" t="s">
        <v>6358</v>
      </c>
      <c r="T1324" s="38" t="s">
        <v>12688</v>
      </c>
    </row>
    <row r="1325" spans="1:20" x14ac:dyDescent="0.25">
      <c r="A1325" s="33" t="s">
        <v>978</v>
      </c>
      <c r="B1325" s="33" t="s">
        <v>977</v>
      </c>
      <c r="C1325" s="33" t="s">
        <v>13</v>
      </c>
      <c r="D1325" s="33" t="s">
        <v>255</v>
      </c>
      <c r="E1325" s="33">
        <v>2022</v>
      </c>
      <c r="F1325" s="33">
        <v>48</v>
      </c>
      <c r="G1325" s="33">
        <v>12</v>
      </c>
      <c r="H1325" s="33" t="s">
        <v>979</v>
      </c>
      <c r="I1325" s="33" t="s">
        <v>257</v>
      </c>
      <c r="J1325" s="33">
        <v>2022</v>
      </c>
      <c r="K1325" s="34"/>
      <c r="L1325" s="34"/>
      <c r="M1325" s="33" t="s">
        <v>18</v>
      </c>
      <c r="N1325" s="37" t="s">
        <v>980</v>
      </c>
      <c r="O1325" s="33" t="s">
        <v>981</v>
      </c>
      <c r="P1325" s="33" t="s">
        <v>982</v>
      </c>
      <c r="Q1325" s="33" t="s">
        <v>404</v>
      </c>
      <c r="R1325" s="34"/>
      <c r="S1325" s="38"/>
      <c r="T1325" s="38" t="s">
        <v>12690</v>
      </c>
    </row>
    <row r="1326" spans="1:20" x14ac:dyDescent="0.25">
      <c r="A1326" s="39" t="s">
        <v>10524</v>
      </c>
      <c r="B1326" s="39" t="s">
        <v>10526</v>
      </c>
      <c r="C1326" s="39" t="s">
        <v>9539</v>
      </c>
      <c r="D1326" s="36"/>
      <c r="E1326" s="39">
        <v>2020</v>
      </c>
      <c r="F1326" s="40"/>
      <c r="G1326" s="40"/>
      <c r="H1326" s="36"/>
      <c r="I1326" s="39" t="s">
        <v>10523</v>
      </c>
      <c r="J1326" s="36"/>
      <c r="K1326" s="36"/>
      <c r="L1326" s="36"/>
      <c r="M1326" s="34"/>
      <c r="N1326" s="41" t="s">
        <v>10527</v>
      </c>
      <c r="O1326" s="39" t="s">
        <v>10525</v>
      </c>
      <c r="P1326" s="33"/>
      <c r="Q1326" s="36"/>
      <c r="R1326" s="34"/>
      <c r="S1326" s="38"/>
      <c r="T1326" s="38" t="s">
        <v>12689</v>
      </c>
    </row>
    <row r="1327" spans="1:20" x14ac:dyDescent="0.25">
      <c r="A1327" s="33" t="s">
        <v>11922</v>
      </c>
      <c r="B1327" s="33" t="s">
        <v>11921</v>
      </c>
      <c r="C1327" s="33" t="s">
        <v>13</v>
      </c>
      <c r="D1327" s="33" t="s">
        <v>11061</v>
      </c>
      <c r="E1327" s="33">
        <v>2020</v>
      </c>
      <c r="F1327" s="33">
        <v>45</v>
      </c>
      <c r="G1327" s="33">
        <v>1</v>
      </c>
      <c r="H1327" s="33" t="s">
        <v>11923</v>
      </c>
      <c r="I1327" s="44" t="s">
        <v>12710</v>
      </c>
      <c r="J1327" s="43">
        <v>43831</v>
      </c>
      <c r="K1327" s="34"/>
      <c r="L1327" s="34"/>
      <c r="M1327" s="33" t="s">
        <v>11063</v>
      </c>
      <c r="N1327" s="37" t="s">
        <v>11924</v>
      </c>
      <c r="O1327" s="33" t="s">
        <v>11925</v>
      </c>
      <c r="P1327" s="33" t="s">
        <v>11926</v>
      </c>
      <c r="Q1327" s="36"/>
      <c r="R1327" s="36"/>
      <c r="S1327" s="34"/>
      <c r="T1327" s="33" t="s">
        <v>12692</v>
      </c>
    </row>
    <row r="1328" spans="1:20" x14ac:dyDescent="0.25">
      <c r="A1328" s="33" t="s">
        <v>12030</v>
      </c>
      <c r="B1328" s="33" t="s">
        <v>12029</v>
      </c>
      <c r="C1328" s="33" t="s">
        <v>13</v>
      </c>
      <c r="D1328" s="33" t="s">
        <v>11061</v>
      </c>
      <c r="E1328" s="33">
        <v>2023</v>
      </c>
      <c r="F1328" s="33">
        <v>48</v>
      </c>
      <c r="G1328" s="33">
        <v>1</v>
      </c>
      <c r="H1328" s="33" t="s">
        <v>12031</v>
      </c>
      <c r="I1328" s="44" t="s">
        <v>12710</v>
      </c>
      <c r="J1328" s="43">
        <v>44927</v>
      </c>
      <c r="K1328" s="34"/>
      <c r="L1328" s="34"/>
      <c r="M1328" s="33" t="s">
        <v>11063</v>
      </c>
      <c r="N1328" s="37" t="s">
        <v>12032</v>
      </c>
      <c r="O1328" s="33" t="s">
        <v>12033</v>
      </c>
      <c r="P1328" s="33" t="s">
        <v>12034</v>
      </c>
      <c r="Q1328" s="36"/>
      <c r="R1328" s="36"/>
      <c r="S1328" s="34"/>
      <c r="T1328" s="33" t="s">
        <v>12692</v>
      </c>
    </row>
    <row r="1329" spans="1:20" x14ac:dyDescent="0.25">
      <c r="A1329" s="33" t="s">
        <v>11528</v>
      </c>
      <c r="B1329" s="34"/>
      <c r="C1329" s="33" t="s">
        <v>539</v>
      </c>
      <c r="D1329" s="34"/>
      <c r="E1329" s="33">
        <v>2022</v>
      </c>
      <c r="F1329" s="34"/>
      <c r="G1329" s="34"/>
      <c r="H1329" s="34"/>
      <c r="I1329" s="44" t="s">
        <v>12710</v>
      </c>
      <c r="J1329" s="33">
        <v>2022</v>
      </c>
      <c r="K1329" s="33">
        <v>9781450394567</v>
      </c>
      <c r="L1329" s="34"/>
      <c r="M1329" s="34"/>
      <c r="N1329" s="34"/>
      <c r="O1329" s="34"/>
      <c r="P1329" s="33" t="s">
        <v>11529</v>
      </c>
      <c r="Q1329" s="36"/>
      <c r="R1329" s="36"/>
      <c r="S1329" s="34"/>
      <c r="T1329" s="33" t="s">
        <v>12692</v>
      </c>
    </row>
    <row r="1330" spans="1:20" x14ac:dyDescent="0.25">
      <c r="A1330" s="33" t="s">
        <v>8860</v>
      </c>
      <c r="B1330" s="33" t="s">
        <v>8859</v>
      </c>
      <c r="C1330" s="33" t="s">
        <v>13</v>
      </c>
      <c r="D1330" s="33" t="s">
        <v>307</v>
      </c>
      <c r="E1330" s="33">
        <v>2020</v>
      </c>
      <c r="F1330" s="33">
        <v>123</v>
      </c>
      <c r="G1330" s="36"/>
      <c r="H1330" s="33">
        <v>106225</v>
      </c>
      <c r="I1330" s="36"/>
      <c r="J1330" s="33">
        <v>2020</v>
      </c>
      <c r="K1330" s="34"/>
      <c r="L1330" s="34"/>
      <c r="M1330" s="33" t="s">
        <v>308</v>
      </c>
      <c r="N1330" s="37" t="s">
        <v>8861</v>
      </c>
      <c r="O1330" s="33" t="s">
        <v>8862</v>
      </c>
      <c r="P1330" s="33" t="s">
        <v>8863</v>
      </c>
      <c r="Q1330" s="36"/>
      <c r="R1330" s="36"/>
      <c r="S1330" s="33" t="s">
        <v>8864</v>
      </c>
      <c r="T1330" s="38" t="s">
        <v>12693</v>
      </c>
    </row>
    <row r="1331" spans="1:20" x14ac:dyDescent="0.25">
      <c r="A1331" s="33" t="s">
        <v>6606</v>
      </c>
      <c r="B1331" s="33" t="s">
        <v>6605</v>
      </c>
      <c r="C1331" s="33" t="s">
        <v>13</v>
      </c>
      <c r="D1331" s="33" t="s">
        <v>4637</v>
      </c>
      <c r="E1331" s="33">
        <v>2021</v>
      </c>
      <c r="F1331" s="33">
        <v>38</v>
      </c>
      <c r="G1331" s="33">
        <v>6</v>
      </c>
      <c r="H1331" s="33" t="s">
        <v>6607</v>
      </c>
      <c r="I1331" s="34"/>
      <c r="J1331" s="35">
        <v>44501</v>
      </c>
      <c r="K1331" s="36"/>
      <c r="L1331" s="36"/>
      <c r="M1331" s="33" t="s">
        <v>6207</v>
      </c>
      <c r="N1331" s="37" t="s">
        <v>6608</v>
      </c>
      <c r="O1331" s="33" t="s">
        <v>6609</v>
      </c>
      <c r="P1331" s="33" t="s">
        <v>6610</v>
      </c>
      <c r="Q1331" s="36"/>
      <c r="R1331" s="36"/>
      <c r="S1331" s="33" t="s">
        <v>6611</v>
      </c>
      <c r="T1331" s="38" t="s">
        <v>12688</v>
      </c>
    </row>
    <row r="1332" spans="1:20" x14ac:dyDescent="0.25">
      <c r="A1332" s="33" t="s">
        <v>1125</v>
      </c>
      <c r="B1332" s="33" t="s">
        <v>1124</v>
      </c>
      <c r="C1332" s="33" t="s">
        <v>13</v>
      </c>
      <c r="D1332" s="33" t="s">
        <v>255</v>
      </c>
      <c r="E1332" s="33">
        <v>2022</v>
      </c>
      <c r="F1332" s="34"/>
      <c r="G1332" s="34"/>
      <c r="H1332" s="33" t="s">
        <v>1126</v>
      </c>
      <c r="I1332" s="33" t="s">
        <v>257</v>
      </c>
      <c r="J1332" s="33">
        <v>2022</v>
      </c>
      <c r="K1332" s="34"/>
      <c r="L1332" s="34"/>
      <c r="M1332" s="33" t="s">
        <v>18</v>
      </c>
      <c r="N1332" s="37" t="s">
        <v>1127</v>
      </c>
      <c r="O1332" s="33" t="s">
        <v>1128</v>
      </c>
      <c r="P1332" s="33" t="s">
        <v>1129</v>
      </c>
      <c r="Q1332" s="33" t="s">
        <v>157</v>
      </c>
      <c r="R1332" s="34"/>
      <c r="S1332" s="38"/>
      <c r="T1332" s="38" t="s">
        <v>12690</v>
      </c>
    </row>
    <row r="1333" spans="1:20" x14ac:dyDescent="0.25">
      <c r="A1333" s="33" t="s">
        <v>1125</v>
      </c>
      <c r="B1333" s="33" t="s">
        <v>6389</v>
      </c>
      <c r="C1333" s="33" t="s">
        <v>13</v>
      </c>
      <c r="D1333" s="33" t="s">
        <v>255</v>
      </c>
      <c r="E1333" s="33">
        <v>2022</v>
      </c>
      <c r="F1333" s="34"/>
      <c r="G1333" s="34"/>
      <c r="H1333" s="42">
        <v>44945</v>
      </c>
      <c r="I1333" s="34"/>
      <c r="J1333" s="33">
        <v>2022</v>
      </c>
      <c r="K1333" s="36"/>
      <c r="L1333" s="36"/>
      <c r="M1333" s="33" t="s">
        <v>6115</v>
      </c>
      <c r="N1333" s="37" t="s">
        <v>6390</v>
      </c>
      <c r="O1333" s="33" t="s">
        <v>1128</v>
      </c>
      <c r="P1333" s="33" t="s">
        <v>6391</v>
      </c>
      <c r="Q1333" s="36"/>
      <c r="R1333" s="36"/>
      <c r="S1333" s="33" t="s">
        <v>6392</v>
      </c>
      <c r="T1333" s="38" t="s">
        <v>12688</v>
      </c>
    </row>
    <row r="1334" spans="1:20" x14ac:dyDescent="0.25">
      <c r="A1334" s="39" t="s">
        <v>10285</v>
      </c>
      <c r="B1334" s="39" t="s">
        <v>9906</v>
      </c>
      <c r="C1334" s="39" t="s">
        <v>9539</v>
      </c>
      <c r="D1334" s="36"/>
      <c r="E1334" s="39">
        <v>2021</v>
      </c>
      <c r="F1334" s="40"/>
      <c r="G1334" s="40"/>
      <c r="H1334" s="36"/>
      <c r="I1334" s="39" t="s">
        <v>9904</v>
      </c>
      <c r="J1334" s="36"/>
      <c r="K1334" s="36"/>
      <c r="L1334" s="36"/>
      <c r="M1334" s="34"/>
      <c r="N1334" s="41" t="s">
        <v>10287</v>
      </c>
      <c r="O1334" s="39" t="s">
        <v>10286</v>
      </c>
      <c r="P1334" s="33"/>
      <c r="Q1334" s="36"/>
      <c r="R1334" s="34"/>
      <c r="S1334" s="38"/>
      <c r="T1334" s="38" t="s">
        <v>12689</v>
      </c>
    </row>
    <row r="1335" spans="1:20" x14ac:dyDescent="0.25">
      <c r="A1335" s="33" t="s">
        <v>11759</v>
      </c>
      <c r="B1335" s="33" t="s">
        <v>5273</v>
      </c>
      <c r="C1335" s="33" t="s">
        <v>141</v>
      </c>
      <c r="D1335" s="34"/>
      <c r="E1335" s="33">
        <v>2013</v>
      </c>
      <c r="F1335" s="34"/>
      <c r="G1335" s="34"/>
      <c r="H1335" s="33" t="s">
        <v>11760</v>
      </c>
      <c r="I1335" s="44" t="s">
        <v>12787</v>
      </c>
      <c r="J1335" s="33">
        <v>2013</v>
      </c>
      <c r="K1335" s="33">
        <v>9781467364430</v>
      </c>
      <c r="L1335" s="33" t="s">
        <v>11764</v>
      </c>
      <c r="M1335" s="34"/>
      <c r="N1335" s="34"/>
      <c r="O1335" s="34"/>
      <c r="P1335" s="33" t="s">
        <v>11763</v>
      </c>
      <c r="Q1335" s="36"/>
      <c r="R1335" s="36"/>
      <c r="S1335" s="34"/>
      <c r="T1335" s="33" t="s">
        <v>12692</v>
      </c>
    </row>
    <row r="1336" spans="1:20" x14ac:dyDescent="0.25">
      <c r="A1336" s="33" t="s">
        <v>11759</v>
      </c>
      <c r="B1336" s="33" t="s">
        <v>5273</v>
      </c>
      <c r="C1336" s="33" t="s">
        <v>141</v>
      </c>
      <c r="D1336" s="34"/>
      <c r="E1336" s="33">
        <v>2013</v>
      </c>
      <c r="F1336" s="34"/>
      <c r="G1336" s="34"/>
      <c r="H1336" s="33" t="s">
        <v>4039</v>
      </c>
      <c r="I1336" s="33" t="s">
        <v>196</v>
      </c>
      <c r="J1336" s="33">
        <v>2013</v>
      </c>
      <c r="K1336" s="33">
        <v>9781467364430</v>
      </c>
      <c r="L1336" s="34"/>
      <c r="M1336" s="34"/>
      <c r="N1336" s="37" t="s">
        <v>5275</v>
      </c>
      <c r="O1336" s="33" t="s">
        <v>5276</v>
      </c>
      <c r="P1336" s="33" t="s">
        <v>5277</v>
      </c>
      <c r="Q1336" s="33" t="s">
        <v>3118</v>
      </c>
      <c r="R1336" s="34"/>
      <c r="S1336" s="38"/>
      <c r="T1336" s="38" t="s">
        <v>12690</v>
      </c>
    </row>
    <row r="1337" spans="1:20" x14ac:dyDescent="0.25">
      <c r="A1337" s="33" t="s">
        <v>3841</v>
      </c>
      <c r="B1337" s="33" t="s">
        <v>3840</v>
      </c>
      <c r="C1337" s="33" t="s">
        <v>141</v>
      </c>
      <c r="D1337" s="34"/>
      <c r="E1337" s="33">
        <v>2021</v>
      </c>
      <c r="F1337" s="33">
        <v>2978</v>
      </c>
      <c r="G1337" s="34"/>
      <c r="H1337" s="34"/>
      <c r="I1337" s="33" t="s">
        <v>613</v>
      </c>
      <c r="J1337" s="33">
        <v>2021</v>
      </c>
      <c r="K1337" s="34"/>
      <c r="L1337" s="34"/>
      <c r="M1337" s="33" t="s">
        <v>614</v>
      </c>
      <c r="N1337" s="37" t="s">
        <v>3842</v>
      </c>
      <c r="O1337" s="34"/>
      <c r="P1337" s="33" t="s">
        <v>3843</v>
      </c>
      <c r="Q1337" s="33" t="s">
        <v>157</v>
      </c>
      <c r="R1337" s="34"/>
      <c r="S1337" s="38"/>
      <c r="T1337" s="38" t="s">
        <v>12690</v>
      </c>
    </row>
    <row r="1338" spans="1:20" x14ac:dyDescent="0.25">
      <c r="A1338" s="39" t="s">
        <v>10911</v>
      </c>
      <c r="B1338" s="39" t="s">
        <v>10913</v>
      </c>
      <c r="C1338" s="39" t="s">
        <v>9539</v>
      </c>
      <c r="D1338" s="36"/>
      <c r="E1338" s="39">
        <v>2022</v>
      </c>
      <c r="F1338" s="40"/>
      <c r="G1338" s="40"/>
      <c r="H1338" s="36"/>
      <c r="I1338" s="39" t="s">
        <v>9481</v>
      </c>
      <c r="J1338" s="36"/>
      <c r="K1338" s="36"/>
      <c r="L1338" s="36"/>
      <c r="M1338" s="34"/>
      <c r="N1338" s="41" t="s">
        <v>10914</v>
      </c>
      <c r="O1338" s="39" t="s">
        <v>10912</v>
      </c>
      <c r="P1338" s="33"/>
      <c r="Q1338" s="36"/>
      <c r="R1338" s="34"/>
      <c r="S1338" s="38"/>
      <c r="T1338" s="38" t="s">
        <v>12689</v>
      </c>
    </row>
    <row r="1339" spans="1:20" x14ac:dyDescent="0.25">
      <c r="A1339" s="33" t="s">
        <v>7941</v>
      </c>
      <c r="B1339" s="33" t="s">
        <v>7940</v>
      </c>
      <c r="C1339" s="33" t="s">
        <v>13</v>
      </c>
      <c r="D1339" s="33" t="s">
        <v>4805</v>
      </c>
      <c r="E1339" s="33">
        <v>2022</v>
      </c>
      <c r="F1339" s="34"/>
      <c r="G1339" s="34"/>
      <c r="H1339" s="42">
        <v>44952</v>
      </c>
      <c r="I1339" s="34"/>
      <c r="J1339" s="33">
        <v>2022</v>
      </c>
      <c r="K1339" s="36"/>
      <c r="L1339" s="36"/>
      <c r="M1339" s="33" t="s">
        <v>7942</v>
      </c>
      <c r="N1339" s="37" t="s">
        <v>7943</v>
      </c>
      <c r="O1339" s="33" t="s">
        <v>7944</v>
      </c>
      <c r="P1339" s="33" t="s">
        <v>7945</v>
      </c>
      <c r="Q1339" s="36"/>
      <c r="R1339" s="36"/>
      <c r="S1339" s="33" t="s">
        <v>7946</v>
      </c>
      <c r="T1339" s="38" t="s">
        <v>12688</v>
      </c>
    </row>
    <row r="1340" spans="1:20" x14ac:dyDescent="0.25">
      <c r="A1340" s="39" t="s">
        <v>9984</v>
      </c>
      <c r="B1340" s="39" t="s">
        <v>9986</v>
      </c>
      <c r="C1340" s="39" t="s">
        <v>539</v>
      </c>
      <c r="D1340" s="36"/>
      <c r="E1340" s="39">
        <v>2022</v>
      </c>
      <c r="F1340" s="40"/>
      <c r="G1340" s="40"/>
      <c r="H1340" s="36"/>
      <c r="I1340" s="39" t="s">
        <v>676</v>
      </c>
      <c r="J1340" s="36"/>
      <c r="K1340" s="36"/>
      <c r="L1340" s="36"/>
      <c r="M1340" s="34"/>
      <c r="N1340" s="41" t="s">
        <v>9987</v>
      </c>
      <c r="O1340" s="39" t="s">
        <v>9985</v>
      </c>
      <c r="P1340" s="33"/>
      <c r="Q1340" s="36"/>
      <c r="R1340" s="34"/>
      <c r="S1340" s="38"/>
      <c r="T1340" s="38" t="s">
        <v>12689</v>
      </c>
    </row>
    <row r="1341" spans="1:20" x14ac:dyDescent="0.25">
      <c r="A1341" s="39" t="s">
        <v>10267</v>
      </c>
      <c r="B1341" s="39" t="s">
        <v>10269</v>
      </c>
      <c r="C1341" s="39" t="s">
        <v>539</v>
      </c>
      <c r="D1341" s="36"/>
      <c r="E1341" s="39">
        <v>2022</v>
      </c>
      <c r="F1341" s="40"/>
      <c r="G1341" s="40"/>
      <c r="H1341" s="36"/>
      <c r="I1341" s="39" t="s">
        <v>676</v>
      </c>
      <c r="J1341" s="36"/>
      <c r="K1341" s="36"/>
      <c r="L1341" s="36"/>
      <c r="M1341" s="34"/>
      <c r="N1341" s="41" t="s">
        <v>10270</v>
      </c>
      <c r="O1341" s="39" t="s">
        <v>10268</v>
      </c>
      <c r="P1341" s="33"/>
      <c r="Q1341" s="36"/>
      <c r="R1341" s="34"/>
      <c r="S1341" s="38"/>
      <c r="T1341" s="38" t="s">
        <v>12689</v>
      </c>
    </row>
    <row r="1342" spans="1:20" x14ac:dyDescent="0.25">
      <c r="A1342" s="33" t="s">
        <v>5287</v>
      </c>
      <c r="B1342" s="33" t="s">
        <v>5286</v>
      </c>
      <c r="C1342" s="33" t="s">
        <v>141</v>
      </c>
      <c r="D1342" s="34"/>
      <c r="E1342" s="33">
        <v>2015</v>
      </c>
      <c r="F1342" s="34"/>
      <c r="G1342" s="34"/>
      <c r="H1342" s="33" t="s">
        <v>5288</v>
      </c>
      <c r="I1342" s="33" t="s">
        <v>153</v>
      </c>
      <c r="J1342" s="33">
        <v>2015</v>
      </c>
      <c r="K1342" s="33">
        <v>9781450336758</v>
      </c>
      <c r="L1342" s="34"/>
      <c r="M1342" s="34"/>
      <c r="N1342" s="37" t="s">
        <v>5289</v>
      </c>
      <c r="O1342" s="33" t="s">
        <v>5290</v>
      </c>
      <c r="P1342" s="33" t="s">
        <v>5291</v>
      </c>
      <c r="Q1342" s="33" t="s">
        <v>5292</v>
      </c>
      <c r="R1342" s="34"/>
      <c r="S1342" s="38"/>
      <c r="T1342" s="38" t="s">
        <v>12690</v>
      </c>
    </row>
    <row r="1343" spans="1:20" x14ac:dyDescent="0.25">
      <c r="A1343" s="33" t="s">
        <v>12204</v>
      </c>
      <c r="B1343" s="33" t="s">
        <v>7289</v>
      </c>
      <c r="C1343" s="33" t="s">
        <v>141</v>
      </c>
      <c r="D1343" s="34"/>
      <c r="E1343" s="33">
        <v>2013</v>
      </c>
      <c r="F1343" s="34"/>
      <c r="G1343" s="34"/>
      <c r="H1343" s="33" t="s">
        <v>12205</v>
      </c>
      <c r="I1343" s="44" t="s">
        <v>12764</v>
      </c>
      <c r="J1343" s="33">
        <v>2013</v>
      </c>
      <c r="K1343" s="33">
        <v>9781467330763</v>
      </c>
      <c r="L1343" s="33" t="s">
        <v>12189</v>
      </c>
      <c r="M1343" s="34"/>
      <c r="N1343" s="34"/>
      <c r="O1343" s="34"/>
      <c r="P1343" s="33" t="s">
        <v>7294</v>
      </c>
      <c r="Q1343" s="36"/>
      <c r="R1343" s="36"/>
      <c r="S1343" s="34"/>
      <c r="T1343" s="33" t="s">
        <v>12692</v>
      </c>
    </row>
    <row r="1344" spans="1:20" x14ac:dyDescent="0.25">
      <c r="A1344" s="33" t="s">
        <v>12204</v>
      </c>
      <c r="B1344" s="33" t="s">
        <v>7289</v>
      </c>
      <c r="C1344" s="33" t="s">
        <v>141</v>
      </c>
      <c r="D1344" s="34"/>
      <c r="E1344" s="33">
        <v>2013</v>
      </c>
      <c r="F1344" s="34"/>
      <c r="G1344" s="34"/>
      <c r="H1344" s="33" t="s">
        <v>7291</v>
      </c>
      <c r="I1344" s="33" t="s">
        <v>6745</v>
      </c>
      <c r="J1344" s="43">
        <v>41395</v>
      </c>
      <c r="K1344" s="36"/>
      <c r="L1344" s="36"/>
      <c r="M1344" s="33" t="s">
        <v>6336</v>
      </c>
      <c r="N1344" s="37" t="s">
        <v>7292</v>
      </c>
      <c r="O1344" s="33" t="s">
        <v>7293</v>
      </c>
      <c r="P1344" s="33" t="s">
        <v>7294</v>
      </c>
      <c r="Q1344" s="36"/>
      <c r="R1344" s="36"/>
      <c r="S1344" s="33" t="s">
        <v>7295</v>
      </c>
      <c r="T1344" s="38" t="s">
        <v>12688</v>
      </c>
    </row>
    <row r="1345" spans="1:22" x14ac:dyDescent="0.25">
      <c r="A1345" s="33" t="s">
        <v>1904</v>
      </c>
      <c r="B1345" s="33" t="s">
        <v>1903</v>
      </c>
      <c r="C1345" s="33" t="s">
        <v>141</v>
      </c>
      <c r="D1345" s="34"/>
      <c r="E1345" s="33">
        <v>2021</v>
      </c>
      <c r="F1345" s="34"/>
      <c r="G1345" s="34"/>
      <c r="H1345" s="33" t="s">
        <v>1905</v>
      </c>
      <c r="I1345" s="33" t="s">
        <v>196</v>
      </c>
      <c r="J1345" s="33">
        <v>2021</v>
      </c>
      <c r="K1345" s="33">
        <v>9780738113197</v>
      </c>
      <c r="L1345" s="34"/>
      <c r="M1345" s="33" t="s">
        <v>1458</v>
      </c>
      <c r="N1345" s="37" t="s">
        <v>1906</v>
      </c>
      <c r="O1345" s="33" t="s">
        <v>1907</v>
      </c>
      <c r="P1345" s="33" t="s">
        <v>1908</v>
      </c>
      <c r="Q1345" s="33" t="s">
        <v>1598</v>
      </c>
      <c r="R1345" s="34"/>
      <c r="S1345" s="38"/>
      <c r="T1345" s="38" t="s">
        <v>12690</v>
      </c>
    </row>
    <row r="1346" spans="1:22" x14ac:dyDescent="0.25">
      <c r="A1346" s="33" t="s">
        <v>6068</v>
      </c>
      <c r="B1346" s="33" t="s">
        <v>6067</v>
      </c>
      <c r="C1346" s="33" t="s">
        <v>13</v>
      </c>
      <c r="D1346" s="33" t="s">
        <v>255</v>
      </c>
      <c r="E1346" s="33">
        <v>2018</v>
      </c>
      <c r="F1346" s="33">
        <v>44</v>
      </c>
      <c r="G1346" s="33">
        <v>2</v>
      </c>
      <c r="H1346" s="33" t="s">
        <v>6069</v>
      </c>
      <c r="I1346" s="33" t="s">
        <v>257</v>
      </c>
      <c r="J1346" s="33">
        <v>2018</v>
      </c>
      <c r="K1346" s="34"/>
      <c r="L1346" s="34"/>
      <c r="M1346" s="33" t="s">
        <v>18</v>
      </c>
      <c r="N1346" s="37" t="s">
        <v>6070</v>
      </c>
      <c r="O1346" s="33" t="s">
        <v>6071</v>
      </c>
      <c r="P1346" s="33" t="s">
        <v>6072</v>
      </c>
      <c r="Q1346" s="33" t="s">
        <v>6073</v>
      </c>
      <c r="R1346" s="34"/>
      <c r="S1346" s="38"/>
      <c r="T1346" s="38" t="s">
        <v>12690</v>
      </c>
    </row>
    <row r="1347" spans="1:22" x14ac:dyDescent="0.25">
      <c r="A1347" s="33" t="s">
        <v>6907</v>
      </c>
      <c r="B1347" s="33" t="s">
        <v>6906</v>
      </c>
      <c r="C1347" s="33" t="s">
        <v>141</v>
      </c>
      <c r="D1347" s="34"/>
      <c r="E1347" s="33">
        <v>2016</v>
      </c>
      <c r="F1347" s="34"/>
      <c r="G1347" s="34"/>
      <c r="H1347" s="33" t="s">
        <v>11687</v>
      </c>
      <c r="I1347" s="44" t="s">
        <v>12788</v>
      </c>
      <c r="J1347" s="33">
        <v>2016</v>
      </c>
      <c r="K1347" s="33">
        <v>9781450341653</v>
      </c>
      <c r="L1347" s="33" t="s">
        <v>11692</v>
      </c>
      <c r="M1347" s="34"/>
      <c r="N1347" s="37" t="s">
        <v>11689</v>
      </c>
      <c r="O1347" s="33" t="s">
        <v>6910</v>
      </c>
      <c r="P1347" s="33" t="s">
        <v>11690</v>
      </c>
      <c r="Q1347" s="36"/>
      <c r="R1347" s="36"/>
      <c r="S1347" s="33" t="s">
        <v>11691</v>
      </c>
      <c r="T1347" s="33" t="s">
        <v>12692</v>
      </c>
    </row>
    <row r="1348" spans="1:22" x14ac:dyDescent="0.25">
      <c r="A1348" s="33" t="s">
        <v>6907</v>
      </c>
      <c r="B1348" s="33" t="s">
        <v>6906</v>
      </c>
      <c r="C1348" s="33" t="s">
        <v>141</v>
      </c>
      <c r="D1348" s="34"/>
      <c r="E1348" s="33">
        <v>2016</v>
      </c>
      <c r="F1348" s="34"/>
      <c r="G1348" s="34"/>
      <c r="H1348" s="42">
        <v>44933</v>
      </c>
      <c r="I1348" s="33" t="s">
        <v>6908</v>
      </c>
      <c r="J1348" s="43">
        <v>42491</v>
      </c>
      <c r="K1348" s="36"/>
      <c r="L1348" s="36"/>
      <c r="M1348" s="34"/>
      <c r="N1348" s="37" t="s">
        <v>6909</v>
      </c>
      <c r="O1348" s="33" t="s">
        <v>6910</v>
      </c>
      <c r="P1348" s="33" t="s">
        <v>6911</v>
      </c>
      <c r="Q1348" s="36"/>
      <c r="R1348" s="36"/>
      <c r="S1348" s="33" t="s">
        <v>6912</v>
      </c>
      <c r="T1348" s="38" t="s">
        <v>12688</v>
      </c>
    </row>
    <row r="1349" spans="1:22" x14ac:dyDescent="0.25">
      <c r="A1349" s="39" t="s">
        <v>11013</v>
      </c>
      <c r="B1349" s="39" t="s">
        <v>11015</v>
      </c>
      <c r="C1349" s="39" t="s">
        <v>539</v>
      </c>
      <c r="D1349" s="36"/>
      <c r="E1349" s="39">
        <v>2019</v>
      </c>
      <c r="F1349" s="40"/>
      <c r="G1349" s="40"/>
      <c r="H1349" s="36"/>
      <c r="I1349" s="40"/>
      <c r="J1349" s="36"/>
      <c r="K1349" s="36"/>
      <c r="L1349" s="36"/>
      <c r="M1349" s="34"/>
      <c r="N1349" s="41" t="s">
        <v>11016</v>
      </c>
      <c r="O1349" s="39" t="s">
        <v>11014</v>
      </c>
      <c r="P1349" s="33"/>
      <c r="Q1349" s="36"/>
      <c r="R1349" s="34"/>
      <c r="S1349" s="38"/>
      <c r="T1349" s="38" t="s">
        <v>12689</v>
      </c>
    </row>
    <row r="1350" spans="1:22" x14ac:dyDescent="0.25">
      <c r="A1350" s="39" t="s">
        <v>9499</v>
      </c>
      <c r="B1350" s="39" t="s">
        <v>9501</v>
      </c>
      <c r="C1350" s="39" t="s">
        <v>539</v>
      </c>
      <c r="D1350" s="36"/>
      <c r="E1350" s="39">
        <v>2022</v>
      </c>
      <c r="F1350" s="40"/>
      <c r="G1350" s="40"/>
      <c r="H1350" s="36"/>
      <c r="I1350" s="39" t="s">
        <v>462</v>
      </c>
      <c r="J1350" s="36"/>
      <c r="K1350" s="36"/>
      <c r="L1350" s="36"/>
      <c r="M1350" s="34"/>
      <c r="N1350" s="41" t="s">
        <v>9502</v>
      </c>
      <c r="O1350" s="39" t="s">
        <v>9500</v>
      </c>
      <c r="P1350" s="33"/>
      <c r="Q1350" s="36"/>
      <c r="R1350" s="34"/>
      <c r="S1350" s="38"/>
      <c r="T1350" s="38" t="s">
        <v>12689</v>
      </c>
    </row>
    <row r="1351" spans="1:22" x14ac:dyDescent="0.25">
      <c r="A1351" s="33" t="s">
        <v>1586</v>
      </c>
      <c r="B1351" s="33" t="s">
        <v>1166</v>
      </c>
      <c r="C1351" s="33" t="s">
        <v>141</v>
      </c>
      <c r="D1351" s="34"/>
      <c r="E1351" s="33">
        <v>2022</v>
      </c>
      <c r="F1351" s="34"/>
      <c r="G1351" s="34"/>
      <c r="H1351" s="33" t="s">
        <v>1587</v>
      </c>
      <c r="I1351" s="33" t="s">
        <v>257</v>
      </c>
      <c r="J1351" s="33">
        <v>2022</v>
      </c>
      <c r="K1351" s="33">
        <v>9781450392754</v>
      </c>
      <c r="L1351" s="34"/>
      <c r="M1351" s="34"/>
      <c r="N1351" s="37" t="s">
        <v>1588</v>
      </c>
      <c r="O1351" s="33" t="s">
        <v>1589</v>
      </c>
      <c r="P1351" s="33" t="s">
        <v>1590</v>
      </c>
      <c r="Q1351" s="33" t="s">
        <v>1591</v>
      </c>
      <c r="R1351" s="34"/>
      <c r="S1351" s="38"/>
      <c r="T1351" s="38" t="s">
        <v>12690</v>
      </c>
    </row>
    <row r="1352" spans="1:22" x14ac:dyDescent="0.25">
      <c r="A1352" s="33" t="s">
        <v>4184</v>
      </c>
      <c r="B1352" s="33" t="s">
        <v>4183</v>
      </c>
      <c r="C1352" s="33" t="s">
        <v>141</v>
      </c>
      <c r="D1352" s="34"/>
      <c r="E1352" s="33">
        <v>2020</v>
      </c>
      <c r="F1352" s="33">
        <v>1691</v>
      </c>
      <c r="G1352" s="34"/>
      <c r="H1352" s="34"/>
      <c r="I1352" s="33" t="s">
        <v>2437</v>
      </c>
      <c r="J1352" s="33">
        <v>2020</v>
      </c>
      <c r="K1352" s="34"/>
      <c r="L1352" s="34"/>
      <c r="M1352" s="33" t="s">
        <v>2438</v>
      </c>
      <c r="N1352" s="37" t="s">
        <v>4185</v>
      </c>
      <c r="O1352" s="33" t="s">
        <v>4186</v>
      </c>
      <c r="P1352" s="33" t="s">
        <v>4187</v>
      </c>
      <c r="Q1352" s="33" t="s">
        <v>568</v>
      </c>
      <c r="R1352" s="34"/>
      <c r="S1352" s="38"/>
      <c r="T1352" s="38" t="s">
        <v>12690</v>
      </c>
    </row>
    <row r="1353" spans="1:22" x14ac:dyDescent="0.25">
      <c r="A1353" s="33" t="s">
        <v>9225</v>
      </c>
      <c r="B1353" s="33" t="s">
        <v>9224</v>
      </c>
      <c r="C1353" s="33" t="s">
        <v>13</v>
      </c>
      <c r="D1353" s="33" t="s">
        <v>9226</v>
      </c>
      <c r="E1353" s="33">
        <v>2023</v>
      </c>
      <c r="F1353" s="33">
        <v>11</v>
      </c>
      <c r="G1353" s="36"/>
      <c r="H1353" s="33">
        <v>100208</v>
      </c>
      <c r="I1353" s="36"/>
      <c r="J1353" s="33">
        <v>2023</v>
      </c>
      <c r="K1353" s="34"/>
      <c r="L1353" s="34"/>
      <c r="M1353" s="33" t="s">
        <v>9227</v>
      </c>
      <c r="N1353" s="37" t="s">
        <v>9228</v>
      </c>
      <c r="O1353" s="33" t="s">
        <v>9229</v>
      </c>
      <c r="P1353" s="33" t="s">
        <v>9230</v>
      </c>
      <c r="Q1353" s="36"/>
      <c r="R1353" s="36"/>
      <c r="S1353" s="33" t="s">
        <v>9231</v>
      </c>
      <c r="T1353" s="38" t="s">
        <v>12693</v>
      </c>
    </row>
    <row r="1354" spans="1:22" x14ac:dyDescent="0.25">
      <c r="A1354" s="33" t="s">
        <v>5703</v>
      </c>
      <c r="B1354" s="33" t="s">
        <v>5702</v>
      </c>
      <c r="C1354" s="33" t="s">
        <v>141</v>
      </c>
      <c r="D1354" s="34"/>
      <c r="E1354" s="33">
        <v>2018</v>
      </c>
      <c r="F1354" s="34"/>
      <c r="G1354" s="34"/>
      <c r="H1354" s="33" t="s">
        <v>6836</v>
      </c>
      <c r="I1354" s="33" t="s">
        <v>6837</v>
      </c>
      <c r="J1354" s="43">
        <v>43344</v>
      </c>
      <c r="K1354" s="36"/>
      <c r="L1354" s="36"/>
      <c r="M1354" s="33" t="s">
        <v>6838</v>
      </c>
      <c r="N1354" s="37" t="s">
        <v>6839</v>
      </c>
      <c r="O1354" s="33" t="s">
        <v>5706</v>
      </c>
      <c r="P1354" s="33" t="s">
        <v>6840</v>
      </c>
      <c r="Q1354" s="36"/>
      <c r="R1354" s="36"/>
      <c r="S1354" s="33" t="s">
        <v>6841</v>
      </c>
      <c r="T1354" s="38" t="s">
        <v>12688</v>
      </c>
    </row>
    <row r="1355" spans="1:22" x14ac:dyDescent="0.25">
      <c r="A1355" s="33" t="s">
        <v>5703</v>
      </c>
      <c r="B1355" s="33" t="s">
        <v>5702</v>
      </c>
      <c r="C1355" s="33" t="s">
        <v>141</v>
      </c>
      <c r="D1355" s="34"/>
      <c r="E1355" s="33">
        <v>2018</v>
      </c>
      <c r="F1355" s="34"/>
      <c r="G1355" s="34"/>
      <c r="H1355" s="33" t="s">
        <v>5704</v>
      </c>
      <c r="I1355" s="33" t="s">
        <v>257</v>
      </c>
      <c r="J1355" s="33">
        <v>2018</v>
      </c>
      <c r="K1355" s="33">
        <v>9781538670972</v>
      </c>
      <c r="L1355" s="34"/>
      <c r="M1355" s="34"/>
      <c r="N1355" s="37" t="s">
        <v>5705</v>
      </c>
      <c r="O1355" s="33" t="s">
        <v>5706</v>
      </c>
      <c r="P1355" s="33" t="s">
        <v>5707</v>
      </c>
      <c r="Q1355" s="33" t="s">
        <v>5708</v>
      </c>
      <c r="R1355" s="34"/>
      <c r="S1355" s="38"/>
      <c r="T1355" s="38" t="s">
        <v>12690</v>
      </c>
      <c r="U1355" s="18"/>
      <c r="V1355" s="18"/>
    </row>
    <row r="1356" spans="1:22" x14ac:dyDescent="0.25">
      <c r="A1356" s="33" t="s">
        <v>1678</v>
      </c>
      <c r="B1356" s="33" t="s">
        <v>1677</v>
      </c>
      <c r="C1356" s="33" t="s">
        <v>13</v>
      </c>
      <c r="D1356" s="33" t="s">
        <v>676</v>
      </c>
      <c r="E1356" s="33">
        <v>2022</v>
      </c>
      <c r="F1356" s="33" t="s">
        <v>1679</v>
      </c>
      <c r="G1356" s="34"/>
      <c r="H1356" s="33" t="s">
        <v>1680</v>
      </c>
      <c r="I1356" s="33" t="s">
        <v>212</v>
      </c>
      <c r="J1356" s="33">
        <v>2022</v>
      </c>
      <c r="K1356" s="34"/>
      <c r="L1356" s="34"/>
      <c r="M1356" s="33" t="s">
        <v>679</v>
      </c>
      <c r="N1356" s="37" t="s">
        <v>1681</v>
      </c>
      <c r="O1356" s="33" t="s">
        <v>1682</v>
      </c>
      <c r="P1356" s="33" t="s">
        <v>1683</v>
      </c>
      <c r="Q1356" s="33" t="s">
        <v>176</v>
      </c>
      <c r="R1356" s="34"/>
      <c r="S1356" s="38"/>
      <c r="T1356" s="38" t="s">
        <v>12690</v>
      </c>
      <c r="U1356" s="18"/>
      <c r="V1356" s="18"/>
    </row>
    <row r="1357" spans="1:22" x14ac:dyDescent="0.25">
      <c r="A1357" s="33" t="s">
        <v>3474</v>
      </c>
      <c r="B1357" s="33" t="s">
        <v>3473</v>
      </c>
      <c r="C1357" s="33" t="s">
        <v>13</v>
      </c>
      <c r="D1357" s="33" t="s">
        <v>3475</v>
      </c>
      <c r="E1357" s="33">
        <v>2021</v>
      </c>
      <c r="F1357" s="33" t="s">
        <v>3476</v>
      </c>
      <c r="G1357" s="34"/>
      <c r="H1357" s="33" t="s">
        <v>3477</v>
      </c>
      <c r="I1357" s="33" t="s">
        <v>212</v>
      </c>
      <c r="J1357" s="33">
        <v>2021</v>
      </c>
      <c r="K1357" s="34"/>
      <c r="L1357" s="34"/>
      <c r="M1357" s="33" t="s">
        <v>3478</v>
      </c>
      <c r="N1357" s="37" t="s">
        <v>3479</v>
      </c>
      <c r="O1357" s="33" t="s">
        <v>3480</v>
      </c>
      <c r="P1357" s="33" t="s">
        <v>3481</v>
      </c>
      <c r="Q1357" s="33" t="s">
        <v>318</v>
      </c>
      <c r="R1357" s="34"/>
      <c r="S1357" s="38"/>
      <c r="T1357" s="38" t="s">
        <v>12690</v>
      </c>
      <c r="U1357" s="14"/>
      <c r="V1357" s="18"/>
    </row>
    <row r="1358" spans="1:22" x14ac:dyDescent="0.25">
      <c r="A1358" s="33" t="s">
        <v>12432</v>
      </c>
      <c r="B1358" s="33" t="s">
        <v>12431</v>
      </c>
      <c r="C1358" s="33" t="s">
        <v>13</v>
      </c>
      <c r="D1358" s="33" t="s">
        <v>11246</v>
      </c>
      <c r="E1358" s="33">
        <v>2021</v>
      </c>
      <c r="F1358" s="33">
        <v>31</v>
      </c>
      <c r="G1358" s="33">
        <v>1</v>
      </c>
      <c r="H1358" s="34"/>
      <c r="I1358" s="44" t="s">
        <v>12710</v>
      </c>
      <c r="J1358" s="43">
        <v>44440</v>
      </c>
      <c r="K1358" s="34"/>
      <c r="L1358" s="34"/>
      <c r="M1358" s="33" t="s">
        <v>329</v>
      </c>
      <c r="N1358" s="37" t="s">
        <v>12433</v>
      </c>
      <c r="O1358" s="33" t="s">
        <v>12434</v>
      </c>
      <c r="P1358" s="33" t="s">
        <v>12435</v>
      </c>
      <c r="Q1358" s="36"/>
      <c r="R1358" s="36"/>
      <c r="S1358" s="33" t="s">
        <v>12436</v>
      </c>
      <c r="T1358" s="33" t="s">
        <v>12692</v>
      </c>
      <c r="U1358" s="18"/>
      <c r="V1358" s="18"/>
    </row>
    <row r="1359" spans="1:22" x14ac:dyDescent="0.25">
      <c r="A1359" s="33" t="s">
        <v>2178</v>
      </c>
      <c r="B1359" s="33" t="s">
        <v>2177</v>
      </c>
      <c r="C1359" s="33" t="s">
        <v>13</v>
      </c>
      <c r="D1359" s="33" t="s">
        <v>2179</v>
      </c>
      <c r="E1359" s="33">
        <v>2022</v>
      </c>
      <c r="F1359" s="33">
        <v>7</v>
      </c>
      <c r="G1359" s="34"/>
      <c r="H1359" s="34"/>
      <c r="I1359" s="33" t="s">
        <v>2180</v>
      </c>
      <c r="J1359" s="33">
        <v>2022</v>
      </c>
      <c r="K1359" s="34"/>
      <c r="L1359" s="34"/>
      <c r="M1359" s="33" t="s">
        <v>2181</v>
      </c>
      <c r="N1359" s="37" t="s">
        <v>2182</v>
      </c>
      <c r="O1359" s="33" t="s">
        <v>2183</v>
      </c>
      <c r="P1359" s="33" t="s">
        <v>2184</v>
      </c>
      <c r="Q1359" s="33" t="s">
        <v>2185</v>
      </c>
      <c r="R1359" s="34"/>
      <c r="S1359" s="38"/>
      <c r="T1359" s="38" t="s">
        <v>12690</v>
      </c>
      <c r="U1359" s="18"/>
      <c r="V1359" s="18"/>
    </row>
    <row r="1360" spans="1:22" x14ac:dyDescent="0.25">
      <c r="A1360" s="39" t="s">
        <v>10282</v>
      </c>
      <c r="B1360" s="39" t="s">
        <v>9397</v>
      </c>
      <c r="C1360" s="39" t="s">
        <v>9539</v>
      </c>
      <c r="D1360" s="36"/>
      <c r="E1360" s="39">
        <v>2022</v>
      </c>
      <c r="F1360" s="40"/>
      <c r="G1360" s="40"/>
      <c r="H1360" s="36"/>
      <c r="I1360" s="39" t="s">
        <v>9395</v>
      </c>
      <c r="J1360" s="36"/>
      <c r="K1360" s="36"/>
      <c r="L1360" s="36"/>
      <c r="M1360" s="34"/>
      <c r="N1360" s="41" t="s">
        <v>10284</v>
      </c>
      <c r="O1360" s="39" t="s">
        <v>10283</v>
      </c>
      <c r="P1360" s="33"/>
      <c r="Q1360" s="36"/>
      <c r="R1360" s="34"/>
      <c r="S1360" s="38"/>
      <c r="T1360" s="38" t="s">
        <v>12689</v>
      </c>
      <c r="U1360" s="18"/>
      <c r="V1360" s="18"/>
    </row>
    <row r="1361" spans="1:22" x14ac:dyDescent="0.25">
      <c r="A1361" s="33" t="s">
        <v>7618</v>
      </c>
      <c r="B1361" s="33" t="s">
        <v>7617</v>
      </c>
      <c r="C1361" s="33" t="s">
        <v>13</v>
      </c>
      <c r="D1361" s="33" t="s">
        <v>4637</v>
      </c>
      <c r="E1361" s="33">
        <v>2017</v>
      </c>
      <c r="F1361" s="33">
        <v>34</v>
      </c>
      <c r="G1361" s="33">
        <v>2</v>
      </c>
      <c r="H1361" s="33" t="s">
        <v>7619</v>
      </c>
      <c r="I1361" s="34"/>
      <c r="J1361" s="43">
        <v>42795</v>
      </c>
      <c r="K1361" s="36"/>
      <c r="L1361" s="36"/>
      <c r="M1361" s="33" t="s">
        <v>6207</v>
      </c>
      <c r="N1361" s="37" t="s">
        <v>7620</v>
      </c>
      <c r="O1361" s="33" t="s">
        <v>7621</v>
      </c>
      <c r="P1361" s="33" t="s">
        <v>7622</v>
      </c>
      <c r="Q1361" s="36"/>
      <c r="R1361" s="36"/>
      <c r="S1361" s="33" t="s">
        <v>7623</v>
      </c>
      <c r="T1361" s="38" t="s">
        <v>12688</v>
      </c>
      <c r="U1361" s="18"/>
      <c r="V1361" s="18"/>
    </row>
    <row r="1362" spans="1:22" x14ac:dyDescent="0.25">
      <c r="A1362" s="33" t="s">
        <v>8501</v>
      </c>
      <c r="B1362" s="33" t="s">
        <v>8500</v>
      </c>
      <c r="C1362" s="33" t="s">
        <v>13</v>
      </c>
      <c r="D1362" s="33" t="s">
        <v>8502</v>
      </c>
      <c r="E1362" s="33">
        <v>2022</v>
      </c>
      <c r="F1362" s="33">
        <v>9</v>
      </c>
      <c r="G1362" s="36"/>
      <c r="H1362" s="33">
        <v>100316</v>
      </c>
      <c r="I1362" s="36"/>
      <c r="J1362" s="33">
        <v>2022</v>
      </c>
      <c r="K1362" s="34"/>
      <c r="L1362" s="34"/>
      <c r="M1362" s="33" t="s">
        <v>8503</v>
      </c>
      <c r="N1362" s="37" t="s">
        <v>8504</v>
      </c>
      <c r="O1362" s="33" t="s">
        <v>8505</v>
      </c>
      <c r="P1362" s="33" t="s">
        <v>8506</v>
      </c>
      <c r="Q1362" s="36"/>
      <c r="R1362" s="36"/>
      <c r="S1362" s="33" t="s">
        <v>8507</v>
      </c>
      <c r="T1362" s="38" t="s">
        <v>12693</v>
      </c>
      <c r="U1362" s="18"/>
      <c r="V1362" s="18"/>
    </row>
    <row r="1363" spans="1:22" x14ac:dyDescent="0.25">
      <c r="A1363" s="33" t="s">
        <v>8999</v>
      </c>
      <c r="B1363" s="33" t="s">
        <v>8998</v>
      </c>
      <c r="C1363" s="33" t="s">
        <v>13</v>
      </c>
      <c r="D1363" s="33" t="s">
        <v>354</v>
      </c>
      <c r="E1363" s="33">
        <v>2021</v>
      </c>
      <c r="F1363" s="33">
        <v>178</v>
      </c>
      <c r="G1363" s="36"/>
      <c r="H1363" s="33">
        <v>110969</v>
      </c>
      <c r="I1363" s="36"/>
      <c r="J1363" s="33">
        <v>2021</v>
      </c>
      <c r="K1363" s="34"/>
      <c r="L1363" s="34"/>
      <c r="M1363" s="33" t="s">
        <v>65</v>
      </c>
      <c r="N1363" s="37" t="s">
        <v>9000</v>
      </c>
      <c r="O1363" s="33" t="s">
        <v>9001</v>
      </c>
      <c r="P1363" s="33" t="s">
        <v>9002</v>
      </c>
      <c r="Q1363" s="36"/>
      <c r="R1363" s="36"/>
      <c r="S1363" s="33" t="s">
        <v>9003</v>
      </c>
      <c r="T1363" s="38" t="s">
        <v>12693</v>
      </c>
      <c r="U1363" s="18"/>
      <c r="V1363" s="18"/>
    </row>
    <row r="1364" spans="1:22" x14ac:dyDescent="0.25">
      <c r="A1364" s="33" t="s">
        <v>470</v>
      </c>
      <c r="B1364" s="33" t="s">
        <v>469</v>
      </c>
      <c r="C1364" s="33" t="s">
        <v>141</v>
      </c>
      <c r="D1364" s="34"/>
      <c r="E1364" s="33">
        <v>2022</v>
      </c>
      <c r="F1364" s="34"/>
      <c r="G1364" s="34"/>
      <c r="H1364" s="33" t="s">
        <v>471</v>
      </c>
      <c r="I1364" s="33" t="s">
        <v>145</v>
      </c>
      <c r="J1364" s="33">
        <v>2022</v>
      </c>
      <c r="K1364" s="33">
        <v>9781450397254</v>
      </c>
      <c r="L1364" s="34"/>
      <c r="M1364" s="34"/>
      <c r="N1364" s="37" t="s">
        <v>472</v>
      </c>
      <c r="O1364" s="33" t="s">
        <v>473</v>
      </c>
      <c r="P1364" s="33" t="s">
        <v>474</v>
      </c>
      <c r="Q1364" s="33" t="s">
        <v>157</v>
      </c>
      <c r="R1364" s="34"/>
      <c r="S1364" s="38"/>
      <c r="T1364" s="38" t="s">
        <v>12690</v>
      </c>
      <c r="U1364" s="18"/>
      <c r="V1364" s="18"/>
    </row>
    <row r="1365" spans="1:22" x14ac:dyDescent="0.25">
      <c r="A1365" s="33" t="s">
        <v>4080</v>
      </c>
      <c r="B1365" s="33" t="s">
        <v>1226</v>
      </c>
      <c r="C1365" s="33" t="s">
        <v>141</v>
      </c>
      <c r="D1365" s="34"/>
      <c r="E1365" s="33">
        <v>2020</v>
      </c>
      <c r="F1365" s="34"/>
      <c r="G1365" s="34"/>
      <c r="H1365" s="33" t="s">
        <v>4081</v>
      </c>
      <c r="I1365" s="33" t="s">
        <v>145</v>
      </c>
      <c r="J1365" s="33">
        <v>2020</v>
      </c>
      <c r="K1365" s="33">
        <v>9781450377317</v>
      </c>
      <c r="L1365" s="34"/>
      <c r="M1365" s="34"/>
      <c r="N1365" s="37" t="s">
        <v>4082</v>
      </c>
      <c r="O1365" s="33" t="s">
        <v>4083</v>
      </c>
      <c r="P1365" s="33" t="s">
        <v>4084</v>
      </c>
      <c r="Q1365" s="33" t="s">
        <v>1573</v>
      </c>
      <c r="R1365" s="34"/>
      <c r="S1365" s="38"/>
      <c r="T1365" s="38" t="s">
        <v>12690</v>
      </c>
      <c r="U1365" s="18"/>
      <c r="V1365" s="18"/>
    </row>
    <row r="1366" spans="1:22" x14ac:dyDescent="0.25">
      <c r="A1366" s="33" t="s">
        <v>2250</v>
      </c>
      <c r="B1366" s="33" t="s">
        <v>1747</v>
      </c>
      <c r="C1366" s="33" t="s">
        <v>141</v>
      </c>
      <c r="D1366" s="34"/>
      <c r="E1366" s="33">
        <v>2022</v>
      </c>
      <c r="F1366" s="34"/>
      <c r="G1366" s="34"/>
      <c r="H1366" s="33" t="s">
        <v>6665</v>
      </c>
      <c r="I1366" s="33" t="s">
        <v>6550</v>
      </c>
      <c r="J1366" s="43">
        <v>44682</v>
      </c>
      <c r="K1366" s="36"/>
      <c r="L1366" s="36"/>
      <c r="M1366" s="34"/>
      <c r="N1366" s="37" t="s">
        <v>6666</v>
      </c>
      <c r="O1366" s="33" t="s">
        <v>2253</v>
      </c>
      <c r="P1366" s="33" t="s">
        <v>6667</v>
      </c>
      <c r="Q1366" s="36"/>
      <c r="R1366" s="36"/>
      <c r="S1366" s="33" t="s">
        <v>6668</v>
      </c>
      <c r="T1366" s="38" t="s">
        <v>12688</v>
      </c>
      <c r="U1366" s="18"/>
      <c r="V1366" s="18"/>
    </row>
    <row r="1367" spans="1:22" x14ac:dyDescent="0.25">
      <c r="A1367" s="33" t="s">
        <v>2250</v>
      </c>
      <c r="B1367" s="33" t="s">
        <v>1747</v>
      </c>
      <c r="C1367" s="33" t="s">
        <v>141</v>
      </c>
      <c r="D1367" s="34"/>
      <c r="E1367" s="33">
        <v>2022</v>
      </c>
      <c r="F1367" s="34"/>
      <c r="G1367" s="34"/>
      <c r="H1367" s="33" t="s">
        <v>2251</v>
      </c>
      <c r="I1367" s="33" t="s">
        <v>257</v>
      </c>
      <c r="J1367" s="33">
        <v>2022</v>
      </c>
      <c r="K1367" s="33">
        <v>9781450393195</v>
      </c>
      <c r="L1367" s="34"/>
      <c r="M1367" s="34"/>
      <c r="N1367" s="37" t="s">
        <v>2252</v>
      </c>
      <c r="O1367" s="33" t="s">
        <v>2253</v>
      </c>
      <c r="P1367" s="33" t="s">
        <v>2254</v>
      </c>
      <c r="Q1367" s="33" t="s">
        <v>157</v>
      </c>
      <c r="R1367" s="34"/>
      <c r="S1367" s="38"/>
      <c r="T1367" s="38" t="s">
        <v>12690</v>
      </c>
      <c r="U1367" s="18"/>
      <c r="V1367" s="18"/>
    </row>
    <row r="1368" spans="1:22" x14ac:dyDescent="0.25">
      <c r="A1368" s="33" t="s">
        <v>1533</v>
      </c>
      <c r="B1368" s="33" t="s">
        <v>1532</v>
      </c>
      <c r="C1368" s="33" t="s">
        <v>13</v>
      </c>
      <c r="D1368" s="33" t="s">
        <v>668</v>
      </c>
      <c r="E1368" s="33">
        <v>2022</v>
      </c>
      <c r="F1368" s="33">
        <v>10</v>
      </c>
      <c r="G1368" s="34"/>
      <c r="H1368" s="33" t="s">
        <v>1534</v>
      </c>
      <c r="I1368" s="33" t="s">
        <v>257</v>
      </c>
      <c r="J1368" s="33">
        <v>2022</v>
      </c>
      <c r="K1368" s="34"/>
      <c r="L1368" s="34"/>
      <c r="M1368" s="33" t="s">
        <v>670</v>
      </c>
      <c r="N1368" s="37" t="s">
        <v>1535</v>
      </c>
      <c r="O1368" s="33" t="s">
        <v>1536</v>
      </c>
      <c r="P1368" s="33" t="s">
        <v>1537</v>
      </c>
      <c r="Q1368" s="33" t="s">
        <v>447</v>
      </c>
      <c r="R1368" s="34"/>
      <c r="S1368" s="38"/>
      <c r="T1368" s="38" t="s">
        <v>12690</v>
      </c>
      <c r="U1368" s="18"/>
      <c r="V1368" s="18"/>
    </row>
    <row r="1369" spans="1:22" x14ac:dyDescent="0.25">
      <c r="A1369" s="33" t="s">
        <v>11693</v>
      </c>
      <c r="B1369" s="33" t="s">
        <v>1747</v>
      </c>
      <c r="C1369" s="33" t="s">
        <v>141</v>
      </c>
      <c r="D1369" s="34"/>
      <c r="E1369" s="33">
        <v>2022</v>
      </c>
      <c r="F1369" s="34"/>
      <c r="G1369" s="34"/>
      <c r="H1369" s="33" t="s">
        <v>11694</v>
      </c>
      <c r="I1369" s="44" t="s">
        <v>12745</v>
      </c>
      <c r="J1369" s="33">
        <v>2022</v>
      </c>
      <c r="K1369" s="33">
        <v>9781450392754</v>
      </c>
      <c r="L1369" s="33" t="s">
        <v>11323</v>
      </c>
      <c r="M1369" s="34"/>
      <c r="N1369" s="37" t="s">
        <v>11695</v>
      </c>
      <c r="O1369" s="33" t="s">
        <v>1751</v>
      </c>
      <c r="P1369" s="33" t="s">
        <v>11696</v>
      </c>
      <c r="Q1369" s="36"/>
      <c r="R1369" s="36"/>
      <c r="S1369" s="33" t="s">
        <v>11697</v>
      </c>
      <c r="T1369" s="33" t="s">
        <v>12692</v>
      </c>
      <c r="U1369" s="18"/>
      <c r="V1369" s="18"/>
    </row>
    <row r="1370" spans="1:22" x14ac:dyDescent="0.25">
      <c r="A1370" s="33" t="s">
        <v>11693</v>
      </c>
      <c r="B1370" s="33" t="s">
        <v>1747</v>
      </c>
      <c r="C1370" s="33" t="s">
        <v>141</v>
      </c>
      <c r="D1370" s="34"/>
      <c r="E1370" s="33">
        <v>2022</v>
      </c>
      <c r="F1370" s="34"/>
      <c r="G1370" s="34"/>
      <c r="H1370" s="33" t="s">
        <v>6378</v>
      </c>
      <c r="I1370" s="33" t="s">
        <v>6269</v>
      </c>
      <c r="J1370" s="43">
        <v>44682</v>
      </c>
      <c r="K1370" s="36"/>
      <c r="L1370" s="36"/>
      <c r="M1370" s="34"/>
      <c r="N1370" s="37" t="s">
        <v>6379</v>
      </c>
      <c r="O1370" s="33" t="s">
        <v>1751</v>
      </c>
      <c r="P1370" s="33" t="s">
        <v>6380</v>
      </c>
      <c r="Q1370" s="36"/>
      <c r="R1370" s="36"/>
      <c r="S1370" s="33" t="s">
        <v>6381</v>
      </c>
      <c r="T1370" s="38" t="s">
        <v>12688</v>
      </c>
      <c r="U1370" s="18"/>
      <c r="V1370" s="18"/>
    </row>
    <row r="1371" spans="1:22" x14ac:dyDescent="0.25">
      <c r="A1371" s="33" t="s">
        <v>11693</v>
      </c>
      <c r="B1371" s="33" t="s">
        <v>1747</v>
      </c>
      <c r="C1371" s="33" t="s">
        <v>141</v>
      </c>
      <c r="D1371" s="34"/>
      <c r="E1371" s="33">
        <v>2022</v>
      </c>
      <c r="F1371" s="34"/>
      <c r="G1371" s="34"/>
      <c r="H1371" s="33" t="s">
        <v>1749</v>
      </c>
      <c r="I1371" s="33" t="s">
        <v>257</v>
      </c>
      <c r="J1371" s="33">
        <v>2022</v>
      </c>
      <c r="K1371" s="33">
        <v>9781450392754</v>
      </c>
      <c r="L1371" s="34"/>
      <c r="M1371" s="34"/>
      <c r="N1371" s="37" t="s">
        <v>1750</v>
      </c>
      <c r="O1371" s="33" t="s">
        <v>1751</v>
      </c>
      <c r="P1371" s="33" t="s">
        <v>1752</v>
      </c>
      <c r="Q1371" s="33" t="s">
        <v>568</v>
      </c>
      <c r="R1371" s="34"/>
      <c r="S1371" s="38"/>
      <c r="T1371" s="38" t="s">
        <v>12690</v>
      </c>
      <c r="U1371" s="18"/>
      <c r="V1371" s="18"/>
    </row>
    <row r="1372" spans="1:22" x14ac:dyDescent="0.25">
      <c r="A1372" s="33" t="s">
        <v>2443</v>
      </c>
      <c r="B1372" s="33" t="s">
        <v>2442</v>
      </c>
      <c r="C1372" s="33" t="s">
        <v>141</v>
      </c>
      <c r="D1372" s="34"/>
      <c r="E1372" s="33">
        <v>2022</v>
      </c>
      <c r="F1372" s="34"/>
      <c r="G1372" s="34"/>
      <c r="H1372" s="33" t="s">
        <v>11562</v>
      </c>
      <c r="I1372" s="44" t="s">
        <v>12789</v>
      </c>
      <c r="J1372" s="33">
        <v>2022</v>
      </c>
      <c r="K1372" s="33">
        <v>9781450392242</v>
      </c>
      <c r="L1372" s="33" t="s">
        <v>11709</v>
      </c>
      <c r="M1372" s="34"/>
      <c r="N1372" s="37" t="s">
        <v>11706</v>
      </c>
      <c r="O1372" s="33" t="s">
        <v>6811</v>
      </c>
      <c r="P1372" s="33" t="s">
        <v>11707</v>
      </c>
      <c r="Q1372" s="36"/>
      <c r="R1372" s="36"/>
      <c r="S1372" s="33" t="s">
        <v>11708</v>
      </c>
      <c r="T1372" s="33" t="s">
        <v>12692</v>
      </c>
      <c r="U1372" s="18"/>
      <c r="V1372" s="18"/>
    </row>
    <row r="1373" spans="1:22" x14ac:dyDescent="0.25">
      <c r="A1373" s="33" t="s">
        <v>2443</v>
      </c>
      <c r="B1373" s="33" t="s">
        <v>2442</v>
      </c>
      <c r="C1373" s="33" t="s">
        <v>141</v>
      </c>
      <c r="D1373" s="34"/>
      <c r="E1373" s="33">
        <v>2022</v>
      </c>
      <c r="F1373" s="34"/>
      <c r="G1373" s="34"/>
      <c r="H1373" s="33" t="s">
        <v>6733</v>
      </c>
      <c r="I1373" s="33" t="s">
        <v>6809</v>
      </c>
      <c r="J1373" s="43">
        <v>44682</v>
      </c>
      <c r="K1373" s="36"/>
      <c r="L1373" s="36"/>
      <c r="M1373" s="34"/>
      <c r="N1373" s="37" t="s">
        <v>6810</v>
      </c>
      <c r="O1373" s="33" t="s">
        <v>6811</v>
      </c>
      <c r="P1373" s="33" t="s">
        <v>6812</v>
      </c>
      <c r="Q1373" s="36"/>
      <c r="R1373" s="36"/>
      <c r="S1373" s="33" t="s">
        <v>6813</v>
      </c>
      <c r="T1373" s="38" t="s">
        <v>12688</v>
      </c>
      <c r="U1373" s="18"/>
      <c r="V1373" s="18"/>
    </row>
    <row r="1374" spans="1:22" x14ac:dyDescent="0.25">
      <c r="A1374" s="33" t="s">
        <v>2443</v>
      </c>
      <c r="B1374" s="33" t="s">
        <v>2442</v>
      </c>
      <c r="C1374" s="33" t="s">
        <v>141</v>
      </c>
      <c r="D1374" s="34"/>
      <c r="E1374" s="33">
        <v>2022</v>
      </c>
      <c r="F1374" s="34"/>
      <c r="G1374" s="34"/>
      <c r="H1374" s="33" t="s">
        <v>2444</v>
      </c>
      <c r="I1374" s="33" t="s">
        <v>196</v>
      </c>
      <c r="J1374" s="33">
        <v>2022</v>
      </c>
      <c r="K1374" s="33">
        <v>9781665495967</v>
      </c>
      <c r="L1374" s="34"/>
      <c r="M1374" s="33" t="s">
        <v>1458</v>
      </c>
      <c r="N1374" s="37" t="s">
        <v>2445</v>
      </c>
      <c r="O1374" s="33" t="s">
        <v>2446</v>
      </c>
      <c r="P1374" s="33" t="s">
        <v>2447</v>
      </c>
      <c r="Q1374" s="33" t="s">
        <v>289</v>
      </c>
      <c r="R1374" s="34"/>
      <c r="S1374" s="38"/>
      <c r="T1374" s="38" t="s">
        <v>12690</v>
      </c>
      <c r="U1374" s="18"/>
      <c r="V1374" s="18"/>
    </row>
    <row r="1375" spans="1:22" x14ac:dyDescent="0.25">
      <c r="A1375" s="39" t="s">
        <v>9795</v>
      </c>
      <c r="B1375" s="39" t="s">
        <v>9797</v>
      </c>
      <c r="C1375" s="39" t="s">
        <v>539</v>
      </c>
      <c r="D1375" s="36"/>
      <c r="E1375" s="39">
        <v>2022</v>
      </c>
      <c r="F1375" s="40"/>
      <c r="G1375" s="40"/>
      <c r="H1375" s="36"/>
      <c r="I1375" s="39" t="s">
        <v>676</v>
      </c>
      <c r="J1375" s="36"/>
      <c r="K1375" s="36"/>
      <c r="L1375" s="36"/>
      <c r="M1375" s="34"/>
      <c r="N1375" s="41" t="s">
        <v>9798</v>
      </c>
      <c r="O1375" s="39" t="s">
        <v>9796</v>
      </c>
      <c r="P1375" s="33"/>
      <c r="Q1375" s="36"/>
      <c r="R1375" s="34"/>
      <c r="S1375" s="38"/>
      <c r="T1375" s="38" t="s">
        <v>12689</v>
      </c>
      <c r="U1375" s="18"/>
      <c r="V1375" s="18"/>
    </row>
    <row r="1376" spans="1:22" x14ac:dyDescent="0.25">
      <c r="A1376" s="33" t="s">
        <v>661</v>
      </c>
      <c r="B1376" s="33" t="s">
        <v>660</v>
      </c>
      <c r="C1376" s="33" t="s">
        <v>141</v>
      </c>
      <c r="D1376" s="34"/>
      <c r="E1376" s="33">
        <v>2022</v>
      </c>
      <c r="F1376" s="34"/>
      <c r="G1376" s="34"/>
      <c r="H1376" s="33" t="s">
        <v>12255</v>
      </c>
      <c r="I1376" s="44" t="s">
        <v>12790</v>
      </c>
      <c r="J1376" s="33">
        <v>2022</v>
      </c>
      <c r="K1376" s="33">
        <v>9781450395717</v>
      </c>
      <c r="L1376" s="33" t="s">
        <v>12260</v>
      </c>
      <c r="M1376" s="34"/>
      <c r="N1376" s="37" t="s">
        <v>12258</v>
      </c>
      <c r="O1376" s="33" t="s">
        <v>664</v>
      </c>
      <c r="P1376" s="34"/>
      <c r="Q1376" s="36"/>
      <c r="R1376" s="36"/>
      <c r="S1376" s="33" t="s">
        <v>12259</v>
      </c>
      <c r="T1376" s="33" t="s">
        <v>12692</v>
      </c>
      <c r="U1376" s="18"/>
      <c r="V1376" s="18"/>
    </row>
    <row r="1377" spans="1:22" x14ac:dyDescent="0.25">
      <c r="A1377" s="33" t="s">
        <v>661</v>
      </c>
      <c r="B1377" s="33" t="s">
        <v>660</v>
      </c>
      <c r="C1377" s="33" t="s">
        <v>141</v>
      </c>
      <c r="D1377" s="34"/>
      <c r="E1377" s="33">
        <v>2022</v>
      </c>
      <c r="F1377" s="34"/>
      <c r="G1377" s="34"/>
      <c r="H1377" s="33" t="s">
        <v>662</v>
      </c>
      <c r="I1377" s="33" t="s">
        <v>145</v>
      </c>
      <c r="J1377" s="33">
        <v>2022</v>
      </c>
      <c r="K1377" s="33">
        <v>9781450395717</v>
      </c>
      <c r="L1377" s="34"/>
      <c r="M1377" s="34"/>
      <c r="N1377" s="37" t="s">
        <v>663</v>
      </c>
      <c r="O1377" s="33" t="s">
        <v>664</v>
      </c>
      <c r="P1377" s="33" t="s">
        <v>665</v>
      </c>
      <c r="Q1377" s="33" t="s">
        <v>157</v>
      </c>
      <c r="R1377" s="34"/>
      <c r="S1377" s="38"/>
      <c r="T1377" s="38" t="s">
        <v>12690</v>
      </c>
      <c r="U1377" s="18"/>
      <c r="V1377" s="18"/>
    </row>
    <row r="1378" spans="1:22" x14ac:dyDescent="0.25">
      <c r="A1378" s="33" t="s">
        <v>1367</v>
      </c>
      <c r="B1378" s="33" t="s">
        <v>1366</v>
      </c>
      <c r="C1378" s="33" t="s">
        <v>13</v>
      </c>
      <c r="D1378" s="33" t="s">
        <v>328</v>
      </c>
      <c r="E1378" s="33">
        <v>2022</v>
      </c>
      <c r="F1378" s="33">
        <v>31</v>
      </c>
      <c r="G1378" s="33">
        <v>2</v>
      </c>
      <c r="H1378" s="34"/>
      <c r="I1378" s="33" t="s">
        <v>145</v>
      </c>
      <c r="J1378" s="33">
        <v>2022</v>
      </c>
      <c r="K1378" s="34"/>
      <c r="L1378" s="34"/>
      <c r="M1378" s="33" t="s">
        <v>329</v>
      </c>
      <c r="N1378" s="37" t="s">
        <v>1368</v>
      </c>
      <c r="O1378" s="33" t="s">
        <v>1369</v>
      </c>
      <c r="P1378" s="33" t="s">
        <v>1370</v>
      </c>
      <c r="Q1378" s="33" t="s">
        <v>318</v>
      </c>
      <c r="R1378" s="34"/>
      <c r="S1378" s="38"/>
      <c r="T1378" s="38" t="s">
        <v>12690</v>
      </c>
      <c r="U1378" s="18"/>
      <c r="V1378" s="14"/>
    </row>
    <row r="1379" spans="1:22" x14ac:dyDescent="0.25">
      <c r="A1379" s="33" t="s">
        <v>12140</v>
      </c>
      <c r="B1379" s="33" t="s">
        <v>4739</v>
      </c>
      <c r="C1379" s="33" t="s">
        <v>141</v>
      </c>
      <c r="D1379" s="34"/>
      <c r="E1379" s="33">
        <v>2019</v>
      </c>
      <c r="F1379" s="34"/>
      <c r="G1379" s="34"/>
      <c r="H1379" s="33" t="s">
        <v>11979</v>
      </c>
      <c r="I1379" s="44" t="s">
        <v>12791</v>
      </c>
      <c r="J1379" s="33">
        <v>2019</v>
      </c>
      <c r="K1379" s="33">
        <v>9781450366991</v>
      </c>
      <c r="L1379" s="33" t="s">
        <v>12145</v>
      </c>
      <c r="M1379" s="34"/>
      <c r="N1379" s="37" t="s">
        <v>12142</v>
      </c>
      <c r="O1379" s="33" t="s">
        <v>4743</v>
      </c>
      <c r="P1379" s="33" t="s">
        <v>12143</v>
      </c>
      <c r="Q1379" s="36"/>
      <c r="R1379" s="36"/>
      <c r="S1379" s="33" t="s">
        <v>12144</v>
      </c>
      <c r="T1379" s="33" t="s">
        <v>12692</v>
      </c>
      <c r="U1379" s="18"/>
      <c r="V1379" s="18"/>
    </row>
    <row r="1380" spans="1:22" x14ac:dyDescent="0.25">
      <c r="A1380" s="33" t="s">
        <v>12140</v>
      </c>
      <c r="B1380" s="33" t="s">
        <v>4739</v>
      </c>
      <c r="C1380" s="33" t="s">
        <v>141</v>
      </c>
      <c r="D1380" s="34"/>
      <c r="E1380" s="33">
        <v>2019</v>
      </c>
      <c r="F1380" s="34"/>
      <c r="G1380" s="34"/>
      <c r="H1380" s="33" t="s">
        <v>4741</v>
      </c>
      <c r="I1380" s="33" t="s">
        <v>153</v>
      </c>
      <c r="J1380" s="33">
        <v>2019</v>
      </c>
      <c r="K1380" s="33">
        <v>9781450366991</v>
      </c>
      <c r="L1380" s="34"/>
      <c r="M1380" s="34"/>
      <c r="N1380" s="37" t="s">
        <v>4742</v>
      </c>
      <c r="O1380" s="33" t="s">
        <v>4743</v>
      </c>
      <c r="P1380" s="33" t="s">
        <v>4744</v>
      </c>
      <c r="Q1380" s="33" t="s">
        <v>4745</v>
      </c>
      <c r="R1380" s="34"/>
      <c r="S1380" s="38"/>
      <c r="T1380" s="38" t="s">
        <v>12690</v>
      </c>
      <c r="U1380" s="18"/>
      <c r="V1380" s="18"/>
    </row>
    <row r="1381" spans="1:22" x14ac:dyDescent="0.25">
      <c r="A1381" s="33" t="s">
        <v>5597</v>
      </c>
      <c r="B1381" s="33" t="s">
        <v>5596</v>
      </c>
      <c r="C1381" s="33" t="s">
        <v>141</v>
      </c>
      <c r="D1381" s="34"/>
      <c r="E1381" s="33">
        <v>2018</v>
      </c>
      <c r="F1381" s="34"/>
      <c r="G1381" s="34"/>
      <c r="H1381" s="33" t="s">
        <v>5598</v>
      </c>
      <c r="I1381" s="33" t="s">
        <v>145</v>
      </c>
      <c r="J1381" s="33">
        <v>2018</v>
      </c>
      <c r="K1381" s="33">
        <v>9781450356930</v>
      </c>
      <c r="L1381" s="34"/>
      <c r="M1381" s="33" t="s">
        <v>5599</v>
      </c>
      <c r="N1381" s="37" t="s">
        <v>5600</v>
      </c>
      <c r="O1381" s="33" t="s">
        <v>5601</v>
      </c>
      <c r="P1381" s="33" t="s">
        <v>5602</v>
      </c>
      <c r="Q1381" s="33" t="s">
        <v>5603</v>
      </c>
      <c r="R1381" s="34"/>
      <c r="S1381" s="38"/>
      <c r="T1381" s="38" t="s">
        <v>12690</v>
      </c>
      <c r="U1381" s="18"/>
      <c r="V1381" s="18"/>
    </row>
    <row r="1382" spans="1:22" x14ac:dyDescent="0.25">
      <c r="A1382" s="39" t="s">
        <v>10919</v>
      </c>
      <c r="B1382" s="39" t="s">
        <v>10921</v>
      </c>
      <c r="C1382" s="39" t="s">
        <v>9539</v>
      </c>
      <c r="D1382" s="36"/>
      <c r="E1382" s="39">
        <v>2020</v>
      </c>
      <c r="F1382" s="40"/>
      <c r="G1382" s="40"/>
      <c r="H1382" s="36"/>
      <c r="I1382" s="39" t="s">
        <v>9335</v>
      </c>
      <c r="J1382" s="36"/>
      <c r="K1382" s="36"/>
      <c r="L1382" s="36"/>
      <c r="M1382" s="34"/>
      <c r="N1382" s="41" t="s">
        <v>10922</v>
      </c>
      <c r="O1382" s="39" t="s">
        <v>10920</v>
      </c>
      <c r="P1382" s="33"/>
      <c r="Q1382" s="36"/>
      <c r="R1382" s="34"/>
      <c r="S1382" s="38"/>
      <c r="T1382" s="38" t="s">
        <v>12689</v>
      </c>
      <c r="U1382" s="18"/>
      <c r="V1382" s="18"/>
    </row>
    <row r="1383" spans="1:22" x14ac:dyDescent="0.25">
      <c r="A1383" s="33" t="s">
        <v>8481</v>
      </c>
      <c r="B1383" s="33" t="s">
        <v>8480</v>
      </c>
      <c r="C1383" s="33" t="s">
        <v>13</v>
      </c>
      <c r="D1383" s="33" t="s">
        <v>8482</v>
      </c>
      <c r="E1383" s="33">
        <v>2020</v>
      </c>
      <c r="F1383" s="33">
        <v>97</v>
      </c>
      <c r="G1383" s="36"/>
      <c r="H1383" s="33">
        <v>101967</v>
      </c>
      <c r="I1383" s="36"/>
      <c r="J1383" s="33">
        <v>2020</v>
      </c>
      <c r="K1383" s="34"/>
      <c r="L1383" s="34"/>
      <c r="M1383" s="33" t="s">
        <v>8483</v>
      </c>
      <c r="N1383" s="37" t="s">
        <v>8484</v>
      </c>
      <c r="O1383" s="33" t="s">
        <v>8485</v>
      </c>
      <c r="P1383" s="33" t="s">
        <v>8486</v>
      </c>
      <c r="Q1383" s="36"/>
      <c r="R1383" s="36"/>
      <c r="S1383" s="33" t="s">
        <v>8487</v>
      </c>
      <c r="T1383" s="38" t="s">
        <v>12693</v>
      </c>
      <c r="U1383" s="18"/>
      <c r="V1383" s="18"/>
    </row>
    <row r="1384" spans="1:22" x14ac:dyDescent="0.25">
      <c r="A1384" s="33" t="s">
        <v>4919</v>
      </c>
      <c r="B1384" s="33" t="s">
        <v>4918</v>
      </c>
      <c r="C1384" s="33" t="s">
        <v>13</v>
      </c>
      <c r="D1384" s="33" t="s">
        <v>3475</v>
      </c>
      <c r="E1384" s="33">
        <v>2020</v>
      </c>
      <c r="F1384" s="33">
        <v>1294</v>
      </c>
      <c r="G1384" s="34"/>
      <c r="H1384" s="33" t="s">
        <v>4920</v>
      </c>
      <c r="I1384" s="33" t="s">
        <v>212</v>
      </c>
      <c r="J1384" s="33">
        <v>2020</v>
      </c>
      <c r="K1384" s="34"/>
      <c r="L1384" s="34"/>
      <c r="M1384" s="33" t="s">
        <v>3478</v>
      </c>
      <c r="N1384" s="37" t="s">
        <v>4921</v>
      </c>
      <c r="O1384" s="33" t="s">
        <v>4922</v>
      </c>
      <c r="P1384" s="33" t="s">
        <v>4923</v>
      </c>
      <c r="Q1384" s="33" t="s">
        <v>318</v>
      </c>
      <c r="R1384" s="34"/>
      <c r="S1384" s="38"/>
      <c r="T1384" s="38" t="s">
        <v>12690</v>
      </c>
      <c r="U1384" s="18"/>
      <c r="V1384" s="18"/>
    </row>
    <row r="1385" spans="1:22" x14ac:dyDescent="0.25">
      <c r="A1385" s="33" t="s">
        <v>8049</v>
      </c>
      <c r="B1385" s="33" t="s">
        <v>8048</v>
      </c>
      <c r="C1385" s="33" t="s">
        <v>141</v>
      </c>
      <c r="D1385" s="34"/>
      <c r="E1385" s="33">
        <v>2019</v>
      </c>
      <c r="F1385" s="34"/>
      <c r="G1385" s="34"/>
      <c r="H1385" s="33" t="s">
        <v>8050</v>
      </c>
      <c r="I1385" s="33" t="s">
        <v>8051</v>
      </c>
      <c r="J1385" s="43">
        <v>43617</v>
      </c>
      <c r="K1385" s="34"/>
      <c r="L1385" s="36"/>
      <c r="M1385" s="34"/>
      <c r="N1385" s="37" t="s">
        <v>8052</v>
      </c>
      <c r="O1385" s="33" t="s">
        <v>8053</v>
      </c>
      <c r="P1385" s="33" t="s">
        <v>8054</v>
      </c>
      <c r="Q1385" s="36"/>
      <c r="R1385" s="36"/>
      <c r="S1385" s="33" t="s">
        <v>8055</v>
      </c>
      <c r="T1385" s="38" t="s">
        <v>12688</v>
      </c>
      <c r="U1385" s="18"/>
      <c r="V1385" s="18"/>
    </row>
    <row r="1386" spans="1:22" x14ac:dyDescent="0.25">
      <c r="A1386" s="39" t="s">
        <v>406</v>
      </c>
      <c r="B1386" s="39" t="s">
        <v>10197</v>
      </c>
      <c r="C1386" s="39" t="s">
        <v>9478</v>
      </c>
      <c r="D1386" s="36"/>
      <c r="E1386" s="39">
        <v>2022</v>
      </c>
      <c r="F1386" s="39">
        <v>21</v>
      </c>
      <c r="G1386" s="39">
        <v>3</v>
      </c>
      <c r="H1386" s="36"/>
      <c r="I1386" s="39" t="s">
        <v>407</v>
      </c>
      <c r="J1386" s="36"/>
      <c r="K1386" s="36"/>
      <c r="L1386" s="36"/>
      <c r="M1386" s="34"/>
      <c r="N1386" s="41" t="s">
        <v>10198</v>
      </c>
      <c r="O1386" s="39" t="s">
        <v>411</v>
      </c>
      <c r="P1386" s="33"/>
      <c r="Q1386" s="36"/>
      <c r="R1386" s="34"/>
      <c r="S1386" s="38"/>
      <c r="T1386" s="38" t="s">
        <v>12689</v>
      </c>
      <c r="U1386" s="18"/>
      <c r="V1386" s="18"/>
    </row>
    <row r="1387" spans="1:22" x14ac:dyDescent="0.25">
      <c r="A1387" s="33" t="s">
        <v>406</v>
      </c>
      <c r="B1387" s="33" t="s">
        <v>405</v>
      </c>
      <c r="C1387" s="33" t="s">
        <v>13</v>
      </c>
      <c r="D1387" s="33" t="s">
        <v>407</v>
      </c>
      <c r="E1387" s="33">
        <v>2022</v>
      </c>
      <c r="F1387" s="33">
        <v>21</v>
      </c>
      <c r="G1387" s="33">
        <v>3</v>
      </c>
      <c r="H1387" s="33" t="s">
        <v>408</v>
      </c>
      <c r="I1387" s="33" t="s">
        <v>212</v>
      </c>
      <c r="J1387" s="33">
        <v>2022</v>
      </c>
      <c r="K1387" s="34"/>
      <c r="L1387" s="34"/>
      <c r="M1387" s="33" t="s">
        <v>409</v>
      </c>
      <c r="N1387" s="37" t="s">
        <v>410</v>
      </c>
      <c r="O1387" s="33" t="s">
        <v>411</v>
      </c>
      <c r="P1387" s="33" t="s">
        <v>412</v>
      </c>
      <c r="Q1387" s="33" t="s">
        <v>413</v>
      </c>
      <c r="R1387" s="34"/>
      <c r="S1387" s="38"/>
      <c r="T1387" s="38" t="s">
        <v>12690</v>
      </c>
      <c r="U1387" s="18"/>
      <c r="V1387" s="18"/>
    </row>
    <row r="1388" spans="1:22" x14ac:dyDescent="0.25">
      <c r="A1388" s="39" t="s">
        <v>10549</v>
      </c>
      <c r="B1388" s="39" t="s">
        <v>10551</v>
      </c>
      <c r="C1388" s="39" t="s">
        <v>9539</v>
      </c>
      <c r="D1388" s="36"/>
      <c r="E1388" s="39">
        <v>2023</v>
      </c>
      <c r="F1388" s="40"/>
      <c r="G1388" s="40"/>
      <c r="H1388" s="36"/>
      <c r="I1388" s="39" t="s">
        <v>9371</v>
      </c>
      <c r="J1388" s="36"/>
      <c r="K1388" s="36"/>
      <c r="L1388" s="36"/>
      <c r="M1388" s="34"/>
      <c r="N1388" s="41" t="s">
        <v>10552</v>
      </c>
      <c r="O1388" s="39" t="s">
        <v>10550</v>
      </c>
      <c r="P1388" s="33"/>
      <c r="Q1388" s="36"/>
      <c r="R1388" s="34"/>
      <c r="S1388" s="38"/>
      <c r="T1388" s="38" t="s">
        <v>12689</v>
      </c>
      <c r="U1388" s="18"/>
      <c r="V1388" s="18"/>
    </row>
    <row r="1389" spans="1:22" x14ac:dyDescent="0.25">
      <c r="A1389" s="39" t="s">
        <v>10209</v>
      </c>
      <c r="B1389" s="39" t="s">
        <v>10211</v>
      </c>
      <c r="C1389" s="39" t="s">
        <v>539</v>
      </c>
      <c r="D1389" s="36"/>
      <c r="E1389" s="39">
        <v>2022</v>
      </c>
      <c r="F1389" s="40"/>
      <c r="G1389" s="40"/>
      <c r="H1389" s="36"/>
      <c r="I1389" s="40"/>
      <c r="J1389" s="36"/>
      <c r="K1389" s="36"/>
      <c r="L1389" s="36"/>
      <c r="M1389" s="34"/>
      <c r="N1389" s="41" t="s">
        <v>10212</v>
      </c>
      <c r="O1389" s="39" t="s">
        <v>10210</v>
      </c>
      <c r="P1389" s="33"/>
      <c r="Q1389" s="36"/>
      <c r="R1389" s="34"/>
      <c r="S1389" s="38"/>
      <c r="T1389" s="38" t="s">
        <v>12689</v>
      </c>
      <c r="U1389" s="18"/>
      <c r="V1389" s="18"/>
    </row>
    <row r="1390" spans="1:22" x14ac:dyDescent="0.25">
      <c r="A1390" s="39" t="s">
        <v>10298</v>
      </c>
      <c r="B1390" s="39" t="s">
        <v>9397</v>
      </c>
      <c r="C1390" s="39" t="s">
        <v>9539</v>
      </c>
      <c r="D1390" s="36"/>
      <c r="E1390" s="39">
        <v>2022</v>
      </c>
      <c r="F1390" s="40"/>
      <c r="G1390" s="40"/>
      <c r="H1390" s="36"/>
      <c r="I1390" s="39" t="s">
        <v>9395</v>
      </c>
      <c r="J1390" s="36"/>
      <c r="K1390" s="36"/>
      <c r="L1390" s="36"/>
      <c r="M1390" s="34"/>
      <c r="N1390" s="41" t="s">
        <v>10300</v>
      </c>
      <c r="O1390" s="39" t="s">
        <v>10299</v>
      </c>
      <c r="P1390" s="33"/>
      <c r="Q1390" s="36"/>
      <c r="R1390" s="34"/>
      <c r="S1390" s="38"/>
      <c r="T1390" s="38" t="s">
        <v>12689</v>
      </c>
      <c r="U1390" s="18"/>
      <c r="V1390" s="18"/>
    </row>
    <row r="1391" spans="1:22" x14ac:dyDescent="0.25">
      <c r="A1391" s="33" t="s">
        <v>1317</v>
      </c>
      <c r="B1391" s="33" t="s">
        <v>1316</v>
      </c>
      <c r="C1391" s="33" t="s">
        <v>13</v>
      </c>
      <c r="D1391" s="33" t="s">
        <v>1318</v>
      </c>
      <c r="E1391" s="33">
        <v>2022</v>
      </c>
      <c r="F1391" s="33">
        <v>5</v>
      </c>
      <c r="G1391" s="33">
        <v>3</v>
      </c>
      <c r="H1391" s="33" t="s">
        <v>1319</v>
      </c>
      <c r="I1391" s="33" t="s">
        <v>1320</v>
      </c>
      <c r="J1391" s="33">
        <v>2022</v>
      </c>
      <c r="K1391" s="34"/>
      <c r="L1391" s="34"/>
      <c r="M1391" s="33" t="s">
        <v>1321</v>
      </c>
      <c r="N1391" s="37" t="s">
        <v>1322</v>
      </c>
      <c r="O1391" s="33" t="s">
        <v>1323</v>
      </c>
      <c r="P1391" s="33" t="s">
        <v>1324</v>
      </c>
      <c r="Q1391" s="33" t="s">
        <v>447</v>
      </c>
      <c r="R1391" s="34"/>
      <c r="S1391" s="38"/>
      <c r="T1391" s="38" t="s">
        <v>12690</v>
      </c>
      <c r="U1391" s="18"/>
      <c r="V1391" s="18"/>
    </row>
    <row r="1392" spans="1:22" x14ac:dyDescent="0.25">
      <c r="A1392" s="39" t="s">
        <v>10050</v>
      </c>
      <c r="B1392" s="39" t="s">
        <v>10052</v>
      </c>
      <c r="C1392" s="39" t="s">
        <v>9539</v>
      </c>
      <c r="D1392" s="36"/>
      <c r="E1392" s="39">
        <v>2021</v>
      </c>
      <c r="F1392" s="40"/>
      <c r="G1392" s="40"/>
      <c r="H1392" s="36"/>
      <c r="I1392" s="39" t="s">
        <v>9460</v>
      </c>
      <c r="J1392" s="36"/>
      <c r="K1392" s="36"/>
      <c r="L1392" s="36"/>
      <c r="M1392" s="34"/>
      <c r="N1392" s="41" t="s">
        <v>10053</v>
      </c>
      <c r="O1392" s="39" t="s">
        <v>10051</v>
      </c>
      <c r="P1392" s="33"/>
      <c r="Q1392" s="36"/>
      <c r="R1392" s="34"/>
      <c r="S1392" s="38"/>
      <c r="T1392" s="38" t="s">
        <v>12689</v>
      </c>
      <c r="U1392" s="18"/>
      <c r="V1392" s="18"/>
    </row>
    <row r="1393" spans="1:22" x14ac:dyDescent="0.25">
      <c r="A1393" s="33" t="s">
        <v>12678</v>
      </c>
      <c r="B1393" s="34"/>
      <c r="C1393" s="33" t="s">
        <v>539</v>
      </c>
      <c r="D1393" s="34"/>
      <c r="E1393" s="33">
        <v>2022</v>
      </c>
      <c r="F1393" s="34"/>
      <c r="G1393" s="34"/>
      <c r="H1393" s="34"/>
      <c r="I1393" s="44" t="s">
        <v>12710</v>
      </c>
      <c r="J1393" s="33">
        <v>2022</v>
      </c>
      <c r="K1393" s="33">
        <v>9781450396967</v>
      </c>
      <c r="L1393" s="34"/>
      <c r="M1393" s="34"/>
      <c r="N1393" s="34"/>
      <c r="O1393" s="34"/>
      <c r="P1393" s="34"/>
      <c r="Q1393" s="36"/>
      <c r="R1393" s="36"/>
      <c r="S1393" s="34"/>
      <c r="T1393" s="33" t="s">
        <v>12692</v>
      </c>
      <c r="U1393" s="18"/>
      <c r="V1393" s="18"/>
    </row>
    <row r="1394" spans="1:22" x14ac:dyDescent="0.25">
      <c r="A1394" s="33" t="s">
        <v>4595</v>
      </c>
      <c r="B1394" s="33" t="s">
        <v>4594</v>
      </c>
      <c r="C1394" s="33" t="s">
        <v>13</v>
      </c>
      <c r="D1394" s="33" t="s">
        <v>136</v>
      </c>
      <c r="E1394" s="33">
        <v>2020</v>
      </c>
      <c r="F1394" s="33">
        <v>25</v>
      </c>
      <c r="G1394" s="33">
        <v>3</v>
      </c>
      <c r="H1394" s="33" t="s">
        <v>4596</v>
      </c>
      <c r="I1394" s="33" t="s">
        <v>137</v>
      </c>
      <c r="J1394" s="33">
        <v>2020</v>
      </c>
      <c r="K1394" s="34"/>
      <c r="L1394" s="34"/>
      <c r="M1394" s="33" t="s">
        <v>33</v>
      </c>
      <c r="N1394" s="37" t="s">
        <v>4597</v>
      </c>
      <c r="O1394" s="33" t="s">
        <v>4598</v>
      </c>
      <c r="P1394" s="33" t="s">
        <v>4599</v>
      </c>
      <c r="Q1394" s="33" t="s">
        <v>4600</v>
      </c>
      <c r="R1394" s="34"/>
      <c r="S1394" s="38"/>
      <c r="T1394" s="38" t="s">
        <v>12690</v>
      </c>
      <c r="U1394" s="18"/>
      <c r="V1394" s="18"/>
    </row>
    <row r="1395" spans="1:22" x14ac:dyDescent="0.25">
      <c r="A1395" s="33" t="s">
        <v>4595</v>
      </c>
      <c r="B1395" s="39" t="s">
        <v>10438</v>
      </c>
      <c r="C1395" s="39" t="s">
        <v>9478</v>
      </c>
      <c r="D1395" s="36"/>
      <c r="E1395" s="39">
        <v>2020</v>
      </c>
      <c r="F1395" s="39">
        <v>25</v>
      </c>
      <c r="G1395" s="39">
        <v>3</v>
      </c>
      <c r="H1395" s="36"/>
      <c r="I1395" s="39" t="s">
        <v>136</v>
      </c>
      <c r="J1395" s="36"/>
      <c r="K1395" s="36"/>
      <c r="L1395" s="36"/>
      <c r="M1395" s="34"/>
      <c r="N1395" s="41" t="s">
        <v>10439</v>
      </c>
      <c r="O1395" s="39" t="s">
        <v>4598</v>
      </c>
      <c r="P1395" s="33"/>
      <c r="Q1395" s="36"/>
      <c r="R1395" s="34"/>
      <c r="S1395" s="38"/>
      <c r="T1395" s="38" t="s">
        <v>12689</v>
      </c>
      <c r="U1395" s="18"/>
      <c r="V1395" s="18"/>
    </row>
    <row r="1396" spans="1:22" x14ac:dyDescent="0.25">
      <c r="A1396" s="39" t="s">
        <v>10374</v>
      </c>
      <c r="B1396" s="39" t="s">
        <v>10376</v>
      </c>
      <c r="C1396" s="39" t="s">
        <v>9539</v>
      </c>
      <c r="D1396" s="36"/>
      <c r="E1396" s="39">
        <v>2021</v>
      </c>
      <c r="F1396" s="40"/>
      <c r="G1396" s="40"/>
      <c r="H1396" s="36"/>
      <c r="I1396" s="39" t="s">
        <v>9367</v>
      </c>
      <c r="J1396" s="36"/>
      <c r="K1396" s="36"/>
      <c r="L1396" s="36"/>
      <c r="M1396" s="34"/>
      <c r="N1396" s="41" t="s">
        <v>10377</v>
      </c>
      <c r="O1396" s="39" t="s">
        <v>10375</v>
      </c>
      <c r="P1396" s="33"/>
      <c r="Q1396" s="36"/>
      <c r="R1396" s="34"/>
      <c r="S1396" s="38"/>
      <c r="T1396" s="38" t="s">
        <v>12689</v>
      </c>
      <c r="U1396" s="18"/>
      <c r="V1396" s="18"/>
    </row>
    <row r="1397" spans="1:22" x14ac:dyDescent="0.25">
      <c r="A1397" s="33" t="s">
        <v>5003</v>
      </c>
      <c r="B1397" s="33" t="s">
        <v>5002</v>
      </c>
      <c r="C1397" s="33" t="s">
        <v>13</v>
      </c>
      <c r="D1397" s="33" t="s">
        <v>307</v>
      </c>
      <c r="E1397" s="33">
        <v>2019</v>
      </c>
      <c r="F1397" s="33">
        <v>113</v>
      </c>
      <c r="G1397" s="34"/>
      <c r="H1397" s="33" t="s">
        <v>5004</v>
      </c>
      <c r="I1397" s="33" t="s">
        <v>280</v>
      </c>
      <c r="J1397" s="33">
        <v>2019</v>
      </c>
      <c r="K1397" s="34"/>
      <c r="L1397" s="34"/>
      <c r="M1397" s="33" t="s">
        <v>308</v>
      </c>
      <c r="N1397" s="37" t="s">
        <v>5005</v>
      </c>
      <c r="O1397" s="33" t="s">
        <v>5006</v>
      </c>
      <c r="P1397" s="33" t="s">
        <v>5007</v>
      </c>
      <c r="Q1397" s="33" t="s">
        <v>2286</v>
      </c>
      <c r="R1397" s="34"/>
      <c r="S1397" s="38"/>
      <c r="T1397" s="38" t="s">
        <v>12690</v>
      </c>
      <c r="U1397" s="14"/>
      <c r="V1397" s="18"/>
    </row>
    <row r="1398" spans="1:22" x14ac:dyDescent="0.25">
      <c r="A1398" s="33" t="s">
        <v>2832</v>
      </c>
      <c r="B1398" s="33" t="s">
        <v>2831</v>
      </c>
      <c r="C1398" s="33" t="s">
        <v>141</v>
      </c>
      <c r="D1398" s="34"/>
      <c r="E1398" s="33">
        <v>2021</v>
      </c>
      <c r="F1398" s="45">
        <v>44378</v>
      </c>
      <c r="G1398" s="34"/>
      <c r="H1398" s="33" t="s">
        <v>2833</v>
      </c>
      <c r="I1398" s="33" t="s">
        <v>933</v>
      </c>
      <c r="J1398" s="33">
        <v>2021</v>
      </c>
      <c r="K1398" s="33">
        <v>9781891706523</v>
      </c>
      <c r="L1398" s="34"/>
      <c r="M1398" s="33" t="s">
        <v>934</v>
      </c>
      <c r="N1398" s="37" t="s">
        <v>2834</v>
      </c>
      <c r="O1398" s="33" t="s">
        <v>2835</v>
      </c>
      <c r="P1398" s="33" t="s">
        <v>2836</v>
      </c>
      <c r="Q1398" s="33" t="s">
        <v>1591</v>
      </c>
      <c r="R1398" s="34"/>
      <c r="S1398" s="38"/>
      <c r="T1398" s="38" t="s">
        <v>12690</v>
      </c>
      <c r="U1398" s="18"/>
      <c r="V1398" s="18"/>
    </row>
    <row r="1399" spans="1:22" x14ac:dyDescent="0.25">
      <c r="A1399" s="33" t="s">
        <v>931</v>
      </c>
      <c r="B1399" s="33" t="s">
        <v>930</v>
      </c>
      <c r="C1399" s="33" t="s">
        <v>141</v>
      </c>
      <c r="D1399" s="34"/>
      <c r="E1399" s="33">
        <v>2022</v>
      </c>
      <c r="F1399" s="34"/>
      <c r="G1399" s="34"/>
      <c r="H1399" s="33" t="s">
        <v>932</v>
      </c>
      <c r="I1399" s="33" t="s">
        <v>933</v>
      </c>
      <c r="J1399" s="33">
        <v>2022</v>
      </c>
      <c r="K1399" s="33">
        <v>9781891706547</v>
      </c>
      <c r="L1399" s="34"/>
      <c r="M1399" s="33" t="s">
        <v>934</v>
      </c>
      <c r="N1399" s="37" t="s">
        <v>935</v>
      </c>
      <c r="O1399" s="33" t="s">
        <v>936</v>
      </c>
      <c r="P1399" s="33" t="s">
        <v>937</v>
      </c>
      <c r="Q1399" s="33" t="s">
        <v>157</v>
      </c>
      <c r="R1399" s="34"/>
      <c r="S1399" s="38"/>
      <c r="T1399" s="38" t="s">
        <v>12690</v>
      </c>
      <c r="U1399" s="18"/>
      <c r="V1399" s="18"/>
    </row>
    <row r="1400" spans="1:22" x14ac:dyDescent="0.25">
      <c r="A1400" s="33" t="s">
        <v>1593</v>
      </c>
      <c r="B1400" s="33" t="s">
        <v>1592</v>
      </c>
      <c r="C1400" s="33" t="s">
        <v>141</v>
      </c>
      <c r="D1400" s="34"/>
      <c r="E1400" s="33">
        <v>2021</v>
      </c>
      <c r="F1400" s="34"/>
      <c r="G1400" s="34"/>
      <c r="H1400" s="33" t="s">
        <v>1594</v>
      </c>
      <c r="I1400" s="33" t="s">
        <v>153</v>
      </c>
      <c r="J1400" s="33">
        <v>2021</v>
      </c>
      <c r="K1400" s="33">
        <v>9781450385626</v>
      </c>
      <c r="L1400" s="34"/>
      <c r="M1400" s="34"/>
      <c r="N1400" s="37" t="s">
        <v>1595</v>
      </c>
      <c r="O1400" s="33" t="s">
        <v>1596</v>
      </c>
      <c r="P1400" s="33" t="s">
        <v>1597</v>
      </c>
      <c r="Q1400" s="33" t="s">
        <v>1598</v>
      </c>
      <c r="R1400" s="34"/>
      <c r="S1400" s="38"/>
      <c r="T1400" s="38" t="s">
        <v>12690</v>
      </c>
      <c r="U1400" s="18"/>
      <c r="V1400" s="18"/>
    </row>
    <row r="1401" spans="1:22" x14ac:dyDescent="0.25">
      <c r="A1401" s="33" t="s">
        <v>3482</v>
      </c>
      <c r="B1401" s="33" t="s">
        <v>1130</v>
      </c>
      <c r="C1401" s="33" t="s">
        <v>141</v>
      </c>
      <c r="D1401" s="34"/>
      <c r="E1401" s="33">
        <v>2021</v>
      </c>
      <c r="F1401" s="34"/>
      <c r="G1401" s="34"/>
      <c r="H1401" s="33" t="s">
        <v>7731</v>
      </c>
      <c r="I1401" s="33" t="s">
        <v>6225</v>
      </c>
      <c r="J1401" s="43">
        <v>44317</v>
      </c>
      <c r="K1401" s="36"/>
      <c r="L1401" s="36"/>
      <c r="M1401" s="33" t="s">
        <v>6226</v>
      </c>
      <c r="N1401" s="37" t="s">
        <v>7732</v>
      </c>
      <c r="O1401" s="33" t="s">
        <v>3485</v>
      </c>
      <c r="P1401" s="33" t="s">
        <v>7733</v>
      </c>
      <c r="Q1401" s="36"/>
      <c r="R1401" s="36"/>
      <c r="S1401" s="33" t="s">
        <v>7734</v>
      </c>
      <c r="T1401" s="38" t="s">
        <v>12688</v>
      </c>
      <c r="U1401" s="18"/>
      <c r="V1401" s="18"/>
    </row>
    <row r="1402" spans="1:22" x14ac:dyDescent="0.25">
      <c r="A1402" s="33" t="s">
        <v>3482</v>
      </c>
      <c r="B1402" s="33" t="s">
        <v>1130</v>
      </c>
      <c r="C1402" s="33" t="s">
        <v>141</v>
      </c>
      <c r="D1402" s="34"/>
      <c r="E1402" s="33">
        <v>2021</v>
      </c>
      <c r="F1402" s="45">
        <v>44317</v>
      </c>
      <c r="G1402" s="34"/>
      <c r="H1402" s="33" t="s">
        <v>3483</v>
      </c>
      <c r="I1402" s="33" t="s">
        <v>196</v>
      </c>
      <c r="J1402" s="33">
        <v>2021</v>
      </c>
      <c r="K1402" s="33">
        <v>9781665414036</v>
      </c>
      <c r="L1402" s="34"/>
      <c r="M1402" s="34"/>
      <c r="N1402" s="37" t="s">
        <v>3484</v>
      </c>
      <c r="O1402" s="33" t="s">
        <v>3485</v>
      </c>
      <c r="P1402" s="33" t="s">
        <v>3486</v>
      </c>
      <c r="Q1402" s="33" t="s">
        <v>1598</v>
      </c>
      <c r="R1402" s="34"/>
      <c r="S1402" s="38"/>
      <c r="T1402" s="38" t="s">
        <v>12690</v>
      </c>
      <c r="U1402" s="18"/>
      <c r="V1402" s="18"/>
    </row>
    <row r="1403" spans="1:22" x14ac:dyDescent="0.25">
      <c r="A1403" s="33" t="s">
        <v>89</v>
      </c>
      <c r="B1403" s="33" t="s">
        <v>88</v>
      </c>
      <c r="C1403" s="33" t="s">
        <v>13</v>
      </c>
      <c r="D1403" s="33" t="s">
        <v>347</v>
      </c>
      <c r="E1403" s="33">
        <v>2022</v>
      </c>
      <c r="F1403" s="33">
        <v>71</v>
      </c>
      <c r="G1403" s="33">
        <v>3</v>
      </c>
      <c r="H1403" s="33" t="s">
        <v>91</v>
      </c>
      <c r="I1403" s="34"/>
      <c r="J1403" s="43">
        <v>44805</v>
      </c>
      <c r="K1403" s="36"/>
      <c r="L1403" s="36"/>
      <c r="M1403" s="33" t="s">
        <v>6405</v>
      </c>
      <c r="N1403" s="37" t="s">
        <v>93</v>
      </c>
      <c r="O1403" s="33" t="s">
        <v>94</v>
      </c>
      <c r="P1403" s="33" t="s">
        <v>6406</v>
      </c>
      <c r="Q1403" s="36"/>
      <c r="R1403" s="36"/>
      <c r="S1403" s="33" t="s">
        <v>6407</v>
      </c>
      <c r="T1403" s="38" t="s">
        <v>12688</v>
      </c>
      <c r="U1403" s="18"/>
      <c r="V1403" s="18"/>
    </row>
    <row r="1404" spans="1:22" x14ac:dyDescent="0.25">
      <c r="A1404" s="33" t="s">
        <v>89</v>
      </c>
      <c r="B1404" s="33" t="s">
        <v>88</v>
      </c>
      <c r="C1404" s="33" t="s">
        <v>13</v>
      </c>
      <c r="D1404" s="33" t="s">
        <v>347</v>
      </c>
      <c r="E1404" s="33">
        <v>2022</v>
      </c>
      <c r="F1404" s="33">
        <v>71</v>
      </c>
      <c r="G1404" s="33">
        <v>3</v>
      </c>
      <c r="H1404" s="33" t="s">
        <v>720</v>
      </c>
      <c r="I1404" s="33" t="s">
        <v>257</v>
      </c>
      <c r="J1404" s="33">
        <v>2022</v>
      </c>
      <c r="K1404" s="34"/>
      <c r="L1404" s="34"/>
      <c r="M1404" s="33" t="s">
        <v>92</v>
      </c>
      <c r="N1404" s="37" t="s">
        <v>721</v>
      </c>
      <c r="O1404" s="33" t="s">
        <v>94</v>
      </c>
      <c r="P1404" s="33" t="s">
        <v>722</v>
      </c>
      <c r="Q1404" s="33" t="s">
        <v>318</v>
      </c>
      <c r="R1404" s="34"/>
      <c r="S1404" s="38"/>
      <c r="T1404" s="38" t="s">
        <v>12690</v>
      </c>
      <c r="U1404" s="18"/>
      <c r="V1404" s="18"/>
    </row>
    <row r="1405" spans="1:22" x14ac:dyDescent="0.25">
      <c r="A1405" s="33" t="s">
        <v>89</v>
      </c>
      <c r="B1405" s="33" t="s">
        <v>88</v>
      </c>
      <c r="C1405" s="33" t="s">
        <v>13</v>
      </c>
      <c r="D1405" s="33" t="s">
        <v>90</v>
      </c>
      <c r="E1405" s="33">
        <v>2022</v>
      </c>
      <c r="F1405" s="33">
        <v>71</v>
      </c>
      <c r="G1405" s="33">
        <v>3</v>
      </c>
      <c r="H1405" s="33" t="s">
        <v>91</v>
      </c>
      <c r="I1405" s="38" t="s">
        <v>12699</v>
      </c>
      <c r="J1405" s="43">
        <v>44805</v>
      </c>
      <c r="K1405" s="33" t="s">
        <v>92</v>
      </c>
      <c r="L1405" s="38" t="s">
        <v>12699</v>
      </c>
      <c r="M1405" s="38" t="s">
        <v>12699</v>
      </c>
      <c r="N1405" s="37" t="s">
        <v>93</v>
      </c>
      <c r="O1405" s="33" t="s">
        <v>94</v>
      </c>
      <c r="P1405" s="33" t="s">
        <v>95</v>
      </c>
      <c r="Q1405" s="38" t="s">
        <v>12699</v>
      </c>
      <c r="R1405" s="38" t="s">
        <v>12699</v>
      </c>
      <c r="S1405" s="38"/>
      <c r="T1405" s="38" t="s">
        <v>12700</v>
      </c>
      <c r="U1405" s="18"/>
      <c r="V1405" s="18"/>
    </row>
    <row r="1406" spans="1:22" x14ac:dyDescent="0.25">
      <c r="A1406" s="33" t="s">
        <v>11561</v>
      </c>
      <c r="B1406" s="33" t="s">
        <v>6731</v>
      </c>
      <c r="C1406" s="33" t="s">
        <v>141</v>
      </c>
      <c r="D1406" s="34"/>
      <c r="E1406" s="33">
        <v>2022</v>
      </c>
      <c r="F1406" s="34"/>
      <c r="G1406" s="34"/>
      <c r="H1406" s="33" t="s">
        <v>6733</v>
      </c>
      <c r="I1406" s="33" t="s">
        <v>6118</v>
      </c>
      <c r="J1406" s="43">
        <v>44682</v>
      </c>
      <c r="K1406" s="36"/>
      <c r="L1406" s="36"/>
      <c r="M1406" s="34"/>
      <c r="N1406" s="37" t="s">
        <v>6734</v>
      </c>
      <c r="O1406" s="33" t="s">
        <v>6735</v>
      </c>
      <c r="P1406" s="33" t="s">
        <v>6736</v>
      </c>
      <c r="Q1406" s="36"/>
      <c r="R1406" s="36"/>
      <c r="S1406" s="33" t="s">
        <v>6737</v>
      </c>
      <c r="T1406" s="38" t="s">
        <v>12688</v>
      </c>
      <c r="U1406" s="18"/>
      <c r="V1406" s="18"/>
    </row>
    <row r="1407" spans="1:22" x14ac:dyDescent="0.25">
      <c r="A1407" s="33" t="s">
        <v>11561</v>
      </c>
      <c r="B1407" s="33" t="s">
        <v>6731</v>
      </c>
      <c r="C1407" s="33" t="s">
        <v>141</v>
      </c>
      <c r="D1407" s="34"/>
      <c r="E1407" s="33">
        <v>2022</v>
      </c>
      <c r="F1407" s="34"/>
      <c r="G1407" s="34"/>
      <c r="H1407" s="33" t="s">
        <v>11562</v>
      </c>
      <c r="I1407" s="44" t="s">
        <v>12748</v>
      </c>
      <c r="J1407" s="33">
        <v>2022</v>
      </c>
      <c r="K1407" s="33">
        <v>9781450393041</v>
      </c>
      <c r="L1407" s="33" t="s">
        <v>11081</v>
      </c>
      <c r="M1407" s="34"/>
      <c r="N1407" s="37" t="s">
        <v>11563</v>
      </c>
      <c r="O1407" s="33" t="s">
        <v>6735</v>
      </c>
      <c r="P1407" s="33" t="s">
        <v>6736</v>
      </c>
      <c r="Q1407" s="36"/>
      <c r="R1407" s="36"/>
      <c r="S1407" s="33" t="s">
        <v>11564</v>
      </c>
      <c r="T1407" s="33" t="s">
        <v>12692</v>
      </c>
      <c r="U1407" s="18"/>
      <c r="V1407" s="18"/>
    </row>
    <row r="1408" spans="1:22" x14ac:dyDescent="0.25">
      <c r="A1408" s="33" t="s">
        <v>2490</v>
      </c>
      <c r="B1408" s="33" t="s">
        <v>2489</v>
      </c>
      <c r="C1408" s="33" t="s">
        <v>13</v>
      </c>
      <c r="D1408" s="33" t="s">
        <v>354</v>
      </c>
      <c r="E1408" s="33">
        <v>2021</v>
      </c>
      <c r="F1408" s="33">
        <v>176</v>
      </c>
      <c r="G1408" s="34"/>
      <c r="H1408" s="34"/>
      <c r="I1408" s="33" t="s">
        <v>355</v>
      </c>
      <c r="J1408" s="33">
        <v>2021</v>
      </c>
      <c r="K1408" s="34"/>
      <c r="L1408" s="34"/>
      <c r="M1408" s="33" t="s">
        <v>65</v>
      </c>
      <c r="N1408" s="37" t="s">
        <v>2491</v>
      </c>
      <c r="O1408" s="33" t="s">
        <v>2492</v>
      </c>
      <c r="P1408" s="33" t="s">
        <v>2493</v>
      </c>
      <c r="Q1408" s="33" t="s">
        <v>1813</v>
      </c>
      <c r="R1408" s="34"/>
      <c r="S1408" s="38"/>
      <c r="T1408" s="38" t="s">
        <v>12690</v>
      </c>
      <c r="U1408" s="18"/>
      <c r="V1408" s="18"/>
    </row>
    <row r="1409" spans="1:22" x14ac:dyDescent="0.25">
      <c r="A1409" s="33" t="s">
        <v>3292</v>
      </c>
      <c r="B1409" s="33" t="s">
        <v>3291</v>
      </c>
      <c r="C1409" s="33" t="s">
        <v>13</v>
      </c>
      <c r="D1409" s="33" t="s">
        <v>3293</v>
      </c>
      <c r="E1409" s="33">
        <v>2021</v>
      </c>
      <c r="F1409" s="33">
        <v>70</v>
      </c>
      <c r="G1409" s="34"/>
      <c r="H1409" s="34"/>
      <c r="I1409" s="33" t="s">
        <v>257</v>
      </c>
      <c r="J1409" s="33">
        <v>2021</v>
      </c>
      <c r="K1409" s="34"/>
      <c r="L1409" s="34"/>
      <c r="M1409" s="33" t="s">
        <v>3294</v>
      </c>
      <c r="N1409" s="37" t="s">
        <v>3295</v>
      </c>
      <c r="O1409" s="33" t="s">
        <v>3296</v>
      </c>
      <c r="P1409" s="33" t="s">
        <v>3297</v>
      </c>
      <c r="Q1409" s="33" t="s">
        <v>2579</v>
      </c>
      <c r="R1409" s="34"/>
      <c r="S1409" s="38"/>
      <c r="T1409" s="38" t="s">
        <v>12690</v>
      </c>
      <c r="U1409" s="18"/>
      <c r="V1409" s="18"/>
    </row>
    <row r="1410" spans="1:22" x14ac:dyDescent="0.25">
      <c r="A1410" s="33" t="s">
        <v>4416</v>
      </c>
      <c r="B1410" s="33" t="s">
        <v>4415</v>
      </c>
      <c r="C1410" s="33" t="s">
        <v>13</v>
      </c>
      <c r="D1410" s="33" t="s">
        <v>878</v>
      </c>
      <c r="E1410" s="33">
        <v>2019</v>
      </c>
      <c r="F1410" s="33">
        <v>31</v>
      </c>
      <c r="G1410" s="33">
        <v>12</v>
      </c>
      <c r="H1410" s="34"/>
      <c r="I1410" s="33" t="s">
        <v>266</v>
      </c>
      <c r="J1410" s="33">
        <v>2019</v>
      </c>
      <c r="K1410" s="34"/>
      <c r="L1410" s="34"/>
      <c r="M1410" s="33" t="s">
        <v>879</v>
      </c>
      <c r="N1410" s="37" t="s">
        <v>4417</v>
      </c>
      <c r="O1410" s="33" t="s">
        <v>4418</v>
      </c>
      <c r="P1410" s="33" t="s">
        <v>4419</v>
      </c>
      <c r="Q1410" s="33" t="s">
        <v>1573</v>
      </c>
      <c r="R1410" s="34"/>
      <c r="S1410" s="38"/>
      <c r="T1410" s="38" t="s">
        <v>12690</v>
      </c>
      <c r="U1410" s="18"/>
      <c r="V1410" s="18"/>
    </row>
    <row r="1411" spans="1:22" x14ac:dyDescent="0.25">
      <c r="A1411" s="33" t="s">
        <v>12131</v>
      </c>
      <c r="B1411" s="33" t="s">
        <v>12130</v>
      </c>
      <c r="C1411" s="33" t="s">
        <v>141</v>
      </c>
      <c r="D1411" s="34"/>
      <c r="E1411" s="33">
        <v>2017</v>
      </c>
      <c r="F1411" s="34"/>
      <c r="G1411" s="34"/>
      <c r="H1411" s="33" t="s">
        <v>12132</v>
      </c>
      <c r="I1411" s="44" t="s">
        <v>12792</v>
      </c>
      <c r="J1411" s="33">
        <v>2017</v>
      </c>
      <c r="K1411" s="33">
        <v>9781450351768</v>
      </c>
      <c r="L1411" s="33" t="s">
        <v>12139</v>
      </c>
      <c r="M1411" s="34"/>
      <c r="N1411" s="37" t="s">
        <v>12135</v>
      </c>
      <c r="O1411" s="33" t="s">
        <v>12136</v>
      </c>
      <c r="P1411" s="33" t="s">
        <v>12137</v>
      </c>
      <c r="Q1411" s="36"/>
      <c r="R1411" s="36"/>
      <c r="S1411" s="33" t="s">
        <v>12138</v>
      </c>
      <c r="T1411" s="33" t="s">
        <v>12692</v>
      </c>
      <c r="U1411" s="18"/>
      <c r="V1411" s="18"/>
    </row>
    <row r="1412" spans="1:22" x14ac:dyDescent="0.25">
      <c r="A1412" s="39" t="s">
        <v>9942</v>
      </c>
      <c r="B1412" s="39" t="s">
        <v>9944</v>
      </c>
      <c r="C1412" s="39" t="s">
        <v>539</v>
      </c>
      <c r="D1412" s="36"/>
      <c r="E1412" s="39">
        <v>2022</v>
      </c>
      <c r="F1412" s="40"/>
      <c r="G1412" s="40"/>
      <c r="H1412" s="36"/>
      <c r="I1412" s="39" t="s">
        <v>676</v>
      </c>
      <c r="J1412" s="36"/>
      <c r="K1412" s="36"/>
      <c r="L1412" s="36"/>
      <c r="M1412" s="34"/>
      <c r="N1412" s="41" t="s">
        <v>9945</v>
      </c>
      <c r="O1412" s="39" t="s">
        <v>9943</v>
      </c>
      <c r="P1412" s="33"/>
      <c r="Q1412" s="36"/>
      <c r="R1412" s="34"/>
      <c r="S1412" s="38"/>
      <c r="T1412" s="38" t="s">
        <v>12689</v>
      </c>
      <c r="U1412" s="14"/>
      <c r="V1412" s="18"/>
    </row>
    <row r="1413" spans="1:22" x14ac:dyDescent="0.25">
      <c r="A1413" s="33" t="s">
        <v>476</v>
      </c>
      <c r="B1413" s="33" t="s">
        <v>475</v>
      </c>
      <c r="C1413" s="33" t="s">
        <v>13</v>
      </c>
      <c r="D1413" s="33" t="s">
        <v>227</v>
      </c>
      <c r="E1413" s="33">
        <v>2022</v>
      </c>
      <c r="F1413" s="33">
        <v>12</v>
      </c>
      <c r="G1413" s="33">
        <v>21</v>
      </c>
      <c r="H1413" s="34"/>
      <c r="I1413" s="33" t="s">
        <v>228</v>
      </c>
      <c r="J1413" s="33">
        <v>2022</v>
      </c>
      <c r="K1413" s="34"/>
      <c r="L1413" s="34"/>
      <c r="M1413" s="33" t="s">
        <v>229</v>
      </c>
      <c r="N1413" s="37" t="s">
        <v>477</v>
      </c>
      <c r="O1413" s="33" t="s">
        <v>478</v>
      </c>
      <c r="P1413" s="33" t="s">
        <v>479</v>
      </c>
      <c r="Q1413" s="33" t="s">
        <v>233</v>
      </c>
      <c r="R1413" s="34"/>
      <c r="S1413" s="38"/>
      <c r="T1413" s="38" t="s">
        <v>12690</v>
      </c>
      <c r="U1413" s="18"/>
      <c r="V1413" s="18"/>
    </row>
    <row r="1414" spans="1:22" x14ac:dyDescent="0.25">
      <c r="A1414" s="39" t="s">
        <v>10786</v>
      </c>
      <c r="B1414" s="39" t="s">
        <v>10788</v>
      </c>
      <c r="C1414" s="39" t="s">
        <v>9478</v>
      </c>
      <c r="D1414" s="36"/>
      <c r="E1414" s="39">
        <v>2023</v>
      </c>
      <c r="F1414" s="40"/>
      <c r="G1414" s="40"/>
      <c r="H1414" s="36"/>
      <c r="I1414" s="39" t="s">
        <v>10785</v>
      </c>
      <c r="J1414" s="36"/>
      <c r="K1414" s="36"/>
      <c r="L1414" s="36"/>
      <c r="M1414" s="34"/>
      <c r="N1414" s="41" t="s">
        <v>10789</v>
      </c>
      <c r="O1414" s="39" t="s">
        <v>10787</v>
      </c>
      <c r="P1414" s="33"/>
      <c r="Q1414" s="36"/>
      <c r="R1414" s="34"/>
      <c r="S1414" s="38"/>
      <c r="T1414" s="38" t="s">
        <v>12689</v>
      </c>
      <c r="U1414" s="18"/>
      <c r="V1414" s="18"/>
    </row>
    <row r="1415" spans="1:22" x14ac:dyDescent="0.25">
      <c r="A1415" s="39" t="s">
        <v>11038</v>
      </c>
      <c r="B1415" s="39" t="s">
        <v>10263</v>
      </c>
      <c r="C1415" s="39" t="s">
        <v>9478</v>
      </c>
      <c r="D1415" s="36"/>
      <c r="E1415" s="39">
        <v>2022</v>
      </c>
      <c r="F1415" s="39">
        <v>17</v>
      </c>
      <c r="G1415" s="40"/>
      <c r="H1415" s="36"/>
      <c r="I1415" s="39" t="s">
        <v>11037</v>
      </c>
      <c r="J1415" s="36"/>
      <c r="K1415" s="36"/>
      <c r="L1415" s="36"/>
      <c r="M1415" s="34"/>
      <c r="N1415" s="41" t="s">
        <v>11040</v>
      </c>
      <c r="O1415" s="39" t="s">
        <v>11039</v>
      </c>
      <c r="P1415" s="33"/>
      <c r="Q1415" s="36"/>
      <c r="R1415" s="34"/>
      <c r="S1415" s="38"/>
      <c r="T1415" s="38" t="s">
        <v>12689</v>
      </c>
      <c r="U1415" s="18"/>
      <c r="V1415" s="18"/>
    </row>
    <row r="1416" spans="1:22" x14ac:dyDescent="0.25">
      <c r="A1416" s="33" t="s">
        <v>151</v>
      </c>
      <c r="B1416" s="33" t="s">
        <v>150</v>
      </c>
      <c r="C1416" s="33" t="s">
        <v>141</v>
      </c>
      <c r="D1416" s="34"/>
      <c r="E1416" s="33">
        <v>2022</v>
      </c>
      <c r="F1416" s="34"/>
      <c r="G1416" s="34"/>
      <c r="H1416" s="33" t="s">
        <v>152</v>
      </c>
      <c r="I1416" s="33" t="s">
        <v>153</v>
      </c>
      <c r="J1416" s="33">
        <v>2022</v>
      </c>
      <c r="K1416" s="33">
        <v>9781450394567</v>
      </c>
      <c r="L1416" s="34"/>
      <c r="M1416" s="34"/>
      <c r="N1416" s="37" t="s">
        <v>154</v>
      </c>
      <c r="O1416" s="33" t="s">
        <v>155</v>
      </c>
      <c r="P1416" s="33" t="s">
        <v>156</v>
      </c>
      <c r="Q1416" s="33" t="s">
        <v>157</v>
      </c>
      <c r="R1416" s="34"/>
      <c r="S1416" s="38"/>
      <c r="T1416" s="38" t="s">
        <v>12690</v>
      </c>
      <c r="U1416" s="18"/>
      <c r="V1416" s="18"/>
    </row>
    <row r="1417" spans="1:22" x14ac:dyDescent="0.25">
      <c r="A1417" s="33" t="s">
        <v>11245</v>
      </c>
      <c r="B1417" s="33" t="s">
        <v>4306</v>
      </c>
      <c r="C1417" s="33" t="s">
        <v>13</v>
      </c>
      <c r="D1417" s="33" t="s">
        <v>11246</v>
      </c>
      <c r="E1417" s="33">
        <v>2019</v>
      </c>
      <c r="F1417" s="33">
        <v>28</v>
      </c>
      <c r="G1417" s="33">
        <v>3</v>
      </c>
      <c r="H1417" s="34"/>
      <c r="I1417" s="44" t="s">
        <v>12710</v>
      </c>
      <c r="J1417" s="43">
        <v>43647</v>
      </c>
      <c r="K1417" s="34"/>
      <c r="L1417" s="34"/>
      <c r="M1417" s="33" t="s">
        <v>329</v>
      </c>
      <c r="N1417" s="37" t="s">
        <v>11247</v>
      </c>
      <c r="O1417" s="33" t="s">
        <v>4309</v>
      </c>
      <c r="P1417" s="33" t="s">
        <v>11248</v>
      </c>
      <c r="Q1417" s="36"/>
      <c r="R1417" s="36"/>
      <c r="S1417" s="33" t="s">
        <v>11249</v>
      </c>
      <c r="T1417" s="33" t="s">
        <v>12692</v>
      </c>
      <c r="U1417" s="14"/>
      <c r="V1417" s="18"/>
    </row>
    <row r="1418" spans="1:22" x14ac:dyDescent="0.25">
      <c r="A1418" s="33" t="s">
        <v>11245</v>
      </c>
      <c r="B1418" s="33" t="s">
        <v>4306</v>
      </c>
      <c r="C1418" s="33" t="s">
        <v>13</v>
      </c>
      <c r="D1418" s="33" t="s">
        <v>328</v>
      </c>
      <c r="E1418" s="33">
        <v>2019</v>
      </c>
      <c r="F1418" s="33">
        <v>28</v>
      </c>
      <c r="G1418" s="33">
        <v>3</v>
      </c>
      <c r="H1418" s="34"/>
      <c r="I1418" s="33" t="s">
        <v>145</v>
      </c>
      <c r="J1418" s="33">
        <v>2019</v>
      </c>
      <c r="K1418" s="34"/>
      <c r="L1418" s="34"/>
      <c r="M1418" s="33" t="s">
        <v>329</v>
      </c>
      <c r="N1418" s="37" t="s">
        <v>4308</v>
      </c>
      <c r="O1418" s="33" t="s">
        <v>4309</v>
      </c>
      <c r="P1418" s="33" t="s">
        <v>4310</v>
      </c>
      <c r="Q1418" s="33" t="s">
        <v>4311</v>
      </c>
      <c r="R1418" s="34"/>
      <c r="S1418" s="38"/>
      <c r="T1418" s="38" t="s">
        <v>12690</v>
      </c>
      <c r="U1418" s="18"/>
      <c r="V1418" s="18"/>
    </row>
    <row r="1419" spans="1:22" x14ac:dyDescent="0.25">
      <c r="A1419" s="33" t="s">
        <v>1779</v>
      </c>
      <c r="B1419" s="33" t="s">
        <v>1778</v>
      </c>
      <c r="C1419" s="33" t="s">
        <v>141</v>
      </c>
      <c r="D1419" s="34"/>
      <c r="E1419" s="33">
        <v>2022</v>
      </c>
      <c r="F1419" s="34"/>
      <c r="G1419" s="34"/>
      <c r="H1419" s="33" t="s">
        <v>1780</v>
      </c>
      <c r="I1419" s="33" t="s">
        <v>257</v>
      </c>
      <c r="J1419" s="33">
        <v>2022</v>
      </c>
      <c r="K1419" s="33">
        <v>9781665437868</v>
      </c>
      <c r="L1419" s="34"/>
      <c r="M1419" s="34"/>
      <c r="N1419" s="37" t="s">
        <v>1781</v>
      </c>
      <c r="O1419" s="33" t="s">
        <v>1782</v>
      </c>
      <c r="P1419" s="33" t="s">
        <v>1783</v>
      </c>
      <c r="Q1419" s="33" t="s">
        <v>289</v>
      </c>
      <c r="R1419" s="34"/>
      <c r="S1419" s="38"/>
      <c r="T1419" s="38" t="s">
        <v>12690</v>
      </c>
      <c r="U1419" s="18"/>
      <c r="V1419" s="18"/>
    </row>
    <row r="1420" spans="1:22" x14ac:dyDescent="0.25">
      <c r="A1420" s="33" t="s">
        <v>168</v>
      </c>
      <c r="B1420" s="33" t="s">
        <v>167</v>
      </c>
      <c r="C1420" s="33" t="s">
        <v>13</v>
      </c>
      <c r="D1420" s="33" t="s">
        <v>169</v>
      </c>
      <c r="E1420" s="33">
        <v>2022</v>
      </c>
      <c r="F1420" s="33">
        <v>110</v>
      </c>
      <c r="G1420" s="33">
        <v>17</v>
      </c>
      <c r="H1420" s="33" t="s">
        <v>170</v>
      </c>
      <c r="I1420" s="33" t="s">
        <v>171</v>
      </c>
      <c r="J1420" s="33">
        <v>2022</v>
      </c>
      <c r="K1420" s="34"/>
      <c r="L1420" s="34"/>
      <c r="M1420" s="33" t="s">
        <v>172</v>
      </c>
      <c r="N1420" s="37" t="s">
        <v>173</v>
      </c>
      <c r="O1420" s="33" t="s">
        <v>174</v>
      </c>
      <c r="P1420" s="33" t="s">
        <v>175</v>
      </c>
      <c r="Q1420" s="33" t="s">
        <v>176</v>
      </c>
      <c r="R1420" s="34"/>
      <c r="S1420" s="38"/>
      <c r="T1420" s="38" t="s">
        <v>12690</v>
      </c>
      <c r="U1420" s="18"/>
      <c r="V1420" s="14"/>
    </row>
    <row r="1421" spans="1:22" x14ac:dyDescent="0.25">
      <c r="A1421" s="39" t="s">
        <v>10261</v>
      </c>
      <c r="B1421" s="39" t="s">
        <v>10263</v>
      </c>
      <c r="C1421" s="39" t="s">
        <v>9478</v>
      </c>
      <c r="D1421" s="36"/>
      <c r="E1421" s="39">
        <v>2022</v>
      </c>
      <c r="F1421" s="39">
        <v>17</v>
      </c>
      <c r="G1421" s="40"/>
      <c r="H1421" s="36"/>
      <c r="I1421" s="39" t="s">
        <v>10260</v>
      </c>
      <c r="J1421" s="36"/>
      <c r="K1421" s="36"/>
      <c r="L1421" s="36"/>
      <c r="M1421" s="34"/>
      <c r="N1421" s="41" t="s">
        <v>10264</v>
      </c>
      <c r="O1421" s="39" t="s">
        <v>10262</v>
      </c>
      <c r="P1421" s="33"/>
      <c r="Q1421" s="36"/>
      <c r="R1421" s="34"/>
      <c r="S1421" s="38"/>
      <c r="T1421" s="38" t="s">
        <v>12689</v>
      </c>
      <c r="U1421" s="18"/>
      <c r="V1421" s="18"/>
    </row>
    <row r="1422" spans="1:22" x14ac:dyDescent="0.25">
      <c r="A1422" s="39" t="s">
        <v>9306</v>
      </c>
      <c r="B1422" s="39" t="s">
        <v>9308</v>
      </c>
      <c r="C1422" s="39" t="s">
        <v>539</v>
      </c>
      <c r="D1422" s="36"/>
      <c r="E1422" s="39">
        <v>2023</v>
      </c>
      <c r="F1422" s="40"/>
      <c r="G1422" s="40"/>
      <c r="H1422" s="36"/>
      <c r="I1422" s="39" t="s">
        <v>676</v>
      </c>
      <c r="J1422" s="36"/>
      <c r="K1422" s="36"/>
      <c r="L1422" s="36"/>
      <c r="M1422" s="34"/>
      <c r="N1422" s="41" t="s">
        <v>9309</v>
      </c>
      <c r="O1422" s="39" t="s">
        <v>9307</v>
      </c>
      <c r="P1422" s="33"/>
      <c r="Q1422" s="36"/>
      <c r="R1422" s="34"/>
      <c r="S1422" s="38"/>
      <c r="T1422" s="38" t="s">
        <v>12689</v>
      </c>
      <c r="U1422" s="18"/>
      <c r="V1422" s="18"/>
    </row>
    <row r="1423" spans="1:22" x14ac:dyDescent="0.25">
      <c r="A1423" s="39" t="s">
        <v>9993</v>
      </c>
      <c r="B1423" s="39" t="s">
        <v>9995</v>
      </c>
      <c r="C1423" s="39" t="s">
        <v>9539</v>
      </c>
      <c r="D1423" s="36"/>
      <c r="E1423" s="39">
        <v>2018</v>
      </c>
      <c r="F1423" s="40"/>
      <c r="G1423" s="40"/>
      <c r="H1423" s="36"/>
      <c r="I1423" s="39" t="s">
        <v>9992</v>
      </c>
      <c r="J1423" s="36"/>
      <c r="K1423" s="36"/>
      <c r="L1423" s="36"/>
      <c r="M1423" s="34"/>
      <c r="N1423" s="41" t="s">
        <v>9996</v>
      </c>
      <c r="O1423" s="39" t="s">
        <v>9994</v>
      </c>
      <c r="P1423" s="33"/>
      <c r="Q1423" s="36"/>
      <c r="R1423" s="34"/>
      <c r="S1423" s="38"/>
      <c r="T1423" s="38" t="s">
        <v>12689</v>
      </c>
      <c r="U1423" s="18"/>
      <c r="V1423" s="18"/>
    </row>
    <row r="1424" spans="1:22" x14ac:dyDescent="0.25">
      <c r="A1424" s="33" t="s">
        <v>4783</v>
      </c>
      <c r="B1424" s="33" t="s">
        <v>4782</v>
      </c>
      <c r="C1424" s="33" t="s">
        <v>141</v>
      </c>
      <c r="D1424" s="34"/>
      <c r="E1424" s="33">
        <v>2019</v>
      </c>
      <c r="F1424" s="34"/>
      <c r="G1424" s="34"/>
      <c r="H1424" s="33" t="s">
        <v>4784</v>
      </c>
      <c r="I1424" s="33" t="s">
        <v>153</v>
      </c>
      <c r="J1424" s="33">
        <v>2019</v>
      </c>
      <c r="K1424" s="33">
        <v>9781450369954</v>
      </c>
      <c r="L1424" s="34"/>
      <c r="M1424" s="34"/>
      <c r="N1424" s="37" t="s">
        <v>4785</v>
      </c>
      <c r="O1424" s="33" t="s">
        <v>4786</v>
      </c>
      <c r="P1424" s="33" t="s">
        <v>4787</v>
      </c>
      <c r="Q1424" s="33" t="s">
        <v>520</v>
      </c>
      <c r="R1424" s="34"/>
      <c r="S1424" s="38"/>
      <c r="T1424" s="38" t="s">
        <v>12690</v>
      </c>
      <c r="U1424" s="18"/>
      <c r="V1424" s="18"/>
    </row>
    <row r="1425" spans="1:22" x14ac:dyDescent="0.25">
      <c r="A1425" s="33" t="s">
        <v>779</v>
      </c>
      <c r="B1425" s="33" t="s">
        <v>778</v>
      </c>
      <c r="C1425" s="33" t="s">
        <v>13</v>
      </c>
      <c r="D1425" s="33" t="s">
        <v>691</v>
      </c>
      <c r="E1425" s="33">
        <v>2023</v>
      </c>
      <c r="F1425" s="34"/>
      <c r="G1425" s="34"/>
      <c r="H1425" s="34"/>
      <c r="I1425" s="33" t="s">
        <v>212</v>
      </c>
      <c r="J1425" s="33">
        <v>2023</v>
      </c>
      <c r="K1425" s="34"/>
      <c r="L1425" s="34"/>
      <c r="M1425" s="33" t="s">
        <v>692</v>
      </c>
      <c r="N1425" s="37" t="s">
        <v>780</v>
      </c>
      <c r="O1425" s="33" t="s">
        <v>781</v>
      </c>
      <c r="P1425" s="33" t="s">
        <v>782</v>
      </c>
      <c r="Q1425" s="33" t="s">
        <v>157</v>
      </c>
      <c r="R1425" s="34"/>
      <c r="S1425" s="38"/>
      <c r="T1425" s="38" t="s">
        <v>12690</v>
      </c>
      <c r="U1425" s="18"/>
      <c r="V1425" s="18"/>
    </row>
    <row r="1426" spans="1:22" x14ac:dyDescent="0.25">
      <c r="A1426" s="39" t="s">
        <v>779</v>
      </c>
      <c r="B1426" s="39" t="s">
        <v>10133</v>
      </c>
      <c r="C1426" s="39" t="s">
        <v>9478</v>
      </c>
      <c r="D1426" s="36"/>
      <c r="E1426" s="39">
        <v>2023</v>
      </c>
      <c r="F1426" s="40"/>
      <c r="G1426" s="40"/>
      <c r="H1426" s="36"/>
      <c r="I1426" s="39" t="s">
        <v>691</v>
      </c>
      <c r="J1426" s="36"/>
      <c r="K1426" s="36"/>
      <c r="L1426" s="36"/>
      <c r="M1426" s="34"/>
      <c r="N1426" s="41" t="s">
        <v>10134</v>
      </c>
      <c r="O1426" s="39" t="s">
        <v>781</v>
      </c>
      <c r="P1426" s="33"/>
      <c r="Q1426" s="36"/>
      <c r="R1426" s="34"/>
      <c r="S1426" s="38"/>
      <c r="T1426" s="38" t="s">
        <v>12689</v>
      </c>
      <c r="U1426" s="18"/>
      <c r="V1426" s="18"/>
    </row>
    <row r="1427" spans="1:22" x14ac:dyDescent="0.25">
      <c r="A1427" s="33" t="s">
        <v>2712</v>
      </c>
      <c r="B1427" s="33" t="s">
        <v>2711</v>
      </c>
      <c r="C1427" s="33" t="s">
        <v>141</v>
      </c>
      <c r="D1427" s="34"/>
      <c r="E1427" s="33">
        <v>2021</v>
      </c>
      <c r="F1427" s="34"/>
      <c r="G1427" s="34"/>
      <c r="H1427" s="33" t="s">
        <v>6900</v>
      </c>
      <c r="I1427" s="33" t="s">
        <v>6901</v>
      </c>
      <c r="J1427" s="43">
        <v>44440</v>
      </c>
      <c r="K1427" s="36"/>
      <c r="L1427" s="36"/>
      <c r="M1427" s="33" t="s">
        <v>6902</v>
      </c>
      <c r="N1427" s="37" t="s">
        <v>6903</v>
      </c>
      <c r="O1427" s="33" t="s">
        <v>2715</v>
      </c>
      <c r="P1427" s="33" t="s">
        <v>6904</v>
      </c>
      <c r="Q1427" s="36"/>
      <c r="R1427" s="36"/>
      <c r="S1427" s="33" t="s">
        <v>6905</v>
      </c>
      <c r="T1427" s="38" t="s">
        <v>12688</v>
      </c>
      <c r="U1427" s="18"/>
      <c r="V1427" s="18"/>
    </row>
    <row r="1428" spans="1:22" x14ac:dyDescent="0.25">
      <c r="A1428" s="33" t="s">
        <v>2712</v>
      </c>
      <c r="B1428" s="33" t="s">
        <v>2711</v>
      </c>
      <c r="C1428" s="33" t="s">
        <v>141</v>
      </c>
      <c r="D1428" s="34"/>
      <c r="E1428" s="33">
        <v>2021</v>
      </c>
      <c r="F1428" s="34"/>
      <c r="G1428" s="34"/>
      <c r="H1428" s="33" t="s">
        <v>2713</v>
      </c>
      <c r="I1428" s="33" t="s">
        <v>196</v>
      </c>
      <c r="J1428" s="33">
        <v>2021</v>
      </c>
      <c r="K1428" s="33">
        <v>9781665428569</v>
      </c>
      <c r="L1428" s="34"/>
      <c r="M1428" s="33" t="s">
        <v>322</v>
      </c>
      <c r="N1428" s="37" t="s">
        <v>2714</v>
      </c>
      <c r="O1428" s="33" t="s">
        <v>2715</v>
      </c>
      <c r="P1428" s="33" t="s">
        <v>2716</v>
      </c>
      <c r="Q1428" s="33" t="s">
        <v>2717</v>
      </c>
      <c r="R1428" s="34"/>
      <c r="S1428" s="38"/>
      <c r="T1428" s="38" t="s">
        <v>12690</v>
      </c>
      <c r="U1428" s="18"/>
      <c r="V1428" s="18"/>
    </row>
    <row r="1429" spans="1:22" x14ac:dyDescent="0.25">
      <c r="A1429" s="33" t="s">
        <v>8709</v>
      </c>
      <c r="B1429" s="33" t="s">
        <v>8708</v>
      </c>
      <c r="C1429" s="33" t="s">
        <v>13</v>
      </c>
      <c r="D1429" s="33" t="s">
        <v>354</v>
      </c>
      <c r="E1429" s="33">
        <v>2019</v>
      </c>
      <c r="F1429" s="33">
        <v>152</v>
      </c>
      <c r="G1429" s="36"/>
      <c r="H1429" s="33" t="s">
        <v>8710</v>
      </c>
      <c r="I1429" s="36"/>
      <c r="J1429" s="33">
        <v>2019</v>
      </c>
      <c r="K1429" s="34"/>
      <c r="L1429" s="34"/>
      <c r="M1429" s="33" t="s">
        <v>65</v>
      </c>
      <c r="N1429" s="37" t="s">
        <v>8711</v>
      </c>
      <c r="O1429" s="33" t="s">
        <v>8712</v>
      </c>
      <c r="P1429" s="33" t="s">
        <v>8713</v>
      </c>
      <c r="Q1429" s="36"/>
      <c r="R1429" s="36"/>
      <c r="S1429" s="33" t="s">
        <v>8714</v>
      </c>
      <c r="T1429" s="38" t="s">
        <v>12693</v>
      </c>
      <c r="U1429" s="18"/>
      <c r="V1429" s="18"/>
    </row>
    <row r="1430" spans="1:22" x14ac:dyDescent="0.25">
      <c r="A1430" s="33" t="s">
        <v>4569</v>
      </c>
      <c r="B1430" s="33" t="s">
        <v>4568</v>
      </c>
      <c r="C1430" s="33" t="s">
        <v>13</v>
      </c>
      <c r="D1430" s="33" t="s">
        <v>209</v>
      </c>
      <c r="E1430" s="33">
        <v>2019</v>
      </c>
      <c r="F1430" s="33" t="s">
        <v>4570</v>
      </c>
      <c r="G1430" s="34"/>
      <c r="H1430" s="33" t="s">
        <v>4571</v>
      </c>
      <c r="I1430" s="33" t="s">
        <v>4155</v>
      </c>
      <c r="J1430" s="33">
        <v>2019</v>
      </c>
      <c r="K1430" s="34"/>
      <c r="L1430" s="34"/>
      <c r="M1430" s="33" t="s">
        <v>213</v>
      </c>
      <c r="N1430" s="37" t="s">
        <v>4572</v>
      </c>
      <c r="O1430" s="33" t="s">
        <v>4573</v>
      </c>
      <c r="P1430" s="33" t="s">
        <v>4574</v>
      </c>
      <c r="Q1430" s="33" t="s">
        <v>318</v>
      </c>
      <c r="R1430" s="34"/>
      <c r="S1430" s="38"/>
      <c r="T1430" s="38" t="s">
        <v>12690</v>
      </c>
      <c r="U1430" s="18"/>
      <c r="V1430" s="18"/>
    </row>
    <row r="1431" spans="1:22" x14ac:dyDescent="0.25">
      <c r="A1431" s="33" t="s">
        <v>6037</v>
      </c>
      <c r="B1431" s="33" t="s">
        <v>6036</v>
      </c>
      <c r="C1431" s="33" t="s">
        <v>141</v>
      </c>
      <c r="D1431" s="34"/>
      <c r="E1431" s="33">
        <v>2016</v>
      </c>
      <c r="F1431" s="34"/>
      <c r="G1431" s="34"/>
      <c r="H1431" s="33" t="s">
        <v>6038</v>
      </c>
      <c r="I1431" s="33" t="s">
        <v>257</v>
      </c>
      <c r="J1431" s="33">
        <v>2016</v>
      </c>
      <c r="K1431" s="33">
        <v>9781509036011</v>
      </c>
      <c r="L1431" s="34"/>
      <c r="M1431" s="34"/>
      <c r="N1431" s="37" t="s">
        <v>6039</v>
      </c>
      <c r="O1431" s="33" t="s">
        <v>6040</v>
      </c>
      <c r="P1431" s="33" t="s">
        <v>6041</v>
      </c>
      <c r="Q1431" s="33" t="s">
        <v>2420</v>
      </c>
      <c r="R1431" s="34"/>
      <c r="S1431" s="38"/>
      <c r="T1431" s="38" t="s">
        <v>12690</v>
      </c>
      <c r="U1431" s="18"/>
      <c r="V1431" s="18"/>
    </row>
    <row r="1432" spans="1:22" x14ac:dyDescent="0.25">
      <c r="A1432" s="39" t="s">
        <v>10378</v>
      </c>
      <c r="B1432" s="39" t="s">
        <v>10380</v>
      </c>
      <c r="C1432" s="39" t="s">
        <v>9478</v>
      </c>
      <c r="D1432" s="36"/>
      <c r="E1432" s="39">
        <v>2022</v>
      </c>
      <c r="F1432" s="40"/>
      <c r="G1432" s="40"/>
      <c r="H1432" s="36"/>
      <c r="I1432" s="39" t="s">
        <v>523</v>
      </c>
      <c r="J1432" s="36"/>
      <c r="K1432" s="36"/>
      <c r="L1432" s="36"/>
      <c r="M1432" s="34"/>
      <c r="N1432" s="41" t="s">
        <v>10381</v>
      </c>
      <c r="O1432" s="39" t="s">
        <v>10379</v>
      </c>
      <c r="P1432" s="33"/>
      <c r="Q1432" s="36"/>
      <c r="R1432" s="34"/>
      <c r="S1432" s="38"/>
      <c r="T1432" s="38" t="s">
        <v>12689</v>
      </c>
      <c r="U1432" s="18"/>
      <c r="V1432" s="18"/>
    </row>
    <row r="1433" spans="1:22" x14ac:dyDescent="0.25">
      <c r="A1433" s="33" t="s">
        <v>12506</v>
      </c>
      <c r="B1433" s="33" t="s">
        <v>3204</v>
      </c>
      <c r="C1433" s="33" t="s">
        <v>141</v>
      </c>
      <c r="D1433" s="34"/>
      <c r="E1433" s="33">
        <v>2020</v>
      </c>
      <c r="F1433" s="34"/>
      <c r="G1433" s="34"/>
      <c r="H1433" s="33" t="s">
        <v>12507</v>
      </c>
      <c r="I1433" s="44" t="s">
        <v>12793</v>
      </c>
      <c r="J1433" s="33">
        <v>2020</v>
      </c>
      <c r="K1433" s="33">
        <v>9781450379588</v>
      </c>
      <c r="L1433" s="33" t="s">
        <v>11899</v>
      </c>
      <c r="M1433" s="34"/>
      <c r="N1433" s="37" t="s">
        <v>12508</v>
      </c>
      <c r="O1433" s="33" t="s">
        <v>3208</v>
      </c>
      <c r="P1433" s="33" t="s">
        <v>12509</v>
      </c>
      <c r="Q1433" s="36"/>
      <c r="R1433" s="36"/>
      <c r="S1433" s="33" t="s">
        <v>12510</v>
      </c>
      <c r="T1433" s="33" t="s">
        <v>12692</v>
      </c>
      <c r="U1433" s="18"/>
      <c r="V1433" s="18"/>
    </row>
    <row r="1434" spans="1:22" x14ac:dyDescent="0.25">
      <c r="A1434" s="33" t="s">
        <v>12506</v>
      </c>
      <c r="B1434" s="33" t="s">
        <v>3204</v>
      </c>
      <c r="C1434" s="33" t="s">
        <v>141</v>
      </c>
      <c r="D1434" s="34"/>
      <c r="E1434" s="33">
        <v>2020</v>
      </c>
      <c r="F1434" s="34"/>
      <c r="G1434" s="34"/>
      <c r="H1434" s="33" t="s">
        <v>3206</v>
      </c>
      <c r="I1434" s="33" t="s">
        <v>196</v>
      </c>
      <c r="J1434" s="33">
        <v>2020</v>
      </c>
      <c r="K1434" s="33">
        <v>9781450379588</v>
      </c>
      <c r="L1434" s="34"/>
      <c r="M1434" s="34"/>
      <c r="N1434" s="37" t="s">
        <v>3207</v>
      </c>
      <c r="O1434" s="33" t="s">
        <v>3208</v>
      </c>
      <c r="P1434" s="33" t="s">
        <v>3209</v>
      </c>
      <c r="Q1434" s="33" t="s">
        <v>176</v>
      </c>
      <c r="R1434" s="34"/>
      <c r="S1434" s="38"/>
      <c r="T1434" s="38" t="s">
        <v>12690</v>
      </c>
      <c r="U1434" s="18"/>
      <c r="V1434" s="18"/>
    </row>
    <row r="1435" spans="1:22" x14ac:dyDescent="0.25">
      <c r="A1435" s="33" t="s">
        <v>3682</v>
      </c>
      <c r="B1435" s="33" t="s">
        <v>3681</v>
      </c>
      <c r="C1435" s="33" t="s">
        <v>141</v>
      </c>
      <c r="D1435" s="34"/>
      <c r="E1435" s="33">
        <v>2021</v>
      </c>
      <c r="F1435" s="34"/>
      <c r="G1435" s="34"/>
      <c r="H1435" s="34"/>
      <c r="I1435" s="33" t="s">
        <v>3683</v>
      </c>
      <c r="J1435" s="33">
        <v>2021</v>
      </c>
      <c r="K1435" s="33">
        <v>9781733632584</v>
      </c>
      <c r="L1435" s="34"/>
      <c r="M1435" s="34"/>
      <c r="N1435" s="37" t="s">
        <v>3684</v>
      </c>
      <c r="O1435" s="34"/>
      <c r="P1435" s="33" t="s">
        <v>3685</v>
      </c>
      <c r="Q1435" s="33" t="s">
        <v>157</v>
      </c>
      <c r="R1435" s="34"/>
      <c r="S1435" s="38"/>
      <c r="T1435" s="38" t="s">
        <v>12690</v>
      </c>
      <c r="U1435" s="18"/>
      <c r="V1435" s="18"/>
    </row>
    <row r="1436" spans="1:22" x14ac:dyDescent="0.25">
      <c r="A1436" s="33" t="s">
        <v>7529</v>
      </c>
      <c r="B1436" s="33" t="s">
        <v>7528</v>
      </c>
      <c r="C1436" s="33" t="s">
        <v>13</v>
      </c>
      <c r="D1436" s="33" t="s">
        <v>255</v>
      </c>
      <c r="E1436" s="33">
        <v>2021</v>
      </c>
      <c r="F1436" s="33">
        <v>47</v>
      </c>
      <c r="G1436" s="33">
        <v>7</v>
      </c>
      <c r="H1436" s="33" t="s">
        <v>7530</v>
      </c>
      <c r="I1436" s="34"/>
      <c r="J1436" s="43">
        <v>44378</v>
      </c>
      <c r="K1436" s="36"/>
      <c r="L1436" s="36"/>
      <c r="M1436" s="33" t="s">
        <v>6115</v>
      </c>
      <c r="N1436" s="37" t="s">
        <v>7531</v>
      </c>
      <c r="O1436" s="33" t="s">
        <v>7532</v>
      </c>
      <c r="P1436" s="33" t="s">
        <v>7533</v>
      </c>
      <c r="Q1436" s="36"/>
      <c r="R1436" s="36"/>
      <c r="S1436" s="33" t="s">
        <v>7534</v>
      </c>
      <c r="T1436" s="38" t="s">
        <v>12688</v>
      </c>
      <c r="U1436" s="18"/>
      <c r="V1436" s="18"/>
    </row>
    <row r="1437" spans="1:22" x14ac:dyDescent="0.25">
      <c r="A1437" s="33" t="s">
        <v>3703</v>
      </c>
      <c r="B1437" s="33" t="s">
        <v>3702</v>
      </c>
      <c r="C1437" s="33" t="s">
        <v>141</v>
      </c>
      <c r="D1437" s="34"/>
      <c r="E1437" s="33">
        <v>2021</v>
      </c>
      <c r="F1437" s="34"/>
      <c r="G1437" s="34"/>
      <c r="H1437" s="33" t="s">
        <v>3704</v>
      </c>
      <c r="I1437" s="33" t="s">
        <v>257</v>
      </c>
      <c r="J1437" s="33">
        <v>2021</v>
      </c>
      <c r="K1437" s="33">
        <v>9781665437363</v>
      </c>
      <c r="L1437" s="34"/>
      <c r="M1437" s="34"/>
      <c r="N1437" s="37" t="s">
        <v>3705</v>
      </c>
      <c r="O1437" s="33" t="s">
        <v>3706</v>
      </c>
      <c r="P1437" s="33" t="s">
        <v>3707</v>
      </c>
      <c r="Q1437" s="33" t="s">
        <v>520</v>
      </c>
      <c r="R1437" s="34"/>
      <c r="S1437" s="38"/>
      <c r="T1437" s="38" t="s">
        <v>12690</v>
      </c>
      <c r="U1437" s="18"/>
      <c r="V1437" s="18"/>
    </row>
    <row r="1438" spans="1:22" x14ac:dyDescent="0.25">
      <c r="A1438" s="39" t="s">
        <v>4475</v>
      </c>
      <c r="B1438" s="39" t="s">
        <v>10310</v>
      </c>
      <c r="C1438" s="39" t="s">
        <v>9539</v>
      </c>
      <c r="D1438" s="36"/>
      <c r="E1438" s="39">
        <v>2020</v>
      </c>
      <c r="F1438" s="40"/>
      <c r="G1438" s="40"/>
      <c r="H1438" s="36"/>
      <c r="I1438" s="39" t="s">
        <v>10309</v>
      </c>
      <c r="J1438" s="36"/>
      <c r="K1438" s="36"/>
      <c r="L1438" s="36"/>
      <c r="M1438" s="34"/>
      <c r="N1438" s="41" t="s">
        <v>10311</v>
      </c>
      <c r="O1438" s="39" t="s">
        <v>4479</v>
      </c>
      <c r="P1438" s="33"/>
      <c r="Q1438" s="36"/>
      <c r="R1438" s="34"/>
      <c r="S1438" s="38"/>
      <c r="T1438" s="38" t="s">
        <v>12689</v>
      </c>
      <c r="U1438" s="18"/>
      <c r="V1438" s="18"/>
    </row>
    <row r="1439" spans="1:22" x14ac:dyDescent="0.25">
      <c r="A1439" s="33" t="s">
        <v>4475</v>
      </c>
      <c r="B1439" s="33" t="s">
        <v>4474</v>
      </c>
      <c r="C1439" s="33" t="s">
        <v>13</v>
      </c>
      <c r="D1439" s="33" t="s">
        <v>462</v>
      </c>
      <c r="E1439" s="33">
        <v>2020</v>
      </c>
      <c r="F1439" s="33" t="s">
        <v>4476</v>
      </c>
      <c r="G1439" s="34"/>
      <c r="H1439" s="33" t="s">
        <v>4477</v>
      </c>
      <c r="I1439" s="33" t="s">
        <v>137</v>
      </c>
      <c r="J1439" s="33">
        <v>2020</v>
      </c>
      <c r="K1439" s="34"/>
      <c r="L1439" s="34"/>
      <c r="M1439" s="33" t="s">
        <v>465</v>
      </c>
      <c r="N1439" s="37" t="s">
        <v>4478</v>
      </c>
      <c r="O1439" s="33" t="s">
        <v>4479</v>
      </c>
      <c r="P1439" s="33" t="s">
        <v>4480</v>
      </c>
      <c r="Q1439" s="33" t="s">
        <v>157</v>
      </c>
      <c r="R1439" s="34"/>
      <c r="S1439" s="38"/>
      <c r="T1439" s="38" t="s">
        <v>12690</v>
      </c>
      <c r="U1439" s="18"/>
      <c r="V1439" s="18"/>
    </row>
    <row r="1440" spans="1:22" x14ac:dyDescent="0.25">
      <c r="A1440" s="33" t="s">
        <v>7602</v>
      </c>
      <c r="B1440" s="33" t="s">
        <v>7601</v>
      </c>
      <c r="C1440" s="33" t="s">
        <v>141</v>
      </c>
      <c r="D1440" s="34"/>
      <c r="E1440" s="33">
        <v>2021</v>
      </c>
      <c r="F1440" s="34"/>
      <c r="G1440" s="34"/>
      <c r="H1440" s="33" t="s">
        <v>12287</v>
      </c>
      <c r="I1440" s="44" t="s">
        <v>12720</v>
      </c>
      <c r="J1440" s="33">
        <v>2021</v>
      </c>
      <c r="K1440" s="33">
        <v>9781450390859</v>
      </c>
      <c r="L1440" s="33" t="s">
        <v>11089</v>
      </c>
      <c r="M1440" s="34"/>
      <c r="N1440" s="37" t="s">
        <v>12288</v>
      </c>
      <c r="O1440" s="33" t="s">
        <v>7605</v>
      </c>
      <c r="P1440" s="33" t="s">
        <v>7606</v>
      </c>
      <c r="Q1440" s="36"/>
      <c r="R1440" s="36"/>
      <c r="S1440" s="33" t="s">
        <v>12289</v>
      </c>
      <c r="T1440" s="33" t="s">
        <v>12692</v>
      </c>
      <c r="U1440" s="18"/>
      <c r="V1440" s="18"/>
    </row>
    <row r="1441" spans="1:22" x14ac:dyDescent="0.25">
      <c r="A1441" s="33" t="s">
        <v>7602</v>
      </c>
      <c r="B1441" s="33" t="s">
        <v>7601</v>
      </c>
      <c r="C1441" s="33" t="s">
        <v>141</v>
      </c>
      <c r="D1441" s="34"/>
      <c r="E1441" s="33">
        <v>2021</v>
      </c>
      <c r="F1441" s="34"/>
      <c r="G1441" s="34"/>
      <c r="H1441" s="33" t="s">
        <v>7603</v>
      </c>
      <c r="I1441" s="33" t="s">
        <v>6335</v>
      </c>
      <c r="J1441" s="43">
        <v>44317</v>
      </c>
      <c r="K1441" s="36"/>
      <c r="L1441" s="36"/>
      <c r="M1441" s="33" t="s">
        <v>6336</v>
      </c>
      <c r="N1441" s="37" t="s">
        <v>7604</v>
      </c>
      <c r="O1441" s="33" t="s">
        <v>7605</v>
      </c>
      <c r="P1441" s="33" t="s">
        <v>7606</v>
      </c>
      <c r="Q1441" s="36"/>
      <c r="R1441" s="36"/>
      <c r="S1441" s="33" t="s">
        <v>7607</v>
      </c>
      <c r="T1441" s="38" t="s">
        <v>12688</v>
      </c>
      <c r="U1441" s="18"/>
      <c r="V1441" s="18"/>
    </row>
    <row r="1442" spans="1:22" x14ac:dyDescent="0.25">
      <c r="A1442" s="33" t="s">
        <v>1797</v>
      </c>
      <c r="B1442" s="33" t="s">
        <v>1796</v>
      </c>
      <c r="C1442" s="33" t="s">
        <v>13</v>
      </c>
      <c r="D1442" s="33" t="s">
        <v>227</v>
      </c>
      <c r="E1442" s="33">
        <v>2021</v>
      </c>
      <c r="F1442" s="33">
        <v>11</v>
      </c>
      <c r="G1442" s="33">
        <v>17</v>
      </c>
      <c r="H1442" s="34"/>
      <c r="I1442" s="33" t="s">
        <v>228</v>
      </c>
      <c r="J1442" s="33">
        <v>2021</v>
      </c>
      <c r="K1442" s="34"/>
      <c r="L1442" s="34"/>
      <c r="M1442" s="33" t="s">
        <v>229</v>
      </c>
      <c r="N1442" s="37" t="s">
        <v>1798</v>
      </c>
      <c r="O1442" s="33" t="s">
        <v>1799</v>
      </c>
      <c r="P1442" s="33" t="s">
        <v>1800</v>
      </c>
      <c r="Q1442" s="33" t="s">
        <v>1801</v>
      </c>
      <c r="R1442" s="34"/>
      <c r="S1442" s="38"/>
      <c r="T1442" s="38" t="s">
        <v>12690</v>
      </c>
      <c r="U1442" s="14"/>
      <c r="V1442" s="18"/>
    </row>
    <row r="1443" spans="1:22" x14ac:dyDescent="0.25">
      <c r="A1443" s="33" t="s">
        <v>1600</v>
      </c>
      <c r="B1443" s="33" t="s">
        <v>1599</v>
      </c>
      <c r="C1443" s="33" t="s">
        <v>13</v>
      </c>
      <c r="D1443" s="33" t="s">
        <v>354</v>
      </c>
      <c r="E1443" s="33">
        <v>2022</v>
      </c>
      <c r="F1443" s="33">
        <v>183</v>
      </c>
      <c r="G1443" s="34"/>
      <c r="H1443" s="34"/>
      <c r="I1443" s="33" t="s">
        <v>355</v>
      </c>
      <c r="J1443" s="33">
        <v>2022</v>
      </c>
      <c r="K1443" s="34"/>
      <c r="L1443" s="34"/>
      <c r="M1443" s="33" t="s">
        <v>65</v>
      </c>
      <c r="N1443" s="37" t="s">
        <v>1601</v>
      </c>
      <c r="O1443" s="33" t="s">
        <v>1602</v>
      </c>
      <c r="P1443" s="33" t="s">
        <v>1603</v>
      </c>
      <c r="Q1443" s="33" t="s">
        <v>140</v>
      </c>
      <c r="R1443" s="34"/>
      <c r="S1443" s="38"/>
      <c r="T1443" s="38" t="s">
        <v>12690</v>
      </c>
      <c r="U1443" s="18"/>
      <c r="V1443" s="18"/>
    </row>
    <row r="1444" spans="1:22" x14ac:dyDescent="0.25">
      <c r="A1444" s="33" t="s">
        <v>2528</v>
      </c>
      <c r="B1444" s="33" t="s">
        <v>2527</v>
      </c>
      <c r="C1444" s="33" t="s">
        <v>13</v>
      </c>
      <c r="D1444" s="33" t="s">
        <v>2529</v>
      </c>
      <c r="E1444" s="33">
        <v>2021</v>
      </c>
      <c r="F1444" s="33">
        <v>108</v>
      </c>
      <c r="G1444" s="34"/>
      <c r="H1444" s="34"/>
      <c r="I1444" s="33" t="s">
        <v>280</v>
      </c>
      <c r="J1444" s="33">
        <v>2021</v>
      </c>
      <c r="K1444" s="34"/>
      <c r="L1444" s="34"/>
      <c r="M1444" s="33" t="s">
        <v>2530</v>
      </c>
      <c r="N1444" s="37" t="s">
        <v>2531</v>
      </c>
      <c r="O1444" s="33" t="s">
        <v>2532</v>
      </c>
      <c r="P1444" s="33" t="s">
        <v>2533</v>
      </c>
      <c r="Q1444" s="33" t="s">
        <v>1813</v>
      </c>
      <c r="R1444" s="34"/>
      <c r="S1444" s="38"/>
      <c r="T1444" s="38" t="s">
        <v>12690</v>
      </c>
      <c r="U1444" s="18"/>
      <c r="V1444" s="18"/>
    </row>
    <row r="1445" spans="1:22" x14ac:dyDescent="0.25">
      <c r="A1445" s="33" t="s">
        <v>713</v>
      </c>
      <c r="B1445" s="33" t="s">
        <v>712</v>
      </c>
      <c r="C1445" s="33" t="s">
        <v>13</v>
      </c>
      <c r="D1445" s="33" t="s">
        <v>714</v>
      </c>
      <c r="E1445" s="33">
        <v>2022</v>
      </c>
      <c r="F1445" s="33">
        <v>14</v>
      </c>
      <c r="G1445" s="33">
        <v>4</v>
      </c>
      <c r="H1445" s="33" t="s">
        <v>715</v>
      </c>
      <c r="I1445" s="33" t="s">
        <v>212</v>
      </c>
      <c r="J1445" s="33">
        <v>2022</v>
      </c>
      <c r="K1445" s="34"/>
      <c r="L1445" s="34"/>
      <c r="M1445" s="33" t="s">
        <v>716</v>
      </c>
      <c r="N1445" s="37" t="s">
        <v>717</v>
      </c>
      <c r="O1445" s="33" t="s">
        <v>718</v>
      </c>
      <c r="P1445" s="33" t="s">
        <v>719</v>
      </c>
      <c r="Q1445" s="33" t="s">
        <v>166</v>
      </c>
      <c r="R1445" s="34"/>
      <c r="S1445" s="38"/>
      <c r="T1445" s="38" t="s">
        <v>12690</v>
      </c>
      <c r="U1445" s="14"/>
      <c r="V1445" s="18"/>
    </row>
    <row r="1446" spans="1:22" x14ac:dyDescent="0.25">
      <c r="A1446" s="33" t="s">
        <v>1078</v>
      </c>
      <c r="B1446" s="33" t="s">
        <v>1077</v>
      </c>
      <c r="C1446" s="33" t="s">
        <v>13</v>
      </c>
      <c r="D1446" s="33" t="s">
        <v>209</v>
      </c>
      <c r="E1446" s="33">
        <v>2022</v>
      </c>
      <c r="F1446" s="33" t="s">
        <v>1079</v>
      </c>
      <c r="G1446" s="34"/>
      <c r="H1446" s="33" t="s">
        <v>1080</v>
      </c>
      <c r="I1446" s="33" t="s">
        <v>212</v>
      </c>
      <c r="J1446" s="33">
        <v>2022</v>
      </c>
      <c r="K1446" s="34"/>
      <c r="L1446" s="34"/>
      <c r="M1446" s="33" t="s">
        <v>213</v>
      </c>
      <c r="N1446" s="37" t="s">
        <v>1081</v>
      </c>
      <c r="O1446" s="33" t="s">
        <v>1082</v>
      </c>
      <c r="P1446" s="33" t="s">
        <v>1083</v>
      </c>
      <c r="Q1446" s="33" t="s">
        <v>318</v>
      </c>
      <c r="R1446" s="34"/>
      <c r="S1446" s="38"/>
      <c r="T1446" s="38" t="s">
        <v>12690</v>
      </c>
      <c r="U1446" s="18"/>
      <c r="V1446" s="18"/>
    </row>
    <row r="1447" spans="1:22" x14ac:dyDescent="0.25">
      <c r="A1447" s="33" t="s">
        <v>1078</v>
      </c>
      <c r="B1447" s="39" t="s">
        <v>9885</v>
      </c>
      <c r="C1447" s="39" t="s">
        <v>9539</v>
      </c>
      <c r="D1447" s="36"/>
      <c r="E1447" s="39">
        <v>2022</v>
      </c>
      <c r="F1447" s="40"/>
      <c r="G1447" s="40"/>
      <c r="H1447" s="36"/>
      <c r="I1447" s="39" t="s">
        <v>9472</v>
      </c>
      <c r="J1447" s="36"/>
      <c r="K1447" s="36"/>
      <c r="L1447" s="36"/>
      <c r="M1447" s="34"/>
      <c r="N1447" s="41" t="s">
        <v>9886</v>
      </c>
      <c r="O1447" s="39" t="s">
        <v>1082</v>
      </c>
      <c r="P1447" s="33"/>
      <c r="Q1447" s="36"/>
      <c r="R1447" s="34"/>
      <c r="S1447" s="38"/>
      <c r="T1447" s="38" t="s">
        <v>12689</v>
      </c>
      <c r="U1447" s="18"/>
      <c r="V1447" s="18"/>
    </row>
    <row r="1448" spans="1:22" x14ac:dyDescent="0.25">
      <c r="A1448" s="33" t="s">
        <v>4683</v>
      </c>
      <c r="B1448" s="33" t="s">
        <v>4682</v>
      </c>
      <c r="C1448" s="33" t="s">
        <v>13</v>
      </c>
      <c r="D1448" s="33" t="s">
        <v>354</v>
      </c>
      <c r="E1448" s="33">
        <v>2020</v>
      </c>
      <c r="F1448" s="33">
        <v>164</v>
      </c>
      <c r="G1448" s="34"/>
      <c r="H1448" s="34"/>
      <c r="I1448" s="33" t="s">
        <v>355</v>
      </c>
      <c r="J1448" s="33">
        <v>2020</v>
      </c>
      <c r="K1448" s="34"/>
      <c r="L1448" s="34"/>
      <c r="M1448" s="33" t="s">
        <v>65</v>
      </c>
      <c r="N1448" s="37" t="s">
        <v>4684</v>
      </c>
      <c r="O1448" s="33" t="s">
        <v>4685</v>
      </c>
      <c r="P1448" s="33" t="s">
        <v>4686</v>
      </c>
      <c r="Q1448" s="33" t="s">
        <v>4687</v>
      </c>
      <c r="R1448" s="34"/>
      <c r="S1448" s="38"/>
      <c r="T1448" s="38" t="s">
        <v>12690</v>
      </c>
      <c r="U1448" s="18"/>
      <c r="V1448" s="18"/>
    </row>
    <row r="1449" spans="1:22" x14ac:dyDescent="0.25">
      <c r="A1449" s="39" t="s">
        <v>724</v>
      </c>
      <c r="B1449" s="39" t="s">
        <v>10127</v>
      </c>
      <c r="C1449" s="39" t="s">
        <v>9478</v>
      </c>
      <c r="D1449" s="36"/>
      <c r="E1449" s="39">
        <v>2022</v>
      </c>
      <c r="F1449" s="39">
        <v>27</v>
      </c>
      <c r="G1449" s="39">
        <v>3</v>
      </c>
      <c r="H1449" s="36"/>
      <c r="I1449" s="39" t="s">
        <v>136</v>
      </c>
      <c r="J1449" s="36"/>
      <c r="K1449" s="36"/>
      <c r="L1449" s="36"/>
      <c r="M1449" s="34"/>
      <c r="N1449" s="41" t="s">
        <v>10128</v>
      </c>
      <c r="O1449" s="39" t="s">
        <v>726</v>
      </c>
      <c r="P1449" s="33"/>
      <c r="Q1449" s="36"/>
      <c r="R1449" s="34"/>
      <c r="S1449" s="38"/>
      <c r="T1449" s="38" t="s">
        <v>12689</v>
      </c>
      <c r="U1449" s="18"/>
      <c r="V1449" s="18"/>
    </row>
    <row r="1450" spans="1:22" x14ac:dyDescent="0.25">
      <c r="A1450" s="33" t="s">
        <v>724</v>
      </c>
      <c r="B1450" s="33" t="s">
        <v>723</v>
      </c>
      <c r="C1450" s="33" t="s">
        <v>13</v>
      </c>
      <c r="D1450" s="33" t="s">
        <v>136</v>
      </c>
      <c r="E1450" s="33">
        <v>2022</v>
      </c>
      <c r="F1450" s="33">
        <v>27</v>
      </c>
      <c r="G1450" s="33">
        <v>3</v>
      </c>
      <c r="H1450" s="34"/>
      <c r="I1450" s="33" t="s">
        <v>137</v>
      </c>
      <c r="J1450" s="33">
        <v>2022</v>
      </c>
      <c r="K1450" s="34"/>
      <c r="L1450" s="34"/>
      <c r="M1450" s="33" t="s">
        <v>33</v>
      </c>
      <c r="N1450" s="37" t="s">
        <v>725</v>
      </c>
      <c r="O1450" s="33" t="s">
        <v>726</v>
      </c>
      <c r="P1450" s="33" t="s">
        <v>727</v>
      </c>
      <c r="Q1450" s="33" t="s">
        <v>206</v>
      </c>
      <c r="R1450" s="34"/>
      <c r="S1450" s="38"/>
      <c r="T1450" s="38" t="s">
        <v>12690</v>
      </c>
      <c r="U1450" s="18"/>
      <c r="V1450" s="18"/>
    </row>
    <row r="1451" spans="1:22" x14ac:dyDescent="0.25">
      <c r="A1451" s="33" t="s">
        <v>8623</v>
      </c>
      <c r="B1451" s="33" t="s">
        <v>8622</v>
      </c>
      <c r="C1451" s="33" t="s">
        <v>13</v>
      </c>
      <c r="D1451" s="33" t="s">
        <v>8624</v>
      </c>
      <c r="E1451" s="33">
        <v>2022</v>
      </c>
      <c r="F1451" s="33">
        <v>141</v>
      </c>
      <c r="G1451" s="36"/>
      <c r="H1451" s="33">
        <v>103701</v>
      </c>
      <c r="I1451" s="36"/>
      <c r="J1451" s="33">
        <v>2022</v>
      </c>
      <c r="K1451" s="34"/>
      <c r="L1451" s="34"/>
      <c r="M1451" s="33" t="s">
        <v>8625</v>
      </c>
      <c r="N1451" s="37" t="s">
        <v>8626</v>
      </c>
      <c r="O1451" s="33" t="s">
        <v>8627</v>
      </c>
      <c r="P1451" s="33" t="s">
        <v>8628</v>
      </c>
      <c r="Q1451" s="36"/>
      <c r="R1451" s="36"/>
      <c r="S1451" s="33" t="s">
        <v>8629</v>
      </c>
      <c r="T1451" s="38" t="s">
        <v>12693</v>
      </c>
      <c r="U1451" s="18"/>
      <c r="V1451" s="18"/>
    </row>
    <row r="1452" spans="1:22" x14ac:dyDescent="0.25">
      <c r="A1452" s="33" t="s">
        <v>5868</v>
      </c>
      <c r="B1452" s="33" t="s">
        <v>5867</v>
      </c>
      <c r="C1452" s="33" t="s">
        <v>141</v>
      </c>
      <c r="D1452" s="34"/>
      <c r="E1452" s="33">
        <v>2017</v>
      </c>
      <c r="F1452" s="33">
        <v>2</v>
      </c>
      <c r="G1452" s="34"/>
      <c r="H1452" s="33" t="s">
        <v>5869</v>
      </c>
      <c r="I1452" s="33" t="s">
        <v>2565</v>
      </c>
      <c r="J1452" s="33">
        <v>2017</v>
      </c>
      <c r="K1452" s="33">
        <v>9781945626760</v>
      </c>
      <c r="L1452" s="34"/>
      <c r="M1452" s="34"/>
      <c r="N1452" s="37" t="s">
        <v>5870</v>
      </c>
      <c r="O1452" s="33" t="s">
        <v>5871</v>
      </c>
      <c r="P1452" s="33" t="s">
        <v>5872</v>
      </c>
      <c r="Q1452" s="33" t="s">
        <v>3225</v>
      </c>
      <c r="R1452" s="34"/>
      <c r="S1452" s="38"/>
      <c r="T1452" s="38" t="s">
        <v>12690</v>
      </c>
      <c r="U1452" s="18"/>
      <c r="V1452" s="18"/>
    </row>
    <row r="1453" spans="1:22" x14ac:dyDescent="0.25">
      <c r="A1453" s="33" t="s">
        <v>2806</v>
      </c>
      <c r="B1453" s="33" t="s">
        <v>2805</v>
      </c>
      <c r="C1453" s="33" t="s">
        <v>141</v>
      </c>
      <c r="D1453" s="34"/>
      <c r="E1453" s="33">
        <v>2021</v>
      </c>
      <c r="F1453" s="34"/>
      <c r="G1453" s="34"/>
      <c r="H1453" s="33" t="s">
        <v>2807</v>
      </c>
      <c r="I1453" s="33" t="s">
        <v>257</v>
      </c>
      <c r="J1453" s="33">
        <v>2021</v>
      </c>
      <c r="K1453" s="33">
        <v>9781728196305</v>
      </c>
      <c r="L1453" s="34"/>
      <c r="M1453" s="34"/>
      <c r="N1453" s="37" t="s">
        <v>2808</v>
      </c>
      <c r="O1453" s="33" t="s">
        <v>2809</v>
      </c>
      <c r="P1453" s="33" t="s">
        <v>2810</v>
      </c>
      <c r="Q1453" s="33" t="s">
        <v>2811</v>
      </c>
      <c r="R1453" s="34"/>
      <c r="S1453" s="38"/>
      <c r="T1453" s="38" t="s">
        <v>12690</v>
      </c>
      <c r="U1453" s="18"/>
      <c r="V1453" s="18"/>
    </row>
    <row r="1454" spans="1:22" x14ac:dyDescent="0.25">
      <c r="A1454" s="39" t="s">
        <v>10448</v>
      </c>
      <c r="B1454" s="39" t="s">
        <v>10450</v>
      </c>
      <c r="C1454" s="39" t="s">
        <v>9539</v>
      </c>
      <c r="D1454" s="36"/>
      <c r="E1454" s="39">
        <v>2022</v>
      </c>
      <c r="F1454" s="40"/>
      <c r="G1454" s="40"/>
      <c r="H1454" s="36"/>
      <c r="I1454" s="39" t="s">
        <v>9315</v>
      </c>
      <c r="J1454" s="36"/>
      <c r="K1454" s="36"/>
      <c r="L1454" s="36"/>
      <c r="M1454" s="34"/>
      <c r="N1454" s="41" t="s">
        <v>10451</v>
      </c>
      <c r="O1454" s="39" t="s">
        <v>10449</v>
      </c>
      <c r="P1454" s="33"/>
      <c r="Q1454" s="36"/>
      <c r="R1454" s="34"/>
      <c r="S1454" s="38"/>
      <c r="T1454" s="38" t="s">
        <v>12689</v>
      </c>
      <c r="U1454" s="18"/>
      <c r="V1454" s="18"/>
    </row>
    <row r="1455" spans="1:22" x14ac:dyDescent="0.25">
      <c r="A1455" s="33" t="s">
        <v>11799</v>
      </c>
      <c r="B1455" s="33" t="s">
        <v>11798</v>
      </c>
      <c r="C1455" s="33" t="s">
        <v>141</v>
      </c>
      <c r="D1455" s="34"/>
      <c r="E1455" s="33">
        <v>2020</v>
      </c>
      <c r="F1455" s="34"/>
      <c r="G1455" s="34"/>
      <c r="H1455" s="33" t="s">
        <v>11800</v>
      </c>
      <c r="I1455" s="44" t="s">
        <v>12794</v>
      </c>
      <c r="J1455" s="33">
        <v>2020</v>
      </c>
      <c r="K1455" s="33">
        <v>9781450370936</v>
      </c>
      <c r="L1455" s="33" t="s">
        <v>11806</v>
      </c>
      <c r="M1455" s="34"/>
      <c r="N1455" s="37" t="s">
        <v>11802</v>
      </c>
      <c r="O1455" s="33" t="s">
        <v>11803</v>
      </c>
      <c r="P1455" s="33" t="s">
        <v>11804</v>
      </c>
      <c r="Q1455" s="36"/>
      <c r="R1455" s="36"/>
      <c r="S1455" s="33" t="s">
        <v>11805</v>
      </c>
      <c r="T1455" s="33" t="s">
        <v>12692</v>
      </c>
      <c r="U1455" s="18"/>
      <c r="V1455" s="18"/>
    </row>
    <row r="1456" spans="1:22" x14ac:dyDescent="0.25">
      <c r="A1456" s="33" t="s">
        <v>11221</v>
      </c>
      <c r="B1456" s="33" t="s">
        <v>11220</v>
      </c>
      <c r="C1456" s="33" t="s">
        <v>141</v>
      </c>
      <c r="D1456" s="34"/>
      <c r="E1456" s="33">
        <v>2019</v>
      </c>
      <c r="F1456" s="34"/>
      <c r="G1456" s="34"/>
      <c r="H1456" s="33" t="s">
        <v>11222</v>
      </c>
      <c r="I1456" s="44" t="s">
        <v>12707</v>
      </c>
      <c r="J1456" s="33">
        <v>2019</v>
      </c>
      <c r="K1456" s="34"/>
      <c r="L1456" s="33" t="s">
        <v>11170</v>
      </c>
      <c r="M1456" s="34"/>
      <c r="N1456" s="37" t="s">
        <v>11223</v>
      </c>
      <c r="O1456" s="33" t="s">
        <v>11224</v>
      </c>
      <c r="P1456" s="33" t="s">
        <v>11225</v>
      </c>
      <c r="Q1456" s="36"/>
      <c r="R1456" s="36"/>
      <c r="S1456" s="33" t="s">
        <v>11226</v>
      </c>
      <c r="T1456" s="33" t="s">
        <v>12692</v>
      </c>
      <c r="U1456" s="18"/>
      <c r="V1456" s="18"/>
    </row>
    <row r="1457" spans="1:22" x14ac:dyDescent="0.25">
      <c r="A1457" s="33" t="s">
        <v>3114</v>
      </c>
      <c r="B1457" s="33" t="s">
        <v>3113</v>
      </c>
      <c r="C1457" s="33" t="s">
        <v>13</v>
      </c>
      <c r="D1457" s="33" t="s">
        <v>307</v>
      </c>
      <c r="E1457" s="33">
        <v>2020</v>
      </c>
      <c r="F1457" s="33">
        <v>128</v>
      </c>
      <c r="G1457" s="34"/>
      <c r="H1457" s="34"/>
      <c r="I1457" s="33" t="s">
        <v>280</v>
      </c>
      <c r="J1457" s="33">
        <v>2020</v>
      </c>
      <c r="K1457" s="34"/>
      <c r="L1457" s="34"/>
      <c r="M1457" s="33" t="s">
        <v>308</v>
      </c>
      <c r="N1457" s="37" t="s">
        <v>3115</v>
      </c>
      <c r="O1457" s="33" t="s">
        <v>3116</v>
      </c>
      <c r="P1457" s="33" t="s">
        <v>3117</v>
      </c>
      <c r="Q1457" s="33" t="s">
        <v>3118</v>
      </c>
      <c r="R1457" s="34"/>
      <c r="S1457" s="38"/>
      <c r="T1457" s="38" t="s">
        <v>12690</v>
      </c>
      <c r="U1457" s="18"/>
      <c r="V1457" s="18"/>
    </row>
    <row r="1458" spans="1:22" x14ac:dyDescent="0.25">
      <c r="A1458" s="33" t="s">
        <v>121</v>
      </c>
      <c r="B1458" s="33" t="s">
        <v>120</v>
      </c>
      <c r="C1458" s="33" t="s">
        <v>13</v>
      </c>
      <c r="D1458" s="33" t="s">
        <v>582</v>
      </c>
      <c r="E1458" s="33">
        <v>2022</v>
      </c>
      <c r="F1458" s="33">
        <v>29</v>
      </c>
      <c r="G1458" s="33">
        <v>1</v>
      </c>
      <c r="H1458" s="34"/>
      <c r="I1458" s="33" t="s">
        <v>137</v>
      </c>
      <c r="J1458" s="33">
        <v>2022</v>
      </c>
      <c r="K1458" s="34"/>
      <c r="L1458" s="34"/>
      <c r="M1458" s="33" t="s">
        <v>58</v>
      </c>
      <c r="N1458" s="37" t="s">
        <v>1402</v>
      </c>
      <c r="O1458" s="33" t="s">
        <v>123</v>
      </c>
      <c r="P1458" s="33" t="s">
        <v>1403</v>
      </c>
      <c r="Q1458" s="33" t="s">
        <v>1404</v>
      </c>
      <c r="R1458" s="34"/>
      <c r="S1458" s="38"/>
      <c r="T1458" s="38" t="s">
        <v>12690</v>
      </c>
      <c r="U1458" s="18"/>
      <c r="V1458" s="18"/>
    </row>
    <row r="1459" spans="1:22" x14ac:dyDescent="0.25">
      <c r="A1459" s="33" t="s">
        <v>121</v>
      </c>
      <c r="B1459" s="33" t="s">
        <v>120</v>
      </c>
      <c r="C1459" s="33" t="s">
        <v>13</v>
      </c>
      <c r="D1459" s="33" t="s">
        <v>57</v>
      </c>
      <c r="E1459" s="33">
        <v>2022</v>
      </c>
      <c r="F1459" s="33">
        <v>29</v>
      </c>
      <c r="G1459" s="33">
        <v>1</v>
      </c>
      <c r="H1459" s="34"/>
      <c r="I1459" s="38" t="s">
        <v>12699</v>
      </c>
      <c r="J1459" s="43">
        <v>44682</v>
      </c>
      <c r="K1459" s="33" t="s">
        <v>58</v>
      </c>
      <c r="L1459" s="38" t="s">
        <v>12699</v>
      </c>
      <c r="M1459" s="38" t="s">
        <v>12699</v>
      </c>
      <c r="N1459" s="37" t="s">
        <v>122</v>
      </c>
      <c r="O1459" s="33" t="s">
        <v>123</v>
      </c>
      <c r="P1459" s="33" t="s">
        <v>124</v>
      </c>
      <c r="Q1459" s="38" t="s">
        <v>12699</v>
      </c>
      <c r="R1459" s="38" t="s">
        <v>12699</v>
      </c>
      <c r="S1459" s="38"/>
      <c r="T1459" s="38" t="s">
        <v>12700</v>
      </c>
      <c r="U1459" s="18"/>
      <c r="V1459" s="18"/>
    </row>
    <row r="1460" spans="1:22" x14ac:dyDescent="0.25">
      <c r="A1460" s="39" t="s">
        <v>121</v>
      </c>
      <c r="B1460" s="39" t="s">
        <v>10044</v>
      </c>
      <c r="C1460" s="39" t="s">
        <v>9478</v>
      </c>
      <c r="D1460" s="36"/>
      <c r="E1460" s="39">
        <v>2021</v>
      </c>
      <c r="F1460" s="39">
        <v>29</v>
      </c>
      <c r="G1460" s="39">
        <v>1</v>
      </c>
      <c r="H1460" s="36"/>
      <c r="I1460" s="39" t="s">
        <v>582</v>
      </c>
      <c r="J1460" s="36"/>
      <c r="K1460" s="36"/>
      <c r="L1460" s="36"/>
      <c r="M1460" s="34"/>
      <c r="N1460" s="41" t="s">
        <v>10045</v>
      </c>
      <c r="O1460" s="39" t="s">
        <v>123</v>
      </c>
      <c r="P1460" s="33"/>
      <c r="Q1460" s="36"/>
      <c r="R1460" s="34"/>
      <c r="S1460" s="38"/>
      <c r="T1460" s="38" t="s">
        <v>12689</v>
      </c>
      <c r="U1460" s="18"/>
      <c r="V1460" s="14"/>
    </row>
    <row r="1461" spans="1:22" x14ac:dyDescent="0.25">
      <c r="A1461" s="39" t="s">
        <v>1183</v>
      </c>
      <c r="B1461" s="39" t="s">
        <v>9745</v>
      </c>
      <c r="C1461" s="39" t="s">
        <v>9478</v>
      </c>
      <c r="D1461" s="36"/>
      <c r="E1461" s="39">
        <v>2022</v>
      </c>
      <c r="F1461" s="39">
        <v>27</v>
      </c>
      <c r="G1461" s="39">
        <v>7</v>
      </c>
      <c r="H1461" s="36"/>
      <c r="I1461" s="39" t="s">
        <v>136</v>
      </c>
      <c r="J1461" s="36"/>
      <c r="K1461" s="36"/>
      <c r="L1461" s="36"/>
      <c r="M1461" s="34"/>
      <c r="N1461" s="41" t="s">
        <v>9746</v>
      </c>
      <c r="O1461" s="39" t="s">
        <v>1185</v>
      </c>
      <c r="P1461" s="33"/>
      <c r="Q1461" s="36"/>
      <c r="R1461" s="34"/>
      <c r="S1461" s="38"/>
      <c r="T1461" s="38" t="s">
        <v>12689</v>
      </c>
      <c r="U1461" s="18"/>
      <c r="V1461" s="18"/>
    </row>
    <row r="1462" spans="1:22" x14ac:dyDescent="0.25">
      <c r="A1462" s="33" t="s">
        <v>1183</v>
      </c>
      <c r="B1462" s="33" t="s">
        <v>1182</v>
      </c>
      <c r="C1462" s="33" t="s">
        <v>13</v>
      </c>
      <c r="D1462" s="33" t="s">
        <v>136</v>
      </c>
      <c r="E1462" s="33">
        <v>2022</v>
      </c>
      <c r="F1462" s="33">
        <v>27</v>
      </c>
      <c r="G1462" s="33">
        <v>7</v>
      </c>
      <c r="H1462" s="34"/>
      <c r="I1462" s="33" t="s">
        <v>137</v>
      </c>
      <c r="J1462" s="33">
        <v>2022</v>
      </c>
      <c r="K1462" s="34"/>
      <c r="L1462" s="34"/>
      <c r="M1462" s="33" t="s">
        <v>33</v>
      </c>
      <c r="N1462" s="37" t="s">
        <v>1184</v>
      </c>
      <c r="O1462" s="33" t="s">
        <v>1185</v>
      </c>
      <c r="P1462" s="33" t="s">
        <v>1186</v>
      </c>
      <c r="Q1462" s="33" t="s">
        <v>157</v>
      </c>
      <c r="R1462" s="34"/>
      <c r="S1462" s="38"/>
      <c r="T1462" s="38" t="s">
        <v>12690</v>
      </c>
      <c r="U1462" s="18"/>
      <c r="V1462" s="18"/>
    </row>
    <row r="1463" spans="1:22" x14ac:dyDescent="0.25">
      <c r="A1463" s="39" t="s">
        <v>10637</v>
      </c>
      <c r="B1463" s="39" t="s">
        <v>10639</v>
      </c>
      <c r="C1463" s="39" t="s">
        <v>9478</v>
      </c>
      <c r="D1463" s="36"/>
      <c r="E1463" s="39">
        <v>2022</v>
      </c>
      <c r="F1463" s="39">
        <v>27</v>
      </c>
      <c r="G1463" s="39">
        <v>4</v>
      </c>
      <c r="H1463" s="36"/>
      <c r="I1463" s="39" t="s">
        <v>136</v>
      </c>
      <c r="J1463" s="36"/>
      <c r="K1463" s="36"/>
      <c r="L1463" s="36"/>
      <c r="M1463" s="34"/>
      <c r="N1463" s="41" t="s">
        <v>10640</v>
      </c>
      <c r="O1463" s="39" t="s">
        <v>10638</v>
      </c>
      <c r="P1463" s="33"/>
      <c r="Q1463" s="36"/>
      <c r="R1463" s="34"/>
      <c r="S1463" s="38"/>
      <c r="T1463" s="38" t="s">
        <v>12689</v>
      </c>
      <c r="U1463" s="18"/>
      <c r="V1463" s="14"/>
    </row>
    <row r="1464" spans="1:22" x14ac:dyDescent="0.25">
      <c r="A1464" s="33" t="s">
        <v>1966</v>
      </c>
      <c r="B1464" s="33" t="s">
        <v>1965</v>
      </c>
      <c r="C1464" s="33" t="s">
        <v>141</v>
      </c>
      <c r="D1464" s="34"/>
      <c r="E1464" s="33">
        <v>2022</v>
      </c>
      <c r="F1464" s="34"/>
      <c r="G1464" s="34"/>
      <c r="H1464" s="33" t="s">
        <v>1967</v>
      </c>
      <c r="I1464" s="33" t="s">
        <v>257</v>
      </c>
      <c r="J1464" s="33">
        <v>2022</v>
      </c>
      <c r="K1464" s="33">
        <v>9781665437868</v>
      </c>
      <c r="L1464" s="34"/>
      <c r="M1464" s="34"/>
      <c r="N1464" s="37" t="s">
        <v>1968</v>
      </c>
      <c r="O1464" s="33" t="s">
        <v>1969</v>
      </c>
      <c r="P1464" s="33" t="s">
        <v>1970</v>
      </c>
      <c r="Q1464" s="33" t="s">
        <v>157</v>
      </c>
      <c r="R1464" s="34"/>
      <c r="S1464" s="38"/>
      <c r="T1464" s="38" t="s">
        <v>12690</v>
      </c>
      <c r="U1464" s="18"/>
      <c r="V1464" s="18"/>
    </row>
    <row r="1465" spans="1:22" x14ac:dyDescent="0.25">
      <c r="A1465" s="33" t="s">
        <v>3519</v>
      </c>
      <c r="B1465" s="33" t="s">
        <v>3518</v>
      </c>
      <c r="C1465" s="33" t="s">
        <v>141</v>
      </c>
      <c r="D1465" s="34"/>
      <c r="E1465" s="33">
        <v>2021</v>
      </c>
      <c r="F1465" s="45">
        <v>44531</v>
      </c>
      <c r="G1465" s="34"/>
      <c r="H1465" s="33" t="s">
        <v>3520</v>
      </c>
      <c r="I1465" s="33" t="s">
        <v>196</v>
      </c>
      <c r="J1465" s="33">
        <v>2021</v>
      </c>
      <c r="K1465" s="33">
        <v>9781665437844</v>
      </c>
      <c r="L1465" s="34"/>
      <c r="M1465" s="33" t="s">
        <v>3521</v>
      </c>
      <c r="N1465" s="37" t="s">
        <v>3522</v>
      </c>
      <c r="O1465" s="33" t="s">
        <v>3523</v>
      </c>
      <c r="P1465" s="33" t="s">
        <v>3524</v>
      </c>
      <c r="Q1465" s="33" t="s">
        <v>157</v>
      </c>
      <c r="R1465" s="34"/>
      <c r="S1465" s="38"/>
      <c r="T1465" s="38" t="s">
        <v>12690</v>
      </c>
      <c r="U1465" s="18"/>
      <c r="V1465" s="14"/>
    </row>
    <row r="1466" spans="1:22" x14ac:dyDescent="0.25">
      <c r="A1466" s="33" t="s">
        <v>2057</v>
      </c>
      <c r="B1466" s="33" t="s">
        <v>2056</v>
      </c>
      <c r="C1466" s="33" t="s">
        <v>141</v>
      </c>
      <c r="D1466" s="34"/>
      <c r="E1466" s="33">
        <v>2022</v>
      </c>
      <c r="F1466" s="34"/>
      <c r="G1466" s="34"/>
      <c r="H1466" s="33" t="s">
        <v>2058</v>
      </c>
      <c r="I1466" s="33" t="s">
        <v>257</v>
      </c>
      <c r="J1466" s="33">
        <v>2022</v>
      </c>
      <c r="K1466" s="33">
        <v>9781665437868</v>
      </c>
      <c r="L1466" s="34"/>
      <c r="M1466" s="34"/>
      <c r="N1466" s="37" t="s">
        <v>2059</v>
      </c>
      <c r="O1466" s="33" t="s">
        <v>2060</v>
      </c>
      <c r="P1466" s="33" t="s">
        <v>2061</v>
      </c>
      <c r="Q1466" s="33" t="s">
        <v>157</v>
      </c>
      <c r="R1466" s="34"/>
      <c r="S1466" s="38"/>
      <c r="T1466" s="38" t="s">
        <v>12690</v>
      </c>
      <c r="U1466" s="18"/>
      <c r="V1466" s="18"/>
    </row>
    <row r="1467" spans="1:22" x14ac:dyDescent="0.25">
      <c r="A1467" s="33" t="s">
        <v>4174</v>
      </c>
      <c r="B1467" s="33" t="s">
        <v>4173</v>
      </c>
      <c r="C1467" s="33" t="s">
        <v>141</v>
      </c>
      <c r="D1467" s="34"/>
      <c r="E1467" s="33">
        <v>2020</v>
      </c>
      <c r="F1467" s="34"/>
      <c r="G1467" s="34"/>
      <c r="H1467" s="34"/>
      <c r="I1467" s="33" t="s">
        <v>4175</v>
      </c>
      <c r="J1467" s="33">
        <v>2020</v>
      </c>
      <c r="K1467" s="34"/>
      <c r="L1467" s="34"/>
      <c r="M1467" s="34"/>
      <c r="N1467" s="37" t="s">
        <v>4176</v>
      </c>
      <c r="O1467" s="34"/>
      <c r="P1467" s="33" t="s">
        <v>4177</v>
      </c>
      <c r="Q1467" s="33" t="s">
        <v>157</v>
      </c>
      <c r="R1467" s="34"/>
      <c r="S1467" s="38"/>
      <c r="T1467" s="38" t="s">
        <v>12690</v>
      </c>
      <c r="U1467" s="18"/>
      <c r="V1467" s="18"/>
    </row>
    <row r="1468" spans="1:22" x14ac:dyDescent="0.25">
      <c r="A1468" s="33" t="s">
        <v>1988</v>
      </c>
      <c r="B1468" s="33" t="s">
        <v>1987</v>
      </c>
      <c r="C1468" s="33" t="s">
        <v>141</v>
      </c>
      <c r="D1468" s="34"/>
      <c r="E1468" s="33">
        <v>2021</v>
      </c>
      <c r="F1468" s="34"/>
      <c r="G1468" s="34"/>
      <c r="H1468" s="33" t="s">
        <v>1659</v>
      </c>
      <c r="I1468" s="33" t="s">
        <v>145</v>
      </c>
      <c r="J1468" s="33">
        <v>2021</v>
      </c>
      <c r="K1468" s="33">
        <v>9781450390613</v>
      </c>
      <c r="L1468" s="34"/>
      <c r="M1468" s="34"/>
      <c r="N1468" s="37" t="s">
        <v>1989</v>
      </c>
      <c r="O1468" s="33" t="s">
        <v>1990</v>
      </c>
      <c r="P1468" s="33" t="s">
        <v>1991</v>
      </c>
      <c r="Q1468" s="33" t="s">
        <v>404</v>
      </c>
      <c r="R1468" s="34"/>
      <c r="S1468" s="38"/>
      <c r="T1468" s="38" t="s">
        <v>12690</v>
      </c>
      <c r="U1468" s="18"/>
      <c r="V1468" s="14"/>
    </row>
    <row r="1469" spans="1:22" x14ac:dyDescent="0.25">
      <c r="A1469" s="33" t="s">
        <v>3339</v>
      </c>
      <c r="B1469" s="33" t="s">
        <v>3338</v>
      </c>
      <c r="C1469" s="33" t="s">
        <v>141</v>
      </c>
      <c r="D1469" s="34"/>
      <c r="E1469" s="33">
        <v>2020</v>
      </c>
      <c r="F1469" s="34"/>
      <c r="G1469" s="34"/>
      <c r="H1469" s="33" t="s">
        <v>3340</v>
      </c>
      <c r="I1469" s="33" t="s">
        <v>153</v>
      </c>
      <c r="J1469" s="33">
        <v>2020</v>
      </c>
      <c r="K1469" s="33">
        <v>9781450370431</v>
      </c>
      <c r="L1469" s="34"/>
      <c r="M1469" s="34"/>
      <c r="N1469" s="37" t="s">
        <v>3341</v>
      </c>
      <c r="O1469" s="33" t="s">
        <v>3342</v>
      </c>
      <c r="P1469" s="33" t="s">
        <v>3343</v>
      </c>
      <c r="Q1469" s="33" t="s">
        <v>176</v>
      </c>
      <c r="R1469" s="34"/>
      <c r="S1469" s="38"/>
      <c r="T1469" s="38" t="s">
        <v>12690</v>
      </c>
      <c r="U1469" s="18"/>
      <c r="V1469" s="18"/>
    </row>
    <row r="1470" spans="1:22" x14ac:dyDescent="0.25">
      <c r="A1470" s="33" t="s">
        <v>2194</v>
      </c>
      <c r="B1470" s="33" t="s">
        <v>2193</v>
      </c>
      <c r="C1470" s="33" t="s">
        <v>13</v>
      </c>
      <c r="D1470" s="33" t="s">
        <v>2195</v>
      </c>
      <c r="E1470" s="33">
        <v>2021</v>
      </c>
      <c r="F1470" s="33">
        <v>12</v>
      </c>
      <c r="G1470" s="33">
        <v>4</v>
      </c>
      <c r="H1470" s="33" t="s">
        <v>2196</v>
      </c>
      <c r="I1470" s="33" t="s">
        <v>212</v>
      </c>
      <c r="J1470" s="33">
        <v>2021</v>
      </c>
      <c r="K1470" s="34"/>
      <c r="L1470" s="34"/>
      <c r="M1470" s="33" t="s">
        <v>2197</v>
      </c>
      <c r="N1470" s="37" t="s">
        <v>2198</v>
      </c>
      <c r="O1470" s="33" t="s">
        <v>2199</v>
      </c>
      <c r="P1470" s="33" t="s">
        <v>2200</v>
      </c>
      <c r="Q1470" s="33" t="s">
        <v>2201</v>
      </c>
      <c r="R1470" s="34"/>
      <c r="S1470" s="38"/>
      <c r="T1470" s="38" t="s">
        <v>12690</v>
      </c>
      <c r="U1470" s="18"/>
      <c r="V1470" s="18"/>
    </row>
    <row r="1471" spans="1:22" x14ac:dyDescent="0.25">
      <c r="A1471" s="33" t="s">
        <v>1651</v>
      </c>
      <c r="B1471" s="33" t="s">
        <v>1650</v>
      </c>
      <c r="C1471" s="33" t="s">
        <v>141</v>
      </c>
      <c r="D1471" s="34"/>
      <c r="E1471" s="33">
        <v>2021</v>
      </c>
      <c r="F1471" s="34"/>
      <c r="G1471" s="34"/>
      <c r="H1471" s="33" t="s">
        <v>1652</v>
      </c>
      <c r="I1471" s="33" t="s">
        <v>145</v>
      </c>
      <c r="J1471" s="33">
        <v>2021</v>
      </c>
      <c r="K1471" s="33">
        <v>9781450390538</v>
      </c>
      <c r="L1471" s="34"/>
      <c r="M1471" s="34"/>
      <c r="N1471" s="37" t="s">
        <v>1653</v>
      </c>
      <c r="O1471" s="33" t="s">
        <v>1654</v>
      </c>
      <c r="P1471" s="33" t="s">
        <v>1655</v>
      </c>
      <c r="Q1471" s="33" t="s">
        <v>1656</v>
      </c>
      <c r="R1471" s="34"/>
      <c r="S1471" s="38"/>
      <c r="T1471" s="38" t="s">
        <v>12690</v>
      </c>
      <c r="U1471" s="18"/>
      <c r="V1471" s="14"/>
    </row>
    <row r="1472" spans="1:22" x14ac:dyDescent="0.25">
      <c r="A1472" s="33" t="s">
        <v>8516</v>
      </c>
      <c r="B1472" s="33" t="s">
        <v>8515</v>
      </c>
      <c r="C1472" s="33" t="s">
        <v>13</v>
      </c>
      <c r="D1472" s="33" t="s">
        <v>307</v>
      </c>
      <c r="E1472" s="33">
        <v>2021</v>
      </c>
      <c r="F1472" s="33">
        <v>134</v>
      </c>
      <c r="G1472" s="36"/>
      <c r="H1472" s="33">
        <v>106539</v>
      </c>
      <c r="I1472" s="36"/>
      <c r="J1472" s="33">
        <v>2021</v>
      </c>
      <c r="K1472" s="34"/>
      <c r="L1472" s="34"/>
      <c r="M1472" s="33" t="s">
        <v>308</v>
      </c>
      <c r="N1472" s="37" t="s">
        <v>8517</v>
      </c>
      <c r="O1472" s="33" t="s">
        <v>8518</v>
      </c>
      <c r="P1472" s="33" t="s">
        <v>8519</v>
      </c>
      <c r="Q1472" s="36"/>
      <c r="R1472" s="36"/>
      <c r="S1472" s="33" t="s">
        <v>8520</v>
      </c>
      <c r="T1472" s="38" t="s">
        <v>12693</v>
      </c>
      <c r="U1472" s="18"/>
      <c r="V1472" s="14"/>
    </row>
    <row r="1473" spans="1:22" x14ac:dyDescent="0.25">
      <c r="A1473" s="33" t="s">
        <v>3766</v>
      </c>
      <c r="B1473" s="33" t="s">
        <v>3765</v>
      </c>
      <c r="C1473" s="33" t="s">
        <v>13</v>
      </c>
      <c r="D1473" s="33" t="s">
        <v>3767</v>
      </c>
      <c r="E1473" s="33">
        <v>2020</v>
      </c>
      <c r="F1473" s="33">
        <v>13</v>
      </c>
      <c r="G1473" s="33">
        <v>7</v>
      </c>
      <c r="H1473" s="34"/>
      <c r="I1473" s="33" t="s">
        <v>228</v>
      </c>
      <c r="J1473" s="33">
        <v>2020</v>
      </c>
      <c r="K1473" s="34"/>
      <c r="L1473" s="34"/>
      <c r="M1473" s="33" t="s">
        <v>3768</v>
      </c>
      <c r="N1473" s="37" t="s">
        <v>3769</v>
      </c>
      <c r="O1473" s="33" t="s">
        <v>3770</v>
      </c>
      <c r="P1473" s="33" t="s">
        <v>3771</v>
      </c>
      <c r="Q1473" s="33" t="s">
        <v>3772</v>
      </c>
      <c r="R1473" s="34"/>
      <c r="S1473" s="38"/>
      <c r="T1473" s="38" t="s">
        <v>12690</v>
      </c>
      <c r="U1473" s="18"/>
      <c r="V1473" s="18"/>
    </row>
    <row r="1474" spans="1:22" x14ac:dyDescent="0.25">
      <c r="A1474" s="33" t="s">
        <v>8667</v>
      </c>
      <c r="B1474" s="33" t="s">
        <v>8666</v>
      </c>
      <c r="C1474" s="33" t="s">
        <v>13</v>
      </c>
      <c r="D1474" s="33" t="s">
        <v>354</v>
      </c>
      <c r="E1474" s="33">
        <v>2023</v>
      </c>
      <c r="F1474" s="34"/>
      <c r="G1474" s="36"/>
      <c r="H1474" s="33">
        <v>111619</v>
      </c>
      <c r="I1474" s="36"/>
      <c r="J1474" s="33">
        <v>2023</v>
      </c>
      <c r="K1474" s="34"/>
      <c r="L1474" s="34"/>
      <c r="M1474" s="33" t="s">
        <v>65</v>
      </c>
      <c r="N1474" s="37" t="s">
        <v>8668</v>
      </c>
      <c r="O1474" s="33" t="s">
        <v>8669</v>
      </c>
      <c r="P1474" s="33" t="s">
        <v>8670</v>
      </c>
      <c r="Q1474" s="36"/>
      <c r="R1474" s="36"/>
      <c r="S1474" s="33" t="s">
        <v>8671</v>
      </c>
      <c r="T1474" s="38" t="s">
        <v>12693</v>
      </c>
      <c r="U1474" s="18"/>
      <c r="V1474" s="18"/>
    </row>
    <row r="1475" spans="1:22" x14ac:dyDescent="0.25">
      <c r="A1475" s="33" t="s">
        <v>11500</v>
      </c>
      <c r="B1475" s="33" t="s">
        <v>11499</v>
      </c>
      <c r="C1475" s="33" t="s">
        <v>13</v>
      </c>
      <c r="D1475" s="33" t="s">
        <v>11246</v>
      </c>
      <c r="E1475" s="33">
        <v>2021</v>
      </c>
      <c r="F1475" s="33">
        <v>31</v>
      </c>
      <c r="G1475" s="33">
        <v>1</v>
      </c>
      <c r="H1475" s="34"/>
      <c r="I1475" s="44" t="s">
        <v>12710</v>
      </c>
      <c r="J1475" s="35">
        <v>44470</v>
      </c>
      <c r="K1475" s="34"/>
      <c r="L1475" s="34"/>
      <c r="M1475" s="33" t="s">
        <v>329</v>
      </c>
      <c r="N1475" s="37" t="s">
        <v>11501</v>
      </c>
      <c r="O1475" s="33" t="s">
        <v>11502</v>
      </c>
      <c r="P1475" s="33" t="s">
        <v>11503</v>
      </c>
      <c r="Q1475" s="36"/>
      <c r="R1475" s="36"/>
      <c r="S1475" s="33" t="s">
        <v>11504</v>
      </c>
      <c r="T1475" s="33" t="s">
        <v>12692</v>
      </c>
      <c r="U1475" s="18"/>
      <c r="V1475" s="18"/>
    </row>
    <row r="1476" spans="1:22" x14ac:dyDescent="0.25">
      <c r="A1476" s="33" t="s">
        <v>11990</v>
      </c>
      <c r="B1476" s="33" t="s">
        <v>11989</v>
      </c>
      <c r="C1476" s="33" t="s">
        <v>141</v>
      </c>
      <c r="D1476" s="34"/>
      <c r="E1476" s="33">
        <v>2019</v>
      </c>
      <c r="F1476" s="34"/>
      <c r="G1476" s="34"/>
      <c r="H1476" s="33" t="s">
        <v>11991</v>
      </c>
      <c r="I1476" s="44" t="s">
        <v>12696</v>
      </c>
      <c r="J1476" s="33">
        <v>2019</v>
      </c>
      <c r="K1476" s="33">
        <v>9781450368285</v>
      </c>
      <c r="L1476" s="33" t="s">
        <v>11628</v>
      </c>
      <c r="M1476" s="34"/>
      <c r="N1476" s="37" t="s">
        <v>11992</v>
      </c>
      <c r="O1476" s="33" t="s">
        <v>11993</v>
      </c>
      <c r="P1476" s="33" t="s">
        <v>11994</v>
      </c>
      <c r="Q1476" s="36"/>
      <c r="R1476" s="36"/>
      <c r="S1476" s="33" t="s">
        <v>11995</v>
      </c>
      <c r="T1476" s="33" t="s">
        <v>12692</v>
      </c>
      <c r="U1476" s="18"/>
      <c r="V1476" s="18"/>
    </row>
    <row r="1477" spans="1:22" x14ac:dyDescent="0.25">
      <c r="A1477" s="33" t="s">
        <v>11424</v>
      </c>
      <c r="B1477" s="33" t="s">
        <v>2937</v>
      </c>
      <c r="C1477" s="33" t="s">
        <v>141</v>
      </c>
      <c r="D1477" s="34"/>
      <c r="E1477" s="33">
        <v>2019</v>
      </c>
      <c r="F1477" s="34"/>
      <c r="G1477" s="34"/>
      <c r="H1477" s="33" t="s">
        <v>11425</v>
      </c>
      <c r="I1477" s="44" t="s">
        <v>12795</v>
      </c>
      <c r="J1477" s="33">
        <v>2019</v>
      </c>
      <c r="K1477" s="33">
        <v>9781450368551</v>
      </c>
      <c r="L1477" s="33" t="s">
        <v>11191</v>
      </c>
      <c r="M1477" s="34"/>
      <c r="N1477" s="37" t="s">
        <v>11426</v>
      </c>
      <c r="O1477" s="33" t="s">
        <v>4592</v>
      </c>
      <c r="P1477" s="33" t="s">
        <v>11427</v>
      </c>
      <c r="Q1477" s="36"/>
      <c r="R1477" s="36"/>
      <c r="S1477" s="33" t="s">
        <v>11428</v>
      </c>
      <c r="T1477" s="33" t="s">
        <v>12692</v>
      </c>
      <c r="U1477" s="18"/>
      <c r="V1477" s="14"/>
    </row>
    <row r="1478" spans="1:22" x14ac:dyDescent="0.25">
      <c r="A1478" s="33" t="s">
        <v>4589</v>
      </c>
      <c r="B1478" s="33" t="s">
        <v>2937</v>
      </c>
      <c r="C1478" s="33" t="s">
        <v>141</v>
      </c>
      <c r="D1478" s="34"/>
      <c r="E1478" s="33">
        <v>2019</v>
      </c>
      <c r="F1478" s="34"/>
      <c r="G1478" s="34"/>
      <c r="H1478" s="33" t="s">
        <v>4590</v>
      </c>
      <c r="I1478" s="33" t="s">
        <v>153</v>
      </c>
      <c r="J1478" s="33">
        <v>2019</v>
      </c>
      <c r="K1478" s="33">
        <v>9781450368551</v>
      </c>
      <c r="L1478" s="34"/>
      <c r="M1478" s="34"/>
      <c r="N1478" s="37" t="s">
        <v>4591</v>
      </c>
      <c r="O1478" s="33" t="s">
        <v>4592</v>
      </c>
      <c r="P1478" s="33" t="s">
        <v>4593</v>
      </c>
      <c r="Q1478" s="33" t="s">
        <v>4286</v>
      </c>
      <c r="R1478" s="34"/>
      <c r="S1478" s="38"/>
      <c r="T1478" s="38" t="s">
        <v>12690</v>
      </c>
      <c r="U1478" s="14"/>
      <c r="V1478" s="18"/>
    </row>
    <row r="1479" spans="1:22" x14ac:dyDescent="0.25">
      <c r="A1479" s="39" t="s">
        <v>9964</v>
      </c>
      <c r="B1479" s="39" t="s">
        <v>9966</v>
      </c>
      <c r="C1479" s="39" t="s">
        <v>9539</v>
      </c>
      <c r="D1479" s="36"/>
      <c r="E1479" s="39">
        <v>2022</v>
      </c>
      <c r="F1479" s="40"/>
      <c r="G1479" s="40"/>
      <c r="H1479" s="36"/>
      <c r="I1479" s="39" t="s">
        <v>9504</v>
      </c>
      <c r="J1479" s="36"/>
      <c r="K1479" s="36"/>
      <c r="L1479" s="36"/>
      <c r="M1479" s="34"/>
      <c r="N1479" s="41" t="s">
        <v>9967</v>
      </c>
      <c r="O1479" s="39" t="s">
        <v>9965</v>
      </c>
      <c r="P1479" s="33"/>
      <c r="Q1479" s="36"/>
      <c r="R1479" s="34"/>
      <c r="S1479" s="38"/>
      <c r="T1479" s="38" t="s">
        <v>12689</v>
      </c>
      <c r="U1479" s="18"/>
      <c r="V1479" s="18"/>
    </row>
    <row r="1480" spans="1:22" x14ac:dyDescent="0.25">
      <c r="A1480" s="39" t="s">
        <v>10337</v>
      </c>
      <c r="B1480" s="39" t="s">
        <v>10339</v>
      </c>
      <c r="C1480" s="39" t="s">
        <v>9478</v>
      </c>
      <c r="D1480" s="36"/>
      <c r="E1480" s="39">
        <v>2022</v>
      </c>
      <c r="F1480" s="39">
        <v>27</v>
      </c>
      <c r="G1480" s="39">
        <v>7</v>
      </c>
      <c r="H1480" s="36"/>
      <c r="I1480" s="39" t="s">
        <v>136</v>
      </c>
      <c r="J1480" s="36"/>
      <c r="K1480" s="36"/>
      <c r="L1480" s="36"/>
      <c r="M1480" s="34"/>
      <c r="N1480" s="41" t="s">
        <v>10340</v>
      </c>
      <c r="O1480" s="39" t="s">
        <v>10338</v>
      </c>
      <c r="P1480" s="33"/>
      <c r="Q1480" s="36"/>
      <c r="R1480" s="34"/>
      <c r="S1480" s="38"/>
      <c r="T1480" s="38" t="s">
        <v>12689</v>
      </c>
      <c r="U1480" s="18"/>
      <c r="V1480" s="18"/>
    </row>
    <row r="1481" spans="1:22" x14ac:dyDescent="0.25">
      <c r="A1481" s="33" t="s">
        <v>763</v>
      </c>
      <c r="B1481" s="33" t="s">
        <v>762</v>
      </c>
      <c r="C1481" s="33" t="s">
        <v>13</v>
      </c>
      <c r="D1481" s="33" t="s">
        <v>354</v>
      </c>
      <c r="E1481" s="33">
        <v>2022</v>
      </c>
      <c r="F1481" s="33">
        <v>193</v>
      </c>
      <c r="G1481" s="34"/>
      <c r="H1481" s="34"/>
      <c r="I1481" s="33" t="s">
        <v>355</v>
      </c>
      <c r="J1481" s="33">
        <v>2022</v>
      </c>
      <c r="K1481" s="34"/>
      <c r="L1481" s="34"/>
      <c r="M1481" s="33" t="s">
        <v>65</v>
      </c>
      <c r="N1481" s="37" t="s">
        <v>764</v>
      </c>
      <c r="O1481" s="33" t="s">
        <v>765</v>
      </c>
      <c r="P1481" s="33" t="s">
        <v>766</v>
      </c>
      <c r="Q1481" s="33" t="s">
        <v>157</v>
      </c>
      <c r="R1481" s="34"/>
      <c r="S1481" s="38"/>
      <c r="T1481" s="38" t="s">
        <v>12690</v>
      </c>
      <c r="U1481" s="18"/>
      <c r="V1481" s="18"/>
    </row>
    <row r="1482" spans="1:22" x14ac:dyDescent="0.25">
      <c r="A1482" s="39" t="s">
        <v>10002</v>
      </c>
      <c r="B1482" s="39" t="s">
        <v>10004</v>
      </c>
      <c r="C1482" s="39" t="s">
        <v>9478</v>
      </c>
      <c r="D1482" s="36"/>
      <c r="E1482" s="39">
        <v>2022</v>
      </c>
      <c r="F1482" s="39">
        <v>18</v>
      </c>
      <c r="G1482" s="39">
        <v>2</v>
      </c>
      <c r="H1482" s="36"/>
      <c r="I1482" s="39" t="s">
        <v>803</v>
      </c>
      <c r="J1482" s="36"/>
      <c r="K1482" s="36"/>
      <c r="L1482" s="36"/>
      <c r="M1482" s="34"/>
      <c r="N1482" s="41" t="s">
        <v>10005</v>
      </c>
      <c r="O1482" s="39" t="s">
        <v>10003</v>
      </c>
      <c r="P1482" s="33"/>
      <c r="Q1482" s="36"/>
      <c r="R1482" s="34"/>
      <c r="S1482" s="38"/>
      <c r="T1482" s="38" t="s">
        <v>12689</v>
      </c>
      <c r="U1482" s="18"/>
      <c r="V1482" s="14"/>
    </row>
    <row r="1483" spans="1:22" x14ac:dyDescent="0.25">
      <c r="A1483" s="33" t="s">
        <v>11550</v>
      </c>
      <c r="B1483" s="33" t="s">
        <v>5268</v>
      </c>
      <c r="C1483" s="33" t="s">
        <v>141</v>
      </c>
      <c r="D1483" s="34"/>
      <c r="E1483" s="33">
        <v>2015</v>
      </c>
      <c r="F1483" s="34"/>
      <c r="G1483" s="34"/>
      <c r="H1483" s="33" t="s">
        <v>11551</v>
      </c>
      <c r="I1483" s="44" t="s">
        <v>12796</v>
      </c>
      <c r="J1483" s="33">
        <v>2015</v>
      </c>
      <c r="K1483" s="33">
        <v>9781450334808</v>
      </c>
      <c r="L1483" s="33" t="s">
        <v>11557</v>
      </c>
      <c r="M1483" s="34"/>
      <c r="N1483" s="37" t="s">
        <v>11554</v>
      </c>
      <c r="O1483" s="33" t="s">
        <v>5271</v>
      </c>
      <c r="P1483" s="33" t="s">
        <v>11555</v>
      </c>
      <c r="Q1483" s="36"/>
      <c r="R1483" s="36"/>
      <c r="S1483" s="33" t="s">
        <v>11556</v>
      </c>
      <c r="T1483" s="33" t="s">
        <v>12692</v>
      </c>
      <c r="U1483" s="18"/>
      <c r="V1483" s="14"/>
    </row>
    <row r="1484" spans="1:22" x14ac:dyDescent="0.25">
      <c r="A1484" s="33" t="s">
        <v>11550</v>
      </c>
      <c r="B1484" s="33" t="s">
        <v>5268</v>
      </c>
      <c r="C1484" s="33" t="s">
        <v>141</v>
      </c>
      <c r="D1484" s="34"/>
      <c r="E1484" s="33">
        <v>2015</v>
      </c>
      <c r="F1484" s="34"/>
      <c r="G1484" s="34"/>
      <c r="H1484" s="33" t="s">
        <v>3808</v>
      </c>
      <c r="I1484" s="33" t="s">
        <v>153</v>
      </c>
      <c r="J1484" s="33">
        <v>2015</v>
      </c>
      <c r="K1484" s="33">
        <v>9781450334808</v>
      </c>
      <c r="L1484" s="34"/>
      <c r="M1484" s="34"/>
      <c r="N1484" s="37" t="s">
        <v>5270</v>
      </c>
      <c r="O1484" s="33" t="s">
        <v>5271</v>
      </c>
      <c r="P1484" s="33" t="s">
        <v>5272</v>
      </c>
      <c r="Q1484" s="33" t="s">
        <v>3003</v>
      </c>
      <c r="R1484" s="34"/>
      <c r="S1484" s="38"/>
      <c r="T1484" s="38" t="s">
        <v>12690</v>
      </c>
      <c r="U1484" s="18"/>
      <c r="V1484" s="14"/>
    </row>
    <row r="1485" spans="1:22" x14ac:dyDescent="0.25">
      <c r="A1485" s="33" t="s">
        <v>5862</v>
      </c>
      <c r="B1485" s="33" t="s">
        <v>5861</v>
      </c>
      <c r="C1485" s="33" t="s">
        <v>13</v>
      </c>
      <c r="D1485" s="33" t="s">
        <v>354</v>
      </c>
      <c r="E1485" s="33">
        <v>2018</v>
      </c>
      <c r="F1485" s="33">
        <v>135</v>
      </c>
      <c r="G1485" s="34"/>
      <c r="H1485" s="33" t="s">
        <v>5863</v>
      </c>
      <c r="I1485" s="33" t="s">
        <v>355</v>
      </c>
      <c r="J1485" s="33">
        <v>2018</v>
      </c>
      <c r="K1485" s="34"/>
      <c r="L1485" s="34"/>
      <c r="M1485" s="33" t="s">
        <v>65</v>
      </c>
      <c r="N1485" s="37" t="s">
        <v>5864</v>
      </c>
      <c r="O1485" s="33" t="s">
        <v>5865</v>
      </c>
      <c r="P1485" s="33" t="s">
        <v>5866</v>
      </c>
      <c r="Q1485" s="33" t="s">
        <v>747</v>
      </c>
      <c r="R1485" s="34"/>
      <c r="S1485" s="38"/>
      <c r="T1485" s="38" t="s">
        <v>12690</v>
      </c>
      <c r="U1485" s="18"/>
      <c r="V1485" s="18"/>
    </row>
    <row r="1486" spans="1:22" x14ac:dyDescent="0.25">
      <c r="A1486" s="33" t="s">
        <v>2666</v>
      </c>
      <c r="B1486" s="33" t="s">
        <v>2665</v>
      </c>
      <c r="C1486" s="33" t="s">
        <v>141</v>
      </c>
      <c r="D1486" s="34"/>
      <c r="E1486" s="33">
        <v>2022</v>
      </c>
      <c r="F1486" s="34"/>
      <c r="G1486" s="34"/>
      <c r="H1486" s="33" t="s">
        <v>2667</v>
      </c>
      <c r="I1486" s="33" t="s">
        <v>257</v>
      </c>
      <c r="J1486" s="33">
        <v>2022</v>
      </c>
      <c r="K1486" s="33">
        <v>9781450393034</v>
      </c>
      <c r="L1486" s="34"/>
      <c r="M1486" s="34"/>
      <c r="N1486" s="37" t="s">
        <v>2668</v>
      </c>
      <c r="O1486" s="33" t="s">
        <v>2669</v>
      </c>
      <c r="P1486" s="33" t="s">
        <v>2670</v>
      </c>
      <c r="Q1486" s="33" t="s">
        <v>149</v>
      </c>
      <c r="R1486" s="34"/>
      <c r="S1486" s="38"/>
      <c r="T1486" s="38" t="s">
        <v>12690</v>
      </c>
      <c r="U1486" s="18"/>
      <c r="V1486" s="14"/>
    </row>
    <row r="1487" spans="1:22" x14ac:dyDescent="0.25">
      <c r="A1487" s="33" t="s">
        <v>2678</v>
      </c>
      <c r="B1487" s="33" t="s">
        <v>2677</v>
      </c>
      <c r="C1487" s="33" t="s">
        <v>141</v>
      </c>
      <c r="D1487" s="34"/>
      <c r="E1487" s="33">
        <v>2021</v>
      </c>
      <c r="F1487" s="45">
        <v>44470</v>
      </c>
      <c r="G1487" s="34"/>
      <c r="H1487" s="33" t="s">
        <v>2679</v>
      </c>
      <c r="I1487" s="33" t="s">
        <v>196</v>
      </c>
      <c r="J1487" s="33">
        <v>2021</v>
      </c>
      <c r="K1487" s="33">
        <v>9781665425872</v>
      </c>
      <c r="L1487" s="34"/>
      <c r="M1487" s="33" t="s">
        <v>2680</v>
      </c>
      <c r="N1487" s="37" t="s">
        <v>2681</v>
      </c>
      <c r="O1487" s="33" t="s">
        <v>2682</v>
      </c>
      <c r="P1487" s="33" t="s">
        <v>2683</v>
      </c>
      <c r="Q1487" s="33" t="s">
        <v>157</v>
      </c>
      <c r="R1487" s="34"/>
      <c r="S1487" s="38"/>
      <c r="T1487" s="38" t="s">
        <v>12690</v>
      </c>
      <c r="U1487" s="18"/>
      <c r="V1487" s="14"/>
    </row>
    <row r="1488" spans="1:22" x14ac:dyDescent="0.25">
      <c r="A1488" s="33" t="s">
        <v>12491</v>
      </c>
      <c r="B1488" s="33" t="s">
        <v>12490</v>
      </c>
      <c r="C1488" s="33" t="s">
        <v>141</v>
      </c>
      <c r="D1488" s="34"/>
      <c r="E1488" s="33">
        <v>2017</v>
      </c>
      <c r="F1488" s="34"/>
      <c r="G1488" s="34"/>
      <c r="H1488" s="33" t="s">
        <v>12492</v>
      </c>
      <c r="I1488" s="44" t="s">
        <v>12792</v>
      </c>
      <c r="J1488" s="33">
        <v>2017</v>
      </c>
      <c r="K1488" s="33">
        <v>9781450351768</v>
      </c>
      <c r="L1488" s="33" t="s">
        <v>12139</v>
      </c>
      <c r="M1488" s="34"/>
      <c r="N1488" s="37" t="s">
        <v>12493</v>
      </c>
      <c r="O1488" s="33" t="s">
        <v>12494</v>
      </c>
      <c r="P1488" s="33" t="s">
        <v>12495</v>
      </c>
      <c r="Q1488" s="36"/>
      <c r="R1488" s="36"/>
      <c r="S1488" s="33" t="s">
        <v>12496</v>
      </c>
      <c r="T1488" s="33" t="s">
        <v>12692</v>
      </c>
      <c r="U1488" s="18"/>
      <c r="V1488" s="14"/>
    </row>
    <row r="1489" spans="1:22" x14ac:dyDescent="0.25">
      <c r="A1489" s="33" t="s">
        <v>2326</v>
      </c>
      <c r="B1489" s="33" t="s">
        <v>2325</v>
      </c>
      <c r="C1489" s="33" t="s">
        <v>13</v>
      </c>
      <c r="D1489" s="33" t="s">
        <v>2327</v>
      </c>
      <c r="E1489" s="33">
        <v>2021</v>
      </c>
      <c r="F1489" s="33">
        <v>199</v>
      </c>
      <c r="G1489" s="42">
        <v>44989</v>
      </c>
      <c r="H1489" s="33" t="s">
        <v>2328</v>
      </c>
      <c r="I1489" s="33" t="s">
        <v>392</v>
      </c>
      <c r="J1489" s="33">
        <v>2021</v>
      </c>
      <c r="K1489" s="34"/>
      <c r="L1489" s="34"/>
      <c r="M1489" s="33" t="s">
        <v>2329</v>
      </c>
      <c r="N1489" s="37" t="s">
        <v>2330</v>
      </c>
      <c r="O1489" s="33" t="s">
        <v>2331</v>
      </c>
      <c r="P1489" s="33" t="s">
        <v>2332</v>
      </c>
      <c r="Q1489" s="33" t="s">
        <v>2333</v>
      </c>
      <c r="R1489" s="34"/>
      <c r="S1489" s="38"/>
      <c r="T1489" s="38" t="s">
        <v>12690</v>
      </c>
      <c r="U1489" s="18"/>
      <c r="V1489" s="18"/>
    </row>
    <row r="1490" spans="1:22" x14ac:dyDescent="0.25">
      <c r="A1490" s="33" t="s">
        <v>984</v>
      </c>
      <c r="B1490" s="33" t="s">
        <v>983</v>
      </c>
      <c r="C1490" s="33" t="s">
        <v>13</v>
      </c>
      <c r="D1490" s="33" t="s">
        <v>985</v>
      </c>
      <c r="E1490" s="33">
        <v>2022</v>
      </c>
      <c r="F1490" s="33">
        <v>17</v>
      </c>
      <c r="G1490" s="33">
        <v>6</v>
      </c>
      <c r="H1490" s="33" t="s">
        <v>986</v>
      </c>
      <c r="I1490" s="33" t="s">
        <v>987</v>
      </c>
      <c r="J1490" s="33">
        <v>2022</v>
      </c>
      <c r="K1490" s="34"/>
      <c r="L1490" s="34"/>
      <c r="M1490" s="33" t="s">
        <v>988</v>
      </c>
      <c r="N1490" s="37" t="s">
        <v>989</v>
      </c>
      <c r="O1490" s="34"/>
      <c r="P1490" s="33" t="s">
        <v>990</v>
      </c>
      <c r="Q1490" s="33" t="s">
        <v>318</v>
      </c>
      <c r="R1490" s="34"/>
      <c r="S1490" s="38"/>
      <c r="T1490" s="38" t="s">
        <v>12690</v>
      </c>
      <c r="U1490" s="18"/>
      <c r="V1490" s="18"/>
    </row>
    <row r="1491" spans="1:22" x14ac:dyDescent="0.25">
      <c r="A1491" s="33" t="s">
        <v>7698</v>
      </c>
      <c r="B1491" s="33" t="s">
        <v>7697</v>
      </c>
      <c r="C1491" s="33" t="s">
        <v>13</v>
      </c>
      <c r="D1491" s="33" t="s">
        <v>7699</v>
      </c>
      <c r="E1491" s="33">
        <v>2019</v>
      </c>
      <c r="F1491" s="33">
        <v>36</v>
      </c>
      <c r="G1491" s="33">
        <v>1</v>
      </c>
      <c r="H1491" s="33" t="s">
        <v>7700</v>
      </c>
      <c r="I1491" s="34"/>
      <c r="J1491" s="43">
        <v>43466</v>
      </c>
      <c r="K1491" s="36"/>
      <c r="L1491" s="36"/>
      <c r="M1491" s="33" t="s">
        <v>7701</v>
      </c>
      <c r="N1491" s="37" t="s">
        <v>7702</v>
      </c>
      <c r="O1491" s="33" t="s">
        <v>7703</v>
      </c>
      <c r="P1491" s="33" t="s">
        <v>7704</v>
      </c>
      <c r="Q1491" s="36"/>
      <c r="R1491" s="36"/>
      <c r="S1491" s="33" t="s">
        <v>7705</v>
      </c>
      <c r="T1491" s="38" t="s">
        <v>12688</v>
      </c>
      <c r="U1491" s="18"/>
      <c r="V1491" s="18"/>
    </row>
    <row r="1492" spans="1:22" x14ac:dyDescent="0.25">
      <c r="A1492" s="33" t="s">
        <v>4773</v>
      </c>
      <c r="B1492" s="33" t="s">
        <v>4772</v>
      </c>
      <c r="C1492" s="33" t="s">
        <v>141</v>
      </c>
      <c r="D1492" s="34"/>
      <c r="E1492" s="33">
        <v>2020</v>
      </c>
      <c r="F1492" s="33">
        <v>2659</v>
      </c>
      <c r="G1492" s="34"/>
      <c r="H1492" s="33" t="s">
        <v>4774</v>
      </c>
      <c r="I1492" s="33" t="s">
        <v>613</v>
      </c>
      <c r="J1492" s="33">
        <v>2020</v>
      </c>
      <c r="K1492" s="34"/>
      <c r="L1492" s="34"/>
      <c r="M1492" s="33" t="s">
        <v>614</v>
      </c>
      <c r="N1492" s="37" t="s">
        <v>4775</v>
      </c>
      <c r="O1492" s="34"/>
      <c r="P1492" s="33" t="s">
        <v>4776</v>
      </c>
      <c r="Q1492" s="33" t="s">
        <v>157</v>
      </c>
      <c r="R1492" s="34"/>
      <c r="S1492" s="38"/>
      <c r="T1492" s="38" t="s">
        <v>12690</v>
      </c>
      <c r="U1492" s="14"/>
      <c r="V1492" s="18"/>
    </row>
    <row r="1493" spans="1:22" x14ac:dyDescent="0.25">
      <c r="A1493" s="33" t="s">
        <v>3005</v>
      </c>
      <c r="B1493" s="33" t="s">
        <v>3004</v>
      </c>
      <c r="C1493" s="33" t="s">
        <v>141</v>
      </c>
      <c r="D1493" s="34"/>
      <c r="E1493" s="33">
        <v>2020</v>
      </c>
      <c r="F1493" s="34"/>
      <c r="G1493" s="34"/>
      <c r="H1493" s="33" t="s">
        <v>3006</v>
      </c>
      <c r="I1493" s="33" t="s">
        <v>196</v>
      </c>
      <c r="J1493" s="33">
        <v>2020</v>
      </c>
      <c r="K1493" s="33">
        <v>9781450379588</v>
      </c>
      <c r="L1493" s="34"/>
      <c r="M1493" s="34"/>
      <c r="N1493" s="37" t="s">
        <v>3007</v>
      </c>
      <c r="O1493" s="33" t="s">
        <v>3008</v>
      </c>
      <c r="P1493" s="33" t="s">
        <v>3009</v>
      </c>
      <c r="Q1493" s="33" t="s">
        <v>2811</v>
      </c>
      <c r="R1493" s="34"/>
      <c r="S1493" s="38"/>
      <c r="T1493" s="38" t="s">
        <v>12690</v>
      </c>
      <c r="U1493" s="18"/>
      <c r="V1493" s="18"/>
    </row>
    <row r="1494" spans="1:22" x14ac:dyDescent="0.25">
      <c r="A1494" s="33" t="s">
        <v>1910</v>
      </c>
      <c r="B1494" s="33" t="s">
        <v>1909</v>
      </c>
      <c r="C1494" s="33" t="s">
        <v>141</v>
      </c>
      <c r="D1494" s="34"/>
      <c r="E1494" s="33">
        <v>2022</v>
      </c>
      <c r="F1494" s="34"/>
      <c r="G1494" s="34"/>
      <c r="H1494" s="42">
        <v>44934</v>
      </c>
      <c r="I1494" s="33" t="s">
        <v>6550</v>
      </c>
      <c r="J1494" s="43">
        <v>44682</v>
      </c>
      <c r="K1494" s="36"/>
      <c r="L1494" s="36"/>
      <c r="M1494" s="34"/>
      <c r="N1494" s="37" t="s">
        <v>6551</v>
      </c>
      <c r="O1494" s="33" t="s">
        <v>1913</v>
      </c>
      <c r="P1494" s="33" t="s">
        <v>6552</v>
      </c>
      <c r="Q1494" s="36"/>
      <c r="R1494" s="36"/>
      <c r="S1494" s="33" t="s">
        <v>6553</v>
      </c>
      <c r="T1494" s="38" t="s">
        <v>12688</v>
      </c>
      <c r="U1494" s="18"/>
      <c r="V1494" s="14"/>
    </row>
    <row r="1495" spans="1:22" x14ac:dyDescent="0.25">
      <c r="A1495" s="33" t="s">
        <v>1910</v>
      </c>
      <c r="B1495" s="33" t="s">
        <v>1909</v>
      </c>
      <c r="C1495" s="33" t="s">
        <v>141</v>
      </c>
      <c r="D1495" s="34"/>
      <c r="E1495" s="33">
        <v>2022</v>
      </c>
      <c r="F1495" s="34"/>
      <c r="G1495" s="34"/>
      <c r="H1495" s="33" t="s">
        <v>1911</v>
      </c>
      <c r="I1495" s="33" t="s">
        <v>257</v>
      </c>
      <c r="J1495" s="33">
        <v>2022</v>
      </c>
      <c r="K1495" s="33">
        <v>9781450393195</v>
      </c>
      <c r="L1495" s="34"/>
      <c r="M1495" s="34"/>
      <c r="N1495" s="37" t="s">
        <v>1912</v>
      </c>
      <c r="O1495" s="33" t="s">
        <v>1913</v>
      </c>
      <c r="P1495" s="33" t="s">
        <v>1914</v>
      </c>
      <c r="Q1495" s="33" t="s">
        <v>318</v>
      </c>
      <c r="R1495" s="34"/>
      <c r="S1495" s="38"/>
      <c r="T1495" s="38" t="s">
        <v>12690</v>
      </c>
      <c r="U1495" s="18"/>
      <c r="V1495" s="18"/>
    </row>
    <row r="1496" spans="1:22" x14ac:dyDescent="0.25">
      <c r="A1496" s="33" t="s">
        <v>3416</v>
      </c>
      <c r="B1496" s="33" t="s">
        <v>3415</v>
      </c>
      <c r="C1496" s="33" t="s">
        <v>141</v>
      </c>
      <c r="D1496" s="34"/>
      <c r="E1496" s="33">
        <v>2020</v>
      </c>
      <c r="F1496" s="34"/>
      <c r="G1496" s="34"/>
      <c r="H1496" s="33" t="s">
        <v>3417</v>
      </c>
      <c r="I1496" s="33" t="s">
        <v>145</v>
      </c>
      <c r="J1496" s="33">
        <v>2020</v>
      </c>
      <c r="K1496" s="33">
        <v>9781450387538</v>
      </c>
      <c r="L1496" s="34"/>
      <c r="M1496" s="34"/>
      <c r="N1496" s="37" t="s">
        <v>3418</v>
      </c>
      <c r="O1496" s="33" t="s">
        <v>3419</v>
      </c>
      <c r="P1496" s="33" t="s">
        <v>3420</v>
      </c>
      <c r="Q1496" s="33" t="s">
        <v>318</v>
      </c>
      <c r="R1496" s="34"/>
      <c r="S1496" s="38"/>
      <c r="T1496" s="38" t="s">
        <v>12690</v>
      </c>
      <c r="U1496" s="18"/>
      <c r="V1496" s="18"/>
    </row>
    <row r="1497" spans="1:22" x14ac:dyDescent="0.25">
      <c r="A1497" s="39" t="s">
        <v>10968</v>
      </c>
      <c r="B1497" s="39" t="s">
        <v>10970</v>
      </c>
      <c r="C1497" s="39" t="s">
        <v>9539</v>
      </c>
      <c r="D1497" s="36"/>
      <c r="E1497" s="39">
        <v>2021</v>
      </c>
      <c r="F1497" s="40"/>
      <c r="G1497" s="40"/>
      <c r="H1497" s="36"/>
      <c r="I1497" s="39" t="s">
        <v>9331</v>
      </c>
      <c r="J1497" s="36"/>
      <c r="K1497" s="36"/>
      <c r="L1497" s="36"/>
      <c r="M1497" s="34"/>
      <c r="N1497" s="41" t="s">
        <v>10971</v>
      </c>
      <c r="O1497" s="39" t="s">
        <v>10969</v>
      </c>
      <c r="P1497" s="33"/>
      <c r="Q1497" s="36"/>
      <c r="R1497" s="34"/>
      <c r="S1497" s="38"/>
      <c r="T1497" s="38" t="s">
        <v>12689</v>
      </c>
      <c r="U1497" s="18"/>
      <c r="V1497" s="18"/>
    </row>
    <row r="1498" spans="1:22" x14ac:dyDescent="0.25">
      <c r="A1498" s="33" t="s">
        <v>970</v>
      </c>
      <c r="B1498" s="33" t="s">
        <v>969</v>
      </c>
      <c r="C1498" s="33" t="s">
        <v>13</v>
      </c>
      <c r="D1498" s="33" t="s">
        <v>971</v>
      </c>
      <c r="E1498" s="33">
        <v>2023</v>
      </c>
      <c r="F1498" s="33">
        <v>140</v>
      </c>
      <c r="G1498" s="36"/>
      <c r="H1498" s="33" t="s">
        <v>8753</v>
      </c>
      <c r="I1498" s="36"/>
      <c r="J1498" s="33">
        <v>2023</v>
      </c>
      <c r="K1498" s="34"/>
      <c r="L1498" s="34"/>
      <c r="M1498" s="33" t="s">
        <v>973</v>
      </c>
      <c r="N1498" s="37" t="s">
        <v>8754</v>
      </c>
      <c r="O1498" s="33" t="s">
        <v>975</v>
      </c>
      <c r="P1498" s="33" t="s">
        <v>8755</v>
      </c>
      <c r="Q1498" s="36"/>
      <c r="R1498" s="36"/>
      <c r="S1498" s="33" t="s">
        <v>8756</v>
      </c>
      <c r="T1498" s="38" t="s">
        <v>12693</v>
      </c>
      <c r="U1498" s="18"/>
      <c r="V1498" s="18"/>
    </row>
    <row r="1499" spans="1:22" x14ac:dyDescent="0.25">
      <c r="A1499" s="33" t="s">
        <v>970</v>
      </c>
      <c r="B1499" s="33" t="s">
        <v>969</v>
      </c>
      <c r="C1499" s="33" t="s">
        <v>13</v>
      </c>
      <c r="D1499" s="33" t="s">
        <v>971</v>
      </c>
      <c r="E1499" s="33">
        <v>2023</v>
      </c>
      <c r="F1499" s="33">
        <v>140</v>
      </c>
      <c r="G1499" s="34"/>
      <c r="H1499" s="33" t="s">
        <v>972</v>
      </c>
      <c r="I1499" s="33" t="s">
        <v>280</v>
      </c>
      <c r="J1499" s="33">
        <v>2023</v>
      </c>
      <c r="K1499" s="34"/>
      <c r="L1499" s="34"/>
      <c r="M1499" s="33" t="s">
        <v>973</v>
      </c>
      <c r="N1499" s="37" t="s">
        <v>974</v>
      </c>
      <c r="O1499" s="33" t="s">
        <v>975</v>
      </c>
      <c r="P1499" s="33" t="s">
        <v>976</v>
      </c>
      <c r="Q1499" s="33" t="s">
        <v>157</v>
      </c>
      <c r="R1499" s="34"/>
      <c r="S1499" s="38"/>
      <c r="T1499" s="38" t="s">
        <v>12690</v>
      </c>
      <c r="U1499" s="18"/>
      <c r="V1499" s="18"/>
    </row>
    <row r="1500" spans="1:22" x14ac:dyDescent="0.25">
      <c r="A1500" s="39" t="s">
        <v>10852</v>
      </c>
      <c r="B1500" s="39" t="s">
        <v>10854</v>
      </c>
      <c r="C1500" s="39" t="s">
        <v>539</v>
      </c>
      <c r="D1500" s="36"/>
      <c r="E1500" s="39">
        <v>2021</v>
      </c>
      <c r="F1500" s="40"/>
      <c r="G1500" s="40"/>
      <c r="H1500" s="36"/>
      <c r="I1500" s="39" t="s">
        <v>10138</v>
      </c>
      <c r="J1500" s="36"/>
      <c r="K1500" s="36"/>
      <c r="L1500" s="36"/>
      <c r="M1500" s="34"/>
      <c r="N1500" s="41" t="s">
        <v>10855</v>
      </c>
      <c r="O1500" s="39" t="s">
        <v>10853</v>
      </c>
      <c r="P1500" s="33"/>
      <c r="Q1500" s="36"/>
      <c r="R1500" s="34"/>
      <c r="S1500" s="38"/>
      <c r="T1500" s="38" t="s">
        <v>12689</v>
      </c>
      <c r="U1500" s="18"/>
      <c r="V1500" s="18"/>
    </row>
    <row r="1501" spans="1:22" x14ac:dyDescent="0.25">
      <c r="A1501" s="39" t="s">
        <v>10371</v>
      </c>
      <c r="B1501" s="39" t="s">
        <v>10167</v>
      </c>
      <c r="C1501" s="39" t="s">
        <v>9539</v>
      </c>
      <c r="D1501" s="36"/>
      <c r="E1501" s="39">
        <v>2020</v>
      </c>
      <c r="F1501" s="40"/>
      <c r="G1501" s="40"/>
      <c r="H1501" s="36"/>
      <c r="I1501" s="39" t="s">
        <v>10164</v>
      </c>
      <c r="J1501" s="36"/>
      <c r="K1501" s="36"/>
      <c r="L1501" s="36"/>
      <c r="M1501" s="34"/>
      <c r="N1501" s="41" t="s">
        <v>10373</v>
      </c>
      <c r="O1501" s="39" t="s">
        <v>10372</v>
      </c>
      <c r="P1501" s="33"/>
      <c r="Q1501" s="36"/>
      <c r="R1501" s="34"/>
      <c r="S1501" s="38"/>
      <c r="T1501" s="38" t="s">
        <v>12689</v>
      </c>
      <c r="U1501" s="18"/>
      <c r="V1501" s="14"/>
    </row>
    <row r="1502" spans="1:22" x14ac:dyDescent="0.25">
      <c r="A1502" s="33" t="s">
        <v>11120</v>
      </c>
      <c r="B1502" s="33" t="s">
        <v>11119</v>
      </c>
      <c r="C1502" s="33" t="s">
        <v>141</v>
      </c>
      <c r="D1502" s="34"/>
      <c r="E1502" s="33">
        <v>2012</v>
      </c>
      <c r="F1502" s="34"/>
      <c r="G1502" s="34"/>
      <c r="H1502" s="33" t="s">
        <v>11121</v>
      </c>
      <c r="I1502" s="44" t="s">
        <v>12756</v>
      </c>
      <c r="J1502" s="33">
        <v>2012</v>
      </c>
      <c r="K1502" s="33">
        <v>9781467317498</v>
      </c>
      <c r="L1502" s="33" t="s">
        <v>11126</v>
      </c>
      <c r="M1502" s="34"/>
      <c r="N1502" s="34"/>
      <c r="O1502" s="34"/>
      <c r="P1502" s="33" t="s">
        <v>11124</v>
      </c>
      <c r="Q1502" s="36"/>
      <c r="R1502" s="36"/>
      <c r="S1502" s="33" t="s">
        <v>11125</v>
      </c>
      <c r="T1502" s="33" t="s">
        <v>12692</v>
      </c>
      <c r="U1502" s="18"/>
      <c r="V1502" s="14"/>
    </row>
    <row r="1503" spans="1:22" x14ac:dyDescent="0.25">
      <c r="A1503" s="33" t="s">
        <v>7654</v>
      </c>
      <c r="B1503" s="33" t="s">
        <v>7653</v>
      </c>
      <c r="C1503" s="33" t="s">
        <v>141</v>
      </c>
      <c r="D1503" s="34"/>
      <c r="E1503" s="33">
        <v>2018</v>
      </c>
      <c r="F1503" s="34"/>
      <c r="G1503" s="34"/>
      <c r="H1503" s="33" t="s">
        <v>12107</v>
      </c>
      <c r="I1503" s="44" t="s">
        <v>12797</v>
      </c>
      <c r="J1503" s="33">
        <v>2018</v>
      </c>
      <c r="K1503" s="33">
        <v>9781450357142</v>
      </c>
      <c r="L1503" s="33" t="s">
        <v>12112</v>
      </c>
      <c r="M1503" s="34"/>
      <c r="N1503" s="37" t="s">
        <v>12109</v>
      </c>
      <c r="O1503" s="33" t="s">
        <v>12110</v>
      </c>
      <c r="P1503" s="33" t="s">
        <v>7657</v>
      </c>
      <c r="Q1503" s="36"/>
      <c r="R1503" s="36"/>
      <c r="S1503" s="33" t="s">
        <v>12111</v>
      </c>
      <c r="T1503" s="33" t="s">
        <v>12692</v>
      </c>
      <c r="U1503" s="18"/>
      <c r="V1503" s="18"/>
    </row>
    <row r="1504" spans="1:22" x14ac:dyDescent="0.25">
      <c r="A1504" s="33" t="s">
        <v>7654</v>
      </c>
      <c r="B1504" s="33" t="s">
        <v>7653</v>
      </c>
      <c r="C1504" s="33" t="s">
        <v>141</v>
      </c>
      <c r="D1504" s="34"/>
      <c r="E1504" s="33">
        <v>2018</v>
      </c>
      <c r="F1504" s="34"/>
      <c r="G1504" s="34"/>
      <c r="H1504" s="33" t="s">
        <v>7655</v>
      </c>
      <c r="I1504" s="33" t="s">
        <v>7656</v>
      </c>
      <c r="J1504" s="43">
        <v>43221</v>
      </c>
      <c r="K1504" s="36"/>
      <c r="L1504" s="36"/>
      <c r="M1504" s="33" t="s">
        <v>6226</v>
      </c>
      <c r="N1504" s="34"/>
      <c r="O1504" s="34"/>
      <c r="P1504" s="33" t="s">
        <v>7657</v>
      </c>
      <c r="Q1504" s="36"/>
      <c r="R1504" s="36"/>
      <c r="S1504" s="33" t="s">
        <v>7658</v>
      </c>
      <c r="T1504" s="38" t="s">
        <v>12688</v>
      </c>
      <c r="U1504" s="18"/>
      <c r="V1504" s="18"/>
    </row>
    <row r="1505" spans="1:22" x14ac:dyDescent="0.25">
      <c r="A1505" s="33" t="s">
        <v>9233</v>
      </c>
      <c r="B1505" s="33" t="s">
        <v>9232</v>
      </c>
      <c r="C1505" s="33" t="s">
        <v>7972</v>
      </c>
      <c r="D1505" s="34"/>
      <c r="E1505" s="33">
        <v>2014</v>
      </c>
      <c r="F1505" s="34"/>
      <c r="G1505" s="36"/>
      <c r="H1505" s="33" t="s">
        <v>9234</v>
      </c>
      <c r="I1505" s="36"/>
      <c r="J1505" s="33">
        <v>2014</v>
      </c>
      <c r="K1505" s="33" t="s">
        <v>8739</v>
      </c>
      <c r="L1505" s="33" t="s">
        <v>8740</v>
      </c>
      <c r="M1505" s="34"/>
      <c r="N1505" s="37" t="s">
        <v>9236</v>
      </c>
      <c r="O1505" s="33" t="s">
        <v>9237</v>
      </c>
      <c r="P1505" s="33" t="s">
        <v>9238</v>
      </c>
      <c r="Q1505" s="36"/>
      <c r="R1505" s="36"/>
      <c r="S1505" s="33" t="s">
        <v>9239</v>
      </c>
      <c r="T1505" s="38" t="s">
        <v>12693</v>
      </c>
      <c r="U1505" s="18"/>
      <c r="V1505" s="18"/>
    </row>
    <row r="1506" spans="1:22" x14ac:dyDescent="0.25">
      <c r="A1506" s="39" t="s">
        <v>10972</v>
      </c>
      <c r="B1506" s="39" t="s">
        <v>10974</v>
      </c>
      <c r="C1506" s="39" t="s">
        <v>9478</v>
      </c>
      <c r="D1506" s="36"/>
      <c r="E1506" s="39">
        <v>2022</v>
      </c>
      <c r="F1506" s="39">
        <v>26</v>
      </c>
      <c r="G1506" s="39">
        <v>19</v>
      </c>
      <c r="H1506" s="36"/>
      <c r="I1506" s="39" t="s">
        <v>2134</v>
      </c>
      <c r="J1506" s="36"/>
      <c r="K1506" s="36"/>
      <c r="L1506" s="36"/>
      <c r="M1506" s="34"/>
      <c r="N1506" s="41" t="s">
        <v>10975</v>
      </c>
      <c r="O1506" s="39" t="s">
        <v>10973</v>
      </c>
      <c r="P1506" s="33"/>
      <c r="Q1506" s="36"/>
      <c r="R1506" s="34"/>
      <c r="S1506" s="38"/>
      <c r="T1506" s="38" t="s">
        <v>12689</v>
      </c>
      <c r="U1506" s="18"/>
      <c r="V1506" s="18"/>
    </row>
    <row r="1507" spans="1:22" x14ac:dyDescent="0.25">
      <c r="A1507" s="39" t="s">
        <v>10516</v>
      </c>
      <c r="B1507" s="39" t="s">
        <v>10180</v>
      </c>
      <c r="C1507" s="39" t="s">
        <v>9539</v>
      </c>
      <c r="D1507" s="36"/>
      <c r="E1507" s="39">
        <v>2022</v>
      </c>
      <c r="F1507" s="40"/>
      <c r="G1507" s="40"/>
      <c r="H1507" s="36"/>
      <c r="I1507" s="39" t="s">
        <v>10178</v>
      </c>
      <c r="J1507" s="36"/>
      <c r="K1507" s="36"/>
      <c r="L1507" s="36"/>
      <c r="M1507" s="34"/>
      <c r="N1507" s="41" t="s">
        <v>10518</v>
      </c>
      <c r="O1507" s="39" t="s">
        <v>10517</v>
      </c>
      <c r="P1507" s="33"/>
      <c r="Q1507" s="36"/>
      <c r="R1507" s="34"/>
      <c r="S1507" s="38"/>
      <c r="T1507" s="38" t="s">
        <v>12689</v>
      </c>
      <c r="U1507" s="18"/>
      <c r="V1507" s="18"/>
    </row>
    <row r="1508" spans="1:22" x14ac:dyDescent="0.25">
      <c r="A1508" s="39" t="s">
        <v>10927</v>
      </c>
      <c r="B1508" s="39" t="s">
        <v>10929</v>
      </c>
      <c r="C1508" s="39" t="s">
        <v>9539</v>
      </c>
      <c r="D1508" s="36"/>
      <c r="E1508" s="39">
        <v>2022</v>
      </c>
      <c r="F1508" s="40"/>
      <c r="G1508" s="40"/>
      <c r="H1508" s="36"/>
      <c r="I1508" s="39" t="s">
        <v>9624</v>
      </c>
      <c r="J1508" s="36"/>
      <c r="K1508" s="36"/>
      <c r="L1508" s="36"/>
      <c r="M1508" s="34"/>
      <c r="N1508" s="41" t="s">
        <v>10930</v>
      </c>
      <c r="O1508" s="39" t="s">
        <v>10928</v>
      </c>
      <c r="P1508" s="33"/>
      <c r="Q1508" s="36"/>
      <c r="R1508" s="34"/>
      <c r="S1508" s="38"/>
      <c r="T1508" s="38" t="s">
        <v>12689</v>
      </c>
      <c r="U1508" s="18"/>
      <c r="V1508" s="18"/>
    </row>
    <row r="1509" spans="1:22" x14ac:dyDescent="0.25">
      <c r="A1509" s="39" t="s">
        <v>9667</v>
      </c>
      <c r="B1509" s="39" t="s">
        <v>9669</v>
      </c>
      <c r="C1509" s="39" t="s">
        <v>539</v>
      </c>
      <c r="D1509" s="36"/>
      <c r="E1509" s="39">
        <v>2022</v>
      </c>
      <c r="F1509" s="40"/>
      <c r="G1509" s="40"/>
      <c r="H1509" s="36"/>
      <c r="I1509" s="39" t="s">
        <v>9275</v>
      </c>
      <c r="J1509" s="36"/>
      <c r="K1509" s="36"/>
      <c r="L1509" s="36"/>
      <c r="M1509" s="34"/>
      <c r="N1509" s="41" t="s">
        <v>9670</v>
      </c>
      <c r="O1509" s="39" t="s">
        <v>9668</v>
      </c>
      <c r="P1509" s="33"/>
      <c r="Q1509" s="36"/>
      <c r="R1509" s="34"/>
      <c r="S1509" s="38"/>
      <c r="T1509" s="38" t="s">
        <v>12689</v>
      </c>
      <c r="U1509" s="18"/>
      <c r="V1509" s="14"/>
    </row>
    <row r="1510" spans="1:22" x14ac:dyDescent="0.25">
      <c r="A1510" s="33" t="s">
        <v>11971</v>
      </c>
      <c r="B1510" s="33" t="s">
        <v>11970</v>
      </c>
      <c r="C1510" s="33" t="s">
        <v>141</v>
      </c>
      <c r="D1510" s="34"/>
      <c r="E1510" s="33">
        <v>2017</v>
      </c>
      <c r="F1510" s="34"/>
      <c r="G1510" s="34"/>
      <c r="H1510" s="34"/>
      <c r="I1510" s="44" t="s">
        <v>12798</v>
      </c>
      <c r="J1510" s="33">
        <v>2017</v>
      </c>
      <c r="K1510" s="33">
        <v>9781941652060</v>
      </c>
      <c r="L1510" s="33" t="s">
        <v>11978</v>
      </c>
      <c r="M1510" s="34"/>
      <c r="N1510" s="34"/>
      <c r="O1510" s="34"/>
      <c r="P1510" s="33" t="s">
        <v>11976</v>
      </c>
      <c r="Q1510" s="36"/>
      <c r="R1510" s="36"/>
      <c r="S1510" s="33" t="s">
        <v>11977</v>
      </c>
      <c r="T1510" s="33" t="s">
        <v>12692</v>
      </c>
      <c r="U1510" s="18"/>
      <c r="V1510" s="18"/>
    </row>
    <row r="1511" spans="1:22" x14ac:dyDescent="0.25">
      <c r="A1511" s="39" t="s">
        <v>10871</v>
      </c>
      <c r="B1511" s="39" t="s">
        <v>10873</v>
      </c>
      <c r="C1511" s="39" t="s">
        <v>9478</v>
      </c>
      <c r="D1511" s="36"/>
      <c r="E1511" s="39">
        <v>2015</v>
      </c>
      <c r="F1511" s="39">
        <v>20</v>
      </c>
      <c r="G1511" s="39">
        <v>4</v>
      </c>
      <c r="H1511" s="36"/>
      <c r="I1511" s="39" t="s">
        <v>691</v>
      </c>
      <c r="J1511" s="36"/>
      <c r="K1511" s="36"/>
      <c r="L1511" s="36"/>
      <c r="M1511" s="34"/>
      <c r="N1511" s="41" t="s">
        <v>10874</v>
      </c>
      <c r="O1511" s="39" t="s">
        <v>10872</v>
      </c>
      <c r="P1511" s="33"/>
      <c r="Q1511" s="36"/>
      <c r="R1511" s="34"/>
      <c r="S1511" s="38"/>
      <c r="T1511" s="38" t="s">
        <v>12689</v>
      </c>
      <c r="U1511" s="18"/>
      <c r="V1511" s="18"/>
    </row>
    <row r="1512" spans="1:22" x14ac:dyDescent="0.25">
      <c r="A1512" s="33" t="s">
        <v>8331</v>
      </c>
      <c r="B1512" s="33" t="s">
        <v>8330</v>
      </c>
      <c r="C1512" s="33" t="s">
        <v>13</v>
      </c>
      <c r="D1512" s="33" t="s">
        <v>4637</v>
      </c>
      <c r="E1512" s="33">
        <v>2022</v>
      </c>
      <c r="F1512" s="33">
        <v>39</v>
      </c>
      <c r="G1512" s="33">
        <v>1</v>
      </c>
      <c r="H1512" s="33" t="s">
        <v>8332</v>
      </c>
      <c r="I1512" s="34"/>
      <c r="J1512" s="43">
        <v>44562</v>
      </c>
      <c r="K1512" s="34"/>
      <c r="L1512" s="36"/>
      <c r="M1512" s="33" t="s">
        <v>6207</v>
      </c>
      <c r="N1512" s="37" t="s">
        <v>8333</v>
      </c>
      <c r="O1512" s="33" t="s">
        <v>8334</v>
      </c>
      <c r="P1512" s="33" t="s">
        <v>8335</v>
      </c>
      <c r="Q1512" s="36"/>
      <c r="R1512" s="34"/>
      <c r="S1512" s="38"/>
      <c r="T1512" s="38" t="s">
        <v>12688</v>
      </c>
      <c r="U1512" s="18"/>
    </row>
    <row r="1513" spans="1:22" x14ac:dyDescent="0.25">
      <c r="A1513" s="33" t="s">
        <v>5279</v>
      </c>
      <c r="B1513" s="33" t="s">
        <v>5278</v>
      </c>
      <c r="C1513" s="33" t="s">
        <v>141</v>
      </c>
      <c r="D1513" s="34"/>
      <c r="E1513" s="33">
        <v>2016</v>
      </c>
      <c r="F1513" s="45">
        <v>42614</v>
      </c>
      <c r="G1513" s="34"/>
      <c r="H1513" s="33" t="s">
        <v>5280</v>
      </c>
      <c r="I1513" s="33" t="s">
        <v>257</v>
      </c>
      <c r="J1513" s="33">
        <v>2016</v>
      </c>
      <c r="K1513" s="33">
        <v>9781450342292</v>
      </c>
      <c r="L1513" s="34"/>
      <c r="M1513" s="33" t="s">
        <v>5281</v>
      </c>
      <c r="N1513" s="37" t="s">
        <v>5282</v>
      </c>
      <c r="O1513" s="33" t="s">
        <v>5283</v>
      </c>
      <c r="P1513" s="33" t="s">
        <v>5284</v>
      </c>
      <c r="Q1513" s="33" t="s">
        <v>5285</v>
      </c>
      <c r="R1513" s="34"/>
      <c r="S1513" s="38"/>
      <c r="T1513" s="38" t="s">
        <v>12690</v>
      </c>
      <c r="U1513" s="18"/>
    </row>
    <row r="1514" spans="1:22" x14ac:dyDescent="0.25">
      <c r="A1514" s="33" t="s">
        <v>7726</v>
      </c>
      <c r="B1514" s="33" t="s">
        <v>7725</v>
      </c>
      <c r="C1514" s="33" t="s">
        <v>13</v>
      </c>
      <c r="D1514" s="33" t="s">
        <v>255</v>
      </c>
      <c r="E1514" s="33">
        <v>2022</v>
      </c>
      <c r="F1514" s="34"/>
      <c r="G1514" s="34"/>
      <c r="H1514" s="42">
        <v>44939</v>
      </c>
      <c r="I1514" s="34"/>
      <c r="J1514" s="33">
        <v>2022</v>
      </c>
      <c r="K1514" s="36"/>
      <c r="L1514" s="36"/>
      <c r="M1514" s="33" t="s">
        <v>6115</v>
      </c>
      <c r="N1514" s="37" t="s">
        <v>7727</v>
      </c>
      <c r="O1514" s="33" t="s">
        <v>7728</v>
      </c>
      <c r="P1514" s="33" t="s">
        <v>7729</v>
      </c>
      <c r="Q1514" s="36"/>
      <c r="R1514" s="36"/>
      <c r="S1514" s="33" t="s">
        <v>7730</v>
      </c>
      <c r="T1514" s="38" t="s">
        <v>12688</v>
      </c>
      <c r="U1514" s="18"/>
    </row>
    <row r="1515" spans="1:22" x14ac:dyDescent="0.25">
      <c r="A1515" s="33" t="s">
        <v>11928</v>
      </c>
      <c r="B1515" s="33" t="s">
        <v>11927</v>
      </c>
      <c r="C1515" s="33" t="s">
        <v>141</v>
      </c>
      <c r="D1515" s="34"/>
      <c r="E1515" s="33">
        <v>2018</v>
      </c>
      <c r="F1515" s="34"/>
      <c r="G1515" s="34"/>
      <c r="H1515" s="33" t="s">
        <v>11929</v>
      </c>
      <c r="I1515" s="44" t="s">
        <v>12752</v>
      </c>
      <c r="J1515" s="33">
        <v>2018</v>
      </c>
      <c r="K1515" s="33">
        <v>9781450355735</v>
      </c>
      <c r="L1515" s="33" t="s">
        <v>11936</v>
      </c>
      <c r="M1515" s="34"/>
      <c r="N1515" s="37" t="s">
        <v>11932</v>
      </c>
      <c r="O1515" s="33" t="s">
        <v>11933</v>
      </c>
      <c r="P1515" s="33" t="s">
        <v>11934</v>
      </c>
      <c r="Q1515" s="36"/>
      <c r="R1515" s="36"/>
      <c r="S1515" s="33" t="s">
        <v>11935</v>
      </c>
      <c r="T1515" s="33" t="s">
        <v>12692</v>
      </c>
      <c r="U1515" s="18"/>
    </row>
    <row r="1516" spans="1:22" x14ac:dyDescent="0.25">
      <c r="A1516" s="33" t="s">
        <v>5416</v>
      </c>
      <c r="B1516" s="33" t="s">
        <v>5415</v>
      </c>
      <c r="C1516" s="33" t="s">
        <v>141</v>
      </c>
      <c r="D1516" s="34"/>
      <c r="E1516" s="33">
        <v>2016</v>
      </c>
      <c r="F1516" s="34"/>
      <c r="G1516" s="34"/>
      <c r="H1516" s="33" t="s">
        <v>5417</v>
      </c>
      <c r="I1516" s="33" t="s">
        <v>257</v>
      </c>
      <c r="J1516" s="33">
        <v>2016</v>
      </c>
      <c r="K1516" s="33">
        <v>9781509038824</v>
      </c>
      <c r="L1516" s="34"/>
      <c r="M1516" s="34"/>
      <c r="N1516" s="37" t="s">
        <v>5418</v>
      </c>
      <c r="O1516" s="33" t="s">
        <v>5419</v>
      </c>
      <c r="P1516" s="33" t="s">
        <v>5420</v>
      </c>
      <c r="Q1516" s="33" t="s">
        <v>2286</v>
      </c>
      <c r="R1516" s="34"/>
      <c r="S1516" s="38"/>
      <c r="T1516" s="38" t="s">
        <v>12690</v>
      </c>
      <c r="U1516" s="18"/>
    </row>
    <row r="1517" spans="1:22" x14ac:dyDescent="0.25">
      <c r="A1517" s="33" t="s">
        <v>2694</v>
      </c>
      <c r="B1517" s="33" t="s">
        <v>2693</v>
      </c>
      <c r="C1517" s="33" t="s">
        <v>13</v>
      </c>
      <c r="D1517" s="33" t="s">
        <v>2695</v>
      </c>
      <c r="E1517" s="33">
        <v>2020</v>
      </c>
      <c r="F1517" s="33">
        <v>34</v>
      </c>
      <c r="G1517" s="33">
        <v>5</v>
      </c>
      <c r="H1517" s="33" t="s">
        <v>2696</v>
      </c>
      <c r="I1517" s="33" t="s">
        <v>266</v>
      </c>
      <c r="J1517" s="33">
        <v>2020</v>
      </c>
      <c r="K1517" s="34"/>
      <c r="L1517" s="34"/>
      <c r="M1517" s="33" t="s">
        <v>2697</v>
      </c>
      <c r="N1517" s="37" t="s">
        <v>2698</v>
      </c>
      <c r="O1517" s="33" t="s">
        <v>2699</v>
      </c>
      <c r="P1517" s="33" t="s">
        <v>2700</v>
      </c>
      <c r="Q1517" s="33" t="s">
        <v>2701</v>
      </c>
      <c r="R1517" s="34"/>
      <c r="S1517" s="38"/>
      <c r="T1517" s="38" t="s">
        <v>12690</v>
      </c>
      <c r="U1517" s="18"/>
    </row>
    <row r="1518" spans="1:22" x14ac:dyDescent="0.25">
      <c r="A1518" s="39" t="s">
        <v>10809</v>
      </c>
      <c r="B1518" s="39" t="s">
        <v>10811</v>
      </c>
      <c r="C1518" s="39" t="s">
        <v>9539</v>
      </c>
      <c r="D1518" s="36"/>
      <c r="E1518" s="39">
        <v>2022</v>
      </c>
      <c r="F1518" s="40"/>
      <c r="G1518" s="40"/>
      <c r="H1518" s="36"/>
      <c r="I1518" s="39" t="s">
        <v>9984</v>
      </c>
      <c r="J1518" s="36"/>
      <c r="K1518" s="36"/>
      <c r="L1518" s="36"/>
      <c r="M1518" s="34"/>
      <c r="N1518" s="41" t="s">
        <v>10812</v>
      </c>
      <c r="O1518" s="39" t="s">
        <v>10810</v>
      </c>
      <c r="P1518" s="33"/>
      <c r="Q1518" s="36"/>
      <c r="R1518" s="34"/>
      <c r="S1518" s="38"/>
      <c r="T1518" s="38" t="s">
        <v>12689</v>
      </c>
      <c r="U1518" s="18"/>
    </row>
    <row r="1519" spans="1:22" x14ac:dyDescent="0.25">
      <c r="A1519" s="33" t="s">
        <v>2032</v>
      </c>
      <c r="B1519" s="33" t="s">
        <v>2031</v>
      </c>
      <c r="C1519" s="33" t="s">
        <v>141</v>
      </c>
      <c r="D1519" s="34"/>
      <c r="E1519" s="33">
        <v>2022</v>
      </c>
      <c r="F1519" s="34"/>
      <c r="G1519" s="34"/>
      <c r="H1519" s="33" t="s">
        <v>11275</v>
      </c>
      <c r="I1519" s="44" t="s">
        <v>12748</v>
      </c>
      <c r="J1519" s="33">
        <v>2022</v>
      </c>
      <c r="K1519" s="33">
        <v>9781450393041</v>
      </c>
      <c r="L1519" s="33" t="s">
        <v>11081</v>
      </c>
      <c r="M1519" s="34"/>
      <c r="N1519" s="37" t="s">
        <v>11276</v>
      </c>
      <c r="O1519" s="33" t="s">
        <v>2035</v>
      </c>
      <c r="P1519" s="33" t="s">
        <v>11277</v>
      </c>
      <c r="Q1519" s="36"/>
      <c r="R1519" s="36"/>
      <c r="S1519" s="33" t="s">
        <v>11278</v>
      </c>
      <c r="T1519" s="33" t="s">
        <v>12692</v>
      </c>
      <c r="U1519" s="18"/>
    </row>
    <row r="1520" spans="1:22" x14ac:dyDescent="0.25">
      <c r="A1520" s="33" t="s">
        <v>2032</v>
      </c>
      <c r="B1520" s="33" t="s">
        <v>2031</v>
      </c>
      <c r="C1520" s="33" t="s">
        <v>141</v>
      </c>
      <c r="D1520" s="34"/>
      <c r="E1520" s="33">
        <v>2022</v>
      </c>
      <c r="F1520" s="34"/>
      <c r="G1520" s="34"/>
      <c r="H1520" s="33" t="s">
        <v>6117</v>
      </c>
      <c r="I1520" s="33" t="s">
        <v>6118</v>
      </c>
      <c r="J1520" s="43">
        <v>44682</v>
      </c>
      <c r="K1520" s="36"/>
      <c r="L1520" s="36"/>
      <c r="M1520" s="34"/>
      <c r="N1520" s="37" t="s">
        <v>6119</v>
      </c>
      <c r="O1520" s="33" t="s">
        <v>2035</v>
      </c>
      <c r="P1520" s="33" t="s">
        <v>6120</v>
      </c>
      <c r="Q1520" s="36"/>
      <c r="R1520" s="36"/>
      <c r="S1520" s="33" t="s">
        <v>6121</v>
      </c>
      <c r="T1520" s="38" t="s">
        <v>12688</v>
      </c>
      <c r="U1520" s="18"/>
    </row>
    <row r="1521" spans="1:21" x14ac:dyDescent="0.25">
      <c r="A1521" s="33" t="s">
        <v>2032</v>
      </c>
      <c r="B1521" s="33" t="s">
        <v>2031</v>
      </c>
      <c r="C1521" s="33" t="s">
        <v>141</v>
      </c>
      <c r="D1521" s="34"/>
      <c r="E1521" s="33">
        <v>2022</v>
      </c>
      <c r="F1521" s="34"/>
      <c r="G1521" s="34"/>
      <c r="H1521" s="33" t="s">
        <v>2033</v>
      </c>
      <c r="I1521" s="33" t="s">
        <v>257</v>
      </c>
      <c r="J1521" s="33">
        <v>2022</v>
      </c>
      <c r="K1521" s="33">
        <v>9781450393041</v>
      </c>
      <c r="L1521" s="34"/>
      <c r="M1521" s="34"/>
      <c r="N1521" s="37" t="s">
        <v>2034</v>
      </c>
      <c r="O1521" s="33" t="s">
        <v>2035</v>
      </c>
      <c r="P1521" s="33" t="s">
        <v>2036</v>
      </c>
      <c r="Q1521" s="33" t="s">
        <v>568</v>
      </c>
      <c r="R1521" s="34"/>
      <c r="S1521" s="38"/>
      <c r="T1521" s="38" t="s">
        <v>12690</v>
      </c>
      <c r="U1521" s="18"/>
    </row>
    <row r="1522" spans="1:21" x14ac:dyDescent="0.25">
      <c r="A1522" s="39" t="s">
        <v>10687</v>
      </c>
      <c r="B1522" s="39" t="s">
        <v>10689</v>
      </c>
      <c r="C1522" s="39" t="s">
        <v>9478</v>
      </c>
      <c r="D1522" s="36"/>
      <c r="E1522" s="39">
        <v>2022</v>
      </c>
      <c r="F1522" s="39">
        <v>27</v>
      </c>
      <c r="G1522" s="39">
        <v>7</v>
      </c>
      <c r="H1522" s="36"/>
      <c r="I1522" s="39" t="s">
        <v>136</v>
      </c>
      <c r="J1522" s="36"/>
      <c r="K1522" s="36"/>
      <c r="L1522" s="36"/>
      <c r="M1522" s="34"/>
      <c r="N1522" s="41" t="s">
        <v>10690</v>
      </c>
      <c r="O1522" s="39" t="s">
        <v>10688</v>
      </c>
      <c r="P1522" s="33"/>
      <c r="Q1522" s="36"/>
      <c r="R1522" s="34"/>
      <c r="S1522" s="38"/>
      <c r="T1522" s="38" t="s">
        <v>12689</v>
      </c>
      <c r="U1522" s="18"/>
    </row>
    <row r="1523" spans="1:21" x14ac:dyDescent="0.25">
      <c r="A1523" s="33" t="s">
        <v>5585</v>
      </c>
      <c r="B1523" s="33" t="s">
        <v>5584</v>
      </c>
      <c r="C1523" s="33" t="s">
        <v>141</v>
      </c>
      <c r="D1523" s="34"/>
      <c r="E1523" s="33">
        <v>2018</v>
      </c>
      <c r="F1523" s="33">
        <v>2291</v>
      </c>
      <c r="G1523" s="34"/>
      <c r="H1523" s="33" t="s">
        <v>5586</v>
      </c>
      <c r="I1523" s="33" t="s">
        <v>613</v>
      </c>
      <c r="J1523" s="33">
        <v>2018</v>
      </c>
      <c r="K1523" s="34"/>
      <c r="L1523" s="34"/>
      <c r="M1523" s="33" t="s">
        <v>614</v>
      </c>
      <c r="N1523" s="37" t="s">
        <v>5587</v>
      </c>
      <c r="O1523" s="34"/>
      <c r="P1523" s="33" t="s">
        <v>5588</v>
      </c>
      <c r="Q1523" s="33" t="s">
        <v>157</v>
      </c>
      <c r="R1523" s="34"/>
      <c r="S1523" s="38"/>
      <c r="T1523" s="38" t="s">
        <v>12690</v>
      </c>
      <c r="U1523" s="18"/>
    </row>
    <row r="1524" spans="1:21" x14ac:dyDescent="0.25">
      <c r="A1524" s="39" t="s">
        <v>9859</v>
      </c>
      <c r="B1524" s="39" t="s">
        <v>9861</v>
      </c>
      <c r="C1524" s="39" t="s">
        <v>539</v>
      </c>
      <c r="D1524" s="36"/>
      <c r="E1524" s="39">
        <v>2019</v>
      </c>
      <c r="F1524" s="40"/>
      <c r="G1524" s="40"/>
      <c r="H1524" s="36"/>
      <c r="I1524" s="40"/>
      <c r="J1524" s="36"/>
      <c r="K1524" s="36"/>
      <c r="L1524" s="36"/>
      <c r="M1524" s="34"/>
      <c r="N1524" s="41" t="s">
        <v>9862</v>
      </c>
      <c r="O1524" s="39" t="s">
        <v>9860</v>
      </c>
      <c r="P1524" s="33"/>
      <c r="Q1524" s="36"/>
      <c r="R1524" s="34"/>
      <c r="S1524" s="38"/>
      <c r="T1524" s="38" t="s">
        <v>12689</v>
      </c>
      <c r="U1524" s="18"/>
    </row>
    <row r="1525" spans="1:21" x14ac:dyDescent="0.25">
      <c r="A1525" s="33" t="s">
        <v>5435</v>
      </c>
      <c r="B1525" s="33" t="s">
        <v>5434</v>
      </c>
      <c r="C1525" s="33" t="s">
        <v>141</v>
      </c>
      <c r="D1525" s="34"/>
      <c r="E1525" s="33">
        <v>2017</v>
      </c>
      <c r="F1525" s="34"/>
      <c r="G1525" s="34"/>
      <c r="H1525" s="33" t="s">
        <v>850</v>
      </c>
      <c r="I1525" s="33" t="s">
        <v>153</v>
      </c>
      <c r="J1525" s="33">
        <v>2017</v>
      </c>
      <c r="K1525" s="33">
        <v>9781450352024</v>
      </c>
      <c r="L1525" s="34"/>
      <c r="M1525" s="34"/>
      <c r="N1525" s="37" t="s">
        <v>5436</v>
      </c>
      <c r="O1525" s="33" t="s">
        <v>5437</v>
      </c>
      <c r="P1525" s="33" t="s">
        <v>5438</v>
      </c>
      <c r="Q1525" s="33" t="s">
        <v>5439</v>
      </c>
      <c r="R1525" s="34"/>
      <c r="S1525" s="38"/>
      <c r="T1525" s="38" t="s">
        <v>12690</v>
      </c>
      <c r="U1525" s="18"/>
    </row>
    <row r="1526" spans="1:21" x14ac:dyDescent="0.25">
      <c r="A1526" s="39" t="s">
        <v>10301</v>
      </c>
      <c r="B1526" s="39" t="s">
        <v>10303</v>
      </c>
      <c r="C1526" s="39" t="s">
        <v>9478</v>
      </c>
      <c r="D1526" s="36"/>
      <c r="E1526" s="39">
        <v>2020</v>
      </c>
      <c r="F1526" s="39">
        <v>25</v>
      </c>
      <c r="G1526" s="39">
        <v>3</v>
      </c>
      <c r="H1526" s="36"/>
      <c r="I1526" s="39" t="s">
        <v>136</v>
      </c>
      <c r="J1526" s="36"/>
      <c r="K1526" s="36"/>
      <c r="L1526" s="36"/>
      <c r="M1526" s="34"/>
      <c r="N1526" s="41" t="s">
        <v>10304</v>
      </c>
      <c r="O1526" s="39" t="s">
        <v>10302</v>
      </c>
      <c r="P1526" s="33"/>
      <c r="Q1526" s="36"/>
      <c r="R1526" s="34"/>
      <c r="S1526" s="38"/>
      <c r="T1526" s="38" t="s">
        <v>12689</v>
      </c>
      <c r="U1526" s="18"/>
    </row>
    <row r="1527" spans="1:21" x14ac:dyDescent="0.25">
      <c r="A1527" s="33" t="s">
        <v>2688</v>
      </c>
      <c r="B1527" s="33" t="s">
        <v>2687</v>
      </c>
      <c r="C1527" s="33" t="s">
        <v>141</v>
      </c>
      <c r="D1527" s="34"/>
      <c r="E1527" s="33">
        <v>2021</v>
      </c>
      <c r="F1527" s="34"/>
      <c r="G1527" s="34"/>
      <c r="H1527" s="33" t="s">
        <v>2689</v>
      </c>
      <c r="I1527" s="33" t="s">
        <v>257</v>
      </c>
      <c r="J1527" s="33">
        <v>2021</v>
      </c>
      <c r="K1527" s="33">
        <v>9781665444705</v>
      </c>
      <c r="L1527" s="34"/>
      <c r="M1527" s="34"/>
      <c r="N1527" s="37" t="s">
        <v>2690</v>
      </c>
      <c r="O1527" s="33" t="s">
        <v>2691</v>
      </c>
      <c r="P1527" s="33" t="s">
        <v>2692</v>
      </c>
      <c r="Q1527" s="33" t="s">
        <v>1404</v>
      </c>
      <c r="R1527" s="34"/>
      <c r="S1527" s="38"/>
      <c r="T1527" s="38" t="s">
        <v>12690</v>
      </c>
      <c r="U1527" s="18"/>
    </row>
    <row r="1528" spans="1:21" x14ac:dyDescent="0.25">
      <c r="A1528" s="39" t="s">
        <v>10898</v>
      </c>
      <c r="B1528" s="39" t="s">
        <v>10900</v>
      </c>
      <c r="C1528" s="39" t="s">
        <v>539</v>
      </c>
      <c r="D1528" s="36"/>
      <c r="E1528" s="39">
        <v>2022</v>
      </c>
      <c r="F1528" s="40"/>
      <c r="G1528" s="40"/>
      <c r="H1528" s="36"/>
      <c r="I1528" s="40"/>
      <c r="J1528" s="36"/>
      <c r="K1528" s="36"/>
      <c r="L1528" s="36"/>
      <c r="M1528" s="34"/>
      <c r="N1528" s="41" t="s">
        <v>10901</v>
      </c>
      <c r="O1528" s="39" t="s">
        <v>10899</v>
      </c>
      <c r="P1528" s="33"/>
      <c r="Q1528" s="36"/>
      <c r="R1528" s="34"/>
      <c r="S1528" s="38"/>
      <c r="T1528" s="38" t="s">
        <v>12689</v>
      </c>
      <c r="U1528" s="18"/>
    </row>
    <row r="1529" spans="1:21" x14ac:dyDescent="0.25">
      <c r="A1529" s="33" t="s">
        <v>6075</v>
      </c>
      <c r="B1529" s="33" t="s">
        <v>6074</v>
      </c>
      <c r="C1529" s="33" t="s">
        <v>13</v>
      </c>
      <c r="D1529" s="33" t="s">
        <v>354</v>
      </c>
      <c r="E1529" s="33">
        <v>2018</v>
      </c>
      <c r="F1529" s="33">
        <v>136</v>
      </c>
      <c r="G1529" s="34"/>
      <c r="H1529" s="33" t="s">
        <v>2780</v>
      </c>
      <c r="I1529" s="33" t="s">
        <v>355</v>
      </c>
      <c r="J1529" s="33">
        <v>2018</v>
      </c>
      <c r="K1529" s="34"/>
      <c r="L1529" s="34"/>
      <c r="M1529" s="33" t="s">
        <v>65</v>
      </c>
      <c r="N1529" s="37" t="s">
        <v>6076</v>
      </c>
      <c r="O1529" s="33" t="s">
        <v>6077</v>
      </c>
      <c r="P1529" s="33" t="s">
        <v>6078</v>
      </c>
      <c r="Q1529" s="33" t="s">
        <v>6079</v>
      </c>
      <c r="R1529" s="34"/>
      <c r="S1529" s="38"/>
      <c r="T1529" s="38" t="s">
        <v>12690</v>
      </c>
      <c r="U1529" s="18"/>
    </row>
    <row r="1530" spans="1:21" x14ac:dyDescent="0.25">
      <c r="A1530" s="33" t="s">
        <v>5645</v>
      </c>
      <c r="B1530" s="33" t="s">
        <v>5644</v>
      </c>
      <c r="C1530" s="33" t="s">
        <v>13</v>
      </c>
      <c r="D1530" s="33" t="s">
        <v>188</v>
      </c>
      <c r="E1530" s="33">
        <v>2018</v>
      </c>
      <c r="F1530" s="33">
        <v>28</v>
      </c>
      <c r="G1530" s="33">
        <v>3</v>
      </c>
      <c r="H1530" s="33" t="s">
        <v>5646</v>
      </c>
      <c r="I1530" s="33" t="s">
        <v>5647</v>
      </c>
      <c r="J1530" s="33">
        <v>2018</v>
      </c>
      <c r="K1530" s="34"/>
      <c r="L1530" s="34"/>
      <c r="M1530" s="33" t="s">
        <v>73</v>
      </c>
      <c r="N1530" s="37" t="s">
        <v>5648</v>
      </c>
      <c r="O1530" s="33" t="s">
        <v>5649</v>
      </c>
      <c r="P1530" s="33" t="s">
        <v>5650</v>
      </c>
      <c r="Q1530" s="33" t="s">
        <v>318</v>
      </c>
      <c r="R1530" s="34"/>
      <c r="S1530" s="38"/>
      <c r="T1530" s="38" t="s">
        <v>12690</v>
      </c>
      <c r="U1530" s="18"/>
    </row>
    <row r="1531" spans="1:21" x14ac:dyDescent="0.25">
      <c r="A1531" s="33" t="s">
        <v>3651</v>
      </c>
      <c r="B1531" s="33" t="s">
        <v>3650</v>
      </c>
      <c r="C1531" s="33" t="s">
        <v>13</v>
      </c>
      <c r="D1531" s="33" t="s">
        <v>179</v>
      </c>
      <c r="E1531" s="33">
        <v>2020</v>
      </c>
      <c r="F1531" s="33">
        <v>35</v>
      </c>
      <c r="G1531" s="33">
        <v>6</v>
      </c>
      <c r="H1531" s="33" t="s">
        <v>3652</v>
      </c>
      <c r="I1531" s="33" t="s">
        <v>137</v>
      </c>
      <c r="J1531" s="33">
        <v>2020</v>
      </c>
      <c r="K1531" s="34"/>
      <c r="L1531" s="34"/>
      <c r="M1531" s="33" t="s">
        <v>181</v>
      </c>
      <c r="N1531" s="37" t="s">
        <v>3653</v>
      </c>
      <c r="O1531" s="33" t="s">
        <v>3654</v>
      </c>
      <c r="P1531" s="33" t="s">
        <v>3655</v>
      </c>
      <c r="Q1531" s="33" t="s">
        <v>397</v>
      </c>
      <c r="R1531" s="34"/>
      <c r="S1531" s="38"/>
      <c r="T1531" s="38" t="s">
        <v>12690</v>
      </c>
      <c r="U1531" s="18"/>
    </row>
    <row r="1532" spans="1:21" x14ac:dyDescent="0.25">
      <c r="A1532" s="39" t="s">
        <v>3651</v>
      </c>
      <c r="B1532" s="39" t="s">
        <v>10099</v>
      </c>
      <c r="C1532" s="39" t="s">
        <v>9478</v>
      </c>
      <c r="D1532" s="36"/>
      <c r="E1532" s="39">
        <v>2020</v>
      </c>
      <c r="F1532" s="39">
        <v>35</v>
      </c>
      <c r="G1532" s="39">
        <v>6</v>
      </c>
      <c r="H1532" s="36"/>
      <c r="I1532" s="39" t="s">
        <v>179</v>
      </c>
      <c r="J1532" s="36"/>
      <c r="K1532" s="36"/>
      <c r="L1532" s="36"/>
      <c r="M1532" s="34"/>
      <c r="N1532" s="41" t="s">
        <v>10100</v>
      </c>
      <c r="O1532" s="39" t="s">
        <v>3654</v>
      </c>
      <c r="P1532" s="33"/>
      <c r="Q1532" s="36"/>
      <c r="R1532" s="34"/>
      <c r="S1532" s="38"/>
      <c r="T1532" s="38" t="s">
        <v>12689</v>
      </c>
      <c r="U1532" s="18"/>
    </row>
    <row r="1533" spans="1:21" x14ac:dyDescent="0.25">
      <c r="A1533" s="33" t="s">
        <v>2730</v>
      </c>
      <c r="B1533" s="33" t="s">
        <v>2729</v>
      </c>
      <c r="C1533" s="33" t="s">
        <v>141</v>
      </c>
      <c r="D1533" s="34"/>
      <c r="E1533" s="33">
        <v>2021</v>
      </c>
      <c r="F1533" s="45">
        <v>44317</v>
      </c>
      <c r="G1533" s="34"/>
      <c r="H1533" s="33" t="s">
        <v>2731</v>
      </c>
      <c r="I1533" s="33" t="s">
        <v>196</v>
      </c>
      <c r="J1533" s="33">
        <v>2021</v>
      </c>
      <c r="K1533" s="33">
        <v>9781665414036</v>
      </c>
      <c r="L1533" s="34"/>
      <c r="M1533" s="34"/>
      <c r="N1533" s="37" t="s">
        <v>2732</v>
      </c>
      <c r="O1533" s="33" t="s">
        <v>2733</v>
      </c>
      <c r="P1533" s="33" t="s">
        <v>2734</v>
      </c>
      <c r="Q1533" s="33" t="s">
        <v>818</v>
      </c>
      <c r="R1533" s="34"/>
      <c r="S1533" s="38"/>
      <c r="T1533" s="38" t="s">
        <v>12690</v>
      </c>
      <c r="U1533" s="18"/>
    </row>
    <row r="1534" spans="1:21" x14ac:dyDescent="0.25">
      <c r="A1534" s="33" t="s">
        <v>2730</v>
      </c>
      <c r="B1534" s="33" t="s">
        <v>2729</v>
      </c>
      <c r="C1534" s="33" t="s">
        <v>141</v>
      </c>
      <c r="D1534" s="34"/>
      <c r="E1534" s="33">
        <v>2021</v>
      </c>
      <c r="F1534" s="34"/>
      <c r="G1534" s="34"/>
      <c r="H1534" s="33" t="s">
        <v>6224</v>
      </c>
      <c r="I1534" s="33" t="s">
        <v>6225</v>
      </c>
      <c r="J1534" s="43">
        <v>44317</v>
      </c>
      <c r="K1534" s="36"/>
      <c r="L1534" s="36"/>
      <c r="M1534" s="33" t="s">
        <v>6226</v>
      </c>
      <c r="N1534" s="37" t="s">
        <v>6227</v>
      </c>
      <c r="O1534" s="33" t="s">
        <v>2733</v>
      </c>
      <c r="P1534" s="33" t="s">
        <v>6228</v>
      </c>
      <c r="Q1534" s="36"/>
      <c r="R1534" s="36"/>
      <c r="S1534" s="33" t="s">
        <v>6229</v>
      </c>
      <c r="T1534" s="38" t="s">
        <v>12688</v>
      </c>
      <c r="U1534" s="18"/>
    </row>
    <row r="1535" spans="1:21" x14ac:dyDescent="0.25">
      <c r="A1535" s="33" t="s">
        <v>1735</v>
      </c>
      <c r="B1535" s="33" t="s">
        <v>1734</v>
      </c>
      <c r="C1535" s="33" t="s">
        <v>141</v>
      </c>
      <c r="D1535" s="34"/>
      <c r="E1535" s="33">
        <v>2021</v>
      </c>
      <c r="F1535" s="34"/>
      <c r="G1535" s="34"/>
      <c r="H1535" s="33" t="s">
        <v>1736</v>
      </c>
      <c r="I1535" s="33" t="s">
        <v>257</v>
      </c>
      <c r="J1535" s="33">
        <v>2021</v>
      </c>
      <c r="K1535" s="33">
        <v>9781728187105</v>
      </c>
      <c r="L1535" s="34"/>
      <c r="M1535" s="34"/>
      <c r="N1535" s="37" t="s">
        <v>1737</v>
      </c>
      <c r="O1535" s="33" t="s">
        <v>1738</v>
      </c>
      <c r="P1535" s="33" t="s">
        <v>1739</v>
      </c>
      <c r="Q1535" s="33" t="s">
        <v>1740</v>
      </c>
      <c r="R1535" s="34"/>
      <c r="S1535" s="38"/>
      <c r="T1535" s="38" t="s">
        <v>12690</v>
      </c>
      <c r="U1535" s="18"/>
    </row>
    <row r="1536" spans="1:21" x14ac:dyDescent="0.25">
      <c r="A1536" s="33" t="s">
        <v>5732</v>
      </c>
      <c r="B1536" s="33" t="s">
        <v>5731</v>
      </c>
      <c r="C1536" s="33" t="s">
        <v>141</v>
      </c>
      <c r="D1536" s="34"/>
      <c r="E1536" s="33">
        <v>2018</v>
      </c>
      <c r="F1536" s="34"/>
      <c r="G1536" s="34"/>
      <c r="H1536" s="33" t="s">
        <v>5733</v>
      </c>
      <c r="I1536" s="33" t="s">
        <v>196</v>
      </c>
      <c r="J1536" s="33">
        <v>2018</v>
      </c>
      <c r="K1536" s="33">
        <v>9781450357166</v>
      </c>
      <c r="L1536" s="34"/>
      <c r="M1536" s="33" t="s">
        <v>1458</v>
      </c>
      <c r="N1536" s="37" t="s">
        <v>5734</v>
      </c>
      <c r="O1536" s="33" t="s">
        <v>5735</v>
      </c>
      <c r="P1536" s="33" t="s">
        <v>5736</v>
      </c>
      <c r="Q1536" s="33" t="s">
        <v>1598</v>
      </c>
      <c r="R1536" s="34"/>
      <c r="S1536" s="38"/>
      <c r="T1536" s="38" t="s">
        <v>12690</v>
      </c>
      <c r="U1536" s="18"/>
    </row>
    <row r="1537" spans="1:21" x14ac:dyDescent="0.25">
      <c r="A1537" s="33" t="s">
        <v>4778</v>
      </c>
      <c r="B1537" s="33" t="s">
        <v>4777</v>
      </c>
      <c r="C1537" s="33" t="s">
        <v>13</v>
      </c>
      <c r="D1537" s="33" t="s">
        <v>328</v>
      </c>
      <c r="E1537" s="33">
        <v>2020</v>
      </c>
      <c r="F1537" s="33">
        <v>29</v>
      </c>
      <c r="G1537" s="33">
        <v>2</v>
      </c>
      <c r="H1537" s="34"/>
      <c r="I1537" s="33" t="s">
        <v>145</v>
      </c>
      <c r="J1537" s="33">
        <v>2020</v>
      </c>
      <c r="K1537" s="34"/>
      <c r="L1537" s="34"/>
      <c r="M1537" s="33" t="s">
        <v>329</v>
      </c>
      <c r="N1537" s="37" t="s">
        <v>4779</v>
      </c>
      <c r="O1537" s="33" t="s">
        <v>4780</v>
      </c>
      <c r="P1537" s="33" t="s">
        <v>4781</v>
      </c>
      <c r="Q1537" s="33" t="s">
        <v>2997</v>
      </c>
      <c r="R1537" s="34"/>
      <c r="S1537" s="38"/>
      <c r="T1537" s="38" t="s">
        <v>12690</v>
      </c>
      <c r="U1537" s="18"/>
    </row>
    <row r="1538" spans="1:21" x14ac:dyDescent="0.25">
      <c r="A1538" s="33" t="s">
        <v>5964</v>
      </c>
      <c r="B1538" s="33" t="s">
        <v>5963</v>
      </c>
      <c r="C1538" s="33" t="s">
        <v>13</v>
      </c>
      <c r="D1538" s="33" t="s">
        <v>971</v>
      </c>
      <c r="E1538" s="33">
        <v>2017</v>
      </c>
      <c r="F1538" s="33">
        <v>72</v>
      </c>
      <c r="G1538" s="34"/>
      <c r="H1538" s="33" t="s">
        <v>5965</v>
      </c>
      <c r="I1538" s="33" t="s">
        <v>280</v>
      </c>
      <c r="J1538" s="33">
        <v>2017</v>
      </c>
      <c r="K1538" s="34"/>
      <c r="L1538" s="34"/>
      <c r="M1538" s="33" t="s">
        <v>973</v>
      </c>
      <c r="N1538" s="37" t="s">
        <v>5966</v>
      </c>
      <c r="O1538" s="33" t="s">
        <v>5967</v>
      </c>
      <c r="P1538" s="33" t="s">
        <v>5968</v>
      </c>
      <c r="Q1538" s="33" t="s">
        <v>3407</v>
      </c>
      <c r="R1538" s="34"/>
      <c r="S1538" s="38"/>
      <c r="T1538" s="38" t="s">
        <v>12690</v>
      </c>
      <c r="U1538" s="18"/>
    </row>
    <row r="1539" spans="1:21" x14ac:dyDescent="0.25">
      <c r="A1539" s="33" t="s">
        <v>5723</v>
      </c>
      <c r="B1539" s="33" t="s">
        <v>5722</v>
      </c>
      <c r="C1539" s="33" t="s">
        <v>141</v>
      </c>
      <c r="D1539" s="34"/>
      <c r="E1539" s="33">
        <v>2018</v>
      </c>
      <c r="F1539" s="33">
        <v>2319</v>
      </c>
      <c r="G1539" s="34"/>
      <c r="H1539" s="34"/>
      <c r="I1539" s="33" t="s">
        <v>613</v>
      </c>
      <c r="J1539" s="33">
        <v>2018</v>
      </c>
      <c r="K1539" s="34"/>
      <c r="L1539" s="34"/>
      <c r="M1539" s="33" t="s">
        <v>614</v>
      </c>
      <c r="N1539" s="37" t="s">
        <v>5724</v>
      </c>
      <c r="O1539" s="34"/>
      <c r="P1539" s="33" t="s">
        <v>5725</v>
      </c>
      <c r="Q1539" s="33" t="s">
        <v>318</v>
      </c>
      <c r="R1539" s="34"/>
      <c r="S1539" s="38"/>
      <c r="T1539" s="38" t="s">
        <v>12690</v>
      </c>
      <c r="U1539" s="18"/>
    </row>
    <row r="1540" spans="1:21" x14ac:dyDescent="0.25">
      <c r="A1540" s="33" t="s">
        <v>1484</v>
      </c>
      <c r="B1540" s="33" t="s">
        <v>1483</v>
      </c>
      <c r="C1540" s="33" t="s">
        <v>141</v>
      </c>
      <c r="D1540" s="34"/>
      <c r="E1540" s="33">
        <v>2021</v>
      </c>
      <c r="F1540" s="34"/>
      <c r="G1540" s="34"/>
      <c r="H1540" s="33" t="s">
        <v>1485</v>
      </c>
      <c r="I1540" s="33" t="s">
        <v>257</v>
      </c>
      <c r="J1540" s="33">
        <v>2021</v>
      </c>
      <c r="K1540" s="33">
        <v>9781665414050</v>
      </c>
      <c r="L1540" s="34"/>
      <c r="M1540" s="34"/>
      <c r="N1540" s="37" t="s">
        <v>1486</v>
      </c>
      <c r="O1540" s="33" t="s">
        <v>1487</v>
      </c>
      <c r="P1540" s="33" t="s">
        <v>1488</v>
      </c>
      <c r="Q1540" s="33" t="s">
        <v>404</v>
      </c>
      <c r="R1540" s="34"/>
      <c r="S1540" s="38"/>
      <c r="T1540" s="38" t="s">
        <v>12690</v>
      </c>
      <c r="U1540" s="18"/>
    </row>
    <row r="1541" spans="1:21" x14ac:dyDescent="0.25">
      <c r="A1541" s="33" t="s">
        <v>3646</v>
      </c>
      <c r="B1541" s="33" t="s">
        <v>3645</v>
      </c>
      <c r="C1541" s="33" t="s">
        <v>141</v>
      </c>
      <c r="D1541" s="34"/>
      <c r="E1541" s="33">
        <v>2020</v>
      </c>
      <c r="F1541" s="34"/>
      <c r="G1541" s="34"/>
      <c r="H1541" s="34"/>
      <c r="I1541" s="33" t="s">
        <v>145</v>
      </c>
      <c r="J1541" s="33">
        <v>2020</v>
      </c>
      <c r="K1541" s="33">
        <v>9781450389235</v>
      </c>
      <c r="L1541" s="34"/>
      <c r="M1541" s="34"/>
      <c r="N1541" s="37" t="s">
        <v>3647</v>
      </c>
      <c r="O1541" s="33" t="s">
        <v>3648</v>
      </c>
      <c r="P1541" s="33" t="s">
        <v>3649</v>
      </c>
      <c r="Q1541" s="33" t="s">
        <v>176</v>
      </c>
      <c r="R1541" s="34"/>
      <c r="S1541" s="38"/>
      <c r="T1541" s="38" t="s">
        <v>12690</v>
      </c>
      <c r="U1541" s="18"/>
    </row>
    <row r="1542" spans="1:21" x14ac:dyDescent="0.25">
      <c r="A1542" s="39" t="s">
        <v>2765</v>
      </c>
      <c r="B1542" s="39" t="s">
        <v>9479</v>
      </c>
      <c r="C1542" s="39" t="s">
        <v>9478</v>
      </c>
      <c r="D1542" s="36"/>
      <c r="E1542" s="39">
        <v>2020</v>
      </c>
      <c r="F1542" s="39">
        <v>28</v>
      </c>
      <c r="G1542" s="39">
        <v>4</v>
      </c>
      <c r="H1542" s="36"/>
      <c r="I1542" s="39" t="s">
        <v>523</v>
      </c>
      <c r="J1542" s="36"/>
      <c r="K1542" s="36"/>
      <c r="L1542" s="36"/>
      <c r="M1542" s="34"/>
      <c r="N1542" s="41" t="s">
        <v>9480</v>
      </c>
      <c r="O1542" s="39" t="s">
        <v>2768</v>
      </c>
      <c r="P1542" s="33"/>
      <c r="Q1542" s="36"/>
      <c r="R1542" s="34"/>
      <c r="S1542" s="38"/>
      <c r="T1542" s="38" t="s">
        <v>12689</v>
      </c>
      <c r="U1542" s="18"/>
    </row>
    <row r="1543" spans="1:21" x14ac:dyDescent="0.25">
      <c r="A1543" s="33" t="s">
        <v>2765</v>
      </c>
      <c r="B1543" s="33" t="s">
        <v>2764</v>
      </c>
      <c r="C1543" s="33" t="s">
        <v>13</v>
      </c>
      <c r="D1543" s="33" t="s">
        <v>523</v>
      </c>
      <c r="E1543" s="33">
        <v>2020</v>
      </c>
      <c r="F1543" s="33">
        <v>28</v>
      </c>
      <c r="G1543" s="33">
        <v>4</v>
      </c>
      <c r="H1543" s="33" t="s">
        <v>2766</v>
      </c>
      <c r="I1543" s="33" t="s">
        <v>137</v>
      </c>
      <c r="J1543" s="33">
        <v>2020</v>
      </c>
      <c r="K1543" s="34"/>
      <c r="L1543" s="34"/>
      <c r="M1543" s="33" t="s">
        <v>525</v>
      </c>
      <c r="N1543" s="37" t="s">
        <v>2767</v>
      </c>
      <c r="O1543" s="33" t="s">
        <v>2768</v>
      </c>
      <c r="P1543" s="33" t="s">
        <v>2769</v>
      </c>
      <c r="Q1543" s="33" t="s">
        <v>2770</v>
      </c>
      <c r="R1543" s="34"/>
      <c r="S1543" s="38"/>
      <c r="T1543" s="38" t="s">
        <v>12690</v>
      </c>
      <c r="U1543" s="18"/>
    </row>
    <row r="1544" spans="1:21" x14ac:dyDescent="0.25">
      <c r="A1544" s="33" t="s">
        <v>2907</v>
      </c>
      <c r="B1544" s="33" t="s">
        <v>2906</v>
      </c>
      <c r="C1544" s="33" t="s">
        <v>13</v>
      </c>
      <c r="D1544" s="33" t="s">
        <v>354</v>
      </c>
      <c r="E1544" s="33">
        <v>2021</v>
      </c>
      <c r="F1544" s="33">
        <v>171</v>
      </c>
      <c r="G1544" s="36"/>
      <c r="H1544" s="33">
        <v>110847</v>
      </c>
      <c r="I1544" s="36"/>
      <c r="J1544" s="33">
        <v>2021</v>
      </c>
      <c r="K1544" s="34"/>
      <c r="L1544" s="34"/>
      <c r="M1544" s="33" t="s">
        <v>65</v>
      </c>
      <c r="N1544" s="37" t="s">
        <v>8446</v>
      </c>
      <c r="O1544" s="33" t="s">
        <v>2909</v>
      </c>
      <c r="P1544" s="33" t="s">
        <v>8447</v>
      </c>
      <c r="Q1544" s="36"/>
      <c r="R1544" s="36"/>
      <c r="S1544" s="33" t="s">
        <v>8448</v>
      </c>
      <c r="T1544" s="38" t="s">
        <v>12693</v>
      </c>
      <c r="U1544" s="18"/>
    </row>
    <row r="1545" spans="1:21" x14ac:dyDescent="0.25">
      <c r="A1545" s="33" t="s">
        <v>2907</v>
      </c>
      <c r="B1545" s="33" t="s">
        <v>2906</v>
      </c>
      <c r="C1545" s="33" t="s">
        <v>13</v>
      </c>
      <c r="D1545" s="33" t="s">
        <v>354</v>
      </c>
      <c r="E1545" s="33">
        <v>2021</v>
      </c>
      <c r="F1545" s="33">
        <v>171</v>
      </c>
      <c r="G1545" s="34"/>
      <c r="H1545" s="34"/>
      <c r="I1545" s="33" t="s">
        <v>355</v>
      </c>
      <c r="J1545" s="33">
        <v>2021</v>
      </c>
      <c r="K1545" s="34"/>
      <c r="L1545" s="34"/>
      <c r="M1545" s="33" t="s">
        <v>65</v>
      </c>
      <c r="N1545" s="37" t="s">
        <v>2908</v>
      </c>
      <c r="O1545" s="33" t="s">
        <v>2909</v>
      </c>
      <c r="P1545" s="33" t="s">
        <v>2910</v>
      </c>
      <c r="Q1545" s="33" t="s">
        <v>2911</v>
      </c>
      <c r="R1545" s="34"/>
      <c r="S1545" s="38"/>
      <c r="T1545" s="38" t="s">
        <v>12690</v>
      </c>
      <c r="U1545" s="18"/>
    </row>
    <row r="1546" spans="1:21" x14ac:dyDescent="0.25">
      <c r="A1546" s="33" t="s">
        <v>4880</v>
      </c>
      <c r="B1546" s="33" t="s">
        <v>4879</v>
      </c>
      <c r="C1546" s="33" t="s">
        <v>13</v>
      </c>
      <c r="D1546" s="33" t="s">
        <v>462</v>
      </c>
      <c r="E1546" s="33">
        <v>2019</v>
      </c>
      <c r="F1546" s="33">
        <v>960</v>
      </c>
      <c r="G1546" s="34"/>
      <c r="H1546" s="33" t="s">
        <v>4881</v>
      </c>
      <c r="I1546" s="33" t="s">
        <v>4155</v>
      </c>
      <c r="J1546" s="33">
        <v>2019</v>
      </c>
      <c r="K1546" s="34"/>
      <c r="L1546" s="34"/>
      <c r="M1546" s="33" t="s">
        <v>465</v>
      </c>
      <c r="N1546" s="37" t="s">
        <v>4882</v>
      </c>
      <c r="O1546" s="33" t="s">
        <v>4883</v>
      </c>
      <c r="P1546" s="33" t="s">
        <v>4884</v>
      </c>
      <c r="Q1546" s="33" t="s">
        <v>2723</v>
      </c>
      <c r="R1546" s="34"/>
      <c r="S1546" s="38"/>
      <c r="T1546" s="38" t="s">
        <v>12690</v>
      </c>
      <c r="U1546" s="18"/>
    </row>
    <row r="1547" spans="1:21" x14ac:dyDescent="0.25">
      <c r="A1547" s="33" t="s">
        <v>7006</v>
      </c>
      <c r="B1547" s="33" t="s">
        <v>7005</v>
      </c>
      <c r="C1547" s="33" t="s">
        <v>141</v>
      </c>
      <c r="D1547" s="34"/>
      <c r="E1547" s="33">
        <v>2020</v>
      </c>
      <c r="F1547" s="34"/>
      <c r="G1547" s="34"/>
      <c r="H1547" s="42">
        <v>44932</v>
      </c>
      <c r="I1547" s="33" t="s">
        <v>7007</v>
      </c>
      <c r="J1547" s="43">
        <v>43891</v>
      </c>
      <c r="K1547" s="36"/>
      <c r="L1547" s="36"/>
      <c r="M1547" s="34"/>
      <c r="N1547" s="37" t="s">
        <v>7008</v>
      </c>
      <c r="O1547" s="33" t="s">
        <v>7009</v>
      </c>
      <c r="P1547" s="33" t="s">
        <v>7010</v>
      </c>
      <c r="Q1547" s="36"/>
      <c r="R1547" s="36"/>
      <c r="S1547" s="33" t="s">
        <v>7011</v>
      </c>
      <c r="T1547" s="38" t="s">
        <v>12688</v>
      </c>
      <c r="U1547" s="18"/>
    </row>
    <row r="1548" spans="1:21" x14ac:dyDescent="0.25">
      <c r="A1548" s="39" t="s">
        <v>9704</v>
      </c>
      <c r="B1548" s="39" t="s">
        <v>9706</v>
      </c>
      <c r="C1548" s="39" t="s">
        <v>539</v>
      </c>
      <c r="D1548" s="36"/>
      <c r="E1548" s="39">
        <v>2023</v>
      </c>
      <c r="F1548" s="40"/>
      <c r="G1548" s="40"/>
      <c r="H1548" s="36"/>
      <c r="I1548" s="39" t="s">
        <v>912</v>
      </c>
      <c r="J1548" s="36"/>
      <c r="K1548" s="36"/>
      <c r="L1548" s="36"/>
      <c r="M1548" s="34"/>
      <c r="N1548" s="41" t="s">
        <v>9707</v>
      </c>
      <c r="O1548" s="39" t="s">
        <v>9705</v>
      </c>
      <c r="P1548" s="33"/>
      <c r="Q1548" s="36"/>
      <c r="R1548" s="34"/>
      <c r="S1548" s="38"/>
      <c r="T1548" s="38" t="s">
        <v>12689</v>
      </c>
      <c r="U1548" s="18"/>
    </row>
    <row r="1549" spans="1:21" x14ac:dyDescent="0.25">
      <c r="A1549" s="33" t="s">
        <v>449</v>
      </c>
      <c r="B1549" s="33" t="s">
        <v>448</v>
      </c>
      <c r="C1549" s="33" t="s">
        <v>13</v>
      </c>
      <c r="D1549" s="33" t="s">
        <v>11246</v>
      </c>
      <c r="E1549" s="33">
        <v>2022</v>
      </c>
      <c r="F1549" s="33">
        <v>31</v>
      </c>
      <c r="G1549" s="33">
        <v>3</v>
      </c>
      <c r="H1549" s="34"/>
      <c r="I1549" s="44" t="s">
        <v>12710</v>
      </c>
      <c r="J1549" s="43">
        <v>44652</v>
      </c>
      <c r="K1549" s="34"/>
      <c r="L1549" s="34"/>
      <c r="M1549" s="33" t="s">
        <v>329</v>
      </c>
      <c r="N1549" s="37" t="s">
        <v>11303</v>
      </c>
      <c r="O1549" s="33" t="s">
        <v>451</v>
      </c>
      <c r="P1549" s="33" t="s">
        <v>11304</v>
      </c>
      <c r="Q1549" s="36"/>
      <c r="R1549" s="36"/>
      <c r="S1549" s="33" t="s">
        <v>11305</v>
      </c>
      <c r="T1549" s="33" t="s">
        <v>12692</v>
      </c>
      <c r="U1549" s="18"/>
    </row>
    <row r="1550" spans="1:21" x14ac:dyDescent="0.25">
      <c r="A1550" s="33" t="s">
        <v>449</v>
      </c>
      <c r="B1550" s="33" t="s">
        <v>448</v>
      </c>
      <c r="C1550" s="33" t="s">
        <v>13</v>
      </c>
      <c r="D1550" s="33" t="s">
        <v>328</v>
      </c>
      <c r="E1550" s="33">
        <v>2022</v>
      </c>
      <c r="F1550" s="33">
        <v>31</v>
      </c>
      <c r="G1550" s="33">
        <v>3</v>
      </c>
      <c r="H1550" s="34"/>
      <c r="I1550" s="33" t="s">
        <v>145</v>
      </c>
      <c r="J1550" s="33">
        <v>2022</v>
      </c>
      <c r="K1550" s="34"/>
      <c r="L1550" s="34"/>
      <c r="M1550" s="33" t="s">
        <v>329</v>
      </c>
      <c r="N1550" s="37" t="s">
        <v>450</v>
      </c>
      <c r="O1550" s="33" t="s">
        <v>451</v>
      </c>
      <c r="P1550" s="33" t="s">
        <v>452</v>
      </c>
      <c r="Q1550" s="33" t="s">
        <v>404</v>
      </c>
      <c r="R1550" s="34"/>
      <c r="S1550" s="38"/>
      <c r="T1550" s="38" t="s">
        <v>12690</v>
      </c>
      <c r="U1550" s="18"/>
    </row>
    <row r="1551" spans="1:21" x14ac:dyDescent="0.25">
      <c r="A1551" s="33" t="s">
        <v>1167</v>
      </c>
      <c r="B1551" s="33" t="s">
        <v>1166</v>
      </c>
      <c r="C1551" s="33" t="s">
        <v>141</v>
      </c>
      <c r="D1551" s="34"/>
      <c r="E1551" s="33">
        <v>2022</v>
      </c>
      <c r="F1551" s="34"/>
      <c r="G1551" s="34"/>
      <c r="H1551" s="34"/>
      <c r="I1551" s="33" t="s">
        <v>145</v>
      </c>
      <c r="J1551" s="33">
        <v>2022</v>
      </c>
      <c r="K1551" s="33">
        <v>9781450391566</v>
      </c>
      <c r="L1551" s="34"/>
      <c r="M1551" s="34"/>
      <c r="N1551" s="37" t="s">
        <v>1168</v>
      </c>
      <c r="O1551" s="33" t="s">
        <v>1169</v>
      </c>
      <c r="P1551" s="33" t="s">
        <v>1170</v>
      </c>
      <c r="Q1551" s="33" t="s">
        <v>404</v>
      </c>
      <c r="R1551" s="34"/>
      <c r="S1551" s="38"/>
      <c r="T1551" s="38" t="s">
        <v>12690</v>
      </c>
      <c r="U1551" s="18"/>
    </row>
    <row r="1552" spans="1:21" x14ac:dyDescent="0.25">
      <c r="A1552" s="33" t="s">
        <v>8173</v>
      </c>
      <c r="B1552" s="33" t="s">
        <v>8172</v>
      </c>
      <c r="C1552" s="33" t="s">
        <v>13</v>
      </c>
      <c r="D1552" s="33" t="s">
        <v>8174</v>
      </c>
      <c r="E1552" s="33">
        <v>2022</v>
      </c>
      <c r="F1552" s="33">
        <v>20</v>
      </c>
      <c r="G1552" s="33">
        <v>1</v>
      </c>
      <c r="H1552" s="33" t="s">
        <v>8175</v>
      </c>
      <c r="I1552" s="34"/>
      <c r="J1552" s="43">
        <v>44562</v>
      </c>
      <c r="K1552" s="34"/>
      <c r="L1552" s="36"/>
      <c r="M1552" s="33" t="s">
        <v>8176</v>
      </c>
      <c r="N1552" s="37" t="s">
        <v>8177</v>
      </c>
      <c r="O1552" s="33" t="s">
        <v>8178</v>
      </c>
      <c r="P1552" s="33" t="s">
        <v>8179</v>
      </c>
      <c r="Q1552" s="36"/>
      <c r="R1552" s="36"/>
      <c r="S1552" s="33" t="s">
        <v>8180</v>
      </c>
      <c r="T1552" s="38" t="s">
        <v>12688</v>
      </c>
      <c r="U1552" s="18"/>
    </row>
    <row r="1553" spans="1:21" x14ac:dyDescent="0.25">
      <c r="A1553" s="33" t="s">
        <v>3381</v>
      </c>
      <c r="B1553" s="33" t="s">
        <v>3380</v>
      </c>
      <c r="C1553" s="33" t="s">
        <v>141</v>
      </c>
      <c r="D1553" s="34"/>
      <c r="E1553" s="33">
        <v>2020</v>
      </c>
      <c r="F1553" s="34"/>
      <c r="G1553" s="34"/>
      <c r="H1553" s="33" t="s">
        <v>3382</v>
      </c>
      <c r="I1553" s="33" t="s">
        <v>257</v>
      </c>
      <c r="J1553" s="33">
        <v>2020</v>
      </c>
      <c r="K1553" s="33">
        <v>9781728195322</v>
      </c>
      <c r="L1553" s="34"/>
      <c r="M1553" s="34"/>
      <c r="N1553" s="37" t="s">
        <v>3383</v>
      </c>
      <c r="O1553" s="33" t="s">
        <v>3384</v>
      </c>
      <c r="P1553" s="33" t="s">
        <v>3385</v>
      </c>
      <c r="Q1553" s="33" t="s">
        <v>1598</v>
      </c>
      <c r="R1553" s="34"/>
      <c r="S1553" s="38"/>
      <c r="T1553" s="38" t="s">
        <v>12690</v>
      </c>
      <c r="U1553" s="18"/>
    </row>
    <row r="1554" spans="1:21" x14ac:dyDescent="0.25">
      <c r="A1554" s="33" t="s">
        <v>3381</v>
      </c>
      <c r="B1554" s="33" t="s">
        <v>6425</v>
      </c>
      <c r="C1554" s="33" t="s">
        <v>141</v>
      </c>
      <c r="D1554" s="34"/>
      <c r="E1554" s="33">
        <v>2020</v>
      </c>
      <c r="F1554" s="34"/>
      <c r="G1554" s="34"/>
      <c r="H1554" s="33" t="s">
        <v>6426</v>
      </c>
      <c r="I1554" s="33" t="s">
        <v>6322</v>
      </c>
      <c r="J1554" s="43">
        <v>44044</v>
      </c>
      <c r="K1554" s="36"/>
      <c r="L1554" s="36"/>
      <c r="M1554" s="34"/>
      <c r="N1554" s="37" t="s">
        <v>6427</v>
      </c>
      <c r="O1554" s="33" t="s">
        <v>3384</v>
      </c>
      <c r="P1554" s="33" t="s">
        <v>6428</v>
      </c>
      <c r="Q1554" s="36"/>
      <c r="R1554" s="36"/>
      <c r="S1554" s="33" t="s">
        <v>6429</v>
      </c>
      <c r="T1554" s="38" t="s">
        <v>12688</v>
      </c>
      <c r="U1554" s="18"/>
    </row>
    <row r="1555" spans="1:21" x14ac:dyDescent="0.25">
      <c r="A1555" s="39" t="s">
        <v>10390</v>
      </c>
      <c r="B1555" s="39" t="s">
        <v>10008</v>
      </c>
      <c r="C1555" s="39" t="s">
        <v>9539</v>
      </c>
      <c r="D1555" s="36"/>
      <c r="E1555" s="39">
        <v>2022</v>
      </c>
      <c r="F1555" s="40"/>
      <c r="G1555" s="40"/>
      <c r="H1555" s="36"/>
      <c r="I1555" s="39" t="s">
        <v>9403</v>
      </c>
      <c r="J1555" s="36"/>
      <c r="K1555" s="36"/>
      <c r="L1555" s="36"/>
      <c r="M1555" s="34"/>
      <c r="N1555" s="41" t="s">
        <v>10392</v>
      </c>
      <c r="O1555" s="39" t="s">
        <v>10391</v>
      </c>
      <c r="P1555" s="33"/>
      <c r="Q1555" s="36"/>
      <c r="R1555" s="34"/>
      <c r="S1555" s="38"/>
      <c r="T1555" s="38" t="s">
        <v>12689</v>
      </c>
      <c r="U1555" s="18"/>
    </row>
    <row r="1556" spans="1:21" x14ac:dyDescent="0.25">
      <c r="A1556" s="33" t="s">
        <v>291</v>
      </c>
      <c r="B1556" s="33" t="s">
        <v>290</v>
      </c>
      <c r="C1556" s="33" t="s">
        <v>13</v>
      </c>
      <c r="D1556" s="33" t="s">
        <v>292</v>
      </c>
      <c r="E1556" s="33">
        <v>2022</v>
      </c>
      <c r="F1556" s="33">
        <v>34</v>
      </c>
      <c r="G1556" s="33">
        <v>10</v>
      </c>
      <c r="H1556" s="33" t="s">
        <v>293</v>
      </c>
      <c r="I1556" s="33" t="s">
        <v>294</v>
      </c>
      <c r="J1556" s="33">
        <v>2022</v>
      </c>
      <c r="K1556" s="34"/>
      <c r="L1556" s="34"/>
      <c r="M1556" s="33" t="s">
        <v>295</v>
      </c>
      <c r="N1556" s="37" t="s">
        <v>296</v>
      </c>
      <c r="O1556" s="33" t="s">
        <v>297</v>
      </c>
      <c r="P1556" s="33" t="s">
        <v>298</v>
      </c>
      <c r="Q1556" s="33" t="s">
        <v>285</v>
      </c>
      <c r="R1556" s="34"/>
      <c r="S1556" s="38"/>
      <c r="T1556" s="38" t="s">
        <v>12690</v>
      </c>
      <c r="U1556" s="18"/>
    </row>
    <row r="1557" spans="1:21" x14ac:dyDescent="0.25">
      <c r="A1557" s="33" t="s">
        <v>11198</v>
      </c>
      <c r="B1557" s="33" t="s">
        <v>5662</v>
      </c>
      <c r="C1557" s="33" t="s">
        <v>141</v>
      </c>
      <c r="D1557" s="34"/>
      <c r="E1557" s="33">
        <v>2018</v>
      </c>
      <c r="F1557" s="34"/>
      <c r="G1557" s="34"/>
      <c r="H1557" s="33" t="s">
        <v>11199</v>
      </c>
      <c r="I1557" s="44" t="s">
        <v>12722</v>
      </c>
      <c r="J1557" s="33">
        <v>2018</v>
      </c>
      <c r="K1557" s="33">
        <v>9781450357135</v>
      </c>
      <c r="L1557" s="33" t="s">
        <v>11109</v>
      </c>
      <c r="M1557" s="34"/>
      <c r="N1557" s="37" t="s">
        <v>11200</v>
      </c>
      <c r="O1557" s="33" t="s">
        <v>11201</v>
      </c>
      <c r="P1557" s="33" t="s">
        <v>11202</v>
      </c>
      <c r="Q1557" s="36"/>
      <c r="R1557" s="36"/>
      <c r="S1557" s="34"/>
      <c r="T1557" s="33" t="s">
        <v>12692</v>
      </c>
      <c r="U1557" s="18"/>
    </row>
    <row r="1558" spans="1:21" x14ac:dyDescent="0.25">
      <c r="A1558" s="33" t="s">
        <v>12326</v>
      </c>
      <c r="B1558" s="33" t="s">
        <v>12325</v>
      </c>
      <c r="C1558" s="33" t="s">
        <v>13</v>
      </c>
      <c r="D1558" s="33" t="s">
        <v>11061</v>
      </c>
      <c r="E1558" s="33">
        <v>2018</v>
      </c>
      <c r="F1558" s="33">
        <v>43</v>
      </c>
      <c r="G1558" s="33">
        <v>1</v>
      </c>
      <c r="H1558" s="33" t="s">
        <v>11481</v>
      </c>
      <c r="I1558" s="44" t="s">
        <v>12710</v>
      </c>
      <c r="J1558" s="43">
        <v>43160</v>
      </c>
      <c r="K1558" s="34"/>
      <c r="L1558" s="34"/>
      <c r="M1558" s="33" t="s">
        <v>11063</v>
      </c>
      <c r="N1558" s="37" t="s">
        <v>12327</v>
      </c>
      <c r="O1558" s="33" t="s">
        <v>12328</v>
      </c>
      <c r="P1558" s="33" t="s">
        <v>12329</v>
      </c>
      <c r="Q1558" s="36"/>
      <c r="R1558" s="36"/>
      <c r="S1558" s="33" t="s">
        <v>12330</v>
      </c>
      <c r="T1558" s="33" t="s">
        <v>12692</v>
      </c>
      <c r="U1558" s="18"/>
    </row>
    <row r="1559" spans="1:21" x14ac:dyDescent="0.25">
      <c r="A1559" s="39" t="s">
        <v>10620</v>
      </c>
      <c r="B1559" s="39" t="s">
        <v>10622</v>
      </c>
      <c r="C1559" s="39" t="s">
        <v>9539</v>
      </c>
      <c r="D1559" s="36"/>
      <c r="E1559" s="39">
        <v>2022</v>
      </c>
      <c r="F1559" s="40"/>
      <c r="G1559" s="40"/>
      <c r="H1559" s="36"/>
      <c r="I1559" s="39" t="s">
        <v>9358</v>
      </c>
      <c r="J1559" s="36"/>
      <c r="K1559" s="36"/>
      <c r="L1559" s="36"/>
      <c r="M1559" s="34"/>
      <c r="N1559" s="41" t="s">
        <v>10623</v>
      </c>
      <c r="O1559" s="39" t="s">
        <v>10621</v>
      </c>
      <c r="P1559" s="33"/>
      <c r="Q1559" s="36"/>
      <c r="R1559" s="34"/>
      <c r="S1559" s="38"/>
      <c r="T1559" s="38" t="s">
        <v>12689</v>
      </c>
      <c r="U1559" s="18"/>
    </row>
    <row r="1560" spans="1:21" x14ac:dyDescent="0.25">
      <c r="A1560" s="33" t="s">
        <v>11430</v>
      </c>
      <c r="B1560" s="33" t="s">
        <v>11429</v>
      </c>
      <c r="C1560" s="33" t="s">
        <v>141</v>
      </c>
      <c r="D1560" s="34"/>
      <c r="E1560" s="33">
        <v>2020</v>
      </c>
      <c r="F1560" s="34"/>
      <c r="G1560" s="34"/>
      <c r="H1560" s="34"/>
      <c r="I1560" s="44" t="s">
        <v>12799</v>
      </c>
      <c r="J1560" s="33">
        <v>2020</v>
      </c>
      <c r="K1560" s="33">
        <v>9781450377362</v>
      </c>
      <c r="L1560" s="33" t="s">
        <v>11436</v>
      </c>
      <c r="M1560" s="34"/>
      <c r="N1560" s="37" t="s">
        <v>11433</v>
      </c>
      <c r="O1560" s="33" t="s">
        <v>3197</v>
      </c>
      <c r="P1560" s="33" t="s">
        <v>11434</v>
      </c>
      <c r="Q1560" s="36"/>
      <c r="R1560" s="36"/>
      <c r="S1560" s="33" t="s">
        <v>11435</v>
      </c>
      <c r="T1560" s="33" t="s">
        <v>12692</v>
      </c>
      <c r="U1560" s="18"/>
    </row>
    <row r="1561" spans="1:21" x14ac:dyDescent="0.25">
      <c r="A1561" s="33" t="s">
        <v>11430</v>
      </c>
      <c r="B1561" s="33" t="s">
        <v>3194</v>
      </c>
      <c r="C1561" s="33" t="s">
        <v>141</v>
      </c>
      <c r="D1561" s="34"/>
      <c r="E1561" s="33">
        <v>2020</v>
      </c>
      <c r="F1561" s="34"/>
      <c r="G1561" s="34"/>
      <c r="H1561" s="34"/>
      <c r="I1561" s="33" t="s">
        <v>145</v>
      </c>
      <c r="J1561" s="33">
        <v>2020</v>
      </c>
      <c r="K1561" s="33">
        <v>9781450377362</v>
      </c>
      <c r="L1561" s="34"/>
      <c r="M1561" s="34"/>
      <c r="N1561" s="37" t="s">
        <v>3196</v>
      </c>
      <c r="O1561" s="33" t="s">
        <v>3197</v>
      </c>
      <c r="P1561" s="33" t="s">
        <v>3198</v>
      </c>
      <c r="Q1561" s="33" t="s">
        <v>176</v>
      </c>
      <c r="R1561" s="34"/>
      <c r="S1561" s="38"/>
      <c r="T1561" s="38" t="s">
        <v>12690</v>
      </c>
      <c r="U1561" s="18"/>
    </row>
    <row r="1562" spans="1:21" x14ac:dyDescent="0.25">
      <c r="A1562" s="39" t="s">
        <v>9571</v>
      </c>
      <c r="B1562" s="39" t="s">
        <v>9573</v>
      </c>
      <c r="C1562" s="39" t="s">
        <v>539</v>
      </c>
      <c r="D1562" s="36"/>
      <c r="E1562" s="39">
        <v>2020</v>
      </c>
      <c r="F1562" s="40"/>
      <c r="G1562" s="40"/>
      <c r="H1562" s="36"/>
      <c r="I1562" s="39" t="s">
        <v>2974</v>
      </c>
      <c r="J1562" s="36"/>
      <c r="K1562" s="36"/>
      <c r="L1562" s="36"/>
      <c r="M1562" s="34"/>
      <c r="N1562" s="41" t="s">
        <v>9574</v>
      </c>
      <c r="O1562" s="39" t="s">
        <v>9572</v>
      </c>
      <c r="P1562" s="33"/>
      <c r="Q1562" s="36"/>
      <c r="R1562" s="34"/>
      <c r="S1562" s="38"/>
      <c r="T1562" s="38" t="s">
        <v>12689</v>
      </c>
      <c r="U1562" s="18"/>
    </row>
    <row r="1563" spans="1:21" x14ac:dyDescent="0.25">
      <c r="A1563" s="39" t="s">
        <v>10776</v>
      </c>
      <c r="B1563" s="39" t="s">
        <v>10778</v>
      </c>
      <c r="C1563" s="39" t="s">
        <v>539</v>
      </c>
      <c r="D1563" s="36"/>
      <c r="E1563" s="39">
        <v>2022</v>
      </c>
      <c r="F1563" s="40"/>
      <c r="G1563" s="40"/>
      <c r="H1563" s="36"/>
      <c r="I1563" s="40"/>
      <c r="J1563" s="36"/>
      <c r="K1563" s="36"/>
      <c r="L1563" s="36"/>
      <c r="M1563" s="34"/>
      <c r="N1563" s="41" t="s">
        <v>10779</v>
      </c>
      <c r="O1563" s="39" t="s">
        <v>10777</v>
      </c>
      <c r="P1563" s="33"/>
      <c r="Q1563" s="36"/>
      <c r="R1563" s="34"/>
      <c r="S1563" s="38"/>
      <c r="T1563" s="38" t="s">
        <v>12689</v>
      </c>
      <c r="U1563" s="18"/>
    </row>
    <row r="1564" spans="1:21" x14ac:dyDescent="0.25">
      <c r="A1564" s="39" t="s">
        <v>10828</v>
      </c>
      <c r="B1564" s="39" t="s">
        <v>10830</v>
      </c>
      <c r="C1564" s="39" t="s">
        <v>539</v>
      </c>
      <c r="D1564" s="36"/>
      <c r="E1564" s="39">
        <v>2022</v>
      </c>
      <c r="F1564" s="40"/>
      <c r="G1564" s="40"/>
      <c r="H1564" s="36"/>
      <c r="I1564" s="40"/>
      <c r="J1564" s="36"/>
      <c r="K1564" s="36"/>
      <c r="L1564" s="36"/>
      <c r="M1564" s="34"/>
      <c r="N1564" s="41" t="s">
        <v>10831</v>
      </c>
      <c r="O1564" s="39" t="s">
        <v>10829</v>
      </c>
      <c r="P1564" s="33"/>
      <c r="Q1564" s="36"/>
      <c r="R1564" s="34"/>
      <c r="S1564" s="38"/>
      <c r="T1564" s="38" t="s">
        <v>12689</v>
      </c>
      <c r="U1564" s="18"/>
    </row>
    <row r="1565" spans="1:21" x14ac:dyDescent="0.25">
      <c r="A1565" s="39" t="s">
        <v>10294</v>
      </c>
      <c r="B1565" s="39" t="s">
        <v>10296</v>
      </c>
      <c r="C1565" s="39" t="s">
        <v>539</v>
      </c>
      <c r="D1565" s="36"/>
      <c r="E1565" s="39">
        <v>2023</v>
      </c>
      <c r="F1565" s="40"/>
      <c r="G1565" s="40"/>
      <c r="H1565" s="36"/>
      <c r="I1565" s="40"/>
      <c r="J1565" s="36"/>
      <c r="K1565" s="36"/>
      <c r="L1565" s="36"/>
      <c r="M1565" s="34"/>
      <c r="N1565" s="41" t="s">
        <v>10297</v>
      </c>
      <c r="O1565" s="39" t="s">
        <v>10295</v>
      </c>
      <c r="P1565" s="33"/>
      <c r="Q1565" s="36"/>
      <c r="R1565" s="34"/>
      <c r="S1565" s="38"/>
      <c r="T1565" s="38" t="s">
        <v>12689</v>
      </c>
      <c r="U1565" s="18"/>
    </row>
    <row r="1566" spans="1:21" x14ac:dyDescent="0.25">
      <c r="A1566" s="39" t="s">
        <v>9375</v>
      </c>
      <c r="B1566" s="39" t="s">
        <v>9418</v>
      </c>
      <c r="C1566" s="39" t="s">
        <v>539</v>
      </c>
      <c r="D1566" s="36"/>
      <c r="E1566" s="39">
        <v>2022</v>
      </c>
      <c r="F1566" s="40"/>
      <c r="G1566" s="40"/>
      <c r="H1566" s="36"/>
      <c r="I1566" s="39" t="s">
        <v>676</v>
      </c>
      <c r="J1566" s="36"/>
      <c r="K1566" s="36"/>
      <c r="L1566" s="36"/>
      <c r="M1566" s="34"/>
      <c r="N1566" s="41" t="s">
        <v>9419</v>
      </c>
      <c r="O1566" s="39" t="s">
        <v>9417</v>
      </c>
      <c r="P1566" s="33"/>
      <c r="Q1566" s="36"/>
      <c r="R1566" s="34"/>
      <c r="S1566" s="38"/>
      <c r="T1566" s="38" t="s">
        <v>12689</v>
      </c>
      <c r="U1566" s="18"/>
    </row>
    <row r="1567" spans="1:21" x14ac:dyDescent="0.25">
      <c r="A1567" s="39" t="s">
        <v>9375</v>
      </c>
      <c r="B1567" s="39" t="s">
        <v>9377</v>
      </c>
      <c r="C1567" s="39" t="s">
        <v>539</v>
      </c>
      <c r="D1567" s="36"/>
      <c r="E1567" s="39">
        <v>2022</v>
      </c>
      <c r="F1567" s="40"/>
      <c r="G1567" s="40"/>
      <c r="H1567" s="36"/>
      <c r="I1567" s="39" t="s">
        <v>676</v>
      </c>
      <c r="J1567" s="36"/>
      <c r="K1567" s="36"/>
      <c r="L1567" s="36"/>
      <c r="M1567" s="34"/>
      <c r="N1567" s="41" t="s">
        <v>9378</v>
      </c>
      <c r="O1567" s="39" t="s">
        <v>9376</v>
      </c>
      <c r="P1567" s="33"/>
      <c r="Q1567" s="36"/>
      <c r="R1567" s="34"/>
      <c r="S1567" s="38"/>
      <c r="T1567" s="38" t="s">
        <v>12689</v>
      </c>
      <c r="U1567" s="18"/>
    </row>
    <row r="1568" spans="1:21" x14ac:dyDescent="0.25">
      <c r="A1568" s="39" t="s">
        <v>9826</v>
      </c>
      <c r="B1568" s="39" t="s">
        <v>9828</v>
      </c>
      <c r="C1568" s="39" t="s">
        <v>539</v>
      </c>
      <c r="D1568" s="36"/>
      <c r="E1568" s="39">
        <v>2022</v>
      </c>
      <c r="F1568" s="40"/>
      <c r="G1568" s="40"/>
      <c r="H1568" s="36"/>
      <c r="I1568" s="39" t="s">
        <v>9825</v>
      </c>
      <c r="J1568" s="36"/>
      <c r="K1568" s="36"/>
      <c r="L1568" s="36"/>
      <c r="M1568" s="34"/>
      <c r="N1568" s="41" t="s">
        <v>9829</v>
      </c>
      <c r="O1568" s="39" t="s">
        <v>9827</v>
      </c>
      <c r="P1568" s="33"/>
      <c r="Q1568" s="36"/>
      <c r="R1568" s="34"/>
      <c r="S1568" s="38"/>
      <c r="T1568" s="38" t="s">
        <v>12689</v>
      </c>
      <c r="U1568" s="18"/>
    </row>
    <row r="1569" spans="1:21" x14ac:dyDescent="0.25">
      <c r="A1569" s="39" t="s">
        <v>9644</v>
      </c>
      <c r="B1569" s="39" t="s">
        <v>9646</v>
      </c>
      <c r="C1569" s="39" t="s">
        <v>539</v>
      </c>
      <c r="D1569" s="36"/>
      <c r="E1569" s="39">
        <v>2021</v>
      </c>
      <c r="F1569" s="40"/>
      <c r="G1569" s="40"/>
      <c r="H1569" s="36"/>
      <c r="I1569" s="39" t="s">
        <v>3475</v>
      </c>
      <c r="J1569" s="36"/>
      <c r="K1569" s="36"/>
      <c r="L1569" s="36"/>
      <c r="M1569" s="34"/>
      <c r="N1569" s="41" t="s">
        <v>9647</v>
      </c>
      <c r="O1569" s="39" t="s">
        <v>9645</v>
      </c>
      <c r="P1569" s="33"/>
      <c r="Q1569" s="36"/>
      <c r="R1569" s="34"/>
      <c r="S1569" s="38"/>
      <c r="T1569" s="38" t="s">
        <v>12689</v>
      </c>
      <c r="U1569" s="18"/>
    </row>
    <row r="1570" spans="1:21" x14ac:dyDescent="0.25">
      <c r="A1570" s="39" t="s">
        <v>9557</v>
      </c>
      <c r="B1570" s="39" t="s">
        <v>9559</v>
      </c>
      <c r="C1570" s="39" t="s">
        <v>539</v>
      </c>
      <c r="D1570" s="36"/>
      <c r="E1570" s="39">
        <v>2023</v>
      </c>
      <c r="F1570" s="40"/>
      <c r="G1570" s="40"/>
      <c r="H1570" s="36"/>
      <c r="I1570" s="39" t="s">
        <v>676</v>
      </c>
      <c r="J1570" s="36"/>
      <c r="K1570" s="36"/>
      <c r="L1570" s="36"/>
      <c r="M1570" s="34"/>
      <c r="N1570" s="41" t="s">
        <v>9560</v>
      </c>
      <c r="O1570" s="39" t="s">
        <v>9558</v>
      </c>
      <c r="P1570" s="33"/>
      <c r="Q1570" s="36"/>
      <c r="R1570" s="34"/>
      <c r="S1570" s="38"/>
      <c r="T1570" s="38" t="s">
        <v>12689</v>
      </c>
      <c r="U1570" s="18"/>
    </row>
    <row r="1571" spans="1:21" x14ac:dyDescent="0.25">
      <c r="A1571" s="39" t="s">
        <v>9504</v>
      </c>
      <c r="B1571" s="39" t="s">
        <v>9506</v>
      </c>
      <c r="C1571" s="39" t="s">
        <v>539</v>
      </c>
      <c r="D1571" s="36"/>
      <c r="E1571" s="39">
        <v>2022</v>
      </c>
      <c r="F1571" s="40"/>
      <c r="G1571" s="40"/>
      <c r="H1571" s="36"/>
      <c r="I1571" s="39" t="s">
        <v>9503</v>
      </c>
      <c r="J1571" s="36"/>
      <c r="K1571" s="36"/>
      <c r="L1571" s="36"/>
      <c r="M1571" s="34"/>
      <c r="N1571" s="41" t="s">
        <v>9507</v>
      </c>
      <c r="O1571" s="39" t="s">
        <v>9505</v>
      </c>
      <c r="P1571" s="33"/>
      <c r="Q1571" s="36"/>
      <c r="R1571" s="34"/>
      <c r="S1571" s="38"/>
      <c r="T1571" s="38" t="s">
        <v>12689</v>
      </c>
      <c r="U1571" s="18"/>
    </row>
    <row r="1572" spans="1:21" x14ac:dyDescent="0.25">
      <c r="A1572" s="39" t="s">
        <v>10414</v>
      </c>
      <c r="B1572" s="39" t="s">
        <v>10416</v>
      </c>
      <c r="C1572" s="39" t="s">
        <v>539</v>
      </c>
      <c r="D1572" s="36"/>
      <c r="E1572" s="39">
        <v>2022</v>
      </c>
      <c r="F1572" s="40"/>
      <c r="G1572" s="40"/>
      <c r="H1572" s="36"/>
      <c r="I1572" s="39" t="s">
        <v>1870</v>
      </c>
      <c r="J1572" s="36"/>
      <c r="K1572" s="36"/>
      <c r="L1572" s="36"/>
      <c r="M1572" s="34"/>
      <c r="N1572" s="41" t="s">
        <v>10417</v>
      </c>
      <c r="O1572" s="39" t="s">
        <v>10415</v>
      </c>
      <c r="P1572" s="33"/>
      <c r="Q1572" s="36"/>
      <c r="R1572" s="34"/>
      <c r="S1572" s="38"/>
      <c r="T1572" s="38" t="s">
        <v>12689</v>
      </c>
      <c r="U1572" s="18"/>
    </row>
    <row r="1573" spans="1:21" x14ac:dyDescent="0.25">
      <c r="A1573" s="39" t="s">
        <v>11033</v>
      </c>
      <c r="B1573" s="39" t="s">
        <v>11035</v>
      </c>
      <c r="C1573" s="39" t="s">
        <v>9539</v>
      </c>
      <c r="D1573" s="36"/>
      <c r="E1573" s="39">
        <v>2022</v>
      </c>
      <c r="F1573" s="40"/>
      <c r="G1573" s="40"/>
      <c r="H1573" s="36"/>
      <c r="I1573" s="39" t="s">
        <v>9331</v>
      </c>
      <c r="J1573" s="36"/>
      <c r="K1573" s="36"/>
      <c r="L1573" s="36"/>
      <c r="M1573" s="34"/>
      <c r="N1573" s="41" t="s">
        <v>11036</v>
      </c>
      <c r="O1573" s="39" t="s">
        <v>11034</v>
      </c>
      <c r="P1573" s="33"/>
      <c r="Q1573" s="36"/>
      <c r="R1573" s="34"/>
      <c r="S1573" s="38"/>
      <c r="T1573" s="38" t="s">
        <v>12689</v>
      </c>
      <c r="U1573" s="18"/>
    </row>
    <row r="1574" spans="1:21" x14ac:dyDescent="0.25">
      <c r="A1574" s="39" t="s">
        <v>9276</v>
      </c>
      <c r="B1574" s="39" t="s">
        <v>9278</v>
      </c>
      <c r="C1574" s="39" t="s">
        <v>539</v>
      </c>
      <c r="D1574" s="36"/>
      <c r="E1574" s="39">
        <v>2022</v>
      </c>
      <c r="F1574" s="40"/>
      <c r="G1574" s="40"/>
      <c r="H1574" s="36"/>
      <c r="I1574" s="39" t="s">
        <v>9275</v>
      </c>
      <c r="J1574" s="36"/>
      <c r="K1574" s="36"/>
      <c r="L1574" s="36"/>
      <c r="M1574" s="34"/>
      <c r="N1574" s="41" t="s">
        <v>9279</v>
      </c>
      <c r="O1574" s="39" t="s">
        <v>9277</v>
      </c>
      <c r="P1574" s="33"/>
      <c r="Q1574" s="36"/>
      <c r="R1574" s="34"/>
      <c r="S1574" s="38"/>
      <c r="T1574" s="38" t="s">
        <v>12689</v>
      </c>
      <c r="U1574" s="18"/>
    </row>
    <row r="1575" spans="1:21" x14ac:dyDescent="0.25">
      <c r="A1575" s="39" t="s">
        <v>9276</v>
      </c>
      <c r="B1575" s="39" t="s">
        <v>9621</v>
      </c>
      <c r="C1575" s="39" t="s">
        <v>539</v>
      </c>
      <c r="D1575" s="36"/>
      <c r="E1575" s="39">
        <v>2018</v>
      </c>
      <c r="F1575" s="40"/>
      <c r="G1575" s="40"/>
      <c r="H1575" s="36"/>
      <c r="I1575" s="39" t="s">
        <v>9275</v>
      </c>
      <c r="J1575" s="36"/>
      <c r="K1575" s="36"/>
      <c r="L1575" s="36"/>
      <c r="M1575" s="34"/>
      <c r="N1575" s="41" t="s">
        <v>9622</v>
      </c>
      <c r="O1575" s="39" t="s">
        <v>9620</v>
      </c>
      <c r="P1575" s="33"/>
      <c r="Q1575" s="36"/>
      <c r="R1575" s="34"/>
      <c r="S1575" s="38"/>
      <c r="T1575" s="38" t="s">
        <v>12689</v>
      </c>
      <c r="U1575" s="18"/>
    </row>
    <row r="1576" spans="1:21" x14ac:dyDescent="0.25">
      <c r="A1576" s="39" t="s">
        <v>9276</v>
      </c>
      <c r="B1576" s="39" t="s">
        <v>9300</v>
      </c>
      <c r="C1576" s="39" t="s">
        <v>539</v>
      </c>
      <c r="D1576" s="36"/>
      <c r="E1576" s="39">
        <v>2020</v>
      </c>
      <c r="F1576" s="40"/>
      <c r="G1576" s="40"/>
      <c r="H1576" s="36"/>
      <c r="I1576" s="39" t="s">
        <v>9275</v>
      </c>
      <c r="J1576" s="36"/>
      <c r="K1576" s="36"/>
      <c r="L1576" s="36"/>
      <c r="M1576" s="34"/>
      <c r="N1576" s="41" t="s">
        <v>9301</v>
      </c>
      <c r="O1576" s="39" t="s">
        <v>9299</v>
      </c>
      <c r="P1576" s="33"/>
      <c r="Q1576" s="36"/>
      <c r="R1576" s="34"/>
      <c r="S1576" s="38"/>
      <c r="T1576" s="38" t="s">
        <v>12689</v>
      </c>
      <c r="U1576" s="18"/>
    </row>
    <row r="1577" spans="1:21" x14ac:dyDescent="0.25">
      <c r="A1577" s="39" t="s">
        <v>9276</v>
      </c>
      <c r="B1577" s="39" t="s">
        <v>9393</v>
      </c>
      <c r="C1577" s="39" t="s">
        <v>539</v>
      </c>
      <c r="D1577" s="36"/>
      <c r="E1577" s="39">
        <v>2021</v>
      </c>
      <c r="F1577" s="40"/>
      <c r="G1577" s="40"/>
      <c r="H1577" s="36"/>
      <c r="I1577" s="39" t="s">
        <v>9275</v>
      </c>
      <c r="J1577" s="36"/>
      <c r="K1577" s="36"/>
      <c r="L1577" s="36"/>
      <c r="M1577" s="34"/>
      <c r="N1577" s="41" t="s">
        <v>9394</v>
      </c>
      <c r="O1577" s="39" t="s">
        <v>9392</v>
      </c>
      <c r="P1577" s="33"/>
      <c r="Q1577" s="36"/>
      <c r="R1577" s="34"/>
      <c r="S1577" s="38"/>
      <c r="T1577" s="38" t="s">
        <v>12689</v>
      </c>
      <c r="U1577" s="14"/>
    </row>
    <row r="1578" spans="1:21" x14ac:dyDescent="0.25">
      <c r="A1578" s="39" t="s">
        <v>9276</v>
      </c>
      <c r="B1578" s="39" t="s">
        <v>9320</v>
      </c>
      <c r="C1578" s="39" t="s">
        <v>539</v>
      </c>
      <c r="D1578" s="36"/>
      <c r="E1578" s="39">
        <v>2016</v>
      </c>
      <c r="F1578" s="40"/>
      <c r="G1578" s="40"/>
      <c r="H1578" s="36"/>
      <c r="I1578" s="39" t="s">
        <v>9275</v>
      </c>
      <c r="J1578" s="36"/>
      <c r="K1578" s="36"/>
      <c r="L1578" s="36"/>
      <c r="M1578" s="34"/>
      <c r="N1578" s="41" t="s">
        <v>9321</v>
      </c>
      <c r="O1578" s="39" t="s">
        <v>9319</v>
      </c>
      <c r="P1578" s="33"/>
      <c r="Q1578" s="36"/>
      <c r="R1578" s="34"/>
      <c r="S1578" s="38"/>
      <c r="T1578" s="38" t="s">
        <v>12689</v>
      </c>
      <c r="U1578" s="18"/>
    </row>
    <row r="1579" spans="1:21" x14ac:dyDescent="0.25">
      <c r="A1579" s="39" t="s">
        <v>9276</v>
      </c>
      <c r="B1579" s="39" t="s">
        <v>9281</v>
      </c>
      <c r="C1579" s="39" t="s">
        <v>539</v>
      </c>
      <c r="D1579" s="36"/>
      <c r="E1579" s="39">
        <v>2019</v>
      </c>
      <c r="F1579" s="40"/>
      <c r="G1579" s="40"/>
      <c r="H1579" s="36"/>
      <c r="I1579" s="39" t="s">
        <v>9275</v>
      </c>
      <c r="J1579" s="36"/>
      <c r="K1579" s="36"/>
      <c r="L1579" s="36"/>
      <c r="M1579" s="34"/>
      <c r="N1579" s="41" t="s">
        <v>9282</v>
      </c>
      <c r="O1579" s="39" t="s">
        <v>9280</v>
      </c>
      <c r="P1579" s="33"/>
      <c r="Q1579" s="36"/>
      <c r="R1579" s="34"/>
      <c r="S1579" s="38"/>
      <c r="T1579" s="38" t="s">
        <v>12689</v>
      </c>
      <c r="U1579" s="18"/>
    </row>
    <row r="1580" spans="1:21" x14ac:dyDescent="0.25">
      <c r="A1580" s="33" t="s">
        <v>3306</v>
      </c>
      <c r="B1580" s="33" t="s">
        <v>3305</v>
      </c>
      <c r="C1580" s="33" t="s">
        <v>141</v>
      </c>
      <c r="D1580" s="34"/>
      <c r="E1580" s="33">
        <v>2021</v>
      </c>
      <c r="F1580" s="34"/>
      <c r="G1580" s="34"/>
      <c r="H1580" s="33" t="s">
        <v>3307</v>
      </c>
      <c r="I1580" s="33" t="s">
        <v>145</v>
      </c>
      <c r="J1580" s="33">
        <v>2021</v>
      </c>
      <c r="K1580" s="34"/>
      <c r="L1580" s="34"/>
      <c r="M1580" s="33" t="s">
        <v>3308</v>
      </c>
      <c r="N1580" s="37" t="s">
        <v>3309</v>
      </c>
      <c r="O1580" s="33" t="s">
        <v>3310</v>
      </c>
      <c r="P1580" s="33" t="s">
        <v>3311</v>
      </c>
      <c r="Q1580" s="33" t="s">
        <v>3312</v>
      </c>
      <c r="R1580" s="34"/>
      <c r="S1580" s="38"/>
      <c r="T1580" s="38" t="s">
        <v>12690</v>
      </c>
      <c r="U1580" s="18"/>
    </row>
    <row r="1581" spans="1:21" x14ac:dyDescent="0.25">
      <c r="A1581" s="39" t="s">
        <v>9339</v>
      </c>
      <c r="B1581" s="39" t="s">
        <v>9341</v>
      </c>
      <c r="C1581" s="39" t="s">
        <v>539</v>
      </c>
      <c r="D1581" s="36"/>
      <c r="E1581" s="39">
        <v>2023</v>
      </c>
      <c r="F1581" s="40"/>
      <c r="G1581" s="40"/>
      <c r="H1581" s="36"/>
      <c r="I1581" s="40"/>
      <c r="J1581" s="36"/>
      <c r="K1581" s="36"/>
      <c r="L1581" s="36"/>
      <c r="M1581" s="34"/>
      <c r="N1581" s="41" t="s">
        <v>9342</v>
      </c>
      <c r="O1581" s="39" t="s">
        <v>9340</v>
      </c>
      <c r="P1581" s="33"/>
      <c r="Q1581" s="36"/>
      <c r="R1581" s="34"/>
      <c r="S1581" s="38"/>
      <c r="T1581" s="38" t="s">
        <v>12689</v>
      </c>
      <c r="U1581" s="18"/>
    </row>
    <row r="1582" spans="1:21" x14ac:dyDescent="0.25">
      <c r="A1582" s="33" t="s">
        <v>11635</v>
      </c>
      <c r="B1582" s="33" t="s">
        <v>633</v>
      </c>
      <c r="C1582" s="33" t="s">
        <v>141</v>
      </c>
      <c r="D1582" s="34"/>
      <c r="E1582" s="33">
        <v>2022</v>
      </c>
      <c r="F1582" s="34"/>
      <c r="G1582" s="34"/>
      <c r="H1582" s="33" t="s">
        <v>11636</v>
      </c>
      <c r="I1582" s="44" t="s">
        <v>12800</v>
      </c>
      <c r="J1582" s="33">
        <v>2022</v>
      </c>
      <c r="K1582" s="33">
        <v>9781450398602</v>
      </c>
      <c r="L1582" s="33" t="s">
        <v>11641</v>
      </c>
      <c r="M1582" s="34"/>
      <c r="N1582" s="37" t="s">
        <v>11638</v>
      </c>
      <c r="O1582" s="33" t="s">
        <v>637</v>
      </c>
      <c r="P1582" s="33" t="s">
        <v>11639</v>
      </c>
      <c r="Q1582" s="36"/>
      <c r="R1582" s="36"/>
      <c r="S1582" s="33" t="s">
        <v>11640</v>
      </c>
      <c r="T1582" s="33" t="s">
        <v>12692</v>
      </c>
      <c r="U1582" s="18"/>
    </row>
    <row r="1583" spans="1:21" x14ac:dyDescent="0.25">
      <c r="A1583" s="33" t="s">
        <v>11635</v>
      </c>
      <c r="B1583" s="33" t="s">
        <v>633</v>
      </c>
      <c r="C1583" s="33" t="s">
        <v>141</v>
      </c>
      <c r="D1583" s="34"/>
      <c r="E1583" s="33">
        <v>2022</v>
      </c>
      <c r="F1583" s="34"/>
      <c r="G1583" s="34"/>
      <c r="H1583" s="33" t="s">
        <v>635</v>
      </c>
      <c r="I1583" s="33" t="s">
        <v>153</v>
      </c>
      <c r="J1583" s="33">
        <v>2022</v>
      </c>
      <c r="K1583" s="33">
        <v>9781450398602</v>
      </c>
      <c r="L1583" s="34"/>
      <c r="M1583" s="34"/>
      <c r="N1583" s="37" t="s">
        <v>636</v>
      </c>
      <c r="O1583" s="33" t="s">
        <v>637</v>
      </c>
      <c r="P1583" s="33" t="s">
        <v>638</v>
      </c>
      <c r="Q1583" s="33" t="s">
        <v>568</v>
      </c>
      <c r="R1583" s="34"/>
      <c r="S1583" s="38"/>
      <c r="T1583" s="38" t="s">
        <v>12690</v>
      </c>
      <c r="U1583" s="18"/>
    </row>
    <row r="1584" spans="1:21" x14ac:dyDescent="0.25">
      <c r="A1584" s="33" t="s">
        <v>9080</v>
      </c>
      <c r="B1584" s="33" t="s">
        <v>9079</v>
      </c>
      <c r="C1584" s="33" t="s">
        <v>13</v>
      </c>
      <c r="D1584" s="33" t="s">
        <v>8421</v>
      </c>
      <c r="E1584" s="33">
        <v>2021</v>
      </c>
      <c r="F1584" s="33">
        <v>97</v>
      </c>
      <c r="G1584" s="36"/>
      <c r="H1584" s="33" t="s">
        <v>9081</v>
      </c>
      <c r="I1584" s="36"/>
      <c r="J1584" s="33">
        <v>2021</v>
      </c>
      <c r="K1584" s="34"/>
      <c r="L1584" s="34"/>
      <c r="M1584" s="33" t="s">
        <v>456</v>
      </c>
      <c r="N1584" s="37" t="s">
        <v>9082</v>
      </c>
      <c r="O1584" s="33" t="s">
        <v>9083</v>
      </c>
      <c r="P1584" s="33" t="s">
        <v>9084</v>
      </c>
      <c r="Q1584" s="36"/>
      <c r="R1584" s="36"/>
      <c r="S1584" s="33" t="s">
        <v>9085</v>
      </c>
      <c r="T1584" s="38" t="s">
        <v>12693</v>
      </c>
      <c r="U1584" s="18"/>
    </row>
    <row r="1585" spans="1:21" x14ac:dyDescent="0.25">
      <c r="A1585" s="33" t="s">
        <v>2381</v>
      </c>
      <c r="B1585" s="33" t="s">
        <v>2380</v>
      </c>
      <c r="C1585" s="33" t="s">
        <v>141</v>
      </c>
      <c r="D1585" s="34"/>
      <c r="E1585" s="33">
        <v>2021</v>
      </c>
      <c r="F1585" s="34"/>
      <c r="G1585" s="34"/>
      <c r="H1585" s="33" t="s">
        <v>2382</v>
      </c>
      <c r="I1585" s="33" t="s">
        <v>153</v>
      </c>
      <c r="J1585" s="33">
        <v>2021</v>
      </c>
      <c r="K1585" s="33">
        <v>9781450391108</v>
      </c>
      <c r="L1585" s="34"/>
      <c r="M1585" s="34"/>
      <c r="N1585" s="37" t="s">
        <v>2383</v>
      </c>
      <c r="O1585" s="33" t="s">
        <v>2384</v>
      </c>
      <c r="P1585" s="33" t="s">
        <v>2385</v>
      </c>
      <c r="Q1585" s="33" t="s">
        <v>999</v>
      </c>
      <c r="R1585" s="34"/>
      <c r="S1585" s="38"/>
      <c r="T1585" s="38" t="s">
        <v>12690</v>
      </c>
      <c r="U1585" s="18"/>
    </row>
    <row r="1586" spans="1:21" x14ac:dyDescent="0.25">
      <c r="A1586" s="33" t="s">
        <v>11787</v>
      </c>
      <c r="B1586" s="33" t="s">
        <v>6829</v>
      </c>
      <c r="C1586" s="33" t="s">
        <v>141</v>
      </c>
      <c r="D1586" s="34"/>
      <c r="E1586" s="33">
        <v>2022</v>
      </c>
      <c r="F1586" s="34"/>
      <c r="G1586" s="34"/>
      <c r="H1586" s="33" t="s">
        <v>11788</v>
      </c>
      <c r="I1586" s="44" t="s">
        <v>12738</v>
      </c>
      <c r="J1586" s="33">
        <v>2022</v>
      </c>
      <c r="K1586" s="33">
        <v>9781450392266</v>
      </c>
      <c r="L1586" s="33" t="s">
        <v>11449</v>
      </c>
      <c r="M1586" s="34"/>
      <c r="N1586" s="37" t="s">
        <v>11789</v>
      </c>
      <c r="O1586" s="33" t="s">
        <v>6833</v>
      </c>
      <c r="P1586" s="33" t="s">
        <v>6834</v>
      </c>
      <c r="Q1586" s="36"/>
      <c r="R1586" s="36"/>
      <c r="S1586" s="33" t="s">
        <v>11790</v>
      </c>
      <c r="T1586" s="33" t="s">
        <v>12692</v>
      </c>
      <c r="U1586" s="14"/>
    </row>
    <row r="1587" spans="1:21" x14ac:dyDescent="0.25">
      <c r="A1587" s="33" t="s">
        <v>11787</v>
      </c>
      <c r="B1587" s="33" t="s">
        <v>1644</v>
      </c>
      <c r="C1587" s="33" t="s">
        <v>141</v>
      </c>
      <c r="D1587" s="34"/>
      <c r="E1587" s="33">
        <v>2022</v>
      </c>
      <c r="F1587" s="34"/>
      <c r="G1587" s="34"/>
      <c r="H1587" s="33" t="s">
        <v>1646</v>
      </c>
      <c r="I1587" s="33" t="s">
        <v>196</v>
      </c>
      <c r="J1587" s="33">
        <v>2022</v>
      </c>
      <c r="K1587" s="33">
        <v>9781665495905</v>
      </c>
      <c r="L1587" s="34"/>
      <c r="M1587" s="33" t="s">
        <v>1458</v>
      </c>
      <c r="N1587" s="37" t="s">
        <v>1647</v>
      </c>
      <c r="O1587" s="33" t="s">
        <v>1648</v>
      </c>
      <c r="P1587" s="33" t="s">
        <v>1649</v>
      </c>
      <c r="Q1587" s="33" t="s">
        <v>404</v>
      </c>
      <c r="R1587" s="34"/>
      <c r="S1587" s="38"/>
      <c r="T1587" s="38" t="s">
        <v>12690</v>
      </c>
      <c r="U1587" s="18"/>
    </row>
    <row r="1588" spans="1:21" x14ac:dyDescent="0.25">
      <c r="A1588" s="33" t="s">
        <v>11787</v>
      </c>
      <c r="B1588" s="33" t="s">
        <v>6829</v>
      </c>
      <c r="C1588" s="33" t="s">
        <v>141</v>
      </c>
      <c r="D1588" s="34"/>
      <c r="E1588" s="33">
        <v>2022</v>
      </c>
      <c r="F1588" s="34"/>
      <c r="G1588" s="34"/>
      <c r="H1588" s="33" t="s">
        <v>6831</v>
      </c>
      <c r="I1588" s="33" t="s">
        <v>6626</v>
      </c>
      <c r="J1588" s="43">
        <v>44682</v>
      </c>
      <c r="K1588" s="36"/>
      <c r="L1588" s="36"/>
      <c r="M1588" s="34"/>
      <c r="N1588" s="37" t="s">
        <v>6832</v>
      </c>
      <c r="O1588" s="33" t="s">
        <v>6833</v>
      </c>
      <c r="P1588" s="33" t="s">
        <v>6834</v>
      </c>
      <c r="Q1588" s="36"/>
      <c r="R1588" s="36"/>
      <c r="S1588" s="33" t="s">
        <v>6835</v>
      </c>
      <c r="T1588" s="38" t="s">
        <v>12688</v>
      </c>
      <c r="U1588" s="14"/>
    </row>
    <row r="1589" spans="1:21" x14ac:dyDescent="0.25">
      <c r="A1589" s="33" t="s">
        <v>11512</v>
      </c>
      <c r="B1589" s="34"/>
      <c r="C1589" s="33" t="s">
        <v>539</v>
      </c>
      <c r="D1589" s="34"/>
      <c r="E1589" s="33">
        <v>2022</v>
      </c>
      <c r="F1589" s="34"/>
      <c r="G1589" s="34"/>
      <c r="H1589" s="34"/>
      <c r="I1589" s="44" t="s">
        <v>12710</v>
      </c>
      <c r="J1589" s="33">
        <v>2022</v>
      </c>
      <c r="K1589" s="33">
        <v>9781450398602</v>
      </c>
      <c r="L1589" s="34"/>
      <c r="M1589" s="34"/>
      <c r="N1589" s="34"/>
      <c r="O1589" s="34"/>
      <c r="P1589" s="33" t="s">
        <v>11513</v>
      </c>
      <c r="Q1589" s="36"/>
      <c r="R1589" s="36"/>
      <c r="S1589" s="34"/>
      <c r="T1589" s="33" t="s">
        <v>12692</v>
      </c>
      <c r="U1589" s="18"/>
    </row>
    <row r="1590" spans="1:21" x14ac:dyDescent="0.25">
      <c r="A1590" s="39" t="s">
        <v>10577</v>
      </c>
      <c r="B1590" s="39" t="s">
        <v>10579</v>
      </c>
      <c r="C1590" s="39" t="s">
        <v>9478</v>
      </c>
      <c r="D1590" s="36"/>
      <c r="E1590" s="39">
        <v>2021</v>
      </c>
      <c r="F1590" s="39">
        <v>26</v>
      </c>
      <c r="G1590" s="39">
        <v>4</v>
      </c>
      <c r="H1590" s="36"/>
      <c r="I1590" s="39" t="s">
        <v>136</v>
      </c>
      <c r="J1590" s="36"/>
      <c r="K1590" s="36"/>
      <c r="L1590" s="36"/>
      <c r="M1590" s="34"/>
      <c r="N1590" s="41" t="s">
        <v>10580</v>
      </c>
      <c r="O1590" s="39" t="s">
        <v>10578</v>
      </c>
      <c r="P1590" s="33"/>
      <c r="Q1590" s="36"/>
      <c r="R1590" s="34"/>
      <c r="S1590" s="38"/>
      <c r="T1590" s="38" t="s">
        <v>12689</v>
      </c>
      <c r="U1590" s="14"/>
    </row>
    <row r="1591" spans="1:21" x14ac:dyDescent="0.25">
      <c r="A1591" s="33" t="s">
        <v>5562</v>
      </c>
      <c r="B1591" s="33" t="s">
        <v>5561</v>
      </c>
      <c r="C1591" s="33" t="s">
        <v>141</v>
      </c>
      <c r="D1591" s="34"/>
      <c r="E1591" s="33">
        <v>2017</v>
      </c>
      <c r="F1591" s="33">
        <v>1810</v>
      </c>
      <c r="G1591" s="34"/>
      <c r="H1591" s="34"/>
      <c r="I1591" s="33" t="s">
        <v>613</v>
      </c>
      <c r="J1591" s="33">
        <v>2017</v>
      </c>
      <c r="K1591" s="34"/>
      <c r="L1591" s="34"/>
      <c r="M1591" s="33" t="s">
        <v>614</v>
      </c>
      <c r="N1591" s="37" t="s">
        <v>5563</v>
      </c>
      <c r="O1591" s="34"/>
      <c r="P1591" s="33" t="s">
        <v>5564</v>
      </c>
      <c r="Q1591" s="33" t="s">
        <v>157</v>
      </c>
      <c r="R1591" s="34"/>
      <c r="S1591" s="38"/>
      <c r="T1591" s="38" t="s">
        <v>12690</v>
      </c>
      <c r="U1591" s="18"/>
    </row>
    <row r="1592" spans="1:21" x14ac:dyDescent="0.25">
      <c r="A1592" s="39" t="s">
        <v>10582</v>
      </c>
      <c r="B1592" s="39" t="s">
        <v>10584</v>
      </c>
      <c r="C1592" s="39" t="s">
        <v>9478</v>
      </c>
      <c r="D1592" s="36"/>
      <c r="E1592" s="39">
        <v>2022</v>
      </c>
      <c r="F1592" s="39">
        <v>52</v>
      </c>
      <c r="G1592" s="39">
        <v>10</v>
      </c>
      <c r="H1592" s="36"/>
      <c r="I1592" s="39" t="s">
        <v>10581</v>
      </c>
      <c r="J1592" s="36"/>
      <c r="K1592" s="36"/>
      <c r="L1592" s="36"/>
      <c r="M1592" s="34"/>
      <c r="N1592" s="41" t="s">
        <v>10585</v>
      </c>
      <c r="O1592" s="39" t="s">
        <v>10583</v>
      </c>
      <c r="P1592" s="33"/>
      <c r="Q1592" s="36"/>
      <c r="R1592" s="34"/>
      <c r="S1592" s="38"/>
      <c r="T1592" s="38" t="s">
        <v>12689</v>
      </c>
      <c r="U1592" s="18"/>
    </row>
    <row r="1593" spans="1:21" x14ac:dyDescent="0.25">
      <c r="A1593" s="33" t="s">
        <v>1944</v>
      </c>
      <c r="B1593" s="33" t="s">
        <v>1943</v>
      </c>
      <c r="C1593" s="33" t="s">
        <v>13</v>
      </c>
      <c r="D1593" s="33" t="s">
        <v>1306</v>
      </c>
      <c r="E1593" s="33">
        <v>2021</v>
      </c>
      <c r="F1593" s="33">
        <v>9</v>
      </c>
      <c r="G1593" s="33">
        <v>10</v>
      </c>
      <c r="H1593" s="34"/>
      <c r="I1593" s="33" t="s">
        <v>228</v>
      </c>
      <c r="J1593" s="33">
        <v>2021</v>
      </c>
      <c r="K1593" s="34"/>
      <c r="L1593" s="34"/>
      <c r="M1593" s="33" t="s">
        <v>1307</v>
      </c>
      <c r="N1593" s="37" t="s">
        <v>1945</v>
      </c>
      <c r="O1593" s="33" t="s">
        <v>1946</v>
      </c>
      <c r="P1593" s="33" t="s">
        <v>1947</v>
      </c>
      <c r="Q1593" s="33" t="s">
        <v>1948</v>
      </c>
      <c r="R1593" s="34"/>
      <c r="S1593" s="38"/>
      <c r="T1593" s="38" t="s">
        <v>12690</v>
      </c>
      <c r="U1593" s="18"/>
    </row>
    <row r="1594" spans="1:21" x14ac:dyDescent="0.25">
      <c r="A1594" s="33" t="s">
        <v>1148</v>
      </c>
      <c r="B1594" s="33" t="s">
        <v>1147</v>
      </c>
      <c r="C1594" s="33" t="s">
        <v>13</v>
      </c>
      <c r="D1594" s="33" t="s">
        <v>1149</v>
      </c>
      <c r="E1594" s="33">
        <v>2022</v>
      </c>
      <c r="F1594" s="34"/>
      <c r="G1594" s="34"/>
      <c r="H1594" s="34"/>
      <c r="I1594" s="33" t="s">
        <v>212</v>
      </c>
      <c r="J1594" s="33">
        <v>2022</v>
      </c>
      <c r="K1594" s="34"/>
      <c r="L1594" s="34"/>
      <c r="M1594" s="33" t="s">
        <v>1150</v>
      </c>
      <c r="N1594" s="37" t="s">
        <v>1151</v>
      </c>
      <c r="O1594" s="33" t="s">
        <v>1152</v>
      </c>
      <c r="P1594" s="33" t="s">
        <v>1153</v>
      </c>
      <c r="Q1594" s="33" t="s">
        <v>999</v>
      </c>
      <c r="R1594" s="34"/>
      <c r="S1594" s="38"/>
      <c r="T1594" s="38" t="s">
        <v>12690</v>
      </c>
      <c r="U1594" s="18"/>
    </row>
    <row r="1595" spans="1:21" x14ac:dyDescent="0.25">
      <c r="A1595" s="33" t="s">
        <v>855</v>
      </c>
      <c r="B1595" s="33" t="s">
        <v>854</v>
      </c>
      <c r="C1595" s="33" t="s">
        <v>13</v>
      </c>
      <c r="D1595" s="33" t="s">
        <v>255</v>
      </c>
      <c r="E1595" s="33">
        <v>2022</v>
      </c>
      <c r="F1595" s="33">
        <v>48</v>
      </c>
      <c r="G1595" s="33">
        <v>12</v>
      </c>
      <c r="H1595" s="33" t="s">
        <v>856</v>
      </c>
      <c r="I1595" s="33" t="s">
        <v>257</v>
      </c>
      <c r="J1595" s="33">
        <v>2022</v>
      </c>
      <c r="K1595" s="34"/>
      <c r="L1595" s="34"/>
      <c r="M1595" s="33" t="s">
        <v>18</v>
      </c>
      <c r="N1595" s="37" t="s">
        <v>857</v>
      </c>
      <c r="O1595" s="33" t="s">
        <v>858</v>
      </c>
      <c r="P1595" s="33" t="s">
        <v>859</v>
      </c>
      <c r="Q1595" s="33" t="s">
        <v>157</v>
      </c>
      <c r="R1595" s="34"/>
      <c r="S1595" s="38"/>
      <c r="T1595" s="38" t="s">
        <v>12690</v>
      </c>
      <c r="U1595" s="14"/>
    </row>
    <row r="1596" spans="1:21" x14ac:dyDescent="0.25">
      <c r="A1596" s="39" t="s">
        <v>10490</v>
      </c>
      <c r="B1596" s="39" t="s">
        <v>9720</v>
      </c>
      <c r="C1596" s="39" t="s">
        <v>9539</v>
      </c>
      <c r="D1596" s="36"/>
      <c r="E1596" s="39">
        <v>2019</v>
      </c>
      <c r="F1596" s="40"/>
      <c r="G1596" s="40"/>
      <c r="H1596" s="36"/>
      <c r="I1596" s="39" t="s">
        <v>4265</v>
      </c>
      <c r="J1596" s="36"/>
      <c r="K1596" s="36"/>
      <c r="L1596" s="36"/>
      <c r="M1596" s="34"/>
      <c r="N1596" s="41" t="s">
        <v>10492</v>
      </c>
      <c r="O1596" s="39" t="s">
        <v>10491</v>
      </c>
      <c r="P1596" s="33"/>
      <c r="Q1596" s="36"/>
      <c r="R1596" s="34"/>
      <c r="S1596" s="38"/>
      <c r="T1596" s="38" t="s">
        <v>12689</v>
      </c>
      <c r="U1596" s="14"/>
    </row>
    <row r="1597" spans="1:21" x14ac:dyDescent="0.25">
      <c r="A1597" s="33" t="s">
        <v>12498</v>
      </c>
      <c r="B1597" s="33" t="s">
        <v>12497</v>
      </c>
      <c r="C1597" s="33" t="s">
        <v>141</v>
      </c>
      <c r="D1597" s="34"/>
      <c r="E1597" s="33">
        <v>2020</v>
      </c>
      <c r="F1597" s="34"/>
      <c r="G1597" s="34"/>
      <c r="H1597" s="33" t="s">
        <v>12499</v>
      </c>
      <c r="I1597" s="44" t="s">
        <v>12801</v>
      </c>
      <c r="J1597" s="33">
        <v>2020</v>
      </c>
      <c r="K1597" s="33">
        <v>9781450381789</v>
      </c>
      <c r="L1597" s="33" t="s">
        <v>12505</v>
      </c>
      <c r="M1597" s="34"/>
      <c r="N1597" s="37" t="s">
        <v>12501</v>
      </c>
      <c r="O1597" s="33" t="s">
        <v>12502</v>
      </c>
      <c r="P1597" s="33" t="s">
        <v>12503</v>
      </c>
      <c r="Q1597" s="36"/>
      <c r="R1597" s="36"/>
      <c r="S1597" s="33" t="s">
        <v>12504</v>
      </c>
      <c r="T1597" s="33" t="s">
        <v>12692</v>
      </c>
      <c r="U1597" s="18"/>
    </row>
    <row r="1598" spans="1:21" x14ac:dyDescent="0.25">
      <c r="A1598" s="33" t="s">
        <v>12035</v>
      </c>
      <c r="B1598" s="33" t="s">
        <v>7373</v>
      </c>
      <c r="C1598" s="33" t="s">
        <v>141</v>
      </c>
      <c r="D1598" s="34"/>
      <c r="E1598" s="33">
        <v>2022</v>
      </c>
      <c r="F1598" s="34"/>
      <c r="G1598" s="34"/>
      <c r="H1598" s="33" t="s">
        <v>12036</v>
      </c>
      <c r="I1598" s="44" t="s">
        <v>12745</v>
      </c>
      <c r="J1598" s="33">
        <v>2022</v>
      </c>
      <c r="K1598" s="33">
        <v>9781450392754</v>
      </c>
      <c r="L1598" s="33" t="s">
        <v>11323</v>
      </c>
      <c r="M1598" s="34"/>
      <c r="N1598" s="37" t="s">
        <v>12037</v>
      </c>
      <c r="O1598" s="33" t="s">
        <v>7377</v>
      </c>
      <c r="P1598" s="33" t="s">
        <v>12038</v>
      </c>
      <c r="Q1598" s="36"/>
      <c r="R1598" s="36"/>
      <c r="S1598" s="33" t="s">
        <v>12039</v>
      </c>
      <c r="T1598" s="33" t="s">
        <v>12692</v>
      </c>
      <c r="U1598" s="18"/>
    </row>
    <row r="1599" spans="1:21" x14ac:dyDescent="0.25">
      <c r="A1599" s="33" t="s">
        <v>12035</v>
      </c>
      <c r="B1599" s="33" t="s">
        <v>7373</v>
      </c>
      <c r="C1599" s="33" t="s">
        <v>141</v>
      </c>
      <c r="D1599" s="34"/>
      <c r="E1599" s="33">
        <v>2022</v>
      </c>
      <c r="F1599" s="34"/>
      <c r="G1599" s="34"/>
      <c r="H1599" s="33" t="s">
        <v>7375</v>
      </c>
      <c r="I1599" s="33" t="s">
        <v>6269</v>
      </c>
      <c r="J1599" s="43">
        <v>44682</v>
      </c>
      <c r="K1599" s="36"/>
      <c r="L1599" s="36"/>
      <c r="M1599" s="34"/>
      <c r="N1599" s="37" t="s">
        <v>7376</v>
      </c>
      <c r="O1599" s="33" t="s">
        <v>7377</v>
      </c>
      <c r="P1599" s="33" t="s">
        <v>7378</v>
      </c>
      <c r="Q1599" s="36"/>
      <c r="R1599" s="36"/>
      <c r="S1599" s="33" t="s">
        <v>7379</v>
      </c>
      <c r="T1599" s="38" t="s">
        <v>12688</v>
      </c>
      <c r="U1599" s="18"/>
    </row>
    <row r="1600" spans="1:21" x14ac:dyDescent="0.25">
      <c r="A1600" s="33" t="s">
        <v>8835</v>
      </c>
      <c r="B1600" s="33" t="s">
        <v>8834</v>
      </c>
      <c r="C1600" s="33" t="s">
        <v>13</v>
      </c>
      <c r="D1600" s="33" t="s">
        <v>1355</v>
      </c>
      <c r="E1600" s="33">
        <v>2017</v>
      </c>
      <c r="F1600" s="33">
        <v>86</v>
      </c>
      <c r="G1600" s="36"/>
      <c r="H1600" s="33" t="s">
        <v>8836</v>
      </c>
      <c r="I1600" s="36"/>
      <c r="J1600" s="33">
        <v>2017</v>
      </c>
      <c r="K1600" s="34"/>
      <c r="L1600" s="34"/>
      <c r="M1600" s="33" t="s">
        <v>1356</v>
      </c>
      <c r="N1600" s="37" t="s">
        <v>8837</v>
      </c>
      <c r="O1600" s="33" t="s">
        <v>8838</v>
      </c>
      <c r="P1600" s="33" t="s">
        <v>8839</v>
      </c>
      <c r="Q1600" s="36"/>
      <c r="R1600" s="36"/>
      <c r="S1600" s="33" t="s">
        <v>8840</v>
      </c>
      <c r="T1600" s="38" t="s">
        <v>12693</v>
      </c>
      <c r="U1600" s="18"/>
    </row>
    <row r="1601" spans="1:21" x14ac:dyDescent="0.25">
      <c r="A1601" s="33" t="s">
        <v>7239</v>
      </c>
      <c r="B1601" s="33" t="s">
        <v>3857</v>
      </c>
      <c r="C1601" s="33" t="s">
        <v>141</v>
      </c>
      <c r="D1601" s="34"/>
      <c r="E1601" s="33">
        <v>2021</v>
      </c>
      <c r="F1601" s="34"/>
      <c r="G1601" s="34"/>
      <c r="H1601" s="33" t="s">
        <v>7240</v>
      </c>
      <c r="I1601" s="33" t="s">
        <v>6329</v>
      </c>
      <c r="J1601" s="43">
        <v>44317</v>
      </c>
      <c r="K1601" s="36"/>
      <c r="L1601" s="36"/>
      <c r="M1601" s="33" t="s">
        <v>6152</v>
      </c>
      <c r="N1601" s="37" t="s">
        <v>7241</v>
      </c>
      <c r="O1601" s="33" t="s">
        <v>3861</v>
      </c>
      <c r="P1601" s="33" t="s">
        <v>7242</v>
      </c>
      <c r="Q1601" s="36"/>
      <c r="R1601" s="36"/>
      <c r="S1601" s="33" t="s">
        <v>7243</v>
      </c>
      <c r="T1601" s="38" t="s">
        <v>12688</v>
      </c>
      <c r="U1601" s="18"/>
    </row>
    <row r="1602" spans="1:21" x14ac:dyDescent="0.25">
      <c r="A1602" s="33" t="s">
        <v>7239</v>
      </c>
      <c r="B1602" s="33" t="s">
        <v>3857</v>
      </c>
      <c r="C1602" s="33" t="s">
        <v>141</v>
      </c>
      <c r="D1602" s="34"/>
      <c r="E1602" s="33">
        <v>2021</v>
      </c>
      <c r="F1602" s="34"/>
      <c r="G1602" s="34"/>
      <c r="H1602" s="33" t="s">
        <v>3859</v>
      </c>
      <c r="I1602" s="33" t="s">
        <v>257</v>
      </c>
      <c r="J1602" s="33">
        <v>2021</v>
      </c>
      <c r="K1602" s="33">
        <v>9781728187105</v>
      </c>
      <c r="L1602" s="34"/>
      <c r="M1602" s="34"/>
      <c r="N1602" s="37" t="s">
        <v>3860</v>
      </c>
      <c r="O1602" s="33" t="s">
        <v>3861</v>
      </c>
      <c r="P1602" s="33" t="s">
        <v>3862</v>
      </c>
      <c r="Q1602" s="33" t="s">
        <v>176</v>
      </c>
      <c r="R1602" s="34"/>
      <c r="S1602" s="38"/>
      <c r="T1602" s="38" t="s">
        <v>12690</v>
      </c>
      <c r="U1602" s="18"/>
    </row>
    <row r="1603" spans="1:21" x14ac:dyDescent="0.25">
      <c r="A1603" s="33" t="s">
        <v>454</v>
      </c>
      <c r="B1603" s="33" t="s">
        <v>453</v>
      </c>
      <c r="C1603" s="33" t="s">
        <v>13</v>
      </c>
      <c r="D1603" s="33" t="s">
        <v>8421</v>
      </c>
      <c r="E1603" s="33">
        <v>2022</v>
      </c>
      <c r="F1603" s="33">
        <v>115</v>
      </c>
      <c r="G1603" s="36"/>
      <c r="H1603" s="33" t="s">
        <v>8422</v>
      </c>
      <c r="I1603" s="36"/>
      <c r="J1603" s="33">
        <v>2022</v>
      </c>
      <c r="K1603" s="34"/>
      <c r="L1603" s="34"/>
      <c r="M1603" s="33" t="s">
        <v>456</v>
      </c>
      <c r="N1603" s="37" t="s">
        <v>8423</v>
      </c>
      <c r="O1603" s="33" t="s">
        <v>458</v>
      </c>
      <c r="P1603" s="33" t="s">
        <v>8424</v>
      </c>
      <c r="Q1603" s="36"/>
      <c r="R1603" s="36"/>
      <c r="S1603" s="33" t="s">
        <v>8425</v>
      </c>
      <c r="T1603" s="38" t="s">
        <v>12693</v>
      </c>
      <c r="U1603" s="18"/>
    </row>
    <row r="1604" spans="1:21" x14ac:dyDescent="0.25">
      <c r="A1604" s="33" t="s">
        <v>454</v>
      </c>
      <c r="B1604" s="33" t="s">
        <v>453</v>
      </c>
      <c r="C1604" s="33" t="s">
        <v>141</v>
      </c>
      <c r="D1604" s="34"/>
      <c r="E1604" s="33">
        <v>2022</v>
      </c>
      <c r="F1604" s="33">
        <v>115</v>
      </c>
      <c r="G1604" s="34"/>
      <c r="H1604" s="33" t="s">
        <v>455</v>
      </c>
      <c r="I1604" s="33" t="s">
        <v>280</v>
      </c>
      <c r="J1604" s="33">
        <v>2022</v>
      </c>
      <c r="K1604" s="34"/>
      <c r="L1604" s="34"/>
      <c r="M1604" s="33" t="s">
        <v>456</v>
      </c>
      <c r="N1604" s="37" t="s">
        <v>457</v>
      </c>
      <c r="O1604" s="33" t="s">
        <v>458</v>
      </c>
      <c r="P1604" s="33" t="s">
        <v>459</v>
      </c>
      <c r="Q1604" s="33" t="s">
        <v>285</v>
      </c>
      <c r="R1604" s="34"/>
      <c r="S1604" s="38"/>
      <c r="T1604" s="38" t="s">
        <v>12690</v>
      </c>
      <c r="U1604" s="18"/>
    </row>
    <row r="1605" spans="1:21" x14ac:dyDescent="0.25">
      <c r="A1605" s="33" t="s">
        <v>2369</v>
      </c>
      <c r="B1605" s="33" t="s">
        <v>2368</v>
      </c>
      <c r="C1605" s="33" t="s">
        <v>141</v>
      </c>
      <c r="D1605" s="34"/>
      <c r="E1605" s="33">
        <v>2021</v>
      </c>
      <c r="F1605" s="34"/>
      <c r="G1605" s="34"/>
      <c r="H1605" s="33" t="s">
        <v>2370</v>
      </c>
      <c r="I1605" s="33" t="s">
        <v>257</v>
      </c>
      <c r="J1605" s="33">
        <v>2021</v>
      </c>
      <c r="K1605" s="33">
        <v>9781665414098</v>
      </c>
      <c r="L1605" s="34"/>
      <c r="M1605" s="34"/>
      <c r="N1605" s="37" t="s">
        <v>2371</v>
      </c>
      <c r="O1605" s="33" t="s">
        <v>2372</v>
      </c>
      <c r="P1605" s="33" t="s">
        <v>2373</v>
      </c>
      <c r="Q1605" s="33" t="s">
        <v>157</v>
      </c>
      <c r="R1605" s="34"/>
      <c r="S1605" s="38"/>
      <c r="T1605" s="38" t="s">
        <v>12690</v>
      </c>
      <c r="U1605" s="18"/>
    </row>
    <row r="1606" spans="1:21" x14ac:dyDescent="0.25">
      <c r="A1606" s="33" t="s">
        <v>1528</v>
      </c>
      <c r="B1606" s="33" t="s">
        <v>1527</v>
      </c>
      <c r="C1606" s="33" t="s">
        <v>13</v>
      </c>
      <c r="D1606" s="33" t="s">
        <v>1511</v>
      </c>
      <c r="E1606" s="33">
        <v>2021</v>
      </c>
      <c r="F1606" s="33">
        <v>12</v>
      </c>
      <c r="G1606" s="33">
        <v>11</v>
      </c>
      <c r="H1606" s="34"/>
      <c r="I1606" s="33" t="s">
        <v>228</v>
      </c>
      <c r="J1606" s="33">
        <v>2021</v>
      </c>
      <c r="K1606" s="34"/>
      <c r="L1606" s="34"/>
      <c r="M1606" s="33" t="s">
        <v>1512</v>
      </c>
      <c r="N1606" s="37" t="s">
        <v>1529</v>
      </c>
      <c r="O1606" s="33" t="s">
        <v>1530</v>
      </c>
      <c r="P1606" s="33" t="s">
        <v>1531</v>
      </c>
      <c r="Q1606" s="33" t="s">
        <v>285</v>
      </c>
      <c r="R1606" s="34"/>
      <c r="S1606" s="38"/>
      <c r="T1606" s="38" t="s">
        <v>12690</v>
      </c>
      <c r="U1606" s="18"/>
    </row>
    <row r="1607" spans="1:21" x14ac:dyDescent="0.25">
      <c r="A1607" s="33" t="s">
        <v>8228</v>
      </c>
      <c r="B1607" s="33" t="s">
        <v>8227</v>
      </c>
      <c r="C1607" s="33" t="s">
        <v>141</v>
      </c>
      <c r="D1607" s="34"/>
      <c r="E1607" s="33">
        <v>2021</v>
      </c>
      <c r="F1607" s="34"/>
      <c r="G1607" s="34"/>
      <c r="H1607" s="33" t="s">
        <v>8229</v>
      </c>
      <c r="I1607" s="33" t="s">
        <v>8230</v>
      </c>
      <c r="J1607" s="35">
        <v>44531</v>
      </c>
      <c r="K1607" s="34"/>
      <c r="L1607" s="36"/>
      <c r="M1607" s="33" t="s">
        <v>8231</v>
      </c>
      <c r="N1607" s="37" t="s">
        <v>8232</v>
      </c>
      <c r="O1607" s="33" t="s">
        <v>8233</v>
      </c>
      <c r="P1607" s="33" t="s">
        <v>8234</v>
      </c>
      <c r="Q1607" s="36"/>
      <c r="R1607" s="36"/>
      <c r="S1607" s="33" t="s">
        <v>8235</v>
      </c>
      <c r="T1607" s="38" t="s">
        <v>12688</v>
      </c>
      <c r="U1607" s="18"/>
    </row>
    <row r="1608" spans="1:21" x14ac:dyDescent="0.25">
      <c r="A1608" s="33" t="s">
        <v>6612</v>
      </c>
      <c r="B1608" s="33" t="s">
        <v>1960</v>
      </c>
      <c r="C1608" s="33" t="s">
        <v>141</v>
      </c>
      <c r="D1608" s="34"/>
      <c r="E1608" s="33">
        <v>2021</v>
      </c>
      <c r="F1608" s="34"/>
      <c r="G1608" s="34"/>
      <c r="H1608" s="42">
        <v>44931</v>
      </c>
      <c r="I1608" s="33" t="s">
        <v>6613</v>
      </c>
      <c r="J1608" s="43">
        <v>44409</v>
      </c>
      <c r="K1608" s="36"/>
      <c r="L1608" s="36"/>
      <c r="M1608" s="34"/>
      <c r="N1608" s="37" t="s">
        <v>6614</v>
      </c>
      <c r="O1608" s="33" t="s">
        <v>1963</v>
      </c>
      <c r="P1608" s="33" t="s">
        <v>6615</v>
      </c>
      <c r="Q1608" s="36"/>
      <c r="R1608" s="36"/>
      <c r="S1608" s="33" t="s">
        <v>6616</v>
      </c>
      <c r="T1608" s="38" t="s">
        <v>12688</v>
      </c>
      <c r="U1608" s="18"/>
    </row>
    <row r="1609" spans="1:21" x14ac:dyDescent="0.25">
      <c r="A1609" s="33" t="s">
        <v>6612</v>
      </c>
      <c r="B1609" s="33" t="s">
        <v>1960</v>
      </c>
      <c r="C1609" s="33" t="s">
        <v>141</v>
      </c>
      <c r="D1609" s="34"/>
      <c r="E1609" s="33">
        <v>2021</v>
      </c>
      <c r="F1609" s="34"/>
      <c r="G1609" s="34"/>
      <c r="H1609" s="34"/>
      <c r="I1609" s="33" t="s">
        <v>257</v>
      </c>
      <c r="J1609" s="33">
        <v>2021</v>
      </c>
      <c r="K1609" s="33">
        <v>9781728172897</v>
      </c>
      <c r="L1609" s="34"/>
      <c r="M1609" s="34"/>
      <c r="N1609" s="37" t="s">
        <v>1962</v>
      </c>
      <c r="O1609" s="33" t="s">
        <v>1963</v>
      </c>
      <c r="P1609" s="33" t="s">
        <v>1964</v>
      </c>
      <c r="Q1609" s="33" t="s">
        <v>289</v>
      </c>
      <c r="R1609" s="34"/>
      <c r="S1609" s="38"/>
      <c r="T1609" s="38" t="s">
        <v>12690</v>
      </c>
      <c r="U1609" s="18"/>
    </row>
    <row r="1610" spans="1:21" x14ac:dyDescent="0.25">
      <c r="A1610" s="33" t="s">
        <v>3709</v>
      </c>
      <c r="B1610" s="33" t="s">
        <v>3708</v>
      </c>
      <c r="C1610" s="33" t="s">
        <v>13</v>
      </c>
      <c r="D1610" s="33" t="s">
        <v>1870</v>
      </c>
      <c r="E1610" s="33">
        <v>2021</v>
      </c>
      <c r="F1610" s="33">
        <v>404</v>
      </c>
      <c r="G1610" s="34"/>
      <c r="H1610" s="33" t="s">
        <v>3710</v>
      </c>
      <c r="I1610" s="33" t="s">
        <v>212</v>
      </c>
      <c r="J1610" s="33">
        <v>2021</v>
      </c>
      <c r="K1610" s="34"/>
      <c r="L1610" s="34"/>
      <c r="M1610" s="33" t="s">
        <v>1873</v>
      </c>
      <c r="N1610" s="37" t="s">
        <v>3711</v>
      </c>
      <c r="O1610" s="33" t="s">
        <v>3712</v>
      </c>
      <c r="P1610" s="33" t="s">
        <v>3713</v>
      </c>
      <c r="Q1610" s="33" t="s">
        <v>2811</v>
      </c>
      <c r="R1610" s="34"/>
      <c r="S1610" s="38"/>
      <c r="T1610" s="38" t="s">
        <v>12690</v>
      </c>
      <c r="U1610" s="18"/>
    </row>
    <row r="1611" spans="1:21" x14ac:dyDescent="0.25">
      <c r="A1611" s="33" t="s">
        <v>7208</v>
      </c>
      <c r="B1611" s="33" t="s">
        <v>7207</v>
      </c>
      <c r="C1611" s="33" t="s">
        <v>141</v>
      </c>
      <c r="D1611" s="34"/>
      <c r="E1611" s="33">
        <v>2020</v>
      </c>
      <c r="F1611" s="34"/>
      <c r="G1611" s="34"/>
      <c r="H1611" s="33" t="s">
        <v>7209</v>
      </c>
      <c r="I1611" s="33" t="s">
        <v>7210</v>
      </c>
      <c r="J1611" s="35">
        <v>44166</v>
      </c>
      <c r="K1611" s="36"/>
      <c r="L1611" s="36"/>
      <c r="M1611" s="34"/>
      <c r="N1611" s="37" t="s">
        <v>7211</v>
      </c>
      <c r="O1611" s="33" t="s">
        <v>7212</v>
      </c>
      <c r="P1611" s="33" t="s">
        <v>7213</v>
      </c>
      <c r="Q1611" s="36"/>
      <c r="R1611" s="36"/>
      <c r="S1611" s="33" t="s">
        <v>7214</v>
      </c>
      <c r="T1611" s="38" t="s">
        <v>12688</v>
      </c>
      <c r="U1611" s="18"/>
    </row>
    <row r="1612" spans="1:21" x14ac:dyDescent="0.25">
      <c r="A1612" s="33" t="s">
        <v>2522</v>
      </c>
      <c r="B1612" s="33" t="s">
        <v>2521</v>
      </c>
      <c r="C1612" s="33" t="s">
        <v>141</v>
      </c>
      <c r="D1612" s="34"/>
      <c r="E1612" s="33">
        <v>2022</v>
      </c>
      <c r="F1612" s="34"/>
      <c r="G1612" s="34"/>
      <c r="H1612" s="33" t="s">
        <v>2523</v>
      </c>
      <c r="I1612" s="33" t="s">
        <v>257</v>
      </c>
      <c r="J1612" s="33">
        <v>2022</v>
      </c>
      <c r="K1612" s="33">
        <v>9781450392754</v>
      </c>
      <c r="L1612" s="34"/>
      <c r="M1612" s="34"/>
      <c r="N1612" s="37" t="s">
        <v>2524</v>
      </c>
      <c r="O1612" s="33" t="s">
        <v>2525</v>
      </c>
      <c r="P1612" s="33" t="s">
        <v>2526</v>
      </c>
      <c r="Q1612" s="33" t="s">
        <v>999</v>
      </c>
      <c r="R1612" s="34"/>
      <c r="S1612" s="38"/>
      <c r="T1612" s="38" t="s">
        <v>12690</v>
      </c>
      <c r="U1612" s="18"/>
    </row>
    <row r="1613" spans="1:21" x14ac:dyDescent="0.25">
      <c r="A1613" s="39" t="s">
        <v>10985</v>
      </c>
      <c r="B1613" s="39" t="s">
        <v>10987</v>
      </c>
      <c r="C1613" s="39" t="s">
        <v>9539</v>
      </c>
      <c r="D1613" s="36"/>
      <c r="E1613" s="39">
        <v>2019</v>
      </c>
      <c r="F1613" s="40"/>
      <c r="G1613" s="40"/>
      <c r="H1613" s="36"/>
      <c r="I1613" s="39" t="s">
        <v>10984</v>
      </c>
      <c r="J1613" s="36"/>
      <c r="K1613" s="36"/>
      <c r="L1613" s="36"/>
      <c r="M1613" s="34"/>
      <c r="N1613" s="41" t="s">
        <v>10988</v>
      </c>
      <c r="O1613" s="39" t="s">
        <v>10986</v>
      </c>
      <c r="P1613" s="33"/>
      <c r="Q1613" s="36"/>
      <c r="R1613" s="34"/>
      <c r="S1613" s="38"/>
      <c r="T1613" s="38" t="s">
        <v>12689</v>
      </c>
      <c r="U1613" s="18"/>
    </row>
    <row r="1614" spans="1:21" x14ac:dyDescent="0.25">
      <c r="A1614" s="39" t="s">
        <v>10105</v>
      </c>
      <c r="B1614" s="39" t="s">
        <v>10107</v>
      </c>
      <c r="C1614" s="39" t="s">
        <v>9478</v>
      </c>
      <c r="D1614" s="36"/>
      <c r="E1614" s="39">
        <v>2020</v>
      </c>
      <c r="F1614" s="39">
        <v>28</v>
      </c>
      <c r="G1614" s="39">
        <v>2</v>
      </c>
      <c r="H1614" s="36"/>
      <c r="I1614" s="39" t="s">
        <v>523</v>
      </c>
      <c r="J1614" s="36"/>
      <c r="K1614" s="36"/>
      <c r="L1614" s="36"/>
      <c r="M1614" s="34"/>
      <c r="N1614" s="41" t="s">
        <v>10108</v>
      </c>
      <c r="O1614" s="39" t="s">
        <v>10106</v>
      </c>
      <c r="P1614" s="33"/>
      <c r="Q1614" s="36"/>
      <c r="R1614" s="34"/>
      <c r="S1614" s="38"/>
      <c r="T1614" s="38" t="s">
        <v>12689</v>
      </c>
      <c r="U1614" s="18"/>
    </row>
    <row r="1615" spans="1:21" x14ac:dyDescent="0.25">
      <c r="A1615" s="33" t="s">
        <v>4825</v>
      </c>
      <c r="B1615" s="33" t="s">
        <v>4824</v>
      </c>
      <c r="C1615" s="33" t="s">
        <v>13</v>
      </c>
      <c r="D1615" s="33" t="s">
        <v>462</v>
      </c>
      <c r="E1615" s="33">
        <v>2020</v>
      </c>
      <c r="F1615" s="33">
        <v>1272</v>
      </c>
      <c r="G1615" s="34"/>
      <c r="H1615" s="33" t="s">
        <v>3012</v>
      </c>
      <c r="I1615" s="33" t="s">
        <v>212</v>
      </c>
      <c r="J1615" s="33">
        <v>2020</v>
      </c>
      <c r="K1615" s="34"/>
      <c r="L1615" s="34"/>
      <c r="M1615" s="33" t="s">
        <v>465</v>
      </c>
      <c r="N1615" s="37" t="s">
        <v>4826</v>
      </c>
      <c r="O1615" s="33" t="s">
        <v>4827</v>
      </c>
      <c r="P1615" s="33" t="s">
        <v>4828</v>
      </c>
      <c r="Q1615" s="33" t="s">
        <v>1598</v>
      </c>
      <c r="R1615" s="34"/>
      <c r="S1615" s="38"/>
      <c r="T1615" s="38" t="s">
        <v>12690</v>
      </c>
      <c r="U1615" s="18"/>
    </row>
    <row r="1616" spans="1:21" x14ac:dyDescent="0.25">
      <c r="A1616" s="39" t="s">
        <v>9286</v>
      </c>
      <c r="B1616" s="39" t="s">
        <v>9421</v>
      </c>
      <c r="C1616" s="39" t="s">
        <v>539</v>
      </c>
      <c r="D1616" s="36"/>
      <c r="E1616" s="39">
        <v>2022</v>
      </c>
      <c r="F1616" s="40"/>
      <c r="G1616" s="40"/>
      <c r="H1616" s="36"/>
      <c r="I1616" s="39" t="s">
        <v>462</v>
      </c>
      <c r="J1616" s="36"/>
      <c r="K1616" s="36"/>
      <c r="L1616" s="36"/>
      <c r="M1616" s="34"/>
      <c r="N1616" s="41" t="s">
        <v>9422</v>
      </c>
      <c r="O1616" s="39" t="s">
        <v>9420</v>
      </c>
      <c r="P1616" s="33"/>
      <c r="Q1616" s="36"/>
      <c r="R1616" s="34"/>
      <c r="S1616" s="38"/>
      <c r="T1616" s="38" t="s">
        <v>12689</v>
      </c>
      <c r="U1616" s="18"/>
    </row>
    <row r="1617" spans="1:21" x14ac:dyDescent="0.25">
      <c r="A1617" s="39" t="s">
        <v>9286</v>
      </c>
      <c r="B1617" s="39" t="s">
        <v>9288</v>
      </c>
      <c r="C1617" s="39" t="s">
        <v>539</v>
      </c>
      <c r="D1617" s="36"/>
      <c r="E1617" s="39">
        <v>2021</v>
      </c>
      <c r="F1617" s="40"/>
      <c r="G1617" s="40"/>
      <c r="H1617" s="36"/>
      <c r="I1617" s="39" t="s">
        <v>462</v>
      </c>
      <c r="J1617" s="36"/>
      <c r="K1617" s="36"/>
      <c r="L1617" s="36"/>
      <c r="M1617" s="34"/>
      <c r="N1617" s="41" t="s">
        <v>9289</v>
      </c>
      <c r="O1617" s="39" t="s">
        <v>9287</v>
      </c>
      <c r="P1617" s="33"/>
      <c r="Q1617" s="36"/>
      <c r="R1617" s="34"/>
      <c r="S1617" s="38"/>
      <c r="T1617" s="38" t="s">
        <v>12689</v>
      </c>
      <c r="U1617" s="18"/>
    </row>
    <row r="1618" spans="1:21" x14ac:dyDescent="0.25">
      <c r="A1618" s="39" t="s">
        <v>10367</v>
      </c>
      <c r="B1618" s="39" t="s">
        <v>10369</v>
      </c>
      <c r="C1618" s="39" t="s">
        <v>9539</v>
      </c>
      <c r="D1618" s="36"/>
      <c r="E1618" s="39">
        <v>2019</v>
      </c>
      <c r="F1618" s="40"/>
      <c r="G1618" s="40"/>
      <c r="H1618" s="36"/>
      <c r="I1618" s="39" t="s">
        <v>10366</v>
      </c>
      <c r="J1618" s="36"/>
      <c r="K1618" s="36"/>
      <c r="L1618" s="36"/>
      <c r="M1618" s="34"/>
      <c r="N1618" s="41" t="s">
        <v>10370</v>
      </c>
      <c r="O1618" s="39" t="s">
        <v>10368</v>
      </c>
      <c r="P1618" s="33"/>
      <c r="Q1618" s="36"/>
      <c r="R1618" s="34"/>
      <c r="S1618" s="38"/>
      <c r="T1618" s="38" t="s">
        <v>12689</v>
      </c>
      <c r="U1618" s="18"/>
    </row>
    <row r="1619" spans="1:21" x14ac:dyDescent="0.25">
      <c r="A1619" s="33" t="s">
        <v>3889</v>
      </c>
      <c r="B1619" s="33" t="s">
        <v>3888</v>
      </c>
      <c r="C1619" s="33" t="s">
        <v>13</v>
      </c>
      <c r="D1619" s="33" t="s">
        <v>1540</v>
      </c>
      <c r="E1619" s="33">
        <v>2021</v>
      </c>
      <c r="F1619" s="33">
        <v>12</v>
      </c>
      <c r="G1619" s="33">
        <v>2</v>
      </c>
      <c r="H1619" s="33" t="s">
        <v>3890</v>
      </c>
      <c r="I1619" s="33" t="s">
        <v>1465</v>
      </c>
      <c r="J1619" s="33">
        <v>2021</v>
      </c>
      <c r="K1619" s="34"/>
      <c r="L1619" s="34"/>
      <c r="M1619" s="33" t="s">
        <v>1541</v>
      </c>
      <c r="N1619" s="37" t="s">
        <v>3891</v>
      </c>
      <c r="O1619" s="33" t="s">
        <v>3892</v>
      </c>
      <c r="P1619" s="33" t="s">
        <v>3893</v>
      </c>
      <c r="Q1619" s="33" t="s">
        <v>157</v>
      </c>
      <c r="R1619" s="34"/>
      <c r="S1619" s="38"/>
      <c r="T1619" s="38" t="s">
        <v>12690</v>
      </c>
      <c r="U1619" s="18"/>
    </row>
    <row r="1620" spans="1:21" x14ac:dyDescent="0.25">
      <c r="A1620" s="33" t="s">
        <v>1523</v>
      </c>
      <c r="B1620" s="33" t="s">
        <v>1522</v>
      </c>
      <c r="C1620" s="33" t="s">
        <v>13</v>
      </c>
      <c r="D1620" s="33" t="s">
        <v>136</v>
      </c>
      <c r="E1620" s="33">
        <v>2022</v>
      </c>
      <c r="F1620" s="33">
        <v>27</v>
      </c>
      <c r="G1620" s="33">
        <v>1</v>
      </c>
      <c r="H1620" s="34"/>
      <c r="I1620" s="33" t="s">
        <v>137</v>
      </c>
      <c r="J1620" s="33">
        <v>2022</v>
      </c>
      <c r="K1620" s="34"/>
      <c r="L1620" s="34"/>
      <c r="M1620" s="33" t="s">
        <v>33</v>
      </c>
      <c r="N1620" s="37" t="s">
        <v>1524</v>
      </c>
      <c r="O1620" s="33" t="s">
        <v>1525</v>
      </c>
      <c r="P1620" s="33" t="s">
        <v>1526</v>
      </c>
      <c r="Q1620" s="33" t="s">
        <v>585</v>
      </c>
      <c r="R1620" s="34"/>
      <c r="S1620" s="38"/>
      <c r="T1620" s="38" t="s">
        <v>12690</v>
      </c>
      <c r="U1620" s="18"/>
    </row>
    <row r="1621" spans="1:21" x14ac:dyDescent="0.25">
      <c r="A1621" s="39" t="s">
        <v>10781</v>
      </c>
      <c r="B1621" s="39" t="s">
        <v>10783</v>
      </c>
      <c r="C1621" s="39" t="s">
        <v>9478</v>
      </c>
      <c r="D1621" s="36"/>
      <c r="E1621" s="39">
        <v>2020</v>
      </c>
      <c r="F1621" s="39">
        <v>35</v>
      </c>
      <c r="G1621" s="40"/>
      <c r="H1621" s="36"/>
      <c r="I1621" s="39" t="s">
        <v>10780</v>
      </c>
      <c r="J1621" s="36"/>
      <c r="K1621" s="36"/>
      <c r="L1621" s="36"/>
      <c r="M1621" s="34"/>
      <c r="N1621" s="41" t="s">
        <v>10784</v>
      </c>
      <c r="O1621" s="39" t="s">
        <v>10782</v>
      </c>
      <c r="P1621" s="33"/>
      <c r="Q1621" s="36"/>
      <c r="R1621" s="34"/>
      <c r="S1621" s="38"/>
      <c r="T1621" s="38" t="s">
        <v>12689</v>
      </c>
      <c r="U1621" s="18"/>
    </row>
    <row r="1622" spans="1:21" x14ac:dyDescent="0.25">
      <c r="A1622" s="33" t="s">
        <v>6062</v>
      </c>
      <c r="B1622" s="33" t="s">
        <v>6061</v>
      </c>
      <c r="C1622" s="33" t="s">
        <v>141</v>
      </c>
      <c r="D1622" s="34"/>
      <c r="E1622" s="33">
        <v>2018</v>
      </c>
      <c r="F1622" s="33">
        <v>12</v>
      </c>
      <c r="G1622" s="34"/>
      <c r="H1622" s="33" t="s">
        <v>6063</v>
      </c>
      <c r="I1622" s="33" t="s">
        <v>145</v>
      </c>
      <c r="J1622" s="33">
        <v>2018</v>
      </c>
      <c r="K1622" s="34"/>
      <c r="L1622" s="34"/>
      <c r="M1622" s="33" t="s">
        <v>4235</v>
      </c>
      <c r="N1622" s="37" t="s">
        <v>6064</v>
      </c>
      <c r="O1622" s="33" t="s">
        <v>6065</v>
      </c>
      <c r="P1622" s="33" t="s">
        <v>6066</v>
      </c>
      <c r="Q1622" s="33" t="s">
        <v>261</v>
      </c>
      <c r="R1622" s="34"/>
      <c r="S1622" s="38"/>
      <c r="T1622" s="38" t="s">
        <v>12690</v>
      </c>
      <c r="U1622" s="18"/>
    </row>
    <row r="1623" spans="1:21" x14ac:dyDescent="0.25">
      <c r="A1623" s="33" t="s">
        <v>4168</v>
      </c>
      <c r="B1623" s="33" t="s">
        <v>4167</v>
      </c>
      <c r="C1623" s="33" t="s">
        <v>13</v>
      </c>
      <c r="D1623" s="33" t="s">
        <v>1827</v>
      </c>
      <c r="E1623" s="33">
        <v>2019</v>
      </c>
      <c r="F1623" s="33">
        <v>182</v>
      </c>
      <c r="G1623" s="34"/>
      <c r="H1623" s="33" t="s">
        <v>4169</v>
      </c>
      <c r="I1623" s="33" t="s">
        <v>280</v>
      </c>
      <c r="J1623" s="33">
        <v>2019</v>
      </c>
      <c r="K1623" s="34"/>
      <c r="L1623" s="34"/>
      <c r="M1623" s="33" t="s">
        <v>1828</v>
      </c>
      <c r="N1623" s="37" t="s">
        <v>4170</v>
      </c>
      <c r="O1623" s="33" t="s">
        <v>4171</v>
      </c>
      <c r="P1623" s="33" t="s">
        <v>4172</v>
      </c>
      <c r="Q1623" s="33" t="s">
        <v>397</v>
      </c>
      <c r="R1623" s="34"/>
      <c r="S1623" s="38"/>
      <c r="T1623" s="38" t="s">
        <v>12690</v>
      </c>
      <c r="U1623" s="18"/>
    </row>
    <row r="1624" spans="1:21" x14ac:dyDescent="0.25">
      <c r="A1624" s="33" t="s">
        <v>8509</v>
      </c>
      <c r="B1624" s="33" t="s">
        <v>8508</v>
      </c>
      <c r="C1624" s="33" t="s">
        <v>13</v>
      </c>
      <c r="D1624" s="33" t="s">
        <v>354</v>
      </c>
      <c r="E1624" s="33">
        <v>2017</v>
      </c>
      <c r="F1624" s="33">
        <v>123</v>
      </c>
      <c r="G1624" s="36"/>
      <c r="H1624" s="33" t="s">
        <v>8510</v>
      </c>
      <c r="I1624" s="36"/>
      <c r="J1624" s="33">
        <v>2017</v>
      </c>
      <c r="K1624" s="34"/>
      <c r="L1624" s="34"/>
      <c r="M1624" s="33" t="s">
        <v>65</v>
      </c>
      <c r="N1624" s="37" t="s">
        <v>8511</v>
      </c>
      <c r="O1624" s="33" t="s">
        <v>8512</v>
      </c>
      <c r="P1624" s="33" t="s">
        <v>8513</v>
      </c>
      <c r="Q1624" s="36"/>
      <c r="R1624" s="36"/>
      <c r="S1624" s="33" t="s">
        <v>8514</v>
      </c>
      <c r="T1624" s="38" t="s">
        <v>12693</v>
      </c>
      <c r="U1624" s="18"/>
    </row>
    <row r="1625" spans="1:21" x14ac:dyDescent="0.25">
      <c r="A1625" s="33" t="s">
        <v>2508</v>
      </c>
      <c r="B1625" s="33" t="s">
        <v>2507</v>
      </c>
      <c r="C1625" s="33" t="s">
        <v>13</v>
      </c>
      <c r="D1625" s="33" t="s">
        <v>668</v>
      </c>
      <c r="E1625" s="33">
        <v>2022</v>
      </c>
      <c r="F1625" s="33">
        <v>10</v>
      </c>
      <c r="G1625" s="34"/>
      <c r="H1625" s="33" t="s">
        <v>2509</v>
      </c>
      <c r="I1625" s="33" t="s">
        <v>257</v>
      </c>
      <c r="J1625" s="33">
        <v>2022</v>
      </c>
      <c r="K1625" s="34"/>
      <c r="L1625" s="34"/>
      <c r="M1625" s="33" t="s">
        <v>670</v>
      </c>
      <c r="N1625" s="37" t="s">
        <v>2510</v>
      </c>
      <c r="O1625" s="33" t="s">
        <v>2511</v>
      </c>
      <c r="P1625" s="33" t="s">
        <v>2512</v>
      </c>
      <c r="Q1625" s="33" t="s">
        <v>233</v>
      </c>
      <c r="R1625" s="34"/>
      <c r="S1625" s="38"/>
      <c r="T1625" s="38" t="s">
        <v>12690</v>
      </c>
      <c r="U1625" s="18"/>
    </row>
    <row r="1626" spans="1:21" x14ac:dyDescent="0.25">
      <c r="A1626" s="33" t="s">
        <v>6009</v>
      </c>
      <c r="B1626" s="33" t="s">
        <v>6008</v>
      </c>
      <c r="C1626" s="33" t="s">
        <v>141</v>
      </c>
      <c r="D1626" s="34"/>
      <c r="E1626" s="33">
        <v>2018</v>
      </c>
      <c r="F1626" s="34"/>
      <c r="G1626" s="34"/>
      <c r="H1626" s="33" t="s">
        <v>6010</v>
      </c>
      <c r="I1626" s="33" t="s">
        <v>257</v>
      </c>
      <c r="J1626" s="33">
        <v>2018</v>
      </c>
      <c r="K1626" s="33">
        <v>9781538655207</v>
      </c>
      <c r="L1626" s="34"/>
      <c r="M1626" s="34"/>
      <c r="N1626" s="37" t="s">
        <v>6011</v>
      </c>
      <c r="O1626" s="33" t="s">
        <v>6012</v>
      </c>
      <c r="P1626" s="33" t="s">
        <v>6013</v>
      </c>
      <c r="Q1626" s="33" t="s">
        <v>176</v>
      </c>
      <c r="R1626" s="34"/>
      <c r="S1626" s="38"/>
      <c r="T1626" s="38" t="s">
        <v>12690</v>
      </c>
      <c r="U1626" s="18"/>
    </row>
    <row r="1627" spans="1:21" x14ac:dyDescent="0.25">
      <c r="A1627" s="33" t="s">
        <v>3077</v>
      </c>
      <c r="B1627" s="33" t="s">
        <v>3076</v>
      </c>
      <c r="C1627" s="33" t="s">
        <v>13</v>
      </c>
      <c r="D1627" s="33" t="s">
        <v>307</v>
      </c>
      <c r="E1627" s="33">
        <v>2020</v>
      </c>
      <c r="F1627" s="33">
        <v>126</v>
      </c>
      <c r="G1627" s="36"/>
      <c r="H1627" s="33">
        <v>106332</v>
      </c>
      <c r="I1627" s="36"/>
      <c r="J1627" s="33">
        <v>2020</v>
      </c>
      <c r="K1627" s="34"/>
      <c r="L1627" s="34"/>
      <c r="M1627" s="33" t="s">
        <v>308</v>
      </c>
      <c r="N1627" s="37" t="s">
        <v>8970</v>
      </c>
      <c r="O1627" s="33" t="s">
        <v>3079</v>
      </c>
      <c r="P1627" s="33" t="s">
        <v>8971</v>
      </c>
      <c r="Q1627" s="36"/>
      <c r="R1627" s="36"/>
      <c r="S1627" s="33" t="s">
        <v>8972</v>
      </c>
      <c r="T1627" s="38" t="s">
        <v>12693</v>
      </c>
      <c r="U1627" s="18"/>
    </row>
    <row r="1628" spans="1:21" x14ac:dyDescent="0.25">
      <c r="A1628" s="33" t="s">
        <v>3077</v>
      </c>
      <c r="B1628" s="33" t="s">
        <v>3076</v>
      </c>
      <c r="C1628" s="33" t="s">
        <v>13</v>
      </c>
      <c r="D1628" s="33" t="s">
        <v>307</v>
      </c>
      <c r="E1628" s="33">
        <v>2020</v>
      </c>
      <c r="F1628" s="33">
        <v>126</v>
      </c>
      <c r="G1628" s="34"/>
      <c r="H1628" s="34"/>
      <c r="I1628" s="33" t="s">
        <v>280</v>
      </c>
      <c r="J1628" s="33">
        <v>2020</v>
      </c>
      <c r="K1628" s="34"/>
      <c r="L1628" s="34"/>
      <c r="M1628" s="33" t="s">
        <v>308</v>
      </c>
      <c r="N1628" s="37" t="s">
        <v>3078</v>
      </c>
      <c r="O1628" s="33" t="s">
        <v>3079</v>
      </c>
      <c r="P1628" s="33" t="s">
        <v>3080</v>
      </c>
      <c r="Q1628" s="33" t="s">
        <v>1573</v>
      </c>
      <c r="R1628" s="34"/>
      <c r="S1628" s="38"/>
      <c r="T1628" s="38" t="s">
        <v>12690</v>
      </c>
      <c r="U1628" s="18"/>
    </row>
    <row r="1629" spans="1:21" x14ac:dyDescent="0.25">
      <c r="A1629" s="33" t="s">
        <v>6437</v>
      </c>
      <c r="B1629" s="33" t="s">
        <v>6046</v>
      </c>
      <c r="C1629" s="33" t="s">
        <v>141</v>
      </c>
      <c r="D1629" s="34"/>
      <c r="E1629" s="33">
        <v>2017</v>
      </c>
      <c r="F1629" s="34"/>
      <c r="G1629" s="34"/>
      <c r="H1629" s="33" t="s">
        <v>6438</v>
      </c>
      <c r="I1629" s="33" t="s">
        <v>6439</v>
      </c>
      <c r="J1629" s="43">
        <v>42979</v>
      </c>
      <c r="K1629" s="36"/>
      <c r="L1629" s="36"/>
      <c r="M1629" s="34"/>
      <c r="N1629" s="37" t="s">
        <v>6440</v>
      </c>
      <c r="O1629" s="33" t="s">
        <v>6050</v>
      </c>
      <c r="P1629" s="33" t="s">
        <v>6441</v>
      </c>
      <c r="Q1629" s="36"/>
      <c r="R1629" s="36"/>
      <c r="S1629" s="33" t="s">
        <v>6442</v>
      </c>
      <c r="T1629" s="38" t="s">
        <v>12688</v>
      </c>
      <c r="U1629" s="18"/>
    </row>
    <row r="1630" spans="1:21" x14ac:dyDescent="0.25">
      <c r="A1630" s="33" t="s">
        <v>6437</v>
      </c>
      <c r="B1630" s="33" t="s">
        <v>6046</v>
      </c>
      <c r="C1630" s="33" t="s">
        <v>141</v>
      </c>
      <c r="D1630" s="34"/>
      <c r="E1630" s="33">
        <v>2017</v>
      </c>
      <c r="F1630" s="34"/>
      <c r="G1630" s="34"/>
      <c r="H1630" s="33" t="s">
        <v>6048</v>
      </c>
      <c r="I1630" s="33" t="s">
        <v>257</v>
      </c>
      <c r="J1630" s="33">
        <v>2017</v>
      </c>
      <c r="K1630" s="33">
        <v>9781538609927</v>
      </c>
      <c r="L1630" s="34"/>
      <c r="M1630" s="34"/>
      <c r="N1630" s="37" t="s">
        <v>6049</v>
      </c>
      <c r="O1630" s="33" t="s">
        <v>6050</v>
      </c>
      <c r="P1630" s="33" t="s">
        <v>6051</v>
      </c>
      <c r="Q1630" s="33" t="s">
        <v>5433</v>
      </c>
      <c r="R1630" s="34"/>
      <c r="S1630" s="38"/>
      <c r="T1630" s="38" t="s">
        <v>12690</v>
      </c>
      <c r="U1630" s="18"/>
    </row>
    <row r="1631" spans="1:21" x14ac:dyDescent="0.25">
      <c r="A1631" s="33" t="s">
        <v>7090</v>
      </c>
      <c r="B1631" s="33" t="s">
        <v>7089</v>
      </c>
      <c r="C1631" s="33" t="s">
        <v>141</v>
      </c>
      <c r="D1631" s="34"/>
      <c r="E1631" s="33">
        <v>2019</v>
      </c>
      <c r="F1631" s="34"/>
      <c r="G1631" s="34"/>
      <c r="H1631" s="33" t="s">
        <v>11250</v>
      </c>
      <c r="I1631" s="44" t="s">
        <v>12802</v>
      </c>
      <c r="J1631" s="33">
        <v>2019</v>
      </c>
      <c r="K1631" s="34"/>
      <c r="L1631" s="33" t="s">
        <v>11836</v>
      </c>
      <c r="M1631" s="34"/>
      <c r="N1631" s="37" t="s">
        <v>11833</v>
      </c>
      <c r="O1631" s="33" t="s">
        <v>7093</v>
      </c>
      <c r="P1631" s="33" t="s">
        <v>11834</v>
      </c>
      <c r="Q1631" s="36"/>
      <c r="R1631" s="36"/>
      <c r="S1631" s="33" t="s">
        <v>11835</v>
      </c>
      <c r="T1631" s="33" t="s">
        <v>12692</v>
      </c>
      <c r="U1631" s="18"/>
    </row>
    <row r="1632" spans="1:21" x14ac:dyDescent="0.25">
      <c r="A1632" s="33" t="s">
        <v>7090</v>
      </c>
      <c r="B1632" s="33" t="s">
        <v>7089</v>
      </c>
      <c r="C1632" s="33" t="s">
        <v>141</v>
      </c>
      <c r="D1632" s="34"/>
      <c r="E1632" s="33">
        <v>2019</v>
      </c>
      <c r="F1632" s="34"/>
      <c r="G1632" s="34"/>
      <c r="H1632" s="33" t="s">
        <v>6482</v>
      </c>
      <c r="I1632" s="33" t="s">
        <v>7091</v>
      </c>
      <c r="J1632" s="43">
        <v>43586</v>
      </c>
      <c r="K1632" s="36"/>
      <c r="L1632" s="36"/>
      <c r="M1632" s="34"/>
      <c r="N1632" s="37" t="s">
        <v>7092</v>
      </c>
      <c r="O1632" s="33" t="s">
        <v>7093</v>
      </c>
      <c r="P1632" s="33" t="s">
        <v>7094</v>
      </c>
      <c r="Q1632" s="36"/>
      <c r="R1632" s="36"/>
      <c r="S1632" s="33" t="s">
        <v>7095</v>
      </c>
      <c r="T1632" s="38" t="s">
        <v>12688</v>
      </c>
      <c r="U1632" s="18"/>
    </row>
    <row r="1633" spans="1:21" x14ac:dyDescent="0.25">
      <c r="A1633" s="33" t="s">
        <v>6205</v>
      </c>
      <c r="B1633" s="33" t="s">
        <v>6204</v>
      </c>
      <c r="C1633" s="33" t="s">
        <v>13</v>
      </c>
      <c r="D1633" s="33" t="s">
        <v>4637</v>
      </c>
      <c r="E1633" s="33">
        <v>2016</v>
      </c>
      <c r="F1633" s="33">
        <v>33</v>
      </c>
      <c r="G1633" s="33">
        <v>1</v>
      </c>
      <c r="H1633" s="33" t="s">
        <v>6206</v>
      </c>
      <c r="I1633" s="34"/>
      <c r="J1633" s="43">
        <v>42370</v>
      </c>
      <c r="K1633" s="36"/>
      <c r="L1633" s="36"/>
      <c r="M1633" s="33" t="s">
        <v>6207</v>
      </c>
      <c r="N1633" s="37" t="s">
        <v>6208</v>
      </c>
      <c r="O1633" s="33" t="s">
        <v>6209</v>
      </c>
      <c r="P1633" s="33" t="s">
        <v>6210</v>
      </c>
      <c r="Q1633" s="36"/>
      <c r="R1633" s="36"/>
      <c r="S1633" s="33" t="s">
        <v>6211</v>
      </c>
      <c r="T1633" s="38" t="s">
        <v>12688</v>
      </c>
      <c r="U1633" s="18"/>
    </row>
    <row r="1634" spans="1:21" x14ac:dyDescent="0.25">
      <c r="A1634" s="33" t="s">
        <v>70</v>
      </c>
      <c r="B1634" s="33" t="s">
        <v>2873</v>
      </c>
      <c r="C1634" s="33" t="s">
        <v>13</v>
      </c>
      <c r="D1634" s="33" t="s">
        <v>188</v>
      </c>
      <c r="E1634" s="33">
        <v>2021</v>
      </c>
      <c r="F1634" s="33">
        <v>31</v>
      </c>
      <c r="G1634" s="33">
        <v>2</v>
      </c>
      <c r="H1634" s="33" t="s">
        <v>2874</v>
      </c>
      <c r="I1634" s="33" t="s">
        <v>189</v>
      </c>
      <c r="J1634" s="33">
        <v>2021</v>
      </c>
      <c r="K1634" s="34"/>
      <c r="L1634" s="34"/>
      <c r="M1634" s="33" t="s">
        <v>73</v>
      </c>
      <c r="N1634" s="37" t="s">
        <v>2875</v>
      </c>
      <c r="O1634" s="33" t="s">
        <v>75</v>
      </c>
      <c r="P1634" s="33" t="s">
        <v>2876</v>
      </c>
      <c r="Q1634" s="33" t="s">
        <v>318</v>
      </c>
      <c r="R1634" s="34"/>
      <c r="S1634" s="38"/>
      <c r="T1634" s="38" t="s">
        <v>12690</v>
      </c>
      <c r="U1634" s="18"/>
    </row>
    <row r="1635" spans="1:21" x14ac:dyDescent="0.25">
      <c r="A1635" s="33" t="s">
        <v>70</v>
      </c>
      <c r="B1635" s="33" t="s">
        <v>69</v>
      </c>
      <c r="C1635" s="33" t="s">
        <v>13</v>
      </c>
      <c r="D1635" s="33" t="s">
        <v>71</v>
      </c>
      <c r="E1635" s="33">
        <v>2021</v>
      </c>
      <c r="F1635" s="33">
        <v>31</v>
      </c>
      <c r="G1635" s="33">
        <v>2</v>
      </c>
      <c r="H1635" s="33" t="s">
        <v>72</v>
      </c>
      <c r="I1635" s="38" t="s">
        <v>12699</v>
      </c>
      <c r="J1635" s="43">
        <v>44228</v>
      </c>
      <c r="K1635" s="33" t="s">
        <v>73</v>
      </c>
      <c r="L1635" s="38" t="s">
        <v>12699</v>
      </c>
      <c r="M1635" s="38" t="s">
        <v>12699</v>
      </c>
      <c r="N1635" s="37" t="s">
        <v>74</v>
      </c>
      <c r="O1635" s="33" t="s">
        <v>75</v>
      </c>
      <c r="P1635" s="33" t="s">
        <v>76</v>
      </c>
      <c r="Q1635" s="38" t="s">
        <v>12699</v>
      </c>
      <c r="R1635" s="38" t="s">
        <v>12699</v>
      </c>
      <c r="S1635" s="38"/>
      <c r="T1635" s="38" t="s">
        <v>12700</v>
      </c>
      <c r="U1635" s="18"/>
    </row>
    <row r="1636" spans="1:21" x14ac:dyDescent="0.25">
      <c r="A1636" s="33" t="s">
        <v>2375</v>
      </c>
      <c r="B1636" s="33" t="s">
        <v>2374</v>
      </c>
      <c r="C1636" s="33" t="s">
        <v>141</v>
      </c>
      <c r="D1636" s="34"/>
      <c r="E1636" s="33">
        <v>2022</v>
      </c>
      <c r="F1636" s="34"/>
      <c r="G1636" s="34"/>
      <c r="H1636" s="33" t="s">
        <v>2376</v>
      </c>
      <c r="I1636" s="33" t="s">
        <v>257</v>
      </c>
      <c r="J1636" s="33">
        <v>2022</v>
      </c>
      <c r="K1636" s="33">
        <v>9781450393034</v>
      </c>
      <c r="L1636" s="34"/>
      <c r="M1636" s="34"/>
      <c r="N1636" s="37" t="s">
        <v>2377</v>
      </c>
      <c r="O1636" s="33" t="s">
        <v>2378</v>
      </c>
      <c r="P1636" s="33" t="s">
        <v>2379</v>
      </c>
      <c r="Q1636" s="33" t="s">
        <v>568</v>
      </c>
      <c r="R1636" s="34"/>
      <c r="S1636" s="38"/>
      <c r="T1636" s="38" t="s">
        <v>12690</v>
      </c>
      <c r="U1636" s="18"/>
    </row>
    <row r="1637" spans="1:21" x14ac:dyDescent="0.25">
      <c r="A1637" s="33" t="s">
        <v>802</v>
      </c>
      <c r="B1637" s="33" t="s">
        <v>801</v>
      </c>
      <c r="C1637" s="33" t="s">
        <v>13</v>
      </c>
      <c r="D1637" s="33" t="s">
        <v>803</v>
      </c>
      <c r="E1637" s="33">
        <v>2022</v>
      </c>
      <c r="F1637" s="33">
        <v>18</v>
      </c>
      <c r="G1637" s="33">
        <v>1</v>
      </c>
      <c r="H1637" s="33" t="s">
        <v>804</v>
      </c>
      <c r="I1637" s="33" t="s">
        <v>212</v>
      </c>
      <c r="J1637" s="33">
        <v>2022</v>
      </c>
      <c r="K1637" s="34"/>
      <c r="L1637" s="34"/>
      <c r="M1637" s="33" t="s">
        <v>805</v>
      </c>
      <c r="N1637" s="37" t="s">
        <v>806</v>
      </c>
      <c r="O1637" s="33" t="s">
        <v>807</v>
      </c>
      <c r="P1637" s="33" t="s">
        <v>808</v>
      </c>
      <c r="Q1637" s="33" t="s">
        <v>289</v>
      </c>
      <c r="R1637" s="34"/>
      <c r="S1637" s="38"/>
      <c r="T1637" s="38" t="s">
        <v>12690</v>
      </c>
      <c r="U1637" s="18"/>
    </row>
    <row r="1638" spans="1:21" x14ac:dyDescent="0.25">
      <c r="A1638" s="39" t="s">
        <v>802</v>
      </c>
      <c r="B1638" s="39" t="s">
        <v>10484</v>
      </c>
      <c r="C1638" s="39" t="s">
        <v>9478</v>
      </c>
      <c r="D1638" s="36"/>
      <c r="E1638" s="39">
        <v>2022</v>
      </c>
      <c r="F1638" s="39">
        <v>18</v>
      </c>
      <c r="G1638" s="39">
        <v>1</v>
      </c>
      <c r="H1638" s="36"/>
      <c r="I1638" s="39" t="s">
        <v>803</v>
      </c>
      <c r="J1638" s="36"/>
      <c r="K1638" s="36"/>
      <c r="L1638" s="36"/>
      <c r="M1638" s="34"/>
      <c r="N1638" s="41" t="s">
        <v>10485</v>
      </c>
      <c r="O1638" s="39" t="s">
        <v>807</v>
      </c>
      <c r="P1638" s="33"/>
      <c r="Q1638" s="36"/>
      <c r="R1638" s="34"/>
      <c r="S1638" s="38"/>
      <c r="T1638" s="38" t="s">
        <v>12689</v>
      </c>
      <c r="U1638" s="18"/>
    </row>
    <row r="1639" spans="1:21" x14ac:dyDescent="0.25">
      <c r="A1639" s="33" t="s">
        <v>12168</v>
      </c>
      <c r="B1639" s="33" t="s">
        <v>12167</v>
      </c>
      <c r="C1639" s="33" t="s">
        <v>13</v>
      </c>
      <c r="D1639" s="33" t="s">
        <v>11246</v>
      </c>
      <c r="E1639" s="33">
        <v>2022</v>
      </c>
      <c r="F1639" s="34"/>
      <c r="G1639" s="34"/>
      <c r="H1639" s="34"/>
      <c r="I1639" s="44" t="s">
        <v>12710</v>
      </c>
      <c r="J1639" s="35">
        <v>44896</v>
      </c>
      <c r="K1639" s="34"/>
      <c r="L1639" s="34"/>
      <c r="M1639" s="33" t="s">
        <v>329</v>
      </c>
      <c r="N1639" s="37" t="s">
        <v>12169</v>
      </c>
      <c r="O1639" s="33" t="s">
        <v>12170</v>
      </c>
      <c r="P1639" s="33" t="s">
        <v>12171</v>
      </c>
      <c r="Q1639" s="36"/>
      <c r="R1639" s="36"/>
      <c r="S1639" s="33" t="s">
        <v>12172</v>
      </c>
      <c r="T1639" s="33" t="s">
        <v>12692</v>
      </c>
      <c r="U1639" s="18"/>
    </row>
    <row r="1640" spans="1:21" x14ac:dyDescent="0.25">
      <c r="A1640" s="33" t="s">
        <v>742</v>
      </c>
      <c r="B1640" s="33" t="s">
        <v>741</v>
      </c>
      <c r="C1640" s="33" t="s">
        <v>13</v>
      </c>
      <c r="D1640" s="33" t="s">
        <v>255</v>
      </c>
      <c r="E1640" s="33">
        <v>2022</v>
      </c>
      <c r="F1640" s="33">
        <v>48</v>
      </c>
      <c r="G1640" s="33">
        <v>3</v>
      </c>
      <c r="H1640" s="33" t="s">
        <v>7398</v>
      </c>
      <c r="I1640" s="34"/>
      <c r="J1640" s="43">
        <v>44621</v>
      </c>
      <c r="K1640" s="36"/>
      <c r="L1640" s="36"/>
      <c r="M1640" s="33" t="s">
        <v>6115</v>
      </c>
      <c r="N1640" s="37" t="s">
        <v>7399</v>
      </c>
      <c r="O1640" s="33" t="s">
        <v>745</v>
      </c>
      <c r="P1640" s="33" t="s">
        <v>7400</v>
      </c>
      <c r="Q1640" s="36"/>
      <c r="R1640" s="36"/>
      <c r="S1640" s="33" t="s">
        <v>7401</v>
      </c>
      <c r="T1640" s="38" t="s">
        <v>12688</v>
      </c>
      <c r="U1640" s="18"/>
    </row>
    <row r="1641" spans="1:21" x14ac:dyDescent="0.25">
      <c r="A1641" s="33" t="s">
        <v>742</v>
      </c>
      <c r="B1641" s="33" t="s">
        <v>741</v>
      </c>
      <c r="C1641" s="33" t="s">
        <v>13</v>
      </c>
      <c r="D1641" s="33" t="s">
        <v>255</v>
      </c>
      <c r="E1641" s="33">
        <v>2022</v>
      </c>
      <c r="F1641" s="33">
        <v>48</v>
      </c>
      <c r="G1641" s="33">
        <v>3</v>
      </c>
      <c r="H1641" s="33" t="s">
        <v>743</v>
      </c>
      <c r="I1641" s="33" t="s">
        <v>257</v>
      </c>
      <c r="J1641" s="33">
        <v>2022</v>
      </c>
      <c r="K1641" s="34"/>
      <c r="L1641" s="34"/>
      <c r="M1641" s="33" t="s">
        <v>18</v>
      </c>
      <c r="N1641" s="37" t="s">
        <v>744</v>
      </c>
      <c r="O1641" s="33" t="s">
        <v>745</v>
      </c>
      <c r="P1641" s="33" t="s">
        <v>746</v>
      </c>
      <c r="Q1641" s="33" t="s">
        <v>747</v>
      </c>
      <c r="R1641" s="34"/>
      <c r="S1641" s="38"/>
      <c r="T1641" s="38" t="s">
        <v>12690</v>
      </c>
      <c r="U1641" s="18"/>
    </row>
    <row r="1642" spans="1:21" x14ac:dyDescent="0.25">
      <c r="A1642" s="33" t="s">
        <v>575</v>
      </c>
      <c r="B1642" s="33" t="s">
        <v>574</v>
      </c>
      <c r="C1642" s="33" t="s">
        <v>13</v>
      </c>
      <c r="D1642" s="33" t="s">
        <v>576</v>
      </c>
      <c r="E1642" s="33">
        <v>2022</v>
      </c>
      <c r="F1642" s="33">
        <v>15</v>
      </c>
      <c r="G1642" s="34"/>
      <c r="H1642" s="33" t="s">
        <v>577</v>
      </c>
      <c r="I1642" s="33" t="s">
        <v>257</v>
      </c>
      <c r="J1642" s="33">
        <v>2022</v>
      </c>
      <c r="K1642" s="34"/>
      <c r="L1642" s="34"/>
      <c r="M1642" s="33" t="s">
        <v>578</v>
      </c>
      <c r="N1642" s="37" t="s">
        <v>579</v>
      </c>
      <c r="O1642" s="33" t="s">
        <v>580</v>
      </c>
      <c r="P1642" s="33" t="s">
        <v>581</v>
      </c>
      <c r="Q1642" s="33" t="s">
        <v>285</v>
      </c>
      <c r="R1642" s="34"/>
      <c r="S1642" s="38"/>
      <c r="T1642" s="38" t="s">
        <v>12690</v>
      </c>
      <c r="U1642" s="18"/>
    </row>
    <row r="1643" spans="1:21" x14ac:dyDescent="0.25">
      <c r="A1643" s="33" t="s">
        <v>11711</v>
      </c>
      <c r="B1643" s="33" t="s">
        <v>11710</v>
      </c>
      <c r="C1643" s="33" t="s">
        <v>141</v>
      </c>
      <c r="D1643" s="34"/>
      <c r="E1643" s="33">
        <v>2015</v>
      </c>
      <c r="F1643" s="34"/>
      <c r="G1643" s="34"/>
      <c r="H1643" s="33" t="s">
        <v>11712</v>
      </c>
      <c r="I1643" s="44" t="s">
        <v>12803</v>
      </c>
      <c r="J1643" s="33">
        <v>2015</v>
      </c>
      <c r="K1643" s="33">
        <v>9781450333177</v>
      </c>
      <c r="L1643" s="33" t="s">
        <v>11719</v>
      </c>
      <c r="M1643" s="34"/>
      <c r="N1643" s="37" t="s">
        <v>11715</v>
      </c>
      <c r="O1643" s="33" t="s">
        <v>11716</v>
      </c>
      <c r="P1643" s="33" t="s">
        <v>11717</v>
      </c>
      <c r="Q1643" s="36"/>
      <c r="R1643" s="36"/>
      <c r="S1643" s="33" t="s">
        <v>11718</v>
      </c>
      <c r="T1643" s="33" t="s">
        <v>12692</v>
      </c>
      <c r="U1643" s="18"/>
    </row>
    <row r="1644" spans="1:21" x14ac:dyDescent="0.25">
      <c r="A1644" s="33" t="s">
        <v>3813</v>
      </c>
      <c r="B1644" s="33" t="s">
        <v>3812</v>
      </c>
      <c r="C1644" s="33" t="s">
        <v>141</v>
      </c>
      <c r="D1644" s="34"/>
      <c r="E1644" s="33">
        <v>2021</v>
      </c>
      <c r="F1644" s="34"/>
      <c r="G1644" s="34"/>
      <c r="H1644" s="33" t="s">
        <v>3814</v>
      </c>
      <c r="I1644" s="33" t="s">
        <v>257</v>
      </c>
      <c r="J1644" s="33">
        <v>2021</v>
      </c>
      <c r="K1644" s="33">
        <v>9781665443616</v>
      </c>
      <c r="L1644" s="34"/>
      <c r="M1644" s="34"/>
      <c r="N1644" s="37" t="s">
        <v>3815</v>
      </c>
      <c r="O1644" s="33" t="s">
        <v>3816</v>
      </c>
      <c r="P1644" s="33" t="s">
        <v>3817</v>
      </c>
      <c r="Q1644" s="33" t="s">
        <v>157</v>
      </c>
      <c r="R1644" s="34"/>
      <c r="S1644" s="38"/>
      <c r="T1644" s="38" t="s">
        <v>12690</v>
      </c>
      <c r="U1644" s="18"/>
    </row>
    <row r="1645" spans="1:21" x14ac:dyDescent="0.25">
      <c r="A1645" s="33" t="s">
        <v>3813</v>
      </c>
      <c r="B1645" s="33" t="s">
        <v>7331</v>
      </c>
      <c r="C1645" s="33" t="s">
        <v>141</v>
      </c>
      <c r="D1645" s="34"/>
      <c r="E1645" s="33">
        <v>2021</v>
      </c>
      <c r="F1645" s="34"/>
      <c r="G1645" s="34"/>
      <c r="H1645" s="33" t="s">
        <v>7332</v>
      </c>
      <c r="I1645" s="33" t="s">
        <v>7186</v>
      </c>
      <c r="J1645" s="35">
        <v>44470</v>
      </c>
      <c r="K1645" s="36"/>
      <c r="L1645" s="36"/>
      <c r="M1645" s="34"/>
      <c r="N1645" s="37" t="s">
        <v>7333</v>
      </c>
      <c r="O1645" s="33" t="s">
        <v>3816</v>
      </c>
      <c r="P1645" s="33" t="s">
        <v>7334</v>
      </c>
      <c r="Q1645" s="36"/>
      <c r="R1645" s="36"/>
      <c r="S1645" s="33" t="s">
        <v>7335</v>
      </c>
      <c r="T1645" s="38" t="s">
        <v>12688</v>
      </c>
      <c r="U1645" s="18"/>
    </row>
    <row r="1646" spans="1:21" x14ac:dyDescent="0.25">
      <c r="A1646" s="33" t="s">
        <v>6164</v>
      </c>
      <c r="B1646" s="33" t="s">
        <v>6163</v>
      </c>
      <c r="C1646" s="33" t="s">
        <v>141</v>
      </c>
      <c r="D1646" s="34"/>
      <c r="E1646" s="33">
        <v>2022</v>
      </c>
      <c r="F1646" s="34"/>
      <c r="G1646" s="34"/>
      <c r="H1646" s="33" t="s">
        <v>6165</v>
      </c>
      <c r="I1646" s="33" t="s">
        <v>6166</v>
      </c>
      <c r="J1646" s="43">
        <v>44774</v>
      </c>
      <c r="K1646" s="36"/>
      <c r="L1646" s="36"/>
      <c r="M1646" s="34"/>
      <c r="N1646" s="37" t="s">
        <v>6167</v>
      </c>
      <c r="O1646" s="33" t="s">
        <v>6168</v>
      </c>
      <c r="P1646" s="33" t="s">
        <v>6169</v>
      </c>
      <c r="Q1646" s="36"/>
      <c r="R1646" s="36"/>
      <c r="S1646" s="33" t="s">
        <v>6170</v>
      </c>
      <c r="T1646" s="38" t="s">
        <v>12688</v>
      </c>
      <c r="U1646" s="18"/>
    </row>
    <row r="1647" spans="1:21" x14ac:dyDescent="0.25">
      <c r="A1647" s="33" t="s">
        <v>8566</v>
      </c>
      <c r="B1647" s="33" t="s">
        <v>7920</v>
      </c>
      <c r="C1647" s="33" t="s">
        <v>13</v>
      </c>
      <c r="D1647" s="33" t="s">
        <v>307</v>
      </c>
      <c r="E1647" s="33">
        <v>2022</v>
      </c>
      <c r="F1647" s="33">
        <v>141</v>
      </c>
      <c r="G1647" s="36"/>
      <c r="H1647" s="33">
        <v>106705</v>
      </c>
      <c r="I1647" s="36"/>
      <c r="J1647" s="33">
        <v>2022</v>
      </c>
      <c r="K1647" s="34"/>
      <c r="L1647" s="34"/>
      <c r="M1647" s="33" t="s">
        <v>308</v>
      </c>
      <c r="N1647" s="37" t="s">
        <v>8567</v>
      </c>
      <c r="O1647" s="33" t="s">
        <v>8568</v>
      </c>
      <c r="P1647" s="33" t="s">
        <v>8569</v>
      </c>
      <c r="Q1647" s="36"/>
      <c r="R1647" s="36"/>
      <c r="S1647" s="33" t="s">
        <v>8570</v>
      </c>
      <c r="T1647" s="38" t="s">
        <v>12693</v>
      </c>
      <c r="U1647" s="18"/>
    </row>
    <row r="1648" spans="1:21" x14ac:dyDescent="0.25">
      <c r="A1648" s="33" t="s">
        <v>12282</v>
      </c>
      <c r="B1648" s="33" t="s">
        <v>4517</v>
      </c>
      <c r="C1648" s="33" t="s">
        <v>141</v>
      </c>
      <c r="D1648" s="34"/>
      <c r="E1648" s="33">
        <v>2020</v>
      </c>
      <c r="F1648" s="34"/>
      <c r="G1648" s="34"/>
      <c r="H1648" s="33" t="s">
        <v>12283</v>
      </c>
      <c r="I1648" s="44" t="s">
        <v>12735</v>
      </c>
      <c r="J1648" s="33">
        <v>2020</v>
      </c>
      <c r="K1648" s="33">
        <v>9781450371216</v>
      </c>
      <c r="L1648" s="33" t="s">
        <v>11050</v>
      </c>
      <c r="M1648" s="34"/>
      <c r="N1648" s="37" t="s">
        <v>12284</v>
      </c>
      <c r="O1648" s="33" t="s">
        <v>4521</v>
      </c>
      <c r="P1648" s="33" t="s">
        <v>12285</v>
      </c>
      <c r="Q1648" s="36"/>
      <c r="R1648" s="36"/>
      <c r="S1648" s="33" t="s">
        <v>12286</v>
      </c>
      <c r="T1648" s="33" t="s">
        <v>12692</v>
      </c>
      <c r="U1648" s="18"/>
    </row>
    <row r="1649" spans="1:21" x14ac:dyDescent="0.25">
      <c r="A1649" s="33" t="s">
        <v>12282</v>
      </c>
      <c r="B1649" s="33" t="s">
        <v>4517</v>
      </c>
      <c r="C1649" s="33" t="s">
        <v>141</v>
      </c>
      <c r="D1649" s="34"/>
      <c r="E1649" s="33">
        <v>2020</v>
      </c>
      <c r="F1649" s="34"/>
      <c r="G1649" s="34"/>
      <c r="H1649" s="33" t="s">
        <v>4519</v>
      </c>
      <c r="I1649" s="33" t="s">
        <v>196</v>
      </c>
      <c r="J1649" s="33">
        <v>2020</v>
      </c>
      <c r="K1649" s="33">
        <v>9781450371216</v>
      </c>
      <c r="L1649" s="34"/>
      <c r="M1649" s="33" t="s">
        <v>1458</v>
      </c>
      <c r="N1649" s="37" t="s">
        <v>4520</v>
      </c>
      <c r="O1649" s="33" t="s">
        <v>4521</v>
      </c>
      <c r="P1649" s="33" t="s">
        <v>4522</v>
      </c>
      <c r="Q1649" s="33" t="s">
        <v>4523</v>
      </c>
      <c r="R1649" s="34"/>
      <c r="S1649" s="38"/>
      <c r="T1649" s="38" t="s">
        <v>12690</v>
      </c>
      <c r="U1649" s="18"/>
    </row>
    <row r="1650" spans="1:21" x14ac:dyDescent="0.25">
      <c r="A1650" s="33" t="s">
        <v>4313</v>
      </c>
      <c r="B1650" s="33" t="s">
        <v>4312</v>
      </c>
      <c r="C1650" s="33" t="s">
        <v>13</v>
      </c>
      <c r="D1650" s="33" t="s">
        <v>668</v>
      </c>
      <c r="E1650" s="33">
        <v>2020</v>
      </c>
      <c r="F1650" s="33">
        <v>8</v>
      </c>
      <c r="G1650" s="34"/>
      <c r="H1650" s="33" t="s">
        <v>4314</v>
      </c>
      <c r="I1650" s="33" t="s">
        <v>257</v>
      </c>
      <c r="J1650" s="33">
        <v>2020</v>
      </c>
      <c r="K1650" s="34"/>
      <c r="L1650" s="34"/>
      <c r="M1650" s="33" t="s">
        <v>670</v>
      </c>
      <c r="N1650" s="37" t="s">
        <v>4315</v>
      </c>
      <c r="O1650" s="33" t="s">
        <v>4316</v>
      </c>
      <c r="P1650" s="33" t="s">
        <v>4317</v>
      </c>
      <c r="Q1650" s="33" t="s">
        <v>3135</v>
      </c>
      <c r="R1650" s="34"/>
      <c r="S1650" s="38"/>
      <c r="T1650" s="38" t="s">
        <v>12690</v>
      </c>
      <c r="U1650" s="18"/>
    </row>
    <row r="1651" spans="1:21" x14ac:dyDescent="0.25">
      <c r="A1651" s="33" t="s">
        <v>7792</v>
      </c>
      <c r="B1651" s="33" t="s">
        <v>7791</v>
      </c>
      <c r="C1651" s="33" t="s">
        <v>141</v>
      </c>
      <c r="D1651" s="34"/>
      <c r="E1651" s="33">
        <v>2018</v>
      </c>
      <c r="F1651" s="34"/>
      <c r="G1651" s="34"/>
      <c r="H1651" s="42">
        <v>44937</v>
      </c>
      <c r="I1651" s="33" t="s">
        <v>7793</v>
      </c>
      <c r="J1651" s="43">
        <v>43344</v>
      </c>
      <c r="K1651" s="36"/>
      <c r="L1651" s="36"/>
      <c r="M1651" s="34"/>
      <c r="N1651" s="37" t="s">
        <v>7794</v>
      </c>
      <c r="O1651" s="33" t="s">
        <v>7795</v>
      </c>
      <c r="P1651" s="33" t="s">
        <v>7796</v>
      </c>
      <c r="Q1651" s="36"/>
      <c r="R1651" s="36"/>
      <c r="S1651" s="33" t="s">
        <v>7797</v>
      </c>
      <c r="T1651" s="38" t="s">
        <v>12688</v>
      </c>
      <c r="U1651" s="18"/>
    </row>
    <row r="1652" spans="1:21" x14ac:dyDescent="0.25">
      <c r="A1652" s="39" t="s">
        <v>10213</v>
      </c>
      <c r="B1652" s="39" t="s">
        <v>9847</v>
      </c>
      <c r="C1652" s="39" t="s">
        <v>9539</v>
      </c>
      <c r="D1652" s="36"/>
      <c r="E1652" s="39">
        <v>2021</v>
      </c>
      <c r="F1652" s="40"/>
      <c r="G1652" s="40"/>
      <c r="H1652" s="36"/>
      <c r="I1652" s="39" t="s">
        <v>9893</v>
      </c>
      <c r="J1652" s="36"/>
      <c r="K1652" s="36"/>
      <c r="L1652" s="36"/>
      <c r="M1652" s="34"/>
      <c r="N1652" s="41" t="s">
        <v>10215</v>
      </c>
      <c r="O1652" s="39" t="s">
        <v>10214</v>
      </c>
      <c r="P1652" s="33"/>
      <c r="Q1652" s="36"/>
      <c r="R1652" s="34"/>
      <c r="S1652" s="38"/>
      <c r="T1652" s="38" t="s">
        <v>12689</v>
      </c>
      <c r="U1652" s="18"/>
    </row>
    <row r="1653" spans="1:21" x14ac:dyDescent="0.25">
      <c r="A1653" s="33" t="s">
        <v>4644</v>
      </c>
      <c r="B1653" s="33" t="s">
        <v>4643</v>
      </c>
      <c r="C1653" s="33" t="s">
        <v>141</v>
      </c>
      <c r="D1653" s="34"/>
      <c r="E1653" s="33">
        <v>2019</v>
      </c>
      <c r="F1653" s="34"/>
      <c r="G1653" s="34"/>
      <c r="H1653" s="33" t="s">
        <v>4645</v>
      </c>
      <c r="I1653" s="33" t="s">
        <v>257</v>
      </c>
      <c r="J1653" s="33">
        <v>2019</v>
      </c>
      <c r="K1653" s="33">
        <v>9781728151656</v>
      </c>
      <c r="L1653" s="34"/>
      <c r="M1653" s="34"/>
      <c r="N1653" s="37" t="s">
        <v>4646</v>
      </c>
      <c r="O1653" s="33" t="s">
        <v>4647</v>
      </c>
      <c r="P1653" s="33" t="s">
        <v>4648</v>
      </c>
      <c r="Q1653" s="33" t="s">
        <v>4649</v>
      </c>
      <c r="R1653" s="34"/>
      <c r="S1653" s="38"/>
      <c r="T1653" s="38" t="s">
        <v>12690</v>
      </c>
      <c r="U1653" s="18"/>
    </row>
    <row r="1654" spans="1:21" x14ac:dyDescent="0.25">
      <c r="A1654" s="33" t="s">
        <v>4324</v>
      </c>
      <c r="B1654" s="33" t="s">
        <v>7083</v>
      </c>
      <c r="C1654" s="33" t="s">
        <v>141</v>
      </c>
      <c r="D1654" s="34"/>
      <c r="E1654" s="33">
        <v>2019</v>
      </c>
      <c r="F1654" s="34"/>
      <c r="G1654" s="34"/>
      <c r="H1654" s="33" t="s">
        <v>7085</v>
      </c>
      <c r="I1654" s="33" t="s">
        <v>6684</v>
      </c>
      <c r="J1654" s="43">
        <v>43709</v>
      </c>
      <c r="K1654" s="36"/>
      <c r="L1654" s="36"/>
      <c r="M1654" s="34"/>
      <c r="N1654" s="37" t="s">
        <v>7086</v>
      </c>
      <c r="O1654" s="33" t="s">
        <v>4647</v>
      </c>
      <c r="P1654" s="33" t="s">
        <v>7087</v>
      </c>
      <c r="Q1654" s="36"/>
      <c r="R1654" s="36"/>
      <c r="S1654" s="33" t="s">
        <v>7088</v>
      </c>
      <c r="T1654" s="38" t="s">
        <v>12688</v>
      </c>
      <c r="U1654" s="18"/>
    </row>
    <row r="1655" spans="1:21" x14ac:dyDescent="0.25">
      <c r="A1655" s="33" t="s">
        <v>4324</v>
      </c>
      <c r="B1655" s="33" t="s">
        <v>4323</v>
      </c>
      <c r="C1655" s="33" t="s">
        <v>141</v>
      </c>
      <c r="D1655" s="34"/>
      <c r="E1655" s="33">
        <v>2019</v>
      </c>
      <c r="F1655" s="34"/>
      <c r="G1655" s="34"/>
      <c r="H1655" s="33" t="s">
        <v>4325</v>
      </c>
      <c r="I1655" s="33" t="s">
        <v>257</v>
      </c>
      <c r="J1655" s="33">
        <v>2019</v>
      </c>
      <c r="K1655" s="33">
        <v>9781728151656</v>
      </c>
      <c r="L1655" s="34"/>
      <c r="M1655" s="34"/>
      <c r="N1655" s="37" t="s">
        <v>4326</v>
      </c>
      <c r="O1655" s="33" t="s">
        <v>4327</v>
      </c>
      <c r="P1655" s="33" t="s">
        <v>4328</v>
      </c>
      <c r="Q1655" s="33" t="s">
        <v>4329</v>
      </c>
      <c r="R1655" s="34"/>
      <c r="S1655" s="38"/>
      <c r="T1655" s="38" t="s">
        <v>12690</v>
      </c>
      <c r="U1655" s="18"/>
    </row>
    <row r="1656" spans="1:21" x14ac:dyDescent="0.25">
      <c r="A1656" s="39" t="s">
        <v>9893</v>
      </c>
      <c r="B1656" s="39" t="s">
        <v>9895</v>
      </c>
      <c r="C1656" s="39" t="s">
        <v>539</v>
      </c>
      <c r="D1656" s="36"/>
      <c r="E1656" s="39">
        <v>2021</v>
      </c>
      <c r="F1656" s="40"/>
      <c r="G1656" s="40"/>
      <c r="H1656" s="36"/>
      <c r="I1656" s="40"/>
      <c r="J1656" s="36"/>
      <c r="K1656" s="36"/>
      <c r="L1656" s="36"/>
      <c r="M1656" s="34"/>
      <c r="N1656" s="41" t="s">
        <v>9896</v>
      </c>
      <c r="O1656" s="39" t="s">
        <v>9894</v>
      </c>
      <c r="P1656" s="33"/>
      <c r="Q1656" s="36"/>
      <c r="R1656" s="34"/>
      <c r="S1656" s="38"/>
      <c r="T1656" s="38" t="s">
        <v>12689</v>
      </c>
      <c r="U1656" s="18"/>
    </row>
    <row r="1657" spans="1:21" x14ac:dyDescent="0.25">
      <c r="A1657" s="33" t="s">
        <v>8092</v>
      </c>
      <c r="B1657" s="33" t="s">
        <v>8091</v>
      </c>
      <c r="C1657" s="33" t="s">
        <v>13</v>
      </c>
      <c r="D1657" s="33" t="s">
        <v>4637</v>
      </c>
      <c r="E1657" s="33">
        <v>2019</v>
      </c>
      <c r="F1657" s="33">
        <v>36</v>
      </c>
      <c r="G1657" s="33">
        <v>6</v>
      </c>
      <c r="H1657" s="42">
        <v>45118</v>
      </c>
      <c r="I1657" s="34"/>
      <c r="J1657" s="35">
        <v>43770</v>
      </c>
      <c r="K1657" s="34"/>
      <c r="L1657" s="36"/>
      <c r="M1657" s="33" t="s">
        <v>6207</v>
      </c>
      <c r="N1657" s="37" t="s">
        <v>8093</v>
      </c>
      <c r="O1657" s="33" t="s">
        <v>8094</v>
      </c>
      <c r="P1657" s="33" t="s">
        <v>8095</v>
      </c>
      <c r="Q1657" s="36"/>
      <c r="R1657" s="36"/>
      <c r="S1657" s="33" t="s">
        <v>8096</v>
      </c>
      <c r="T1657" s="38" t="s">
        <v>12688</v>
      </c>
      <c r="U1657" s="18"/>
    </row>
    <row r="1658" spans="1:21" x14ac:dyDescent="0.25">
      <c r="A1658" s="33" t="s">
        <v>2799</v>
      </c>
      <c r="B1658" s="33" t="s">
        <v>2798</v>
      </c>
      <c r="C1658" s="33" t="s">
        <v>141</v>
      </c>
      <c r="D1658" s="34"/>
      <c r="E1658" s="33">
        <v>2020</v>
      </c>
      <c r="F1658" s="45">
        <v>44044</v>
      </c>
      <c r="G1658" s="34"/>
      <c r="H1658" s="33" t="s">
        <v>2800</v>
      </c>
      <c r="I1658" s="33" t="s">
        <v>196</v>
      </c>
      <c r="J1658" s="33">
        <v>2020</v>
      </c>
      <c r="K1658" s="33">
        <v>9781728174389</v>
      </c>
      <c r="L1658" s="34"/>
      <c r="M1658" s="33" t="s">
        <v>322</v>
      </c>
      <c r="N1658" s="37" t="s">
        <v>2801</v>
      </c>
      <c r="O1658" s="33" t="s">
        <v>2802</v>
      </c>
      <c r="P1658" s="33" t="s">
        <v>2803</v>
      </c>
      <c r="Q1658" s="33" t="s">
        <v>2804</v>
      </c>
      <c r="R1658" s="34"/>
      <c r="S1658" s="38"/>
      <c r="T1658" s="38" t="s">
        <v>12690</v>
      </c>
      <c r="U1658" s="18"/>
    </row>
    <row r="1659" spans="1:21" x14ac:dyDescent="0.25">
      <c r="A1659" s="39" t="s">
        <v>9315</v>
      </c>
      <c r="B1659" s="39" t="s">
        <v>9317</v>
      </c>
      <c r="C1659" s="39" t="s">
        <v>539</v>
      </c>
      <c r="D1659" s="36"/>
      <c r="E1659" s="39">
        <v>2022</v>
      </c>
      <c r="F1659" s="40"/>
      <c r="G1659" s="40"/>
      <c r="H1659" s="36"/>
      <c r="I1659" s="39" t="s">
        <v>1870</v>
      </c>
      <c r="J1659" s="36"/>
      <c r="K1659" s="36"/>
      <c r="L1659" s="36"/>
      <c r="M1659" s="34"/>
      <c r="N1659" s="41" t="s">
        <v>9318</v>
      </c>
      <c r="O1659" s="39" t="s">
        <v>9316</v>
      </c>
      <c r="P1659" s="33"/>
      <c r="Q1659" s="36"/>
      <c r="R1659" s="34"/>
      <c r="S1659" s="38"/>
      <c r="T1659" s="38" t="s">
        <v>12689</v>
      </c>
      <c r="U1659" s="18"/>
    </row>
    <row r="1660" spans="1:21" x14ac:dyDescent="0.25">
      <c r="A1660" s="33" t="s">
        <v>9155</v>
      </c>
      <c r="B1660" s="33" t="s">
        <v>9154</v>
      </c>
      <c r="C1660" s="33" t="s">
        <v>13</v>
      </c>
      <c r="D1660" s="33" t="s">
        <v>9156</v>
      </c>
      <c r="E1660" s="33">
        <v>2022</v>
      </c>
      <c r="F1660" s="33">
        <v>55</v>
      </c>
      <c r="G1660" s="36"/>
      <c r="H1660" s="33" t="s">
        <v>9157</v>
      </c>
      <c r="I1660" s="36"/>
      <c r="J1660" s="33">
        <v>2022</v>
      </c>
      <c r="K1660" s="34"/>
      <c r="L1660" s="34"/>
      <c r="M1660" s="33" t="s">
        <v>9158</v>
      </c>
      <c r="N1660" s="37" t="s">
        <v>9159</v>
      </c>
      <c r="O1660" s="33" t="s">
        <v>9160</v>
      </c>
      <c r="P1660" s="33" t="s">
        <v>9161</v>
      </c>
      <c r="Q1660" s="36"/>
      <c r="R1660" s="36"/>
      <c r="S1660" s="33" t="s">
        <v>9162</v>
      </c>
      <c r="T1660" s="38" t="s">
        <v>12693</v>
      </c>
      <c r="U1660" s="18"/>
    </row>
    <row r="1661" spans="1:21" x14ac:dyDescent="0.25">
      <c r="A1661" s="33" t="s">
        <v>1895</v>
      </c>
      <c r="B1661" s="33" t="s">
        <v>1894</v>
      </c>
      <c r="C1661" s="33" t="s">
        <v>13</v>
      </c>
      <c r="D1661" s="33" t="s">
        <v>1896</v>
      </c>
      <c r="E1661" s="33">
        <v>2021</v>
      </c>
      <c r="F1661" s="33">
        <v>27</v>
      </c>
      <c r="G1661" s="33">
        <v>2</v>
      </c>
      <c r="H1661" s="33" t="s">
        <v>1897</v>
      </c>
      <c r="I1661" s="33" t="s">
        <v>1898</v>
      </c>
      <c r="J1661" s="33">
        <v>2021</v>
      </c>
      <c r="K1661" s="34"/>
      <c r="L1661" s="34"/>
      <c r="M1661" s="33" t="s">
        <v>1899</v>
      </c>
      <c r="N1661" s="37" t="s">
        <v>1900</v>
      </c>
      <c r="O1661" s="33" t="s">
        <v>1901</v>
      </c>
      <c r="P1661" s="33" t="s">
        <v>1902</v>
      </c>
      <c r="Q1661" s="33" t="s">
        <v>318</v>
      </c>
      <c r="R1661" s="34"/>
      <c r="S1661" s="38"/>
      <c r="T1661" s="38" t="s">
        <v>12690</v>
      </c>
      <c r="U1661" s="18"/>
    </row>
    <row r="1662" spans="1:21" x14ac:dyDescent="0.25">
      <c r="A1662" s="33" t="s">
        <v>5021</v>
      </c>
      <c r="B1662" s="33" t="s">
        <v>5020</v>
      </c>
      <c r="C1662" s="33" t="s">
        <v>141</v>
      </c>
      <c r="D1662" s="34"/>
      <c r="E1662" s="33">
        <v>2019</v>
      </c>
      <c r="F1662" s="33">
        <v>2520</v>
      </c>
      <c r="G1662" s="34"/>
      <c r="H1662" s="33" t="s">
        <v>5022</v>
      </c>
      <c r="I1662" s="33" t="s">
        <v>613</v>
      </c>
      <c r="J1662" s="33">
        <v>2019</v>
      </c>
      <c r="K1662" s="34"/>
      <c r="L1662" s="34"/>
      <c r="M1662" s="33" t="s">
        <v>614</v>
      </c>
      <c r="N1662" s="37" t="s">
        <v>5023</v>
      </c>
      <c r="O1662" s="34"/>
      <c r="P1662" s="33" t="s">
        <v>5024</v>
      </c>
      <c r="Q1662" s="33" t="s">
        <v>318</v>
      </c>
      <c r="R1662" s="34"/>
      <c r="S1662" s="38"/>
      <c r="T1662" s="38" t="s">
        <v>12690</v>
      </c>
      <c r="U1662" s="18"/>
    </row>
    <row r="1663" spans="1:21" x14ac:dyDescent="0.25">
      <c r="A1663" s="33" t="s">
        <v>1331</v>
      </c>
      <c r="B1663" s="33" t="s">
        <v>1330</v>
      </c>
      <c r="C1663" s="33" t="s">
        <v>13</v>
      </c>
      <c r="D1663" s="33" t="s">
        <v>1332</v>
      </c>
      <c r="E1663" s="33">
        <v>2022</v>
      </c>
      <c r="F1663" s="33">
        <v>2022</v>
      </c>
      <c r="G1663" s="34"/>
      <c r="H1663" s="34"/>
      <c r="I1663" s="33" t="s">
        <v>1333</v>
      </c>
      <c r="J1663" s="33">
        <v>2022</v>
      </c>
      <c r="K1663" s="34"/>
      <c r="L1663" s="34"/>
      <c r="M1663" s="33" t="s">
        <v>1334</v>
      </c>
      <c r="N1663" s="37" t="s">
        <v>1335</v>
      </c>
      <c r="O1663" s="33" t="s">
        <v>1336</v>
      </c>
      <c r="P1663" s="33" t="s">
        <v>1337</v>
      </c>
      <c r="Q1663" s="33" t="s">
        <v>285</v>
      </c>
      <c r="R1663" s="34"/>
      <c r="S1663" s="38"/>
      <c r="T1663" s="38" t="s">
        <v>12690</v>
      </c>
      <c r="U1663" s="18"/>
    </row>
    <row r="1664" spans="1:21" x14ac:dyDescent="0.25">
      <c r="A1664" s="33" t="s">
        <v>5176</v>
      </c>
      <c r="B1664" s="33" t="s">
        <v>5175</v>
      </c>
      <c r="C1664" s="33" t="s">
        <v>539</v>
      </c>
      <c r="D1664" s="34"/>
      <c r="E1664" s="33">
        <v>2015</v>
      </c>
      <c r="F1664" s="34"/>
      <c r="G1664" s="34"/>
      <c r="H1664" s="34"/>
      <c r="I1664" s="33" t="s">
        <v>1465</v>
      </c>
      <c r="J1664" s="33">
        <v>2015</v>
      </c>
      <c r="K1664" s="33">
        <v>9781466682276</v>
      </c>
      <c r="L1664" s="33">
        <v>9781466682269</v>
      </c>
      <c r="M1664" s="34"/>
      <c r="N1664" s="37" t="s">
        <v>5177</v>
      </c>
      <c r="O1664" s="33" t="s">
        <v>5178</v>
      </c>
      <c r="P1664" s="33" t="s">
        <v>5179</v>
      </c>
      <c r="Q1664" s="33" t="s">
        <v>3003</v>
      </c>
      <c r="R1664" s="33" t="s">
        <v>5180</v>
      </c>
      <c r="S1664" s="38"/>
      <c r="T1664" s="38" t="s">
        <v>12690</v>
      </c>
      <c r="U1664" s="18"/>
    </row>
    <row r="1665" spans="1:21" x14ac:dyDescent="0.25">
      <c r="A1665" s="33" t="s">
        <v>4231</v>
      </c>
      <c r="B1665" s="33" t="s">
        <v>4230</v>
      </c>
      <c r="C1665" s="33" t="s">
        <v>13</v>
      </c>
      <c r="D1665" s="33" t="s">
        <v>12079</v>
      </c>
      <c r="E1665" s="33">
        <v>2020</v>
      </c>
      <c r="F1665" s="33">
        <v>13</v>
      </c>
      <c r="G1665" s="33">
        <v>12</v>
      </c>
      <c r="H1665" s="33" t="s">
        <v>12648</v>
      </c>
      <c r="I1665" s="44" t="s">
        <v>12780</v>
      </c>
      <c r="J1665" s="43">
        <v>44075</v>
      </c>
      <c r="K1665" s="34"/>
      <c r="L1665" s="34"/>
      <c r="M1665" s="33" t="s">
        <v>4235</v>
      </c>
      <c r="N1665" s="37" t="s">
        <v>12649</v>
      </c>
      <c r="O1665" s="33" t="s">
        <v>4237</v>
      </c>
      <c r="P1665" s="33" t="s">
        <v>12650</v>
      </c>
      <c r="Q1665" s="36"/>
      <c r="R1665" s="36"/>
      <c r="S1665" s="34"/>
      <c r="T1665" s="33" t="s">
        <v>12692</v>
      </c>
      <c r="U1665" s="18"/>
    </row>
    <row r="1666" spans="1:21" x14ac:dyDescent="0.25">
      <c r="A1666" s="33" t="s">
        <v>4231</v>
      </c>
      <c r="B1666" s="33" t="s">
        <v>4230</v>
      </c>
      <c r="C1666" s="33" t="s">
        <v>13</v>
      </c>
      <c r="D1666" s="33" t="s">
        <v>4232</v>
      </c>
      <c r="E1666" s="33">
        <v>2020</v>
      </c>
      <c r="F1666" s="33">
        <v>13</v>
      </c>
      <c r="G1666" s="33">
        <v>12</v>
      </c>
      <c r="H1666" s="33" t="s">
        <v>4233</v>
      </c>
      <c r="I1666" s="33" t="s">
        <v>4234</v>
      </c>
      <c r="J1666" s="33">
        <v>2020</v>
      </c>
      <c r="K1666" s="34"/>
      <c r="L1666" s="34"/>
      <c r="M1666" s="33" t="s">
        <v>4235</v>
      </c>
      <c r="N1666" s="37" t="s">
        <v>4236</v>
      </c>
      <c r="O1666" s="33" t="s">
        <v>4237</v>
      </c>
      <c r="P1666" s="33" t="s">
        <v>4238</v>
      </c>
      <c r="Q1666" s="33" t="s">
        <v>2579</v>
      </c>
      <c r="R1666" s="34"/>
      <c r="S1666" s="38"/>
      <c r="T1666" s="38" t="s">
        <v>12690</v>
      </c>
      <c r="U1666" s="18"/>
    </row>
    <row r="1667" spans="1:21" x14ac:dyDescent="0.25">
      <c r="A1667" s="39" t="s">
        <v>9689</v>
      </c>
      <c r="B1667" s="39" t="s">
        <v>9691</v>
      </c>
      <c r="C1667" s="39" t="s">
        <v>539</v>
      </c>
      <c r="D1667" s="36"/>
      <c r="E1667" s="39">
        <v>2020</v>
      </c>
      <c r="F1667" s="40"/>
      <c r="G1667" s="40"/>
      <c r="H1667" s="36"/>
      <c r="I1667" s="39" t="s">
        <v>9275</v>
      </c>
      <c r="J1667" s="36"/>
      <c r="K1667" s="36"/>
      <c r="L1667" s="36"/>
      <c r="M1667" s="34"/>
      <c r="N1667" s="41" t="s">
        <v>9692</v>
      </c>
      <c r="O1667" s="39" t="s">
        <v>9690</v>
      </c>
      <c r="P1667" s="33"/>
      <c r="Q1667" s="36"/>
      <c r="R1667" s="34"/>
      <c r="S1667" s="38"/>
      <c r="T1667" s="38" t="s">
        <v>12689</v>
      </c>
      <c r="U1667" s="18"/>
    </row>
    <row r="1668" spans="1:21" x14ac:dyDescent="0.25">
      <c r="A1668" s="39" t="s">
        <v>9553</v>
      </c>
      <c r="B1668" s="39" t="s">
        <v>9555</v>
      </c>
      <c r="C1668" s="39" t="s">
        <v>539</v>
      </c>
      <c r="D1668" s="36"/>
      <c r="E1668" s="39">
        <v>2019</v>
      </c>
      <c r="F1668" s="40"/>
      <c r="G1668" s="40"/>
      <c r="H1668" s="36"/>
      <c r="I1668" s="40"/>
      <c r="J1668" s="36"/>
      <c r="K1668" s="36"/>
      <c r="L1668" s="36"/>
      <c r="M1668" s="34"/>
      <c r="N1668" s="41" t="s">
        <v>9556</v>
      </c>
      <c r="O1668" s="39" t="s">
        <v>9554</v>
      </c>
      <c r="P1668" s="33"/>
      <c r="Q1668" s="36"/>
      <c r="R1668" s="34"/>
      <c r="S1668" s="38"/>
      <c r="T1668" s="38" t="s">
        <v>12689</v>
      </c>
      <c r="U1668" s="18"/>
    </row>
    <row r="1669" spans="1:21" x14ac:dyDescent="0.25">
      <c r="A1669" s="33" t="s">
        <v>3088</v>
      </c>
      <c r="B1669" s="33" t="s">
        <v>3087</v>
      </c>
      <c r="C1669" s="33" t="s">
        <v>13</v>
      </c>
      <c r="D1669" s="33" t="s">
        <v>3089</v>
      </c>
      <c r="E1669" s="33">
        <v>2020</v>
      </c>
      <c r="F1669" s="33">
        <v>45</v>
      </c>
      <c r="G1669" s="33">
        <v>4</v>
      </c>
      <c r="H1669" s="33" t="s">
        <v>3090</v>
      </c>
      <c r="I1669" s="33" t="s">
        <v>3091</v>
      </c>
      <c r="J1669" s="33">
        <v>2020</v>
      </c>
      <c r="K1669" s="34"/>
      <c r="L1669" s="34"/>
      <c r="M1669" s="33" t="s">
        <v>3092</v>
      </c>
      <c r="N1669" s="37" t="s">
        <v>3093</v>
      </c>
      <c r="O1669" s="33" t="s">
        <v>3094</v>
      </c>
      <c r="P1669" s="33" t="s">
        <v>3095</v>
      </c>
      <c r="Q1669" s="33" t="s">
        <v>1676</v>
      </c>
      <c r="R1669" s="34"/>
      <c r="S1669" s="38"/>
      <c r="T1669" s="38" t="s">
        <v>12690</v>
      </c>
      <c r="U1669" s="18"/>
    </row>
    <row r="1670" spans="1:21" x14ac:dyDescent="0.25">
      <c r="A1670" s="33" t="s">
        <v>7609</v>
      </c>
      <c r="B1670" s="33" t="s">
        <v>7608</v>
      </c>
      <c r="C1670" s="33" t="s">
        <v>141</v>
      </c>
      <c r="D1670" s="34"/>
      <c r="E1670" s="33">
        <v>2021</v>
      </c>
      <c r="F1670" s="34"/>
      <c r="G1670" s="34"/>
      <c r="H1670" s="33" t="s">
        <v>7610</v>
      </c>
      <c r="I1670" s="33" t="s">
        <v>7611</v>
      </c>
      <c r="J1670" s="43">
        <v>44440</v>
      </c>
      <c r="K1670" s="36"/>
      <c r="L1670" s="36"/>
      <c r="M1670" s="33" t="s">
        <v>7612</v>
      </c>
      <c r="N1670" s="37" t="s">
        <v>7613</v>
      </c>
      <c r="O1670" s="33" t="s">
        <v>7614</v>
      </c>
      <c r="P1670" s="33" t="s">
        <v>7615</v>
      </c>
      <c r="Q1670" s="36"/>
      <c r="R1670" s="36"/>
      <c r="S1670" s="33" t="s">
        <v>7616</v>
      </c>
      <c r="T1670" s="38" t="s">
        <v>12688</v>
      </c>
      <c r="U1670" s="18"/>
    </row>
    <row r="1671" spans="1:21" x14ac:dyDescent="0.25">
      <c r="A1671" s="33" t="s">
        <v>7906</v>
      </c>
      <c r="B1671" s="33" t="s">
        <v>7905</v>
      </c>
      <c r="C1671" s="33" t="s">
        <v>141</v>
      </c>
      <c r="D1671" s="34"/>
      <c r="E1671" s="33">
        <v>2013</v>
      </c>
      <c r="F1671" s="34"/>
      <c r="G1671" s="34"/>
      <c r="H1671" s="33" t="s">
        <v>7907</v>
      </c>
      <c r="I1671" s="33" t="s">
        <v>7908</v>
      </c>
      <c r="J1671" s="43">
        <v>41518</v>
      </c>
      <c r="K1671" s="36"/>
      <c r="L1671" s="36"/>
      <c r="M1671" s="33" t="s">
        <v>6508</v>
      </c>
      <c r="N1671" s="37" t="s">
        <v>7909</v>
      </c>
      <c r="O1671" s="33" t="s">
        <v>7910</v>
      </c>
      <c r="P1671" s="33" t="s">
        <v>7911</v>
      </c>
      <c r="Q1671" s="36"/>
      <c r="R1671" s="36"/>
      <c r="S1671" s="33" t="s">
        <v>7912</v>
      </c>
      <c r="T1671" s="38" t="s">
        <v>12688</v>
      </c>
      <c r="U1671" s="18"/>
    </row>
    <row r="1672" spans="1:21" x14ac:dyDescent="0.25">
      <c r="A1672" s="33" t="s">
        <v>3280</v>
      </c>
      <c r="B1672" s="33" t="s">
        <v>3279</v>
      </c>
      <c r="C1672" s="33" t="s">
        <v>141</v>
      </c>
      <c r="D1672" s="34"/>
      <c r="E1672" s="33">
        <v>2021</v>
      </c>
      <c r="F1672" s="34"/>
      <c r="G1672" s="34"/>
      <c r="H1672" s="33" t="s">
        <v>3281</v>
      </c>
      <c r="I1672" s="33" t="s">
        <v>257</v>
      </c>
      <c r="J1672" s="33">
        <v>2021</v>
      </c>
      <c r="K1672" s="33">
        <v>9781665403375</v>
      </c>
      <c r="L1672" s="34"/>
      <c r="M1672" s="34"/>
      <c r="N1672" s="37" t="s">
        <v>3282</v>
      </c>
      <c r="O1672" s="33" t="s">
        <v>3283</v>
      </c>
      <c r="P1672" s="33" t="s">
        <v>3284</v>
      </c>
      <c r="Q1672" s="33" t="s">
        <v>157</v>
      </c>
      <c r="R1672" s="34"/>
      <c r="S1672" s="38"/>
      <c r="T1672" s="38" t="s">
        <v>12690</v>
      </c>
      <c r="U1672" s="18"/>
    </row>
    <row r="1673" spans="1:21" x14ac:dyDescent="0.25">
      <c r="A1673" s="33" t="s">
        <v>8438</v>
      </c>
      <c r="B1673" s="33" t="s">
        <v>8437</v>
      </c>
      <c r="C1673" s="33" t="s">
        <v>13</v>
      </c>
      <c r="D1673" s="33" t="s">
        <v>354</v>
      </c>
      <c r="E1673" s="33">
        <v>2023</v>
      </c>
      <c r="F1673" s="33">
        <v>195</v>
      </c>
      <c r="G1673" s="36"/>
      <c r="H1673" s="33">
        <v>111521</v>
      </c>
      <c r="I1673" s="36"/>
      <c r="J1673" s="33">
        <v>2023</v>
      </c>
      <c r="K1673" s="34"/>
      <c r="L1673" s="34"/>
      <c r="M1673" s="33" t="s">
        <v>65</v>
      </c>
      <c r="N1673" s="37" t="s">
        <v>8439</v>
      </c>
      <c r="O1673" s="33" t="s">
        <v>8440</v>
      </c>
      <c r="P1673" s="33" t="s">
        <v>8441</v>
      </c>
      <c r="Q1673" s="36"/>
      <c r="R1673" s="36"/>
      <c r="S1673" s="33" t="s">
        <v>8442</v>
      </c>
      <c r="T1673" s="38" t="s">
        <v>12693</v>
      </c>
      <c r="U1673" s="18"/>
    </row>
    <row r="1674" spans="1:21" x14ac:dyDescent="0.25">
      <c r="A1674" s="33" t="s">
        <v>5447</v>
      </c>
      <c r="B1674" s="33" t="s">
        <v>5446</v>
      </c>
      <c r="C1674" s="33" t="s">
        <v>141</v>
      </c>
      <c r="D1674" s="34"/>
      <c r="E1674" s="33">
        <v>2016</v>
      </c>
      <c r="F1674" s="33">
        <v>1771</v>
      </c>
      <c r="G1674" s="34"/>
      <c r="H1674" s="33" t="s">
        <v>5448</v>
      </c>
      <c r="I1674" s="33" t="s">
        <v>613</v>
      </c>
      <c r="J1674" s="33">
        <v>2016</v>
      </c>
      <c r="K1674" s="34"/>
      <c r="L1674" s="34"/>
      <c r="M1674" s="33" t="s">
        <v>614</v>
      </c>
      <c r="N1674" s="37" t="s">
        <v>5449</v>
      </c>
      <c r="O1674" s="34"/>
      <c r="P1674" s="33" t="s">
        <v>5450</v>
      </c>
      <c r="Q1674" s="33" t="s">
        <v>2110</v>
      </c>
      <c r="R1674" s="34"/>
      <c r="S1674" s="38"/>
      <c r="T1674" s="38" t="s">
        <v>12690</v>
      </c>
      <c r="U1674" s="18"/>
    </row>
    <row r="1675" spans="1:21" x14ac:dyDescent="0.25">
      <c r="A1675" s="33" t="s">
        <v>7840</v>
      </c>
      <c r="B1675" s="33" t="s">
        <v>7839</v>
      </c>
      <c r="C1675" s="33" t="s">
        <v>141</v>
      </c>
      <c r="D1675" s="34"/>
      <c r="E1675" s="33">
        <v>2022</v>
      </c>
      <c r="F1675" s="34"/>
      <c r="G1675" s="34"/>
      <c r="H1675" s="33" t="s">
        <v>7841</v>
      </c>
      <c r="I1675" s="33" t="s">
        <v>6166</v>
      </c>
      <c r="J1675" s="43">
        <v>44774</v>
      </c>
      <c r="K1675" s="36"/>
      <c r="L1675" s="36"/>
      <c r="M1675" s="34"/>
      <c r="N1675" s="37" t="s">
        <v>7842</v>
      </c>
      <c r="O1675" s="33" t="s">
        <v>7843</v>
      </c>
      <c r="P1675" s="33" t="s">
        <v>7844</v>
      </c>
      <c r="Q1675" s="36"/>
      <c r="R1675" s="36"/>
      <c r="S1675" s="33" t="s">
        <v>7845</v>
      </c>
      <c r="T1675" s="38" t="s">
        <v>12688</v>
      </c>
      <c r="U1675" s="18"/>
    </row>
    <row r="1676" spans="1:21" x14ac:dyDescent="0.25">
      <c r="A1676" s="33" t="s">
        <v>12625</v>
      </c>
      <c r="B1676" s="33" t="s">
        <v>12624</v>
      </c>
      <c r="C1676" s="33" t="s">
        <v>13</v>
      </c>
      <c r="D1676" s="33" t="s">
        <v>11246</v>
      </c>
      <c r="E1676" s="33">
        <v>2023</v>
      </c>
      <c r="F1676" s="34"/>
      <c r="G1676" s="34"/>
      <c r="H1676" s="34"/>
      <c r="I1676" s="44" t="s">
        <v>12710</v>
      </c>
      <c r="J1676" s="43">
        <v>44927</v>
      </c>
      <c r="K1676" s="34"/>
      <c r="L1676" s="34"/>
      <c r="M1676" s="33" t="s">
        <v>329</v>
      </c>
      <c r="N1676" s="37" t="s">
        <v>12626</v>
      </c>
      <c r="O1676" s="33" t="s">
        <v>12627</v>
      </c>
      <c r="P1676" s="33" t="s">
        <v>12628</v>
      </c>
      <c r="Q1676" s="36"/>
      <c r="R1676" s="36"/>
      <c r="S1676" s="33" t="s">
        <v>12629</v>
      </c>
      <c r="T1676" s="33" t="s">
        <v>12692</v>
      </c>
      <c r="U1676" s="18"/>
    </row>
    <row r="1677" spans="1:21" x14ac:dyDescent="0.25">
      <c r="A1677" s="33" t="s">
        <v>3444</v>
      </c>
      <c r="B1677" s="33" t="s">
        <v>3436</v>
      </c>
      <c r="C1677" s="33" t="s">
        <v>13</v>
      </c>
      <c r="D1677" s="33" t="s">
        <v>3445</v>
      </c>
      <c r="E1677" s="33">
        <v>2020</v>
      </c>
      <c r="F1677" s="33">
        <v>15</v>
      </c>
      <c r="G1677" s="33" t="s">
        <v>3446</v>
      </c>
      <c r="H1677" s="34"/>
      <c r="I1677" s="33" t="s">
        <v>3447</v>
      </c>
      <c r="J1677" s="33">
        <v>2020</v>
      </c>
      <c r="K1677" s="34"/>
      <c r="L1677" s="34"/>
      <c r="M1677" s="33" t="s">
        <v>3448</v>
      </c>
      <c r="N1677" s="37" t="s">
        <v>3449</v>
      </c>
      <c r="O1677" s="33" t="s">
        <v>3450</v>
      </c>
      <c r="P1677" s="33" t="s">
        <v>3451</v>
      </c>
      <c r="Q1677" s="33" t="s">
        <v>3452</v>
      </c>
      <c r="R1677" s="34"/>
      <c r="S1677" s="38"/>
      <c r="T1677" s="38" t="s">
        <v>12690</v>
      </c>
      <c r="U1677" s="18"/>
    </row>
    <row r="1678" spans="1:21" x14ac:dyDescent="0.25">
      <c r="A1678" s="33" t="s">
        <v>4086</v>
      </c>
      <c r="B1678" s="33" t="s">
        <v>4085</v>
      </c>
      <c r="C1678" s="33" t="s">
        <v>141</v>
      </c>
      <c r="D1678" s="34"/>
      <c r="E1678" s="33">
        <v>2019</v>
      </c>
      <c r="F1678" s="34"/>
      <c r="G1678" s="34"/>
      <c r="H1678" s="33" t="s">
        <v>3846</v>
      </c>
      <c r="I1678" s="33" t="s">
        <v>153</v>
      </c>
      <c r="J1678" s="33">
        <v>2019</v>
      </c>
      <c r="K1678" s="33">
        <v>9781450368551</v>
      </c>
      <c r="L1678" s="34"/>
      <c r="M1678" s="34"/>
      <c r="N1678" s="37" t="s">
        <v>4087</v>
      </c>
      <c r="O1678" s="33" t="s">
        <v>4088</v>
      </c>
      <c r="P1678" s="33" t="s">
        <v>4089</v>
      </c>
      <c r="Q1678" s="33" t="s">
        <v>2804</v>
      </c>
      <c r="R1678" s="34"/>
      <c r="S1678" s="38"/>
      <c r="T1678" s="38" t="s">
        <v>12690</v>
      </c>
      <c r="U1678" s="18"/>
    </row>
    <row r="1679" spans="1:21" x14ac:dyDescent="0.25">
      <c r="A1679" s="39" t="s">
        <v>10662</v>
      </c>
      <c r="B1679" s="39" t="s">
        <v>10664</v>
      </c>
      <c r="C1679" s="39" t="s">
        <v>9478</v>
      </c>
      <c r="D1679" s="36"/>
      <c r="E1679" s="39">
        <v>2018</v>
      </c>
      <c r="F1679" s="39">
        <v>26</v>
      </c>
      <c r="G1679" s="39">
        <v>2</v>
      </c>
      <c r="H1679" s="36"/>
      <c r="I1679" s="39" t="s">
        <v>523</v>
      </c>
      <c r="J1679" s="36"/>
      <c r="K1679" s="36"/>
      <c r="L1679" s="36"/>
      <c r="M1679" s="34"/>
      <c r="N1679" s="41" t="s">
        <v>10665</v>
      </c>
      <c r="O1679" s="39" t="s">
        <v>10663</v>
      </c>
      <c r="P1679" s="33"/>
      <c r="Q1679" s="36"/>
      <c r="R1679" s="34"/>
      <c r="S1679" s="38"/>
      <c r="T1679" s="38" t="s">
        <v>12689</v>
      </c>
      <c r="U1679" s="18"/>
    </row>
    <row r="1680" spans="1:21" x14ac:dyDescent="0.25">
      <c r="A1680" s="33" t="s">
        <v>8655</v>
      </c>
      <c r="B1680" s="33" t="s">
        <v>8654</v>
      </c>
      <c r="C1680" s="33" t="s">
        <v>13</v>
      </c>
      <c r="D1680" s="33" t="s">
        <v>354</v>
      </c>
      <c r="E1680" s="33">
        <v>2020</v>
      </c>
      <c r="F1680" s="33">
        <v>159</v>
      </c>
      <c r="G1680" s="36"/>
      <c r="H1680" s="33">
        <v>110428</v>
      </c>
      <c r="I1680" s="36"/>
      <c r="J1680" s="33">
        <v>2020</v>
      </c>
      <c r="K1680" s="34"/>
      <c r="L1680" s="34"/>
      <c r="M1680" s="33" t="s">
        <v>65</v>
      </c>
      <c r="N1680" s="37" t="s">
        <v>8656</v>
      </c>
      <c r="O1680" s="33" t="s">
        <v>8657</v>
      </c>
      <c r="P1680" s="33" t="s">
        <v>8658</v>
      </c>
      <c r="Q1680" s="36"/>
      <c r="R1680" s="36"/>
      <c r="S1680" s="33" t="s">
        <v>8659</v>
      </c>
      <c r="T1680" s="38" t="s">
        <v>12693</v>
      </c>
      <c r="U1680" s="18"/>
    </row>
    <row r="1681" spans="1:21" x14ac:dyDescent="0.25">
      <c r="A1681" s="33" t="s">
        <v>4662</v>
      </c>
      <c r="B1681" s="33" t="s">
        <v>4661</v>
      </c>
      <c r="C1681" s="33" t="s">
        <v>13</v>
      </c>
      <c r="D1681" s="33" t="s">
        <v>4663</v>
      </c>
      <c r="E1681" s="33">
        <v>2019</v>
      </c>
      <c r="F1681" s="33">
        <v>136</v>
      </c>
      <c r="G1681" s="33">
        <v>7</v>
      </c>
      <c r="H1681" s="33" t="s">
        <v>4664</v>
      </c>
      <c r="I1681" s="33" t="s">
        <v>137</v>
      </c>
      <c r="J1681" s="33">
        <v>2019</v>
      </c>
      <c r="K1681" s="34"/>
      <c r="L1681" s="34"/>
      <c r="M1681" s="33" t="s">
        <v>4665</v>
      </c>
      <c r="N1681" s="37" t="s">
        <v>4666</v>
      </c>
      <c r="O1681" s="33" t="s">
        <v>4667</v>
      </c>
      <c r="P1681" s="33" t="s">
        <v>4668</v>
      </c>
      <c r="Q1681" s="33" t="s">
        <v>157</v>
      </c>
      <c r="R1681" s="34"/>
      <c r="S1681" s="38"/>
      <c r="T1681" s="38" t="s">
        <v>12690</v>
      </c>
      <c r="U1681" s="18"/>
    </row>
    <row r="1682" spans="1:21" x14ac:dyDescent="0.25">
      <c r="A1682" s="39" t="s">
        <v>9403</v>
      </c>
      <c r="B1682" s="39" t="s">
        <v>9405</v>
      </c>
      <c r="C1682" s="39" t="s">
        <v>539</v>
      </c>
      <c r="D1682" s="36"/>
      <c r="E1682" s="39">
        <v>2022</v>
      </c>
      <c r="F1682" s="40"/>
      <c r="G1682" s="40"/>
      <c r="H1682" s="36"/>
      <c r="I1682" s="40"/>
      <c r="J1682" s="36"/>
      <c r="K1682" s="36"/>
      <c r="L1682" s="36"/>
      <c r="M1682" s="34"/>
      <c r="N1682" s="41" t="s">
        <v>9406</v>
      </c>
      <c r="O1682" s="39" t="s">
        <v>9404</v>
      </c>
      <c r="P1682" s="33"/>
      <c r="Q1682" s="36"/>
      <c r="R1682" s="34"/>
      <c r="S1682" s="38"/>
      <c r="T1682" s="38" t="s">
        <v>12689</v>
      </c>
      <c r="U1682" s="18"/>
    </row>
    <row r="1683" spans="1:21" x14ac:dyDescent="0.25">
      <c r="A1683" s="39" t="s">
        <v>10815</v>
      </c>
      <c r="B1683" s="39" t="s">
        <v>10817</v>
      </c>
      <c r="C1683" s="39" t="s">
        <v>539</v>
      </c>
      <c r="D1683" s="36"/>
      <c r="E1683" s="39">
        <v>2022</v>
      </c>
      <c r="F1683" s="40"/>
      <c r="G1683" s="40"/>
      <c r="H1683" s="36"/>
      <c r="I1683" s="40"/>
      <c r="J1683" s="36"/>
      <c r="K1683" s="36"/>
      <c r="L1683" s="36"/>
      <c r="M1683" s="34"/>
      <c r="N1683" s="41" t="s">
        <v>10818</v>
      </c>
      <c r="O1683" s="39" t="s">
        <v>10816</v>
      </c>
      <c r="P1683" s="33"/>
      <c r="Q1683" s="36"/>
      <c r="R1683" s="34"/>
      <c r="S1683" s="38"/>
      <c r="T1683" s="38" t="s">
        <v>12689</v>
      </c>
      <c r="U1683" s="18"/>
    </row>
    <row r="1684" spans="1:21" x14ac:dyDescent="0.25">
      <c r="A1684" s="33" t="s">
        <v>5064</v>
      </c>
      <c r="B1684" s="33" t="s">
        <v>5063</v>
      </c>
      <c r="C1684" s="33" t="s">
        <v>141</v>
      </c>
      <c r="D1684" s="34"/>
      <c r="E1684" s="33">
        <v>2020</v>
      </c>
      <c r="F1684" s="34"/>
      <c r="G1684" s="34"/>
      <c r="H1684" s="33" t="s">
        <v>5065</v>
      </c>
      <c r="I1684" s="33" t="s">
        <v>3109</v>
      </c>
      <c r="J1684" s="33">
        <v>2020</v>
      </c>
      <c r="K1684" s="33">
        <v>9789897584213</v>
      </c>
      <c r="L1684" s="34"/>
      <c r="M1684" s="34"/>
      <c r="N1684" s="37" t="s">
        <v>5066</v>
      </c>
      <c r="O1684" s="34"/>
      <c r="P1684" s="33" t="s">
        <v>5067</v>
      </c>
      <c r="Q1684" s="33" t="s">
        <v>176</v>
      </c>
      <c r="R1684" s="34"/>
      <c r="S1684" s="38"/>
      <c r="T1684" s="38" t="s">
        <v>12690</v>
      </c>
      <c r="U1684" s="18"/>
    </row>
    <row r="1685" spans="1:21" x14ac:dyDescent="0.25">
      <c r="A1685" s="33" t="s">
        <v>6237</v>
      </c>
      <c r="B1685" s="33" t="s">
        <v>5788</v>
      </c>
      <c r="C1685" s="33" t="s">
        <v>141</v>
      </c>
      <c r="D1685" s="34"/>
      <c r="E1685" s="33">
        <v>2018</v>
      </c>
      <c r="F1685" s="34"/>
      <c r="G1685" s="34"/>
      <c r="H1685" s="33" t="s">
        <v>11354</v>
      </c>
      <c r="I1685" s="44" t="s">
        <v>12758</v>
      </c>
      <c r="J1685" s="33">
        <v>2018</v>
      </c>
      <c r="K1685" s="33">
        <v>9781450356633</v>
      </c>
      <c r="L1685" s="33" t="s">
        <v>11359</v>
      </c>
      <c r="M1685" s="34"/>
      <c r="N1685" s="37" t="s">
        <v>11356</v>
      </c>
      <c r="O1685" s="33" t="s">
        <v>5792</v>
      </c>
      <c r="P1685" s="33" t="s">
        <v>11357</v>
      </c>
      <c r="Q1685" s="36"/>
      <c r="R1685" s="36"/>
      <c r="S1685" s="33" t="s">
        <v>11358</v>
      </c>
      <c r="T1685" s="33" t="s">
        <v>12692</v>
      </c>
      <c r="U1685" s="18"/>
    </row>
    <row r="1686" spans="1:21" x14ac:dyDescent="0.25">
      <c r="A1686" s="33" t="s">
        <v>6237</v>
      </c>
      <c r="B1686" s="33" t="s">
        <v>5788</v>
      </c>
      <c r="C1686" s="33" t="s">
        <v>141</v>
      </c>
      <c r="D1686" s="34"/>
      <c r="E1686" s="33">
        <v>2018</v>
      </c>
      <c r="F1686" s="34"/>
      <c r="G1686" s="34"/>
      <c r="H1686" s="42">
        <v>45181</v>
      </c>
      <c r="I1686" s="33" t="s">
        <v>6238</v>
      </c>
      <c r="J1686" s="43">
        <v>43221</v>
      </c>
      <c r="K1686" s="36"/>
      <c r="L1686" s="36"/>
      <c r="M1686" s="33" t="s">
        <v>6239</v>
      </c>
      <c r="N1686" s="34"/>
      <c r="O1686" s="34"/>
      <c r="P1686" s="33" t="s">
        <v>6240</v>
      </c>
      <c r="Q1686" s="36"/>
      <c r="R1686" s="36"/>
      <c r="S1686" s="33" t="s">
        <v>6241</v>
      </c>
      <c r="T1686" s="38" t="s">
        <v>12688</v>
      </c>
      <c r="U1686" s="18"/>
    </row>
    <row r="1687" spans="1:21" x14ac:dyDescent="0.25">
      <c r="A1687" s="33" t="s">
        <v>6237</v>
      </c>
      <c r="B1687" s="33" t="s">
        <v>5788</v>
      </c>
      <c r="C1687" s="33" t="s">
        <v>141</v>
      </c>
      <c r="D1687" s="34"/>
      <c r="E1687" s="33">
        <v>2018</v>
      </c>
      <c r="F1687" s="34"/>
      <c r="G1687" s="34"/>
      <c r="H1687" s="33" t="s">
        <v>5790</v>
      </c>
      <c r="I1687" s="33" t="s">
        <v>196</v>
      </c>
      <c r="J1687" s="33">
        <v>2018</v>
      </c>
      <c r="K1687" s="33">
        <v>9781450356633</v>
      </c>
      <c r="L1687" s="34"/>
      <c r="M1687" s="33" t="s">
        <v>1458</v>
      </c>
      <c r="N1687" s="37" t="s">
        <v>5791</v>
      </c>
      <c r="O1687" s="33" t="s">
        <v>5792</v>
      </c>
      <c r="P1687" s="33" t="s">
        <v>5793</v>
      </c>
      <c r="Q1687" s="33" t="s">
        <v>5577</v>
      </c>
      <c r="R1687" s="34"/>
      <c r="S1687" s="38"/>
      <c r="T1687" s="38" t="s">
        <v>12690</v>
      </c>
      <c r="U1687" s="18"/>
    </row>
    <row r="1688" spans="1:21" x14ac:dyDescent="0.25">
      <c r="A1688" s="33" t="s">
        <v>1826</v>
      </c>
      <c r="B1688" s="33" t="s">
        <v>1825</v>
      </c>
      <c r="C1688" s="33" t="s">
        <v>13</v>
      </c>
      <c r="D1688" s="33" t="s">
        <v>1827</v>
      </c>
      <c r="E1688" s="33">
        <v>2022</v>
      </c>
      <c r="F1688" s="33">
        <v>213</v>
      </c>
      <c r="G1688" s="36"/>
      <c r="H1688" s="33">
        <v>102693</v>
      </c>
      <c r="I1688" s="36"/>
      <c r="J1688" s="33">
        <v>2022</v>
      </c>
      <c r="K1688" s="34"/>
      <c r="L1688" s="34"/>
      <c r="M1688" s="33" t="s">
        <v>1828</v>
      </c>
      <c r="N1688" s="37" t="s">
        <v>8891</v>
      </c>
      <c r="O1688" s="33" t="s">
        <v>1830</v>
      </c>
      <c r="P1688" s="33" t="s">
        <v>8892</v>
      </c>
      <c r="Q1688" s="36"/>
      <c r="R1688" s="36"/>
      <c r="S1688" s="33" t="s">
        <v>8893</v>
      </c>
      <c r="T1688" s="38" t="s">
        <v>12693</v>
      </c>
      <c r="U1688" s="18"/>
    </row>
    <row r="1689" spans="1:21" x14ac:dyDescent="0.25">
      <c r="A1689" s="33" t="s">
        <v>1826</v>
      </c>
      <c r="B1689" s="33" t="s">
        <v>1825</v>
      </c>
      <c r="C1689" s="33" t="s">
        <v>13</v>
      </c>
      <c r="D1689" s="33" t="s">
        <v>1827</v>
      </c>
      <c r="E1689" s="33">
        <v>2022</v>
      </c>
      <c r="F1689" s="33">
        <v>213</v>
      </c>
      <c r="G1689" s="34"/>
      <c r="H1689" s="34"/>
      <c r="I1689" s="33" t="s">
        <v>280</v>
      </c>
      <c r="J1689" s="33">
        <v>2022</v>
      </c>
      <c r="K1689" s="34"/>
      <c r="L1689" s="34"/>
      <c r="M1689" s="33" t="s">
        <v>1828</v>
      </c>
      <c r="N1689" s="37" t="s">
        <v>1829</v>
      </c>
      <c r="O1689" s="33" t="s">
        <v>1830</v>
      </c>
      <c r="P1689" s="33" t="s">
        <v>1831</v>
      </c>
      <c r="Q1689" s="33" t="s">
        <v>520</v>
      </c>
      <c r="R1689" s="34"/>
      <c r="S1689" s="38"/>
      <c r="T1689" s="38" t="s">
        <v>12690</v>
      </c>
      <c r="U1689" s="18"/>
    </row>
    <row r="1690" spans="1:21" x14ac:dyDescent="0.25">
      <c r="A1690" s="33" t="s">
        <v>12630</v>
      </c>
      <c r="B1690" s="34"/>
      <c r="C1690" s="33" t="s">
        <v>539</v>
      </c>
      <c r="D1690" s="34"/>
      <c r="E1690" s="33">
        <v>2022</v>
      </c>
      <c r="F1690" s="34"/>
      <c r="G1690" s="34"/>
      <c r="H1690" s="34"/>
      <c r="I1690" s="44" t="s">
        <v>12710</v>
      </c>
      <c r="J1690" s="33">
        <v>2022</v>
      </c>
      <c r="K1690" s="33">
        <v>9781450397452</v>
      </c>
      <c r="L1690" s="34"/>
      <c r="M1690" s="34"/>
      <c r="N1690" s="34"/>
      <c r="O1690" s="34"/>
      <c r="P1690" s="34"/>
      <c r="Q1690" s="36"/>
      <c r="R1690" s="36"/>
      <c r="S1690" s="34"/>
      <c r="T1690" s="33" t="s">
        <v>12692</v>
      </c>
      <c r="U1690" s="18"/>
    </row>
    <row r="1691" spans="1:21" x14ac:dyDescent="0.25">
      <c r="A1691" s="33" t="s">
        <v>11521</v>
      </c>
      <c r="B1691" s="34"/>
      <c r="C1691" s="33" t="s">
        <v>539</v>
      </c>
      <c r="D1691" s="34"/>
      <c r="E1691" s="33">
        <v>2022</v>
      </c>
      <c r="F1691" s="34"/>
      <c r="G1691" s="34"/>
      <c r="H1691" s="34"/>
      <c r="I1691" s="44" t="s">
        <v>12710</v>
      </c>
      <c r="J1691" s="33">
        <v>2022</v>
      </c>
      <c r="K1691" s="33">
        <v>9781450397353</v>
      </c>
      <c r="L1691" s="34"/>
      <c r="M1691" s="34"/>
      <c r="N1691" s="34"/>
      <c r="O1691" s="34"/>
      <c r="P1691" s="34"/>
      <c r="Q1691" s="36"/>
      <c r="R1691" s="36"/>
      <c r="S1691" s="34"/>
      <c r="T1691" s="33" t="s">
        <v>12692</v>
      </c>
      <c r="U1691" s="18"/>
    </row>
    <row r="1692" spans="1:21" x14ac:dyDescent="0.25">
      <c r="A1692" s="33" t="s">
        <v>7596</v>
      </c>
      <c r="B1692" s="33" t="s">
        <v>7595</v>
      </c>
      <c r="C1692" s="33" t="s">
        <v>13</v>
      </c>
      <c r="D1692" s="33" t="s">
        <v>255</v>
      </c>
      <c r="E1692" s="33">
        <v>2022</v>
      </c>
      <c r="F1692" s="34"/>
      <c r="G1692" s="34"/>
      <c r="H1692" s="42">
        <v>44950</v>
      </c>
      <c r="I1692" s="34"/>
      <c r="J1692" s="33">
        <v>2022</v>
      </c>
      <c r="K1692" s="36"/>
      <c r="L1692" s="36"/>
      <c r="M1692" s="33" t="s">
        <v>6115</v>
      </c>
      <c r="N1692" s="37" t="s">
        <v>7597</v>
      </c>
      <c r="O1692" s="33" t="s">
        <v>7598</v>
      </c>
      <c r="P1692" s="33" t="s">
        <v>7599</v>
      </c>
      <c r="Q1692" s="36"/>
      <c r="R1692" s="36"/>
      <c r="S1692" s="33" t="s">
        <v>7600</v>
      </c>
      <c r="T1692" s="38" t="s">
        <v>12688</v>
      </c>
      <c r="U1692" s="18"/>
    </row>
    <row r="1693" spans="1:21" x14ac:dyDescent="0.25">
      <c r="A1693" s="33" t="s">
        <v>12641</v>
      </c>
      <c r="B1693" s="33" t="s">
        <v>12640</v>
      </c>
      <c r="C1693" s="33" t="s">
        <v>13</v>
      </c>
      <c r="D1693" s="33" t="s">
        <v>12642</v>
      </c>
      <c r="E1693" s="33">
        <v>2013</v>
      </c>
      <c r="F1693" s="33">
        <v>14</v>
      </c>
      <c r="G1693" s="33">
        <v>2</v>
      </c>
      <c r="H1693" s="33" t="s">
        <v>12643</v>
      </c>
      <c r="I1693" s="44" t="s">
        <v>12710</v>
      </c>
      <c r="J1693" s="43">
        <v>41365</v>
      </c>
      <c r="K1693" s="34"/>
      <c r="L1693" s="34"/>
      <c r="M1693" s="33" t="s">
        <v>12644</v>
      </c>
      <c r="N1693" s="37" t="s">
        <v>12645</v>
      </c>
      <c r="O1693" s="33" t="s">
        <v>12646</v>
      </c>
      <c r="P1693" s="33" t="s">
        <v>12647</v>
      </c>
      <c r="Q1693" s="36"/>
      <c r="R1693" s="36"/>
      <c r="S1693" s="34"/>
      <c r="T1693" s="33" t="s">
        <v>12692</v>
      </c>
      <c r="U1693" s="18"/>
    </row>
    <row r="1694" spans="1:21" x14ac:dyDescent="0.25">
      <c r="A1694" s="33" t="s">
        <v>11672</v>
      </c>
      <c r="B1694" s="33" t="s">
        <v>11671</v>
      </c>
      <c r="C1694" s="33" t="s">
        <v>141</v>
      </c>
      <c r="D1694" s="34"/>
      <c r="E1694" s="33">
        <v>2021</v>
      </c>
      <c r="F1694" s="34"/>
      <c r="G1694" s="34"/>
      <c r="H1694" s="33" t="s">
        <v>11673</v>
      </c>
      <c r="I1694" s="44" t="s">
        <v>12804</v>
      </c>
      <c r="J1694" s="33">
        <v>2021</v>
      </c>
      <c r="K1694" s="33">
        <v>9781450384582</v>
      </c>
      <c r="L1694" s="33" t="s">
        <v>11679</v>
      </c>
      <c r="M1694" s="34"/>
      <c r="N1694" s="37" t="s">
        <v>11676</v>
      </c>
      <c r="O1694" s="33" t="s">
        <v>2206</v>
      </c>
      <c r="P1694" s="33" t="s">
        <v>11677</v>
      </c>
      <c r="Q1694" s="36"/>
      <c r="R1694" s="36"/>
      <c r="S1694" s="33" t="s">
        <v>11678</v>
      </c>
      <c r="T1694" s="33" t="s">
        <v>12692</v>
      </c>
      <c r="U1694" s="18"/>
    </row>
    <row r="1695" spans="1:21" x14ac:dyDescent="0.25">
      <c r="A1695" s="33" t="s">
        <v>11672</v>
      </c>
      <c r="B1695" s="33" t="s">
        <v>2202</v>
      </c>
      <c r="C1695" s="33" t="s">
        <v>141</v>
      </c>
      <c r="D1695" s="34"/>
      <c r="E1695" s="33">
        <v>2021</v>
      </c>
      <c r="F1695" s="34"/>
      <c r="G1695" s="34"/>
      <c r="H1695" s="33" t="s">
        <v>2204</v>
      </c>
      <c r="I1695" s="33" t="s">
        <v>153</v>
      </c>
      <c r="J1695" s="33">
        <v>2021</v>
      </c>
      <c r="K1695" s="33">
        <v>9781450384582</v>
      </c>
      <c r="L1695" s="34"/>
      <c r="M1695" s="34"/>
      <c r="N1695" s="37" t="s">
        <v>2205</v>
      </c>
      <c r="O1695" s="33" t="s">
        <v>2206</v>
      </c>
      <c r="P1695" s="33" t="s">
        <v>2207</v>
      </c>
      <c r="Q1695" s="33" t="s">
        <v>289</v>
      </c>
      <c r="R1695" s="34"/>
      <c r="S1695" s="38"/>
      <c r="T1695" s="38" t="s">
        <v>12690</v>
      </c>
      <c r="U1695" s="18"/>
    </row>
    <row r="1696" spans="1:21" x14ac:dyDescent="0.25">
      <c r="A1696" s="33" t="s">
        <v>1120</v>
      </c>
      <c r="B1696" s="33" t="s">
        <v>1119</v>
      </c>
      <c r="C1696" s="33" t="s">
        <v>13</v>
      </c>
      <c r="D1696" s="33" t="s">
        <v>354</v>
      </c>
      <c r="E1696" s="33">
        <v>2023</v>
      </c>
      <c r="F1696" s="33">
        <v>195</v>
      </c>
      <c r="G1696" s="36"/>
      <c r="H1696" s="33">
        <v>111514</v>
      </c>
      <c r="I1696" s="36"/>
      <c r="J1696" s="33">
        <v>2023</v>
      </c>
      <c r="K1696" s="34"/>
      <c r="L1696" s="34"/>
      <c r="M1696" s="33" t="s">
        <v>65</v>
      </c>
      <c r="N1696" s="37" t="s">
        <v>8592</v>
      </c>
      <c r="O1696" s="33" t="s">
        <v>1122</v>
      </c>
      <c r="P1696" s="33" t="s">
        <v>8593</v>
      </c>
      <c r="Q1696" s="36"/>
      <c r="R1696" s="36"/>
      <c r="S1696" s="33" t="s">
        <v>8594</v>
      </c>
      <c r="T1696" s="38" t="s">
        <v>12693</v>
      </c>
      <c r="U1696" s="18"/>
    </row>
    <row r="1697" spans="1:21" x14ac:dyDescent="0.25">
      <c r="A1697" s="33" t="s">
        <v>1120</v>
      </c>
      <c r="B1697" s="33" t="s">
        <v>1119</v>
      </c>
      <c r="C1697" s="33" t="s">
        <v>13</v>
      </c>
      <c r="D1697" s="33" t="s">
        <v>354</v>
      </c>
      <c r="E1697" s="33">
        <v>2023</v>
      </c>
      <c r="F1697" s="33">
        <v>195</v>
      </c>
      <c r="G1697" s="34"/>
      <c r="H1697" s="34"/>
      <c r="I1697" s="33" t="s">
        <v>355</v>
      </c>
      <c r="J1697" s="33">
        <v>2023</v>
      </c>
      <c r="K1697" s="34"/>
      <c r="L1697" s="34"/>
      <c r="M1697" s="33" t="s">
        <v>65</v>
      </c>
      <c r="N1697" s="37" t="s">
        <v>1121</v>
      </c>
      <c r="O1697" s="33" t="s">
        <v>1122</v>
      </c>
      <c r="P1697" s="33" t="s">
        <v>1123</v>
      </c>
      <c r="Q1697" s="33" t="s">
        <v>157</v>
      </c>
      <c r="R1697" s="34"/>
      <c r="S1697" s="38"/>
      <c r="T1697" s="38" t="s">
        <v>12690</v>
      </c>
      <c r="U1697" s="18"/>
    </row>
    <row r="1698" spans="1:21" x14ac:dyDescent="0.25">
      <c r="A1698" s="39" t="s">
        <v>10139</v>
      </c>
      <c r="B1698" s="39" t="s">
        <v>10141</v>
      </c>
      <c r="C1698" s="39" t="s">
        <v>539</v>
      </c>
      <c r="D1698" s="36"/>
      <c r="E1698" s="39">
        <v>2021</v>
      </c>
      <c r="F1698" s="40"/>
      <c r="G1698" s="40"/>
      <c r="H1698" s="36"/>
      <c r="I1698" s="39" t="s">
        <v>10138</v>
      </c>
      <c r="J1698" s="36"/>
      <c r="K1698" s="36"/>
      <c r="L1698" s="36"/>
      <c r="M1698" s="34"/>
      <c r="N1698" s="41" t="s">
        <v>10142</v>
      </c>
      <c r="O1698" s="39" t="s">
        <v>10140</v>
      </c>
      <c r="P1698" s="33"/>
      <c r="Q1698" s="36"/>
      <c r="R1698" s="34"/>
      <c r="S1698" s="38"/>
      <c r="T1698" s="38" t="s">
        <v>12689</v>
      </c>
      <c r="U1698" s="18"/>
    </row>
    <row r="1699" spans="1:21" x14ac:dyDescent="0.25">
      <c r="A1699" s="33" t="s">
        <v>768</v>
      </c>
      <c r="B1699" s="33" t="s">
        <v>767</v>
      </c>
      <c r="C1699" s="33" t="s">
        <v>13</v>
      </c>
      <c r="D1699" s="33" t="s">
        <v>264</v>
      </c>
      <c r="E1699" s="33">
        <v>2022</v>
      </c>
      <c r="F1699" s="33">
        <v>52</v>
      </c>
      <c r="G1699" s="33">
        <v>8</v>
      </c>
      <c r="H1699" s="33" t="s">
        <v>769</v>
      </c>
      <c r="I1699" s="33" t="s">
        <v>266</v>
      </c>
      <c r="J1699" s="33">
        <v>2022</v>
      </c>
      <c r="K1699" s="34"/>
      <c r="L1699" s="34"/>
      <c r="M1699" s="33" t="s">
        <v>267</v>
      </c>
      <c r="N1699" s="37" t="s">
        <v>770</v>
      </c>
      <c r="O1699" s="33" t="s">
        <v>771</v>
      </c>
      <c r="P1699" s="33" t="s">
        <v>772</v>
      </c>
      <c r="Q1699" s="33" t="s">
        <v>157</v>
      </c>
      <c r="R1699" s="34"/>
      <c r="S1699" s="38"/>
      <c r="T1699" s="38" t="s">
        <v>12690</v>
      </c>
      <c r="U1699" s="18"/>
    </row>
    <row r="1700" spans="1:21" x14ac:dyDescent="0.25">
      <c r="A1700" s="33" t="s">
        <v>2245</v>
      </c>
      <c r="B1700" s="33" t="s">
        <v>2244</v>
      </c>
      <c r="C1700" s="33" t="s">
        <v>141</v>
      </c>
      <c r="D1700" s="34"/>
      <c r="E1700" s="33">
        <v>2022</v>
      </c>
      <c r="F1700" s="34"/>
      <c r="G1700" s="34"/>
      <c r="H1700" s="33" t="s">
        <v>2246</v>
      </c>
      <c r="I1700" s="33" t="s">
        <v>257</v>
      </c>
      <c r="J1700" s="33">
        <v>2022</v>
      </c>
      <c r="K1700" s="33">
        <v>9783981926361</v>
      </c>
      <c r="L1700" s="34"/>
      <c r="M1700" s="34"/>
      <c r="N1700" s="37" t="s">
        <v>2247</v>
      </c>
      <c r="O1700" s="33" t="s">
        <v>2248</v>
      </c>
      <c r="P1700" s="33" t="s">
        <v>2249</v>
      </c>
      <c r="Q1700" s="33" t="s">
        <v>157</v>
      </c>
      <c r="R1700" s="34"/>
      <c r="S1700" s="38"/>
      <c r="T1700" s="38" t="s">
        <v>12690</v>
      </c>
      <c r="U1700" s="18"/>
    </row>
    <row r="1701" spans="1:21" x14ac:dyDescent="0.25">
      <c r="A1701" s="33" t="s">
        <v>2245</v>
      </c>
      <c r="B1701" s="33" t="s">
        <v>7913</v>
      </c>
      <c r="C1701" s="33" t="s">
        <v>141</v>
      </c>
      <c r="D1701" s="34"/>
      <c r="E1701" s="33">
        <v>2022</v>
      </c>
      <c r="F1701" s="34"/>
      <c r="G1701" s="34"/>
      <c r="H1701" s="33" t="s">
        <v>12559</v>
      </c>
      <c r="I1701" s="44" t="s">
        <v>12805</v>
      </c>
      <c r="J1701" s="33">
        <v>2022</v>
      </c>
      <c r="K1701" s="33">
        <v>9783981926361</v>
      </c>
      <c r="L1701" s="33" t="s">
        <v>12566</v>
      </c>
      <c r="M1701" s="34"/>
      <c r="N1701" s="34"/>
      <c r="O1701" s="34"/>
      <c r="P1701" s="33" t="s">
        <v>12564</v>
      </c>
      <c r="Q1701" s="36"/>
      <c r="R1701" s="36"/>
      <c r="S1701" s="33" t="s">
        <v>12565</v>
      </c>
      <c r="T1701" s="33" t="s">
        <v>12692</v>
      </c>
      <c r="U1701" s="18"/>
    </row>
    <row r="1702" spans="1:21" x14ac:dyDescent="0.25">
      <c r="A1702" s="33" t="s">
        <v>2245</v>
      </c>
      <c r="B1702" s="33" t="s">
        <v>7913</v>
      </c>
      <c r="C1702" s="33" t="s">
        <v>141</v>
      </c>
      <c r="D1702" s="34"/>
      <c r="E1702" s="33">
        <v>2022</v>
      </c>
      <c r="F1702" s="34"/>
      <c r="G1702" s="34"/>
      <c r="H1702" s="33" t="s">
        <v>7914</v>
      </c>
      <c r="I1702" s="33" t="s">
        <v>7915</v>
      </c>
      <c r="J1702" s="43">
        <v>44621</v>
      </c>
      <c r="K1702" s="36"/>
      <c r="L1702" s="36"/>
      <c r="M1702" s="33" t="s">
        <v>7916</v>
      </c>
      <c r="N1702" s="37" t="s">
        <v>7917</v>
      </c>
      <c r="O1702" s="33" t="s">
        <v>2248</v>
      </c>
      <c r="P1702" s="33" t="s">
        <v>7918</v>
      </c>
      <c r="Q1702" s="36"/>
      <c r="R1702" s="36"/>
      <c r="S1702" s="33" t="s">
        <v>7919</v>
      </c>
      <c r="T1702" s="38" t="s">
        <v>12688</v>
      </c>
      <c r="U1702" s="18"/>
    </row>
    <row r="1703" spans="1:21" x14ac:dyDescent="0.25">
      <c r="A1703" s="33" t="s">
        <v>12055</v>
      </c>
      <c r="B1703" s="33" t="s">
        <v>12054</v>
      </c>
      <c r="C1703" s="33" t="s">
        <v>141</v>
      </c>
      <c r="D1703" s="34"/>
      <c r="E1703" s="33">
        <v>2016</v>
      </c>
      <c r="F1703" s="34"/>
      <c r="G1703" s="34"/>
      <c r="H1703" s="33" t="s">
        <v>12056</v>
      </c>
      <c r="I1703" s="44" t="s">
        <v>12779</v>
      </c>
      <c r="J1703" s="33">
        <v>2016</v>
      </c>
      <c r="K1703" s="33">
        <v>9781450345705</v>
      </c>
      <c r="L1703" s="33" t="s">
        <v>12062</v>
      </c>
      <c r="M1703" s="34"/>
      <c r="N1703" s="37" t="s">
        <v>12059</v>
      </c>
      <c r="O1703" s="33" t="s">
        <v>12060</v>
      </c>
      <c r="P1703" s="33" t="s">
        <v>12061</v>
      </c>
      <c r="Q1703" s="36"/>
      <c r="R1703" s="36"/>
      <c r="S1703" s="34"/>
      <c r="T1703" s="33" t="s">
        <v>12692</v>
      </c>
      <c r="U1703" s="18"/>
    </row>
    <row r="1704" spans="1:21" x14ac:dyDescent="0.25">
      <c r="A1704" s="33" t="s">
        <v>4319</v>
      </c>
      <c r="B1704" s="33" t="s">
        <v>4318</v>
      </c>
      <c r="C1704" s="33" t="s">
        <v>141</v>
      </c>
      <c r="D1704" s="34"/>
      <c r="E1704" s="33">
        <v>2019</v>
      </c>
      <c r="F1704" s="34"/>
      <c r="G1704" s="34"/>
      <c r="H1704" s="34"/>
      <c r="I1704" s="33" t="s">
        <v>257</v>
      </c>
      <c r="J1704" s="33">
        <v>2019</v>
      </c>
      <c r="K1704" s="33">
        <v>9781728131856</v>
      </c>
      <c r="L1704" s="34"/>
      <c r="M1704" s="34"/>
      <c r="N1704" s="37" t="s">
        <v>4320</v>
      </c>
      <c r="O1704" s="33" t="s">
        <v>4321</v>
      </c>
      <c r="P1704" s="33" t="s">
        <v>4322</v>
      </c>
      <c r="Q1704" s="33" t="s">
        <v>157</v>
      </c>
      <c r="R1704" s="34"/>
      <c r="S1704" s="38"/>
      <c r="T1704" s="38" t="s">
        <v>12690</v>
      </c>
      <c r="U1704" s="18"/>
    </row>
    <row r="1705" spans="1:21" x14ac:dyDescent="0.25">
      <c r="A1705" s="39" t="s">
        <v>10768</v>
      </c>
      <c r="B1705" s="39" t="s">
        <v>10770</v>
      </c>
      <c r="C1705" s="39" t="s">
        <v>9478</v>
      </c>
      <c r="D1705" s="36"/>
      <c r="E1705" s="39">
        <v>2020</v>
      </c>
      <c r="F1705" s="39">
        <v>25</v>
      </c>
      <c r="G1705" s="39">
        <v>1</v>
      </c>
      <c r="H1705" s="36"/>
      <c r="I1705" s="39" t="s">
        <v>136</v>
      </c>
      <c r="J1705" s="36"/>
      <c r="K1705" s="36"/>
      <c r="L1705" s="36"/>
      <c r="M1705" s="34"/>
      <c r="N1705" s="41" t="s">
        <v>10771</v>
      </c>
      <c r="O1705" s="39" t="s">
        <v>10769</v>
      </c>
      <c r="P1705" s="33"/>
      <c r="Q1705" s="36"/>
      <c r="R1705" s="34"/>
      <c r="S1705" s="38"/>
      <c r="T1705" s="38" t="s">
        <v>12689</v>
      </c>
      <c r="U1705" s="18"/>
    </row>
    <row r="1706" spans="1:21" x14ac:dyDescent="0.25">
      <c r="A1706" s="39" t="s">
        <v>10889</v>
      </c>
      <c r="B1706" s="39" t="s">
        <v>10891</v>
      </c>
      <c r="C1706" s="39" t="s">
        <v>9539</v>
      </c>
      <c r="D1706" s="36"/>
      <c r="E1706" s="39">
        <v>2020</v>
      </c>
      <c r="F1706" s="40"/>
      <c r="G1706" s="40"/>
      <c r="H1706" s="36"/>
      <c r="I1706" s="39" t="s">
        <v>9481</v>
      </c>
      <c r="J1706" s="36"/>
      <c r="K1706" s="36"/>
      <c r="L1706" s="36"/>
      <c r="M1706" s="34"/>
      <c r="N1706" s="41" t="s">
        <v>10892</v>
      </c>
      <c r="O1706" s="39" t="s">
        <v>10890</v>
      </c>
      <c r="P1706" s="33"/>
      <c r="Q1706" s="36"/>
      <c r="R1706" s="34"/>
      <c r="S1706" s="38"/>
      <c r="T1706" s="38" t="s">
        <v>12689</v>
      </c>
      <c r="U1706" s="18"/>
    </row>
    <row r="1707" spans="1:21" x14ac:dyDescent="0.25">
      <c r="A1707" s="33" t="s">
        <v>8291</v>
      </c>
      <c r="B1707" s="33" t="s">
        <v>8134</v>
      </c>
      <c r="C1707" s="33" t="s">
        <v>7972</v>
      </c>
      <c r="D1707" s="34"/>
      <c r="E1707" s="33">
        <v>2020</v>
      </c>
      <c r="F1707" s="34"/>
      <c r="G1707" s="34"/>
      <c r="H1707" s="33" t="s">
        <v>8292</v>
      </c>
      <c r="I1707" s="33" t="s">
        <v>12732</v>
      </c>
      <c r="J1707" s="33">
        <v>2020</v>
      </c>
      <c r="K1707" s="33">
        <v>9781119642831</v>
      </c>
      <c r="L1707" s="36"/>
      <c r="M1707" s="34"/>
      <c r="N1707" s="37" t="s">
        <v>8293</v>
      </c>
      <c r="O1707" s="33" t="s">
        <v>8294</v>
      </c>
      <c r="P1707" s="33" t="s">
        <v>8295</v>
      </c>
      <c r="Q1707" s="36"/>
      <c r="R1707" s="36"/>
      <c r="S1707" s="33" t="s">
        <v>8296</v>
      </c>
      <c r="T1707" s="38" t="s">
        <v>12688</v>
      </c>
      <c r="U1707" s="18"/>
    </row>
    <row r="1708" spans="1:21" x14ac:dyDescent="0.25">
      <c r="A1708" s="33" t="s">
        <v>1976</v>
      </c>
      <c r="B1708" s="33" t="s">
        <v>1975</v>
      </c>
      <c r="C1708" s="33" t="s">
        <v>141</v>
      </c>
      <c r="D1708" s="34"/>
      <c r="E1708" s="33">
        <v>2021</v>
      </c>
      <c r="F1708" s="34"/>
      <c r="G1708" s="34"/>
      <c r="H1708" s="33" t="s">
        <v>1977</v>
      </c>
      <c r="I1708" s="33" t="s">
        <v>153</v>
      </c>
      <c r="J1708" s="33">
        <v>2021</v>
      </c>
      <c r="K1708" s="33">
        <v>9781450384681</v>
      </c>
      <c r="L1708" s="34"/>
      <c r="M1708" s="34"/>
      <c r="N1708" s="37" t="s">
        <v>1978</v>
      </c>
      <c r="O1708" s="33" t="s">
        <v>1979</v>
      </c>
      <c r="P1708" s="33" t="s">
        <v>1980</v>
      </c>
      <c r="Q1708" s="33" t="s">
        <v>176</v>
      </c>
      <c r="R1708" s="34"/>
      <c r="S1708" s="38"/>
      <c r="T1708" s="38" t="s">
        <v>12690</v>
      </c>
      <c r="U1708" s="18"/>
    </row>
    <row r="1709" spans="1:21" x14ac:dyDescent="0.25">
      <c r="A1709" s="39" t="s">
        <v>10729</v>
      </c>
      <c r="B1709" s="39" t="s">
        <v>10731</v>
      </c>
      <c r="C1709" s="39" t="s">
        <v>539</v>
      </c>
      <c r="D1709" s="36"/>
      <c r="E1709" s="39">
        <v>2021</v>
      </c>
      <c r="F1709" s="40"/>
      <c r="G1709" s="40"/>
      <c r="H1709" s="36"/>
      <c r="I1709" s="40"/>
      <c r="J1709" s="36"/>
      <c r="K1709" s="36"/>
      <c r="L1709" s="36"/>
      <c r="M1709" s="34"/>
      <c r="N1709" s="41" t="s">
        <v>10732</v>
      </c>
      <c r="O1709" s="39" t="s">
        <v>10730</v>
      </c>
      <c r="P1709" s="33"/>
      <c r="Q1709" s="36"/>
      <c r="R1709" s="34"/>
      <c r="S1709" s="38"/>
      <c r="T1709" s="38" t="s">
        <v>12689</v>
      </c>
      <c r="U1709" s="18"/>
    </row>
    <row r="1710" spans="1:21" x14ac:dyDescent="0.25">
      <c r="A1710" s="39" t="s">
        <v>9980</v>
      </c>
      <c r="B1710" s="39" t="s">
        <v>9982</v>
      </c>
      <c r="C1710" s="39" t="s">
        <v>539</v>
      </c>
      <c r="D1710" s="36"/>
      <c r="E1710" s="39">
        <v>2022</v>
      </c>
      <c r="F1710" s="40"/>
      <c r="G1710" s="40"/>
      <c r="H1710" s="36"/>
      <c r="I1710" s="40"/>
      <c r="J1710" s="36"/>
      <c r="K1710" s="36"/>
      <c r="L1710" s="36"/>
      <c r="M1710" s="34"/>
      <c r="N1710" s="41" t="s">
        <v>9983</v>
      </c>
      <c r="O1710" s="39" t="s">
        <v>9981</v>
      </c>
      <c r="P1710" s="33"/>
      <c r="Q1710" s="36"/>
      <c r="R1710" s="34"/>
      <c r="S1710" s="38"/>
      <c r="T1710" s="38" t="s">
        <v>12689</v>
      </c>
      <c r="U1710" s="18"/>
    </row>
    <row r="1711" spans="1:21" x14ac:dyDescent="0.25">
      <c r="A1711" s="33" t="s">
        <v>2051</v>
      </c>
      <c r="B1711" s="33" t="s">
        <v>2050</v>
      </c>
      <c r="C1711" s="33" t="s">
        <v>141</v>
      </c>
      <c r="D1711" s="34"/>
      <c r="E1711" s="33">
        <v>2021</v>
      </c>
      <c r="F1711" s="34"/>
      <c r="G1711" s="34"/>
      <c r="H1711" s="33" t="s">
        <v>2052</v>
      </c>
      <c r="I1711" s="33" t="s">
        <v>257</v>
      </c>
      <c r="J1711" s="33">
        <v>2021</v>
      </c>
      <c r="K1711" s="33">
        <v>9781665414050</v>
      </c>
      <c r="L1711" s="34"/>
      <c r="M1711" s="34"/>
      <c r="N1711" s="37" t="s">
        <v>2053</v>
      </c>
      <c r="O1711" s="33" t="s">
        <v>2054</v>
      </c>
      <c r="P1711" s="33" t="s">
        <v>2055</v>
      </c>
      <c r="Q1711" s="33" t="s">
        <v>404</v>
      </c>
      <c r="R1711" s="34"/>
      <c r="S1711" s="38"/>
      <c r="T1711" s="38" t="s">
        <v>12690</v>
      </c>
      <c r="U1711" s="18"/>
    </row>
    <row r="1712" spans="1:21" x14ac:dyDescent="0.25">
      <c r="A1712" s="39" t="s">
        <v>9917</v>
      </c>
      <c r="B1712" s="39" t="s">
        <v>9919</v>
      </c>
      <c r="C1712" s="39" t="s">
        <v>539</v>
      </c>
      <c r="D1712" s="36"/>
      <c r="E1712" s="39">
        <v>2022</v>
      </c>
      <c r="F1712" s="40"/>
      <c r="G1712" s="40"/>
      <c r="H1712" s="36"/>
      <c r="I1712" s="39" t="s">
        <v>462</v>
      </c>
      <c r="J1712" s="36"/>
      <c r="K1712" s="36"/>
      <c r="L1712" s="36"/>
      <c r="M1712" s="34"/>
      <c r="N1712" s="41" t="s">
        <v>9920</v>
      </c>
      <c r="O1712" s="39" t="s">
        <v>9918</v>
      </c>
      <c r="P1712" s="33"/>
      <c r="Q1712" s="36"/>
      <c r="R1712" s="34"/>
      <c r="S1712" s="38"/>
      <c r="T1712" s="38" t="s">
        <v>12689</v>
      </c>
      <c r="U1712" s="18"/>
    </row>
    <row r="1713" spans="1:21" x14ac:dyDescent="0.25">
      <c r="A1713" s="33" t="s">
        <v>8528</v>
      </c>
      <c r="B1713" s="33" t="s">
        <v>8527</v>
      </c>
      <c r="C1713" s="33" t="s">
        <v>13</v>
      </c>
      <c r="D1713" s="33" t="s">
        <v>8482</v>
      </c>
      <c r="E1713" s="33">
        <v>2021</v>
      </c>
      <c r="F1713" s="33">
        <v>103</v>
      </c>
      <c r="G1713" s="36"/>
      <c r="H1713" s="33">
        <v>102200</v>
      </c>
      <c r="I1713" s="36"/>
      <c r="J1713" s="33">
        <v>2021</v>
      </c>
      <c r="K1713" s="34"/>
      <c r="L1713" s="34"/>
      <c r="M1713" s="33" t="s">
        <v>8483</v>
      </c>
      <c r="N1713" s="37" t="s">
        <v>8529</v>
      </c>
      <c r="O1713" s="33" t="s">
        <v>8530</v>
      </c>
      <c r="P1713" s="33" t="s">
        <v>8531</v>
      </c>
      <c r="Q1713" s="36"/>
      <c r="R1713" s="36"/>
      <c r="S1713" s="33" t="s">
        <v>8532</v>
      </c>
      <c r="T1713" s="38" t="s">
        <v>12693</v>
      </c>
      <c r="U1713" s="18"/>
    </row>
    <row r="1714" spans="1:21" x14ac:dyDescent="0.25">
      <c r="A1714" s="33" t="s">
        <v>8908</v>
      </c>
      <c r="B1714" s="33" t="s">
        <v>8907</v>
      </c>
      <c r="C1714" s="33" t="s">
        <v>13</v>
      </c>
      <c r="D1714" s="33" t="s">
        <v>307</v>
      </c>
      <c r="E1714" s="33">
        <v>2023</v>
      </c>
      <c r="F1714" s="33">
        <v>155</v>
      </c>
      <c r="G1714" s="36"/>
      <c r="H1714" s="33">
        <v>107120</v>
      </c>
      <c r="I1714" s="36"/>
      <c r="J1714" s="33">
        <v>2023</v>
      </c>
      <c r="K1714" s="34"/>
      <c r="L1714" s="34"/>
      <c r="M1714" s="33" t="s">
        <v>308</v>
      </c>
      <c r="N1714" s="37" t="s">
        <v>8909</v>
      </c>
      <c r="O1714" s="33" t="s">
        <v>8910</v>
      </c>
      <c r="P1714" s="33" t="s">
        <v>8911</v>
      </c>
      <c r="Q1714" s="36"/>
      <c r="R1714" s="36"/>
      <c r="S1714" s="33" t="s">
        <v>8912</v>
      </c>
      <c r="T1714" s="38" t="s">
        <v>12693</v>
      </c>
      <c r="U1714" s="18"/>
    </row>
    <row r="1715" spans="1:21" x14ac:dyDescent="0.25">
      <c r="A1715" s="33" t="s">
        <v>202</v>
      </c>
      <c r="B1715" s="33" t="s">
        <v>201</v>
      </c>
      <c r="C1715" s="33" t="s">
        <v>13</v>
      </c>
      <c r="D1715" s="33" t="s">
        <v>136</v>
      </c>
      <c r="E1715" s="33">
        <v>2022</v>
      </c>
      <c r="F1715" s="33">
        <v>27</v>
      </c>
      <c r="G1715" s="33">
        <v>6</v>
      </c>
      <c r="H1715" s="34"/>
      <c r="I1715" s="33" t="s">
        <v>137</v>
      </c>
      <c r="J1715" s="33">
        <v>2022</v>
      </c>
      <c r="K1715" s="34"/>
      <c r="L1715" s="34"/>
      <c r="M1715" s="33" t="s">
        <v>33</v>
      </c>
      <c r="N1715" s="37" t="s">
        <v>203</v>
      </c>
      <c r="O1715" s="33" t="s">
        <v>204</v>
      </c>
      <c r="P1715" s="33" t="s">
        <v>205</v>
      </c>
      <c r="Q1715" s="33" t="s">
        <v>206</v>
      </c>
      <c r="R1715" s="34"/>
      <c r="S1715" s="38"/>
      <c r="T1715" s="38" t="s">
        <v>12690</v>
      </c>
      <c r="U1715" s="18"/>
    </row>
    <row r="1716" spans="1:21" x14ac:dyDescent="0.25">
      <c r="A1716" s="33" t="s">
        <v>202</v>
      </c>
      <c r="B1716" s="39" t="s">
        <v>9864</v>
      </c>
      <c r="C1716" s="39" t="s">
        <v>9478</v>
      </c>
      <c r="D1716" s="36"/>
      <c r="E1716" s="39">
        <v>2022</v>
      </c>
      <c r="F1716" s="39">
        <v>27</v>
      </c>
      <c r="G1716" s="39">
        <v>6</v>
      </c>
      <c r="H1716" s="36"/>
      <c r="I1716" s="39" t="s">
        <v>136</v>
      </c>
      <c r="J1716" s="36"/>
      <c r="K1716" s="36"/>
      <c r="L1716" s="36"/>
      <c r="M1716" s="34"/>
      <c r="N1716" s="41" t="s">
        <v>9865</v>
      </c>
      <c r="O1716" s="39" t="s">
        <v>204</v>
      </c>
      <c r="P1716" s="33"/>
      <c r="Q1716" s="36"/>
      <c r="R1716" s="34"/>
      <c r="S1716" s="38"/>
      <c r="T1716" s="38" t="s">
        <v>12689</v>
      </c>
      <c r="U1716" s="18"/>
    </row>
    <row r="1717" spans="1:21" x14ac:dyDescent="0.25">
      <c r="A1717" s="39" t="s">
        <v>4246</v>
      </c>
      <c r="B1717" s="39" t="s">
        <v>9763</v>
      </c>
      <c r="C1717" s="39" t="s">
        <v>9539</v>
      </c>
      <c r="D1717" s="36"/>
      <c r="E1717" s="39">
        <v>2020</v>
      </c>
      <c r="F1717" s="40"/>
      <c r="G1717" s="40"/>
      <c r="H1717" s="36"/>
      <c r="I1717" s="39" t="s">
        <v>9762</v>
      </c>
      <c r="J1717" s="36"/>
      <c r="K1717" s="36"/>
      <c r="L1717" s="36"/>
      <c r="M1717" s="34"/>
      <c r="N1717" s="41" t="s">
        <v>9764</v>
      </c>
      <c r="O1717" s="39" t="s">
        <v>4249</v>
      </c>
      <c r="P1717" s="33"/>
      <c r="Q1717" s="36"/>
      <c r="R1717" s="34"/>
      <c r="S1717" s="38"/>
      <c r="T1717" s="38" t="s">
        <v>12689</v>
      </c>
      <c r="U1717" s="18"/>
    </row>
    <row r="1718" spans="1:21" x14ac:dyDescent="0.25">
      <c r="A1718" s="33" t="s">
        <v>4246</v>
      </c>
      <c r="B1718" s="33" t="s">
        <v>4245</v>
      </c>
      <c r="C1718" s="33" t="s">
        <v>13</v>
      </c>
      <c r="D1718" s="33" t="s">
        <v>3475</v>
      </c>
      <c r="E1718" s="33">
        <v>2020</v>
      </c>
      <c r="F1718" s="33">
        <v>1134</v>
      </c>
      <c r="G1718" s="34"/>
      <c r="H1718" s="33" t="s">
        <v>4247</v>
      </c>
      <c r="I1718" s="33" t="s">
        <v>137</v>
      </c>
      <c r="J1718" s="33">
        <v>2020</v>
      </c>
      <c r="K1718" s="34"/>
      <c r="L1718" s="34"/>
      <c r="M1718" s="33" t="s">
        <v>3478</v>
      </c>
      <c r="N1718" s="37" t="s">
        <v>4248</v>
      </c>
      <c r="O1718" s="33" t="s">
        <v>4249</v>
      </c>
      <c r="P1718" s="33" t="s">
        <v>4250</v>
      </c>
      <c r="Q1718" s="33" t="s">
        <v>185</v>
      </c>
      <c r="R1718" s="34"/>
      <c r="S1718" s="38"/>
      <c r="T1718" s="38" t="s">
        <v>12690</v>
      </c>
      <c r="U1718" s="18"/>
    </row>
    <row r="1719" spans="1:21" x14ac:dyDescent="0.25">
      <c r="A1719" s="33" t="s">
        <v>945</v>
      </c>
      <c r="B1719" s="33" t="s">
        <v>944</v>
      </c>
      <c r="C1719" s="33" t="s">
        <v>13</v>
      </c>
      <c r="D1719" s="33" t="s">
        <v>946</v>
      </c>
      <c r="E1719" s="33">
        <v>2023</v>
      </c>
      <c r="F1719" s="33">
        <v>13</v>
      </c>
      <c r="G1719" s="33">
        <v>2</v>
      </c>
      <c r="H1719" s="33" t="s">
        <v>947</v>
      </c>
      <c r="I1719" s="33" t="s">
        <v>948</v>
      </c>
      <c r="J1719" s="33">
        <v>2023</v>
      </c>
      <c r="K1719" s="34"/>
      <c r="L1719" s="34"/>
      <c r="M1719" s="33" t="s">
        <v>949</v>
      </c>
      <c r="N1719" s="37" t="s">
        <v>950</v>
      </c>
      <c r="O1719" s="33" t="s">
        <v>951</v>
      </c>
      <c r="P1719" s="33" t="s">
        <v>952</v>
      </c>
      <c r="Q1719" s="33" t="s">
        <v>157</v>
      </c>
      <c r="R1719" s="34"/>
      <c r="S1719" s="38"/>
      <c r="T1719" s="38" t="s">
        <v>12690</v>
      </c>
      <c r="U1719" s="18"/>
    </row>
    <row r="1720" spans="1:21" x14ac:dyDescent="0.25">
      <c r="A1720" s="33" t="s">
        <v>272</v>
      </c>
      <c r="B1720" s="33" t="s">
        <v>271</v>
      </c>
      <c r="C1720" s="33" t="s">
        <v>13</v>
      </c>
      <c r="D1720" s="33" t="s">
        <v>264</v>
      </c>
      <c r="E1720" s="33">
        <v>2022</v>
      </c>
      <c r="F1720" s="33">
        <v>52</v>
      </c>
      <c r="G1720" s="33">
        <v>10</v>
      </c>
      <c r="H1720" s="33" t="s">
        <v>273</v>
      </c>
      <c r="I1720" s="33" t="s">
        <v>266</v>
      </c>
      <c r="J1720" s="33">
        <v>2022</v>
      </c>
      <c r="K1720" s="34"/>
      <c r="L1720" s="34"/>
      <c r="M1720" s="33" t="s">
        <v>267</v>
      </c>
      <c r="N1720" s="37" t="s">
        <v>274</v>
      </c>
      <c r="O1720" s="33" t="s">
        <v>275</v>
      </c>
      <c r="P1720" s="33" t="s">
        <v>276</v>
      </c>
      <c r="Q1720" s="33" t="s">
        <v>157</v>
      </c>
      <c r="R1720" s="34"/>
      <c r="S1720" s="38"/>
      <c r="T1720" s="38" t="s">
        <v>12690</v>
      </c>
      <c r="U1720" s="18"/>
    </row>
    <row r="1721" spans="1:21" x14ac:dyDescent="0.25">
      <c r="A1721" s="33" t="s">
        <v>6763</v>
      </c>
      <c r="B1721" s="34"/>
      <c r="C1721" s="33" t="s">
        <v>141</v>
      </c>
      <c r="D1721" s="34"/>
      <c r="E1721" s="33">
        <v>2021</v>
      </c>
      <c r="F1721" s="34"/>
      <c r="G1721" s="34"/>
      <c r="H1721" s="33" t="s">
        <v>6764</v>
      </c>
      <c r="I1721" s="33" t="s">
        <v>6329</v>
      </c>
      <c r="J1721" s="43">
        <v>44317</v>
      </c>
      <c r="K1721" s="36"/>
      <c r="L1721" s="36"/>
      <c r="M1721" s="33" t="s">
        <v>6152</v>
      </c>
      <c r="N1721" s="37" t="s">
        <v>6765</v>
      </c>
      <c r="O1721" s="33" t="s">
        <v>1811</v>
      </c>
      <c r="P1721" s="33" t="s">
        <v>6766</v>
      </c>
      <c r="Q1721" s="36"/>
      <c r="R1721" s="36"/>
      <c r="S1721" s="33" t="s">
        <v>6767</v>
      </c>
      <c r="T1721" s="38" t="s">
        <v>12688</v>
      </c>
      <c r="U1721" s="18"/>
    </row>
    <row r="1722" spans="1:21" x14ac:dyDescent="0.25">
      <c r="A1722" s="33" t="s">
        <v>6763</v>
      </c>
      <c r="B1722" s="34"/>
      <c r="C1722" s="33" t="s">
        <v>141</v>
      </c>
      <c r="D1722" s="34"/>
      <c r="E1722" s="33">
        <v>2021</v>
      </c>
      <c r="F1722" s="34"/>
      <c r="G1722" s="34"/>
      <c r="H1722" s="33" t="s">
        <v>1809</v>
      </c>
      <c r="I1722" s="33" t="s">
        <v>257</v>
      </c>
      <c r="J1722" s="33">
        <v>2021</v>
      </c>
      <c r="K1722" s="33">
        <v>9781728187105</v>
      </c>
      <c r="L1722" s="34"/>
      <c r="M1722" s="34"/>
      <c r="N1722" s="37" t="s">
        <v>1810</v>
      </c>
      <c r="O1722" s="33" t="s">
        <v>1811</v>
      </c>
      <c r="P1722" s="33" t="s">
        <v>1812</v>
      </c>
      <c r="Q1722" s="33" t="s">
        <v>1813</v>
      </c>
      <c r="R1722" s="34"/>
      <c r="S1722" s="38"/>
      <c r="T1722" s="38" t="s">
        <v>12690</v>
      </c>
      <c r="U1722" s="18"/>
    </row>
    <row r="1723" spans="1:21" x14ac:dyDescent="0.25">
      <c r="A1723" s="33" t="s">
        <v>56</v>
      </c>
      <c r="B1723" s="39" t="s">
        <v>9476</v>
      </c>
      <c r="C1723" s="39" t="s">
        <v>9478</v>
      </c>
      <c r="D1723" s="36"/>
      <c r="E1723" s="39">
        <v>2022</v>
      </c>
      <c r="F1723" s="39">
        <v>29</v>
      </c>
      <c r="G1723" s="39">
        <v>2</v>
      </c>
      <c r="H1723" s="36"/>
      <c r="I1723" s="39" t="s">
        <v>582</v>
      </c>
      <c r="J1723" s="36"/>
      <c r="K1723" s="36"/>
      <c r="L1723" s="36"/>
      <c r="M1723" s="34"/>
      <c r="N1723" s="41" t="s">
        <v>9477</v>
      </c>
      <c r="O1723" s="39" t="s">
        <v>60</v>
      </c>
      <c r="P1723" s="33"/>
      <c r="Q1723" s="36"/>
      <c r="R1723" s="34"/>
      <c r="S1723" s="38"/>
      <c r="T1723" s="38" t="s">
        <v>12689</v>
      </c>
      <c r="U1723" s="18"/>
    </row>
    <row r="1724" spans="1:21" x14ac:dyDescent="0.25">
      <c r="A1724" s="33" t="s">
        <v>56</v>
      </c>
      <c r="B1724" s="33" t="s">
        <v>55</v>
      </c>
      <c r="C1724" s="33" t="s">
        <v>13</v>
      </c>
      <c r="D1724" s="33" t="s">
        <v>582</v>
      </c>
      <c r="E1724" s="33">
        <v>2022</v>
      </c>
      <c r="F1724" s="33">
        <v>29</v>
      </c>
      <c r="G1724" s="33">
        <v>2</v>
      </c>
      <c r="H1724" s="34"/>
      <c r="I1724" s="33" t="s">
        <v>137</v>
      </c>
      <c r="J1724" s="33">
        <v>2022</v>
      </c>
      <c r="K1724" s="34"/>
      <c r="L1724" s="34"/>
      <c r="M1724" s="33" t="s">
        <v>58</v>
      </c>
      <c r="N1724" s="37" t="s">
        <v>1075</v>
      </c>
      <c r="O1724" s="33" t="s">
        <v>60</v>
      </c>
      <c r="P1724" s="33" t="s">
        <v>1076</v>
      </c>
      <c r="Q1724" s="33" t="s">
        <v>166</v>
      </c>
      <c r="R1724" s="34"/>
      <c r="S1724" s="38"/>
      <c r="T1724" s="38" t="s">
        <v>12690</v>
      </c>
      <c r="U1724" s="18"/>
    </row>
    <row r="1725" spans="1:21" x14ac:dyDescent="0.25">
      <c r="A1725" s="33" t="s">
        <v>56</v>
      </c>
      <c r="B1725" s="33" t="s">
        <v>55</v>
      </c>
      <c r="C1725" s="33" t="s">
        <v>13</v>
      </c>
      <c r="D1725" s="33" t="s">
        <v>57</v>
      </c>
      <c r="E1725" s="33">
        <v>2022</v>
      </c>
      <c r="F1725" s="33">
        <v>29</v>
      </c>
      <c r="G1725" s="33">
        <v>2</v>
      </c>
      <c r="H1725" s="34"/>
      <c r="I1725" s="38" t="s">
        <v>12699</v>
      </c>
      <c r="J1725" s="35">
        <v>44866</v>
      </c>
      <c r="K1725" s="33" t="s">
        <v>58</v>
      </c>
      <c r="L1725" s="38" t="s">
        <v>12699</v>
      </c>
      <c r="M1725" s="38" t="s">
        <v>12699</v>
      </c>
      <c r="N1725" s="37" t="s">
        <v>59</v>
      </c>
      <c r="O1725" s="33" t="s">
        <v>60</v>
      </c>
      <c r="P1725" s="33" t="s">
        <v>61</v>
      </c>
      <c r="Q1725" s="38" t="s">
        <v>12699</v>
      </c>
      <c r="R1725" s="38" t="s">
        <v>12699</v>
      </c>
      <c r="S1725" s="38"/>
      <c r="T1725" s="38" t="s">
        <v>12700</v>
      </c>
      <c r="U1725" s="18"/>
    </row>
    <row r="1726" spans="1:21" x14ac:dyDescent="0.25">
      <c r="A1726" s="33" t="s">
        <v>6660</v>
      </c>
      <c r="B1726" s="33" t="s">
        <v>6659</v>
      </c>
      <c r="C1726" s="33" t="s">
        <v>13</v>
      </c>
      <c r="D1726" s="33" t="s">
        <v>255</v>
      </c>
      <c r="E1726" s="33">
        <v>2022</v>
      </c>
      <c r="F1726" s="34"/>
      <c r="G1726" s="34"/>
      <c r="H1726" s="42">
        <v>44948</v>
      </c>
      <c r="I1726" s="34"/>
      <c r="J1726" s="33">
        <v>2022</v>
      </c>
      <c r="K1726" s="36"/>
      <c r="L1726" s="36"/>
      <c r="M1726" s="33" t="s">
        <v>6115</v>
      </c>
      <c r="N1726" s="37" t="s">
        <v>6661</v>
      </c>
      <c r="O1726" s="33" t="s">
        <v>6662</v>
      </c>
      <c r="P1726" s="33" t="s">
        <v>6663</v>
      </c>
      <c r="Q1726" s="36"/>
      <c r="R1726" s="36"/>
      <c r="S1726" s="33" t="s">
        <v>6664</v>
      </c>
      <c r="T1726" s="38" t="s">
        <v>12688</v>
      </c>
      <c r="U1726" s="18"/>
    </row>
    <row r="1727" spans="1:21" x14ac:dyDescent="0.25">
      <c r="A1727" s="33" t="s">
        <v>1878</v>
      </c>
      <c r="B1727" s="39" t="s">
        <v>9765</v>
      </c>
      <c r="C1727" s="39" t="s">
        <v>9478</v>
      </c>
      <c r="D1727" s="36"/>
      <c r="E1727" s="39">
        <v>2021</v>
      </c>
      <c r="F1727" s="39">
        <v>26</v>
      </c>
      <c r="G1727" s="39">
        <v>6</v>
      </c>
      <c r="H1727" s="36"/>
      <c r="I1727" s="39" t="s">
        <v>136</v>
      </c>
      <c r="J1727" s="36"/>
      <c r="K1727" s="36"/>
      <c r="L1727" s="36"/>
      <c r="M1727" s="34"/>
      <c r="N1727" s="41" t="s">
        <v>9766</v>
      </c>
      <c r="O1727" s="39" t="s">
        <v>1880</v>
      </c>
      <c r="P1727" s="33"/>
      <c r="Q1727" s="36"/>
      <c r="R1727" s="34"/>
      <c r="S1727" s="38"/>
      <c r="T1727" s="38" t="s">
        <v>12689</v>
      </c>
      <c r="U1727" s="18"/>
    </row>
    <row r="1728" spans="1:21" x14ac:dyDescent="0.25">
      <c r="A1728" s="33" t="s">
        <v>1878</v>
      </c>
      <c r="B1728" s="33" t="s">
        <v>1877</v>
      </c>
      <c r="C1728" s="33" t="s">
        <v>13</v>
      </c>
      <c r="D1728" s="33" t="s">
        <v>136</v>
      </c>
      <c r="E1728" s="33">
        <v>2021</v>
      </c>
      <c r="F1728" s="33">
        <v>26</v>
      </c>
      <c r="G1728" s="33">
        <v>6</v>
      </c>
      <c r="H1728" s="34"/>
      <c r="I1728" s="33" t="s">
        <v>137</v>
      </c>
      <c r="J1728" s="33">
        <v>2021</v>
      </c>
      <c r="K1728" s="34"/>
      <c r="L1728" s="34"/>
      <c r="M1728" s="33" t="s">
        <v>33</v>
      </c>
      <c r="N1728" s="37" t="s">
        <v>1879</v>
      </c>
      <c r="O1728" s="33" t="s">
        <v>1880</v>
      </c>
      <c r="P1728" s="33" t="s">
        <v>1881</v>
      </c>
      <c r="Q1728" s="33" t="s">
        <v>1094</v>
      </c>
      <c r="R1728" s="34"/>
      <c r="S1728" s="38"/>
      <c r="T1728" s="38" t="s">
        <v>12690</v>
      </c>
      <c r="U1728" s="18"/>
    </row>
    <row r="1729" spans="1:21" x14ac:dyDescent="0.25">
      <c r="A1729" s="33" t="s">
        <v>5068</v>
      </c>
      <c r="B1729" s="33" t="s">
        <v>2238</v>
      </c>
      <c r="C1729" s="33" t="s">
        <v>141</v>
      </c>
      <c r="D1729" s="34"/>
      <c r="E1729" s="33">
        <v>2019</v>
      </c>
      <c r="F1729" s="34"/>
      <c r="G1729" s="34"/>
      <c r="H1729" s="33" t="s">
        <v>5069</v>
      </c>
      <c r="I1729" s="33" t="s">
        <v>257</v>
      </c>
      <c r="J1729" s="33">
        <v>2019</v>
      </c>
      <c r="K1729" s="33">
        <v>9781728130941</v>
      </c>
      <c r="L1729" s="34"/>
      <c r="M1729" s="34"/>
      <c r="N1729" s="37" t="s">
        <v>5070</v>
      </c>
      <c r="O1729" s="33" t="s">
        <v>5071</v>
      </c>
      <c r="P1729" s="33" t="s">
        <v>5072</v>
      </c>
      <c r="Q1729" s="33" t="s">
        <v>2911</v>
      </c>
      <c r="R1729" s="34"/>
      <c r="S1729" s="38"/>
      <c r="T1729" s="38" t="s">
        <v>12690</v>
      </c>
      <c r="U1729" s="18"/>
    </row>
    <row r="1730" spans="1:21" x14ac:dyDescent="0.25">
      <c r="A1730" s="33" t="s">
        <v>1754</v>
      </c>
      <c r="B1730" s="33" t="s">
        <v>1753</v>
      </c>
      <c r="C1730" s="33" t="s">
        <v>13</v>
      </c>
      <c r="D1730" s="33" t="s">
        <v>598</v>
      </c>
      <c r="E1730" s="33">
        <v>2022</v>
      </c>
      <c r="F1730" s="33">
        <v>33</v>
      </c>
      <c r="G1730" s="33">
        <v>1</v>
      </c>
      <c r="H1730" s="33" t="s">
        <v>1755</v>
      </c>
      <c r="I1730" s="33" t="s">
        <v>600</v>
      </c>
      <c r="J1730" s="33">
        <v>2022</v>
      </c>
      <c r="K1730" s="34"/>
      <c r="L1730" s="34"/>
      <c r="M1730" s="33" t="s">
        <v>601</v>
      </c>
      <c r="N1730" s="37" t="s">
        <v>1756</v>
      </c>
      <c r="O1730" s="33" t="s">
        <v>1757</v>
      </c>
      <c r="P1730" s="33" t="s">
        <v>1758</v>
      </c>
      <c r="Q1730" s="33" t="s">
        <v>157</v>
      </c>
      <c r="R1730" s="34"/>
      <c r="S1730" s="38"/>
      <c r="T1730" s="38" t="s">
        <v>12690</v>
      </c>
      <c r="U1730" s="18"/>
    </row>
    <row r="1731" spans="1:21" x14ac:dyDescent="0.25">
      <c r="A1731" s="33" t="s">
        <v>11506</v>
      </c>
      <c r="B1731" s="33" t="s">
        <v>11505</v>
      </c>
      <c r="C1731" s="33" t="s">
        <v>13</v>
      </c>
      <c r="D1731" s="33" t="s">
        <v>11507</v>
      </c>
      <c r="E1731" s="33">
        <v>2019</v>
      </c>
      <c r="F1731" s="33">
        <v>14</v>
      </c>
      <c r="G1731" s="33">
        <v>2</v>
      </c>
      <c r="H1731" s="34"/>
      <c r="I1731" s="44" t="s">
        <v>12710</v>
      </c>
      <c r="J1731" s="35">
        <v>43739</v>
      </c>
      <c r="K1731" s="34"/>
      <c r="L1731" s="34"/>
      <c r="M1731" s="33" t="s">
        <v>1504</v>
      </c>
      <c r="N1731" s="37" t="s">
        <v>11508</v>
      </c>
      <c r="O1731" s="33" t="s">
        <v>11509</v>
      </c>
      <c r="P1731" s="33" t="s">
        <v>11510</v>
      </c>
      <c r="Q1731" s="36"/>
      <c r="R1731" s="36"/>
      <c r="S1731" s="33" t="s">
        <v>11511</v>
      </c>
      <c r="T1731" s="33" t="s">
        <v>12692</v>
      </c>
      <c r="U1731" s="18"/>
    </row>
    <row r="1732" spans="1:21" x14ac:dyDescent="0.25">
      <c r="A1732" s="33" t="s">
        <v>11948</v>
      </c>
      <c r="B1732" s="33" t="s">
        <v>2016</v>
      </c>
      <c r="C1732" s="33" t="s">
        <v>141</v>
      </c>
      <c r="D1732" s="34"/>
      <c r="E1732" s="33">
        <v>2021</v>
      </c>
      <c r="F1732" s="34"/>
      <c r="G1732" s="34"/>
      <c r="H1732" s="33" t="s">
        <v>11949</v>
      </c>
      <c r="I1732" s="44" t="s">
        <v>12703</v>
      </c>
      <c r="J1732" s="33">
        <v>2021</v>
      </c>
      <c r="K1732" s="33">
        <v>9781450390538</v>
      </c>
      <c r="L1732" s="33" t="s">
        <v>11058</v>
      </c>
      <c r="M1732" s="34"/>
      <c r="N1732" s="37" t="s">
        <v>11950</v>
      </c>
      <c r="O1732" s="33" t="s">
        <v>2020</v>
      </c>
      <c r="P1732" s="33" t="s">
        <v>11951</v>
      </c>
      <c r="Q1732" s="36"/>
      <c r="R1732" s="36"/>
      <c r="S1732" s="33" t="s">
        <v>11952</v>
      </c>
      <c r="T1732" s="33" t="s">
        <v>12692</v>
      </c>
      <c r="U1732" s="18"/>
    </row>
    <row r="1733" spans="1:21" x14ac:dyDescent="0.25">
      <c r="A1733" s="33" t="s">
        <v>11948</v>
      </c>
      <c r="B1733" s="33" t="s">
        <v>2016</v>
      </c>
      <c r="C1733" s="33" t="s">
        <v>141</v>
      </c>
      <c r="D1733" s="34"/>
      <c r="E1733" s="33">
        <v>2021</v>
      </c>
      <c r="F1733" s="34"/>
      <c r="G1733" s="34"/>
      <c r="H1733" s="33" t="s">
        <v>2018</v>
      </c>
      <c r="I1733" s="33" t="s">
        <v>145</v>
      </c>
      <c r="J1733" s="33">
        <v>2021</v>
      </c>
      <c r="K1733" s="33">
        <v>9781450390538</v>
      </c>
      <c r="L1733" s="34"/>
      <c r="M1733" s="34"/>
      <c r="N1733" s="37" t="s">
        <v>2019</v>
      </c>
      <c r="O1733" s="33" t="s">
        <v>2020</v>
      </c>
      <c r="P1733" s="33" t="s">
        <v>2021</v>
      </c>
      <c r="Q1733" s="33" t="s">
        <v>404</v>
      </c>
      <c r="R1733" s="34"/>
      <c r="S1733" s="38"/>
      <c r="T1733" s="38" t="s">
        <v>12690</v>
      </c>
      <c r="U1733" s="18"/>
    </row>
    <row r="1734" spans="1:21" x14ac:dyDescent="0.25">
      <c r="A1734" s="33" t="s">
        <v>6874</v>
      </c>
      <c r="B1734" s="33" t="s">
        <v>5750</v>
      </c>
      <c r="C1734" s="33" t="s">
        <v>141</v>
      </c>
      <c r="D1734" s="34"/>
      <c r="E1734" s="33">
        <v>2018</v>
      </c>
      <c r="F1734" s="34"/>
      <c r="G1734" s="34"/>
      <c r="H1734" s="33" t="s">
        <v>11843</v>
      </c>
      <c r="I1734" s="44" t="s">
        <v>12806</v>
      </c>
      <c r="J1734" s="33">
        <v>2018</v>
      </c>
      <c r="K1734" s="33">
        <v>9781450357401</v>
      </c>
      <c r="L1734" s="33" t="s">
        <v>11848</v>
      </c>
      <c r="M1734" s="34"/>
      <c r="N1734" s="37" t="s">
        <v>11845</v>
      </c>
      <c r="O1734" s="33" t="s">
        <v>5754</v>
      </c>
      <c r="P1734" s="33" t="s">
        <v>11846</v>
      </c>
      <c r="Q1734" s="36"/>
      <c r="R1734" s="36"/>
      <c r="S1734" s="33" t="s">
        <v>11847</v>
      </c>
      <c r="T1734" s="33" t="s">
        <v>12692</v>
      </c>
      <c r="U1734" s="18"/>
    </row>
    <row r="1735" spans="1:21" x14ac:dyDescent="0.25">
      <c r="A1735" s="33" t="s">
        <v>6874</v>
      </c>
      <c r="B1735" s="33" t="s">
        <v>5750</v>
      </c>
      <c r="C1735" s="33" t="s">
        <v>141</v>
      </c>
      <c r="D1735" s="34"/>
      <c r="E1735" s="33">
        <v>2018</v>
      </c>
      <c r="F1735" s="34"/>
      <c r="G1735" s="34"/>
      <c r="H1735" s="42">
        <v>45054</v>
      </c>
      <c r="I1735" s="33" t="s">
        <v>6875</v>
      </c>
      <c r="J1735" s="43">
        <v>43221</v>
      </c>
      <c r="K1735" s="36"/>
      <c r="L1735" s="36"/>
      <c r="M1735" s="34"/>
      <c r="N1735" s="34"/>
      <c r="O1735" s="34"/>
      <c r="P1735" s="33" t="s">
        <v>6876</v>
      </c>
      <c r="Q1735" s="36"/>
      <c r="R1735" s="36"/>
      <c r="S1735" s="33" t="s">
        <v>6877</v>
      </c>
      <c r="T1735" s="38" t="s">
        <v>12688</v>
      </c>
      <c r="U1735" s="18"/>
    </row>
    <row r="1736" spans="1:21" x14ac:dyDescent="0.25">
      <c r="A1736" s="33" t="s">
        <v>6874</v>
      </c>
      <c r="B1736" s="33" t="s">
        <v>5750</v>
      </c>
      <c r="C1736" s="33" t="s">
        <v>141</v>
      </c>
      <c r="D1736" s="34"/>
      <c r="E1736" s="33">
        <v>2018</v>
      </c>
      <c r="F1736" s="34"/>
      <c r="G1736" s="34"/>
      <c r="H1736" s="33" t="s">
        <v>5752</v>
      </c>
      <c r="I1736" s="33" t="s">
        <v>196</v>
      </c>
      <c r="J1736" s="33">
        <v>2018</v>
      </c>
      <c r="K1736" s="33">
        <v>9781450357401</v>
      </c>
      <c r="L1736" s="34"/>
      <c r="M1736" s="33" t="s">
        <v>1458</v>
      </c>
      <c r="N1736" s="37" t="s">
        <v>5753</v>
      </c>
      <c r="O1736" s="33" t="s">
        <v>5754</v>
      </c>
      <c r="P1736" s="33" t="s">
        <v>5755</v>
      </c>
      <c r="Q1736" s="33" t="s">
        <v>157</v>
      </c>
      <c r="R1736" s="34"/>
      <c r="S1736" s="38"/>
      <c r="T1736" s="38" t="s">
        <v>12690</v>
      </c>
      <c r="U1736" s="18"/>
    </row>
    <row r="1737" spans="1:21" x14ac:dyDescent="0.25">
      <c r="A1737" s="33" t="s">
        <v>4189</v>
      </c>
      <c r="B1737" s="33" t="s">
        <v>4188</v>
      </c>
      <c r="C1737" s="33" t="s">
        <v>141</v>
      </c>
      <c r="D1737" s="34"/>
      <c r="E1737" s="33">
        <v>2019</v>
      </c>
      <c r="F1737" s="33">
        <v>2520</v>
      </c>
      <c r="G1737" s="34"/>
      <c r="H1737" s="33" t="s">
        <v>4190</v>
      </c>
      <c r="I1737" s="33" t="s">
        <v>613</v>
      </c>
      <c r="J1737" s="33">
        <v>2019</v>
      </c>
      <c r="K1737" s="34"/>
      <c r="L1737" s="34"/>
      <c r="M1737" s="33" t="s">
        <v>614</v>
      </c>
      <c r="N1737" s="37" t="s">
        <v>4191</v>
      </c>
      <c r="O1737" s="34"/>
      <c r="P1737" s="33" t="s">
        <v>4192</v>
      </c>
      <c r="Q1737" s="33" t="s">
        <v>157</v>
      </c>
      <c r="R1737" s="34"/>
      <c r="S1737" s="38"/>
      <c r="T1737" s="38" t="s">
        <v>12690</v>
      </c>
      <c r="U1737" s="18"/>
    </row>
    <row r="1738" spans="1:21" x14ac:dyDescent="0.25">
      <c r="A1738" s="33" t="s">
        <v>1611</v>
      </c>
      <c r="B1738" s="33" t="s">
        <v>1610</v>
      </c>
      <c r="C1738" s="33" t="s">
        <v>141</v>
      </c>
      <c r="D1738" s="34"/>
      <c r="E1738" s="33">
        <v>2021</v>
      </c>
      <c r="F1738" s="34"/>
      <c r="G1738" s="34"/>
      <c r="H1738" s="34"/>
      <c r="I1738" s="33" t="s">
        <v>196</v>
      </c>
      <c r="J1738" s="33">
        <v>2021</v>
      </c>
      <c r="K1738" s="33">
        <v>9781450386654</v>
      </c>
      <c r="L1738" s="34"/>
      <c r="M1738" s="33" t="s">
        <v>197</v>
      </c>
      <c r="N1738" s="37" t="s">
        <v>1612</v>
      </c>
      <c r="O1738" s="33" t="s">
        <v>1613</v>
      </c>
      <c r="P1738" s="33" t="s">
        <v>1614</v>
      </c>
      <c r="Q1738" s="33" t="s">
        <v>318</v>
      </c>
      <c r="R1738" s="34"/>
      <c r="S1738" s="38"/>
      <c r="T1738" s="38" t="s">
        <v>12690</v>
      </c>
      <c r="U1738" s="18"/>
    </row>
    <row r="1739" spans="1:21" x14ac:dyDescent="0.25">
      <c r="A1739" s="33" t="s">
        <v>4301</v>
      </c>
      <c r="B1739" s="33" t="s">
        <v>4300</v>
      </c>
      <c r="C1739" s="33" t="s">
        <v>13</v>
      </c>
      <c r="D1739" s="33" t="s">
        <v>668</v>
      </c>
      <c r="E1739" s="33">
        <v>2020</v>
      </c>
      <c r="F1739" s="33">
        <v>8</v>
      </c>
      <c r="G1739" s="34"/>
      <c r="H1739" s="33" t="s">
        <v>4302</v>
      </c>
      <c r="I1739" s="33" t="s">
        <v>257</v>
      </c>
      <c r="J1739" s="33">
        <v>2020</v>
      </c>
      <c r="K1739" s="34"/>
      <c r="L1739" s="34"/>
      <c r="M1739" s="33" t="s">
        <v>670</v>
      </c>
      <c r="N1739" s="37" t="s">
        <v>4303</v>
      </c>
      <c r="O1739" s="33" t="s">
        <v>4304</v>
      </c>
      <c r="P1739" s="33" t="s">
        <v>4305</v>
      </c>
      <c r="Q1739" s="33" t="s">
        <v>3499</v>
      </c>
      <c r="R1739" s="34"/>
      <c r="S1739" s="38"/>
      <c r="T1739" s="38" t="s">
        <v>12690</v>
      </c>
      <c r="U1739" s="18"/>
    </row>
    <row r="1740" spans="1:21" x14ac:dyDescent="0.25">
      <c r="A1740" s="33" t="s">
        <v>8005</v>
      </c>
      <c r="B1740" s="33" t="s">
        <v>8004</v>
      </c>
      <c r="C1740" s="33" t="s">
        <v>141</v>
      </c>
      <c r="D1740" s="34"/>
      <c r="E1740" s="33">
        <v>2011</v>
      </c>
      <c r="F1740" s="34"/>
      <c r="G1740" s="34"/>
      <c r="H1740" s="33" t="s">
        <v>8006</v>
      </c>
      <c r="I1740" s="33" t="s">
        <v>8007</v>
      </c>
      <c r="J1740" s="35">
        <v>40848</v>
      </c>
      <c r="K1740" s="34"/>
      <c r="L1740" s="36"/>
      <c r="M1740" s="34"/>
      <c r="N1740" s="37" t="s">
        <v>8008</v>
      </c>
      <c r="O1740" s="33" t="s">
        <v>8009</v>
      </c>
      <c r="P1740" s="33" t="s">
        <v>8010</v>
      </c>
      <c r="Q1740" s="36"/>
      <c r="R1740" s="36"/>
      <c r="S1740" s="33" t="s">
        <v>8011</v>
      </c>
      <c r="T1740" s="38" t="s">
        <v>12688</v>
      </c>
      <c r="U1740" s="18"/>
    </row>
    <row r="1741" spans="1:21" x14ac:dyDescent="0.25">
      <c r="A1741" s="33" t="s">
        <v>8280</v>
      </c>
      <c r="B1741" s="33" t="s">
        <v>8279</v>
      </c>
      <c r="C1741" s="33" t="s">
        <v>141</v>
      </c>
      <c r="D1741" s="34"/>
      <c r="E1741" s="33">
        <v>2019</v>
      </c>
      <c r="F1741" s="34"/>
      <c r="G1741" s="34"/>
      <c r="H1741" s="42">
        <v>44928</v>
      </c>
      <c r="I1741" s="33" t="s">
        <v>6960</v>
      </c>
      <c r="J1741" s="43">
        <v>43525</v>
      </c>
      <c r="K1741" s="34"/>
      <c r="L1741" s="36"/>
      <c r="M1741" s="34"/>
      <c r="N1741" s="37" t="s">
        <v>8281</v>
      </c>
      <c r="O1741" s="33" t="s">
        <v>8282</v>
      </c>
      <c r="P1741" s="33" t="s">
        <v>8283</v>
      </c>
      <c r="Q1741" s="36"/>
      <c r="R1741" s="36"/>
      <c r="S1741" s="33" t="s">
        <v>8284</v>
      </c>
      <c r="T1741" s="38" t="s">
        <v>12688</v>
      </c>
      <c r="U1741" s="18"/>
    </row>
    <row r="1742" spans="1:21" x14ac:dyDescent="0.25">
      <c r="A1742" s="33" t="s">
        <v>1380</v>
      </c>
      <c r="B1742" s="33" t="s">
        <v>1379</v>
      </c>
      <c r="C1742" s="33" t="s">
        <v>13</v>
      </c>
      <c r="D1742" s="33" t="s">
        <v>1161</v>
      </c>
      <c r="E1742" s="33">
        <v>2022</v>
      </c>
      <c r="F1742" s="33">
        <v>10</v>
      </c>
      <c r="G1742" s="33">
        <v>18</v>
      </c>
      <c r="H1742" s="34"/>
      <c r="I1742" s="33" t="s">
        <v>228</v>
      </c>
      <c r="J1742" s="33">
        <v>2022</v>
      </c>
      <c r="K1742" s="34"/>
      <c r="L1742" s="34"/>
      <c r="M1742" s="33" t="s">
        <v>1162</v>
      </c>
      <c r="N1742" s="37" t="s">
        <v>1381</v>
      </c>
      <c r="O1742" s="33" t="s">
        <v>1382</v>
      </c>
      <c r="P1742" s="33" t="s">
        <v>1383</v>
      </c>
      <c r="Q1742" s="33" t="s">
        <v>447</v>
      </c>
      <c r="R1742" s="34"/>
      <c r="S1742" s="38"/>
      <c r="T1742" s="38" t="s">
        <v>12690</v>
      </c>
      <c r="U1742" s="18"/>
    </row>
    <row r="1743" spans="1:21" x14ac:dyDescent="0.25">
      <c r="A1743" s="33" t="s">
        <v>4636</v>
      </c>
      <c r="B1743" s="33" t="s">
        <v>4635</v>
      </c>
      <c r="C1743" s="33" t="s">
        <v>13</v>
      </c>
      <c r="D1743" s="33" t="s">
        <v>4637</v>
      </c>
      <c r="E1743" s="33">
        <v>2019</v>
      </c>
      <c r="F1743" s="33">
        <v>36</v>
      </c>
      <c r="G1743" s="33">
        <v>5</v>
      </c>
      <c r="H1743" s="33" t="s">
        <v>6560</v>
      </c>
      <c r="I1743" s="34"/>
      <c r="J1743" s="43">
        <v>43709</v>
      </c>
      <c r="K1743" s="36"/>
      <c r="L1743" s="36"/>
      <c r="M1743" s="33" t="s">
        <v>6207</v>
      </c>
      <c r="N1743" s="37" t="s">
        <v>6561</v>
      </c>
      <c r="O1743" s="33" t="s">
        <v>4641</v>
      </c>
      <c r="P1743" s="33" t="s">
        <v>6562</v>
      </c>
      <c r="Q1743" s="36"/>
      <c r="R1743" s="36"/>
      <c r="S1743" s="33" t="s">
        <v>6563</v>
      </c>
      <c r="T1743" s="38" t="s">
        <v>12688</v>
      </c>
      <c r="U1743" s="18"/>
    </row>
    <row r="1744" spans="1:21" x14ac:dyDescent="0.25">
      <c r="A1744" s="33" t="s">
        <v>4636</v>
      </c>
      <c r="B1744" s="33" t="s">
        <v>4635</v>
      </c>
      <c r="C1744" s="33" t="s">
        <v>13</v>
      </c>
      <c r="D1744" s="33" t="s">
        <v>4637</v>
      </c>
      <c r="E1744" s="33">
        <v>2019</v>
      </c>
      <c r="F1744" s="33">
        <v>36</v>
      </c>
      <c r="G1744" s="33">
        <v>5</v>
      </c>
      <c r="H1744" s="33" t="s">
        <v>4638</v>
      </c>
      <c r="I1744" s="33" t="s">
        <v>196</v>
      </c>
      <c r="J1744" s="33">
        <v>2019</v>
      </c>
      <c r="K1744" s="34"/>
      <c r="L1744" s="34"/>
      <c r="M1744" s="33" t="s">
        <v>4639</v>
      </c>
      <c r="N1744" s="37" t="s">
        <v>4640</v>
      </c>
      <c r="O1744" s="33" t="s">
        <v>4641</v>
      </c>
      <c r="P1744" s="33" t="s">
        <v>4642</v>
      </c>
      <c r="Q1744" s="33" t="s">
        <v>3633</v>
      </c>
      <c r="R1744" s="34"/>
      <c r="S1744" s="38"/>
      <c r="T1744" s="38" t="s">
        <v>12690</v>
      </c>
      <c r="U1744" s="18"/>
    </row>
    <row r="1745" spans="1:21" x14ac:dyDescent="0.25">
      <c r="A1745" s="33" t="s">
        <v>11307</v>
      </c>
      <c r="B1745" s="33" t="s">
        <v>11306</v>
      </c>
      <c r="C1745" s="33" t="s">
        <v>141</v>
      </c>
      <c r="D1745" s="34"/>
      <c r="E1745" s="33">
        <v>2022</v>
      </c>
      <c r="F1745" s="34"/>
      <c r="G1745" s="34"/>
      <c r="H1745" s="33" t="s">
        <v>11308</v>
      </c>
      <c r="I1745" s="44" t="s">
        <v>12691</v>
      </c>
      <c r="J1745" s="33">
        <v>2022</v>
      </c>
      <c r="K1745" s="33">
        <v>9781450394130</v>
      </c>
      <c r="L1745" s="33" t="s">
        <v>11118</v>
      </c>
      <c r="M1745" s="34"/>
      <c r="N1745" s="37" t="s">
        <v>11309</v>
      </c>
      <c r="O1745" s="33" t="s">
        <v>11310</v>
      </c>
      <c r="P1745" s="33" t="s">
        <v>11311</v>
      </c>
      <c r="Q1745" s="36"/>
      <c r="R1745" s="36"/>
      <c r="S1745" s="33" t="s">
        <v>11312</v>
      </c>
      <c r="T1745" s="33" t="s">
        <v>12692</v>
      </c>
      <c r="U1745" s="18"/>
    </row>
    <row r="1746" spans="1:21" x14ac:dyDescent="0.25">
      <c r="A1746" s="33" t="s">
        <v>826</v>
      </c>
      <c r="B1746" s="33" t="s">
        <v>825</v>
      </c>
      <c r="C1746" s="33" t="s">
        <v>141</v>
      </c>
      <c r="D1746" s="34"/>
      <c r="E1746" s="33">
        <v>2022</v>
      </c>
      <c r="F1746" s="34"/>
      <c r="G1746" s="34"/>
      <c r="H1746" s="33" t="s">
        <v>827</v>
      </c>
      <c r="I1746" s="33" t="s">
        <v>828</v>
      </c>
      <c r="J1746" s="33">
        <v>2022</v>
      </c>
      <c r="K1746" s="33">
        <v>9781713863298</v>
      </c>
      <c r="L1746" s="34"/>
      <c r="M1746" s="34"/>
      <c r="N1746" s="37" t="s">
        <v>829</v>
      </c>
      <c r="O1746" s="34"/>
      <c r="P1746" s="33" t="s">
        <v>830</v>
      </c>
      <c r="Q1746" s="33" t="s">
        <v>157</v>
      </c>
      <c r="R1746" s="34"/>
      <c r="S1746" s="38"/>
      <c r="T1746" s="38" t="s">
        <v>12690</v>
      </c>
      <c r="U1746" s="18"/>
    </row>
    <row r="1747" spans="1:21" x14ac:dyDescent="0.25">
      <c r="A1747" s="39" t="s">
        <v>9442</v>
      </c>
      <c r="B1747" s="39" t="s">
        <v>9458</v>
      </c>
      <c r="C1747" s="39" t="s">
        <v>539</v>
      </c>
      <c r="D1747" s="36"/>
      <c r="E1747" s="39">
        <v>2021</v>
      </c>
      <c r="F1747" s="40"/>
      <c r="G1747" s="40"/>
      <c r="H1747" s="36"/>
      <c r="I1747" s="39" t="s">
        <v>9275</v>
      </c>
      <c r="J1747" s="36"/>
      <c r="K1747" s="36"/>
      <c r="L1747" s="36"/>
      <c r="M1747" s="34"/>
      <c r="N1747" s="41" t="s">
        <v>9459</v>
      </c>
      <c r="O1747" s="39" t="s">
        <v>9457</v>
      </c>
      <c r="P1747" s="33"/>
      <c r="Q1747" s="36"/>
      <c r="R1747" s="34"/>
      <c r="S1747" s="38"/>
      <c r="T1747" s="38" t="s">
        <v>12689</v>
      </c>
      <c r="U1747" s="18"/>
    </row>
    <row r="1748" spans="1:21" x14ac:dyDescent="0.25">
      <c r="A1748" s="39" t="s">
        <v>9442</v>
      </c>
      <c r="B1748" s="39" t="s">
        <v>9444</v>
      </c>
      <c r="C1748" s="39" t="s">
        <v>539</v>
      </c>
      <c r="D1748" s="36"/>
      <c r="E1748" s="39">
        <v>2022</v>
      </c>
      <c r="F1748" s="40"/>
      <c r="G1748" s="40"/>
      <c r="H1748" s="36"/>
      <c r="I1748" s="39" t="s">
        <v>9275</v>
      </c>
      <c r="J1748" s="36"/>
      <c r="K1748" s="36"/>
      <c r="L1748" s="36"/>
      <c r="M1748" s="34"/>
      <c r="N1748" s="41" t="s">
        <v>9445</v>
      </c>
      <c r="O1748" s="39" t="s">
        <v>9443</v>
      </c>
      <c r="P1748" s="33"/>
      <c r="Q1748" s="36"/>
      <c r="R1748" s="34"/>
      <c r="S1748" s="38"/>
      <c r="T1748" s="38" t="s">
        <v>12689</v>
      </c>
      <c r="U1748" s="18"/>
    </row>
    <row r="1749" spans="1:21" x14ac:dyDescent="0.25">
      <c r="A1749" s="33" t="s">
        <v>1155</v>
      </c>
      <c r="B1749" s="33" t="s">
        <v>1154</v>
      </c>
      <c r="C1749" s="33" t="s">
        <v>141</v>
      </c>
      <c r="D1749" s="34"/>
      <c r="E1749" s="33">
        <v>2022</v>
      </c>
      <c r="F1749" s="34"/>
      <c r="G1749" s="34"/>
      <c r="H1749" s="33" t="s">
        <v>1042</v>
      </c>
      <c r="I1749" s="33" t="s">
        <v>257</v>
      </c>
      <c r="J1749" s="33">
        <v>2022</v>
      </c>
      <c r="K1749" s="33">
        <v>9781665488105</v>
      </c>
      <c r="L1749" s="34"/>
      <c r="M1749" s="34"/>
      <c r="N1749" s="37" t="s">
        <v>1156</v>
      </c>
      <c r="O1749" s="33" t="s">
        <v>1157</v>
      </c>
      <c r="P1749" s="33" t="s">
        <v>1158</v>
      </c>
      <c r="Q1749" s="33" t="s">
        <v>404</v>
      </c>
      <c r="R1749" s="34"/>
      <c r="S1749" s="38"/>
      <c r="T1749" s="38" t="s">
        <v>12690</v>
      </c>
      <c r="U1749" s="18"/>
    </row>
    <row r="1750" spans="1:21" x14ac:dyDescent="0.25">
      <c r="A1750" s="33" t="s">
        <v>706</v>
      </c>
      <c r="B1750" s="33" t="s">
        <v>705</v>
      </c>
      <c r="C1750" s="33" t="s">
        <v>13</v>
      </c>
      <c r="D1750" s="33" t="s">
        <v>707</v>
      </c>
      <c r="E1750" s="33">
        <v>2022</v>
      </c>
      <c r="F1750" s="33">
        <v>31</v>
      </c>
      <c r="G1750" s="33">
        <v>3</v>
      </c>
      <c r="H1750" s="34"/>
      <c r="I1750" s="33" t="s">
        <v>280</v>
      </c>
      <c r="J1750" s="33">
        <v>2022</v>
      </c>
      <c r="K1750" s="34"/>
      <c r="L1750" s="34"/>
      <c r="M1750" s="33" t="s">
        <v>708</v>
      </c>
      <c r="N1750" s="37" t="s">
        <v>709</v>
      </c>
      <c r="O1750" s="33" t="s">
        <v>710</v>
      </c>
      <c r="P1750" s="33" t="s">
        <v>711</v>
      </c>
      <c r="Q1750" s="33" t="s">
        <v>166</v>
      </c>
      <c r="R1750" s="34"/>
      <c r="S1750" s="38"/>
      <c r="T1750" s="38" t="s">
        <v>12690</v>
      </c>
      <c r="U1750" s="14"/>
    </row>
    <row r="1751" spans="1:21" x14ac:dyDescent="0.25">
      <c r="A1751" s="33" t="s">
        <v>7308</v>
      </c>
      <c r="B1751" s="33" t="s">
        <v>7307</v>
      </c>
      <c r="C1751" s="33" t="s">
        <v>141</v>
      </c>
      <c r="D1751" s="34"/>
      <c r="E1751" s="33">
        <v>2016</v>
      </c>
      <c r="F1751" s="34"/>
      <c r="G1751" s="34"/>
      <c r="H1751" s="33" t="s">
        <v>11996</v>
      </c>
      <c r="I1751" s="44" t="s">
        <v>12807</v>
      </c>
      <c r="J1751" s="33">
        <v>2016</v>
      </c>
      <c r="K1751" s="33">
        <v>9781450341578</v>
      </c>
      <c r="L1751" s="33" t="s">
        <v>12000</v>
      </c>
      <c r="M1751" s="34"/>
      <c r="N1751" s="37" t="s">
        <v>11998</v>
      </c>
      <c r="O1751" s="33" t="s">
        <v>7312</v>
      </c>
      <c r="P1751" s="33" t="s">
        <v>7313</v>
      </c>
      <c r="Q1751" s="36"/>
      <c r="R1751" s="36"/>
      <c r="S1751" s="33" t="s">
        <v>11999</v>
      </c>
      <c r="T1751" s="33" t="s">
        <v>12692</v>
      </c>
      <c r="U1751" s="18"/>
    </row>
    <row r="1752" spans="1:21" x14ac:dyDescent="0.25">
      <c r="A1752" s="33" t="s">
        <v>7308</v>
      </c>
      <c r="B1752" s="33" t="s">
        <v>7307</v>
      </c>
      <c r="C1752" s="33" t="s">
        <v>141</v>
      </c>
      <c r="D1752" s="34"/>
      <c r="E1752" s="33">
        <v>2016</v>
      </c>
      <c r="F1752" s="34"/>
      <c r="G1752" s="34"/>
      <c r="H1752" s="33" t="s">
        <v>7309</v>
      </c>
      <c r="I1752" s="33" t="s">
        <v>7310</v>
      </c>
      <c r="J1752" s="43">
        <v>42491</v>
      </c>
      <c r="K1752" s="36"/>
      <c r="L1752" s="36"/>
      <c r="M1752" s="34"/>
      <c r="N1752" s="37" t="s">
        <v>7311</v>
      </c>
      <c r="O1752" s="33" t="s">
        <v>7312</v>
      </c>
      <c r="P1752" s="33" t="s">
        <v>7313</v>
      </c>
      <c r="Q1752" s="36"/>
      <c r="R1752" s="36"/>
      <c r="S1752" s="33" t="s">
        <v>7314</v>
      </c>
      <c r="T1752" s="38" t="s">
        <v>12688</v>
      </c>
      <c r="U1752" s="18"/>
    </row>
    <row r="1753" spans="1:21" x14ac:dyDescent="0.25">
      <c r="A1753" s="33" t="s">
        <v>11620</v>
      </c>
      <c r="B1753" s="33" t="s">
        <v>11619</v>
      </c>
      <c r="C1753" s="33" t="s">
        <v>141</v>
      </c>
      <c r="D1753" s="34"/>
      <c r="E1753" s="33">
        <v>2019</v>
      </c>
      <c r="F1753" s="34"/>
      <c r="G1753" s="34"/>
      <c r="H1753" s="33" t="s">
        <v>11621</v>
      </c>
      <c r="I1753" s="44" t="s">
        <v>12696</v>
      </c>
      <c r="J1753" s="33">
        <v>2019</v>
      </c>
      <c r="K1753" s="33">
        <v>9781450368285</v>
      </c>
      <c r="L1753" s="33" t="s">
        <v>11628</v>
      </c>
      <c r="M1753" s="34"/>
      <c r="N1753" s="37" t="s">
        <v>11624</v>
      </c>
      <c r="O1753" s="33" t="s">
        <v>11625</v>
      </c>
      <c r="P1753" s="33" t="s">
        <v>11626</v>
      </c>
      <c r="Q1753" s="36"/>
      <c r="R1753" s="36"/>
      <c r="S1753" s="33" t="s">
        <v>11627</v>
      </c>
      <c r="T1753" s="33" t="s">
        <v>12692</v>
      </c>
      <c r="U1753" s="18"/>
    </row>
    <row r="1754" spans="1:21" x14ac:dyDescent="0.25">
      <c r="A1754" s="33" t="s">
        <v>8113</v>
      </c>
      <c r="B1754" s="33" t="s">
        <v>8112</v>
      </c>
      <c r="C1754" s="33" t="s">
        <v>13</v>
      </c>
      <c r="D1754" s="33" t="s">
        <v>8114</v>
      </c>
      <c r="E1754" s="33">
        <v>2020</v>
      </c>
      <c r="F1754" s="33">
        <v>64</v>
      </c>
      <c r="G1754" s="49">
        <v>44989</v>
      </c>
      <c r="H1754" s="33" t="s">
        <v>8115</v>
      </c>
      <c r="I1754" s="34"/>
      <c r="J1754" s="43">
        <v>43952</v>
      </c>
      <c r="K1754" s="34"/>
      <c r="L1754" s="36"/>
      <c r="M1754" s="33" t="s">
        <v>8116</v>
      </c>
      <c r="N1754" s="37" t="s">
        <v>8117</v>
      </c>
      <c r="O1754" s="33" t="s">
        <v>8118</v>
      </c>
      <c r="P1754" s="33" t="s">
        <v>8119</v>
      </c>
      <c r="Q1754" s="36"/>
      <c r="R1754" s="36"/>
      <c r="S1754" s="33" t="s">
        <v>8120</v>
      </c>
      <c r="T1754" s="38" t="s">
        <v>12688</v>
      </c>
      <c r="U1754" s="18"/>
    </row>
    <row r="1755" spans="1:21" x14ac:dyDescent="0.25">
      <c r="A1755" s="39" t="s">
        <v>11005</v>
      </c>
      <c r="B1755" s="39" t="s">
        <v>11007</v>
      </c>
      <c r="C1755" s="39" t="s">
        <v>539</v>
      </c>
      <c r="D1755" s="36"/>
      <c r="E1755" s="39">
        <v>2022</v>
      </c>
      <c r="F1755" s="40"/>
      <c r="G1755" s="40"/>
      <c r="H1755" s="36"/>
      <c r="I1755" s="40"/>
      <c r="J1755" s="36"/>
      <c r="K1755" s="36"/>
      <c r="L1755" s="36"/>
      <c r="M1755" s="34"/>
      <c r="N1755" s="41" t="s">
        <v>11008</v>
      </c>
      <c r="O1755" s="39" t="s">
        <v>11006</v>
      </c>
      <c r="P1755" s="33"/>
      <c r="Q1755" s="36"/>
      <c r="R1755" s="34"/>
      <c r="S1755" s="38"/>
      <c r="T1755" s="38" t="s">
        <v>12689</v>
      </c>
      <c r="U1755" s="14"/>
    </row>
    <row r="1756" spans="1:21" x14ac:dyDescent="0.25">
      <c r="A1756" s="33" t="s">
        <v>675</v>
      </c>
      <c r="B1756" s="33" t="s">
        <v>674</v>
      </c>
      <c r="C1756" s="33" t="s">
        <v>13</v>
      </c>
      <c r="D1756" s="33" t="s">
        <v>676</v>
      </c>
      <c r="E1756" s="33">
        <v>2023</v>
      </c>
      <c r="F1756" s="33" t="s">
        <v>677</v>
      </c>
      <c r="G1756" s="34"/>
      <c r="H1756" s="33" t="s">
        <v>678</v>
      </c>
      <c r="I1756" s="33" t="s">
        <v>212</v>
      </c>
      <c r="J1756" s="33">
        <v>2023</v>
      </c>
      <c r="K1756" s="34"/>
      <c r="L1756" s="34"/>
      <c r="M1756" s="33" t="s">
        <v>679</v>
      </c>
      <c r="N1756" s="37" t="s">
        <v>680</v>
      </c>
      <c r="O1756" s="33" t="s">
        <v>681</v>
      </c>
      <c r="P1756" s="33" t="s">
        <v>682</v>
      </c>
      <c r="Q1756" s="33" t="s">
        <v>157</v>
      </c>
      <c r="R1756" s="34"/>
      <c r="S1756" s="38"/>
      <c r="T1756" s="38" t="s">
        <v>12690</v>
      </c>
      <c r="U1756" s="18"/>
    </row>
    <row r="1757" spans="1:21" x14ac:dyDescent="0.25">
      <c r="A1757" s="33" t="s">
        <v>12390</v>
      </c>
      <c r="B1757" s="33" t="s">
        <v>12389</v>
      </c>
      <c r="C1757" s="33" t="s">
        <v>141</v>
      </c>
      <c r="D1757" s="34"/>
      <c r="E1757" s="33">
        <v>2022</v>
      </c>
      <c r="F1757" s="34"/>
      <c r="G1757" s="34"/>
      <c r="H1757" s="33" t="s">
        <v>12391</v>
      </c>
      <c r="I1757" s="44" t="s">
        <v>12808</v>
      </c>
      <c r="J1757" s="33">
        <v>2022</v>
      </c>
      <c r="K1757" s="33">
        <v>9781450393799</v>
      </c>
      <c r="L1757" s="33" t="s">
        <v>12398</v>
      </c>
      <c r="M1757" s="34"/>
      <c r="N1757" s="37" t="s">
        <v>12394</v>
      </c>
      <c r="O1757" s="33" t="s">
        <v>12395</v>
      </c>
      <c r="P1757" s="33" t="s">
        <v>12396</v>
      </c>
      <c r="Q1757" s="36"/>
      <c r="R1757" s="36"/>
      <c r="S1757" s="33" t="s">
        <v>12397</v>
      </c>
      <c r="T1757" s="33" t="s">
        <v>12692</v>
      </c>
      <c r="U1757" s="18"/>
    </row>
    <row r="1758" spans="1:21" x14ac:dyDescent="0.25">
      <c r="A1758" s="33" t="s">
        <v>12665</v>
      </c>
      <c r="B1758" s="33" t="s">
        <v>12664</v>
      </c>
      <c r="C1758" s="33" t="s">
        <v>13</v>
      </c>
      <c r="D1758" s="33" t="s">
        <v>11246</v>
      </c>
      <c r="E1758" s="33">
        <v>2022</v>
      </c>
      <c r="F1758" s="34"/>
      <c r="G1758" s="34"/>
      <c r="H1758" s="34"/>
      <c r="I1758" s="44" t="s">
        <v>12710</v>
      </c>
      <c r="J1758" s="35">
        <v>44835</v>
      </c>
      <c r="K1758" s="34"/>
      <c r="L1758" s="34"/>
      <c r="M1758" s="33" t="s">
        <v>329</v>
      </c>
      <c r="N1758" s="37" t="s">
        <v>12666</v>
      </c>
      <c r="O1758" s="33" t="s">
        <v>12667</v>
      </c>
      <c r="P1758" s="33" t="s">
        <v>12668</v>
      </c>
      <c r="Q1758" s="36"/>
      <c r="R1758" s="36"/>
      <c r="S1758" s="33" t="s">
        <v>12669</v>
      </c>
      <c r="T1758" s="33" t="s">
        <v>12692</v>
      </c>
      <c r="U1758" s="14"/>
    </row>
    <row r="1759" spans="1:21" x14ac:dyDescent="0.25">
      <c r="A1759" s="33" t="s">
        <v>1815</v>
      </c>
      <c r="B1759" s="33" t="s">
        <v>1814</v>
      </c>
      <c r="C1759" s="33" t="s">
        <v>13</v>
      </c>
      <c r="D1759" s="33" t="s">
        <v>136</v>
      </c>
      <c r="E1759" s="33">
        <v>2021</v>
      </c>
      <c r="F1759" s="33">
        <v>26</v>
      </c>
      <c r="G1759" s="33">
        <v>6</v>
      </c>
      <c r="H1759" s="34"/>
      <c r="I1759" s="33" t="s">
        <v>137</v>
      </c>
      <c r="J1759" s="33">
        <v>2021</v>
      </c>
      <c r="K1759" s="34"/>
      <c r="L1759" s="34"/>
      <c r="M1759" s="33" t="s">
        <v>33</v>
      </c>
      <c r="N1759" s="37" t="s">
        <v>1816</v>
      </c>
      <c r="O1759" s="33" t="s">
        <v>1817</v>
      </c>
      <c r="P1759" s="33" t="s">
        <v>1818</v>
      </c>
      <c r="Q1759" s="33" t="s">
        <v>140</v>
      </c>
      <c r="R1759" s="34"/>
      <c r="S1759" s="38"/>
      <c r="T1759" s="38" t="s">
        <v>12690</v>
      </c>
      <c r="U1759" s="18"/>
    </row>
    <row r="1760" spans="1:21" x14ac:dyDescent="0.25">
      <c r="A1760" s="33" t="s">
        <v>1476</v>
      </c>
      <c r="B1760" s="33" t="s">
        <v>1475</v>
      </c>
      <c r="C1760" s="33" t="s">
        <v>141</v>
      </c>
      <c r="D1760" s="34"/>
      <c r="E1760" s="33">
        <v>2021</v>
      </c>
      <c r="F1760" s="34"/>
      <c r="G1760" s="34"/>
      <c r="H1760" s="33" t="s">
        <v>1477</v>
      </c>
      <c r="I1760" s="33" t="s">
        <v>153</v>
      </c>
      <c r="J1760" s="33">
        <v>2021</v>
      </c>
      <c r="K1760" s="33">
        <v>9781450384735</v>
      </c>
      <c r="L1760" s="34"/>
      <c r="M1760" s="34"/>
      <c r="N1760" s="37" t="s">
        <v>1478</v>
      </c>
      <c r="O1760" s="33" t="s">
        <v>1479</v>
      </c>
      <c r="P1760" s="33" t="s">
        <v>1480</v>
      </c>
      <c r="Q1760" s="33" t="s">
        <v>318</v>
      </c>
      <c r="R1760" s="34"/>
      <c r="S1760" s="38"/>
      <c r="T1760" s="38" t="s">
        <v>12690</v>
      </c>
      <c r="U1760" s="18"/>
    </row>
    <row r="1761" spans="1:21" x14ac:dyDescent="0.25">
      <c r="A1761" s="39" t="s">
        <v>10645</v>
      </c>
      <c r="B1761" s="39" t="s">
        <v>10647</v>
      </c>
      <c r="C1761" s="39" t="s">
        <v>539</v>
      </c>
      <c r="D1761" s="36"/>
      <c r="E1761" s="39">
        <v>2019</v>
      </c>
      <c r="F1761" s="40"/>
      <c r="G1761" s="40"/>
      <c r="H1761" s="36"/>
      <c r="I1761" s="40"/>
      <c r="J1761" s="36"/>
      <c r="K1761" s="36"/>
      <c r="L1761" s="36"/>
      <c r="M1761" s="34"/>
      <c r="N1761" s="41" t="s">
        <v>10648</v>
      </c>
      <c r="O1761" s="39" t="s">
        <v>10646</v>
      </c>
      <c r="P1761" s="33"/>
      <c r="Q1761" s="36"/>
      <c r="R1761" s="34"/>
      <c r="S1761" s="38"/>
      <c r="T1761" s="38" t="s">
        <v>12689</v>
      </c>
      <c r="U1761" s="18"/>
    </row>
    <row r="1762" spans="1:21" x14ac:dyDescent="0.25">
      <c r="A1762" s="33" t="s">
        <v>4108</v>
      </c>
      <c r="B1762" s="33" t="s">
        <v>4107</v>
      </c>
      <c r="C1762" s="33" t="s">
        <v>141</v>
      </c>
      <c r="D1762" s="34"/>
      <c r="E1762" s="33">
        <v>2019</v>
      </c>
      <c r="F1762" s="34"/>
      <c r="G1762" s="34"/>
      <c r="H1762" s="33" t="s">
        <v>7110</v>
      </c>
      <c r="I1762" s="33" t="s">
        <v>7111</v>
      </c>
      <c r="J1762" s="43">
        <v>43647</v>
      </c>
      <c r="K1762" s="36"/>
      <c r="L1762" s="36"/>
      <c r="M1762" s="34"/>
      <c r="N1762" s="37" t="s">
        <v>7112</v>
      </c>
      <c r="O1762" s="33" t="s">
        <v>4111</v>
      </c>
      <c r="P1762" s="33" t="s">
        <v>7113</v>
      </c>
      <c r="Q1762" s="36"/>
      <c r="R1762" s="36"/>
      <c r="S1762" s="33" t="s">
        <v>7114</v>
      </c>
      <c r="T1762" s="38" t="s">
        <v>12688</v>
      </c>
      <c r="U1762" s="18"/>
    </row>
    <row r="1763" spans="1:21" x14ac:dyDescent="0.25">
      <c r="A1763" s="33" t="s">
        <v>4108</v>
      </c>
      <c r="B1763" s="33" t="s">
        <v>4107</v>
      </c>
      <c r="C1763" s="33" t="s">
        <v>141</v>
      </c>
      <c r="D1763" s="34"/>
      <c r="E1763" s="33">
        <v>2019</v>
      </c>
      <c r="F1763" s="34"/>
      <c r="G1763" s="34"/>
      <c r="H1763" s="33" t="s">
        <v>4109</v>
      </c>
      <c r="I1763" s="33" t="s">
        <v>257</v>
      </c>
      <c r="J1763" s="33">
        <v>2019</v>
      </c>
      <c r="K1763" s="33">
        <v>9781728139272</v>
      </c>
      <c r="L1763" s="34"/>
      <c r="M1763" s="34"/>
      <c r="N1763" s="37" t="s">
        <v>4110</v>
      </c>
      <c r="O1763" s="33" t="s">
        <v>4111</v>
      </c>
      <c r="P1763" s="33" t="s">
        <v>4112</v>
      </c>
      <c r="Q1763" s="33" t="s">
        <v>1813</v>
      </c>
      <c r="R1763" s="34"/>
      <c r="S1763" s="38"/>
      <c r="T1763" s="38" t="s">
        <v>12690</v>
      </c>
      <c r="U1763" s="14"/>
    </row>
    <row r="1764" spans="1:21" x14ac:dyDescent="0.25">
      <c r="A1764" s="33" t="s">
        <v>5441</v>
      </c>
      <c r="B1764" s="33" t="s">
        <v>5440</v>
      </c>
      <c r="C1764" s="33" t="s">
        <v>141</v>
      </c>
      <c r="D1764" s="34"/>
      <c r="E1764" s="33">
        <v>2017</v>
      </c>
      <c r="F1764" s="34"/>
      <c r="G1764" s="34"/>
      <c r="H1764" s="33" t="s">
        <v>5442</v>
      </c>
      <c r="I1764" s="33" t="s">
        <v>196</v>
      </c>
      <c r="J1764" s="33">
        <v>2017</v>
      </c>
      <c r="K1764" s="33">
        <v>9781538605356</v>
      </c>
      <c r="L1764" s="34"/>
      <c r="M1764" s="34"/>
      <c r="N1764" s="37" t="s">
        <v>5443</v>
      </c>
      <c r="O1764" s="33" t="s">
        <v>5444</v>
      </c>
      <c r="P1764" s="33" t="s">
        <v>5445</v>
      </c>
      <c r="Q1764" s="33" t="s">
        <v>2110</v>
      </c>
      <c r="R1764" s="34"/>
      <c r="S1764" s="38"/>
      <c r="T1764" s="38" t="s">
        <v>12690</v>
      </c>
      <c r="U1764" s="18"/>
    </row>
    <row r="1765" spans="1:21" x14ac:dyDescent="0.25">
      <c r="A1765" s="39" t="s">
        <v>774</v>
      </c>
      <c r="B1765" s="39" t="s">
        <v>10461</v>
      </c>
      <c r="C1765" s="39" t="s">
        <v>9478</v>
      </c>
      <c r="D1765" s="36"/>
      <c r="E1765" s="39">
        <v>2022</v>
      </c>
      <c r="F1765" s="39">
        <v>28</v>
      </c>
      <c r="G1765" s="39">
        <v>1</v>
      </c>
      <c r="H1765" s="36"/>
      <c r="I1765" s="39" t="s">
        <v>136</v>
      </c>
      <c r="J1765" s="36"/>
      <c r="K1765" s="36"/>
      <c r="L1765" s="36"/>
      <c r="M1765" s="34"/>
      <c r="N1765" s="41" t="s">
        <v>10462</v>
      </c>
      <c r="O1765" s="39" t="s">
        <v>776</v>
      </c>
      <c r="P1765" s="33"/>
      <c r="Q1765" s="36"/>
      <c r="R1765" s="34"/>
      <c r="S1765" s="38"/>
      <c r="T1765" s="38" t="s">
        <v>12689</v>
      </c>
      <c r="U1765" s="18"/>
    </row>
    <row r="1766" spans="1:21" x14ac:dyDescent="0.25">
      <c r="A1766" s="33" t="s">
        <v>774</v>
      </c>
      <c r="B1766" s="33" t="s">
        <v>773</v>
      </c>
      <c r="C1766" s="33" t="s">
        <v>13</v>
      </c>
      <c r="D1766" s="33" t="s">
        <v>136</v>
      </c>
      <c r="E1766" s="33">
        <v>2023</v>
      </c>
      <c r="F1766" s="33">
        <v>28</v>
      </c>
      <c r="G1766" s="33">
        <v>1</v>
      </c>
      <c r="H1766" s="34"/>
      <c r="I1766" s="33" t="s">
        <v>137</v>
      </c>
      <c r="J1766" s="33">
        <v>2023</v>
      </c>
      <c r="K1766" s="34"/>
      <c r="L1766" s="34"/>
      <c r="M1766" s="33" t="s">
        <v>33</v>
      </c>
      <c r="N1766" s="37" t="s">
        <v>775</v>
      </c>
      <c r="O1766" s="33" t="s">
        <v>776</v>
      </c>
      <c r="P1766" s="33" t="s">
        <v>777</v>
      </c>
      <c r="Q1766" s="33" t="s">
        <v>404</v>
      </c>
      <c r="R1766" s="34"/>
      <c r="S1766" s="38"/>
      <c r="T1766" s="38" t="s">
        <v>12690</v>
      </c>
      <c r="U1766" s="18"/>
    </row>
    <row r="1767" spans="1:21" x14ac:dyDescent="0.25">
      <c r="A1767" s="33" t="s">
        <v>5631</v>
      </c>
      <c r="B1767" s="33" t="s">
        <v>4817</v>
      </c>
      <c r="C1767" s="33" t="s">
        <v>141</v>
      </c>
      <c r="D1767" s="34"/>
      <c r="E1767" s="33">
        <v>2016</v>
      </c>
      <c r="F1767" s="34"/>
      <c r="G1767" s="34"/>
      <c r="H1767" s="33" t="s">
        <v>5632</v>
      </c>
      <c r="I1767" s="33" t="s">
        <v>257</v>
      </c>
      <c r="J1767" s="33">
        <v>2016</v>
      </c>
      <c r="K1767" s="33">
        <v>9781509038060</v>
      </c>
      <c r="L1767" s="34"/>
      <c r="M1767" s="34"/>
      <c r="N1767" s="37" t="s">
        <v>5633</v>
      </c>
      <c r="O1767" s="33" t="s">
        <v>5634</v>
      </c>
      <c r="P1767" s="33" t="s">
        <v>5635</v>
      </c>
      <c r="Q1767" s="33" t="s">
        <v>5636</v>
      </c>
      <c r="R1767" s="34"/>
      <c r="S1767" s="38"/>
      <c r="T1767" s="38" t="s">
        <v>12690</v>
      </c>
      <c r="U1767" s="14"/>
    </row>
    <row r="1768" spans="1:21" x14ac:dyDescent="0.25">
      <c r="A1768" s="33" t="s">
        <v>6992</v>
      </c>
      <c r="B1768" s="33" t="s">
        <v>6991</v>
      </c>
      <c r="C1768" s="33" t="s">
        <v>141</v>
      </c>
      <c r="D1768" s="34"/>
      <c r="E1768" s="33">
        <v>2018</v>
      </c>
      <c r="F1768" s="34"/>
      <c r="G1768" s="34"/>
      <c r="H1768" s="33" t="s">
        <v>11720</v>
      </c>
      <c r="I1768" s="44" t="s">
        <v>12809</v>
      </c>
      <c r="J1768" s="33">
        <v>2018</v>
      </c>
      <c r="K1768" s="33">
        <v>9781450356596</v>
      </c>
      <c r="L1768" s="33" t="s">
        <v>11726</v>
      </c>
      <c r="M1768" s="34"/>
      <c r="N1768" s="37" t="s">
        <v>11722</v>
      </c>
      <c r="O1768" s="33" t="s">
        <v>11723</v>
      </c>
      <c r="P1768" s="33" t="s">
        <v>11724</v>
      </c>
      <c r="Q1768" s="36"/>
      <c r="R1768" s="36"/>
      <c r="S1768" s="33" t="s">
        <v>11725</v>
      </c>
      <c r="T1768" s="33" t="s">
        <v>12692</v>
      </c>
      <c r="U1768" s="18"/>
    </row>
    <row r="1769" spans="1:21" x14ac:dyDescent="0.25">
      <c r="A1769" s="33" t="s">
        <v>6992</v>
      </c>
      <c r="B1769" s="33" t="s">
        <v>6991</v>
      </c>
      <c r="C1769" s="33" t="s">
        <v>141</v>
      </c>
      <c r="D1769" s="34"/>
      <c r="E1769" s="33">
        <v>2018</v>
      </c>
      <c r="F1769" s="34"/>
      <c r="G1769" s="34"/>
      <c r="H1769" s="33" t="s">
        <v>6993</v>
      </c>
      <c r="I1769" s="33" t="s">
        <v>6994</v>
      </c>
      <c r="J1769" s="43">
        <v>43221</v>
      </c>
      <c r="K1769" s="36"/>
      <c r="L1769" s="36"/>
      <c r="M1769" s="34"/>
      <c r="N1769" s="34"/>
      <c r="O1769" s="34"/>
      <c r="P1769" s="33" t="s">
        <v>6995</v>
      </c>
      <c r="Q1769" s="36"/>
      <c r="R1769" s="36"/>
      <c r="S1769" s="33" t="s">
        <v>6996</v>
      </c>
      <c r="T1769" s="38" t="s">
        <v>12688</v>
      </c>
      <c r="U1769" s="18"/>
    </row>
    <row r="1770" spans="1:21" x14ac:dyDescent="0.25">
      <c r="A1770" s="33" t="s">
        <v>1107</v>
      </c>
      <c r="B1770" s="33" t="s">
        <v>1106</v>
      </c>
      <c r="C1770" s="33" t="s">
        <v>13</v>
      </c>
      <c r="D1770" s="33" t="s">
        <v>1108</v>
      </c>
      <c r="E1770" s="33">
        <v>2022</v>
      </c>
      <c r="F1770" s="33">
        <v>13</v>
      </c>
      <c r="G1770" s="34"/>
      <c r="H1770" s="34"/>
      <c r="I1770" s="33" t="s">
        <v>280</v>
      </c>
      <c r="J1770" s="33">
        <v>2022</v>
      </c>
      <c r="K1770" s="34"/>
      <c r="L1770" s="34"/>
      <c r="M1770" s="33" t="s">
        <v>1109</v>
      </c>
      <c r="N1770" s="37" t="s">
        <v>1110</v>
      </c>
      <c r="O1770" s="33" t="s">
        <v>1111</v>
      </c>
      <c r="P1770" s="33" t="s">
        <v>1112</v>
      </c>
      <c r="Q1770" s="33" t="s">
        <v>285</v>
      </c>
      <c r="R1770" s="34"/>
      <c r="S1770" s="38"/>
      <c r="T1770" s="38" t="s">
        <v>12690</v>
      </c>
      <c r="U1770" s="18"/>
    </row>
    <row r="1771" spans="1:21" x14ac:dyDescent="0.25">
      <c r="A1771" s="39" t="s">
        <v>9481</v>
      </c>
      <c r="B1771" s="39" t="s">
        <v>9632</v>
      </c>
      <c r="C1771" s="39" t="s">
        <v>539</v>
      </c>
      <c r="D1771" s="36"/>
      <c r="E1771" s="39">
        <v>2020</v>
      </c>
      <c r="F1771" s="40"/>
      <c r="G1771" s="40"/>
      <c r="H1771" s="36"/>
      <c r="I1771" s="39" t="s">
        <v>462</v>
      </c>
      <c r="J1771" s="36"/>
      <c r="K1771" s="36"/>
      <c r="L1771" s="36"/>
      <c r="M1771" s="34"/>
      <c r="N1771" s="41" t="s">
        <v>9633</v>
      </c>
      <c r="O1771" s="39" t="s">
        <v>9631</v>
      </c>
      <c r="P1771" s="33"/>
      <c r="Q1771" s="36"/>
      <c r="R1771" s="34"/>
      <c r="S1771" s="38"/>
      <c r="T1771" s="38" t="s">
        <v>12689</v>
      </c>
      <c r="U1771" s="18"/>
    </row>
    <row r="1772" spans="1:21" x14ac:dyDescent="0.25">
      <c r="A1772" s="39" t="s">
        <v>9481</v>
      </c>
      <c r="B1772" s="39" t="s">
        <v>9915</v>
      </c>
      <c r="C1772" s="39" t="s">
        <v>539</v>
      </c>
      <c r="D1772" s="36"/>
      <c r="E1772" s="39">
        <v>2022</v>
      </c>
      <c r="F1772" s="40"/>
      <c r="G1772" s="40"/>
      <c r="H1772" s="36"/>
      <c r="I1772" s="39" t="s">
        <v>9275</v>
      </c>
      <c r="J1772" s="36"/>
      <c r="K1772" s="36"/>
      <c r="L1772" s="36"/>
      <c r="M1772" s="34"/>
      <c r="N1772" s="41" t="s">
        <v>9916</v>
      </c>
      <c r="O1772" s="39" t="s">
        <v>9914</v>
      </c>
      <c r="P1772" s="33"/>
      <c r="Q1772" s="36"/>
      <c r="R1772" s="34"/>
      <c r="S1772" s="38"/>
      <c r="T1772" s="38" t="s">
        <v>12689</v>
      </c>
      <c r="U1772" s="18"/>
    </row>
    <row r="1773" spans="1:21" x14ac:dyDescent="0.25">
      <c r="A1773" s="39" t="s">
        <v>9481</v>
      </c>
      <c r="B1773" s="39" t="s">
        <v>9635</v>
      </c>
      <c r="C1773" s="39" t="s">
        <v>539</v>
      </c>
      <c r="D1773" s="36"/>
      <c r="E1773" s="39">
        <v>2022</v>
      </c>
      <c r="F1773" s="40"/>
      <c r="G1773" s="40"/>
      <c r="H1773" s="36"/>
      <c r="I1773" s="39" t="s">
        <v>9275</v>
      </c>
      <c r="J1773" s="36"/>
      <c r="K1773" s="36"/>
      <c r="L1773" s="36"/>
      <c r="M1773" s="34"/>
      <c r="N1773" s="41" t="s">
        <v>9636</v>
      </c>
      <c r="O1773" s="39" t="s">
        <v>9634</v>
      </c>
      <c r="P1773" s="33"/>
      <c r="Q1773" s="36"/>
      <c r="R1773" s="34"/>
      <c r="S1773" s="38"/>
      <c r="T1773" s="38" t="s">
        <v>12689</v>
      </c>
      <c r="U1773" s="18"/>
    </row>
    <row r="1774" spans="1:21" x14ac:dyDescent="0.25">
      <c r="A1774" s="39" t="s">
        <v>9481</v>
      </c>
      <c r="B1774" s="39" t="s">
        <v>9483</v>
      </c>
      <c r="C1774" s="39" t="s">
        <v>539</v>
      </c>
      <c r="D1774" s="36"/>
      <c r="E1774" s="39">
        <v>2021</v>
      </c>
      <c r="F1774" s="40"/>
      <c r="G1774" s="40"/>
      <c r="H1774" s="36"/>
      <c r="I1774" s="39" t="s">
        <v>9275</v>
      </c>
      <c r="J1774" s="36"/>
      <c r="K1774" s="36"/>
      <c r="L1774" s="36"/>
      <c r="M1774" s="34"/>
      <c r="N1774" s="41" t="s">
        <v>9484</v>
      </c>
      <c r="O1774" s="39" t="s">
        <v>9482</v>
      </c>
      <c r="P1774" s="33"/>
      <c r="Q1774" s="36"/>
      <c r="R1774" s="34"/>
      <c r="S1774" s="38"/>
      <c r="T1774" s="38" t="s">
        <v>12689</v>
      </c>
      <c r="U1774" s="18"/>
    </row>
    <row r="1775" spans="1:21" x14ac:dyDescent="0.25">
      <c r="A1775" s="33" t="s">
        <v>4941</v>
      </c>
      <c r="B1775" s="33" t="s">
        <v>4940</v>
      </c>
      <c r="C1775" s="33" t="s">
        <v>141</v>
      </c>
      <c r="D1775" s="34"/>
      <c r="E1775" s="33">
        <v>2020</v>
      </c>
      <c r="F1775" s="33" t="s">
        <v>4942</v>
      </c>
      <c r="G1775" s="34"/>
      <c r="H1775" s="33" t="s">
        <v>4943</v>
      </c>
      <c r="I1775" s="33" t="s">
        <v>4944</v>
      </c>
      <c r="J1775" s="33">
        <v>2020</v>
      </c>
      <c r="K1775" s="33">
        <v>9783885797012</v>
      </c>
      <c r="L1775" s="34"/>
      <c r="M1775" s="33" t="s">
        <v>4945</v>
      </c>
      <c r="N1775" s="37" t="s">
        <v>4946</v>
      </c>
      <c r="O1775" s="33" t="s">
        <v>4947</v>
      </c>
      <c r="P1775" s="33" t="s">
        <v>4948</v>
      </c>
      <c r="Q1775" s="33" t="s">
        <v>157</v>
      </c>
      <c r="R1775" s="34"/>
      <c r="S1775" s="38"/>
      <c r="T1775" s="38" t="s">
        <v>12690</v>
      </c>
      <c r="U1775" s="14"/>
    </row>
    <row r="1776" spans="1:21" x14ac:dyDescent="0.25">
      <c r="A1776" s="33" t="s">
        <v>3657</v>
      </c>
      <c r="B1776" s="33" t="s">
        <v>3656</v>
      </c>
      <c r="C1776" s="33" t="s">
        <v>141</v>
      </c>
      <c r="D1776" s="34"/>
      <c r="E1776" s="33">
        <v>2021</v>
      </c>
      <c r="F1776" s="34"/>
      <c r="G1776" s="34"/>
      <c r="H1776" s="33" t="s">
        <v>3658</v>
      </c>
      <c r="I1776" s="33" t="s">
        <v>257</v>
      </c>
      <c r="J1776" s="33">
        <v>2021</v>
      </c>
      <c r="K1776" s="33">
        <v>9781665428828</v>
      </c>
      <c r="L1776" s="34"/>
      <c r="M1776" s="34"/>
      <c r="N1776" s="37" t="s">
        <v>3659</v>
      </c>
      <c r="O1776" s="33" t="s">
        <v>3660</v>
      </c>
      <c r="P1776" s="33" t="s">
        <v>3661</v>
      </c>
      <c r="Q1776" s="33" t="s">
        <v>2723</v>
      </c>
      <c r="R1776" s="34"/>
      <c r="S1776" s="38"/>
      <c r="T1776" s="38" t="s">
        <v>12690</v>
      </c>
      <c r="U1776" s="14"/>
    </row>
    <row r="1777" spans="1:21" x14ac:dyDescent="0.25">
      <c r="A1777" s="33" t="s">
        <v>7484</v>
      </c>
      <c r="B1777" s="33" t="s">
        <v>7483</v>
      </c>
      <c r="C1777" s="33" t="s">
        <v>13</v>
      </c>
      <c r="D1777" s="33" t="s">
        <v>668</v>
      </c>
      <c r="E1777" s="33">
        <v>2020</v>
      </c>
      <c r="F1777" s="33">
        <v>8</v>
      </c>
      <c r="G1777" s="34"/>
      <c r="H1777" s="33" t="s">
        <v>7485</v>
      </c>
      <c r="I1777" s="34"/>
      <c r="J1777" s="33">
        <v>2020</v>
      </c>
      <c r="K1777" s="36"/>
      <c r="L1777" s="36"/>
      <c r="M1777" s="33" t="s">
        <v>670</v>
      </c>
      <c r="N1777" s="37" t="s">
        <v>7486</v>
      </c>
      <c r="O1777" s="33" t="s">
        <v>7487</v>
      </c>
      <c r="P1777" s="33" t="s">
        <v>7488</v>
      </c>
      <c r="Q1777" s="36"/>
      <c r="R1777" s="36"/>
      <c r="S1777" s="33" t="s">
        <v>7489</v>
      </c>
      <c r="T1777" s="38" t="s">
        <v>12688</v>
      </c>
      <c r="U1777" s="14"/>
    </row>
    <row r="1778" spans="1:21" x14ac:dyDescent="0.25">
      <c r="A1778" s="33" t="s">
        <v>7233</v>
      </c>
      <c r="B1778" s="33" t="s">
        <v>7232</v>
      </c>
      <c r="C1778" s="33" t="s">
        <v>141</v>
      </c>
      <c r="D1778" s="34"/>
      <c r="E1778" s="33">
        <v>2021</v>
      </c>
      <c r="F1778" s="34"/>
      <c r="G1778" s="34"/>
      <c r="H1778" s="33" t="s">
        <v>7234</v>
      </c>
      <c r="I1778" s="33" t="s">
        <v>6677</v>
      </c>
      <c r="J1778" s="43">
        <v>44317</v>
      </c>
      <c r="K1778" s="36"/>
      <c r="L1778" s="36"/>
      <c r="M1778" s="34"/>
      <c r="N1778" s="37" t="s">
        <v>7235</v>
      </c>
      <c r="O1778" s="33" t="s">
        <v>7236</v>
      </c>
      <c r="P1778" s="33" t="s">
        <v>7237</v>
      </c>
      <c r="Q1778" s="36"/>
      <c r="R1778" s="36"/>
      <c r="S1778" s="33" t="s">
        <v>7238</v>
      </c>
      <c r="T1778" s="38" t="s">
        <v>12688</v>
      </c>
      <c r="U1778" s="14"/>
    </row>
    <row r="1779" spans="1:21" x14ac:dyDescent="0.25">
      <c r="A1779" s="33" t="s">
        <v>7380</v>
      </c>
      <c r="B1779" s="33" t="s">
        <v>6122</v>
      </c>
      <c r="C1779" s="33" t="s">
        <v>13</v>
      </c>
      <c r="D1779" s="33" t="s">
        <v>4637</v>
      </c>
      <c r="E1779" s="33">
        <v>2016</v>
      </c>
      <c r="F1779" s="33">
        <v>33</v>
      </c>
      <c r="G1779" s="33">
        <v>6</v>
      </c>
      <c r="H1779" s="33" t="s">
        <v>7381</v>
      </c>
      <c r="I1779" s="34"/>
      <c r="J1779" s="35">
        <v>42675</v>
      </c>
      <c r="K1779" s="36"/>
      <c r="L1779" s="36"/>
      <c r="M1779" s="33" t="s">
        <v>6207</v>
      </c>
      <c r="N1779" s="37" t="s">
        <v>7382</v>
      </c>
      <c r="O1779" s="33" t="s">
        <v>7383</v>
      </c>
      <c r="P1779" s="33" t="s">
        <v>7384</v>
      </c>
      <c r="Q1779" s="36"/>
      <c r="R1779" s="36"/>
      <c r="S1779" s="33" t="s">
        <v>7385</v>
      </c>
      <c r="T1779" s="38" t="s">
        <v>12688</v>
      </c>
    </row>
    <row r="1780" spans="1:21" x14ac:dyDescent="0.25">
      <c r="A1780" s="39" t="s">
        <v>10915</v>
      </c>
      <c r="B1780" s="39" t="s">
        <v>10917</v>
      </c>
      <c r="C1780" s="39" t="s">
        <v>9539</v>
      </c>
      <c r="D1780" s="36"/>
      <c r="E1780" s="39">
        <v>2018</v>
      </c>
      <c r="F1780" s="40"/>
      <c r="G1780" s="40"/>
      <c r="H1780" s="36"/>
      <c r="I1780" s="39" t="s">
        <v>9481</v>
      </c>
      <c r="J1780" s="36"/>
      <c r="K1780" s="36"/>
      <c r="L1780" s="36"/>
      <c r="M1780" s="34"/>
      <c r="N1780" s="41" t="s">
        <v>10918</v>
      </c>
      <c r="O1780" s="39" t="s">
        <v>10916</v>
      </c>
      <c r="P1780" s="33"/>
      <c r="Q1780" s="36"/>
      <c r="R1780" s="34"/>
      <c r="S1780" s="38"/>
      <c r="T1780" s="38" t="s">
        <v>12689</v>
      </c>
    </row>
    <row r="1781" spans="1:21" x14ac:dyDescent="0.25">
      <c r="A1781" s="39" t="s">
        <v>9567</v>
      </c>
      <c r="B1781" s="39" t="s">
        <v>9569</v>
      </c>
      <c r="C1781" s="39" t="s">
        <v>539</v>
      </c>
      <c r="D1781" s="36"/>
      <c r="E1781" s="39">
        <v>2021</v>
      </c>
      <c r="F1781" s="40"/>
      <c r="G1781" s="40"/>
      <c r="H1781" s="36"/>
      <c r="I1781" s="39" t="s">
        <v>1870</v>
      </c>
      <c r="J1781" s="36"/>
      <c r="K1781" s="36"/>
      <c r="L1781" s="36"/>
      <c r="M1781" s="34"/>
      <c r="N1781" s="41" t="s">
        <v>9570</v>
      </c>
      <c r="O1781" s="39" t="s">
        <v>9568</v>
      </c>
      <c r="P1781" s="33"/>
      <c r="Q1781" s="36"/>
      <c r="R1781" s="34"/>
      <c r="S1781" s="38"/>
      <c r="T1781" s="38" t="s">
        <v>12689</v>
      </c>
    </row>
    <row r="1782" spans="1:21" x14ac:dyDescent="0.25">
      <c r="A1782" s="33" t="s">
        <v>4018</v>
      </c>
      <c r="B1782" s="33" t="s">
        <v>4017</v>
      </c>
      <c r="C1782" s="33" t="s">
        <v>13</v>
      </c>
      <c r="D1782" s="33" t="s">
        <v>4019</v>
      </c>
      <c r="E1782" s="33">
        <v>2019</v>
      </c>
      <c r="F1782" s="33">
        <v>13</v>
      </c>
      <c r="G1782" s="33">
        <v>1</v>
      </c>
      <c r="H1782" s="33" t="s">
        <v>4020</v>
      </c>
      <c r="I1782" s="33" t="s">
        <v>4021</v>
      </c>
      <c r="J1782" s="33">
        <v>2019</v>
      </c>
      <c r="K1782" s="34"/>
      <c r="L1782" s="34"/>
      <c r="M1782" s="33" t="s">
        <v>4022</v>
      </c>
      <c r="N1782" s="37" t="s">
        <v>4023</v>
      </c>
      <c r="O1782" s="33" t="s">
        <v>4024</v>
      </c>
      <c r="P1782" s="33" t="s">
        <v>4025</v>
      </c>
      <c r="Q1782" s="33" t="s">
        <v>2243</v>
      </c>
      <c r="R1782" s="34"/>
      <c r="S1782" s="38"/>
      <c r="T1782" s="38" t="s">
        <v>12690</v>
      </c>
    </row>
    <row r="1783" spans="1:21" x14ac:dyDescent="0.25">
      <c r="A1783" s="33" t="s">
        <v>3097</v>
      </c>
      <c r="B1783" s="33" t="s">
        <v>3096</v>
      </c>
      <c r="C1783" s="33" t="s">
        <v>141</v>
      </c>
      <c r="D1783" s="34"/>
      <c r="E1783" s="33">
        <v>2020</v>
      </c>
      <c r="F1783" s="34"/>
      <c r="G1783" s="34"/>
      <c r="H1783" s="42">
        <v>44933</v>
      </c>
      <c r="I1783" s="33" t="s">
        <v>6727</v>
      </c>
      <c r="J1783" s="35">
        <v>44166</v>
      </c>
      <c r="K1783" s="36"/>
      <c r="L1783" s="36"/>
      <c r="M1783" s="34"/>
      <c r="N1783" s="37" t="s">
        <v>6728</v>
      </c>
      <c r="O1783" s="33" t="s">
        <v>3099</v>
      </c>
      <c r="P1783" s="33" t="s">
        <v>6729</v>
      </c>
      <c r="Q1783" s="36"/>
      <c r="R1783" s="36"/>
      <c r="S1783" s="33" t="s">
        <v>6730</v>
      </c>
      <c r="T1783" s="38" t="s">
        <v>12688</v>
      </c>
    </row>
    <row r="1784" spans="1:21" x14ac:dyDescent="0.25">
      <c r="A1784" s="33" t="s">
        <v>3097</v>
      </c>
      <c r="B1784" s="33" t="s">
        <v>3096</v>
      </c>
      <c r="C1784" s="33" t="s">
        <v>141</v>
      </c>
      <c r="D1784" s="34"/>
      <c r="E1784" s="33">
        <v>2020</v>
      </c>
      <c r="F1784" s="34"/>
      <c r="G1784" s="34"/>
      <c r="H1784" s="34"/>
      <c r="I1784" s="33" t="s">
        <v>257</v>
      </c>
      <c r="J1784" s="33">
        <v>2020</v>
      </c>
      <c r="K1784" s="33">
        <v>9781728196732</v>
      </c>
      <c r="L1784" s="34"/>
      <c r="M1784" s="34"/>
      <c r="N1784" s="37" t="s">
        <v>3098</v>
      </c>
      <c r="O1784" s="33" t="s">
        <v>3099</v>
      </c>
      <c r="P1784" s="33" t="s">
        <v>3100</v>
      </c>
      <c r="Q1784" s="33" t="s">
        <v>2723</v>
      </c>
      <c r="R1784" s="34"/>
      <c r="S1784" s="38"/>
      <c r="T1784" s="38" t="s">
        <v>12690</v>
      </c>
    </row>
    <row r="1785" spans="1:21" x14ac:dyDescent="0.25">
      <c r="A1785" s="33" t="s">
        <v>7668</v>
      </c>
      <c r="B1785" s="33" t="s">
        <v>7667</v>
      </c>
      <c r="C1785" s="33" t="s">
        <v>13</v>
      </c>
      <c r="D1785" s="33" t="s">
        <v>255</v>
      </c>
      <c r="E1785" s="33">
        <v>2020</v>
      </c>
      <c r="F1785" s="33">
        <v>46</v>
      </c>
      <c r="G1785" s="33">
        <v>6</v>
      </c>
      <c r="H1785" s="33" t="s">
        <v>7669</v>
      </c>
      <c r="I1785" s="34"/>
      <c r="J1785" s="43">
        <v>43983</v>
      </c>
      <c r="K1785" s="36"/>
      <c r="L1785" s="36"/>
      <c r="M1785" s="33" t="s">
        <v>6115</v>
      </c>
      <c r="N1785" s="37" t="s">
        <v>7670</v>
      </c>
      <c r="O1785" s="33" t="s">
        <v>7671</v>
      </c>
      <c r="P1785" s="33" t="s">
        <v>7672</v>
      </c>
      <c r="Q1785" s="36"/>
      <c r="R1785" s="36"/>
      <c r="S1785" s="33" t="s">
        <v>7673</v>
      </c>
      <c r="T1785" s="38" t="s">
        <v>12688</v>
      </c>
    </row>
    <row r="1786" spans="1:21" x14ac:dyDescent="0.25">
      <c r="A1786" s="33" t="s">
        <v>4956</v>
      </c>
      <c r="B1786" s="33" t="s">
        <v>4955</v>
      </c>
      <c r="C1786" s="33" t="s">
        <v>13</v>
      </c>
      <c r="D1786" s="33" t="s">
        <v>209</v>
      </c>
      <c r="E1786" s="33">
        <v>2020</v>
      </c>
      <c r="F1786" s="33" t="s">
        <v>4957</v>
      </c>
      <c r="G1786" s="34"/>
      <c r="H1786" s="33" t="s">
        <v>4958</v>
      </c>
      <c r="I1786" s="33" t="s">
        <v>212</v>
      </c>
      <c r="J1786" s="33">
        <v>2020</v>
      </c>
      <c r="K1786" s="34"/>
      <c r="L1786" s="34"/>
      <c r="M1786" s="33" t="s">
        <v>213</v>
      </c>
      <c r="N1786" s="37" t="s">
        <v>4959</v>
      </c>
      <c r="O1786" s="33" t="s">
        <v>4960</v>
      </c>
      <c r="P1786" s="33" t="s">
        <v>4961</v>
      </c>
      <c r="Q1786" s="33" t="s">
        <v>157</v>
      </c>
      <c r="R1786" s="34"/>
      <c r="S1786" s="38"/>
      <c r="T1786" s="38" t="s">
        <v>12690</v>
      </c>
    </row>
    <row r="1787" spans="1:21" x14ac:dyDescent="0.25">
      <c r="A1787" s="39" t="s">
        <v>10481</v>
      </c>
      <c r="B1787" s="39" t="s">
        <v>10482</v>
      </c>
      <c r="C1787" s="39" t="s">
        <v>9539</v>
      </c>
      <c r="D1787" s="36"/>
      <c r="E1787" s="39">
        <v>2020</v>
      </c>
      <c r="F1787" s="40"/>
      <c r="G1787" s="40"/>
      <c r="H1787" s="36"/>
      <c r="I1787" s="39" t="s">
        <v>10480</v>
      </c>
      <c r="J1787" s="36"/>
      <c r="K1787" s="36"/>
      <c r="L1787" s="36"/>
      <c r="M1787" s="34"/>
      <c r="N1787" s="41" t="s">
        <v>10483</v>
      </c>
      <c r="O1787" s="39" t="s">
        <v>3920</v>
      </c>
      <c r="P1787" s="33"/>
      <c r="Q1787" s="36"/>
      <c r="R1787" s="34"/>
      <c r="S1787" s="38"/>
      <c r="T1787" s="38" t="s">
        <v>12689</v>
      </c>
    </row>
    <row r="1788" spans="1:21" x14ac:dyDescent="0.25">
      <c r="A1788" s="39" t="s">
        <v>10481</v>
      </c>
      <c r="B1788" s="33" t="s">
        <v>3914</v>
      </c>
      <c r="C1788" s="33" t="s">
        <v>13</v>
      </c>
      <c r="D1788" s="33" t="s">
        <v>3916</v>
      </c>
      <c r="E1788" s="33">
        <v>2020</v>
      </c>
      <c r="F1788" s="33">
        <v>40</v>
      </c>
      <c r="G1788" s="34"/>
      <c r="H1788" s="33" t="s">
        <v>3917</v>
      </c>
      <c r="I1788" s="33" t="s">
        <v>212</v>
      </c>
      <c r="J1788" s="33">
        <v>2020</v>
      </c>
      <c r="K1788" s="34"/>
      <c r="L1788" s="34"/>
      <c r="M1788" s="33" t="s">
        <v>3918</v>
      </c>
      <c r="N1788" s="37" t="s">
        <v>3919</v>
      </c>
      <c r="O1788" s="33" t="s">
        <v>3920</v>
      </c>
      <c r="P1788" s="33" t="s">
        <v>3921</v>
      </c>
      <c r="Q1788" s="33" t="s">
        <v>2243</v>
      </c>
      <c r="R1788" s="34"/>
      <c r="S1788" s="38"/>
      <c r="T1788" s="38" t="s">
        <v>12690</v>
      </c>
    </row>
    <row r="1789" spans="1:21" x14ac:dyDescent="0.25">
      <c r="A1789" s="33" t="s">
        <v>2955</v>
      </c>
      <c r="B1789" s="33" t="s">
        <v>2954</v>
      </c>
      <c r="C1789" s="33" t="s">
        <v>141</v>
      </c>
      <c r="D1789" s="34"/>
      <c r="E1789" s="33">
        <v>2021</v>
      </c>
      <c r="F1789" s="34"/>
      <c r="G1789" s="34"/>
      <c r="H1789" s="33" t="s">
        <v>2956</v>
      </c>
      <c r="I1789" s="33" t="s">
        <v>257</v>
      </c>
      <c r="J1789" s="33">
        <v>2021</v>
      </c>
      <c r="K1789" s="33">
        <v>9781665443616</v>
      </c>
      <c r="L1789" s="34"/>
      <c r="M1789" s="34"/>
      <c r="N1789" s="37" t="s">
        <v>2957</v>
      </c>
      <c r="O1789" s="33" t="s">
        <v>2958</v>
      </c>
      <c r="P1789" s="33" t="s">
        <v>2959</v>
      </c>
      <c r="Q1789" s="33" t="s">
        <v>157</v>
      </c>
      <c r="R1789" s="34"/>
      <c r="S1789" s="38"/>
      <c r="T1789" s="38" t="s">
        <v>12690</v>
      </c>
    </row>
    <row r="1790" spans="1:21" x14ac:dyDescent="0.25">
      <c r="A1790" s="33" t="s">
        <v>2955</v>
      </c>
      <c r="B1790" s="33" t="s">
        <v>7184</v>
      </c>
      <c r="C1790" s="33" t="s">
        <v>141</v>
      </c>
      <c r="D1790" s="34"/>
      <c r="E1790" s="33">
        <v>2021</v>
      </c>
      <c r="F1790" s="34"/>
      <c r="G1790" s="34"/>
      <c r="H1790" s="33" t="s">
        <v>7185</v>
      </c>
      <c r="I1790" s="33" t="s">
        <v>7186</v>
      </c>
      <c r="J1790" s="35">
        <v>44470</v>
      </c>
      <c r="K1790" s="36"/>
      <c r="L1790" s="36"/>
      <c r="M1790" s="34"/>
      <c r="N1790" s="37" t="s">
        <v>7187</v>
      </c>
      <c r="O1790" s="33" t="s">
        <v>2958</v>
      </c>
      <c r="P1790" s="33" t="s">
        <v>7188</v>
      </c>
      <c r="Q1790" s="36"/>
      <c r="R1790" s="36"/>
      <c r="S1790" s="33" t="s">
        <v>7189</v>
      </c>
      <c r="T1790" s="38" t="s">
        <v>12688</v>
      </c>
    </row>
    <row r="1791" spans="1:21" x14ac:dyDescent="0.25">
      <c r="A1791" s="33" t="s">
        <v>12574</v>
      </c>
      <c r="B1791" s="33" t="s">
        <v>3386</v>
      </c>
      <c r="C1791" s="33" t="s">
        <v>141</v>
      </c>
      <c r="D1791" s="34"/>
      <c r="E1791" s="33">
        <v>2020</v>
      </c>
      <c r="F1791" s="34"/>
      <c r="G1791" s="34"/>
      <c r="H1791" s="33" t="s">
        <v>12575</v>
      </c>
      <c r="I1791" s="44" t="s">
        <v>12801</v>
      </c>
      <c r="J1791" s="33">
        <v>2020</v>
      </c>
      <c r="K1791" s="33">
        <v>9781450381789</v>
      </c>
      <c r="L1791" s="33" t="s">
        <v>12505</v>
      </c>
      <c r="M1791" s="34"/>
      <c r="N1791" s="37" t="s">
        <v>12576</v>
      </c>
      <c r="O1791" s="33" t="s">
        <v>3390</v>
      </c>
      <c r="P1791" s="33" t="s">
        <v>12577</v>
      </c>
      <c r="Q1791" s="36"/>
      <c r="R1791" s="36"/>
      <c r="S1791" s="33" t="s">
        <v>12578</v>
      </c>
      <c r="T1791" s="33" t="s">
        <v>12692</v>
      </c>
    </row>
    <row r="1792" spans="1:21" x14ac:dyDescent="0.25">
      <c r="A1792" s="33" t="s">
        <v>12574</v>
      </c>
      <c r="B1792" s="33" t="s">
        <v>3386</v>
      </c>
      <c r="C1792" s="33" t="s">
        <v>141</v>
      </c>
      <c r="D1792" s="34"/>
      <c r="E1792" s="33">
        <v>2020</v>
      </c>
      <c r="F1792" s="34"/>
      <c r="G1792" s="34"/>
      <c r="H1792" s="33" t="s">
        <v>3388</v>
      </c>
      <c r="I1792" s="33" t="s">
        <v>153</v>
      </c>
      <c r="J1792" s="33">
        <v>2020</v>
      </c>
      <c r="K1792" s="33">
        <v>9781450381789</v>
      </c>
      <c r="L1792" s="34"/>
      <c r="M1792" s="34"/>
      <c r="N1792" s="37" t="s">
        <v>3389</v>
      </c>
      <c r="O1792" s="33" t="s">
        <v>3390</v>
      </c>
      <c r="P1792" s="33" t="s">
        <v>3391</v>
      </c>
      <c r="Q1792" s="33" t="s">
        <v>318</v>
      </c>
      <c r="R1792" s="34"/>
      <c r="S1792" s="38"/>
      <c r="T1792" s="38" t="s">
        <v>12690</v>
      </c>
    </row>
    <row r="1793" spans="1:20" x14ac:dyDescent="0.25">
      <c r="A1793" s="33" t="s">
        <v>3334</v>
      </c>
      <c r="B1793" s="33" t="s">
        <v>3333</v>
      </c>
      <c r="C1793" s="33" t="s">
        <v>141</v>
      </c>
      <c r="D1793" s="34"/>
      <c r="E1793" s="33">
        <v>2021</v>
      </c>
      <c r="F1793" s="33">
        <v>2867</v>
      </c>
      <c r="G1793" s="34"/>
      <c r="H1793" s="33" t="s">
        <v>3335</v>
      </c>
      <c r="I1793" s="33" t="s">
        <v>613</v>
      </c>
      <c r="J1793" s="33">
        <v>2021</v>
      </c>
      <c r="K1793" s="34"/>
      <c r="L1793" s="34"/>
      <c r="M1793" s="33" t="s">
        <v>614</v>
      </c>
      <c r="N1793" s="37" t="s">
        <v>3336</v>
      </c>
      <c r="O1793" s="34"/>
      <c r="P1793" s="33" t="s">
        <v>3337</v>
      </c>
      <c r="Q1793" s="33" t="s">
        <v>318</v>
      </c>
      <c r="R1793" s="34"/>
      <c r="S1793" s="38"/>
      <c r="T1793" s="38" t="s">
        <v>12690</v>
      </c>
    </row>
    <row r="1794" spans="1:20" x14ac:dyDescent="0.25">
      <c r="A1794" s="39" t="s">
        <v>9937</v>
      </c>
      <c r="B1794" s="39" t="s">
        <v>9939</v>
      </c>
      <c r="C1794" s="39" t="s">
        <v>9478</v>
      </c>
      <c r="D1794" s="36"/>
      <c r="E1794" s="39">
        <v>2019</v>
      </c>
      <c r="F1794" s="39">
        <v>27</v>
      </c>
      <c r="G1794" s="39">
        <v>3</v>
      </c>
      <c r="H1794" s="36"/>
      <c r="I1794" s="39" t="s">
        <v>523</v>
      </c>
      <c r="J1794" s="36"/>
      <c r="K1794" s="36"/>
      <c r="L1794" s="36"/>
      <c r="M1794" s="34"/>
      <c r="N1794" s="41" t="s">
        <v>9940</v>
      </c>
      <c r="O1794" s="39" t="s">
        <v>9938</v>
      </c>
      <c r="P1794" s="33"/>
      <c r="Q1794" s="36"/>
      <c r="R1794" s="34"/>
      <c r="S1794" s="38"/>
      <c r="T1794" s="38" t="s">
        <v>12689</v>
      </c>
    </row>
    <row r="1795" spans="1:20" x14ac:dyDescent="0.25">
      <c r="A1795" s="39" t="s">
        <v>9783</v>
      </c>
      <c r="B1795" s="39" t="s">
        <v>9785</v>
      </c>
      <c r="C1795" s="39" t="s">
        <v>9478</v>
      </c>
      <c r="D1795" s="36"/>
      <c r="E1795" s="39">
        <v>2023</v>
      </c>
      <c r="F1795" s="40"/>
      <c r="G1795" s="40"/>
      <c r="H1795" s="36"/>
      <c r="I1795" s="39" t="s">
        <v>9782</v>
      </c>
      <c r="J1795" s="36"/>
      <c r="K1795" s="36"/>
      <c r="L1795" s="36"/>
      <c r="M1795" s="34"/>
      <c r="N1795" s="41" t="s">
        <v>9786</v>
      </c>
      <c r="O1795" s="39" t="s">
        <v>9784</v>
      </c>
      <c r="P1795" s="33"/>
      <c r="Q1795" s="36"/>
      <c r="R1795" s="34"/>
      <c r="S1795" s="38"/>
      <c r="T1795" s="38" t="s">
        <v>12689</v>
      </c>
    </row>
    <row r="1796" spans="1:20" x14ac:dyDescent="0.25">
      <c r="A1796" s="33" t="s">
        <v>5409</v>
      </c>
      <c r="B1796" s="33" t="s">
        <v>5408</v>
      </c>
      <c r="C1796" s="33" t="s">
        <v>539</v>
      </c>
      <c r="D1796" s="34"/>
      <c r="E1796" s="33">
        <v>2018</v>
      </c>
      <c r="F1796" s="34"/>
      <c r="G1796" s="34"/>
      <c r="H1796" s="34"/>
      <c r="I1796" s="33" t="s">
        <v>5410</v>
      </c>
      <c r="J1796" s="33">
        <v>2018</v>
      </c>
      <c r="K1796" s="33">
        <v>9783319918365</v>
      </c>
      <c r="L1796" s="33">
        <v>9783319918358</v>
      </c>
      <c r="M1796" s="34"/>
      <c r="N1796" s="37" t="s">
        <v>5411</v>
      </c>
      <c r="O1796" s="33" t="s">
        <v>5412</v>
      </c>
      <c r="P1796" s="33" t="s">
        <v>5413</v>
      </c>
      <c r="Q1796" s="33" t="s">
        <v>1930</v>
      </c>
      <c r="R1796" s="33" t="s">
        <v>5414</v>
      </c>
      <c r="S1796" s="38"/>
      <c r="T1796" s="38" t="s">
        <v>12690</v>
      </c>
    </row>
    <row r="1797" spans="1:20" x14ac:dyDescent="0.25">
      <c r="A1797" s="33" t="s">
        <v>8683</v>
      </c>
      <c r="B1797" s="33" t="s">
        <v>8682</v>
      </c>
      <c r="C1797" s="33" t="s">
        <v>13</v>
      </c>
      <c r="D1797" s="33" t="s">
        <v>307</v>
      </c>
      <c r="E1797" s="33">
        <v>2021</v>
      </c>
      <c r="F1797" s="33">
        <v>130</v>
      </c>
      <c r="G1797" s="36"/>
      <c r="H1797" s="33">
        <v>106439</v>
      </c>
      <c r="I1797" s="36"/>
      <c r="J1797" s="33">
        <v>2021</v>
      </c>
      <c r="K1797" s="34"/>
      <c r="L1797" s="34"/>
      <c r="M1797" s="33" t="s">
        <v>308</v>
      </c>
      <c r="N1797" s="37" t="s">
        <v>8684</v>
      </c>
      <c r="O1797" s="33" t="s">
        <v>8685</v>
      </c>
      <c r="P1797" s="33" t="s">
        <v>8686</v>
      </c>
      <c r="Q1797" s="36"/>
      <c r="R1797" s="36"/>
      <c r="S1797" s="34"/>
      <c r="T1797" s="38" t="s">
        <v>12693</v>
      </c>
    </row>
    <row r="1798" spans="1:20" x14ac:dyDescent="0.25">
      <c r="A1798" s="39" t="s">
        <v>9322</v>
      </c>
      <c r="B1798" s="39" t="s">
        <v>9324</v>
      </c>
      <c r="C1798" s="39" t="s">
        <v>539</v>
      </c>
      <c r="D1798" s="36"/>
      <c r="E1798" s="39">
        <v>2021</v>
      </c>
      <c r="F1798" s="40"/>
      <c r="G1798" s="40"/>
      <c r="H1798" s="36"/>
      <c r="I1798" s="39" t="s">
        <v>676</v>
      </c>
      <c r="J1798" s="36"/>
      <c r="K1798" s="36"/>
      <c r="L1798" s="36"/>
      <c r="M1798" s="34"/>
      <c r="N1798" s="41" t="s">
        <v>9325</v>
      </c>
      <c r="O1798" s="39" t="s">
        <v>9323</v>
      </c>
      <c r="P1798" s="33"/>
      <c r="Q1798" s="36"/>
      <c r="R1798" s="34"/>
      <c r="S1798" s="38"/>
      <c r="T1798" s="38" t="s">
        <v>12689</v>
      </c>
    </row>
    <row r="1799" spans="1:20" x14ac:dyDescent="0.25">
      <c r="A1799" s="33" t="s">
        <v>6637</v>
      </c>
      <c r="B1799" s="33" t="s">
        <v>6636</v>
      </c>
      <c r="C1799" s="33" t="s">
        <v>13</v>
      </c>
      <c r="D1799" s="33" t="s">
        <v>4637</v>
      </c>
      <c r="E1799" s="33">
        <v>2019</v>
      </c>
      <c r="F1799" s="33">
        <v>36</v>
      </c>
      <c r="G1799" s="33">
        <v>2</v>
      </c>
      <c r="H1799" s="33" t="s">
        <v>6638</v>
      </c>
      <c r="I1799" s="34"/>
      <c r="J1799" s="43">
        <v>43525</v>
      </c>
      <c r="K1799" s="36"/>
      <c r="L1799" s="36"/>
      <c r="M1799" s="33" t="s">
        <v>6207</v>
      </c>
      <c r="N1799" s="37" t="s">
        <v>6639</v>
      </c>
      <c r="O1799" s="33" t="s">
        <v>6640</v>
      </c>
      <c r="P1799" s="33" t="s">
        <v>6641</v>
      </c>
      <c r="Q1799" s="36"/>
      <c r="R1799" s="36"/>
      <c r="S1799" s="33" t="s">
        <v>6642</v>
      </c>
      <c r="T1799" s="38" t="s">
        <v>12688</v>
      </c>
    </row>
    <row r="1800" spans="1:20" x14ac:dyDescent="0.25">
      <c r="A1800" s="39" t="s">
        <v>9367</v>
      </c>
      <c r="B1800" s="39" t="s">
        <v>9369</v>
      </c>
      <c r="C1800" s="39" t="s">
        <v>539</v>
      </c>
      <c r="D1800" s="36"/>
      <c r="E1800" s="39">
        <v>2021</v>
      </c>
      <c r="F1800" s="40"/>
      <c r="G1800" s="40"/>
      <c r="H1800" s="36"/>
      <c r="I1800" s="39" t="s">
        <v>676</v>
      </c>
      <c r="J1800" s="36"/>
      <c r="K1800" s="36"/>
      <c r="L1800" s="36"/>
      <c r="M1800" s="34"/>
      <c r="N1800" s="41" t="s">
        <v>9370</v>
      </c>
      <c r="O1800" s="39" t="s">
        <v>9368</v>
      </c>
      <c r="P1800" s="33"/>
      <c r="Q1800" s="36"/>
      <c r="R1800" s="34"/>
      <c r="S1800" s="38"/>
      <c r="T1800" s="38" t="s">
        <v>12689</v>
      </c>
    </row>
    <row r="1801" spans="1:20" x14ac:dyDescent="0.25">
      <c r="A1801" s="33" t="s">
        <v>6432</v>
      </c>
      <c r="B1801" s="33" t="s">
        <v>5589</v>
      </c>
      <c r="C1801" s="33" t="s">
        <v>141</v>
      </c>
      <c r="D1801" s="34"/>
      <c r="E1801" s="33">
        <v>2018</v>
      </c>
      <c r="F1801" s="34"/>
      <c r="G1801" s="34"/>
      <c r="H1801" s="33" t="s">
        <v>6433</v>
      </c>
      <c r="I1801" s="33" t="s">
        <v>6145</v>
      </c>
      <c r="J1801" s="43">
        <v>43313</v>
      </c>
      <c r="K1801" s="36"/>
      <c r="L1801" s="36"/>
      <c r="M1801" s="34"/>
      <c r="N1801" s="37" t="s">
        <v>6434</v>
      </c>
      <c r="O1801" s="33" t="s">
        <v>5593</v>
      </c>
      <c r="P1801" s="33" t="s">
        <v>6435</v>
      </c>
      <c r="Q1801" s="36"/>
      <c r="R1801" s="36"/>
      <c r="S1801" s="33" t="s">
        <v>6436</v>
      </c>
      <c r="T1801" s="38" t="s">
        <v>12688</v>
      </c>
    </row>
    <row r="1802" spans="1:20" x14ac:dyDescent="0.25">
      <c r="A1802" s="33" t="s">
        <v>6432</v>
      </c>
      <c r="B1802" s="33" t="s">
        <v>5589</v>
      </c>
      <c r="C1802" s="33" t="s">
        <v>141</v>
      </c>
      <c r="D1802" s="34"/>
      <c r="E1802" s="33">
        <v>2018</v>
      </c>
      <c r="F1802" s="34"/>
      <c r="G1802" s="34"/>
      <c r="H1802" s="33" t="s">
        <v>5591</v>
      </c>
      <c r="I1802" s="33" t="s">
        <v>257</v>
      </c>
      <c r="J1802" s="33">
        <v>2018</v>
      </c>
      <c r="K1802" s="33">
        <v>9781538673829</v>
      </c>
      <c r="L1802" s="34"/>
      <c r="M1802" s="34"/>
      <c r="N1802" s="37" t="s">
        <v>5592</v>
      </c>
      <c r="O1802" s="33" t="s">
        <v>5593</v>
      </c>
      <c r="P1802" s="33" t="s">
        <v>5594</v>
      </c>
      <c r="Q1802" s="33" t="s">
        <v>5595</v>
      </c>
      <c r="R1802" s="34"/>
      <c r="S1802" s="38"/>
      <c r="T1802" s="38" t="s">
        <v>12690</v>
      </c>
    </row>
    <row r="1803" spans="1:20" x14ac:dyDescent="0.25">
      <c r="A1803" s="33" t="s">
        <v>1090</v>
      </c>
      <c r="B1803" s="33" t="s">
        <v>1089</v>
      </c>
      <c r="C1803" s="33" t="s">
        <v>13</v>
      </c>
      <c r="D1803" s="33" t="s">
        <v>11246</v>
      </c>
      <c r="E1803" s="33">
        <v>2022</v>
      </c>
      <c r="F1803" s="33">
        <v>31</v>
      </c>
      <c r="G1803" s="33">
        <v>2</v>
      </c>
      <c r="H1803" s="34"/>
      <c r="I1803" s="44" t="s">
        <v>12710</v>
      </c>
      <c r="J1803" s="43">
        <v>44652</v>
      </c>
      <c r="K1803" s="34"/>
      <c r="L1803" s="34"/>
      <c r="M1803" s="33" t="s">
        <v>329</v>
      </c>
      <c r="N1803" s="37" t="s">
        <v>11351</v>
      </c>
      <c r="O1803" s="33" t="s">
        <v>1092</v>
      </c>
      <c r="P1803" s="33" t="s">
        <v>11352</v>
      </c>
      <c r="Q1803" s="36"/>
      <c r="R1803" s="36"/>
      <c r="S1803" s="33" t="s">
        <v>11353</v>
      </c>
      <c r="T1803" s="33" t="s">
        <v>12692</v>
      </c>
    </row>
    <row r="1804" spans="1:20" x14ac:dyDescent="0.25">
      <c r="A1804" s="33" t="s">
        <v>1090</v>
      </c>
      <c r="B1804" s="33" t="s">
        <v>1089</v>
      </c>
      <c r="C1804" s="33" t="s">
        <v>13</v>
      </c>
      <c r="D1804" s="33" t="s">
        <v>328</v>
      </c>
      <c r="E1804" s="33">
        <v>2022</v>
      </c>
      <c r="F1804" s="33">
        <v>31</v>
      </c>
      <c r="G1804" s="33">
        <v>2</v>
      </c>
      <c r="H1804" s="34"/>
      <c r="I1804" s="33" t="s">
        <v>145</v>
      </c>
      <c r="J1804" s="33">
        <v>2022</v>
      </c>
      <c r="K1804" s="34"/>
      <c r="L1804" s="34"/>
      <c r="M1804" s="33" t="s">
        <v>329</v>
      </c>
      <c r="N1804" s="37" t="s">
        <v>1091</v>
      </c>
      <c r="O1804" s="33" t="s">
        <v>1092</v>
      </c>
      <c r="P1804" s="33" t="s">
        <v>1093</v>
      </c>
      <c r="Q1804" s="33" t="s">
        <v>1094</v>
      </c>
      <c r="R1804" s="34"/>
      <c r="S1804" s="38"/>
      <c r="T1804" s="38" t="s">
        <v>12690</v>
      </c>
    </row>
    <row r="1805" spans="1:20" x14ac:dyDescent="0.25">
      <c r="A1805" s="33" t="s">
        <v>4912</v>
      </c>
      <c r="B1805" s="33" t="s">
        <v>4911</v>
      </c>
      <c r="C1805" s="33" t="s">
        <v>13</v>
      </c>
      <c r="D1805" s="33" t="s">
        <v>4637</v>
      </c>
      <c r="E1805" s="33">
        <v>2020</v>
      </c>
      <c r="F1805" s="33">
        <v>37</v>
      </c>
      <c r="G1805" s="33">
        <v>4</v>
      </c>
      <c r="H1805" s="33" t="s">
        <v>4913</v>
      </c>
      <c r="I1805" s="33" t="s">
        <v>196</v>
      </c>
      <c r="J1805" s="33">
        <v>2020</v>
      </c>
      <c r="K1805" s="34"/>
      <c r="L1805" s="34"/>
      <c r="M1805" s="33" t="s">
        <v>4639</v>
      </c>
      <c r="N1805" s="37" t="s">
        <v>4914</v>
      </c>
      <c r="O1805" s="33" t="s">
        <v>4915</v>
      </c>
      <c r="P1805" s="33" t="s">
        <v>4916</v>
      </c>
      <c r="Q1805" s="33" t="s">
        <v>4917</v>
      </c>
      <c r="R1805" s="34"/>
      <c r="S1805" s="38"/>
      <c r="T1805" s="38" t="s">
        <v>12690</v>
      </c>
    </row>
    <row r="1806" spans="1:20" x14ac:dyDescent="0.25">
      <c r="A1806" s="33" t="s">
        <v>4925</v>
      </c>
      <c r="B1806" s="33" t="s">
        <v>4924</v>
      </c>
      <c r="C1806" s="33" t="s">
        <v>141</v>
      </c>
      <c r="D1806" s="34"/>
      <c r="E1806" s="33">
        <v>2019</v>
      </c>
      <c r="F1806" s="34"/>
      <c r="G1806" s="34"/>
      <c r="H1806" s="33" t="s">
        <v>11146</v>
      </c>
      <c r="I1806" s="44" t="s">
        <v>12810</v>
      </c>
      <c r="J1806" s="33">
        <v>2019</v>
      </c>
      <c r="K1806" s="34"/>
      <c r="L1806" s="33" t="s">
        <v>11152</v>
      </c>
      <c r="M1806" s="34"/>
      <c r="N1806" s="37" t="s">
        <v>11149</v>
      </c>
      <c r="O1806" s="33" t="s">
        <v>4928</v>
      </c>
      <c r="P1806" s="33" t="s">
        <v>11150</v>
      </c>
      <c r="Q1806" s="36"/>
      <c r="R1806" s="36"/>
      <c r="S1806" s="33" t="s">
        <v>11151</v>
      </c>
      <c r="T1806" s="33" t="s">
        <v>12692</v>
      </c>
    </row>
    <row r="1807" spans="1:20" x14ac:dyDescent="0.25">
      <c r="A1807" s="33" t="s">
        <v>4925</v>
      </c>
      <c r="B1807" s="33" t="s">
        <v>4924</v>
      </c>
      <c r="C1807" s="33" t="s">
        <v>141</v>
      </c>
      <c r="D1807" s="34"/>
      <c r="E1807" s="33">
        <v>2019</v>
      </c>
      <c r="F1807" s="34"/>
      <c r="G1807" s="34"/>
      <c r="H1807" s="33" t="s">
        <v>6273</v>
      </c>
      <c r="I1807" s="33" t="s">
        <v>6274</v>
      </c>
      <c r="J1807" s="43">
        <v>43586</v>
      </c>
      <c r="K1807" s="36"/>
      <c r="L1807" s="36"/>
      <c r="M1807" s="34"/>
      <c r="N1807" s="37" t="s">
        <v>6275</v>
      </c>
      <c r="O1807" s="33" t="s">
        <v>4928</v>
      </c>
      <c r="P1807" s="33" t="s">
        <v>6276</v>
      </c>
      <c r="Q1807" s="36"/>
      <c r="R1807" s="36"/>
      <c r="S1807" s="33" t="s">
        <v>6277</v>
      </c>
      <c r="T1807" s="38" t="s">
        <v>12688</v>
      </c>
    </row>
    <row r="1808" spans="1:20" x14ac:dyDescent="0.25">
      <c r="A1808" s="33" t="s">
        <v>4925</v>
      </c>
      <c r="B1808" s="33" t="s">
        <v>4924</v>
      </c>
      <c r="C1808" s="33" t="s">
        <v>141</v>
      </c>
      <c r="D1808" s="34"/>
      <c r="E1808" s="33">
        <v>2019</v>
      </c>
      <c r="F1808" s="34"/>
      <c r="G1808" s="34"/>
      <c r="H1808" s="33" t="s">
        <v>4926</v>
      </c>
      <c r="I1808" s="33" t="s">
        <v>257</v>
      </c>
      <c r="J1808" s="33">
        <v>2019</v>
      </c>
      <c r="K1808" s="33">
        <v>9781728117607</v>
      </c>
      <c r="L1808" s="34"/>
      <c r="M1808" s="34"/>
      <c r="N1808" s="37" t="s">
        <v>4927</v>
      </c>
      <c r="O1808" s="33" t="s">
        <v>4928</v>
      </c>
      <c r="P1808" s="33" t="s">
        <v>4929</v>
      </c>
      <c r="Q1808" s="33" t="s">
        <v>4930</v>
      </c>
      <c r="R1808" s="34"/>
      <c r="S1808" s="38"/>
      <c r="T1808" s="38" t="s">
        <v>12690</v>
      </c>
    </row>
    <row r="1809" spans="1:20" x14ac:dyDescent="0.25">
      <c r="A1809" s="33" t="s">
        <v>8554</v>
      </c>
      <c r="B1809" s="33" t="s">
        <v>8553</v>
      </c>
      <c r="C1809" s="33" t="s">
        <v>13</v>
      </c>
      <c r="D1809" s="33" t="s">
        <v>354</v>
      </c>
      <c r="E1809" s="33">
        <v>2022</v>
      </c>
      <c r="F1809" s="33">
        <v>190</v>
      </c>
      <c r="G1809" s="36"/>
      <c r="H1809" s="33">
        <v>111326</v>
      </c>
      <c r="I1809" s="36"/>
      <c r="J1809" s="33">
        <v>2022</v>
      </c>
      <c r="K1809" s="34"/>
      <c r="L1809" s="34"/>
      <c r="M1809" s="33" t="s">
        <v>65</v>
      </c>
      <c r="N1809" s="37" t="s">
        <v>8555</v>
      </c>
      <c r="O1809" s="33" t="s">
        <v>8556</v>
      </c>
      <c r="P1809" s="33" t="s">
        <v>8557</v>
      </c>
      <c r="Q1809" s="36"/>
      <c r="R1809" s="36"/>
      <c r="S1809" s="33" t="s">
        <v>8558</v>
      </c>
      <c r="T1809" s="38" t="s">
        <v>12693</v>
      </c>
    </row>
    <row r="1810" spans="1:20" x14ac:dyDescent="0.25">
      <c r="A1810" s="33" t="s">
        <v>11213</v>
      </c>
      <c r="B1810" s="33" t="s">
        <v>11212</v>
      </c>
      <c r="C1810" s="33" t="s">
        <v>13</v>
      </c>
      <c r="D1810" s="33" t="s">
        <v>11214</v>
      </c>
      <c r="E1810" s="33">
        <v>2023</v>
      </c>
      <c r="F1810" s="33">
        <v>66</v>
      </c>
      <c r="G1810" s="33">
        <v>2</v>
      </c>
      <c r="H1810" s="33" t="s">
        <v>11215</v>
      </c>
      <c r="I1810" s="44" t="s">
        <v>12710</v>
      </c>
      <c r="J1810" s="43">
        <v>44927</v>
      </c>
      <c r="K1810" s="34"/>
      <c r="L1810" s="34"/>
      <c r="M1810" s="33" t="s">
        <v>11216</v>
      </c>
      <c r="N1810" s="37" t="s">
        <v>11217</v>
      </c>
      <c r="O1810" s="33" t="s">
        <v>11218</v>
      </c>
      <c r="P1810" s="33" t="s">
        <v>11219</v>
      </c>
      <c r="Q1810" s="36"/>
      <c r="R1810" s="36"/>
      <c r="S1810" s="34"/>
      <c r="T1810" s="33" t="s">
        <v>12692</v>
      </c>
    </row>
    <row r="1811" spans="1:20" x14ac:dyDescent="0.25">
      <c r="A1811" s="39" t="s">
        <v>9347</v>
      </c>
      <c r="B1811" s="39" t="s">
        <v>9349</v>
      </c>
      <c r="C1811" s="39" t="s">
        <v>539</v>
      </c>
      <c r="D1811" s="36"/>
      <c r="E1811" s="39">
        <v>2022</v>
      </c>
      <c r="F1811" s="40"/>
      <c r="G1811" s="40"/>
      <c r="H1811" s="36"/>
      <c r="I1811" s="39" t="s">
        <v>676</v>
      </c>
      <c r="J1811" s="36"/>
      <c r="K1811" s="36"/>
      <c r="L1811" s="36"/>
      <c r="M1811" s="34"/>
      <c r="N1811" s="41" t="s">
        <v>9350</v>
      </c>
      <c r="O1811" s="39" t="s">
        <v>9348</v>
      </c>
      <c r="P1811" s="33"/>
      <c r="Q1811" s="36"/>
      <c r="R1811" s="34"/>
      <c r="S1811" s="38"/>
      <c r="T1811" s="38" t="s">
        <v>12689</v>
      </c>
    </row>
    <row r="1812" spans="1:20" x14ac:dyDescent="0.25">
      <c r="A1812" s="39" t="s">
        <v>10227</v>
      </c>
      <c r="B1812" s="39" t="s">
        <v>10229</v>
      </c>
      <c r="C1812" s="39" t="s">
        <v>9539</v>
      </c>
      <c r="D1812" s="36"/>
      <c r="E1812" s="39">
        <v>2023</v>
      </c>
      <c r="F1812" s="40"/>
      <c r="G1812" s="40"/>
      <c r="H1812" s="36"/>
      <c r="I1812" s="39" t="s">
        <v>9726</v>
      </c>
      <c r="J1812" s="36"/>
      <c r="K1812" s="36"/>
      <c r="L1812" s="36"/>
      <c r="M1812" s="34"/>
      <c r="N1812" s="41" t="s">
        <v>10230</v>
      </c>
      <c r="O1812" s="39" t="s">
        <v>10228</v>
      </c>
      <c r="P1812" s="33"/>
      <c r="Q1812" s="36"/>
      <c r="R1812" s="34"/>
      <c r="S1812" s="38"/>
      <c r="T1812" s="38" t="s">
        <v>12689</v>
      </c>
    </row>
    <row r="1813" spans="1:20" x14ac:dyDescent="0.25">
      <c r="A1813" s="33" t="s">
        <v>1622</v>
      </c>
      <c r="B1813" s="33" t="s">
        <v>1621</v>
      </c>
      <c r="C1813" s="33" t="s">
        <v>13</v>
      </c>
      <c r="D1813" s="33" t="s">
        <v>1623</v>
      </c>
      <c r="E1813" s="33">
        <v>2021</v>
      </c>
      <c r="F1813" s="33">
        <v>12</v>
      </c>
      <c r="G1813" s="33">
        <v>1</v>
      </c>
      <c r="H1813" s="34"/>
      <c r="I1813" s="33" t="s">
        <v>212</v>
      </c>
      <c r="J1813" s="33">
        <v>2021</v>
      </c>
      <c r="K1813" s="34"/>
      <c r="L1813" s="34"/>
      <c r="M1813" s="33" t="s">
        <v>1624</v>
      </c>
      <c r="N1813" s="37" t="s">
        <v>1625</v>
      </c>
      <c r="O1813" s="33" t="s">
        <v>1626</v>
      </c>
      <c r="P1813" s="33" t="s">
        <v>1627</v>
      </c>
      <c r="Q1813" s="33" t="s">
        <v>447</v>
      </c>
      <c r="R1813" s="34"/>
      <c r="S1813" s="38"/>
      <c r="T1813" s="38" t="s">
        <v>12690</v>
      </c>
    </row>
    <row r="1814" spans="1:20" x14ac:dyDescent="0.25">
      <c r="A1814" s="39" t="s">
        <v>1622</v>
      </c>
      <c r="B1814" s="39" t="s">
        <v>9871</v>
      </c>
      <c r="C1814" s="39" t="s">
        <v>9478</v>
      </c>
      <c r="D1814" s="36"/>
      <c r="E1814" s="39">
        <v>2021</v>
      </c>
      <c r="F1814" s="39">
        <v>12</v>
      </c>
      <c r="G1814" s="39">
        <v>1</v>
      </c>
      <c r="H1814" s="36"/>
      <c r="I1814" s="39" t="s">
        <v>1623</v>
      </c>
      <c r="J1814" s="36"/>
      <c r="K1814" s="36"/>
      <c r="L1814" s="36"/>
      <c r="M1814" s="34"/>
      <c r="N1814" s="41" t="s">
        <v>9872</v>
      </c>
      <c r="O1814" s="39" t="s">
        <v>1626</v>
      </c>
      <c r="P1814" s="33"/>
      <c r="Q1814" s="36"/>
      <c r="R1814" s="34"/>
      <c r="S1814" s="38"/>
      <c r="T1814" s="38" t="s">
        <v>12689</v>
      </c>
    </row>
    <row r="1815" spans="1:20" x14ac:dyDescent="0.25">
      <c r="A1815" s="39" t="s">
        <v>9969</v>
      </c>
      <c r="B1815" s="39" t="s">
        <v>9971</v>
      </c>
      <c r="C1815" s="39" t="s">
        <v>9539</v>
      </c>
      <c r="D1815" s="36"/>
      <c r="E1815" s="39">
        <v>2019</v>
      </c>
      <c r="F1815" s="40"/>
      <c r="G1815" s="40"/>
      <c r="H1815" s="36"/>
      <c r="I1815" s="39" t="s">
        <v>9968</v>
      </c>
      <c r="J1815" s="36"/>
      <c r="K1815" s="36"/>
      <c r="L1815" s="36"/>
      <c r="M1815" s="34"/>
      <c r="N1815" s="41" t="s">
        <v>9972</v>
      </c>
      <c r="O1815" s="39" t="s">
        <v>9970</v>
      </c>
      <c r="P1815" s="33"/>
      <c r="Q1815" s="36"/>
      <c r="R1815" s="34"/>
      <c r="S1815" s="38"/>
      <c r="T1815" s="38" t="s">
        <v>12689</v>
      </c>
    </row>
    <row r="1816" spans="1:20" x14ac:dyDescent="0.25">
      <c r="A1816" s="33" t="s">
        <v>3669</v>
      </c>
      <c r="B1816" s="33" t="s">
        <v>3668</v>
      </c>
      <c r="C1816" s="33" t="s">
        <v>13</v>
      </c>
      <c r="D1816" s="33" t="s">
        <v>2179</v>
      </c>
      <c r="E1816" s="33">
        <v>2021</v>
      </c>
      <c r="F1816" s="33">
        <v>7</v>
      </c>
      <c r="G1816" s="34"/>
      <c r="H1816" s="33" t="s">
        <v>3670</v>
      </c>
      <c r="I1816" s="33" t="s">
        <v>2180</v>
      </c>
      <c r="J1816" s="33">
        <v>2021</v>
      </c>
      <c r="K1816" s="34"/>
      <c r="L1816" s="34"/>
      <c r="M1816" s="33" t="s">
        <v>2181</v>
      </c>
      <c r="N1816" s="37" t="s">
        <v>3671</v>
      </c>
      <c r="O1816" s="33" t="s">
        <v>3672</v>
      </c>
      <c r="P1816" s="33" t="s">
        <v>3673</v>
      </c>
      <c r="Q1816" s="33" t="s">
        <v>233</v>
      </c>
      <c r="R1816" s="34"/>
      <c r="S1816" s="38"/>
      <c r="T1816" s="38" t="s">
        <v>12690</v>
      </c>
    </row>
    <row r="1817" spans="1:20" x14ac:dyDescent="0.25">
      <c r="A1817" s="33" t="s">
        <v>6475</v>
      </c>
      <c r="B1817" s="33" t="s">
        <v>6474</v>
      </c>
      <c r="C1817" s="33" t="s">
        <v>141</v>
      </c>
      <c r="D1817" s="34"/>
      <c r="E1817" s="33">
        <v>2014</v>
      </c>
      <c r="F1817" s="34"/>
      <c r="G1817" s="34"/>
      <c r="H1817" s="42">
        <v>44932</v>
      </c>
      <c r="I1817" s="33" t="s">
        <v>6476</v>
      </c>
      <c r="J1817" s="43">
        <v>41760</v>
      </c>
      <c r="K1817" s="36"/>
      <c r="L1817" s="36"/>
      <c r="M1817" s="33" t="s">
        <v>6477</v>
      </c>
      <c r="N1817" s="37" t="s">
        <v>6478</v>
      </c>
      <c r="O1817" s="33" t="s">
        <v>6479</v>
      </c>
      <c r="P1817" s="33" t="s">
        <v>6480</v>
      </c>
      <c r="Q1817" s="36"/>
      <c r="R1817" s="36"/>
      <c r="S1817" s="33" t="s">
        <v>6481</v>
      </c>
      <c r="T1817" s="38" t="s">
        <v>12688</v>
      </c>
    </row>
    <row r="1818" spans="1:20" x14ac:dyDescent="0.25">
      <c r="A1818" s="33" t="s">
        <v>6348</v>
      </c>
      <c r="B1818" s="33" t="s">
        <v>6347</v>
      </c>
      <c r="C1818" s="33" t="s">
        <v>13</v>
      </c>
      <c r="D1818" s="33" t="s">
        <v>4637</v>
      </c>
      <c r="E1818" s="33">
        <v>2018</v>
      </c>
      <c r="F1818" s="33">
        <v>35</v>
      </c>
      <c r="G1818" s="33">
        <v>2</v>
      </c>
      <c r="H1818" s="33" t="s">
        <v>6349</v>
      </c>
      <c r="I1818" s="34"/>
      <c r="J1818" s="43">
        <v>43160</v>
      </c>
      <c r="K1818" s="36"/>
      <c r="L1818" s="36"/>
      <c r="M1818" s="33" t="s">
        <v>6207</v>
      </c>
      <c r="N1818" s="37" t="s">
        <v>6350</v>
      </c>
      <c r="O1818" s="33" t="s">
        <v>6351</v>
      </c>
      <c r="P1818" s="33" t="s">
        <v>6352</v>
      </c>
      <c r="Q1818" s="36"/>
      <c r="R1818" s="36"/>
      <c r="S1818" s="33" t="s">
        <v>6353</v>
      </c>
      <c r="T1818" s="38" t="s">
        <v>12688</v>
      </c>
    </row>
    <row r="1819" spans="1:20" x14ac:dyDescent="0.25">
      <c r="A1819" s="33" t="s">
        <v>5821</v>
      </c>
      <c r="B1819" s="33" t="s">
        <v>5820</v>
      </c>
      <c r="C1819" s="33" t="s">
        <v>13</v>
      </c>
      <c r="D1819" s="33" t="s">
        <v>5822</v>
      </c>
      <c r="E1819" s="33">
        <v>2018</v>
      </c>
      <c r="F1819" s="33">
        <v>21</v>
      </c>
      <c r="G1819" s="33">
        <v>5</v>
      </c>
      <c r="H1819" s="33" t="s">
        <v>5823</v>
      </c>
      <c r="I1819" s="33" t="s">
        <v>5824</v>
      </c>
      <c r="J1819" s="33">
        <v>2018</v>
      </c>
      <c r="K1819" s="34"/>
      <c r="L1819" s="34"/>
      <c r="M1819" s="33" t="s">
        <v>5825</v>
      </c>
      <c r="N1819" s="37" t="s">
        <v>5826</v>
      </c>
      <c r="O1819" s="33" t="s">
        <v>5827</v>
      </c>
      <c r="P1819" s="33" t="s">
        <v>5828</v>
      </c>
      <c r="Q1819" s="33" t="s">
        <v>2723</v>
      </c>
      <c r="R1819" s="34"/>
      <c r="S1819" s="38"/>
      <c r="T1819" s="38" t="s">
        <v>12690</v>
      </c>
    </row>
    <row r="1820" spans="1:20" x14ac:dyDescent="0.25">
      <c r="A1820" s="33" t="s">
        <v>3828</v>
      </c>
      <c r="B1820" s="33" t="s">
        <v>3827</v>
      </c>
      <c r="C1820" s="33" t="s">
        <v>141</v>
      </c>
      <c r="D1820" s="34"/>
      <c r="E1820" s="33">
        <v>2020</v>
      </c>
      <c r="F1820" s="34"/>
      <c r="G1820" s="34"/>
      <c r="H1820" s="34"/>
      <c r="I1820" s="33" t="s">
        <v>257</v>
      </c>
      <c r="J1820" s="33">
        <v>2020</v>
      </c>
      <c r="K1820" s="33">
        <v>9781728169163</v>
      </c>
      <c r="L1820" s="34"/>
      <c r="M1820" s="34"/>
      <c r="N1820" s="37" t="s">
        <v>3829</v>
      </c>
      <c r="O1820" s="33" t="s">
        <v>3830</v>
      </c>
      <c r="P1820" s="33" t="s">
        <v>3831</v>
      </c>
      <c r="Q1820" s="33" t="s">
        <v>157</v>
      </c>
      <c r="R1820" s="34"/>
      <c r="S1820" s="38"/>
      <c r="T1820" s="38" t="s">
        <v>12690</v>
      </c>
    </row>
    <row r="1821" spans="1:20" x14ac:dyDescent="0.25">
      <c r="A1821" s="33" t="s">
        <v>8450</v>
      </c>
      <c r="B1821" s="33" t="s">
        <v>8449</v>
      </c>
      <c r="C1821" s="33" t="s">
        <v>13</v>
      </c>
      <c r="D1821" s="33" t="s">
        <v>354</v>
      </c>
      <c r="E1821" s="33">
        <v>2023</v>
      </c>
      <c r="F1821" s="33">
        <v>196</v>
      </c>
      <c r="G1821" s="36"/>
      <c r="H1821" s="33">
        <v>111554</v>
      </c>
      <c r="I1821" s="36"/>
      <c r="J1821" s="33">
        <v>2023</v>
      </c>
      <c r="K1821" s="34"/>
      <c r="L1821" s="34"/>
      <c r="M1821" s="33" t="s">
        <v>65</v>
      </c>
      <c r="N1821" s="37" t="s">
        <v>8451</v>
      </c>
      <c r="O1821" s="33" t="s">
        <v>8452</v>
      </c>
      <c r="P1821" s="33" t="s">
        <v>8453</v>
      </c>
      <c r="Q1821" s="36"/>
      <c r="R1821" s="36"/>
      <c r="S1821" s="33" t="s">
        <v>8454</v>
      </c>
      <c r="T1821" s="38" t="s">
        <v>12693</v>
      </c>
    </row>
    <row r="1822" spans="1:20" x14ac:dyDescent="0.25">
      <c r="A1822" s="39" t="s">
        <v>9897</v>
      </c>
      <c r="B1822" s="39" t="s">
        <v>9899</v>
      </c>
      <c r="C1822" s="39" t="s">
        <v>539</v>
      </c>
      <c r="D1822" s="36"/>
      <c r="E1822" s="39">
        <v>2022</v>
      </c>
      <c r="F1822" s="40"/>
      <c r="G1822" s="40"/>
      <c r="H1822" s="36"/>
      <c r="I1822" s="40"/>
      <c r="J1822" s="36"/>
      <c r="K1822" s="36"/>
      <c r="L1822" s="36"/>
      <c r="M1822" s="34"/>
      <c r="N1822" s="41" t="s">
        <v>9900</v>
      </c>
      <c r="O1822" s="39" t="s">
        <v>9898</v>
      </c>
      <c r="P1822" s="33"/>
      <c r="Q1822" s="36"/>
      <c r="R1822" s="34"/>
      <c r="S1822" s="38"/>
      <c r="T1822" s="38" t="s">
        <v>12689</v>
      </c>
    </row>
    <row r="1823" spans="1:20" x14ac:dyDescent="0.25">
      <c r="A1823" s="39" t="s">
        <v>10362</v>
      </c>
      <c r="B1823" s="39" t="s">
        <v>10364</v>
      </c>
      <c r="C1823" s="39" t="s">
        <v>9539</v>
      </c>
      <c r="D1823" s="36"/>
      <c r="E1823" s="39">
        <v>2021</v>
      </c>
      <c r="F1823" s="40"/>
      <c r="G1823" s="40"/>
      <c r="H1823" s="36"/>
      <c r="I1823" s="39" t="s">
        <v>10135</v>
      </c>
      <c r="J1823" s="36"/>
      <c r="K1823" s="36"/>
      <c r="L1823" s="36"/>
      <c r="M1823" s="34"/>
      <c r="N1823" s="41" t="s">
        <v>10365</v>
      </c>
      <c r="O1823" s="39" t="s">
        <v>10363</v>
      </c>
      <c r="P1823" s="33"/>
      <c r="Q1823" s="36"/>
      <c r="R1823" s="34"/>
      <c r="S1823" s="38"/>
      <c r="T1823" s="38" t="s">
        <v>12689</v>
      </c>
    </row>
    <row r="1824" spans="1:20" x14ac:dyDescent="0.25">
      <c r="A1824" s="33" t="s">
        <v>7855</v>
      </c>
      <c r="B1824" s="33" t="s">
        <v>7854</v>
      </c>
      <c r="C1824" s="33" t="s">
        <v>141</v>
      </c>
      <c r="D1824" s="34"/>
      <c r="E1824" s="33">
        <v>2018</v>
      </c>
      <c r="F1824" s="34"/>
      <c r="G1824" s="34"/>
      <c r="H1824" s="33" t="s">
        <v>11816</v>
      </c>
      <c r="I1824" s="44" t="s">
        <v>12811</v>
      </c>
      <c r="J1824" s="33">
        <v>2018</v>
      </c>
      <c r="K1824" s="33">
        <v>9781450357371</v>
      </c>
      <c r="L1824" s="33" t="s">
        <v>11821</v>
      </c>
      <c r="M1824" s="34"/>
      <c r="N1824" s="37" t="s">
        <v>11818</v>
      </c>
      <c r="O1824" s="33" t="s">
        <v>11819</v>
      </c>
      <c r="P1824" s="33" t="s">
        <v>7857</v>
      </c>
      <c r="Q1824" s="36"/>
      <c r="R1824" s="36"/>
      <c r="S1824" s="33" t="s">
        <v>11820</v>
      </c>
      <c r="T1824" s="33" t="s">
        <v>12692</v>
      </c>
    </row>
    <row r="1825" spans="1:20" x14ac:dyDescent="0.25">
      <c r="A1825" s="33" t="s">
        <v>7855</v>
      </c>
      <c r="B1825" s="33" t="s">
        <v>7854</v>
      </c>
      <c r="C1825" s="33" t="s">
        <v>141</v>
      </c>
      <c r="D1825" s="34"/>
      <c r="E1825" s="33">
        <v>2018</v>
      </c>
      <c r="F1825" s="34"/>
      <c r="G1825" s="34"/>
      <c r="H1825" s="42">
        <v>44930</v>
      </c>
      <c r="I1825" s="33" t="s">
        <v>7856</v>
      </c>
      <c r="J1825" s="43">
        <v>43221</v>
      </c>
      <c r="K1825" s="36"/>
      <c r="L1825" s="36"/>
      <c r="M1825" s="34"/>
      <c r="N1825" s="34"/>
      <c r="O1825" s="34"/>
      <c r="P1825" s="33" t="s">
        <v>7857</v>
      </c>
      <c r="Q1825" s="36"/>
      <c r="R1825" s="36"/>
      <c r="S1825" s="33" t="s">
        <v>7858</v>
      </c>
      <c r="T1825" s="38" t="s">
        <v>12688</v>
      </c>
    </row>
    <row r="1826" spans="1:20" x14ac:dyDescent="0.25">
      <c r="A1826" s="33" t="s">
        <v>1279</v>
      </c>
      <c r="B1826" s="33" t="s">
        <v>1278</v>
      </c>
      <c r="C1826" s="33" t="s">
        <v>13</v>
      </c>
      <c r="D1826" s="33" t="s">
        <v>791</v>
      </c>
      <c r="E1826" s="33">
        <v>2022</v>
      </c>
      <c r="F1826" s="33">
        <v>11</v>
      </c>
      <c r="G1826" s="33">
        <v>16</v>
      </c>
      <c r="H1826" s="34"/>
      <c r="I1826" s="33" t="s">
        <v>228</v>
      </c>
      <c r="J1826" s="33">
        <v>2022</v>
      </c>
      <c r="K1826" s="34"/>
      <c r="L1826" s="34"/>
      <c r="M1826" s="33" t="s">
        <v>792</v>
      </c>
      <c r="N1826" s="37" t="s">
        <v>1280</v>
      </c>
      <c r="O1826" s="33" t="s">
        <v>1281</v>
      </c>
      <c r="P1826" s="33" t="s">
        <v>1282</v>
      </c>
      <c r="Q1826" s="33" t="s">
        <v>285</v>
      </c>
      <c r="R1826" s="34"/>
      <c r="S1826" s="38"/>
      <c r="T1826" s="38" t="s">
        <v>12690</v>
      </c>
    </row>
    <row r="1827" spans="1:20" x14ac:dyDescent="0.25">
      <c r="A1827" s="39" t="s">
        <v>9544</v>
      </c>
      <c r="B1827" s="39" t="s">
        <v>9546</v>
      </c>
      <c r="C1827" s="39" t="s">
        <v>539</v>
      </c>
      <c r="D1827" s="36"/>
      <c r="E1827" s="39">
        <v>2022</v>
      </c>
      <c r="F1827" s="40"/>
      <c r="G1827" s="40"/>
      <c r="H1827" s="36"/>
      <c r="I1827" s="39" t="s">
        <v>1870</v>
      </c>
      <c r="J1827" s="36"/>
      <c r="K1827" s="36"/>
      <c r="L1827" s="36"/>
      <c r="M1827" s="34"/>
      <c r="N1827" s="41" t="s">
        <v>9547</v>
      </c>
      <c r="O1827" s="39" t="s">
        <v>9545</v>
      </c>
      <c r="P1827" s="33"/>
      <c r="Q1827" s="36"/>
      <c r="R1827" s="34"/>
      <c r="S1827" s="38"/>
      <c r="T1827" s="38" t="s">
        <v>12689</v>
      </c>
    </row>
    <row r="1828" spans="1:20" x14ac:dyDescent="0.25">
      <c r="A1828" s="33" t="s">
        <v>2746</v>
      </c>
      <c r="B1828" s="33" t="s">
        <v>217</v>
      </c>
      <c r="C1828" s="33" t="s">
        <v>13</v>
      </c>
      <c r="D1828" s="33" t="s">
        <v>878</v>
      </c>
      <c r="E1828" s="33">
        <v>2021</v>
      </c>
      <c r="F1828" s="33">
        <v>33</v>
      </c>
      <c r="G1828" s="33">
        <v>3</v>
      </c>
      <c r="H1828" s="34"/>
      <c r="I1828" s="33" t="s">
        <v>266</v>
      </c>
      <c r="J1828" s="33">
        <v>2021</v>
      </c>
      <c r="K1828" s="34"/>
      <c r="L1828" s="34"/>
      <c r="M1828" s="33" t="s">
        <v>879</v>
      </c>
      <c r="N1828" s="37" t="s">
        <v>2747</v>
      </c>
      <c r="O1828" s="33" t="s">
        <v>2748</v>
      </c>
      <c r="P1828" s="33" t="s">
        <v>2749</v>
      </c>
      <c r="Q1828" s="33" t="s">
        <v>2286</v>
      </c>
      <c r="R1828" s="34"/>
      <c r="S1828" s="38"/>
      <c r="T1828" s="38" t="s">
        <v>12690</v>
      </c>
    </row>
    <row r="1829" spans="1:20" x14ac:dyDescent="0.25">
      <c r="A1829" s="39" t="s">
        <v>9388</v>
      </c>
      <c r="B1829" s="39" t="s">
        <v>9390</v>
      </c>
      <c r="C1829" s="39" t="s">
        <v>539</v>
      </c>
      <c r="D1829" s="36"/>
      <c r="E1829" s="39">
        <v>2021</v>
      </c>
      <c r="F1829" s="40"/>
      <c r="G1829" s="40"/>
      <c r="H1829" s="36"/>
      <c r="I1829" s="40"/>
      <c r="J1829" s="36"/>
      <c r="K1829" s="36"/>
      <c r="L1829" s="36"/>
      <c r="M1829" s="34"/>
      <c r="N1829" s="41" t="s">
        <v>9391</v>
      </c>
      <c r="O1829" s="39" t="s">
        <v>9389</v>
      </c>
      <c r="P1829" s="33"/>
      <c r="Q1829" s="36"/>
      <c r="R1829" s="34"/>
      <c r="S1829" s="38"/>
      <c r="T1829" s="38" t="s">
        <v>12689</v>
      </c>
    </row>
    <row r="1830" spans="1:20" x14ac:dyDescent="0.25">
      <c r="A1830" s="39" t="s">
        <v>10519</v>
      </c>
      <c r="B1830" s="39" t="s">
        <v>10521</v>
      </c>
      <c r="C1830" s="39" t="s">
        <v>9478</v>
      </c>
      <c r="D1830" s="36"/>
      <c r="E1830" s="39">
        <v>2022</v>
      </c>
      <c r="F1830" s="39">
        <v>27</v>
      </c>
      <c r="G1830" s="39">
        <v>3</v>
      </c>
      <c r="H1830" s="36"/>
      <c r="I1830" s="39" t="s">
        <v>136</v>
      </c>
      <c r="J1830" s="36"/>
      <c r="K1830" s="36"/>
      <c r="L1830" s="36"/>
      <c r="M1830" s="34"/>
      <c r="N1830" s="41" t="s">
        <v>10522</v>
      </c>
      <c r="O1830" s="39" t="s">
        <v>10520</v>
      </c>
      <c r="P1830" s="33"/>
      <c r="Q1830" s="36"/>
      <c r="R1830" s="34"/>
      <c r="S1830" s="38"/>
      <c r="T1830" s="38" t="s">
        <v>12689</v>
      </c>
    </row>
    <row r="1831" spans="1:20" x14ac:dyDescent="0.25">
      <c r="A1831" s="33" t="s">
        <v>3129</v>
      </c>
      <c r="B1831" s="33" t="s">
        <v>3128</v>
      </c>
      <c r="C1831" s="33" t="s">
        <v>13</v>
      </c>
      <c r="D1831" s="33" t="s">
        <v>3130</v>
      </c>
      <c r="E1831" s="33">
        <v>2021</v>
      </c>
      <c r="F1831" s="33">
        <v>2021</v>
      </c>
      <c r="G1831" s="34"/>
      <c r="H1831" s="34"/>
      <c r="I1831" s="33" t="s">
        <v>1333</v>
      </c>
      <c r="J1831" s="33">
        <v>2021</v>
      </c>
      <c r="K1831" s="34"/>
      <c r="L1831" s="34"/>
      <c r="M1831" s="33" t="s">
        <v>3131</v>
      </c>
      <c r="N1831" s="37" t="s">
        <v>3132</v>
      </c>
      <c r="O1831" s="33" t="s">
        <v>3133</v>
      </c>
      <c r="P1831" s="33" t="s">
        <v>3134</v>
      </c>
      <c r="Q1831" s="33" t="s">
        <v>3135</v>
      </c>
      <c r="R1831" s="34"/>
      <c r="S1831" s="38"/>
      <c r="T1831" s="38" t="s">
        <v>12690</v>
      </c>
    </row>
    <row r="1832" spans="1:20" x14ac:dyDescent="0.25">
      <c r="A1832" s="39" t="s">
        <v>9835</v>
      </c>
      <c r="B1832" s="39" t="s">
        <v>9837</v>
      </c>
      <c r="C1832" s="39" t="s">
        <v>539</v>
      </c>
      <c r="D1832" s="36"/>
      <c r="E1832" s="39">
        <v>2022</v>
      </c>
      <c r="F1832" s="40"/>
      <c r="G1832" s="40"/>
      <c r="H1832" s="36"/>
      <c r="I1832" s="39" t="s">
        <v>462</v>
      </c>
      <c r="J1832" s="36"/>
      <c r="K1832" s="36"/>
      <c r="L1832" s="36"/>
      <c r="M1832" s="34"/>
      <c r="N1832" s="41" t="s">
        <v>9838</v>
      </c>
      <c r="O1832" s="39" t="s">
        <v>9836</v>
      </c>
      <c r="P1832" s="33"/>
      <c r="Q1832" s="36"/>
      <c r="R1832" s="34"/>
      <c r="S1832" s="38"/>
      <c r="T1832" s="38" t="s">
        <v>12689</v>
      </c>
    </row>
    <row r="1833" spans="1:20" x14ac:dyDescent="0.25">
      <c r="A1833" s="39" t="s">
        <v>10486</v>
      </c>
      <c r="B1833" s="39" t="s">
        <v>10488</v>
      </c>
      <c r="C1833" s="39" t="s">
        <v>9539</v>
      </c>
      <c r="D1833" s="36"/>
      <c r="E1833" s="39">
        <v>2019</v>
      </c>
      <c r="F1833" s="40"/>
      <c r="G1833" s="40"/>
      <c r="H1833" s="36"/>
      <c r="I1833" s="39" t="s">
        <v>9331</v>
      </c>
      <c r="J1833" s="36"/>
      <c r="K1833" s="36"/>
      <c r="L1833" s="36"/>
      <c r="M1833" s="34"/>
      <c r="N1833" s="41" t="s">
        <v>10489</v>
      </c>
      <c r="O1833" s="39" t="s">
        <v>10487</v>
      </c>
      <c r="P1833" s="33"/>
      <c r="Q1833" s="36"/>
      <c r="R1833" s="34"/>
      <c r="S1833" s="38"/>
      <c r="T1833" s="38" t="s">
        <v>12689</v>
      </c>
    </row>
    <row r="1834" spans="1:20" x14ac:dyDescent="0.25">
      <c r="A1834" s="33" t="s">
        <v>5428</v>
      </c>
      <c r="B1834" s="33" t="s">
        <v>5427</v>
      </c>
      <c r="C1834" s="33" t="s">
        <v>13</v>
      </c>
      <c r="D1834" s="33" t="s">
        <v>354</v>
      </c>
      <c r="E1834" s="33">
        <v>2018</v>
      </c>
      <c r="F1834" s="33">
        <v>141</v>
      </c>
      <c r="G1834" s="34"/>
      <c r="H1834" s="33" t="s">
        <v>5429</v>
      </c>
      <c r="I1834" s="33" t="s">
        <v>355</v>
      </c>
      <c r="J1834" s="33">
        <v>2018</v>
      </c>
      <c r="K1834" s="34"/>
      <c r="L1834" s="34"/>
      <c r="M1834" s="33" t="s">
        <v>65</v>
      </c>
      <c r="N1834" s="37" t="s">
        <v>5430</v>
      </c>
      <c r="O1834" s="33" t="s">
        <v>5431</v>
      </c>
      <c r="P1834" s="33" t="s">
        <v>5432</v>
      </c>
      <c r="Q1834" s="33" t="s">
        <v>5433</v>
      </c>
      <c r="R1834" s="34"/>
      <c r="S1834" s="38"/>
      <c r="T1834" s="38" t="s">
        <v>12690</v>
      </c>
    </row>
    <row r="1835" spans="1:20" x14ac:dyDescent="0.25">
      <c r="A1835" s="33" t="s">
        <v>9094</v>
      </c>
      <c r="B1835" s="33" t="s">
        <v>9093</v>
      </c>
      <c r="C1835" s="33" t="s">
        <v>13</v>
      </c>
      <c r="D1835" s="33" t="s">
        <v>354</v>
      </c>
      <c r="E1835" s="33">
        <v>2019</v>
      </c>
      <c r="F1835" s="33">
        <v>156</v>
      </c>
      <c r="G1835" s="36"/>
      <c r="H1835" s="33" t="s">
        <v>9095</v>
      </c>
      <c r="I1835" s="36"/>
      <c r="J1835" s="33">
        <v>2019</v>
      </c>
      <c r="K1835" s="34"/>
      <c r="L1835" s="34"/>
      <c r="M1835" s="33" t="s">
        <v>65</v>
      </c>
      <c r="N1835" s="37" t="s">
        <v>9096</v>
      </c>
      <c r="O1835" s="33" t="s">
        <v>9097</v>
      </c>
      <c r="P1835" s="34"/>
      <c r="Q1835" s="36"/>
      <c r="R1835" s="36"/>
      <c r="S1835" s="34"/>
      <c r="T1835" s="38" t="s">
        <v>12693</v>
      </c>
    </row>
    <row r="1836" spans="1:20" x14ac:dyDescent="0.25">
      <c r="A1836" s="33" t="s">
        <v>531</v>
      </c>
      <c r="B1836" s="33" t="s">
        <v>530</v>
      </c>
      <c r="C1836" s="33" t="s">
        <v>13</v>
      </c>
      <c r="D1836" s="33" t="s">
        <v>532</v>
      </c>
      <c r="E1836" s="33">
        <v>2022</v>
      </c>
      <c r="F1836" s="33">
        <v>55</v>
      </c>
      <c r="G1836" s="33">
        <v>3</v>
      </c>
      <c r="H1836" s="33" t="s">
        <v>533</v>
      </c>
      <c r="I1836" s="33" t="s">
        <v>196</v>
      </c>
      <c r="J1836" s="33">
        <v>2022</v>
      </c>
      <c r="K1836" s="34"/>
      <c r="L1836" s="34"/>
      <c r="M1836" s="33" t="s">
        <v>534</v>
      </c>
      <c r="N1836" s="37" t="s">
        <v>535</v>
      </c>
      <c r="O1836" s="33" t="s">
        <v>536</v>
      </c>
      <c r="P1836" s="33" t="s">
        <v>537</v>
      </c>
      <c r="Q1836" s="33" t="s">
        <v>538</v>
      </c>
      <c r="R1836" s="34"/>
      <c r="S1836" s="38"/>
      <c r="T1836" s="38" t="s">
        <v>12690</v>
      </c>
    </row>
    <row r="1837" spans="1:20" x14ac:dyDescent="0.25">
      <c r="A1837" s="33" t="s">
        <v>1136</v>
      </c>
      <c r="B1837" s="33" t="s">
        <v>1135</v>
      </c>
      <c r="C1837" s="33" t="s">
        <v>141</v>
      </c>
      <c r="D1837" s="34"/>
      <c r="E1837" s="33">
        <v>2022</v>
      </c>
      <c r="F1837" s="34"/>
      <c r="G1837" s="34"/>
      <c r="H1837" s="33" t="s">
        <v>1137</v>
      </c>
      <c r="I1837" s="33" t="s">
        <v>145</v>
      </c>
      <c r="J1837" s="33">
        <v>2022</v>
      </c>
      <c r="K1837" s="33">
        <v>9781450392051</v>
      </c>
      <c r="L1837" s="34"/>
      <c r="M1837" s="34"/>
      <c r="N1837" s="37" t="s">
        <v>1138</v>
      </c>
      <c r="O1837" s="33" t="s">
        <v>1139</v>
      </c>
      <c r="P1837" s="33" t="s">
        <v>1140</v>
      </c>
      <c r="Q1837" s="33" t="s">
        <v>520</v>
      </c>
      <c r="R1837" s="34"/>
      <c r="S1837" s="38"/>
      <c r="T1837" s="38" t="s">
        <v>12690</v>
      </c>
    </row>
    <row r="1838" spans="1:20" x14ac:dyDescent="0.25">
      <c r="A1838" s="33" t="s">
        <v>4427</v>
      </c>
      <c r="B1838" s="33" t="s">
        <v>4426</v>
      </c>
      <c r="C1838" s="33" t="s">
        <v>13</v>
      </c>
      <c r="D1838" s="33" t="s">
        <v>209</v>
      </c>
      <c r="E1838" s="33">
        <v>2019</v>
      </c>
      <c r="F1838" s="33" t="s">
        <v>4428</v>
      </c>
      <c r="G1838" s="34"/>
      <c r="H1838" s="33" t="s">
        <v>4429</v>
      </c>
      <c r="I1838" s="33" t="s">
        <v>4155</v>
      </c>
      <c r="J1838" s="33">
        <v>2019</v>
      </c>
      <c r="K1838" s="34"/>
      <c r="L1838" s="34"/>
      <c r="M1838" s="33" t="s">
        <v>213</v>
      </c>
      <c r="N1838" s="37" t="s">
        <v>4430</v>
      </c>
      <c r="O1838" s="33" t="s">
        <v>4431</v>
      </c>
      <c r="P1838" s="33" t="s">
        <v>4432</v>
      </c>
      <c r="Q1838" s="33" t="s">
        <v>2811</v>
      </c>
      <c r="R1838" s="34"/>
      <c r="S1838" s="38"/>
      <c r="T1838" s="38" t="s">
        <v>12690</v>
      </c>
    </row>
    <row r="1839" spans="1:20" x14ac:dyDescent="0.25">
      <c r="A1839" s="33" t="s">
        <v>645</v>
      </c>
      <c r="B1839" s="33" t="s">
        <v>644</v>
      </c>
      <c r="C1839" s="33" t="s">
        <v>141</v>
      </c>
      <c r="D1839" s="34"/>
      <c r="E1839" s="33">
        <v>2022</v>
      </c>
      <c r="F1839" s="34"/>
      <c r="G1839" s="34"/>
      <c r="H1839" s="34"/>
      <c r="I1839" s="33" t="s">
        <v>145</v>
      </c>
      <c r="J1839" s="33">
        <v>2022</v>
      </c>
      <c r="K1839" s="33">
        <v>9781450391573</v>
      </c>
      <c r="L1839" s="34"/>
      <c r="M1839" s="34"/>
      <c r="N1839" s="37" t="s">
        <v>646</v>
      </c>
      <c r="O1839" s="33" t="s">
        <v>647</v>
      </c>
      <c r="P1839" s="33" t="s">
        <v>648</v>
      </c>
      <c r="Q1839" s="33" t="s">
        <v>318</v>
      </c>
      <c r="R1839" s="34"/>
      <c r="S1839" s="38"/>
      <c r="T1839" s="38" t="s">
        <v>12690</v>
      </c>
    </row>
    <row r="1840" spans="1:20" x14ac:dyDescent="0.25">
      <c r="A1840" s="33" t="s">
        <v>3190</v>
      </c>
      <c r="B1840" s="33" t="s">
        <v>3189</v>
      </c>
      <c r="C1840" s="33" t="s">
        <v>13</v>
      </c>
      <c r="D1840" s="33" t="s">
        <v>354</v>
      </c>
      <c r="E1840" s="33">
        <v>2020</v>
      </c>
      <c r="F1840" s="33">
        <v>170</v>
      </c>
      <c r="G1840" s="36"/>
      <c r="H1840" s="33">
        <v>110750</v>
      </c>
      <c r="I1840" s="36"/>
      <c r="J1840" s="33">
        <v>2020</v>
      </c>
      <c r="K1840" s="34"/>
      <c r="L1840" s="34"/>
      <c r="M1840" s="33" t="s">
        <v>65</v>
      </c>
      <c r="N1840" s="37" t="s">
        <v>8468</v>
      </c>
      <c r="O1840" s="33" t="s">
        <v>3192</v>
      </c>
      <c r="P1840" s="33" t="s">
        <v>8469</v>
      </c>
      <c r="Q1840" s="36"/>
      <c r="R1840" s="36"/>
      <c r="S1840" s="33" t="s">
        <v>8470</v>
      </c>
      <c r="T1840" s="38" t="s">
        <v>12693</v>
      </c>
    </row>
    <row r="1841" spans="1:20" x14ac:dyDescent="0.25">
      <c r="A1841" s="33" t="s">
        <v>3190</v>
      </c>
      <c r="B1841" s="33" t="s">
        <v>3189</v>
      </c>
      <c r="C1841" s="33" t="s">
        <v>13</v>
      </c>
      <c r="D1841" s="33" t="s">
        <v>354</v>
      </c>
      <c r="E1841" s="33">
        <v>2020</v>
      </c>
      <c r="F1841" s="33">
        <v>170</v>
      </c>
      <c r="G1841" s="34"/>
      <c r="H1841" s="34"/>
      <c r="I1841" s="33" t="s">
        <v>355</v>
      </c>
      <c r="J1841" s="33">
        <v>2020</v>
      </c>
      <c r="K1841" s="34"/>
      <c r="L1841" s="34"/>
      <c r="M1841" s="33" t="s">
        <v>65</v>
      </c>
      <c r="N1841" s="37" t="s">
        <v>3191</v>
      </c>
      <c r="O1841" s="33" t="s">
        <v>3192</v>
      </c>
      <c r="P1841" s="33" t="s">
        <v>3193</v>
      </c>
      <c r="Q1841" s="33" t="s">
        <v>1249</v>
      </c>
      <c r="R1841" s="34"/>
      <c r="S1841" s="38"/>
      <c r="T1841" s="38" t="s">
        <v>12690</v>
      </c>
    </row>
    <row r="1842" spans="1:20" x14ac:dyDescent="0.25">
      <c r="A1842" s="39" t="s">
        <v>11017</v>
      </c>
      <c r="B1842" s="39" t="s">
        <v>11019</v>
      </c>
      <c r="C1842" s="39" t="s">
        <v>9539</v>
      </c>
      <c r="D1842" s="36"/>
      <c r="E1842" s="39">
        <v>2021</v>
      </c>
      <c r="F1842" s="40"/>
      <c r="G1842" s="40"/>
      <c r="H1842" s="36"/>
      <c r="I1842" s="39" t="s">
        <v>9609</v>
      </c>
      <c r="J1842" s="36"/>
      <c r="K1842" s="36"/>
      <c r="L1842" s="36"/>
      <c r="M1842" s="34"/>
      <c r="N1842" s="41" t="s">
        <v>11020</v>
      </c>
      <c r="O1842" s="39" t="s">
        <v>11018</v>
      </c>
      <c r="P1842" s="33"/>
      <c r="Q1842" s="36"/>
      <c r="R1842" s="34"/>
      <c r="S1842" s="38"/>
      <c r="T1842" s="38" t="s">
        <v>12689</v>
      </c>
    </row>
    <row r="1843" spans="1:20" x14ac:dyDescent="0.25">
      <c r="A1843" s="33" t="s">
        <v>11313</v>
      </c>
      <c r="B1843" s="33" t="s">
        <v>2068</v>
      </c>
      <c r="C1843" s="33" t="s">
        <v>141</v>
      </c>
      <c r="D1843" s="34"/>
      <c r="E1843" s="33">
        <v>2022</v>
      </c>
      <c r="F1843" s="34"/>
      <c r="G1843" s="34"/>
      <c r="H1843" s="33" t="s">
        <v>11314</v>
      </c>
      <c r="I1843" s="44" t="s">
        <v>12748</v>
      </c>
      <c r="J1843" s="33">
        <v>2022</v>
      </c>
      <c r="K1843" s="33">
        <v>9781450393041</v>
      </c>
      <c r="L1843" s="33" t="s">
        <v>11081</v>
      </c>
      <c r="M1843" s="34"/>
      <c r="N1843" s="37" t="s">
        <v>11315</v>
      </c>
      <c r="O1843" s="33" t="s">
        <v>2072</v>
      </c>
      <c r="P1843" s="33" t="s">
        <v>11316</v>
      </c>
      <c r="Q1843" s="36"/>
      <c r="R1843" s="36"/>
      <c r="S1843" s="33" t="s">
        <v>11317</v>
      </c>
      <c r="T1843" s="33" t="s">
        <v>12692</v>
      </c>
    </row>
    <row r="1844" spans="1:20" x14ac:dyDescent="0.25">
      <c r="A1844" s="33" t="s">
        <v>11313</v>
      </c>
      <c r="B1844" s="33" t="s">
        <v>2068</v>
      </c>
      <c r="C1844" s="33" t="s">
        <v>141</v>
      </c>
      <c r="D1844" s="34"/>
      <c r="E1844" s="33">
        <v>2022</v>
      </c>
      <c r="F1844" s="34"/>
      <c r="G1844" s="34"/>
      <c r="H1844" s="33" t="s">
        <v>6172</v>
      </c>
      <c r="I1844" s="33" t="s">
        <v>6118</v>
      </c>
      <c r="J1844" s="43">
        <v>44682</v>
      </c>
      <c r="K1844" s="36"/>
      <c r="L1844" s="36"/>
      <c r="M1844" s="34"/>
      <c r="N1844" s="37" t="s">
        <v>6173</v>
      </c>
      <c r="O1844" s="33" t="s">
        <v>2072</v>
      </c>
      <c r="P1844" s="33" t="s">
        <v>6174</v>
      </c>
      <c r="Q1844" s="36"/>
      <c r="R1844" s="36"/>
      <c r="S1844" s="33" t="s">
        <v>6175</v>
      </c>
      <c r="T1844" s="38" t="s">
        <v>12688</v>
      </c>
    </row>
    <row r="1845" spans="1:20" x14ac:dyDescent="0.25">
      <c r="A1845" s="33" t="s">
        <v>11313</v>
      </c>
      <c r="B1845" s="33" t="s">
        <v>2068</v>
      </c>
      <c r="C1845" s="33" t="s">
        <v>141</v>
      </c>
      <c r="D1845" s="34"/>
      <c r="E1845" s="33">
        <v>2022</v>
      </c>
      <c r="F1845" s="34"/>
      <c r="G1845" s="34"/>
      <c r="H1845" s="33" t="s">
        <v>2070</v>
      </c>
      <c r="I1845" s="33" t="s">
        <v>257</v>
      </c>
      <c r="J1845" s="33">
        <v>2022</v>
      </c>
      <c r="K1845" s="33">
        <v>9781450393041</v>
      </c>
      <c r="L1845" s="34"/>
      <c r="M1845" s="34"/>
      <c r="N1845" s="37" t="s">
        <v>2071</v>
      </c>
      <c r="O1845" s="33" t="s">
        <v>2072</v>
      </c>
      <c r="P1845" s="33" t="s">
        <v>2073</v>
      </c>
      <c r="Q1845" s="33" t="s">
        <v>404</v>
      </c>
      <c r="R1845" s="34"/>
      <c r="S1845" s="38"/>
      <c r="T1845" s="38" t="s">
        <v>12690</v>
      </c>
    </row>
    <row r="1846" spans="1:20" x14ac:dyDescent="0.25">
      <c r="A1846" s="33" t="s">
        <v>12579</v>
      </c>
      <c r="B1846" s="34"/>
      <c r="C1846" s="33" t="s">
        <v>539</v>
      </c>
      <c r="D1846" s="34"/>
      <c r="E1846" s="33">
        <v>2022</v>
      </c>
      <c r="F1846" s="34"/>
      <c r="G1846" s="34"/>
      <c r="H1846" s="34"/>
      <c r="I1846" s="44" t="s">
        <v>12710</v>
      </c>
      <c r="J1846" s="33">
        <v>2022</v>
      </c>
      <c r="K1846" s="33">
        <v>9781450399012</v>
      </c>
      <c r="L1846" s="34"/>
      <c r="M1846" s="34"/>
      <c r="N1846" s="34"/>
      <c r="O1846" s="34"/>
      <c r="P1846" s="33" t="s">
        <v>12580</v>
      </c>
      <c r="Q1846" s="36"/>
      <c r="R1846" s="36"/>
      <c r="S1846" s="34"/>
      <c r="T1846" s="33" t="s">
        <v>12692</v>
      </c>
    </row>
    <row r="1847" spans="1:20" x14ac:dyDescent="0.25">
      <c r="A1847" s="33" t="s">
        <v>9059</v>
      </c>
      <c r="B1847" s="33" t="s">
        <v>9058</v>
      </c>
      <c r="C1847" s="33" t="s">
        <v>13</v>
      </c>
      <c r="D1847" s="33" t="s">
        <v>354</v>
      </c>
      <c r="E1847" s="33">
        <v>2020</v>
      </c>
      <c r="F1847" s="33">
        <v>168</v>
      </c>
      <c r="G1847" s="36"/>
      <c r="H1847" s="33">
        <v>110671</v>
      </c>
      <c r="I1847" s="36"/>
      <c r="J1847" s="33">
        <v>2020</v>
      </c>
      <c r="K1847" s="34"/>
      <c r="L1847" s="34"/>
      <c r="M1847" s="33" t="s">
        <v>65</v>
      </c>
      <c r="N1847" s="37" t="s">
        <v>9060</v>
      </c>
      <c r="O1847" s="33" t="s">
        <v>9061</v>
      </c>
      <c r="P1847" s="33" t="s">
        <v>9062</v>
      </c>
      <c r="Q1847" s="36"/>
      <c r="R1847" s="36"/>
      <c r="S1847" s="33" t="s">
        <v>9063</v>
      </c>
      <c r="T1847" s="38" t="s">
        <v>12693</v>
      </c>
    </row>
    <row r="1848" spans="1:20" x14ac:dyDescent="0.25">
      <c r="A1848" s="39" t="s">
        <v>9758</v>
      </c>
      <c r="B1848" s="39" t="s">
        <v>9760</v>
      </c>
      <c r="C1848" s="39" t="s">
        <v>539</v>
      </c>
      <c r="D1848" s="36"/>
      <c r="E1848" s="39">
        <v>2022</v>
      </c>
      <c r="F1848" s="40"/>
      <c r="G1848" s="40"/>
      <c r="H1848" s="36"/>
      <c r="I1848" s="39" t="s">
        <v>9757</v>
      </c>
      <c r="J1848" s="36"/>
      <c r="K1848" s="36"/>
      <c r="L1848" s="36"/>
      <c r="M1848" s="34"/>
      <c r="N1848" s="41" t="s">
        <v>9761</v>
      </c>
      <c r="O1848" s="39" t="s">
        <v>9759</v>
      </c>
      <c r="P1848" s="33"/>
      <c r="Q1848" s="36"/>
      <c r="R1848" s="34"/>
      <c r="S1848" s="38"/>
      <c r="T1848" s="38" t="s">
        <v>12689</v>
      </c>
    </row>
    <row r="1849" spans="1:20" x14ac:dyDescent="0.25">
      <c r="A1849" s="33" t="s">
        <v>1066</v>
      </c>
      <c r="B1849" s="33" t="s">
        <v>1065</v>
      </c>
      <c r="C1849" s="33" t="s">
        <v>13</v>
      </c>
      <c r="D1849" s="33" t="s">
        <v>307</v>
      </c>
      <c r="E1849" s="33">
        <v>2022</v>
      </c>
      <c r="F1849" s="33">
        <v>149</v>
      </c>
      <c r="G1849" s="36"/>
      <c r="H1849" s="33">
        <v>106939</v>
      </c>
      <c r="I1849" s="36"/>
      <c r="J1849" s="33">
        <v>2022</v>
      </c>
      <c r="K1849" s="34"/>
      <c r="L1849" s="34"/>
      <c r="M1849" s="33" t="s">
        <v>308</v>
      </c>
      <c r="N1849" s="37" t="s">
        <v>8804</v>
      </c>
      <c r="O1849" s="33" t="s">
        <v>1068</v>
      </c>
      <c r="P1849" s="33" t="s">
        <v>8805</v>
      </c>
      <c r="Q1849" s="36"/>
      <c r="R1849" s="36"/>
      <c r="S1849" s="33" t="s">
        <v>8806</v>
      </c>
      <c r="T1849" s="38" t="s">
        <v>12693</v>
      </c>
    </row>
    <row r="1850" spans="1:20" x14ac:dyDescent="0.25">
      <c r="A1850" s="33" t="s">
        <v>1066</v>
      </c>
      <c r="B1850" s="33" t="s">
        <v>1065</v>
      </c>
      <c r="C1850" s="33" t="s">
        <v>13</v>
      </c>
      <c r="D1850" s="33" t="s">
        <v>307</v>
      </c>
      <c r="E1850" s="33">
        <v>2022</v>
      </c>
      <c r="F1850" s="33">
        <v>149</v>
      </c>
      <c r="G1850" s="34"/>
      <c r="H1850" s="34"/>
      <c r="I1850" s="33" t="s">
        <v>280</v>
      </c>
      <c r="J1850" s="33">
        <v>2022</v>
      </c>
      <c r="K1850" s="34"/>
      <c r="L1850" s="34"/>
      <c r="M1850" s="33" t="s">
        <v>308</v>
      </c>
      <c r="N1850" s="37" t="s">
        <v>1067</v>
      </c>
      <c r="O1850" s="33" t="s">
        <v>1068</v>
      </c>
      <c r="P1850" s="33" t="s">
        <v>1069</v>
      </c>
      <c r="Q1850" s="33" t="s">
        <v>318</v>
      </c>
      <c r="R1850" s="34"/>
      <c r="S1850" s="38"/>
      <c r="T1850" s="38" t="s">
        <v>12690</v>
      </c>
    </row>
    <row r="1851" spans="1:20" x14ac:dyDescent="0.25">
      <c r="A1851" s="33" t="s">
        <v>8794</v>
      </c>
      <c r="B1851" s="33" t="s">
        <v>8793</v>
      </c>
      <c r="C1851" s="33" t="s">
        <v>13</v>
      </c>
      <c r="D1851" s="33" t="s">
        <v>8795</v>
      </c>
      <c r="E1851" s="33">
        <v>2022</v>
      </c>
      <c r="F1851" s="33">
        <v>39</v>
      </c>
      <c r="G1851" s="36"/>
      <c r="H1851" s="33">
        <v>101706</v>
      </c>
      <c r="I1851" s="36"/>
      <c r="J1851" s="33">
        <v>2022</v>
      </c>
      <c r="K1851" s="34"/>
      <c r="L1851" s="34"/>
      <c r="M1851" s="33" t="s">
        <v>8796</v>
      </c>
      <c r="N1851" s="37" t="s">
        <v>8797</v>
      </c>
      <c r="O1851" s="33" t="s">
        <v>8798</v>
      </c>
      <c r="P1851" s="33" t="s">
        <v>8799</v>
      </c>
      <c r="Q1851" s="36"/>
      <c r="R1851" s="36"/>
      <c r="S1851" s="33" t="s">
        <v>8800</v>
      </c>
      <c r="T1851" s="38" t="s">
        <v>12693</v>
      </c>
    </row>
    <row r="1852" spans="1:20" x14ac:dyDescent="0.25">
      <c r="A1852" s="39" t="s">
        <v>10194</v>
      </c>
      <c r="B1852" s="39" t="s">
        <v>9497</v>
      </c>
      <c r="C1852" s="39" t="s">
        <v>9539</v>
      </c>
      <c r="D1852" s="36"/>
      <c r="E1852" s="39">
        <v>2020</v>
      </c>
      <c r="F1852" s="40"/>
      <c r="G1852" s="40"/>
      <c r="H1852" s="36"/>
      <c r="I1852" s="39" t="s">
        <v>9495</v>
      </c>
      <c r="J1852" s="36"/>
      <c r="K1852" s="36"/>
      <c r="L1852" s="36"/>
      <c r="M1852" s="34"/>
      <c r="N1852" s="41" t="s">
        <v>10196</v>
      </c>
      <c r="O1852" s="39" t="s">
        <v>10195</v>
      </c>
      <c r="P1852" s="33"/>
      <c r="Q1852" s="36"/>
      <c r="R1852" s="34"/>
      <c r="S1852" s="38"/>
      <c r="T1852" s="38" t="s">
        <v>12689</v>
      </c>
    </row>
    <row r="1853" spans="1:20" x14ac:dyDescent="0.25">
      <c r="A1853" s="33" t="s">
        <v>4224</v>
      </c>
      <c r="B1853" s="33" t="s">
        <v>4223</v>
      </c>
      <c r="C1853" s="33" t="s">
        <v>13</v>
      </c>
      <c r="D1853" s="33" t="s">
        <v>354</v>
      </c>
      <c r="E1853" s="33">
        <v>2019</v>
      </c>
      <c r="F1853" s="33">
        <v>149</v>
      </c>
      <c r="G1853" s="36"/>
      <c r="H1853" s="33" t="s">
        <v>9240</v>
      </c>
      <c r="I1853" s="36"/>
      <c r="J1853" s="33">
        <v>2019</v>
      </c>
      <c r="K1853" s="34"/>
      <c r="L1853" s="34"/>
      <c r="M1853" s="33" t="s">
        <v>65</v>
      </c>
      <c r="N1853" s="37" t="s">
        <v>9241</v>
      </c>
      <c r="O1853" s="33" t="s">
        <v>4227</v>
      </c>
      <c r="P1853" s="33" t="s">
        <v>9242</v>
      </c>
      <c r="Q1853" s="36"/>
      <c r="R1853" s="36"/>
      <c r="S1853" s="33" t="s">
        <v>9243</v>
      </c>
      <c r="T1853" s="38" t="s">
        <v>12693</v>
      </c>
    </row>
    <row r="1854" spans="1:20" x14ac:dyDescent="0.25">
      <c r="A1854" s="33" t="s">
        <v>4224</v>
      </c>
      <c r="B1854" s="33" t="s">
        <v>4223</v>
      </c>
      <c r="C1854" s="33" t="s">
        <v>13</v>
      </c>
      <c r="D1854" s="33" t="s">
        <v>354</v>
      </c>
      <c r="E1854" s="33">
        <v>2019</v>
      </c>
      <c r="F1854" s="33">
        <v>149</v>
      </c>
      <c r="G1854" s="34"/>
      <c r="H1854" s="33" t="s">
        <v>4225</v>
      </c>
      <c r="I1854" s="33" t="s">
        <v>355</v>
      </c>
      <c r="J1854" s="33">
        <v>2019</v>
      </c>
      <c r="K1854" s="34"/>
      <c r="L1854" s="34"/>
      <c r="M1854" s="33" t="s">
        <v>65</v>
      </c>
      <c r="N1854" s="37" t="s">
        <v>4226</v>
      </c>
      <c r="O1854" s="33" t="s">
        <v>4227</v>
      </c>
      <c r="P1854" s="33" t="s">
        <v>4228</v>
      </c>
      <c r="Q1854" s="33" t="s">
        <v>4229</v>
      </c>
      <c r="R1854" s="34"/>
      <c r="S1854" s="38"/>
      <c r="T1854" s="38" t="s">
        <v>12690</v>
      </c>
    </row>
    <row r="1855" spans="1:20" x14ac:dyDescent="0.25">
      <c r="A1855" s="33" t="s">
        <v>1554</v>
      </c>
      <c r="B1855" s="33" t="s">
        <v>1553</v>
      </c>
      <c r="C1855" s="33" t="s">
        <v>13</v>
      </c>
      <c r="D1855" s="33" t="s">
        <v>668</v>
      </c>
      <c r="E1855" s="33">
        <v>2022</v>
      </c>
      <c r="F1855" s="33">
        <v>10</v>
      </c>
      <c r="G1855" s="34"/>
      <c r="H1855" s="33" t="s">
        <v>1555</v>
      </c>
      <c r="I1855" s="33" t="s">
        <v>257</v>
      </c>
      <c r="J1855" s="33">
        <v>2022</v>
      </c>
      <c r="K1855" s="34"/>
      <c r="L1855" s="34"/>
      <c r="M1855" s="33" t="s">
        <v>670</v>
      </c>
      <c r="N1855" s="37" t="s">
        <v>1556</v>
      </c>
      <c r="O1855" s="33" t="s">
        <v>1557</v>
      </c>
      <c r="P1855" s="33" t="s">
        <v>1558</v>
      </c>
      <c r="Q1855" s="33" t="s">
        <v>896</v>
      </c>
      <c r="R1855" s="34"/>
      <c r="S1855" s="38"/>
      <c r="T1855" s="38" t="s">
        <v>12690</v>
      </c>
    </row>
    <row r="1856" spans="1:20" x14ac:dyDescent="0.25">
      <c r="A1856" s="39" t="s">
        <v>10068</v>
      </c>
      <c r="B1856" s="39" t="s">
        <v>10070</v>
      </c>
      <c r="C1856" s="39" t="s">
        <v>9478</v>
      </c>
      <c r="D1856" s="36"/>
      <c r="E1856" s="39">
        <v>2022</v>
      </c>
      <c r="F1856" s="39">
        <v>27</v>
      </c>
      <c r="G1856" s="39">
        <v>7</v>
      </c>
      <c r="H1856" s="36"/>
      <c r="I1856" s="39" t="s">
        <v>136</v>
      </c>
      <c r="J1856" s="36"/>
      <c r="K1856" s="36"/>
      <c r="L1856" s="36"/>
      <c r="M1856" s="34"/>
      <c r="N1856" s="41" t="s">
        <v>10071</v>
      </c>
      <c r="O1856" s="39" t="s">
        <v>10069</v>
      </c>
      <c r="P1856" s="33"/>
      <c r="Q1856" s="36"/>
      <c r="R1856" s="34"/>
      <c r="S1856" s="38"/>
      <c r="T1856" s="38" t="s">
        <v>12689</v>
      </c>
    </row>
    <row r="1857" spans="1:20" x14ac:dyDescent="0.25">
      <c r="A1857" s="33" t="s">
        <v>2612</v>
      </c>
      <c r="B1857" s="33" t="s">
        <v>2611</v>
      </c>
      <c r="C1857" s="33" t="s">
        <v>539</v>
      </c>
      <c r="D1857" s="34"/>
      <c r="E1857" s="33">
        <v>2021</v>
      </c>
      <c r="F1857" s="34"/>
      <c r="G1857" s="34"/>
      <c r="H1857" s="34"/>
      <c r="I1857" s="33" t="s">
        <v>2613</v>
      </c>
      <c r="J1857" s="33">
        <v>2021</v>
      </c>
      <c r="K1857" s="33">
        <v>9783110703399</v>
      </c>
      <c r="L1857" s="33">
        <v>9783110703306</v>
      </c>
      <c r="M1857" s="34"/>
      <c r="N1857" s="37" t="s">
        <v>2614</v>
      </c>
      <c r="O1857" s="33" t="s">
        <v>2615</v>
      </c>
      <c r="P1857" s="33" t="s">
        <v>2616</v>
      </c>
      <c r="Q1857" s="33" t="s">
        <v>157</v>
      </c>
      <c r="R1857" s="33" t="s">
        <v>2617</v>
      </c>
      <c r="S1857" s="38"/>
      <c r="T1857" s="38" t="s">
        <v>12690</v>
      </c>
    </row>
    <row r="1858" spans="1:20" x14ac:dyDescent="0.25">
      <c r="A1858" s="39" t="s">
        <v>10016</v>
      </c>
      <c r="B1858" s="39" t="s">
        <v>10018</v>
      </c>
      <c r="C1858" s="39" t="s">
        <v>539</v>
      </c>
      <c r="D1858" s="36"/>
      <c r="E1858" s="39">
        <v>2022</v>
      </c>
      <c r="F1858" s="40"/>
      <c r="G1858" s="40"/>
      <c r="H1858" s="36"/>
      <c r="I1858" s="39" t="s">
        <v>9839</v>
      </c>
      <c r="J1858" s="36"/>
      <c r="K1858" s="36"/>
      <c r="L1858" s="36"/>
      <c r="M1858" s="34"/>
      <c r="N1858" s="41" t="s">
        <v>10019</v>
      </c>
      <c r="O1858" s="39" t="s">
        <v>10017</v>
      </c>
      <c r="P1858" s="33"/>
      <c r="Q1858" s="36"/>
      <c r="R1858" s="34"/>
      <c r="S1858" s="38"/>
      <c r="T1858" s="38" t="s">
        <v>12689</v>
      </c>
    </row>
    <row r="1859" spans="1:20" x14ac:dyDescent="0.25">
      <c r="A1859" s="39" t="s">
        <v>10047</v>
      </c>
      <c r="B1859" s="39" t="s">
        <v>9847</v>
      </c>
      <c r="C1859" s="39" t="s">
        <v>539</v>
      </c>
      <c r="D1859" s="36"/>
      <c r="E1859" s="39">
        <v>2022</v>
      </c>
      <c r="F1859" s="40"/>
      <c r="G1859" s="40"/>
      <c r="H1859" s="36"/>
      <c r="I1859" s="39" t="s">
        <v>10046</v>
      </c>
      <c r="J1859" s="36"/>
      <c r="K1859" s="36"/>
      <c r="L1859" s="36"/>
      <c r="M1859" s="34"/>
      <c r="N1859" s="41" t="s">
        <v>10049</v>
      </c>
      <c r="O1859" s="39" t="s">
        <v>10048</v>
      </c>
      <c r="P1859" s="33"/>
      <c r="Q1859" s="36"/>
      <c r="R1859" s="34"/>
      <c r="S1859" s="38"/>
      <c r="T1859" s="38" t="s">
        <v>12689</v>
      </c>
    </row>
    <row r="1860" spans="1:20" x14ac:dyDescent="0.25">
      <c r="A1860" s="33" t="s">
        <v>5937</v>
      </c>
      <c r="B1860" s="33" t="s">
        <v>5936</v>
      </c>
      <c r="C1860" s="33" t="s">
        <v>141</v>
      </c>
      <c r="D1860" s="34"/>
      <c r="E1860" s="33">
        <v>2018</v>
      </c>
      <c r="F1860" s="33">
        <v>2</v>
      </c>
      <c r="G1860" s="34"/>
      <c r="H1860" s="33" t="s">
        <v>5938</v>
      </c>
      <c r="I1860" s="33" t="s">
        <v>2565</v>
      </c>
      <c r="J1860" s="33">
        <v>2018</v>
      </c>
      <c r="K1860" s="33">
        <v>9781948087292</v>
      </c>
      <c r="L1860" s="34"/>
      <c r="M1860" s="34"/>
      <c r="N1860" s="37" t="s">
        <v>5939</v>
      </c>
      <c r="O1860" s="34"/>
      <c r="P1860" s="33" t="s">
        <v>5940</v>
      </c>
      <c r="Q1860" s="33" t="s">
        <v>5941</v>
      </c>
      <c r="R1860" s="34"/>
      <c r="S1860" s="38"/>
      <c r="T1860" s="38" t="s">
        <v>12690</v>
      </c>
    </row>
    <row r="1861" spans="1:20" x14ac:dyDescent="0.25">
      <c r="A1861" s="39" t="s">
        <v>10772</v>
      </c>
      <c r="B1861" s="39" t="s">
        <v>10774</v>
      </c>
      <c r="C1861" s="39" t="s">
        <v>9478</v>
      </c>
      <c r="D1861" s="36"/>
      <c r="E1861" s="39">
        <v>2018</v>
      </c>
      <c r="F1861" s="39">
        <v>23</v>
      </c>
      <c r="G1861" s="39">
        <v>6</v>
      </c>
      <c r="H1861" s="36"/>
      <c r="I1861" s="39" t="s">
        <v>136</v>
      </c>
      <c r="J1861" s="36"/>
      <c r="K1861" s="36"/>
      <c r="L1861" s="36"/>
      <c r="M1861" s="34"/>
      <c r="N1861" s="41" t="s">
        <v>10775</v>
      </c>
      <c r="O1861" s="39" t="s">
        <v>10773</v>
      </c>
      <c r="P1861" s="33"/>
      <c r="Q1861" s="36"/>
      <c r="R1861" s="34"/>
      <c r="S1861" s="38"/>
      <c r="T1861" s="38" t="s">
        <v>12689</v>
      </c>
    </row>
    <row r="1862" spans="1:20" x14ac:dyDescent="0.25">
      <c r="A1862" s="33" t="s">
        <v>7050</v>
      </c>
      <c r="B1862" s="33" t="s">
        <v>6984</v>
      </c>
      <c r="C1862" s="33" t="s">
        <v>13</v>
      </c>
      <c r="D1862" s="33" t="s">
        <v>255</v>
      </c>
      <c r="E1862" s="33">
        <v>2022</v>
      </c>
      <c r="F1862" s="33">
        <v>48</v>
      </c>
      <c r="G1862" s="33">
        <v>7</v>
      </c>
      <c r="H1862" s="33" t="s">
        <v>7051</v>
      </c>
      <c r="I1862" s="34"/>
      <c r="J1862" s="43">
        <v>44743</v>
      </c>
      <c r="K1862" s="36"/>
      <c r="L1862" s="36"/>
      <c r="M1862" s="33" t="s">
        <v>6115</v>
      </c>
      <c r="N1862" s="37" t="s">
        <v>7052</v>
      </c>
      <c r="O1862" s="33" t="s">
        <v>7053</v>
      </c>
      <c r="P1862" s="33" t="s">
        <v>7054</v>
      </c>
      <c r="Q1862" s="36"/>
      <c r="R1862" s="36"/>
      <c r="S1862" s="33" t="s">
        <v>7055</v>
      </c>
      <c r="T1862" s="38" t="s">
        <v>12688</v>
      </c>
    </row>
    <row r="1863" spans="1:20" x14ac:dyDescent="0.25">
      <c r="A1863" s="33" t="s">
        <v>6360</v>
      </c>
      <c r="B1863" s="33" t="s">
        <v>6359</v>
      </c>
      <c r="C1863" s="33" t="s">
        <v>141</v>
      </c>
      <c r="D1863" s="34"/>
      <c r="E1863" s="33">
        <v>2019</v>
      </c>
      <c r="F1863" s="34"/>
      <c r="G1863" s="34"/>
      <c r="H1863" s="33" t="s">
        <v>6361</v>
      </c>
      <c r="I1863" s="33" t="s">
        <v>6362</v>
      </c>
      <c r="J1863" s="35">
        <v>43800</v>
      </c>
      <c r="K1863" s="36"/>
      <c r="L1863" s="36"/>
      <c r="M1863" s="33" t="s">
        <v>6316</v>
      </c>
      <c r="N1863" s="37" t="s">
        <v>6363</v>
      </c>
      <c r="O1863" s="33" t="s">
        <v>6364</v>
      </c>
      <c r="P1863" s="33" t="s">
        <v>6365</v>
      </c>
      <c r="Q1863" s="36"/>
      <c r="R1863" s="36"/>
      <c r="S1863" s="33" t="s">
        <v>6366</v>
      </c>
      <c r="T1863" s="38" t="s">
        <v>12688</v>
      </c>
    </row>
    <row r="1864" spans="1:20" x14ac:dyDescent="0.25">
      <c r="A1864" s="33" t="s">
        <v>12158</v>
      </c>
      <c r="B1864" s="33" t="s">
        <v>8317</v>
      </c>
      <c r="C1864" s="33" t="s">
        <v>141</v>
      </c>
      <c r="D1864" s="34"/>
      <c r="E1864" s="33">
        <v>2012</v>
      </c>
      <c r="F1864" s="34"/>
      <c r="G1864" s="34"/>
      <c r="H1864" s="33" t="s">
        <v>12159</v>
      </c>
      <c r="I1864" s="44" t="s">
        <v>12812</v>
      </c>
      <c r="J1864" s="33">
        <v>2012</v>
      </c>
      <c r="K1864" s="33">
        <v>9781467310673</v>
      </c>
      <c r="L1864" s="33" t="s">
        <v>12161</v>
      </c>
      <c r="M1864" s="34"/>
      <c r="N1864" s="34"/>
      <c r="O1864" s="34"/>
      <c r="P1864" s="33" t="s">
        <v>8323</v>
      </c>
      <c r="Q1864" s="36"/>
      <c r="R1864" s="36"/>
      <c r="S1864" s="34"/>
      <c r="T1864" s="33" t="s">
        <v>12692</v>
      </c>
    </row>
    <row r="1865" spans="1:20" x14ac:dyDescent="0.25">
      <c r="A1865" s="33" t="s">
        <v>12158</v>
      </c>
      <c r="B1865" s="33" t="s">
        <v>8317</v>
      </c>
      <c r="C1865" s="33" t="s">
        <v>141</v>
      </c>
      <c r="D1865" s="34"/>
      <c r="E1865" s="33">
        <v>2012</v>
      </c>
      <c r="F1865" s="34"/>
      <c r="G1865" s="34"/>
      <c r="H1865" s="33" t="s">
        <v>8319</v>
      </c>
      <c r="I1865" s="33" t="s">
        <v>8320</v>
      </c>
      <c r="J1865" s="43">
        <v>41061</v>
      </c>
      <c r="K1865" s="36"/>
      <c r="L1865" s="36"/>
      <c r="M1865" s="33" t="s">
        <v>6336</v>
      </c>
      <c r="N1865" s="37" t="s">
        <v>8321</v>
      </c>
      <c r="O1865" s="33" t="s">
        <v>8322</v>
      </c>
      <c r="P1865" s="33" t="s">
        <v>8323</v>
      </c>
      <c r="Q1865" s="36"/>
      <c r="R1865" s="36"/>
      <c r="S1865" s="33" t="s">
        <v>8324</v>
      </c>
      <c r="T1865" s="38" t="s">
        <v>12688</v>
      </c>
    </row>
    <row r="1866" spans="1:20" x14ac:dyDescent="0.25">
      <c r="A1866" s="39" t="s">
        <v>9663</v>
      </c>
      <c r="B1866" s="39" t="s">
        <v>9665</v>
      </c>
      <c r="C1866" s="39" t="s">
        <v>539</v>
      </c>
      <c r="D1866" s="36"/>
      <c r="E1866" s="39">
        <v>2022</v>
      </c>
      <c r="F1866" s="40"/>
      <c r="G1866" s="40"/>
      <c r="H1866" s="36"/>
      <c r="I1866" s="39" t="s">
        <v>9275</v>
      </c>
      <c r="J1866" s="36"/>
      <c r="K1866" s="36"/>
      <c r="L1866" s="36"/>
      <c r="M1866" s="34"/>
      <c r="N1866" s="41" t="s">
        <v>9666</v>
      </c>
      <c r="O1866" s="39" t="s">
        <v>9664</v>
      </c>
      <c r="P1866" s="33"/>
      <c r="Q1866" s="36"/>
      <c r="R1866" s="34"/>
      <c r="S1866" s="38"/>
      <c r="T1866" s="38" t="s">
        <v>12689</v>
      </c>
    </row>
    <row r="1867" spans="1:20" x14ac:dyDescent="0.25">
      <c r="A1867" s="33" t="s">
        <v>8081</v>
      </c>
      <c r="B1867" s="33" t="s">
        <v>8080</v>
      </c>
      <c r="C1867" s="33" t="s">
        <v>141</v>
      </c>
      <c r="D1867" s="34"/>
      <c r="E1867" s="33">
        <v>2017</v>
      </c>
      <c r="F1867" s="34"/>
      <c r="G1867" s="34"/>
      <c r="H1867" s="33" t="s">
        <v>12003</v>
      </c>
      <c r="I1867" s="44" t="s">
        <v>12813</v>
      </c>
      <c r="J1867" s="33">
        <v>2017</v>
      </c>
      <c r="K1867" s="33">
        <v>9781538615485</v>
      </c>
      <c r="L1867" s="33" t="s">
        <v>12372</v>
      </c>
      <c r="M1867" s="34"/>
      <c r="N1867" s="37" t="s">
        <v>12370</v>
      </c>
      <c r="O1867" s="33" t="s">
        <v>8084</v>
      </c>
      <c r="P1867" s="33" t="s">
        <v>8085</v>
      </c>
      <c r="Q1867" s="36"/>
      <c r="R1867" s="36"/>
      <c r="S1867" s="33" t="s">
        <v>12371</v>
      </c>
      <c r="T1867" s="33" t="s">
        <v>12692</v>
      </c>
    </row>
    <row r="1868" spans="1:20" x14ac:dyDescent="0.25">
      <c r="A1868" s="33" t="s">
        <v>8081</v>
      </c>
      <c r="B1868" s="33" t="s">
        <v>8080</v>
      </c>
      <c r="C1868" s="33" t="s">
        <v>141</v>
      </c>
      <c r="D1868" s="34"/>
      <c r="E1868" s="33">
        <v>2017</v>
      </c>
      <c r="F1868" s="34"/>
      <c r="G1868" s="34"/>
      <c r="H1868" s="42">
        <v>45184</v>
      </c>
      <c r="I1868" s="33" t="s">
        <v>8082</v>
      </c>
      <c r="J1868" s="43">
        <v>42856</v>
      </c>
      <c r="K1868" s="34"/>
      <c r="L1868" s="36"/>
      <c r="M1868" s="34"/>
      <c r="N1868" s="37" t="s">
        <v>8083</v>
      </c>
      <c r="O1868" s="33" t="s">
        <v>8084</v>
      </c>
      <c r="P1868" s="33" t="s">
        <v>8085</v>
      </c>
      <c r="Q1868" s="36"/>
      <c r="R1868" s="36"/>
      <c r="S1868" s="33" t="s">
        <v>8086</v>
      </c>
      <c r="T1868" s="38" t="s">
        <v>12688</v>
      </c>
    </row>
    <row r="1869" spans="1:20" x14ac:dyDescent="0.25">
      <c r="A1869" s="33" t="s">
        <v>3237</v>
      </c>
      <c r="B1869" s="33" t="s">
        <v>3236</v>
      </c>
      <c r="C1869" s="33" t="s">
        <v>13</v>
      </c>
      <c r="D1869" s="33" t="s">
        <v>3238</v>
      </c>
      <c r="E1869" s="33">
        <v>2021</v>
      </c>
      <c r="F1869" s="33" t="s">
        <v>3239</v>
      </c>
      <c r="G1869" s="33">
        <v>10</v>
      </c>
      <c r="H1869" s="33" t="s">
        <v>3240</v>
      </c>
      <c r="I1869" s="33" t="s">
        <v>3241</v>
      </c>
      <c r="J1869" s="33">
        <v>2021</v>
      </c>
      <c r="K1869" s="34"/>
      <c r="L1869" s="34"/>
      <c r="M1869" s="33" t="s">
        <v>3242</v>
      </c>
      <c r="N1869" s="37" t="s">
        <v>3243</v>
      </c>
      <c r="O1869" s="33" t="s">
        <v>3244</v>
      </c>
      <c r="P1869" s="33" t="s">
        <v>3245</v>
      </c>
      <c r="Q1869" s="33" t="s">
        <v>568</v>
      </c>
      <c r="R1869" s="34"/>
      <c r="S1869" s="38"/>
      <c r="T1869" s="38" t="s">
        <v>12690</v>
      </c>
    </row>
    <row r="1870" spans="1:20" x14ac:dyDescent="0.25">
      <c r="A1870" s="33" t="s">
        <v>4532</v>
      </c>
      <c r="B1870" s="33" t="s">
        <v>4531</v>
      </c>
      <c r="C1870" s="33" t="s">
        <v>141</v>
      </c>
      <c r="D1870" s="34"/>
      <c r="E1870" s="33">
        <v>2019</v>
      </c>
      <c r="F1870" s="34"/>
      <c r="G1870" s="34"/>
      <c r="H1870" s="33" t="s">
        <v>7428</v>
      </c>
      <c r="I1870" s="33" t="s">
        <v>7429</v>
      </c>
      <c r="J1870" s="43">
        <v>43709</v>
      </c>
      <c r="K1870" s="36"/>
      <c r="L1870" s="36"/>
      <c r="M1870" s="33" t="s">
        <v>6818</v>
      </c>
      <c r="N1870" s="37" t="s">
        <v>7430</v>
      </c>
      <c r="O1870" s="33" t="s">
        <v>4535</v>
      </c>
      <c r="P1870" s="33" t="s">
        <v>7431</v>
      </c>
      <c r="Q1870" s="36"/>
      <c r="R1870" s="36"/>
      <c r="S1870" s="33" t="s">
        <v>7432</v>
      </c>
      <c r="T1870" s="38" t="s">
        <v>12688</v>
      </c>
    </row>
    <row r="1871" spans="1:20" x14ac:dyDescent="0.25">
      <c r="A1871" s="33" t="s">
        <v>4532</v>
      </c>
      <c r="B1871" s="33" t="s">
        <v>4531</v>
      </c>
      <c r="C1871" s="33" t="s">
        <v>141</v>
      </c>
      <c r="D1871" s="34"/>
      <c r="E1871" s="33">
        <v>2019</v>
      </c>
      <c r="F1871" s="34"/>
      <c r="G1871" s="34"/>
      <c r="H1871" s="33" t="s">
        <v>4533</v>
      </c>
      <c r="I1871" s="33" t="s">
        <v>257</v>
      </c>
      <c r="J1871" s="33">
        <v>2019</v>
      </c>
      <c r="K1871" s="33">
        <v>9781728130941</v>
      </c>
      <c r="L1871" s="34"/>
      <c r="M1871" s="34"/>
      <c r="N1871" s="37" t="s">
        <v>4534</v>
      </c>
      <c r="O1871" s="33" t="s">
        <v>4535</v>
      </c>
      <c r="P1871" s="33" t="s">
        <v>4536</v>
      </c>
      <c r="Q1871" s="33" t="s">
        <v>157</v>
      </c>
      <c r="R1871" s="34"/>
      <c r="S1871" s="38"/>
      <c r="T1871" s="38" t="s">
        <v>12690</v>
      </c>
    </row>
    <row r="1872" spans="1:20" x14ac:dyDescent="0.25">
      <c r="A1872" s="33" t="s">
        <v>1372</v>
      </c>
      <c r="B1872" s="33" t="s">
        <v>1371</v>
      </c>
      <c r="C1872" s="33" t="s">
        <v>13</v>
      </c>
      <c r="D1872" s="33" t="s">
        <v>1373</v>
      </c>
      <c r="E1872" s="33">
        <v>2022</v>
      </c>
      <c r="F1872" s="33">
        <v>8</v>
      </c>
      <c r="G1872" s="33">
        <v>1</v>
      </c>
      <c r="H1872" s="33" t="s">
        <v>7457</v>
      </c>
      <c r="I1872" s="34"/>
      <c r="J1872" s="43">
        <v>44593</v>
      </c>
      <c r="K1872" s="36"/>
      <c r="L1872" s="36"/>
      <c r="M1872" s="33" t="s">
        <v>1375</v>
      </c>
      <c r="N1872" s="37" t="s">
        <v>7458</v>
      </c>
      <c r="O1872" s="33" t="s">
        <v>1377</v>
      </c>
      <c r="P1872" s="33" t="s">
        <v>7459</v>
      </c>
      <c r="Q1872" s="36"/>
      <c r="R1872" s="36"/>
      <c r="S1872" s="33" t="s">
        <v>7460</v>
      </c>
      <c r="T1872" s="38" t="s">
        <v>12688</v>
      </c>
    </row>
    <row r="1873" spans="1:20" x14ac:dyDescent="0.25">
      <c r="A1873" s="33" t="s">
        <v>1372</v>
      </c>
      <c r="B1873" s="33" t="s">
        <v>1371</v>
      </c>
      <c r="C1873" s="33" t="s">
        <v>13</v>
      </c>
      <c r="D1873" s="33" t="s">
        <v>1373</v>
      </c>
      <c r="E1873" s="33">
        <v>2022</v>
      </c>
      <c r="F1873" s="33">
        <v>8</v>
      </c>
      <c r="G1873" s="33">
        <v>1</v>
      </c>
      <c r="H1873" s="33" t="s">
        <v>1374</v>
      </c>
      <c r="I1873" s="33" t="s">
        <v>257</v>
      </c>
      <c r="J1873" s="33">
        <v>2022</v>
      </c>
      <c r="K1873" s="34"/>
      <c r="L1873" s="34"/>
      <c r="M1873" s="33" t="s">
        <v>1375</v>
      </c>
      <c r="N1873" s="37" t="s">
        <v>1376</v>
      </c>
      <c r="O1873" s="33" t="s">
        <v>1377</v>
      </c>
      <c r="P1873" s="33" t="s">
        <v>1378</v>
      </c>
      <c r="Q1873" s="33" t="s">
        <v>176</v>
      </c>
      <c r="R1873" s="34"/>
      <c r="S1873" s="38"/>
      <c r="T1873" s="38" t="s">
        <v>12690</v>
      </c>
    </row>
    <row r="1874" spans="1:20" x14ac:dyDescent="0.25">
      <c r="A1874" s="33" t="s">
        <v>12814</v>
      </c>
      <c r="B1874" s="33" t="s">
        <v>696</v>
      </c>
      <c r="C1874" s="33" t="s">
        <v>13</v>
      </c>
      <c r="D1874" s="33" t="s">
        <v>698</v>
      </c>
      <c r="E1874" s="33">
        <v>2022</v>
      </c>
      <c r="F1874" s="33">
        <v>59</v>
      </c>
      <c r="G1874" s="33">
        <v>11</v>
      </c>
      <c r="H1874" s="33" t="s">
        <v>699</v>
      </c>
      <c r="I1874" s="33" t="s">
        <v>700</v>
      </c>
      <c r="J1874" s="33">
        <v>2022</v>
      </c>
      <c r="K1874" s="34"/>
      <c r="L1874" s="34"/>
      <c r="M1874" s="33" t="s">
        <v>701</v>
      </c>
      <c r="N1874" s="37" t="s">
        <v>702</v>
      </c>
      <c r="O1874" s="33" t="s">
        <v>703</v>
      </c>
      <c r="P1874" s="33" t="s">
        <v>704</v>
      </c>
      <c r="Q1874" s="33" t="s">
        <v>157</v>
      </c>
      <c r="R1874" s="34"/>
      <c r="S1874" s="38"/>
      <c r="T1874" s="38" t="s">
        <v>12690</v>
      </c>
    </row>
    <row r="1875" spans="1:20" x14ac:dyDescent="0.25">
      <c r="A1875" s="39" t="s">
        <v>9407</v>
      </c>
      <c r="B1875" s="39" t="s">
        <v>9409</v>
      </c>
      <c r="C1875" s="39" t="s">
        <v>539</v>
      </c>
      <c r="D1875" s="36"/>
      <c r="E1875" s="39">
        <v>2022</v>
      </c>
      <c r="F1875" s="40"/>
      <c r="G1875" s="40"/>
      <c r="H1875" s="36"/>
      <c r="I1875" s="39" t="s">
        <v>3916</v>
      </c>
      <c r="J1875" s="36"/>
      <c r="K1875" s="36"/>
      <c r="L1875" s="36"/>
      <c r="M1875" s="34"/>
      <c r="N1875" s="41" t="s">
        <v>9410</v>
      </c>
      <c r="O1875" s="39" t="s">
        <v>9408</v>
      </c>
      <c r="P1875" s="33"/>
      <c r="Q1875" s="36"/>
      <c r="R1875" s="34"/>
      <c r="S1875" s="38"/>
      <c r="T1875" s="38" t="s">
        <v>12689</v>
      </c>
    </row>
    <row r="1876" spans="1:20" x14ac:dyDescent="0.25">
      <c r="A1876" s="39" t="s">
        <v>10903</v>
      </c>
      <c r="B1876" s="39" t="s">
        <v>10905</v>
      </c>
      <c r="C1876" s="39" t="s">
        <v>9539</v>
      </c>
      <c r="D1876" s="36"/>
      <c r="E1876" s="39">
        <v>2019</v>
      </c>
      <c r="F1876" s="40"/>
      <c r="G1876" s="40"/>
      <c r="H1876" s="36"/>
      <c r="I1876" s="39" t="s">
        <v>10902</v>
      </c>
      <c r="J1876" s="36"/>
      <c r="K1876" s="36"/>
      <c r="L1876" s="36"/>
      <c r="M1876" s="34"/>
      <c r="N1876" s="41" t="s">
        <v>10906</v>
      </c>
      <c r="O1876" s="39" t="s">
        <v>10904</v>
      </c>
      <c r="P1876" s="33"/>
      <c r="Q1876" s="36"/>
      <c r="R1876" s="34"/>
      <c r="S1876" s="38"/>
      <c r="T1876" s="38" t="s">
        <v>12689</v>
      </c>
    </row>
    <row r="1877" spans="1:20" x14ac:dyDescent="0.25">
      <c r="A1877" s="33" t="s">
        <v>2410</v>
      </c>
      <c r="B1877" s="33" t="s">
        <v>2409</v>
      </c>
      <c r="C1877" s="33" t="s">
        <v>141</v>
      </c>
      <c r="D1877" s="34"/>
      <c r="E1877" s="33">
        <v>2022</v>
      </c>
      <c r="F1877" s="34"/>
      <c r="G1877" s="34"/>
      <c r="H1877" s="33" t="s">
        <v>2411</v>
      </c>
      <c r="I1877" s="33" t="s">
        <v>257</v>
      </c>
      <c r="J1877" s="33">
        <v>2022</v>
      </c>
      <c r="K1877" s="33">
        <v>9781665417280</v>
      </c>
      <c r="L1877" s="34"/>
      <c r="M1877" s="34"/>
      <c r="N1877" s="37" t="s">
        <v>2412</v>
      </c>
      <c r="O1877" s="33" t="s">
        <v>2413</v>
      </c>
      <c r="P1877" s="33" t="s">
        <v>2414</v>
      </c>
      <c r="Q1877" s="33" t="s">
        <v>289</v>
      </c>
      <c r="R1877" s="34"/>
      <c r="S1877" s="38"/>
      <c r="T1877" s="38" t="s">
        <v>12690</v>
      </c>
    </row>
    <row r="1878" spans="1:20" x14ac:dyDescent="0.25">
      <c r="A1878" s="39" t="s">
        <v>9535</v>
      </c>
      <c r="B1878" s="39" t="s">
        <v>9537</v>
      </c>
      <c r="C1878" s="39" t="s">
        <v>9539</v>
      </c>
      <c r="D1878" s="36"/>
      <c r="E1878" s="39">
        <v>2022</v>
      </c>
      <c r="F1878" s="40"/>
      <c r="G1878" s="40"/>
      <c r="H1878" s="36"/>
      <c r="I1878" s="39" t="s">
        <v>9295</v>
      </c>
      <c r="J1878" s="36"/>
      <c r="K1878" s="36"/>
      <c r="L1878" s="36"/>
      <c r="M1878" s="34"/>
      <c r="N1878" s="41" t="s">
        <v>9538</v>
      </c>
      <c r="O1878" s="39" t="s">
        <v>9536</v>
      </c>
      <c r="P1878" s="33"/>
      <c r="Q1878" s="36"/>
      <c r="R1878" s="34"/>
      <c r="S1878" s="38"/>
      <c r="T1878" s="38" t="s">
        <v>12689</v>
      </c>
    </row>
    <row r="1879" spans="1:20" x14ac:dyDescent="0.25">
      <c r="A1879" s="33" t="s">
        <v>8069</v>
      </c>
      <c r="B1879" s="33" t="s">
        <v>4803</v>
      </c>
      <c r="C1879" s="33" t="s">
        <v>13</v>
      </c>
      <c r="D1879" s="33" t="s">
        <v>4805</v>
      </c>
      <c r="E1879" s="33">
        <v>2020</v>
      </c>
      <c r="F1879" s="33">
        <v>108</v>
      </c>
      <c r="G1879" s="33">
        <v>7</v>
      </c>
      <c r="H1879" s="33" t="s">
        <v>8070</v>
      </c>
      <c r="I1879" s="34"/>
      <c r="J1879" s="43">
        <v>44013</v>
      </c>
      <c r="K1879" s="34"/>
      <c r="L1879" s="36"/>
      <c r="M1879" s="33" t="s">
        <v>7942</v>
      </c>
      <c r="N1879" s="37" t="s">
        <v>8071</v>
      </c>
      <c r="O1879" s="33" t="s">
        <v>4809</v>
      </c>
      <c r="P1879" s="33" t="s">
        <v>8072</v>
      </c>
      <c r="Q1879" s="36"/>
      <c r="R1879" s="36"/>
      <c r="S1879" s="33" t="s">
        <v>8073</v>
      </c>
      <c r="T1879" s="38" t="s">
        <v>12688</v>
      </c>
    </row>
    <row r="1880" spans="1:20" x14ac:dyDescent="0.25">
      <c r="A1880" s="33" t="s">
        <v>8069</v>
      </c>
      <c r="B1880" s="33" t="s">
        <v>4803</v>
      </c>
      <c r="C1880" s="33" t="s">
        <v>13</v>
      </c>
      <c r="D1880" s="33" t="s">
        <v>4805</v>
      </c>
      <c r="E1880" s="33">
        <v>2020</v>
      </c>
      <c r="F1880" s="33">
        <v>108</v>
      </c>
      <c r="G1880" s="33">
        <v>7</v>
      </c>
      <c r="H1880" s="33" t="s">
        <v>4806</v>
      </c>
      <c r="I1880" s="33" t="s">
        <v>257</v>
      </c>
      <c r="J1880" s="33">
        <v>2020</v>
      </c>
      <c r="K1880" s="34"/>
      <c r="L1880" s="34"/>
      <c r="M1880" s="33" t="s">
        <v>4807</v>
      </c>
      <c r="N1880" s="37" t="s">
        <v>4808</v>
      </c>
      <c r="O1880" s="33" t="s">
        <v>4809</v>
      </c>
      <c r="P1880" s="33" t="s">
        <v>4810</v>
      </c>
      <c r="Q1880" s="33" t="s">
        <v>2770</v>
      </c>
      <c r="R1880" s="34"/>
      <c r="S1880" s="38"/>
      <c r="T1880" s="38" t="s">
        <v>12690</v>
      </c>
    </row>
    <row r="1881" spans="1:20" x14ac:dyDescent="0.25">
      <c r="A1881" s="33" t="s">
        <v>12094</v>
      </c>
      <c r="B1881" s="33" t="s">
        <v>12093</v>
      </c>
      <c r="C1881" s="33" t="s">
        <v>141</v>
      </c>
      <c r="D1881" s="34"/>
      <c r="E1881" s="33">
        <v>2022</v>
      </c>
      <c r="F1881" s="34"/>
      <c r="G1881" s="34"/>
      <c r="H1881" s="33" t="s">
        <v>12095</v>
      </c>
      <c r="I1881" s="44" t="s">
        <v>12815</v>
      </c>
      <c r="J1881" s="33">
        <v>2022</v>
      </c>
      <c r="K1881" s="33">
        <v>9781450397353</v>
      </c>
      <c r="L1881" s="33" t="s">
        <v>12101</v>
      </c>
      <c r="M1881" s="34"/>
      <c r="N1881" s="37" t="s">
        <v>12097</v>
      </c>
      <c r="O1881" s="33" t="s">
        <v>12098</v>
      </c>
      <c r="P1881" s="33" t="s">
        <v>12099</v>
      </c>
      <c r="Q1881" s="36"/>
      <c r="R1881" s="36"/>
      <c r="S1881" s="33" t="s">
        <v>12100</v>
      </c>
      <c r="T1881" s="33" t="s">
        <v>12692</v>
      </c>
    </row>
    <row r="1882" spans="1:20" x14ac:dyDescent="0.25">
      <c r="A1882" s="39" t="s">
        <v>9487</v>
      </c>
      <c r="B1882" s="39" t="s">
        <v>9489</v>
      </c>
      <c r="C1882" s="39" t="s">
        <v>539</v>
      </c>
      <c r="D1882" s="36"/>
      <c r="E1882" s="39">
        <v>2023</v>
      </c>
      <c r="F1882" s="40"/>
      <c r="G1882" s="40"/>
      <c r="H1882" s="36"/>
      <c r="I1882" s="39" t="s">
        <v>912</v>
      </c>
      <c r="J1882" s="36"/>
      <c r="K1882" s="36"/>
      <c r="L1882" s="36"/>
      <c r="M1882" s="34"/>
      <c r="N1882" s="41" t="s">
        <v>9490</v>
      </c>
      <c r="O1882" s="39" t="s">
        <v>9488</v>
      </c>
      <c r="P1882" s="33"/>
      <c r="Q1882" s="36"/>
      <c r="R1882" s="34"/>
      <c r="S1882" s="38"/>
      <c r="T1882" s="38" t="s">
        <v>12689</v>
      </c>
    </row>
    <row r="1883" spans="1:20" x14ac:dyDescent="0.25">
      <c r="A1883" s="39" t="s">
        <v>10160</v>
      </c>
      <c r="B1883" s="39" t="s">
        <v>10162</v>
      </c>
      <c r="C1883" s="39" t="s">
        <v>539</v>
      </c>
      <c r="D1883" s="36"/>
      <c r="E1883" s="39">
        <v>2021</v>
      </c>
      <c r="F1883" s="40"/>
      <c r="G1883" s="40"/>
      <c r="H1883" s="36"/>
      <c r="I1883" s="40"/>
      <c r="J1883" s="36"/>
      <c r="K1883" s="36"/>
      <c r="L1883" s="36"/>
      <c r="M1883" s="34"/>
      <c r="N1883" s="41" t="s">
        <v>10163</v>
      </c>
      <c r="O1883" s="39" t="s">
        <v>10161</v>
      </c>
      <c r="P1883" s="33"/>
      <c r="Q1883" s="36"/>
      <c r="R1883" s="34"/>
      <c r="S1883" s="38"/>
      <c r="T1883" s="38" t="s">
        <v>12689</v>
      </c>
    </row>
    <row r="1884" spans="1:20" x14ac:dyDescent="0.25">
      <c r="A1884" s="33" t="s">
        <v>1581</v>
      </c>
      <c r="B1884" s="33" t="s">
        <v>1580</v>
      </c>
      <c r="C1884" s="33" t="s">
        <v>13</v>
      </c>
      <c r="D1884" s="33" t="s">
        <v>555</v>
      </c>
      <c r="E1884" s="33">
        <v>2022</v>
      </c>
      <c r="F1884" s="33">
        <v>13</v>
      </c>
      <c r="G1884" s="33">
        <v>2</v>
      </c>
      <c r="H1884" s="33" t="s">
        <v>1582</v>
      </c>
      <c r="I1884" s="33" t="s">
        <v>557</v>
      </c>
      <c r="J1884" s="33">
        <v>2022</v>
      </c>
      <c r="K1884" s="34"/>
      <c r="L1884" s="34"/>
      <c r="M1884" s="33" t="s">
        <v>558</v>
      </c>
      <c r="N1884" s="37" t="s">
        <v>1583</v>
      </c>
      <c r="O1884" s="33" t="s">
        <v>1584</v>
      </c>
      <c r="P1884" s="33" t="s">
        <v>1585</v>
      </c>
      <c r="Q1884" s="33" t="s">
        <v>285</v>
      </c>
      <c r="R1884" s="34"/>
      <c r="S1884" s="38"/>
      <c r="T1884" s="38" t="s">
        <v>12690</v>
      </c>
    </row>
    <row r="1885" spans="1:20" x14ac:dyDescent="0.25">
      <c r="A1885" s="39" t="s">
        <v>861</v>
      </c>
      <c r="B1885" s="39" t="s">
        <v>10054</v>
      </c>
      <c r="C1885" s="39" t="s">
        <v>9478</v>
      </c>
      <c r="D1885" s="36"/>
      <c r="E1885" s="39">
        <v>2022</v>
      </c>
      <c r="F1885" s="39">
        <v>27</v>
      </c>
      <c r="G1885" s="39">
        <v>3</v>
      </c>
      <c r="H1885" s="36"/>
      <c r="I1885" s="39" t="s">
        <v>136</v>
      </c>
      <c r="J1885" s="36"/>
      <c r="K1885" s="36"/>
      <c r="L1885" s="36"/>
      <c r="M1885" s="34"/>
      <c r="N1885" s="41" t="s">
        <v>10055</v>
      </c>
      <c r="O1885" s="39" t="s">
        <v>863</v>
      </c>
      <c r="P1885" s="33"/>
      <c r="Q1885" s="36"/>
      <c r="R1885" s="34"/>
      <c r="S1885" s="38"/>
      <c r="T1885" s="38" t="s">
        <v>12689</v>
      </c>
    </row>
    <row r="1886" spans="1:20" x14ac:dyDescent="0.25">
      <c r="A1886" s="33" t="s">
        <v>861</v>
      </c>
      <c r="B1886" s="33" t="s">
        <v>860</v>
      </c>
      <c r="C1886" s="33" t="s">
        <v>13</v>
      </c>
      <c r="D1886" s="33" t="s">
        <v>136</v>
      </c>
      <c r="E1886" s="33">
        <v>2022</v>
      </c>
      <c r="F1886" s="33">
        <v>27</v>
      </c>
      <c r="G1886" s="33">
        <v>3</v>
      </c>
      <c r="H1886" s="34"/>
      <c r="I1886" s="33" t="s">
        <v>137</v>
      </c>
      <c r="J1886" s="33">
        <v>2022</v>
      </c>
      <c r="K1886" s="34"/>
      <c r="L1886" s="34"/>
      <c r="M1886" s="33" t="s">
        <v>33</v>
      </c>
      <c r="N1886" s="37" t="s">
        <v>862</v>
      </c>
      <c r="O1886" s="33" t="s">
        <v>863</v>
      </c>
      <c r="P1886" s="33" t="s">
        <v>864</v>
      </c>
      <c r="Q1886" s="33" t="s">
        <v>318</v>
      </c>
      <c r="R1886" s="34"/>
      <c r="S1886" s="38"/>
      <c r="T1886" s="38" t="s">
        <v>12690</v>
      </c>
    </row>
    <row r="1887" spans="1:20" x14ac:dyDescent="0.25">
      <c r="A1887" s="33" t="s">
        <v>1922</v>
      </c>
      <c r="B1887" s="33" t="s">
        <v>1921</v>
      </c>
      <c r="C1887" s="33" t="s">
        <v>13</v>
      </c>
      <c r="D1887" s="33" t="s">
        <v>668</v>
      </c>
      <c r="E1887" s="33">
        <v>2022</v>
      </c>
      <c r="F1887" s="33">
        <v>10</v>
      </c>
      <c r="G1887" s="34"/>
      <c r="H1887" s="33" t="s">
        <v>1923</v>
      </c>
      <c r="I1887" s="33" t="s">
        <v>257</v>
      </c>
      <c r="J1887" s="33">
        <v>2022</v>
      </c>
      <c r="K1887" s="34"/>
      <c r="L1887" s="34"/>
      <c r="M1887" s="33" t="s">
        <v>670</v>
      </c>
      <c r="N1887" s="37" t="s">
        <v>1924</v>
      </c>
      <c r="O1887" s="33" t="s">
        <v>1925</v>
      </c>
      <c r="P1887" s="33" t="s">
        <v>1926</v>
      </c>
      <c r="Q1887" s="33" t="s">
        <v>447</v>
      </c>
      <c r="R1887" s="34"/>
      <c r="S1887" s="38"/>
      <c r="T1887" s="38" t="s">
        <v>12690</v>
      </c>
    </row>
    <row r="1888" spans="1:20" x14ac:dyDescent="0.25">
      <c r="A1888" s="33" t="s">
        <v>369</v>
      </c>
      <c r="B1888" s="33" t="s">
        <v>368</v>
      </c>
      <c r="C1888" s="33" t="s">
        <v>13</v>
      </c>
      <c r="D1888" s="33" t="s">
        <v>370</v>
      </c>
      <c r="E1888" s="33">
        <v>2023</v>
      </c>
      <c r="F1888" s="33">
        <v>16</v>
      </c>
      <c r="G1888" s="33">
        <v>3</v>
      </c>
      <c r="H1888" s="34"/>
      <c r="I1888" s="33" t="s">
        <v>371</v>
      </c>
      <c r="J1888" s="33">
        <v>2023</v>
      </c>
      <c r="K1888" s="34"/>
      <c r="L1888" s="34"/>
      <c r="M1888" s="33" t="s">
        <v>372</v>
      </c>
      <c r="N1888" s="37" t="s">
        <v>373</v>
      </c>
      <c r="O1888" s="33" t="s">
        <v>374</v>
      </c>
      <c r="P1888" s="33" t="s">
        <v>375</v>
      </c>
      <c r="Q1888" s="33" t="s">
        <v>157</v>
      </c>
      <c r="R1888" s="34"/>
      <c r="S1888" s="38"/>
      <c r="T1888" s="38" t="s">
        <v>12690</v>
      </c>
    </row>
    <row r="1889" spans="1:20" x14ac:dyDescent="0.25">
      <c r="A1889" s="33" t="s">
        <v>2619</v>
      </c>
      <c r="B1889" s="33" t="s">
        <v>2618</v>
      </c>
      <c r="C1889" s="33" t="s">
        <v>13</v>
      </c>
      <c r="D1889" s="33" t="s">
        <v>390</v>
      </c>
      <c r="E1889" s="33">
        <v>2021</v>
      </c>
      <c r="F1889" s="33">
        <v>54</v>
      </c>
      <c r="G1889" s="33">
        <v>7</v>
      </c>
      <c r="H1889" s="33" t="s">
        <v>2620</v>
      </c>
      <c r="I1889" s="33" t="s">
        <v>392</v>
      </c>
      <c r="J1889" s="33">
        <v>2021</v>
      </c>
      <c r="K1889" s="34"/>
      <c r="L1889" s="34"/>
      <c r="M1889" s="33" t="s">
        <v>393</v>
      </c>
      <c r="N1889" s="37" t="s">
        <v>2621</v>
      </c>
      <c r="O1889" s="33" t="s">
        <v>2622</v>
      </c>
      <c r="P1889" s="33" t="s">
        <v>2623</v>
      </c>
      <c r="Q1889" s="33" t="s">
        <v>2624</v>
      </c>
      <c r="R1889" s="34"/>
      <c r="S1889" s="38"/>
      <c r="T1889" s="38" t="s">
        <v>12690</v>
      </c>
    </row>
    <row r="1890" spans="1:20" x14ac:dyDescent="0.25">
      <c r="A1890" s="39" t="s">
        <v>9290</v>
      </c>
      <c r="B1890" s="39" t="s">
        <v>9292</v>
      </c>
      <c r="C1890" s="39" t="s">
        <v>539</v>
      </c>
      <c r="D1890" s="36"/>
      <c r="E1890" s="39">
        <v>2021</v>
      </c>
      <c r="F1890" s="40"/>
      <c r="G1890" s="40"/>
      <c r="H1890" s="36"/>
      <c r="I1890" s="40"/>
      <c r="J1890" s="36"/>
      <c r="K1890" s="36"/>
      <c r="L1890" s="36"/>
      <c r="M1890" s="34"/>
      <c r="N1890" s="41" t="s">
        <v>9293</v>
      </c>
      <c r="O1890" s="39" t="s">
        <v>9291</v>
      </c>
      <c r="P1890" s="33"/>
      <c r="Q1890" s="36"/>
      <c r="R1890" s="34"/>
      <c r="S1890" s="38"/>
      <c r="T1890" s="38" t="s">
        <v>12689</v>
      </c>
    </row>
    <row r="1891" spans="1:20" x14ac:dyDescent="0.25">
      <c r="A1891" s="39" t="s">
        <v>10024</v>
      </c>
      <c r="B1891" s="39" t="s">
        <v>10026</v>
      </c>
      <c r="C1891" s="39" t="s">
        <v>9539</v>
      </c>
      <c r="D1891" s="36"/>
      <c r="E1891" s="39">
        <v>2021</v>
      </c>
      <c r="F1891" s="40"/>
      <c r="G1891" s="40"/>
      <c r="H1891" s="36"/>
      <c r="I1891" s="39" t="s">
        <v>9290</v>
      </c>
      <c r="J1891" s="36"/>
      <c r="K1891" s="36"/>
      <c r="L1891" s="36"/>
      <c r="M1891" s="34"/>
      <c r="N1891" s="41" t="s">
        <v>10027</v>
      </c>
      <c r="O1891" s="39" t="s">
        <v>10025</v>
      </c>
      <c r="P1891" s="33"/>
      <c r="Q1891" s="36"/>
      <c r="R1891" s="34"/>
      <c r="S1891" s="38"/>
      <c r="T1891" s="38" t="s">
        <v>12689</v>
      </c>
    </row>
    <row r="1892" spans="1:20" x14ac:dyDescent="0.25">
      <c r="A1892" s="39" t="s">
        <v>9331</v>
      </c>
      <c r="B1892" s="39" t="s">
        <v>9629</v>
      </c>
      <c r="C1892" s="39" t="s">
        <v>539</v>
      </c>
      <c r="D1892" s="36"/>
      <c r="E1892" s="39">
        <v>2019</v>
      </c>
      <c r="F1892" s="40"/>
      <c r="G1892" s="40"/>
      <c r="H1892" s="36"/>
      <c r="I1892" s="39" t="s">
        <v>462</v>
      </c>
      <c r="J1892" s="36"/>
      <c r="K1892" s="36"/>
      <c r="L1892" s="36"/>
      <c r="M1892" s="34"/>
      <c r="N1892" s="41" t="s">
        <v>9630</v>
      </c>
      <c r="O1892" s="39" t="s">
        <v>9628</v>
      </c>
      <c r="P1892" s="33"/>
      <c r="Q1892" s="36"/>
      <c r="R1892" s="34"/>
      <c r="S1892" s="38"/>
      <c r="T1892" s="38" t="s">
        <v>12689</v>
      </c>
    </row>
    <row r="1893" spans="1:20" x14ac:dyDescent="0.25">
      <c r="A1893" s="39" t="s">
        <v>9331</v>
      </c>
      <c r="B1893" s="39" t="s">
        <v>9675</v>
      </c>
      <c r="C1893" s="39" t="s">
        <v>539</v>
      </c>
      <c r="D1893" s="36"/>
      <c r="E1893" s="39">
        <v>2017</v>
      </c>
      <c r="F1893" s="40"/>
      <c r="G1893" s="40"/>
      <c r="H1893" s="36"/>
      <c r="I1893" s="39" t="s">
        <v>462</v>
      </c>
      <c r="J1893" s="36"/>
      <c r="K1893" s="36"/>
      <c r="L1893" s="36"/>
      <c r="M1893" s="34"/>
      <c r="N1893" s="41" t="s">
        <v>9676</v>
      </c>
      <c r="O1893" s="39" t="s">
        <v>9674</v>
      </c>
      <c r="P1893" s="33"/>
      <c r="Q1893" s="36"/>
      <c r="R1893" s="34"/>
      <c r="S1893" s="38"/>
      <c r="T1893" s="38" t="s">
        <v>12689</v>
      </c>
    </row>
    <row r="1894" spans="1:20" x14ac:dyDescent="0.25">
      <c r="A1894" s="39" t="s">
        <v>9331</v>
      </c>
      <c r="B1894" s="39" t="s">
        <v>9447</v>
      </c>
      <c r="C1894" s="39" t="s">
        <v>539</v>
      </c>
      <c r="D1894" s="36"/>
      <c r="E1894" s="39">
        <v>2021</v>
      </c>
      <c r="F1894" s="40"/>
      <c r="G1894" s="40"/>
      <c r="H1894" s="36"/>
      <c r="I1894" s="39" t="s">
        <v>462</v>
      </c>
      <c r="J1894" s="36"/>
      <c r="K1894" s="36"/>
      <c r="L1894" s="36"/>
      <c r="M1894" s="34"/>
      <c r="N1894" s="41" t="s">
        <v>9448</v>
      </c>
      <c r="O1894" s="39" t="s">
        <v>9446</v>
      </c>
      <c r="P1894" s="33"/>
      <c r="Q1894" s="36"/>
      <c r="R1894" s="34"/>
      <c r="S1894" s="38"/>
      <c r="T1894" s="38" t="s">
        <v>12689</v>
      </c>
    </row>
    <row r="1895" spans="1:20" x14ac:dyDescent="0.25">
      <c r="A1895" s="39" t="s">
        <v>9331</v>
      </c>
      <c r="B1895" s="39" t="s">
        <v>9333</v>
      </c>
      <c r="C1895" s="39" t="s">
        <v>539</v>
      </c>
      <c r="D1895" s="36"/>
      <c r="E1895" s="39">
        <v>2022</v>
      </c>
      <c r="F1895" s="40"/>
      <c r="G1895" s="40"/>
      <c r="H1895" s="36"/>
      <c r="I1895" s="39" t="s">
        <v>462</v>
      </c>
      <c r="J1895" s="36"/>
      <c r="K1895" s="36"/>
      <c r="L1895" s="36"/>
      <c r="M1895" s="34"/>
      <c r="N1895" s="41" t="s">
        <v>9334</v>
      </c>
      <c r="O1895" s="39" t="s">
        <v>9332</v>
      </c>
      <c r="P1895" s="33"/>
      <c r="Q1895" s="36"/>
      <c r="R1895" s="34"/>
      <c r="S1895" s="38"/>
      <c r="T1895" s="38" t="s">
        <v>12689</v>
      </c>
    </row>
    <row r="1896" spans="1:20" x14ac:dyDescent="0.25">
      <c r="A1896" s="39" t="s">
        <v>9331</v>
      </c>
      <c r="B1896" s="39" t="s">
        <v>9517</v>
      </c>
      <c r="C1896" s="39" t="s">
        <v>539</v>
      </c>
      <c r="D1896" s="36"/>
      <c r="E1896" s="39">
        <v>2020</v>
      </c>
      <c r="F1896" s="40"/>
      <c r="G1896" s="40"/>
      <c r="H1896" s="36"/>
      <c r="I1896" s="39" t="s">
        <v>462</v>
      </c>
      <c r="J1896" s="36"/>
      <c r="K1896" s="36"/>
      <c r="L1896" s="36"/>
      <c r="M1896" s="34"/>
      <c r="N1896" s="41" t="s">
        <v>9518</v>
      </c>
      <c r="O1896" s="39" t="s">
        <v>9516</v>
      </c>
      <c r="P1896" s="33"/>
      <c r="Q1896" s="36"/>
      <c r="R1896" s="34"/>
      <c r="S1896" s="38"/>
      <c r="T1896" s="38" t="s">
        <v>12689</v>
      </c>
    </row>
    <row r="1897" spans="1:20" x14ac:dyDescent="0.25">
      <c r="A1897" s="39" t="s">
        <v>9331</v>
      </c>
      <c r="B1897" s="39" t="s">
        <v>9618</v>
      </c>
      <c r="C1897" s="39" t="s">
        <v>539</v>
      </c>
      <c r="D1897" s="36"/>
      <c r="E1897" s="39">
        <v>2018</v>
      </c>
      <c r="F1897" s="40"/>
      <c r="G1897" s="40"/>
      <c r="H1897" s="36"/>
      <c r="I1897" s="39" t="s">
        <v>462</v>
      </c>
      <c r="J1897" s="36"/>
      <c r="K1897" s="36"/>
      <c r="L1897" s="36"/>
      <c r="M1897" s="34"/>
      <c r="N1897" s="41" t="s">
        <v>9619</v>
      </c>
      <c r="O1897" s="39" t="s">
        <v>9617</v>
      </c>
      <c r="P1897" s="33"/>
      <c r="Q1897" s="36"/>
      <c r="R1897" s="34"/>
      <c r="S1897" s="38"/>
      <c r="T1897" s="38" t="s">
        <v>12689</v>
      </c>
    </row>
    <row r="1898" spans="1:20" x14ac:dyDescent="0.25">
      <c r="A1898" s="33" t="s">
        <v>8353</v>
      </c>
      <c r="B1898" s="34"/>
      <c r="C1898" s="33" t="s">
        <v>141</v>
      </c>
      <c r="D1898" s="34"/>
      <c r="E1898" s="33">
        <v>2021</v>
      </c>
      <c r="F1898" s="34"/>
      <c r="G1898" s="34"/>
      <c r="H1898" s="42">
        <v>45057</v>
      </c>
      <c r="I1898" s="33" t="s">
        <v>8354</v>
      </c>
      <c r="J1898" s="43">
        <v>44317</v>
      </c>
      <c r="K1898" s="36"/>
      <c r="L1898" s="36"/>
      <c r="M1898" s="34"/>
      <c r="N1898" s="37" t="s">
        <v>8355</v>
      </c>
      <c r="O1898" s="33" t="s">
        <v>8356</v>
      </c>
      <c r="P1898" s="33" t="s">
        <v>8357</v>
      </c>
      <c r="Q1898" s="36"/>
      <c r="R1898" s="34"/>
      <c r="S1898" s="38"/>
      <c r="T1898" s="38" t="s">
        <v>12688</v>
      </c>
    </row>
    <row r="1899" spans="1:20" x14ac:dyDescent="0.25">
      <c r="A1899" s="33" t="s">
        <v>8353</v>
      </c>
      <c r="B1899" s="34"/>
      <c r="C1899" s="33" t="s">
        <v>141</v>
      </c>
      <c r="D1899" s="34"/>
      <c r="E1899" s="33">
        <v>2018</v>
      </c>
      <c r="F1899" s="34"/>
      <c r="G1899" s="34"/>
      <c r="H1899" s="42">
        <v>45055</v>
      </c>
      <c r="I1899" s="33" t="s">
        <v>7304</v>
      </c>
      <c r="J1899" s="43">
        <v>43221</v>
      </c>
      <c r="K1899" s="36"/>
      <c r="L1899" s="36"/>
      <c r="M1899" s="34"/>
      <c r="N1899" s="34"/>
      <c r="O1899" s="34"/>
      <c r="P1899" s="33" t="s">
        <v>8357</v>
      </c>
      <c r="Q1899" s="36"/>
      <c r="R1899" s="34"/>
      <c r="S1899" s="38"/>
      <c r="T1899" s="38" t="s">
        <v>12688</v>
      </c>
    </row>
    <row r="1900" spans="1:20" x14ac:dyDescent="0.25">
      <c r="A1900" s="33" t="s">
        <v>8362</v>
      </c>
      <c r="B1900" s="34"/>
      <c r="C1900" s="33" t="s">
        <v>141</v>
      </c>
      <c r="D1900" s="34"/>
      <c r="E1900" s="33">
        <v>2020</v>
      </c>
      <c r="F1900" s="34"/>
      <c r="G1900" s="34"/>
      <c r="H1900" s="42">
        <v>45055</v>
      </c>
      <c r="I1900" s="33" t="s">
        <v>8363</v>
      </c>
      <c r="J1900" s="35">
        <v>44136</v>
      </c>
      <c r="K1900" s="36"/>
      <c r="L1900" s="36"/>
      <c r="M1900" s="34"/>
      <c r="N1900" s="37" t="s">
        <v>8364</v>
      </c>
      <c r="O1900" s="33" t="s">
        <v>8365</v>
      </c>
      <c r="P1900" s="33" t="s">
        <v>8357</v>
      </c>
      <c r="Q1900" s="36"/>
      <c r="R1900" s="34"/>
      <c r="S1900" s="38"/>
      <c r="T1900" s="38" t="s">
        <v>12688</v>
      </c>
    </row>
    <row r="1901" spans="1:20" x14ac:dyDescent="0.25">
      <c r="A1901" s="33" t="s">
        <v>8362</v>
      </c>
      <c r="B1901" s="34"/>
      <c r="C1901" s="33" t="s">
        <v>141</v>
      </c>
      <c r="D1901" s="34"/>
      <c r="E1901" s="33">
        <v>2019</v>
      </c>
      <c r="F1901" s="34"/>
      <c r="G1901" s="34"/>
      <c r="H1901" s="42">
        <v>45058</v>
      </c>
      <c r="I1901" s="33" t="s">
        <v>6399</v>
      </c>
      <c r="J1901" s="43">
        <v>43678</v>
      </c>
      <c r="K1901" s="36"/>
      <c r="L1901" s="36"/>
      <c r="M1901" s="34"/>
      <c r="N1901" s="37" t="s">
        <v>8366</v>
      </c>
      <c r="O1901" s="33" t="s">
        <v>8367</v>
      </c>
      <c r="P1901" s="33" t="s">
        <v>8357</v>
      </c>
      <c r="Q1901" s="36"/>
      <c r="R1901" s="34"/>
      <c r="S1901" s="38"/>
      <c r="T1901" s="38" t="s">
        <v>12688</v>
      </c>
    </row>
    <row r="1902" spans="1:20" x14ac:dyDescent="0.25">
      <c r="A1902" s="33" t="s">
        <v>8353</v>
      </c>
      <c r="B1902" s="34"/>
      <c r="C1902" s="33" t="s">
        <v>141</v>
      </c>
      <c r="D1902" s="34"/>
      <c r="E1902" s="33">
        <v>2020</v>
      </c>
      <c r="F1902" s="34"/>
      <c r="G1902" s="34"/>
      <c r="H1902" s="42">
        <v>45061</v>
      </c>
      <c r="I1902" s="33" t="s">
        <v>6111</v>
      </c>
      <c r="J1902" s="35">
        <v>44105</v>
      </c>
      <c r="K1902" s="36"/>
      <c r="L1902" s="36"/>
      <c r="M1902" s="33" t="s">
        <v>6112</v>
      </c>
      <c r="N1902" s="34"/>
      <c r="O1902" s="34"/>
      <c r="P1902" s="33" t="s">
        <v>8357</v>
      </c>
      <c r="Q1902" s="36"/>
      <c r="R1902" s="34"/>
      <c r="S1902" s="38"/>
      <c r="T1902" s="38" t="s">
        <v>12688</v>
      </c>
    </row>
    <row r="1903" spans="1:20" x14ac:dyDescent="0.25">
      <c r="A1903" s="33" t="s">
        <v>8353</v>
      </c>
      <c r="B1903" s="34"/>
      <c r="C1903" s="33" t="s">
        <v>141</v>
      </c>
      <c r="D1903" s="34"/>
      <c r="E1903" s="33">
        <v>2020</v>
      </c>
      <c r="F1903" s="34"/>
      <c r="G1903" s="34"/>
      <c r="H1903" s="33" t="s">
        <v>8368</v>
      </c>
      <c r="I1903" s="33" t="s">
        <v>6322</v>
      </c>
      <c r="J1903" s="43">
        <v>44044</v>
      </c>
      <c r="K1903" s="36"/>
      <c r="L1903" s="36"/>
      <c r="M1903" s="34"/>
      <c r="N1903" s="37" t="s">
        <v>8369</v>
      </c>
      <c r="O1903" s="33" t="s">
        <v>8370</v>
      </c>
      <c r="P1903" s="33" t="s">
        <v>8357</v>
      </c>
      <c r="Q1903" s="36"/>
      <c r="R1903" s="34"/>
      <c r="S1903" s="38"/>
      <c r="T1903" s="38" t="s">
        <v>12688</v>
      </c>
    </row>
    <row r="1904" spans="1:20" x14ac:dyDescent="0.25">
      <c r="A1904" s="33" t="s">
        <v>8353</v>
      </c>
      <c r="B1904" s="34"/>
      <c r="C1904" s="33" t="s">
        <v>141</v>
      </c>
      <c r="D1904" s="34"/>
      <c r="E1904" s="33">
        <v>2022</v>
      </c>
      <c r="F1904" s="34"/>
      <c r="G1904" s="34"/>
      <c r="H1904" s="42">
        <v>45060</v>
      </c>
      <c r="I1904" s="33" t="s">
        <v>6166</v>
      </c>
      <c r="J1904" s="43">
        <v>44774</v>
      </c>
      <c r="K1904" s="36"/>
      <c r="L1904" s="36"/>
      <c r="M1904" s="34"/>
      <c r="N1904" s="37" t="s">
        <v>8371</v>
      </c>
      <c r="O1904" s="33" t="s">
        <v>8372</v>
      </c>
      <c r="P1904" s="33" t="s">
        <v>8373</v>
      </c>
      <c r="Q1904" s="36"/>
      <c r="R1904" s="34"/>
      <c r="S1904" s="38"/>
      <c r="T1904" s="38" t="s">
        <v>12688</v>
      </c>
    </row>
    <row r="1905" spans="1:20" x14ac:dyDescent="0.25">
      <c r="A1905" s="33" t="s">
        <v>8362</v>
      </c>
      <c r="B1905" s="34"/>
      <c r="C1905" s="33" t="s">
        <v>141</v>
      </c>
      <c r="D1905" s="34"/>
      <c r="E1905" s="33">
        <v>2018</v>
      </c>
      <c r="F1905" s="34"/>
      <c r="G1905" s="34"/>
      <c r="H1905" s="42">
        <v>45072</v>
      </c>
      <c r="I1905" s="33" t="s">
        <v>6238</v>
      </c>
      <c r="J1905" s="43">
        <v>43221</v>
      </c>
      <c r="K1905" s="36"/>
      <c r="L1905" s="36"/>
      <c r="M1905" s="33" t="s">
        <v>6239</v>
      </c>
      <c r="N1905" s="34"/>
      <c r="O1905" s="34"/>
      <c r="P1905" s="33" t="s">
        <v>8357</v>
      </c>
      <c r="Q1905" s="36"/>
      <c r="R1905" s="34"/>
      <c r="S1905" s="38"/>
      <c r="T1905" s="38" t="s">
        <v>12688</v>
      </c>
    </row>
    <row r="1906" spans="1:20" x14ac:dyDescent="0.25">
      <c r="A1906" s="33" t="s">
        <v>8353</v>
      </c>
      <c r="B1906" s="34"/>
      <c r="C1906" s="33" t="s">
        <v>141</v>
      </c>
      <c r="D1906" s="34"/>
      <c r="E1906" s="33">
        <v>2022</v>
      </c>
      <c r="F1906" s="34"/>
      <c r="G1906" s="34"/>
      <c r="H1906" s="33" t="s">
        <v>8374</v>
      </c>
      <c r="I1906" s="33" t="s">
        <v>6592</v>
      </c>
      <c r="J1906" s="43">
        <v>44621</v>
      </c>
      <c r="K1906" s="36"/>
      <c r="L1906" s="36"/>
      <c r="M1906" s="33" t="s">
        <v>6593</v>
      </c>
      <c r="N1906" s="37" t="s">
        <v>8375</v>
      </c>
      <c r="O1906" s="33" t="s">
        <v>8376</v>
      </c>
      <c r="P1906" s="33" t="s">
        <v>8357</v>
      </c>
      <c r="Q1906" s="36"/>
      <c r="R1906" s="34"/>
      <c r="S1906" s="38"/>
      <c r="T1906" s="38" t="s">
        <v>12688</v>
      </c>
    </row>
    <row r="1907" spans="1:20" x14ac:dyDescent="0.25">
      <c r="A1907" s="33" t="s">
        <v>8353</v>
      </c>
      <c r="B1907" s="34"/>
      <c r="C1907" s="33" t="s">
        <v>141</v>
      </c>
      <c r="D1907" s="34"/>
      <c r="E1907" s="33">
        <v>2021</v>
      </c>
      <c r="F1907" s="34"/>
      <c r="G1907" s="34"/>
      <c r="H1907" s="42">
        <v>45059</v>
      </c>
      <c r="I1907" s="33" t="s">
        <v>6329</v>
      </c>
      <c r="J1907" s="43">
        <v>44317</v>
      </c>
      <c r="K1907" s="36"/>
      <c r="L1907" s="36"/>
      <c r="M1907" s="33" t="s">
        <v>6152</v>
      </c>
      <c r="N1907" s="37" t="s">
        <v>8377</v>
      </c>
      <c r="O1907" s="33" t="s">
        <v>8378</v>
      </c>
      <c r="P1907" s="33" t="s">
        <v>8357</v>
      </c>
      <c r="Q1907" s="36"/>
      <c r="R1907" s="34"/>
      <c r="S1907" s="38"/>
      <c r="T1907" s="38" t="s">
        <v>12688</v>
      </c>
    </row>
    <row r="1908" spans="1:20" x14ac:dyDescent="0.25">
      <c r="A1908" s="33" t="s">
        <v>8353</v>
      </c>
      <c r="B1908" s="34"/>
      <c r="C1908" s="33" t="s">
        <v>13</v>
      </c>
      <c r="D1908" s="33" t="s">
        <v>4637</v>
      </c>
      <c r="E1908" s="33">
        <v>2021</v>
      </c>
      <c r="F1908" s="33">
        <v>38</v>
      </c>
      <c r="G1908" s="33">
        <v>1</v>
      </c>
      <c r="H1908" s="42">
        <v>44928</v>
      </c>
      <c r="I1908" s="34"/>
      <c r="J1908" s="43">
        <v>44197</v>
      </c>
      <c r="K1908" s="36"/>
      <c r="L1908" s="36"/>
      <c r="M1908" s="33" t="s">
        <v>6207</v>
      </c>
      <c r="N1908" s="37" t="s">
        <v>8379</v>
      </c>
      <c r="O1908" s="33" t="s">
        <v>8380</v>
      </c>
      <c r="P1908" s="33" t="s">
        <v>8381</v>
      </c>
      <c r="Q1908" s="36"/>
      <c r="R1908" s="34"/>
      <c r="S1908" s="38"/>
      <c r="T1908" s="38" t="s">
        <v>12688</v>
      </c>
    </row>
    <row r="1909" spans="1:20" x14ac:dyDescent="0.25">
      <c r="A1909" s="33" t="s">
        <v>8362</v>
      </c>
      <c r="B1909" s="34"/>
      <c r="C1909" s="33" t="s">
        <v>141</v>
      </c>
      <c r="D1909" s="34"/>
      <c r="E1909" s="33">
        <v>2020</v>
      </c>
      <c r="F1909" s="34"/>
      <c r="G1909" s="34"/>
      <c r="H1909" s="42">
        <v>45062</v>
      </c>
      <c r="I1909" s="33" t="s">
        <v>6980</v>
      </c>
      <c r="J1909" s="43">
        <v>44075</v>
      </c>
      <c r="K1909" s="36"/>
      <c r="L1909" s="36"/>
      <c r="M1909" s="33" t="s">
        <v>6818</v>
      </c>
      <c r="N1909" s="37" t="s">
        <v>8382</v>
      </c>
      <c r="O1909" s="33" t="s">
        <v>8383</v>
      </c>
      <c r="P1909" s="33" t="s">
        <v>8357</v>
      </c>
      <c r="Q1909" s="36"/>
      <c r="R1909" s="34"/>
      <c r="S1909" s="38"/>
      <c r="T1909" s="38" t="s">
        <v>12688</v>
      </c>
    </row>
    <row r="1910" spans="1:20" x14ac:dyDescent="0.25">
      <c r="A1910" s="33" t="s">
        <v>8362</v>
      </c>
      <c r="B1910" s="34"/>
      <c r="C1910" s="33" t="s">
        <v>141</v>
      </c>
      <c r="D1910" s="34"/>
      <c r="E1910" s="33">
        <v>2018</v>
      </c>
      <c r="F1910" s="34"/>
      <c r="G1910" s="34"/>
      <c r="H1910" s="42">
        <v>45058</v>
      </c>
      <c r="I1910" s="33" t="s">
        <v>8388</v>
      </c>
      <c r="J1910" s="43">
        <v>43344</v>
      </c>
      <c r="K1910" s="36"/>
      <c r="L1910" s="36"/>
      <c r="M1910" s="33" t="s">
        <v>6818</v>
      </c>
      <c r="N1910" s="37" t="s">
        <v>8389</v>
      </c>
      <c r="O1910" s="33" t="s">
        <v>8390</v>
      </c>
      <c r="P1910" s="33" t="s">
        <v>8357</v>
      </c>
      <c r="Q1910" s="36"/>
      <c r="R1910" s="34"/>
      <c r="S1910" s="38"/>
      <c r="T1910" s="38" t="s">
        <v>12688</v>
      </c>
    </row>
    <row r="1911" spans="1:20" x14ac:dyDescent="0.25">
      <c r="A1911" s="33" t="s">
        <v>8353</v>
      </c>
      <c r="B1911" s="34"/>
      <c r="C1911" s="33" t="s">
        <v>141</v>
      </c>
      <c r="D1911" s="34"/>
      <c r="E1911" s="33">
        <v>2022</v>
      </c>
      <c r="F1911" s="34"/>
      <c r="G1911" s="34"/>
      <c r="H1911" s="33" t="s">
        <v>8399</v>
      </c>
      <c r="I1911" s="33" t="s">
        <v>6469</v>
      </c>
      <c r="J1911" s="43">
        <v>44682</v>
      </c>
      <c r="K1911" s="36"/>
      <c r="L1911" s="36"/>
      <c r="M1911" s="33" t="s">
        <v>6152</v>
      </c>
      <c r="N1911" s="34"/>
      <c r="O1911" s="34"/>
      <c r="P1911" s="33" t="s">
        <v>8357</v>
      </c>
      <c r="Q1911" s="36"/>
      <c r="R1911" s="34"/>
      <c r="S1911" s="38"/>
      <c r="T1911" s="38" t="s">
        <v>12688</v>
      </c>
    </row>
    <row r="1912" spans="1:20" x14ac:dyDescent="0.25">
      <c r="A1912" s="33" t="s">
        <v>8353</v>
      </c>
      <c r="B1912" s="34"/>
      <c r="C1912" s="33" t="s">
        <v>141</v>
      </c>
      <c r="D1912" s="34"/>
      <c r="E1912" s="33">
        <v>2021</v>
      </c>
      <c r="F1912" s="34"/>
      <c r="G1912" s="34"/>
      <c r="H1912" s="42">
        <v>45060</v>
      </c>
      <c r="I1912" s="33" t="s">
        <v>7278</v>
      </c>
      <c r="J1912" s="43">
        <v>44256</v>
      </c>
      <c r="K1912" s="36"/>
      <c r="L1912" s="36"/>
      <c r="M1912" s="33" t="s">
        <v>6593</v>
      </c>
      <c r="N1912" s="37" t="s">
        <v>8404</v>
      </c>
      <c r="O1912" s="33" t="s">
        <v>8405</v>
      </c>
      <c r="P1912" s="33" t="s">
        <v>8357</v>
      </c>
      <c r="Q1912" s="36"/>
      <c r="R1912" s="34"/>
      <c r="S1912" s="38"/>
      <c r="T1912" s="38" t="s">
        <v>12688</v>
      </c>
    </row>
    <row r="1913" spans="1:20" x14ac:dyDescent="0.25">
      <c r="A1913" s="33" t="s">
        <v>8362</v>
      </c>
      <c r="B1913" s="34"/>
      <c r="C1913" s="33" t="s">
        <v>141</v>
      </c>
      <c r="D1913" s="34"/>
      <c r="E1913" s="33">
        <v>2018</v>
      </c>
      <c r="F1913" s="34"/>
      <c r="G1913" s="34"/>
      <c r="H1913" s="42">
        <v>45059</v>
      </c>
      <c r="I1913" s="33" t="s">
        <v>6151</v>
      </c>
      <c r="J1913" s="43">
        <v>43221</v>
      </c>
      <c r="K1913" s="36"/>
      <c r="L1913" s="36"/>
      <c r="M1913" s="33" t="s">
        <v>6152</v>
      </c>
      <c r="N1913" s="34"/>
      <c r="O1913" s="34"/>
      <c r="P1913" s="33" t="s">
        <v>8357</v>
      </c>
      <c r="Q1913" s="36"/>
      <c r="R1913" s="34"/>
      <c r="S1913" s="38"/>
      <c r="T1913" s="38" t="s">
        <v>12688</v>
      </c>
    </row>
    <row r="1914" spans="1:20" x14ac:dyDescent="0.25">
      <c r="A1914" s="33" t="s">
        <v>8362</v>
      </c>
      <c r="B1914" s="34"/>
      <c r="C1914" s="33" t="s">
        <v>141</v>
      </c>
      <c r="D1914" s="34"/>
      <c r="E1914" s="33">
        <v>2018</v>
      </c>
      <c r="F1914" s="34"/>
      <c r="G1914" s="34"/>
      <c r="H1914" s="42">
        <v>45056</v>
      </c>
      <c r="I1914" s="33" t="s">
        <v>6619</v>
      </c>
      <c r="J1914" s="43">
        <v>43191</v>
      </c>
      <c r="K1914" s="36"/>
      <c r="L1914" s="36"/>
      <c r="M1914" s="34"/>
      <c r="N1914" s="37" t="s">
        <v>8406</v>
      </c>
      <c r="O1914" s="33" t="s">
        <v>8407</v>
      </c>
      <c r="P1914" s="33" t="s">
        <v>8357</v>
      </c>
      <c r="Q1914" s="36"/>
      <c r="R1914" s="34"/>
      <c r="S1914" s="38"/>
      <c r="T1914" s="38" t="s">
        <v>12688</v>
      </c>
    </row>
    <row r="1915" spans="1:20" x14ac:dyDescent="0.25">
      <c r="A1915" s="33" t="s">
        <v>7773</v>
      </c>
      <c r="B1915" s="33" t="s">
        <v>7772</v>
      </c>
      <c r="C1915" s="33" t="s">
        <v>141</v>
      </c>
      <c r="D1915" s="34"/>
      <c r="E1915" s="33">
        <v>2018</v>
      </c>
      <c r="F1915" s="34"/>
      <c r="G1915" s="34"/>
      <c r="H1915" s="33" t="s">
        <v>12248</v>
      </c>
      <c r="I1915" s="44" t="s">
        <v>12816</v>
      </c>
      <c r="J1915" s="33">
        <v>2018</v>
      </c>
      <c r="K1915" s="33">
        <v>9781450359375</v>
      </c>
      <c r="L1915" s="33" t="s">
        <v>12254</v>
      </c>
      <c r="M1915" s="34"/>
      <c r="N1915" s="37" t="s">
        <v>12251</v>
      </c>
      <c r="O1915" s="33" t="s">
        <v>7777</v>
      </c>
      <c r="P1915" s="33" t="s">
        <v>12252</v>
      </c>
      <c r="Q1915" s="36"/>
      <c r="R1915" s="36"/>
      <c r="S1915" s="33" t="s">
        <v>12253</v>
      </c>
      <c r="T1915" s="33" t="s">
        <v>12692</v>
      </c>
    </row>
    <row r="1916" spans="1:20" x14ac:dyDescent="0.25">
      <c r="A1916" s="33" t="s">
        <v>7773</v>
      </c>
      <c r="B1916" s="33" t="s">
        <v>7772</v>
      </c>
      <c r="C1916" s="33" t="s">
        <v>141</v>
      </c>
      <c r="D1916" s="34"/>
      <c r="E1916" s="33">
        <v>2018</v>
      </c>
      <c r="F1916" s="34"/>
      <c r="G1916" s="34"/>
      <c r="H1916" s="33" t="s">
        <v>7774</v>
      </c>
      <c r="I1916" s="33" t="s">
        <v>7775</v>
      </c>
      <c r="J1916" s="43">
        <v>43344</v>
      </c>
      <c r="K1916" s="36"/>
      <c r="L1916" s="36"/>
      <c r="M1916" s="33" t="s">
        <v>6190</v>
      </c>
      <c r="N1916" s="37" t="s">
        <v>7776</v>
      </c>
      <c r="O1916" s="33" t="s">
        <v>7777</v>
      </c>
      <c r="P1916" s="33" t="s">
        <v>7778</v>
      </c>
      <c r="Q1916" s="36"/>
      <c r="R1916" s="36"/>
      <c r="S1916" s="33" t="s">
        <v>7779</v>
      </c>
      <c r="T1916" s="38" t="s">
        <v>12688</v>
      </c>
    </row>
    <row r="1917" spans="1:20" x14ac:dyDescent="0.25">
      <c r="A1917" s="33" t="s">
        <v>12471</v>
      </c>
      <c r="B1917" s="33" t="s">
        <v>12470</v>
      </c>
      <c r="C1917" s="33" t="s">
        <v>141</v>
      </c>
      <c r="D1917" s="34"/>
      <c r="E1917" s="33">
        <v>2022</v>
      </c>
      <c r="F1917" s="34"/>
      <c r="G1917" s="34"/>
      <c r="H1917" s="34"/>
      <c r="I1917" s="44" t="s">
        <v>12817</v>
      </c>
      <c r="J1917" s="33">
        <v>2022</v>
      </c>
      <c r="K1917" s="33">
        <v>9781450394772</v>
      </c>
      <c r="L1917" s="33" t="s">
        <v>12478</v>
      </c>
      <c r="M1917" s="34"/>
      <c r="N1917" s="37" t="s">
        <v>12474</v>
      </c>
      <c r="O1917" s="33" t="s">
        <v>12475</v>
      </c>
      <c r="P1917" s="33" t="s">
        <v>12476</v>
      </c>
      <c r="Q1917" s="36"/>
      <c r="R1917" s="36"/>
      <c r="S1917" s="33" t="s">
        <v>12477</v>
      </c>
      <c r="T1917" s="33" t="s">
        <v>12692</v>
      </c>
    </row>
    <row r="1918" spans="1:20" x14ac:dyDescent="0.25">
      <c r="A1918" s="33" t="s">
        <v>1160</v>
      </c>
      <c r="B1918" s="33" t="s">
        <v>1159</v>
      </c>
      <c r="C1918" s="33" t="s">
        <v>13</v>
      </c>
      <c r="D1918" s="33" t="s">
        <v>1161</v>
      </c>
      <c r="E1918" s="33">
        <v>2022</v>
      </c>
      <c r="F1918" s="33">
        <v>10</v>
      </c>
      <c r="G1918" s="33">
        <v>3</v>
      </c>
      <c r="H1918" s="34"/>
      <c r="I1918" s="33" t="s">
        <v>228</v>
      </c>
      <c r="J1918" s="33">
        <v>2022</v>
      </c>
      <c r="K1918" s="34"/>
      <c r="L1918" s="34"/>
      <c r="M1918" s="33" t="s">
        <v>1162</v>
      </c>
      <c r="N1918" s="37" t="s">
        <v>1163</v>
      </c>
      <c r="O1918" s="33" t="s">
        <v>1164</v>
      </c>
      <c r="P1918" s="33" t="s">
        <v>1165</v>
      </c>
      <c r="Q1918" s="33" t="s">
        <v>447</v>
      </c>
      <c r="R1918" s="34"/>
      <c r="S1918" s="38"/>
      <c r="T1918" s="38" t="s">
        <v>12690</v>
      </c>
    </row>
    <row r="1919" spans="1:20" x14ac:dyDescent="0.25">
      <c r="A1919" s="39" t="s">
        <v>10876</v>
      </c>
      <c r="B1919" s="39" t="s">
        <v>10878</v>
      </c>
      <c r="C1919" s="39" t="s">
        <v>9539</v>
      </c>
      <c r="D1919" s="36"/>
      <c r="E1919" s="39">
        <v>2012</v>
      </c>
      <c r="F1919" s="40"/>
      <c r="G1919" s="40"/>
      <c r="H1919" s="36"/>
      <c r="I1919" s="39" t="s">
        <v>10875</v>
      </c>
      <c r="J1919" s="36"/>
      <c r="K1919" s="36"/>
      <c r="L1919" s="36"/>
      <c r="M1919" s="34"/>
      <c r="N1919" s="41" t="s">
        <v>10879</v>
      </c>
      <c r="O1919" s="39" t="s">
        <v>10877</v>
      </c>
      <c r="P1919" s="33"/>
      <c r="Q1919" s="36"/>
      <c r="R1919" s="34"/>
      <c r="S1919" s="38"/>
      <c r="T1919" s="38" t="s">
        <v>12689</v>
      </c>
    </row>
    <row r="1920" spans="1:20" x14ac:dyDescent="0.25">
      <c r="A1920" s="33" t="s">
        <v>1767</v>
      </c>
      <c r="B1920" s="33" t="s">
        <v>1766</v>
      </c>
      <c r="C1920" s="33" t="s">
        <v>13</v>
      </c>
      <c r="D1920" s="33" t="s">
        <v>136</v>
      </c>
      <c r="E1920" s="33">
        <v>2021</v>
      </c>
      <c r="F1920" s="33">
        <v>26</v>
      </c>
      <c r="G1920" s="33">
        <v>5</v>
      </c>
      <c r="H1920" s="34"/>
      <c r="I1920" s="33" t="s">
        <v>137</v>
      </c>
      <c r="J1920" s="33">
        <v>2021</v>
      </c>
      <c r="K1920" s="34"/>
      <c r="L1920" s="34"/>
      <c r="M1920" s="33" t="s">
        <v>33</v>
      </c>
      <c r="N1920" s="37" t="s">
        <v>1768</v>
      </c>
      <c r="O1920" s="33" t="s">
        <v>1769</v>
      </c>
      <c r="P1920" s="33" t="s">
        <v>1770</v>
      </c>
      <c r="Q1920" s="33" t="s">
        <v>157</v>
      </c>
      <c r="R1920" s="34"/>
      <c r="S1920" s="38"/>
      <c r="T1920" s="38" t="s">
        <v>12690</v>
      </c>
    </row>
    <row r="1921" spans="1:20" x14ac:dyDescent="0.25">
      <c r="A1921" s="33" t="s">
        <v>2308</v>
      </c>
      <c r="B1921" s="33" t="s">
        <v>2307</v>
      </c>
      <c r="C1921" s="33" t="s">
        <v>141</v>
      </c>
      <c r="D1921" s="34"/>
      <c r="E1921" s="33">
        <v>2022</v>
      </c>
      <c r="F1921" s="34"/>
      <c r="G1921" s="34"/>
      <c r="H1921" s="33" t="s">
        <v>11271</v>
      </c>
      <c r="I1921" s="44" t="s">
        <v>12748</v>
      </c>
      <c r="J1921" s="33">
        <v>2022</v>
      </c>
      <c r="K1921" s="33">
        <v>9781450393041</v>
      </c>
      <c r="L1921" s="33" t="s">
        <v>11081</v>
      </c>
      <c r="M1921" s="34"/>
      <c r="N1921" s="37" t="s">
        <v>11272</v>
      </c>
      <c r="O1921" s="33" t="s">
        <v>2311</v>
      </c>
      <c r="P1921" s="33" t="s">
        <v>11273</v>
      </c>
      <c r="Q1921" s="36"/>
      <c r="R1921" s="36"/>
      <c r="S1921" s="33" t="s">
        <v>11274</v>
      </c>
      <c r="T1921" s="33" t="s">
        <v>12692</v>
      </c>
    </row>
    <row r="1922" spans="1:20" x14ac:dyDescent="0.25">
      <c r="A1922" s="33" t="s">
        <v>2308</v>
      </c>
      <c r="B1922" s="33" t="s">
        <v>2307</v>
      </c>
      <c r="C1922" s="33" t="s">
        <v>141</v>
      </c>
      <c r="D1922" s="34"/>
      <c r="E1922" s="33">
        <v>2022</v>
      </c>
      <c r="F1922" s="34"/>
      <c r="G1922" s="34"/>
      <c r="H1922" s="33" t="s">
        <v>6184</v>
      </c>
      <c r="I1922" s="33" t="s">
        <v>6118</v>
      </c>
      <c r="J1922" s="43">
        <v>44682</v>
      </c>
      <c r="K1922" s="36"/>
      <c r="L1922" s="36"/>
      <c r="M1922" s="34"/>
      <c r="N1922" s="37" t="s">
        <v>6185</v>
      </c>
      <c r="O1922" s="33" t="s">
        <v>2311</v>
      </c>
      <c r="P1922" s="33" t="s">
        <v>6186</v>
      </c>
      <c r="Q1922" s="36"/>
      <c r="R1922" s="36"/>
      <c r="S1922" s="33" t="s">
        <v>6187</v>
      </c>
      <c r="T1922" s="38" t="s">
        <v>12688</v>
      </c>
    </row>
    <row r="1923" spans="1:20" x14ac:dyDescent="0.25">
      <c r="A1923" s="33" t="s">
        <v>2308</v>
      </c>
      <c r="B1923" s="33" t="s">
        <v>2307</v>
      </c>
      <c r="C1923" s="33" t="s">
        <v>141</v>
      </c>
      <c r="D1923" s="34"/>
      <c r="E1923" s="33">
        <v>2022</v>
      </c>
      <c r="F1923" s="34"/>
      <c r="G1923" s="34"/>
      <c r="H1923" s="33" t="s">
        <v>2309</v>
      </c>
      <c r="I1923" s="33" t="s">
        <v>257</v>
      </c>
      <c r="J1923" s="33">
        <v>2022</v>
      </c>
      <c r="K1923" s="33">
        <v>9781450393041</v>
      </c>
      <c r="L1923" s="34"/>
      <c r="M1923" s="34"/>
      <c r="N1923" s="37" t="s">
        <v>2310</v>
      </c>
      <c r="O1923" s="33" t="s">
        <v>2311</v>
      </c>
      <c r="P1923" s="33" t="s">
        <v>2312</v>
      </c>
      <c r="Q1923" s="33" t="s">
        <v>157</v>
      </c>
      <c r="R1923" s="34"/>
      <c r="S1923" s="38"/>
      <c r="T1923" s="38" t="s">
        <v>12690</v>
      </c>
    </row>
    <row r="1924" spans="1:20" x14ac:dyDescent="0.25">
      <c r="A1924" s="33" t="s">
        <v>11398</v>
      </c>
      <c r="B1924" s="33" t="s">
        <v>4537</v>
      </c>
      <c r="C1924" s="33" t="s">
        <v>141</v>
      </c>
      <c r="D1924" s="34"/>
      <c r="E1924" s="33">
        <v>2020</v>
      </c>
      <c r="F1924" s="34"/>
      <c r="G1924" s="34"/>
      <c r="H1924" s="33" t="s">
        <v>11173</v>
      </c>
      <c r="I1924" s="44" t="s">
        <v>12818</v>
      </c>
      <c r="J1924" s="33">
        <v>2020</v>
      </c>
      <c r="K1924" s="33">
        <v>9781450371247</v>
      </c>
      <c r="L1924" s="33" t="s">
        <v>11401</v>
      </c>
      <c r="M1924" s="34"/>
      <c r="N1924" s="37" t="s">
        <v>11400</v>
      </c>
      <c r="O1924" s="33" t="s">
        <v>4541</v>
      </c>
      <c r="P1924" s="33" t="s">
        <v>6376</v>
      </c>
      <c r="Q1924" s="36"/>
      <c r="R1924" s="36"/>
      <c r="S1924" s="34"/>
      <c r="T1924" s="33" t="s">
        <v>12692</v>
      </c>
    </row>
    <row r="1925" spans="1:20" x14ac:dyDescent="0.25">
      <c r="A1925" s="33" t="s">
        <v>11398</v>
      </c>
      <c r="B1925" s="33" t="s">
        <v>4537</v>
      </c>
      <c r="C1925" s="33" t="s">
        <v>141</v>
      </c>
      <c r="D1925" s="34"/>
      <c r="E1925" s="33">
        <v>2020</v>
      </c>
      <c r="F1925" s="34"/>
      <c r="G1925" s="34"/>
      <c r="H1925" s="33" t="s">
        <v>4539</v>
      </c>
      <c r="I1925" s="33" t="s">
        <v>196</v>
      </c>
      <c r="J1925" s="33">
        <v>2020</v>
      </c>
      <c r="K1925" s="33">
        <v>9781450371247</v>
      </c>
      <c r="L1925" s="34"/>
      <c r="M1925" s="33" t="s">
        <v>1458</v>
      </c>
      <c r="N1925" s="37" t="s">
        <v>4540</v>
      </c>
      <c r="O1925" s="33" t="s">
        <v>4541</v>
      </c>
      <c r="P1925" s="33" t="s">
        <v>4542</v>
      </c>
      <c r="Q1925" s="33" t="s">
        <v>1930</v>
      </c>
      <c r="R1925" s="34"/>
      <c r="S1925" s="38"/>
      <c r="T1925" s="38" t="s">
        <v>12690</v>
      </c>
    </row>
    <row r="1926" spans="1:20" x14ac:dyDescent="0.25">
      <c r="A1926" s="33" t="s">
        <v>11398</v>
      </c>
      <c r="B1926" s="33" t="s">
        <v>4537</v>
      </c>
      <c r="C1926" s="33" t="s">
        <v>141</v>
      </c>
      <c r="D1926" s="34"/>
      <c r="E1926" s="33">
        <v>2020</v>
      </c>
      <c r="F1926" s="34"/>
      <c r="G1926" s="34"/>
      <c r="H1926" s="33" t="s">
        <v>6374</v>
      </c>
      <c r="I1926" s="33" t="s">
        <v>6375</v>
      </c>
      <c r="J1926" s="35">
        <v>44105</v>
      </c>
      <c r="K1926" s="36"/>
      <c r="L1926" s="36"/>
      <c r="M1926" s="34"/>
      <c r="N1926" s="34"/>
      <c r="O1926" s="34"/>
      <c r="P1926" s="33" t="s">
        <v>6376</v>
      </c>
      <c r="Q1926" s="36"/>
      <c r="R1926" s="36"/>
      <c r="S1926" s="33" t="s">
        <v>6377</v>
      </c>
      <c r="T1926" s="38" t="s">
        <v>12688</v>
      </c>
    </row>
    <row r="1927" spans="1:20" x14ac:dyDescent="0.25">
      <c r="A1927" s="33" t="s">
        <v>8057</v>
      </c>
      <c r="B1927" s="33" t="s">
        <v>8056</v>
      </c>
      <c r="C1927" s="33" t="s">
        <v>141</v>
      </c>
      <c r="D1927" s="34"/>
      <c r="E1927" s="33">
        <v>2020</v>
      </c>
      <c r="F1927" s="34"/>
      <c r="G1927" s="34"/>
      <c r="H1927" s="33" t="s">
        <v>8058</v>
      </c>
      <c r="I1927" s="33" t="s">
        <v>8059</v>
      </c>
      <c r="J1927" s="43">
        <v>43891</v>
      </c>
      <c r="K1927" s="34"/>
      <c r="L1927" s="36"/>
      <c r="M1927" s="34"/>
      <c r="N1927" s="37" t="s">
        <v>8060</v>
      </c>
      <c r="O1927" s="33" t="s">
        <v>8061</v>
      </c>
      <c r="P1927" s="33" t="s">
        <v>8062</v>
      </c>
      <c r="Q1927" s="36"/>
      <c r="R1927" s="36"/>
      <c r="S1927" s="33" t="s">
        <v>8063</v>
      </c>
      <c r="T1927" s="38" t="s">
        <v>12688</v>
      </c>
    </row>
    <row r="1928" spans="1:20" x14ac:dyDescent="0.25">
      <c r="A1928" s="33" t="s">
        <v>6443</v>
      </c>
      <c r="B1928" s="33" t="s">
        <v>2972</v>
      </c>
      <c r="C1928" s="33" t="s">
        <v>141</v>
      </c>
      <c r="D1928" s="34"/>
      <c r="E1928" s="33">
        <v>2018</v>
      </c>
      <c r="F1928" s="34"/>
      <c r="G1928" s="34"/>
      <c r="H1928" s="33" t="s">
        <v>11103</v>
      </c>
      <c r="I1928" s="44" t="s">
        <v>12722</v>
      </c>
      <c r="J1928" s="33">
        <v>2018</v>
      </c>
      <c r="K1928" s="33">
        <v>9781450357135</v>
      </c>
      <c r="L1928" s="33" t="s">
        <v>11109</v>
      </c>
      <c r="M1928" s="34"/>
      <c r="N1928" s="37" t="s">
        <v>11106</v>
      </c>
      <c r="O1928" s="33" t="s">
        <v>5509</v>
      </c>
      <c r="P1928" s="33" t="s">
        <v>11107</v>
      </c>
      <c r="Q1928" s="36"/>
      <c r="R1928" s="36"/>
      <c r="S1928" s="33" t="s">
        <v>11108</v>
      </c>
      <c r="T1928" s="33" t="s">
        <v>12692</v>
      </c>
    </row>
    <row r="1929" spans="1:20" x14ac:dyDescent="0.25">
      <c r="A1929" s="33" t="s">
        <v>6443</v>
      </c>
      <c r="B1929" s="33" t="s">
        <v>2972</v>
      </c>
      <c r="C1929" s="33" t="s">
        <v>141</v>
      </c>
      <c r="D1929" s="34"/>
      <c r="E1929" s="33">
        <v>2018</v>
      </c>
      <c r="F1929" s="34"/>
      <c r="G1929" s="34"/>
      <c r="H1929" s="33" t="s">
        <v>6194</v>
      </c>
      <c r="I1929" s="33" t="s">
        <v>6125</v>
      </c>
      <c r="J1929" s="43">
        <v>43221</v>
      </c>
      <c r="K1929" s="36"/>
      <c r="L1929" s="36"/>
      <c r="M1929" s="34"/>
      <c r="N1929" s="34"/>
      <c r="O1929" s="34"/>
      <c r="P1929" s="33" t="s">
        <v>6444</v>
      </c>
      <c r="Q1929" s="36"/>
      <c r="R1929" s="36"/>
      <c r="S1929" s="33" t="s">
        <v>6445</v>
      </c>
      <c r="T1929" s="38" t="s">
        <v>12688</v>
      </c>
    </row>
    <row r="1930" spans="1:20" x14ac:dyDescent="0.25">
      <c r="A1930" s="33" t="s">
        <v>6443</v>
      </c>
      <c r="B1930" s="33" t="s">
        <v>2972</v>
      </c>
      <c r="C1930" s="33" t="s">
        <v>141</v>
      </c>
      <c r="D1930" s="34"/>
      <c r="E1930" s="33">
        <v>2018</v>
      </c>
      <c r="F1930" s="34"/>
      <c r="G1930" s="34"/>
      <c r="H1930" s="33" t="s">
        <v>2496</v>
      </c>
      <c r="I1930" s="33" t="s">
        <v>196</v>
      </c>
      <c r="J1930" s="33">
        <v>2018</v>
      </c>
      <c r="K1930" s="33">
        <v>9781450357135</v>
      </c>
      <c r="L1930" s="34"/>
      <c r="M1930" s="33" t="s">
        <v>1458</v>
      </c>
      <c r="N1930" s="37" t="s">
        <v>5508</v>
      </c>
      <c r="O1930" s="33" t="s">
        <v>5509</v>
      </c>
      <c r="P1930" s="33" t="s">
        <v>5510</v>
      </c>
      <c r="Q1930" s="33" t="s">
        <v>2723</v>
      </c>
      <c r="R1930" s="34"/>
      <c r="S1930" s="38"/>
      <c r="T1930" s="38" t="s">
        <v>12690</v>
      </c>
    </row>
    <row r="1931" spans="1:20" x14ac:dyDescent="0.25">
      <c r="A1931" s="33" t="s">
        <v>23</v>
      </c>
      <c r="B1931" s="33" t="s">
        <v>22</v>
      </c>
      <c r="C1931" s="33" t="s">
        <v>13</v>
      </c>
      <c r="D1931" s="33" t="s">
        <v>1927</v>
      </c>
      <c r="E1931" s="33">
        <v>2022</v>
      </c>
      <c r="F1931" s="33">
        <v>16</v>
      </c>
      <c r="G1931" s="33">
        <v>5</v>
      </c>
      <c r="H1931" s="34"/>
      <c r="I1931" s="33" t="s">
        <v>1714</v>
      </c>
      <c r="J1931" s="33">
        <v>2022</v>
      </c>
      <c r="K1931" s="34"/>
      <c r="L1931" s="34"/>
      <c r="M1931" s="33" t="s">
        <v>26</v>
      </c>
      <c r="N1931" s="37" t="s">
        <v>1928</v>
      </c>
      <c r="O1931" s="33" t="s">
        <v>28</v>
      </c>
      <c r="P1931" s="33" t="s">
        <v>1929</v>
      </c>
      <c r="Q1931" s="33" t="s">
        <v>1930</v>
      </c>
      <c r="R1931" s="34"/>
      <c r="S1931" s="38"/>
      <c r="T1931" s="38" t="s">
        <v>12690</v>
      </c>
    </row>
    <row r="1932" spans="1:20" x14ac:dyDescent="0.25">
      <c r="A1932" s="33" t="s">
        <v>23</v>
      </c>
      <c r="B1932" s="33" t="s">
        <v>22</v>
      </c>
      <c r="C1932" s="33" t="s">
        <v>13</v>
      </c>
      <c r="D1932" s="33" t="s">
        <v>24</v>
      </c>
      <c r="E1932" s="33">
        <v>2022</v>
      </c>
      <c r="F1932" s="33">
        <v>16</v>
      </c>
      <c r="G1932" s="33" t="s">
        <v>25</v>
      </c>
      <c r="H1932" s="34"/>
      <c r="I1932" s="38" t="s">
        <v>12699</v>
      </c>
      <c r="J1932" s="48">
        <v>44685</v>
      </c>
      <c r="K1932" s="33" t="s">
        <v>26</v>
      </c>
      <c r="L1932" s="38" t="s">
        <v>12699</v>
      </c>
      <c r="M1932" s="38" t="s">
        <v>12699</v>
      </c>
      <c r="N1932" s="37" t="s">
        <v>27</v>
      </c>
      <c r="O1932" s="33" t="s">
        <v>28</v>
      </c>
      <c r="P1932" s="33" t="s">
        <v>29</v>
      </c>
      <c r="Q1932" s="38" t="s">
        <v>12699</v>
      </c>
      <c r="R1932" s="38" t="s">
        <v>12699</v>
      </c>
      <c r="S1932" s="38"/>
      <c r="T1932" s="38" t="s">
        <v>12700</v>
      </c>
    </row>
    <row r="1933" spans="1:20" x14ac:dyDescent="0.25">
      <c r="A1933" s="39" t="s">
        <v>3800</v>
      </c>
      <c r="B1933" s="39" t="s">
        <v>9935</v>
      </c>
      <c r="C1933" s="39" t="s">
        <v>9539</v>
      </c>
      <c r="D1933" s="36"/>
      <c r="E1933" s="39">
        <v>2021</v>
      </c>
      <c r="F1933" s="40"/>
      <c r="G1933" s="40"/>
      <c r="H1933" s="36"/>
      <c r="I1933" s="39" t="s">
        <v>9302</v>
      </c>
      <c r="J1933" s="36"/>
      <c r="K1933" s="36"/>
      <c r="L1933" s="36"/>
      <c r="M1933" s="34"/>
      <c r="N1933" s="41" t="s">
        <v>9941</v>
      </c>
      <c r="O1933" s="39" t="s">
        <v>3804</v>
      </c>
      <c r="P1933" s="33"/>
      <c r="Q1933" s="36"/>
      <c r="R1933" s="34"/>
      <c r="S1933" s="38"/>
      <c r="T1933" s="38" t="s">
        <v>12689</v>
      </c>
    </row>
    <row r="1934" spans="1:20" x14ac:dyDescent="0.25">
      <c r="A1934" s="39" t="s">
        <v>3800</v>
      </c>
      <c r="B1934" s="33" t="s">
        <v>1692</v>
      </c>
      <c r="C1934" s="33" t="s">
        <v>13</v>
      </c>
      <c r="D1934" s="33" t="s">
        <v>209</v>
      </c>
      <c r="E1934" s="33">
        <v>2021</v>
      </c>
      <c r="F1934" s="33" t="s">
        <v>3801</v>
      </c>
      <c r="G1934" s="34"/>
      <c r="H1934" s="33" t="s">
        <v>3802</v>
      </c>
      <c r="I1934" s="33" t="s">
        <v>212</v>
      </c>
      <c r="J1934" s="33">
        <v>2021</v>
      </c>
      <c r="K1934" s="34"/>
      <c r="L1934" s="34"/>
      <c r="M1934" s="33" t="s">
        <v>213</v>
      </c>
      <c r="N1934" s="37" t="s">
        <v>3803</v>
      </c>
      <c r="O1934" s="33" t="s">
        <v>3804</v>
      </c>
      <c r="P1934" s="33" t="s">
        <v>3805</v>
      </c>
      <c r="Q1934" s="33" t="s">
        <v>176</v>
      </c>
      <c r="R1934" s="34"/>
      <c r="S1934" s="38"/>
      <c r="T1934" s="38" t="s">
        <v>12690</v>
      </c>
    </row>
    <row r="1935" spans="1:20" x14ac:dyDescent="0.25">
      <c r="A1935" s="39" t="s">
        <v>12819</v>
      </c>
      <c r="B1935" s="39" t="s">
        <v>10030</v>
      </c>
      <c r="C1935" s="39" t="s">
        <v>9539</v>
      </c>
      <c r="D1935" s="36"/>
      <c r="E1935" s="39">
        <v>2022</v>
      </c>
      <c r="F1935" s="40"/>
      <c r="G1935" s="40"/>
      <c r="H1935" s="36"/>
      <c r="I1935" s="39" t="s">
        <v>9276</v>
      </c>
      <c r="J1935" s="36"/>
      <c r="K1935" s="36"/>
      <c r="L1935" s="36"/>
      <c r="M1935" s="34"/>
      <c r="N1935" s="41" t="s">
        <v>10031</v>
      </c>
      <c r="O1935" s="39" t="s">
        <v>10029</v>
      </c>
      <c r="P1935" s="33"/>
      <c r="Q1935" s="36"/>
      <c r="R1935" s="34"/>
      <c r="S1935" s="38"/>
      <c r="T1935" s="38" t="s">
        <v>12689</v>
      </c>
    </row>
    <row r="1936" spans="1:20" x14ac:dyDescent="0.25">
      <c r="A1936" s="33" t="s">
        <v>63</v>
      </c>
      <c r="B1936" s="33" t="s">
        <v>62</v>
      </c>
      <c r="C1936" s="33" t="s">
        <v>13</v>
      </c>
      <c r="D1936" s="33" t="s">
        <v>354</v>
      </c>
      <c r="E1936" s="33">
        <v>2020</v>
      </c>
      <c r="F1936" s="33">
        <v>170</v>
      </c>
      <c r="G1936" s="36"/>
      <c r="H1936" s="33">
        <v>110777</v>
      </c>
      <c r="I1936" s="36"/>
      <c r="J1936" s="33">
        <v>2020</v>
      </c>
      <c r="K1936" s="34"/>
      <c r="L1936" s="34"/>
      <c r="M1936" s="33" t="s">
        <v>65</v>
      </c>
      <c r="N1936" s="37" t="s">
        <v>8810</v>
      </c>
      <c r="O1936" s="33" t="s">
        <v>67</v>
      </c>
      <c r="P1936" s="33" t="s">
        <v>8811</v>
      </c>
      <c r="Q1936" s="36"/>
      <c r="R1936" s="36"/>
      <c r="S1936" s="33" t="s">
        <v>8812</v>
      </c>
      <c r="T1936" s="38" t="s">
        <v>12693</v>
      </c>
    </row>
    <row r="1937" spans="1:20" x14ac:dyDescent="0.25">
      <c r="A1937" s="33" t="s">
        <v>63</v>
      </c>
      <c r="B1937" s="33" t="s">
        <v>62</v>
      </c>
      <c r="C1937" s="33" t="s">
        <v>13</v>
      </c>
      <c r="D1937" s="33" t="s">
        <v>354</v>
      </c>
      <c r="E1937" s="33">
        <v>2020</v>
      </c>
      <c r="F1937" s="33">
        <v>170</v>
      </c>
      <c r="G1937" s="34"/>
      <c r="H1937" s="34"/>
      <c r="I1937" s="33" t="s">
        <v>355</v>
      </c>
      <c r="J1937" s="33">
        <v>2020</v>
      </c>
      <c r="K1937" s="34"/>
      <c r="L1937" s="34"/>
      <c r="M1937" s="33" t="s">
        <v>65</v>
      </c>
      <c r="N1937" s="37" t="s">
        <v>3778</v>
      </c>
      <c r="O1937" s="33" t="s">
        <v>67</v>
      </c>
      <c r="P1937" s="33" t="s">
        <v>3779</v>
      </c>
      <c r="Q1937" s="33" t="s">
        <v>2997</v>
      </c>
      <c r="R1937" s="34"/>
      <c r="S1937" s="38"/>
      <c r="T1937" s="38" t="s">
        <v>12690</v>
      </c>
    </row>
    <row r="1938" spans="1:20" x14ac:dyDescent="0.25">
      <c r="A1938" s="33" t="s">
        <v>63</v>
      </c>
      <c r="B1938" s="33" t="s">
        <v>62</v>
      </c>
      <c r="C1938" s="33" t="s">
        <v>13</v>
      </c>
      <c r="D1938" s="33" t="s">
        <v>64</v>
      </c>
      <c r="E1938" s="33">
        <v>2020</v>
      </c>
      <c r="F1938" s="33">
        <v>170</v>
      </c>
      <c r="G1938" s="34"/>
      <c r="H1938" s="34"/>
      <c r="I1938" s="38" t="s">
        <v>12699</v>
      </c>
      <c r="J1938" s="35">
        <v>44166</v>
      </c>
      <c r="K1938" s="33" t="s">
        <v>65</v>
      </c>
      <c r="L1938" s="38" t="s">
        <v>12699</v>
      </c>
      <c r="M1938" s="38" t="s">
        <v>12699</v>
      </c>
      <c r="N1938" s="37" t="s">
        <v>66</v>
      </c>
      <c r="O1938" s="33" t="s">
        <v>67</v>
      </c>
      <c r="P1938" s="33" t="s">
        <v>68</v>
      </c>
      <c r="Q1938" s="38" t="s">
        <v>12699</v>
      </c>
      <c r="R1938" s="38" t="s">
        <v>12699</v>
      </c>
      <c r="S1938" s="38"/>
      <c r="T1938" s="38" t="s">
        <v>12700</v>
      </c>
    </row>
    <row r="1939" spans="1:20" x14ac:dyDescent="0.25">
      <c r="A1939" s="33" t="s">
        <v>2087</v>
      </c>
      <c r="B1939" s="33" t="s">
        <v>2086</v>
      </c>
      <c r="C1939" s="33" t="s">
        <v>141</v>
      </c>
      <c r="D1939" s="34"/>
      <c r="E1939" s="33">
        <v>2021</v>
      </c>
      <c r="F1939" s="34"/>
      <c r="G1939" s="34"/>
      <c r="H1939" s="33" t="s">
        <v>2088</v>
      </c>
      <c r="I1939" s="33" t="s">
        <v>257</v>
      </c>
      <c r="J1939" s="33">
        <v>2021</v>
      </c>
      <c r="K1939" s="33">
        <v>9781665427050</v>
      </c>
      <c r="L1939" s="34"/>
      <c r="M1939" s="34"/>
      <c r="N1939" s="37" t="s">
        <v>2089</v>
      </c>
      <c r="O1939" s="33" t="s">
        <v>2090</v>
      </c>
      <c r="P1939" s="33" t="s">
        <v>2091</v>
      </c>
      <c r="Q1939" s="33" t="s">
        <v>520</v>
      </c>
      <c r="R1939" s="34"/>
      <c r="S1939" s="38"/>
      <c r="T1939" s="38" t="s">
        <v>12690</v>
      </c>
    </row>
    <row r="1940" spans="1:20" x14ac:dyDescent="0.25">
      <c r="A1940" s="33" t="s">
        <v>2087</v>
      </c>
      <c r="B1940" s="33" t="s">
        <v>6278</v>
      </c>
      <c r="C1940" s="33" t="s">
        <v>141</v>
      </c>
      <c r="D1940" s="34"/>
      <c r="E1940" s="33">
        <v>2021</v>
      </c>
      <c r="F1940" s="34"/>
      <c r="G1940" s="34"/>
      <c r="H1940" s="33" t="s">
        <v>6279</v>
      </c>
      <c r="I1940" s="33" t="s">
        <v>6179</v>
      </c>
      <c r="J1940" s="43">
        <v>44440</v>
      </c>
      <c r="K1940" s="36"/>
      <c r="L1940" s="36"/>
      <c r="M1940" s="34"/>
      <c r="N1940" s="37" t="s">
        <v>6280</v>
      </c>
      <c r="O1940" s="33" t="s">
        <v>2090</v>
      </c>
      <c r="P1940" s="33" t="s">
        <v>6281</v>
      </c>
      <c r="Q1940" s="36"/>
      <c r="R1940" s="36"/>
      <c r="S1940" s="33" t="s">
        <v>6282</v>
      </c>
      <c r="T1940" s="38" t="s">
        <v>12688</v>
      </c>
    </row>
    <row r="1941" spans="1:20" x14ac:dyDescent="0.25">
      <c r="A1941" s="33" t="s">
        <v>11091</v>
      </c>
      <c r="B1941" s="33" t="s">
        <v>11090</v>
      </c>
      <c r="C1941" s="33" t="s">
        <v>13</v>
      </c>
      <c r="D1941" s="33" t="s">
        <v>11061</v>
      </c>
      <c r="E1941" s="33">
        <v>2017</v>
      </c>
      <c r="F1941" s="33">
        <v>42</v>
      </c>
      <c r="G1941" s="33">
        <v>3</v>
      </c>
      <c r="H1941" s="33" t="s">
        <v>11092</v>
      </c>
      <c r="I1941" s="44" t="s">
        <v>12710</v>
      </c>
      <c r="J1941" s="43">
        <v>42979</v>
      </c>
      <c r="K1941" s="34"/>
      <c r="L1941" s="34"/>
      <c r="M1941" s="33" t="s">
        <v>11063</v>
      </c>
      <c r="N1941" s="37" t="s">
        <v>11093</v>
      </c>
      <c r="O1941" s="33" t="s">
        <v>11094</v>
      </c>
      <c r="P1941" s="33" t="s">
        <v>11095</v>
      </c>
      <c r="Q1941" s="36"/>
      <c r="R1941" s="36"/>
      <c r="S1941" s="33" t="s">
        <v>11096</v>
      </c>
      <c r="T1941" s="33" t="s">
        <v>12692</v>
      </c>
    </row>
    <row r="1942" spans="1:20" x14ac:dyDescent="0.25">
      <c r="A1942" s="33" t="s">
        <v>6306</v>
      </c>
      <c r="B1942" s="33" t="s">
        <v>6305</v>
      </c>
      <c r="C1942" s="33" t="s">
        <v>13</v>
      </c>
      <c r="D1942" s="33" t="s">
        <v>6307</v>
      </c>
      <c r="E1942" s="33">
        <v>2015</v>
      </c>
      <c r="F1942" s="33">
        <v>17</v>
      </c>
      <c r="G1942" s="33">
        <v>6</v>
      </c>
      <c r="H1942" s="33" t="s">
        <v>6308</v>
      </c>
      <c r="I1942" s="34"/>
      <c r="J1942" s="35">
        <v>42309</v>
      </c>
      <c r="K1942" s="36"/>
      <c r="L1942" s="36"/>
      <c r="M1942" s="33" t="s">
        <v>6309</v>
      </c>
      <c r="N1942" s="37" t="s">
        <v>6310</v>
      </c>
      <c r="O1942" s="33" t="s">
        <v>6311</v>
      </c>
      <c r="P1942" s="33" t="s">
        <v>6312</v>
      </c>
      <c r="Q1942" s="36"/>
      <c r="R1942" s="36"/>
      <c r="S1942" s="33" t="s">
        <v>6313</v>
      </c>
      <c r="T1942" s="38" t="s">
        <v>12688</v>
      </c>
    </row>
    <row r="1943" spans="1:20" x14ac:dyDescent="0.25">
      <c r="A1943" s="33" t="s">
        <v>4494</v>
      </c>
      <c r="B1943" s="33" t="s">
        <v>4493</v>
      </c>
      <c r="C1943" s="33" t="s">
        <v>141</v>
      </c>
      <c r="D1943" s="34"/>
      <c r="E1943" s="33">
        <v>2019</v>
      </c>
      <c r="F1943" s="34"/>
      <c r="G1943" s="34"/>
      <c r="H1943" s="33" t="s">
        <v>4495</v>
      </c>
      <c r="I1943" s="33" t="s">
        <v>257</v>
      </c>
      <c r="J1943" s="33">
        <v>2019</v>
      </c>
      <c r="K1943" s="33">
        <v>9781728132853</v>
      </c>
      <c r="L1943" s="34"/>
      <c r="M1943" s="34"/>
      <c r="N1943" s="37" t="s">
        <v>4496</v>
      </c>
      <c r="O1943" s="33" t="s">
        <v>4497</v>
      </c>
      <c r="P1943" s="33" t="s">
        <v>4498</v>
      </c>
      <c r="Q1943" s="33" t="s">
        <v>818</v>
      </c>
      <c r="R1943" s="34"/>
      <c r="S1943" s="38"/>
      <c r="T1943" s="38" t="s">
        <v>12690</v>
      </c>
    </row>
    <row r="1944" spans="1:20" x14ac:dyDescent="0.25">
      <c r="A1944" s="33" t="s">
        <v>2901</v>
      </c>
      <c r="B1944" s="33" t="s">
        <v>2900</v>
      </c>
      <c r="C1944" s="33" t="s">
        <v>141</v>
      </c>
      <c r="D1944" s="34"/>
      <c r="E1944" s="33">
        <v>2021</v>
      </c>
      <c r="F1944" s="45">
        <v>44256</v>
      </c>
      <c r="G1944" s="34"/>
      <c r="H1944" s="34"/>
      <c r="I1944" s="33" t="s">
        <v>196</v>
      </c>
      <c r="J1944" s="33">
        <v>2021</v>
      </c>
      <c r="K1944" s="33">
        <v>9781728174365</v>
      </c>
      <c r="L1944" s="34"/>
      <c r="M1944" s="33" t="s">
        <v>2902</v>
      </c>
      <c r="N1944" s="37" t="s">
        <v>2903</v>
      </c>
      <c r="O1944" s="33" t="s">
        <v>2904</v>
      </c>
      <c r="P1944" s="33" t="s">
        <v>2905</v>
      </c>
      <c r="Q1944" s="33" t="s">
        <v>157</v>
      </c>
      <c r="R1944" s="34"/>
      <c r="S1944" s="38"/>
      <c r="T1944" s="38" t="s">
        <v>12690</v>
      </c>
    </row>
    <row r="1945" spans="1:20" x14ac:dyDescent="0.25">
      <c r="A1945" s="33" t="s">
        <v>1013</v>
      </c>
      <c r="B1945" s="33" t="s">
        <v>1012</v>
      </c>
      <c r="C1945" s="33" t="s">
        <v>13</v>
      </c>
      <c r="D1945" s="33" t="s">
        <v>209</v>
      </c>
      <c r="E1945" s="33">
        <v>2022</v>
      </c>
      <c r="F1945" s="33" t="s">
        <v>1014</v>
      </c>
      <c r="G1945" s="34"/>
      <c r="H1945" s="33" t="s">
        <v>1015</v>
      </c>
      <c r="I1945" s="33" t="s">
        <v>212</v>
      </c>
      <c r="J1945" s="33">
        <v>2022</v>
      </c>
      <c r="K1945" s="34"/>
      <c r="L1945" s="34"/>
      <c r="M1945" s="33" t="s">
        <v>213</v>
      </c>
      <c r="N1945" s="37" t="s">
        <v>1016</v>
      </c>
      <c r="O1945" s="33" t="s">
        <v>1017</v>
      </c>
      <c r="P1945" s="33" t="s">
        <v>1018</v>
      </c>
      <c r="Q1945" s="33" t="s">
        <v>157</v>
      </c>
      <c r="R1945" s="34"/>
      <c r="S1945" s="38"/>
      <c r="T1945" s="38" t="s">
        <v>12690</v>
      </c>
    </row>
    <row r="1946" spans="1:20" x14ac:dyDescent="0.25">
      <c r="A1946" s="33" t="s">
        <v>1013</v>
      </c>
      <c r="B1946" s="39" t="s">
        <v>10014</v>
      </c>
      <c r="C1946" s="39" t="s">
        <v>9539</v>
      </c>
      <c r="D1946" s="36"/>
      <c r="E1946" s="39">
        <v>2022</v>
      </c>
      <c r="F1946" s="40"/>
      <c r="G1946" s="40"/>
      <c r="H1946" s="36"/>
      <c r="I1946" s="39" t="s">
        <v>9276</v>
      </c>
      <c r="J1946" s="36"/>
      <c r="K1946" s="36"/>
      <c r="L1946" s="36"/>
      <c r="M1946" s="34"/>
      <c r="N1946" s="41" t="s">
        <v>10015</v>
      </c>
      <c r="O1946" s="39" t="s">
        <v>1017</v>
      </c>
      <c r="P1946" s="33"/>
      <c r="Q1946" s="36"/>
      <c r="R1946" s="34"/>
      <c r="S1946" s="38"/>
      <c r="T1946" s="38" t="s">
        <v>12689</v>
      </c>
    </row>
    <row r="1947" spans="1:20" x14ac:dyDescent="0.25">
      <c r="A1947" s="33" t="s">
        <v>6768</v>
      </c>
      <c r="B1947" s="33" t="s">
        <v>2080</v>
      </c>
      <c r="C1947" s="33" t="s">
        <v>141</v>
      </c>
      <c r="D1947" s="34"/>
      <c r="E1947" s="33">
        <v>2021</v>
      </c>
      <c r="F1947" s="34"/>
      <c r="G1947" s="34"/>
      <c r="H1947" s="33" t="s">
        <v>6769</v>
      </c>
      <c r="I1947" s="33" t="s">
        <v>6329</v>
      </c>
      <c r="J1947" s="43">
        <v>44317</v>
      </c>
      <c r="K1947" s="36"/>
      <c r="L1947" s="36"/>
      <c r="M1947" s="33" t="s">
        <v>6152</v>
      </c>
      <c r="N1947" s="37" t="s">
        <v>6770</v>
      </c>
      <c r="O1947" s="33" t="s">
        <v>2084</v>
      </c>
      <c r="P1947" s="33" t="s">
        <v>6771</v>
      </c>
      <c r="Q1947" s="36"/>
      <c r="R1947" s="36"/>
      <c r="S1947" s="33" t="s">
        <v>6772</v>
      </c>
      <c r="T1947" s="38" t="s">
        <v>12688</v>
      </c>
    </row>
    <row r="1948" spans="1:20" x14ac:dyDescent="0.25">
      <c r="A1948" s="33" t="s">
        <v>6768</v>
      </c>
      <c r="B1948" s="33" t="s">
        <v>2080</v>
      </c>
      <c r="C1948" s="33" t="s">
        <v>141</v>
      </c>
      <c r="D1948" s="34"/>
      <c r="E1948" s="33">
        <v>2021</v>
      </c>
      <c r="F1948" s="34"/>
      <c r="G1948" s="34"/>
      <c r="H1948" s="33" t="s">
        <v>2082</v>
      </c>
      <c r="I1948" s="33" t="s">
        <v>257</v>
      </c>
      <c r="J1948" s="33">
        <v>2021</v>
      </c>
      <c r="K1948" s="33">
        <v>9781728187105</v>
      </c>
      <c r="L1948" s="34"/>
      <c r="M1948" s="34"/>
      <c r="N1948" s="37" t="s">
        <v>2083</v>
      </c>
      <c r="O1948" s="33" t="s">
        <v>2084</v>
      </c>
      <c r="P1948" s="33" t="s">
        <v>2085</v>
      </c>
      <c r="Q1948" s="33" t="s">
        <v>1930</v>
      </c>
      <c r="R1948" s="34"/>
      <c r="S1948" s="38"/>
      <c r="T1948" s="38" t="s">
        <v>12690</v>
      </c>
    </row>
    <row r="1949" spans="1:20" x14ac:dyDescent="0.25">
      <c r="A1949" s="39" t="s">
        <v>4978</v>
      </c>
      <c r="B1949" s="39" t="s">
        <v>9932</v>
      </c>
      <c r="C1949" s="39" t="s">
        <v>9539</v>
      </c>
      <c r="D1949" s="36"/>
      <c r="E1949" s="39">
        <v>2020</v>
      </c>
      <c r="F1949" s="40"/>
      <c r="G1949" s="40"/>
      <c r="H1949" s="36"/>
      <c r="I1949" s="39" t="s">
        <v>9730</v>
      </c>
      <c r="J1949" s="36"/>
      <c r="K1949" s="36"/>
      <c r="L1949" s="36"/>
      <c r="M1949" s="34"/>
      <c r="N1949" s="41" t="s">
        <v>9933</v>
      </c>
      <c r="O1949" s="39" t="s">
        <v>4982</v>
      </c>
      <c r="P1949" s="33"/>
      <c r="Q1949" s="36"/>
      <c r="R1949" s="34"/>
      <c r="S1949" s="38"/>
      <c r="T1949" s="38" t="s">
        <v>12689</v>
      </c>
    </row>
    <row r="1950" spans="1:20" x14ac:dyDescent="0.25">
      <c r="A1950" s="33" t="s">
        <v>4978</v>
      </c>
      <c r="B1950" s="33" t="s">
        <v>4977</v>
      </c>
      <c r="C1950" s="33" t="s">
        <v>13</v>
      </c>
      <c r="D1950" s="33" t="s">
        <v>209</v>
      </c>
      <c r="E1950" s="33">
        <v>2020</v>
      </c>
      <c r="F1950" s="33" t="s">
        <v>4979</v>
      </c>
      <c r="G1950" s="34"/>
      <c r="H1950" s="33" t="s">
        <v>4980</v>
      </c>
      <c r="I1950" s="33" t="s">
        <v>212</v>
      </c>
      <c r="J1950" s="33">
        <v>2020</v>
      </c>
      <c r="K1950" s="34"/>
      <c r="L1950" s="34"/>
      <c r="M1950" s="33" t="s">
        <v>213</v>
      </c>
      <c r="N1950" s="37" t="s">
        <v>4981</v>
      </c>
      <c r="O1950" s="33" t="s">
        <v>4982</v>
      </c>
      <c r="P1950" s="33" t="s">
        <v>4983</v>
      </c>
      <c r="Q1950" s="33" t="s">
        <v>404</v>
      </c>
      <c r="R1950" s="34"/>
      <c r="S1950" s="38"/>
      <c r="T1950" s="38" t="s">
        <v>12690</v>
      </c>
    </row>
    <row r="1951" spans="1:20" x14ac:dyDescent="0.25">
      <c r="A1951" s="33" t="s">
        <v>3884</v>
      </c>
      <c r="B1951" s="33" t="s">
        <v>3883</v>
      </c>
      <c r="C1951" s="33" t="s">
        <v>141</v>
      </c>
      <c r="D1951" s="34"/>
      <c r="E1951" s="33">
        <v>2021</v>
      </c>
      <c r="F1951" s="34"/>
      <c r="G1951" s="34"/>
      <c r="H1951" s="34"/>
      <c r="I1951" s="33" t="s">
        <v>257</v>
      </c>
      <c r="J1951" s="33">
        <v>2021</v>
      </c>
      <c r="K1951" s="33">
        <v>9781665498326</v>
      </c>
      <c r="L1951" s="34"/>
      <c r="M1951" s="34"/>
      <c r="N1951" s="37" t="s">
        <v>3885</v>
      </c>
      <c r="O1951" s="33" t="s">
        <v>3886</v>
      </c>
      <c r="P1951" s="33" t="s">
        <v>3887</v>
      </c>
      <c r="Q1951" s="33" t="s">
        <v>157</v>
      </c>
      <c r="R1951" s="34"/>
      <c r="S1951" s="38"/>
      <c r="T1951" s="38" t="s">
        <v>12690</v>
      </c>
    </row>
    <row r="1952" spans="1:20" x14ac:dyDescent="0.25">
      <c r="A1952" s="33" t="s">
        <v>2546</v>
      </c>
      <c r="B1952" s="33" t="s">
        <v>2545</v>
      </c>
      <c r="C1952" s="33" t="s">
        <v>141</v>
      </c>
      <c r="D1952" s="34"/>
      <c r="E1952" s="33">
        <v>2021</v>
      </c>
      <c r="F1952" s="34"/>
      <c r="G1952" s="34"/>
      <c r="H1952" s="42">
        <v>44934</v>
      </c>
      <c r="I1952" s="33" t="s">
        <v>6412</v>
      </c>
      <c r="J1952" s="43">
        <v>44378</v>
      </c>
      <c r="K1952" s="36"/>
      <c r="L1952" s="36"/>
      <c r="M1952" s="33" t="s">
        <v>6413</v>
      </c>
      <c r="N1952" s="37" t="s">
        <v>6414</v>
      </c>
      <c r="O1952" s="33" t="s">
        <v>2548</v>
      </c>
      <c r="P1952" s="33" t="s">
        <v>6415</v>
      </c>
      <c r="Q1952" s="36"/>
      <c r="R1952" s="36"/>
      <c r="S1952" s="33" t="s">
        <v>6416</v>
      </c>
      <c r="T1952" s="38" t="s">
        <v>12688</v>
      </c>
    </row>
    <row r="1953" spans="1:20" x14ac:dyDescent="0.25">
      <c r="A1953" s="33" t="s">
        <v>2546</v>
      </c>
      <c r="B1953" s="33" t="s">
        <v>2545</v>
      </c>
      <c r="C1953" s="33" t="s">
        <v>141</v>
      </c>
      <c r="D1953" s="34"/>
      <c r="E1953" s="33">
        <v>2021</v>
      </c>
      <c r="F1953" s="45">
        <v>44378</v>
      </c>
      <c r="G1953" s="34"/>
      <c r="H1953" s="34"/>
      <c r="I1953" s="33" t="s">
        <v>257</v>
      </c>
      <c r="J1953" s="33">
        <v>2021</v>
      </c>
      <c r="K1953" s="33">
        <v>9780738133669</v>
      </c>
      <c r="L1953" s="34"/>
      <c r="M1953" s="34"/>
      <c r="N1953" s="37" t="s">
        <v>2547</v>
      </c>
      <c r="O1953" s="33" t="s">
        <v>2548</v>
      </c>
      <c r="P1953" s="33" t="s">
        <v>2549</v>
      </c>
      <c r="Q1953" s="33" t="s">
        <v>185</v>
      </c>
      <c r="R1953" s="34"/>
      <c r="S1953" s="38"/>
      <c r="T1953" s="38" t="s">
        <v>12690</v>
      </c>
    </row>
    <row r="1954" spans="1:20" x14ac:dyDescent="0.25">
      <c r="A1954" s="33" t="s">
        <v>6231</v>
      </c>
      <c r="B1954" s="33" t="s">
        <v>6230</v>
      </c>
      <c r="C1954" s="33" t="s">
        <v>141</v>
      </c>
      <c r="D1954" s="34"/>
      <c r="E1954" s="33">
        <v>2022</v>
      </c>
      <c r="F1954" s="34"/>
      <c r="G1954" s="34"/>
      <c r="H1954" s="33" t="s">
        <v>11075</v>
      </c>
      <c r="I1954" s="44" t="s">
        <v>12748</v>
      </c>
      <c r="J1954" s="33">
        <v>2022</v>
      </c>
      <c r="K1954" s="33">
        <v>9781450393041</v>
      </c>
      <c r="L1954" s="33" t="s">
        <v>11081</v>
      </c>
      <c r="M1954" s="34"/>
      <c r="N1954" s="37" t="s">
        <v>11078</v>
      </c>
      <c r="O1954" s="33" t="s">
        <v>6234</v>
      </c>
      <c r="P1954" s="33" t="s">
        <v>11079</v>
      </c>
      <c r="Q1954" s="36"/>
      <c r="R1954" s="36"/>
      <c r="S1954" s="33" t="s">
        <v>11080</v>
      </c>
      <c r="T1954" s="33" t="s">
        <v>12692</v>
      </c>
    </row>
    <row r="1955" spans="1:20" x14ac:dyDescent="0.25">
      <c r="A1955" s="33" t="s">
        <v>6231</v>
      </c>
      <c r="B1955" s="33" t="s">
        <v>6230</v>
      </c>
      <c r="C1955" s="33" t="s">
        <v>141</v>
      </c>
      <c r="D1955" s="34"/>
      <c r="E1955" s="33">
        <v>2022</v>
      </c>
      <c r="F1955" s="34"/>
      <c r="G1955" s="34"/>
      <c r="H1955" s="33" t="s">
        <v>6232</v>
      </c>
      <c r="I1955" s="33" t="s">
        <v>6118</v>
      </c>
      <c r="J1955" s="43">
        <v>44682</v>
      </c>
      <c r="K1955" s="36"/>
      <c r="L1955" s="36"/>
      <c r="M1955" s="34"/>
      <c r="N1955" s="37" t="s">
        <v>6233</v>
      </c>
      <c r="O1955" s="33" t="s">
        <v>6234</v>
      </c>
      <c r="P1955" s="33" t="s">
        <v>6235</v>
      </c>
      <c r="Q1955" s="36"/>
      <c r="R1955" s="36"/>
      <c r="S1955" s="33" t="s">
        <v>6236</v>
      </c>
      <c r="T1955" s="38" t="s">
        <v>12688</v>
      </c>
    </row>
    <row r="1956" spans="1:20" x14ac:dyDescent="0.25">
      <c r="A1956" s="33" t="s">
        <v>6177</v>
      </c>
      <c r="B1956" s="33" t="s">
        <v>6176</v>
      </c>
      <c r="C1956" s="33" t="s">
        <v>141</v>
      </c>
      <c r="D1956" s="34"/>
      <c r="E1956" s="33">
        <v>2021</v>
      </c>
      <c r="F1956" s="34"/>
      <c r="G1956" s="34"/>
      <c r="H1956" s="33" t="s">
        <v>6178</v>
      </c>
      <c r="I1956" s="33" t="s">
        <v>6179</v>
      </c>
      <c r="J1956" s="43">
        <v>44440</v>
      </c>
      <c r="K1956" s="36"/>
      <c r="L1956" s="36"/>
      <c r="M1956" s="34"/>
      <c r="N1956" s="37" t="s">
        <v>6180</v>
      </c>
      <c r="O1956" s="33" t="s">
        <v>6181</v>
      </c>
      <c r="P1956" s="33" t="s">
        <v>6182</v>
      </c>
      <c r="Q1956" s="36"/>
      <c r="R1956" s="36"/>
      <c r="S1956" s="33" t="s">
        <v>6183</v>
      </c>
      <c r="T1956" s="38" t="s">
        <v>12688</v>
      </c>
    </row>
    <row r="1957" spans="1:20" x14ac:dyDescent="0.25">
      <c r="A1957" s="33" t="s">
        <v>7045</v>
      </c>
      <c r="B1957" s="33" t="s">
        <v>7044</v>
      </c>
      <c r="C1957" s="33" t="s">
        <v>13</v>
      </c>
      <c r="D1957" s="33" t="s">
        <v>4637</v>
      </c>
      <c r="E1957" s="33">
        <v>2022</v>
      </c>
      <c r="F1957" s="33">
        <v>39</v>
      </c>
      <c r="G1957" s="33">
        <v>3</v>
      </c>
      <c r="H1957" s="33" t="s">
        <v>7046</v>
      </c>
      <c r="I1957" s="34"/>
      <c r="J1957" s="43">
        <v>44682</v>
      </c>
      <c r="K1957" s="36"/>
      <c r="L1957" s="36"/>
      <c r="M1957" s="33" t="s">
        <v>6207</v>
      </c>
      <c r="N1957" s="37" t="s">
        <v>7047</v>
      </c>
      <c r="O1957" s="33" t="s">
        <v>7048</v>
      </c>
      <c r="P1957" s="33" t="s">
        <v>7049</v>
      </c>
      <c r="Q1957" s="36"/>
      <c r="R1957" s="36"/>
      <c r="S1957" s="34"/>
      <c r="T1957" s="38" t="s">
        <v>12688</v>
      </c>
    </row>
    <row r="1958" spans="1:20" x14ac:dyDescent="0.25">
      <c r="A1958" s="33" t="s">
        <v>11228</v>
      </c>
      <c r="B1958" s="33" t="s">
        <v>11227</v>
      </c>
      <c r="C1958" s="33" t="s">
        <v>13</v>
      </c>
      <c r="D1958" s="33" t="s">
        <v>11229</v>
      </c>
      <c r="E1958" s="33">
        <v>2022</v>
      </c>
      <c r="F1958" s="33">
        <v>21</v>
      </c>
      <c r="G1958" s="33">
        <v>4</v>
      </c>
      <c r="H1958" s="33" t="s">
        <v>11230</v>
      </c>
      <c r="I1958" s="44" t="s">
        <v>12710</v>
      </c>
      <c r="J1958" s="43">
        <v>44562</v>
      </c>
      <c r="K1958" s="34"/>
      <c r="L1958" s="34"/>
      <c r="M1958" s="33" t="s">
        <v>11231</v>
      </c>
      <c r="N1958" s="37" t="s">
        <v>11232</v>
      </c>
      <c r="O1958" s="33" t="s">
        <v>11233</v>
      </c>
      <c r="P1958" s="33" t="s">
        <v>11234</v>
      </c>
      <c r="Q1958" s="36"/>
      <c r="R1958" s="36"/>
      <c r="S1958" s="33" t="s">
        <v>11235</v>
      </c>
      <c r="T1958" s="33" t="s">
        <v>12692</v>
      </c>
    </row>
    <row r="1959" spans="1:20" x14ac:dyDescent="0.25">
      <c r="A1959" s="33" t="s">
        <v>11060</v>
      </c>
      <c r="B1959" s="33" t="s">
        <v>11059</v>
      </c>
      <c r="C1959" s="33" t="s">
        <v>13</v>
      </c>
      <c r="D1959" s="33" t="s">
        <v>11061</v>
      </c>
      <c r="E1959" s="33">
        <v>2017</v>
      </c>
      <c r="F1959" s="33">
        <v>42</v>
      </c>
      <c r="G1959" s="33">
        <v>1</v>
      </c>
      <c r="H1959" s="33" t="s">
        <v>11062</v>
      </c>
      <c r="I1959" s="44" t="s">
        <v>12710</v>
      </c>
      <c r="J1959" s="43">
        <v>42795</v>
      </c>
      <c r="K1959" s="34"/>
      <c r="L1959" s="34"/>
      <c r="M1959" s="33" t="s">
        <v>11063</v>
      </c>
      <c r="N1959" s="37" t="s">
        <v>11064</v>
      </c>
      <c r="O1959" s="33" t="s">
        <v>11065</v>
      </c>
      <c r="P1959" s="33" t="s">
        <v>11066</v>
      </c>
      <c r="Q1959" s="36"/>
      <c r="R1959" s="36"/>
      <c r="S1959" s="33" t="s">
        <v>11067</v>
      </c>
      <c r="T1959" s="33" t="s">
        <v>12692</v>
      </c>
    </row>
    <row r="1960" spans="1:20" x14ac:dyDescent="0.25">
      <c r="A1960" s="33" t="s">
        <v>11098</v>
      </c>
      <c r="B1960" s="33" t="s">
        <v>11097</v>
      </c>
      <c r="C1960" s="33" t="s">
        <v>13</v>
      </c>
      <c r="D1960" s="33" t="s">
        <v>11061</v>
      </c>
      <c r="E1960" s="33">
        <v>2016</v>
      </c>
      <c r="F1960" s="33">
        <v>41</v>
      </c>
      <c r="G1960" s="33">
        <v>2</v>
      </c>
      <c r="H1960" s="33" t="s">
        <v>11099</v>
      </c>
      <c r="I1960" s="44" t="s">
        <v>12710</v>
      </c>
      <c r="J1960" s="43">
        <v>42491</v>
      </c>
      <c r="K1960" s="34"/>
      <c r="L1960" s="34"/>
      <c r="M1960" s="33" t="s">
        <v>11063</v>
      </c>
      <c r="N1960" s="37" t="s">
        <v>11100</v>
      </c>
      <c r="O1960" s="33" t="s">
        <v>11101</v>
      </c>
      <c r="P1960" s="33" t="s">
        <v>11102</v>
      </c>
      <c r="Q1960" s="36"/>
      <c r="R1960" s="36"/>
      <c r="S1960" s="34"/>
      <c r="T1960" s="33" t="s">
        <v>12692</v>
      </c>
    </row>
    <row r="1961" spans="1:20" x14ac:dyDescent="0.25">
      <c r="A1961" s="33" t="s">
        <v>919</v>
      </c>
      <c r="B1961" s="33" t="s">
        <v>918</v>
      </c>
      <c r="C1961" s="33" t="s">
        <v>13</v>
      </c>
      <c r="D1961" s="33" t="s">
        <v>354</v>
      </c>
      <c r="E1961" s="33">
        <v>2022</v>
      </c>
      <c r="F1961" s="33">
        <v>193</v>
      </c>
      <c r="G1961" s="34"/>
      <c r="H1961" s="34"/>
      <c r="I1961" s="33" t="s">
        <v>355</v>
      </c>
      <c r="J1961" s="33">
        <v>2022</v>
      </c>
      <c r="K1961" s="34"/>
      <c r="L1961" s="34"/>
      <c r="M1961" s="33" t="s">
        <v>65</v>
      </c>
      <c r="N1961" s="37" t="s">
        <v>920</v>
      </c>
      <c r="O1961" s="33" t="s">
        <v>921</v>
      </c>
      <c r="P1961" s="33" t="s">
        <v>922</v>
      </c>
      <c r="Q1961" s="33" t="s">
        <v>404</v>
      </c>
      <c r="R1961" s="34"/>
      <c r="S1961" s="38"/>
      <c r="T1961" s="38" t="s">
        <v>12690</v>
      </c>
    </row>
    <row r="1962" spans="1:20" x14ac:dyDescent="0.25">
      <c r="A1962" s="33" t="s">
        <v>7522</v>
      </c>
      <c r="B1962" s="33" t="s">
        <v>7521</v>
      </c>
      <c r="C1962" s="33" t="s">
        <v>141</v>
      </c>
      <c r="D1962" s="34"/>
      <c r="E1962" s="33">
        <v>2021</v>
      </c>
      <c r="F1962" s="34"/>
      <c r="G1962" s="34"/>
      <c r="H1962" s="33" t="s">
        <v>11775</v>
      </c>
      <c r="I1962" s="44" t="s">
        <v>12720</v>
      </c>
      <c r="J1962" s="33">
        <v>2021</v>
      </c>
      <c r="K1962" s="33">
        <v>9781450390859</v>
      </c>
      <c r="L1962" s="33" t="s">
        <v>11089</v>
      </c>
      <c r="M1962" s="34"/>
      <c r="N1962" s="37" t="s">
        <v>11776</v>
      </c>
      <c r="O1962" s="33" t="s">
        <v>7525</v>
      </c>
      <c r="P1962" s="33" t="s">
        <v>11777</v>
      </c>
      <c r="Q1962" s="36"/>
      <c r="R1962" s="36"/>
      <c r="S1962" s="33" t="s">
        <v>11778</v>
      </c>
      <c r="T1962" s="33" t="s">
        <v>12692</v>
      </c>
    </row>
    <row r="1963" spans="1:20" x14ac:dyDescent="0.25">
      <c r="A1963" s="33" t="s">
        <v>7522</v>
      </c>
      <c r="B1963" s="33" t="s">
        <v>7521</v>
      </c>
      <c r="C1963" s="33" t="s">
        <v>141</v>
      </c>
      <c r="D1963" s="34"/>
      <c r="E1963" s="33">
        <v>2021</v>
      </c>
      <c r="F1963" s="34"/>
      <c r="G1963" s="34"/>
      <c r="H1963" s="33" t="s">
        <v>7523</v>
      </c>
      <c r="I1963" s="33" t="s">
        <v>6335</v>
      </c>
      <c r="J1963" s="43">
        <v>44317</v>
      </c>
      <c r="K1963" s="36"/>
      <c r="L1963" s="36"/>
      <c r="M1963" s="33" t="s">
        <v>6336</v>
      </c>
      <c r="N1963" s="37" t="s">
        <v>7524</v>
      </c>
      <c r="O1963" s="33" t="s">
        <v>7525</v>
      </c>
      <c r="P1963" s="33" t="s">
        <v>7526</v>
      </c>
      <c r="Q1963" s="36"/>
      <c r="R1963" s="36"/>
      <c r="S1963" s="33" t="s">
        <v>7527</v>
      </c>
      <c r="T1963" s="38" t="s">
        <v>12688</v>
      </c>
    </row>
    <row r="1964" spans="1:20" x14ac:dyDescent="0.25">
      <c r="A1964" s="39" t="s">
        <v>10033</v>
      </c>
      <c r="B1964" s="39" t="s">
        <v>10034</v>
      </c>
      <c r="C1964" s="39" t="s">
        <v>9539</v>
      </c>
      <c r="D1964" s="36"/>
      <c r="E1964" s="39">
        <v>2018</v>
      </c>
      <c r="F1964" s="40"/>
      <c r="G1964" s="40"/>
      <c r="H1964" s="36"/>
      <c r="I1964" s="39" t="s">
        <v>10032</v>
      </c>
      <c r="J1964" s="36"/>
      <c r="K1964" s="36"/>
      <c r="L1964" s="36"/>
      <c r="M1964" s="34"/>
      <c r="N1964" s="41" t="s">
        <v>10035</v>
      </c>
      <c r="O1964" s="39" t="s">
        <v>5901</v>
      </c>
      <c r="P1964" s="33"/>
      <c r="Q1964" s="36"/>
      <c r="R1964" s="34"/>
      <c r="S1964" s="38"/>
      <c r="T1964" s="38" t="s">
        <v>12689</v>
      </c>
    </row>
    <row r="1965" spans="1:20" x14ac:dyDescent="0.25">
      <c r="A1965" s="39" t="s">
        <v>10033</v>
      </c>
      <c r="B1965" s="33" t="s">
        <v>5897</v>
      </c>
      <c r="C1965" s="33" t="s">
        <v>13</v>
      </c>
      <c r="D1965" s="33" t="s">
        <v>462</v>
      </c>
      <c r="E1965" s="33">
        <v>2018</v>
      </c>
      <c r="F1965" s="33">
        <v>918</v>
      </c>
      <c r="G1965" s="34"/>
      <c r="H1965" s="33" t="s">
        <v>5899</v>
      </c>
      <c r="I1965" s="33" t="s">
        <v>4155</v>
      </c>
      <c r="J1965" s="33">
        <v>2018</v>
      </c>
      <c r="K1965" s="34"/>
      <c r="L1965" s="34"/>
      <c r="M1965" s="33" t="s">
        <v>465</v>
      </c>
      <c r="N1965" s="37" t="s">
        <v>5900</v>
      </c>
      <c r="O1965" s="33" t="s">
        <v>5901</v>
      </c>
      <c r="P1965" s="33" t="s">
        <v>5902</v>
      </c>
      <c r="Q1965" s="33" t="s">
        <v>176</v>
      </c>
      <c r="R1965" s="34"/>
      <c r="S1965" s="38"/>
      <c r="T1965" s="38" t="s">
        <v>12690</v>
      </c>
    </row>
    <row r="1966" spans="1:20" x14ac:dyDescent="0.25">
      <c r="A1966" s="33" t="s">
        <v>3851</v>
      </c>
      <c r="B1966" s="33" t="s">
        <v>3850</v>
      </c>
      <c r="C1966" s="33" t="s">
        <v>13</v>
      </c>
      <c r="D1966" s="33" t="s">
        <v>3852</v>
      </c>
      <c r="E1966" s="33">
        <v>2021</v>
      </c>
      <c r="F1966" s="33">
        <v>181</v>
      </c>
      <c r="G1966" s="34"/>
      <c r="H1966" s="34"/>
      <c r="I1966" s="33" t="s">
        <v>280</v>
      </c>
      <c r="J1966" s="33">
        <v>2021</v>
      </c>
      <c r="K1966" s="34"/>
      <c r="L1966" s="34"/>
      <c r="M1966" s="33" t="s">
        <v>3853</v>
      </c>
      <c r="N1966" s="37" t="s">
        <v>3854</v>
      </c>
      <c r="O1966" s="33" t="s">
        <v>3855</v>
      </c>
      <c r="P1966" s="33" t="s">
        <v>3856</v>
      </c>
      <c r="Q1966" s="33" t="s">
        <v>397</v>
      </c>
      <c r="R1966" s="34"/>
      <c r="S1966" s="38"/>
      <c r="T1966" s="38" t="s">
        <v>12690</v>
      </c>
    </row>
    <row r="1967" spans="1:20" x14ac:dyDescent="0.25">
      <c r="A1967" s="33" t="s">
        <v>1261</v>
      </c>
      <c r="B1967" s="33" t="s">
        <v>1260</v>
      </c>
      <c r="C1967" s="33" t="s">
        <v>13</v>
      </c>
      <c r="D1967" s="33" t="s">
        <v>1262</v>
      </c>
      <c r="E1967" s="33">
        <v>2022</v>
      </c>
      <c r="F1967" s="33">
        <v>13</v>
      </c>
      <c r="G1967" s="33">
        <v>1</v>
      </c>
      <c r="H1967" s="34"/>
      <c r="I1967" s="33" t="s">
        <v>362</v>
      </c>
      <c r="J1967" s="33">
        <v>2022</v>
      </c>
      <c r="K1967" s="34"/>
      <c r="L1967" s="34"/>
      <c r="M1967" s="33" t="s">
        <v>1263</v>
      </c>
      <c r="N1967" s="37" t="s">
        <v>1264</v>
      </c>
      <c r="O1967" s="33" t="s">
        <v>1265</v>
      </c>
      <c r="P1967" s="33" t="s">
        <v>1266</v>
      </c>
      <c r="Q1967" s="33" t="s">
        <v>233</v>
      </c>
      <c r="R1967" s="34"/>
      <c r="S1967" s="38"/>
      <c r="T1967" s="38" t="s">
        <v>12690</v>
      </c>
    </row>
    <row r="1968" spans="1:20" x14ac:dyDescent="0.25">
      <c r="A1968" s="33" t="s">
        <v>1849</v>
      </c>
      <c r="B1968" s="33" t="s">
        <v>352</v>
      </c>
      <c r="C1968" s="33" t="s">
        <v>13</v>
      </c>
      <c r="D1968" s="33" t="s">
        <v>1850</v>
      </c>
      <c r="E1968" s="33">
        <v>2021</v>
      </c>
      <c r="F1968" s="33">
        <v>463</v>
      </c>
      <c r="G1968" s="34"/>
      <c r="H1968" s="33" t="s">
        <v>1851</v>
      </c>
      <c r="I1968" s="33" t="s">
        <v>280</v>
      </c>
      <c r="J1968" s="33">
        <v>2021</v>
      </c>
      <c r="K1968" s="34"/>
      <c r="L1968" s="34"/>
      <c r="M1968" s="33" t="s">
        <v>1852</v>
      </c>
      <c r="N1968" s="37" t="s">
        <v>1853</v>
      </c>
      <c r="O1968" s="33" t="s">
        <v>1854</v>
      </c>
      <c r="P1968" s="33" t="s">
        <v>1855</v>
      </c>
      <c r="Q1968" s="33" t="s">
        <v>185</v>
      </c>
      <c r="R1968" s="34"/>
      <c r="S1968" s="38"/>
      <c r="T1968" s="38" t="s">
        <v>12690</v>
      </c>
    </row>
    <row r="1969" spans="1:20" x14ac:dyDescent="0.25">
      <c r="A1969" s="33" t="s">
        <v>12199</v>
      </c>
      <c r="B1969" s="33" t="s">
        <v>12198</v>
      </c>
      <c r="C1969" s="33" t="s">
        <v>141</v>
      </c>
      <c r="D1969" s="34"/>
      <c r="E1969" s="33">
        <v>2021</v>
      </c>
      <c r="F1969" s="34"/>
      <c r="G1969" s="34"/>
      <c r="H1969" s="33" t="s">
        <v>12200</v>
      </c>
      <c r="I1969" s="44" t="s">
        <v>12703</v>
      </c>
      <c r="J1969" s="33">
        <v>2021</v>
      </c>
      <c r="K1969" s="33">
        <v>9781450390538</v>
      </c>
      <c r="L1969" s="33" t="s">
        <v>11058</v>
      </c>
      <c r="M1969" s="34"/>
      <c r="N1969" s="37" t="s">
        <v>12201</v>
      </c>
      <c r="O1969" s="33" t="s">
        <v>12202</v>
      </c>
      <c r="P1969" s="33" t="s">
        <v>12203</v>
      </c>
      <c r="Q1969" s="36"/>
      <c r="R1969" s="36"/>
      <c r="S1969" s="34"/>
      <c r="T1969" s="33" t="s">
        <v>12692</v>
      </c>
    </row>
    <row r="1970" spans="1:20" x14ac:dyDescent="0.25">
      <c r="A1970" s="39" t="s">
        <v>10341</v>
      </c>
      <c r="B1970" s="39" t="s">
        <v>10343</v>
      </c>
      <c r="C1970" s="39" t="s">
        <v>9478</v>
      </c>
      <c r="D1970" s="36"/>
      <c r="E1970" s="39">
        <v>2022</v>
      </c>
      <c r="F1970" s="39">
        <v>30</v>
      </c>
      <c r="G1970" s="39">
        <v>1</v>
      </c>
      <c r="H1970" s="36"/>
      <c r="I1970" s="39" t="s">
        <v>523</v>
      </c>
      <c r="J1970" s="36"/>
      <c r="K1970" s="36"/>
      <c r="L1970" s="36"/>
      <c r="M1970" s="34"/>
      <c r="N1970" s="41" t="s">
        <v>10344</v>
      </c>
      <c r="O1970" s="39" t="s">
        <v>10342</v>
      </c>
      <c r="P1970" s="33"/>
      <c r="Q1970" s="36"/>
      <c r="R1970" s="34"/>
      <c r="S1970" s="38"/>
      <c r="T1970" s="38" t="s">
        <v>12689</v>
      </c>
    </row>
    <row r="1971" spans="1:20" x14ac:dyDescent="0.25">
      <c r="A1971" s="33" t="s">
        <v>1742</v>
      </c>
      <c r="B1971" s="33" t="s">
        <v>1741</v>
      </c>
      <c r="C1971" s="33" t="s">
        <v>141</v>
      </c>
      <c r="D1971" s="34"/>
      <c r="E1971" s="33">
        <v>2022</v>
      </c>
      <c r="F1971" s="34"/>
      <c r="G1971" s="34"/>
      <c r="H1971" s="33" t="s">
        <v>1743</v>
      </c>
      <c r="I1971" s="33" t="s">
        <v>257</v>
      </c>
      <c r="J1971" s="33">
        <v>2022</v>
      </c>
      <c r="K1971" s="33">
        <v>9781665496285</v>
      </c>
      <c r="L1971" s="34"/>
      <c r="M1971" s="34"/>
      <c r="N1971" s="37" t="s">
        <v>1744</v>
      </c>
      <c r="O1971" s="33" t="s">
        <v>1745</v>
      </c>
      <c r="P1971" s="33" t="s">
        <v>1746</v>
      </c>
      <c r="Q1971" s="33" t="s">
        <v>404</v>
      </c>
      <c r="R1971" s="34"/>
      <c r="S1971" s="38"/>
      <c r="T1971" s="38" t="s">
        <v>12690</v>
      </c>
    </row>
    <row r="1972" spans="1:20" x14ac:dyDescent="0.25">
      <c r="A1972" s="33" t="s">
        <v>2010</v>
      </c>
      <c r="B1972" s="33" t="s">
        <v>2009</v>
      </c>
      <c r="C1972" s="33" t="s">
        <v>13</v>
      </c>
      <c r="D1972" s="33" t="s">
        <v>2011</v>
      </c>
      <c r="E1972" s="33">
        <v>2021</v>
      </c>
      <c r="F1972" s="33">
        <v>5</v>
      </c>
      <c r="G1972" s="33">
        <v>4</v>
      </c>
      <c r="H1972" s="34"/>
      <c r="I1972" s="33" t="s">
        <v>145</v>
      </c>
      <c r="J1972" s="33">
        <v>2021</v>
      </c>
      <c r="K1972" s="34"/>
      <c r="L1972" s="34"/>
      <c r="M1972" s="33" t="s">
        <v>2012</v>
      </c>
      <c r="N1972" s="37" t="s">
        <v>2013</v>
      </c>
      <c r="O1972" s="33" t="s">
        <v>2014</v>
      </c>
      <c r="P1972" s="33" t="s">
        <v>2015</v>
      </c>
      <c r="Q1972" s="33" t="s">
        <v>1813</v>
      </c>
      <c r="R1972" s="34"/>
      <c r="S1972" s="38"/>
      <c r="T1972" s="38" t="s">
        <v>12690</v>
      </c>
    </row>
    <row r="1973" spans="1:20" x14ac:dyDescent="0.25">
      <c r="A1973" s="33" t="s">
        <v>12553</v>
      </c>
      <c r="B1973" s="33" t="s">
        <v>4682</v>
      </c>
      <c r="C1973" s="33" t="s">
        <v>13</v>
      </c>
      <c r="D1973" s="33" t="s">
        <v>11246</v>
      </c>
      <c r="E1973" s="33">
        <v>2022</v>
      </c>
      <c r="F1973" s="34"/>
      <c r="G1973" s="34"/>
      <c r="H1973" s="34"/>
      <c r="I1973" s="44" t="s">
        <v>12710</v>
      </c>
      <c r="J1973" s="43">
        <v>44682</v>
      </c>
      <c r="K1973" s="34"/>
      <c r="L1973" s="34"/>
      <c r="M1973" s="33" t="s">
        <v>329</v>
      </c>
      <c r="N1973" s="37" t="s">
        <v>12554</v>
      </c>
      <c r="O1973" s="33" t="s">
        <v>12555</v>
      </c>
      <c r="P1973" s="33" t="s">
        <v>12556</v>
      </c>
      <c r="Q1973" s="36"/>
      <c r="R1973" s="36"/>
      <c r="S1973" s="33" t="s">
        <v>12557</v>
      </c>
      <c r="T1973" s="33" t="s">
        <v>12692</v>
      </c>
    </row>
    <row r="1974" spans="1:20" x14ac:dyDescent="0.25">
      <c r="A1974" s="33" t="s">
        <v>6624</v>
      </c>
      <c r="B1974" s="33" t="s">
        <v>11443</v>
      </c>
      <c r="C1974" s="33" t="s">
        <v>141</v>
      </c>
      <c r="D1974" s="34"/>
      <c r="E1974" s="33">
        <v>2022</v>
      </c>
      <c r="F1974" s="34"/>
      <c r="G1974" s="34"/>
      <c r="H1974" s="33" t="s">
        <v>11444</v>
      </c>
      <c r="I1974" s="44" t="s">
        <v>12738</v>
      </c>
      <c r="J1974" s="33">
        <v>2022</v>
      </c>
      <c r="K1974" s="33">
        <v>9781450392266</v>
      </c>
      <c r="L1974" s="33" t="s">
        <v>11449</v>
      </c>
      <c r="M1974" s="34"/>
      <c r="N1974" s="37" t="s">
        <v>11446</v>
      </c>
      <c r="O1974" s="33" t="s">
        <v>6628</v>
      </c>
      <c r="P1974" s="33" t="s">
        <v>11447</v>
      </c>
      <c r="Q1974" s="36"/>
      <c r="R1974" s="36"/>
      <c r="S1974" s="33" t="s">
        <v>11448</v>
      </c>
      <c r="T1974" s="33" t="s">
        <v>12692</v>
      </c>
    </row>
    <row r="1975" spans="1:20" x14ac:dyDescent="0.25">
      <c r="A1975" s="33" t="s">
        <v>6624</v>
      </c>
      <c r="B1975" s="33" t="s">
        <v>6623</v>
      </c>
      <c r="C1975" s="33" t="s">
        <v>141</v>
      </c>
      <c r="D1975" s="34"/>
      <c r="E1975" s="33">
        <v>2022</v>
      </c>
      <c r="F1975" s="34"/>
      <c r="G1975" s="34"/>
      <c r="H1975" s="33" t="s">
        <v>6625</v>
      </c>
      <c r="I1975" s="33" t="s">
        <v>6626</v>
      </c>
      <c r="J1975" s="43">
        <v>44682</v>
      </c>
      <c r="K1975" s="36"/>
      <c r="L1975" s="36"/>
      <c r="M1975" s="34"/>
      <c r="N1975" s="37" t="s">
        <v>6627</v>
      </c>
      <c r="O1975" s="33" t="s">
        <v>6628</v>
      </c>
      <c r="P1975" s="33" t="s">
        <v>6629</v>
      </c>
      <c r="Q1975" s="36"/>
      <c r="R1975" s="36"/>
      <c r="S1975" s="33" t="s">
        <v>6630</v>
      </c>
      <c r="T1975" s="38" t="s">
        <v>12688</v>
      </c>
    </row>
    <row r="1976" spans="1:20" x14ac:dyDescent="0.25">
      <c r="A1976" s="33" t="s">
        <v>6053</v>
      </c>
      <c r="B1976" s="33" t="s">
        <v>6052</v>
      </c>
      <c r="C1976" s="33" t="s">
        <v>13</v>
      </c>
      <c r="D1976" s="33" t="s">
        <v>6054</v>
      </c>
      <c r="E1976" s="33">
        <v>2018</v>
      </c>
      <c r="F1976" s="33">
        <v>7</v>
      </c>
      <c r="G1976" s="33">
        <v>4</v>
      </c>
      <c r="H1976" s="33" t="s">
        <v>6055</v>
      </c>
      <c r="I1976" s="33" t="s">
        <v>6056</v>
      </c>
      <c r="J1976" s="33">
        <v>2018</v>
      </c>
      <c r="K1976" s="34"/>
      <c r="L1976" s="34"/>
      <c r="M1976" s="33" t="s">
        <v>6057</v>
      </c>
      <c r="N1976" s="37" t="s">
        <v>6058</v>
      </c>
      <c r="O1976" s="33" t="s">
        <v>6059</v>
      </c>
      <c r="P1976" s="33" t="s">
        <v>6060</v>
      </c>
      <c r="Q1976" s="33" t="s">
        <v>1813</v>
      </c>
      <c r="R1976" s="34"/>
      <c r="S1976" s="38"/>
      <c r="T1976" s="38" t="s">
        <v>12690</v>
      </c>
    </row>
    <row r="1977" spans="1:20" x14ac:dyDescent="0.25">
      <c r="A1977" s="33" t="s">
        <v>11954</v>
      </c>
      <c r="B1977" s="33" t="s">
        <v>11953</v>
      </c>
      <c r="C1977" s="33" t="s">
        <v>141</v>
      </c>
      <c r="D1977" s="34"/>
      <c r="E1977" s="33">
        <v>2015</v>
      </c>
      <c r="F1977" s="34"/>
      <c r="G1977" s="34"/>
      <c r="H1977" s="33" t="s">
        <v>11955</v>
      </c>
      <c r="I1977" s="44" t="s">
        <v>12820</v>
      </c>
      <c r="J1977" s="33">
        <v>2015</v>
      </c>
      <c r="K1977" s="34"/>
      <c r="L1977" s="33" t="s">
        <v>11959</v>
      </c>
      <c r="M1977" s="34"/>
      <c r="N1977" s="34"/>
      <c r="O1977" s="34"/>
      <c r="P1977" s="33" t="s">
        <v>11958</v>
      </c>
      <c r="Q1977" s="36"/>
      <c r="R1977" s="36"/>
      <c r="S1977" s="34"/>
      <c r="T1977" s="33" t="s">
        <v>12692</v>
      </c>
    </row>
    <row r="1978" spans="1:20" x14ac:dyDescent="0.25">
      <c r="A1978" s="39" t="s">
        <v>10243</v>
      </c>
      <c r="B1978" s="39" t="s">
        <v>10245</v>
      </c>
      <c r="C1978" s="39" t="s">
        <v>9539</v>
      </c>
      <c r="D1978" s="36"/>
      <c r="E1978" s="39">
        <v>2021</v>
      </c>
      <c r="F1978" s="40"/>
      <c r="G1978" s="40"/>
      <c r="H1978" s="36"/>
      <c r="I1978" s="39" t="s">
        <v>10135</v>
      </c>
      <c r="J1978" s="36"/>
      <c r="K1978" s="36"/>
      <c r="L1978" s="36"/>
      <c r="M1978" s="34"/>
      <c r="N1978" s="41" t="s">
        <v>10246</v>
      </c>
      <c r="O1978" s="39" t="s">
        <v>10244</v>
      </c>
      <c r="P1978" s="33"/>
      <c r="Q1978" s="36"/>
      <c r="R1978" s="34"/>
      <c r="S1978" s="38"/>
      <c r="T1978" s="38" t="s">
        <v>12689</v>
      </c>
    </row>
    <row r="1979" spans="1:20" x14ac:dyDescent="0.25">
      <c r="A1979" s="33" t="s">
        <v>6785</v>
      </c>
      <c r="B1979" s="33" t="s">
        <v>2998</v>
      </c>
      <c r="C1979" s="33" t="s">
        <v>13</v>
      </c>
      <c r="D1979" s="33" t="s">
        <v>668</v>
      </c>
      <c r="E1979" s="33">
        <v>2020</v>
      </c>
      <c r="F1979" s="33">
        <v>8</v>
      </c>
      <c r="G1979" s="34"/>
      <c r="H1979" s="33" t="s">
        <v>6786</v>
      </c>
      <c r="I1979" s="34"/>
      <c r="J1979" s="33">
        <v>2020</v>
      </c>
      <c r="K1979" s="36"/>
      <c r="L1979" s="36"/>
      <c r="M1979" s="33" t="s">
        <v>670</v>
      </c>
      <c r="N1979" s="37" t="s">
        <v>6787</v>
      </c>
      <c r="O1979" s="33" t="s">
        <v>4679</v>
      </c>
      <c r="P1979" s="33" t="s">
        <v>6788</v>
      </c>
      <c r="Q1979" s="36"/>
      <c r="R1979" s="36"/>
      <c r="S1979" s="33" t="s">
        <v>6789</v>
      </c>
      <c r="T1979" s="38" t="s">
        <v>12688</v>
      </c>
    </row>
    <row r="1980" spans="1:20" x14ac:dyDescent="0.25">
      <c r="A1980" s="33" t="s">
        <v>6785</v>
      </c>
      <c r="B1980" s="33" t="s">
        <v>2998</v>
      </c>
      <c r="C1980" s="33" t="s">
        <v>13</v>
      </c>
      <c r="D1980" s="33" t="s">
        <v>668</v>
      </c>
      <c r="E1980" s="33">
        <v>2020</v>
      </c>
      <c r="F1980" s="33">
        <v>8</v>
      </c>
      <c r="G1980" s="34"/>
      <c r="H1980" s="33" t="s">
        <v>4677</v>
      </c>
      <c r="I1980" s="33" t="s">
        <v>257</v>
      </c>
      <c r="J1980" s="33">
        <v>2020</v>
      </c>
      <c r="K1980" s="34"/>
      <c r="L1980" s="34"/>
      <c r="M1980" s="33" t="s">
        <v>670</v>
      </c>
      <c r="N1980" s="37" t="s">
        <v>4678</v>
      </c>
      <c r="O1980" s="33" t="s">
        <v>4679</v>
      </c>
      <c r="P1980" s="33" t="s">
        <v>4680</v>
      </c>
      <c r="Q1980" s="33" t="s">
        <v>4681</v>
      </c>
      <c r="R1980" s="34"/>
      <c r="S1980" s="38"/>
      <c r="T1980" s="38" t="s">
        <v>12690</v>
      </c>
    </row>
    <row r="1981" spans="1:20" x14ac:dyDescent="0.25">
      <c r="A1981" s="33" t="s">
        <v>12102</v>
      </c>
      <c r="B1981" s="33" t="s">
        <v>1455</v>
      </c>
      <c r="C1981" s="33" t="s">
        <v>141</v>
      </c>
      <c r="D1981" s="34"/>
      <c r="E1981" s="33">
        <v>2022</v>
      </c>
      <c r="F1981" s="34"/>
      <c r="G1981" s="34"/>
      <c r="H1981" s="33" t="s">
        <v>12103</v>
      </c>
      <c r="I1981" s="44" t="s">
        <v>12762</v>
      </c>
      <c r="J1981" s="33">
        <v>2022</v>
      </c>
      <c r="K1981" s="33">
        <v>9781450392211</v>
      </c>
      <c r="L1981" s="33" t="s">
        <v>11634</v>
      </c>
      <c r="M1981" s="34"/>
      <c r="N1981" s="37" t="s">
        <v>12104</v>
      </c>
      <c r="O1981" s="33" t="s">
        <v>1460</v>
      </c>
      <c r="P1981" s="33" t="s">
        <v>12105</v>
      </c>
      <c r="Q1981" s="36"/>
      <c r="R1981" s="36"/>
      <c r="S1981" s="33" t="s">
        <v>12106</v>
      </c>
      <c r="T1981" s="33" t="s">
        <v>12692</v>
      </c>
    </row>
    <row r="1982" spans="1:20" x14ac:dyDescent="0.25">
      <c r="A1982" s="33" t="s">
        <v>12102</v>
      </c>
      <c r="B1982" s="33" t="s">
        <v>1455</v>
      </c>
      <c r="C1982" s="33" t="s">
        <v>141</v>
      </c>
      <c r="D1982" s="34"/>
      <c r="E1982" s="33">
        <v>2022</v>
      </c>
      <c r="F1982" s="34"/>
      <c r="G1982" s="34"/>
      <c r="H1982" s="33" t="s">
        <v>7244</v>
      </c>
      <c r="I1982" s="33" t="s">
        <v>7245</v>
      </c>
      <c r="J1982" s="43">
        <v>44682</v>
      </c>
      <c r="K1982" s="36"/>
      <c r="L1982" s="36"/>
      <c r="M1982" s="33" t="s">
        <v>6336</v>
      </c>
      <c r="N1982" s="37" t="s">
        <v>7246</v>
      </c>
      <c r="O1982" s="33" t="s">
        <v>1460</v>
      </c>
      <c r="P1982" s="33" t="s">
        <v>7247</v>
      </c>
      <c r="Q1982" s="36"/>
      <c r="R1982" s="36"/>
      <c r="S1982" s="33" t="s">
        <v>7248</v>
      </c>
      <c r="T1982" s="38" t="s">
        <v>12688</v>
      </c>
    </row>
    <row r="1983" spans="1:20" x14ac:dyDescent="0.25">
      <c r="A1983" s="33" t="s">
        <v>12102</v>
      </c>
      <c r="B1983" s="33" t="s">
        <v>1455</v>
      </c>
      <c r="C1983" s="33" t="s">
        <v>141</v>
      </c>
      <c r="D1983" s="34"/>
      <c r="E1983" s="33">
        <v>2022</v>
      </c>
      <c r="F1983" s="45">
        <v>44682</v>
      </c>
      <c r="G1983" s="34"/>
      <c r="H1983" s="33" t="s">
        <v>1457</v>
      </c>
      <c r="I1983" s="33" t="s">
        <v>196</v>
      </c>
      <c r="J1983" s="33">
        <v>2022</v>
      </c>
      <c r="K1983" s="33">
        <v>9781450392211</v>
      </c>
      <c r="L1983" s="34"/>
      <c r="M1983" s="33" t="s">
        <v>1458</v>
      </c>
      <c r="N1983" s="37" t="s">
        <v>1459</v>
      </c>
      <c r="O1983" s="33" t="s">
        <v>1460</v>
      </c>
      <c r="P1983" s="33" t="s">
        <v>1461</v>
      </c>
      <c r="Q1983" s="33" t="s">
        <v>1462</v>
      </c>
      <c r="R1983" s="34"/>
      <c r="S1983" s="38"/>
      <c r="T1983" s="38" t="s">
        <v>12690</v>
      </c>
    </row>
    <row r="1984" spans="1:20" x14ac:dyDescent="0.25">
      <c r="A1984" s="39" t="s">
        <v>10422</v>
      </c>
      <c r="B1984" s="39" t="s">
        <v>10424</v>
      </c>
      <c r="C1984" s="39" t="s">
        <v>539</v>
      </c>
      <c r="D1984" s="36"/>
      <c r="E1984" s="39">
        <v>2022</v>
      </c>
      <c r="F1984" s="40"/>
      <c r="G1984" s="40"/>
      <c r="H1984" s="36"/>
      <c r="I1984" s="40"/>
      <c r="J1984" s="36"/>
      <c r="K1984" s="36"/>
      <c r="L1984" s="36"/>
      <c r="M1984" s="34"/>
      <c r="N1984" s="41" t="s">
        <v>10425</v>
      </c>
      <c r="O1984" s="39" t="s">
        <v>10423</v>
      </c>
      <c r="P1984" s="33"/>
      <c r="Q1984" s="36"/>
      <c r="R1984" s="34"/>
      <c r="S1984" s="38"/>
      <c r="T1984" s="38" t="s">
        <v>12689</v>
      </c>
    </row>
    <row r="1985" spans="1:20" x14ac:dyDescent="0.25">
      <c r="A1985" s="33" t="s">
        <v>12364</v>
      </c>
      <c r="B1985" s="33" t="s">
        <v>12363</v>
      </c>
      <c r="C1985" s="33" t="s">
        <v>13</v>
      </c>
      <c r="D1985" s="33" t="s">
        <v>11246</v>
      </c>
      <c r="E1985" s="33">
        <v>2021</v>
      </c>
      <c r="F1985" s="33">
        <v>31</v>
      </c>
      <c r="G1985" s="33">
        <v>1</v>
      </c>
      <c r="H1985" s="34"/>
      <c r="I1985" s="44" t="s">
        <v>12710</v>
      </c>
      <c r="J1985" s="43">
        <v>44440</v>
      </c>
      <c r="K1985" s="34"/>
      <c r="L1985" s="34"/>
      <c r="M1985" s="33" t="s">
        <v>329</v>
      </c>
      <c r="N1985" s="37" t="s">
        <v>12365</v>
      </c>
      <c r="O1985" s="33" t="s">
        <v>12366</v>
      </c>
      <c r="P1985" s="33" t="s">
        <v>12367</v>
      </c>
      <c r="Q1985" s="36"/>
      <c r="R1985" s="36"/>
      <c r="S1985" s="33" t="s">
        <v>12368</v>
      </c>
      <c r="T1985" s="33" t="s">
        <v>12692</v>
      </c>
    </row>
    <row r="1986" spans="1:20" x14ac:dyDescent="0.25">
      <c r="A1986" s="33" t="s">
        <v>12588</v>
      </c>
      <c r="B1986" s="33" t="s">
        <v>12587</v>
      </c>
      <c r="C1986" s="33" t="s">
        <v>141</v>
      </c>
      <c r="D1986" s="34"/>
      <c r="E1986" s="33">
        <v>2022</v>
      </c>
      <c r="F1986" s="34"/>
      <c r="G1986" s="34"/>
      <c r="H1986" s="33" t="s">
        <v>12589</v>
      </c>
      <c r="I1986" s="44" t="s">
        <v>12821</v>
      </c>
      <c r="J1986" s="33">
        <v>2022</v>
      </c>
      <c r="K1986" s="33">
        <v>9781450391580</v>
      </c>
      <c r="L1986" s="33" t="s">
        <v>12596</v>
      </c>
      <c r="M1986" s="34"/>
      <c r="N1986" s="37" t="s">
        <v>12592</v>
      </c>
      <c r="O1986" s="33" t="s">
        <v>12593</v>
      </c>
      <c r="P1986" s="33" t="s">
        <v>12594</v>
      </c>
      <c r="Q1986" s="36"/>
      <c r="R1986" s="36"/>
      <c r="S1986" s="33" t="s">
        <v>12595</v>
      </c>
      <c r="T1986" s="33" t="s">
        <v>12692</v>
      </c>
    </row>
    <row r="1987" spans="1:20" x14ac:dyDescent="0.25">
      <c r="A1987" s="33" t="s">
        <v>3871</v>
      </c>
      <c r="B1987" s="33" t="s">
        <v>3870</v>
      </c>
      <c r="C1987" s="33" t="s">
        <v>13</v>
      </c>
      <c r="D1987" s="33" t="s">
        <v>3872</v>
      </c>
      <c r="E1987" s="33">
        <v>2020</v>
      </c>
      <c r="F1987" s="33">
        <v>2</v>
      </c>
      <c r="G1987" s="34"/>
      <c r="H1987" s="34"/>
      <c r="I1987" s="33" t="s">
        <v>891</v>
      </c>
      <c r="J1987" s="33">
        <v>2020</v>
      </c>
      <c r="K1987" s="34"/>
      <c r="L1987" s="34"/>
      <c r="M1987" s="33" t="s">
        <v>3873</v>
      </c>
      <c r="N1987" s="37" t="s">
        <v>3874</v>
      </c>
      <c r="O1987" s="33" t="s">
        <v>3875</v>
      </c>
      <c r="P1987" s="33" t="s">
        <v>3876</v>
      </c>
      <c r="Q1987" s="33" t="s">
        <v>1844</v>
      </c>
      <c r="R1987" s="34"/>
      <c r="S1987" s="38"/>
      <c r="T1987" s="38" t="s">
        <v>12690</v>
      </c>
    </row>
    <row r="1988" spans="1:20" x14ac:dyDescent="0.25">
      <c r="A1988" s="33" t="s">
        <v>7974</v>
      </c>
      <c r="B1988" s="33" t="s">
        <v>7973</v>
      </c>
      <c r="C1988" s="33" t="s">
        <v>7972</v>
      </c>
      <c r="D1988" s="34"/>
      <c r="E1988" s="33">
        <v>2022</v>
      </c>
      <c r="F1988" s="34"/>
      <c r="G1988" s="34"/>
      <c r="H1988" s="33" t="s">
        <v>7975</v>
      </c>
      <c r="I1988" s="33" t="s">
        <v>12822</v>
      </c>
      <c r="J1988" s="33">
        <v>2022</v>
      </c>
      <c r="K1988" s="33">
        <v>9781119854333</v>
      </c>
      <c r="L1988" s="36"/>
      <c r="M1988" s="34"/>
      <c r="N1988" s="37" t="s">
        <v>7978</v>
      </c>
      <c r="O1988" s="34"/>
      <c r="P1988" s="33" t="s">
        <v>7979</v>
      </c>
      <c r="Q1988" s="36"/>
      <c r="R1988" s="36"/>
      <c r="S1988" s="33" t="s">
        <v>7980</v>
      </c>
      <c r="T1988" s="38" t="s">
        <v>12688</v>
      </c>
    </row>
    <row r="1989" spans="1:20" x14ac:dyDescent="0.25">
      <c r="A1989" s="33" t="s">
        <v>4798</v>
      </c>
      <c r="B1989" s="33" t="s">
        <v>4797</v>
      </c>
      <c r="C1989" s="33" t="s">
        <v>13</v>
      </c>
      <c r="D1989" s="33" t="s">
        <v>4637</v>
      </c>
      <c r="E1989" s="33">
        <v>2020</v>
      </c>
      <c r="F1989" s="33">
        <v>37</v>
      </c>
      <c r="G1989" s="33">
        <v>4</v>
      </c>
      <c r="H1989" s="33" t="s">
        <v>4799</v>
      </c>
      <c r="I1989" s="33" t="s">
        <v>196</v>
      </c>
      <c r="J1989" s="33">
        <v>2020</v>
      </c>
      <c r="K1989" s="34"/>
      <c r="L1989" s="34"/>
      <c r="M1989" s="33" t="s">
        <v>4639</v>
      </c>
      <c r="N1989" s="37" t="s">
        <v>4800</v>
      </c>
      <c r="O1989" s="33" t="s">
        <v>4801</v>
      </c>
      <c r="P1989" s="33" t="s">
        <v>4802</v>
      </c>
      <c r="Q1989" s="33" t="s">
        <v>2823</v>
      </c>
      <c r="R1989" s="34"/>
      <c r="S1989" s="38"/>
      <c r="T1989" s="38" t="s">
        <v>12690</v>
      </c>
    </row>
    <row r="1990" spans="1:20" x14ac:dyDescent="0.25">
      <c r="A1990" s="33" t="s">
        <v>12456</v>
      </c>
      <c r="B1990" s="33" t="s">
        <v>12455</v>
      </c>
      <c r="C1990" s="33" t="s">
        <v>141</v>
      </c>
      <c r="D1990" s="34"/>
      <c r="E1990" s="33">
        <v>2020</v>
      </c>
      <c r="F1990" s="34"/>
      <c r="G1990" s="34"/>
      <c r="H1990" s="33" t="s">
        <v>12457</v>
      </c>
      <c r="I1990" s="44" t="s">
        <v>12823</v>
      </c>
      <c r="J1990" s="33">
        <v>2020</v>
      </c>
      <c r="K1990" s="33">
        <v>9781450380850</v>
      </c>
      <c r="L1990" s="33" t="s">
        <v>12463</v>
      </c>
      <c r="M1990" s="34"/>
      <c r="N1990" s="37" t="s">
        <v>12459</v>
      </c>
      <c r="O1990" s="33" t="s">
        <v>12460</v>
      </c>
      <c r="P1990" s="33" t="s">
        <v>12461</v>
      </c>
      <c r="Q1990" s="36"/>
      <c r="R1990" s="36"/>
      <c r="S1990" s="33" t="s">
        <v>12462</v>
      </c>
      <c r="T1990" s="33" t="s">
        <v>12692</v>
      </c>
    </row>
    <row r="1991" spans="1:20" x14ac:dyDescent="0.25">
      <c r="A1991" s="39" t="s">
        <v>9700</v>
      </c>
      <c r="B1991" s="39" t="s">
        <v>9702</v>
      </c>
      <c r="C1991" s="39" t="s">
        <v>539</v>
      </c>
      <c r="D1991" s="36"/>
      <c r="E1991" s="39">
        <v>2017</v>
      </c>
      <c r="F1991" s="40"/>
      <c r="G1991" s="40"/>
      <c r="H1991" s="36"/>
      <c r="I1991" s="39" t="s">
        <v>9699</v>
      </c>
      <c r="J1991" s="36"/>
      <c r="K1991" s="36"/>
      <c r="L1991" s="36"/>
      <c r="M1991" s="34"/>
      <c r="N1991" s="41" t="s">
        <v>9703</v>
      </c>
      <c r="O1991" s="39" t="s">
        <v>9701</v>
      </c>
      <c r="P1991" s="33"/>
      <c r="Q1991" s="36"/>
      <c r="R1991" s="34"/>
      <c r="S1991" s="38"/>
      <c r="T1991" s="38" t="s">
        <v>12689</v>
      </c>
    </row>
    <row r="1992" spans="1:20" x14ac:dyDescent="0.25">
      <c r="A1992" s="39" t="s">
        <v>10350</v>
      </c>
      <c r="B1992" s="39" t="s">
        <v>10352</v>
      </c>
      <c r="C1992" s="39" t="s">
        <v>539</v>
      </c>
      <c r="D1992" s="36"/>
      <c r="E1992" s="39">
        <v>2019</v>
      </c>
      <c r="F1992" s="40"/>
      <c r="G1992" s="40"/>
      <c r="H1992" s="36"/>
      <c r="I1992" s="39" t="s">
        <v>10349</v>
      </c>
      <c r="J1992" s="36"/>
      <c r="K1992" s="36"/>
      <c r="L1992" s="36"/>
      <c r="M1992" s="34"/>
      <c r="N1992" s="41" t="s">
        <v>10353</v>
      </c>
      <c r="O1992" s="39" t="s">
        <v>10351</v>
      </c>
      <c r="P1992" s="33"/>
      <c r="Q1992" s="36"/>
      <c r="R1992" s="34"/>
      <c r="S1992" s="38"/>
      <c r="T1992" s="38" t="s">
        <v>12689</v>
      </c>
    </row>
    <row r="1993" spans="1:20" x14ac:dyDescent="0.25">
      <c r="A1993" s="39" t="s">
        <v>10010</v>
      </c>
      <c r="B1993" s="39" t="s">
        <v>10012</v>
      </c>
      <c r="C1993" s="39" t="s">
        <v>9539</v>
      </c>
      <c r="D1993" s="36"/>
      <c r="E1993" s="39">
        <v>2021</v>
      </c>
      <c r="F1993" s="40"/>
      <c r="G1993" s="40"/>
      <c r="H1993" s="36"/>
      <c r="I1993" s="39" t="s">
        <v>9290</v>
      </c>
      <c r="J1993" s="36"/>
      <c r="K1993" s="36"/>
      <c r="L1993" s="36"/>
      <c r="M1993" s="34"/>
      <c r="N1993" s="41" t="s">
        <v>10013</v>
      </c>
      <c r="O1993" s="39" t="s">
        <v>10011</v>
      </c>
      <c r="P1993" s="33"/>
      <c r="Q1993" s="36"/>
      <c r="R1993" s="34"/>
      <c r="S1993" s="38"/>
      <c r="T1993" s="38" t="s">
        <v>12689</v>
      </c>
    </row>
    <row r="1994" spans="1:20" x14ac:dyDescent="0.25">
      <c r="A1994" s="39" t="s">
        <v>9592</v>
      </c>
      <c r="B1994" s="39" t="s">
        <v>9594</v>
      </c>
      <c r="C1994" s="39" t="s">
        <v>539</v>
      </c>
      <c r="D1994" s="36"/>
      <c r="E1994" s="39">
        <v>2021</v>
      </c>
      <c r="F1994" s="40"/>
      <c r="G1994" s="40"/>
      <c r="H1994" s="36"/>
      <c r="I1994" s="40"/>
      <c r="J1994" s="36"/>
      <c r="K1994" s="36"/>
      <c r="L1994" s="36"/>
      <c r="M1994" s="34"/>
      <c r="N1994" s="41" t="s">
        <v>9595</v>
      </c>
      <c r="O1994" s="39" t="s">
        <v>9593</v>
      </c>
      <c r="P1994" s="33"/>
      <c r="Q1994" s="36"/>
      <c r="R1994" s="34"/>
      <c r="S1994" s="38"/>
      <c r="T1994" s="38" t="s">
        <v>12689</v>
      </c>
    </row>
    <row r="1995" spans="1:20" x14ac:dyDescent="0.25">
      <c r="A1995" s="39" t="s">
        <v>10247</v>
      </c>
      <c r="B1995" s="39" t="s">
        <v>10249</v>
      </c>
      <c r="C1995" s="39" t="s">
        <v>9478</v>
      </c>
      <c r="D1995" s="36"/>
      <c r="E1995" s="39">
        <v>2020</v>
      </c>
      <c r="F1995" s="39">
        <v>28</v>
      </c>
      <c r="G1995" s="39">
        <v>4</v>
      </c>
      <c r="H1995" s="36"/>
      <c r="I1995" s="39" t="s">
        <v>523</v>
      </c>
      <c r="J1995" s="36"/>
      <c r="K1995" s="36"/>
      <c r="L1995" s="36"/>
      <c r="M1995" s="34"/>
      <c r="N1995" s="41" t="s">
        <v>10250</v>
      </c>
      <c r="O1995" s="39" t="s">
        <v>10248</v>
      </c>
      <c r="P1995" s="33"/>
      <c r="Q1995" s="36"/>
      <c r="R1995" s="34"/>
      <c r="S1995" s="38"/>
      <c r="T1995" s="38" t="s">
        <v>12689</v>
      </c>
    </row>
    <row r="1996" spans="1:20" x14ac:dyDescent="0.25">
      <c r="A1996" s="33" t="s">
        <v>1244</v>
      </c>
      <c r="B1996" s="33" t="s">
        <v>1243</v>
      </c>
      <c r="C1996" s="33" t="s">
        <v>13</v>
      </c>
      <c r="D1996" s="33" t="s">
        <v>255</v>
      </c>
      <c r="E1996" s="33">
        <v>2022</v>
      </c>
      <c r="F1996" s="33">
        <v>48</v>
      </c>
      <c r="G1996" s="33">
        <v>4</v>
      </c>
      <c r="H1996" s="33" t="s">
        <v>6382</v>
      </c>
      <c r="I1996" s="34"/>
      <c r="J1996" s="43">
        <v>44652</v>
      </c>
      <c r="K1996" s="36"/>
      <c r="L1996" s="36"/>
      <c r="M1996" s="33" t="s">
        <v>6115</v>
      </c>
      <c r="N1996" s="37" t="s">
        <v>6383</v>
      </c>
      <c r="O1996" s="33" t="s">
        <v>1247</v>
      </c>
      <c r="P1996" s="33" t="s">
        <v>6384</v>
      </c>
      <c r="Q1996" s="36"/>
      <c r="R1996" s="36"/>
      <c r="S1996" s="33" t="s">
        <v>6385</v>
      </c>
      <c r="T1996" s="38" t="s">
        <v>12688</v>
      </c>
    </row>
    <row r="1997" spans="1:20" x14ac:dyDescent="0.25">
      <c r="A1997" s="33" t="s">
        <v>1244</v>
      </c>
      <c r="B1997" s="33" t="s">
        <v>1243</v>
      </c>
      <c r="C1997" s="33" t="s">
        <v>13</v>
      </c>
      <c r="D1997" s="33" t="s">
        <v>255</v>
      </c>
      <c r="E1997" s="33">
        <v>2022</v>
      </c>
      <c r="F1997" s="33">
        <v>48</v>
      </c>
      <c r="G1997" s="33">
        <v>4</v>
      </c>
      <c r="H1997" s="33" t="s">
        <v>1245</v>
      </c>
      <c r="I1997" s="33" t="s">
        <v>257</v>
      </c>
      <c r="J1997" s="33">
        <v>2022</v>
      </c>
      <c r="K1997" s="34"/>
      <c r="L1997" s="34"/>
      <c r="M1997" s="33" t="s">
        <v>18</v>
      </c>
      <c r="N1997" s="37" t="s">
        <v>1246</v>
      </c>
      <c r="O1997" s="33" t="s">
        <v>1247</v>
      </c>
      <c r="P1997" s="33" t="s">
        <v>1248</v>
      </c>
      <c r="Q1997" s="33" t="s">
        <v>1249</v>
      </c>
      <c r="R1997" s="34"/>
      <c r="S1997" s="38"/>
      <c r="T1997" s="38" t="s">
        <v>12690</v>
      </c>
    </row>
    <row r="1998" spans="1:20" x14ac:dyDescent="0.25">
      <c r="A1998" s="39" t="s">
        <v>10856</v>
      </c>
      <c r="B1998" s="39" t="s">
        <v>10858</v>
      </c>
      <c r="C1998" s="39" t="s">
        <v>9539</v>
      </c>
      <c r="D1998" s="36"/>
      <c r="E1998" s="39">
        <v>2021</v>
      </c>
      <c r="F1998" s="40"/>
      <c r="G1998" s="40"/>
      <c r="H1998" s="36"/>
      <c r="I1998" s="39" t="s">
        <v>9512</v>
      </c>
      <c r="J1998" s="36"/>
      <c r="K1998" s="36"/>
      <c r="L1998" s="36"/>
      <c r="M1998" s="34"/>
      <c r="N1998" s="41" t="s">
        <v>10859</v>
      </c>
      <c r="O1998" s="39" t="s">
        <v>10857</v>
      </c>
      <c r="P1998" s="33"/>
      <c r="Q1998" s="36"/>
      <c r="R1998" s="34"/>
      <c r="S1998" s="38"/>
      <c r="T1998" s="38" t="s">
        <v>12689</v>
      </c>
    </row>
    <row r="1999" spans="1:20" x14ac:dyDescent="0.25">
      <c r="A1999" s="39" t="s">
        <v>10036</v>
      </c>
      <c r="B1999" s="39" t="s">
        <v>10038</v>
      </c>
      <c r="C1999" s="39" t="s">
        <v>9478</v>
      </c>
      <c r="D1999" s="36"/>
      <c r="E1999" s="39">
        <v>2021</v>
      </c>
      <c r="F1999" s="39">
        <v>26</v>
      </c>
      <c r="G1999" s="39">
        <v>5</v>
      </c>
      <c r="H1999" s="36"/>
      <c r="I1999" s="39" t="s">
        <v>136</v>
      </c>
      <c r="J1999" s="36"/>
      <c r="K1999" s="36"/>
      <c r="L1999" s="36"/>
      <c r="M1999" s="34"/>
      <c r="N1999" s="41" t="s">
        <v>10039</v>
      </c>
      <c r="O1999" s="39" t="s">
        <v>10037</v>
      </c>
      <c r="P1999" s="33"/>
      <c r="Q1999" s="36"/>
      <c r="R1999" s="34"/>
      <c r="S1999" s="38"/>
      <c r="T1999" s="38" t="s">
        <v>12689</v>
      </c>
    </row>
    <row r="2000" spans="1:20" x14ac:dyDescent="0.25">
      <c r="A2000" s="39" t="s">
        <v>10493</v>
      </c>
      <c r="B2000" s="39" t="s">
        <v>9924</v>
      </c>
      <c r="C2000" s="39" t="s">
        <v>9539</v>
      </c>
      <c r="D2000" s="36"/>
      <c r="E2000" s="39">
        <v>2021</v>
      </c>
      <c r="F2000" s="40"/>
      <c r="G2000" s="40"/>
      <c r="H2000" s="36"/>
      <c r="I2000" s="39" t="s">
        <v>9922</v>
      </c>
      <c r="J2000" s="36"/>
      <c r="K2000" s="36"/>
      <c r="L2000" s="36"/>
      <c r="M2000" s="34"/>
      <c r="N2000" s="41" t="s">
        <v>10495</v>
      </c>
      <c r="O2000" s="39" t="s">
        <v>10494</v>
      </c>
      <c r="P2000" s="33"/>
      <c r="Q2000" s="36"/>
      <c r="R2000" s="34"/>
      <c r="S2000" s="38"/>
      <c r="T2000" s="38" t="s">
        <v>12689</v>
      </c>
    </row>
    <row r="2001" spans="1:20" x14ac:dyDescent="0.25">
      <c r="A2001" s="33" t="s">
        <v>5207</v>
      </c>
      <c r="B2001" s="33" t="s">
        <v>5206</v>
      </c>
      <c r="C2001" s="33" t="s">
        <v>13</v>
      </c>
      <c r="D2001" s="33" t="s">
        <v>209</v>
      </c>
      <c r="E2001" s="33">
        <v>2017</v>
      </c>
      <c r="F2001" s="33" t="s">
        <v>5208</v>
      </c>
      <c r="G2001" s="34"/>
      <c r="H2001" s="33" t="s">
        <v>4943</v>
      </c>
      <c r="I2001" s="33" t="s">
        <v>4155</v>
      </c>
      <c r="J2001" s="33">
        <v>2017</v>
      </c>
      <c r="K2001" s="34"/>
      <c r="L2001" s="34"/>
      <c r="M2001" s="33" t="s">
        <v>213</v>
      </c>
      <c r="N2001" s="37" t="s">
        <v>5209</v>
      </c>
      <c r="O2001" s="33" t="s">
        <v>5210</v>
      </c>
      <c r="P2001" s="33" t="s">
        <v>5211</v>
      </c>
      <c r="Q2001" s="33" t="s">
        <v>1740</v>
      </c>
      <c r="R2001" s="34"/>
      <c r="S2001" s="38"/>
      <c r="T2001" s="38" t="s">
        <v>12690</v>
      </c>
    </row>
    <row r="2002" spans="1:20" x14ac:dyDescent="0.25">
      <c r="A2002" s="33" t="s">
        <v>12405</v>
      </c>
      <c r="B2002" s="33" t="s">
        <v>2460</v>
      </c>
      <c r="C2002" s="33" t="s">
        <v>141</v>
      </c>
      <c r="D2002" s="34"/>
      <c r="E2002" s="33">
        <v>2021</v>
      </c>
      <c r="F2002" s="34"/>
      <c r="G2002" s="34"/>
      <c r="H2002" s="34"/>
      <c r="I2002" s="44" t="s">
        <v>12824</v>
      </c>
      <c r="J2002" s="33">
        <v>2021</v>
      </c>
      <c r="K2002" s="33">
        <v>9781450386654</v>
      </c>
      <c r="L2002" s="33" t="s">
        <v>12410</v>
      </c>
      <c r="M2002" s="34"/>
      <c r="N2002" s="37" t="s">
        <v>12407</v>
      </c>
      <c r="O2002" s="33" t="s">
        <v>2463</v>
      </c>
      <c r="P2002" s="33" t="s">
        <v>12408</v>
      </c>
      <c r="Q2002" s="36"/>
      <c r="R2002" s="36"/>
      <c r="S2002" s="33" t="s">
        <v>12409</v>
      </c>
      <c r="T2002" s="33" t="s">
        <v>12692</v>
      </c>
    </row>
    <row r="2003" spans="1:20" x14ac:dyDescent="0.25">
      <c r="A2003" s="33" t="s">
        <v>12405</v>
      </c>
      <c r="B2003" s="33" t="s">
        <v>2460</v>
      </c>
      <c r="C2003" s="33" t="s">
        <v>141</v>
      </c>
      <c r="D2003" s="34"/>
      <c r="E2003" s="33">
        <v>2021</v>
      </c>
      <c r="F2003" s="34"/>
      <c r="G2003" s="34"/>
      <c r="H2003" s="34"/>
      <c r="I2003" s="33" t="s">
        <v>196</v>
      </c>
      <c r="J2003" s="33">
        <v>2021</v>
      </c>
      <c r="K2003" s="33">
        <v>9781450386654</v>
      </c>
      <c r="L2003" s="34"/>
      <c r="M2003" s="33" t="s">
        <v>197</v>
      </c>
      <c r="N2003" s="37" t="s">
        <v>2462</v>
      </c>
      <c r="O2003" s="33" t="s">
        <v>2463</v>
      </c>
      <c r="P2003" s="33" t="s">
        <v>2464</v>
      </c>
      <c r="Q2003" s="33" t="s">
        <v>318</v>
      </c>
      <c r="R2003" s="34"/>
      <c r="S2003" s="38"/>
      <c r="T2003" s="38" t="s">
        <v>12690</v>
      </c>
    </row>
    <row r="2004" spans="1:20" x14ac:dyDescent="0.25">
      <c r="A2004" s="33" t="s">
        <v>1142</v>
      </c>
      <c r="B2004" s="33" t="s">
        <v>1141</v>
      </c>
      <c r="C2004" s="33" t="s">
        <v>141</v>
      </c>
      <c r="D2004" s="34"/>
      <c r="E2004" s="33">
        <v>2022</v>
      </c>
      <c r="F2004" s="34"/>
      <c r="G2004" s="34"/>
      <c r="H2004" s="33" t="s">
        <v>12597</v>
      </c>
      <c r="I2004" s="44" t="s">
        <v>12825</v>
      </c>
      <c r="J2004" s="33">
        <v>2022</v>
      </c>
      <c r="K2004" s="33">
        <v>9781450393522</v>
      </c>
      <c r="L2004" s="33" t="s">
        <v>12601</v>
      </c>
      <c r="M2004" s="34"/>
      <c r="N2004" s="37" t="s">
        <v>12599</v>
      </c>
      <c r="O2004" s="33" t="s">
        <v>1145</v>
      </c>
      <c r="P2004" s="33" t="s">
        <v>12600</v>
      </c>
      <c r="Q2004" s="36"/>
      <c r="R2004" s="36"/>
      <c r="S2004" s="34"/>
      <c r="T2004" s="33" t="s">
        <v>12692</v>
      </c>
    </row>
    <row r="2005" spans="1:20" x14ac:dyDescent="0.25">
      <c r="A2005" s="33" t="s">
        <v>1142</v>
      </c>
      <c r="B2005" s="33" t="s">
        <v>1141</v>
      </c>
      <c r="C2005" s="33" t="s">
        <v>141</v>
      </c>
      <c r="D2005" s="34"/>
      <c r="E2005" s="33">
        <v>2022</v>
      </c>
      <c r="F2005" s="34"/>
      <c r="G2005" s="34"/>
      <c r="H2005" s="33" t="s">
        <v>1143</v>
      </c>
      <c r="I2005" s="33" t="s">
        <v>145</v>
      </c>
      <c r="J2005" s="33">
        <v>2022</v>
      </c>
      <c r="K2005" s="33">
        <v>9781450393522</v>
      </c>
      <c r="L2005" s="34"/>
      <c r="M2005" s="34"/>
      <c r="N2005" s="37" t="s">
        <v>1144</v>
      </c>
      <c r="O2005" s="33" t="s">
        <v>1145</v>
      </c>
      <c r="P2005" s="33" t="s">
        <v>1146</v>
      </c>
      <c r="Q2005" s="33" t="s">
        <v>387</v>
      </c>
      <c r="R2005" s="34"/>
      <c r="S2005" s="38"/>
      <c r="T2005" s="38" t="s">
        <v>12690</v>
      </c>
    </row>
    <row r="2006" spans="1:20" x14ac:dyDescent="0.25">
      <c r="A2006" s="33" t="s">
        <v>4694</v>
      </c>
      <c r="B2006" s="33" t="s">
        <v>4693</v>
      </c>
      <c r="C2006" s="33" t="s">
        <v>13</v>
      </c>
      <c r="D2006" s="33" t="s">
        <v>4637</v>
      </c>
      <c r="E2006" s="33">
        <v>2020</v>
      </c>
      <c r="F2006" s="33">
        <v>37</v>
      </c>
      <c r="G2006" s="33">
        <v>1</v>
      </c>
      <c r="H2006" s="33" t="s">
        <v>6698</v>
      </c>
      <c r="I2006" s="34"/>
      <c r="J2006" s="43">
        <v>43831</v>
      </c>
      <c r="K2006" s="36"/>
      <c r="L2006" s="36"/>
      <c r="M2006" s="33" t="s">
        <v>6207</v>
      </c>
      <c r="N2006" s="37" t="s">
        <v>6699</v>
      </c>
      <c r="O2006" s="33" t="s">
        <v>4697</v>
      </c>
      <c r="P2006" s="33" t="s">
        <v>6700</v>
      </c>
      <c r="Q2006" s="36"/>
      <c r="R2006" s="36"/>
      <c r="S2006" s="33" t="s">
        <v>6701</v>
      </c>
      <c r="T2006" s="38" t="s">
        <v>12688</v>
      </c>
    </row>
    <row r="2007" spans="1:20" x14ac:dyDescent="0.25">
      <c r="A2007" s="33" t="s">
        <v>4694</v>
      </c>
      <c r="B2007" s="33" t="s">
        <v>4693</v>
      </c>
      <c r="C2007" s="33" t="s">
        <v>13</v>
      </c>
      <c r="D2007" s="33" t="s">
        <v>4637</v>
      </c>
      <c r="E2007" s="33">
        <v>2020</v>
      </c>
      <c r="F2007" s="33">
        <v>37</v>
      </c>
      <c r="G2007" s="33">
        <v>1</v>
      </c>
      <c r="H2007" s="33" t="s">
        <v>4695</v>
      </c>
      <c r="I2007" s="33" t="s">
        <v>196</v>
      </c>
      <c r="J2007" s="33">
        <v>2020</v>
      </c>
      <c r="K2007" s="34"/>
      <c r="L2007" s="34"/>
      <c r="M2007" s="33" t="s">
        <v>4639</v>
      </c>
      <c r="N2007" s="37" t="s">
        <v>4696</v>
      </c>
      <c r="O2007" s="33" t="s">
        <v>4697</v>
      </c>
      <c r="P2007" s="33" t="s">
        <v>4698</v>
      </c>
      <c r="Q2007" s="33" t="s">
        <v>2997</v>
      </c>
      <c r="R2007" s="34"/>
      <c r="S2007" s="38"/>
      <c r="T2007" s="38" t="s">
        <v>12690</v>
      </c>
    </row>
    <row r="2008" spans="1:20" x14ac:dyDescent="0.25">
      <c r="A2008" s="39" t="s">
        <v>10994</v>
      </c>
      <c r="B2008" s="39" t="s">
        <v>10817</v>
      </c>
      <c r="C2008" s="39" t="s">
        <v>9539</v>
      </c>
      <c r="D2008" s="36"/>
      <c r="E2008" s="39">
        <v>2022</v>
      </c>
      <c r="F2008" s="40"/>
      <c r="G2008" s="40"/>
      <c r="H2008" s="36"/>
      <c r="I2008" s="39" t="s">
        <v>10815</v>
      </c>
      <c r="J2008" s="36"/>
      <c r="K2008" s="36"/>
      <c r="L2008" s="36"/>
      <c r="M2008" s="34"/>
      <c r="N2008" s="41" t="s">
        <v>10996</v>
      </c>
      <c r="O2008" s="39" t="s">
        <v>10995</v>
      </c>
      <c r="P2008" s="33"/>
      <c r="Q2008" s="36"/>
      <c r="R2008" s="34"/>
      <c r="S2008" s="38"/>
      <c r="T2008" s="38" t="s">
        <v>12689</v>
      </c>
    </row>
    <row r="2009" spans="1:20" x14ac:dyDescent="0.25">
      <c r="A2009" s="33" t="s">
        <v>428</v>
      </c>
      <c r="B2009" s="33" t="s">
        <v>427</v>
      </c>
      <c r="C2009" s="33" t="s">
        <v>13</v>
      </c>
      <c r="D2009" s="33" t="s">
        <v>227</v>
      </c>
      <c r="E2009" s="33">
        <v>2022</v>
      </c>
      <c r="F2009" s="33">
        <v>12</v>
      </c>
      <c r="G2009" s="33">
        <v>15</v>
      </c>
      <c r="H2009" s="34"/>
      <c r="I2009" s="33" t="s">
        <v>228</v>
      </c>
      <c r="J2009" s="33">
        <v>2022</v>
      </c>
      <c r="K2009" s="34"/>
      <c r="L2009" s="34"/>
      <c r="M2009" s="33" t="s">
        <v>229</v>
      </c>
      <c r="N2009" s="37" t="s">
        <v>429</v>
      </c>
      <c r="O2009" s="33" t="s">
        <v>430</v>
      </c>
      <c r="P2009" s="33" t="s">
        <v>431</v>
      </c>
      <c r="Q2009" s="33" t="s">
        <v>285</v>
      </c>
      <c r="R2009" s="34"/>
      <c r="S2009" s="38"/>
      <c r="T2009" s="38" t="s">
        <v>12690</v>
      </c>
    </row>
    <row r="2010" spans="1:20" x14ac:dyDescent="0.25">
      <c r="A2010" s="33" t="s">
        <v>7191</v>
      </c>
      <c r="B2010" s="33" t="s">
        <v>7190</v>
      </c>
      <c r="C2010" s="33" t="s">
        <v>13</v>
      </c>
      <c r="D2010" s="33" t="s">
        <v>255</v>
      </c>
      <c r="E2010" s="33">
        <v>2022</v>
      </c>
      <c r="F2010" s="33">
        <v>48</v>
      </c>
      <c r="G2010" s="33">
        <v>9</v>
      </c>
      <c r="H2010" s="33" t="s">
        <v>7192</v>
      </c>
      <c r="I2010" s="34"/>
      <c r="J2010" s="43">
        <v>44805</v>
      </c>
      <c r="K2010" s="36"/>
      <c r="L2010" s="36"/>
      <c r="M2010" s="33" t="s">
        <v>6115</v>
      </c>
      <c r="N2010" s="37" t="s">
        <v>7193</v>
      </c>
      <c r="O2010" s="33" t="s">
        <v>7194</v>
      </c>
      <c r="P2010" s="33" t="s">
        <v>7195</v>
      </c>
      <c r="Q2010" s="36"/>
      <c r="R2010" s="36"/>
      <c r="S2010" s="33" t="s">
        <v>7196</v>
      </c>
      <c r="T2010" s="38" t="s">
        <v>12688</v>
      </c>
    </row>
    <row r="2011" spans="1:20" x14ac:dyDescent="0.25">
      <c r="A2011" s="33" t="s">
        <v>2348</v>
      </c>
      <c r="B2011" s="33" t="s">
        <v>2347</v>
      </c>
      <c r="C2011" s="33" t="s">
        <v>141</v>
      </c>
      <c r="D2011" s="34"/>
      <c r="E2011" s="33">
        <v>2022</v>
      </c>
      <c r="F2011" s="34"/>
      <c r="G2011" s="34"/>
      <c r="H2011" s="33" t="s">
        <v>2349</v>
      </c>
      <c r="I2011" s="33" t="s">
        <v>257</v>
      </c>
      <c r="J2011" s="33">
        <v>2022</v>
      </c>
      <c r="K2011" s="33">
        <v>9781450392754</v>
      </c>
      <c r="L2011" s="34"/>
      <c r="M2011" s="34"/>
      <c r="N2011" s="37" t="s">
        <v>2350</v>
      </c>
      <c r="O2011" s="33" t="s">
        <v>2351</v>
      </c>
      <c r="P2011" s="33" t="s">
        <v>2352</v>
      </c>
      <c r="Q2011" s="33" t="s">
        <v>568</v>
      </c>
      <c r="R2011" s="34"/>
      <c r="S2011" s="38"/>
      <c r="T2011" s="38" t="s">
        <v>12690</v>
      </c>
    </row>
    <row r="2012" spans="1:20" x14ac:dyDescent="0.25">
      <c r="A2012" s="33" t="s">
        <v>12632</v>
      </c>
      <c r="B2012" s="33" t="s">
        <v>12631</v>
      </c>
      <c r="C2012" s="33" t="s">
        <v>13</v>
      </c>
      <c r="D2012" s="33" t="s">
        <v>12633</v>
      </c>
      <c r="E2012" s="33">
        <v>2022</v>
      </c>
      <c r="F2012" s="33">
        <v>53</v>
      </c>
      <c r="G2012" s="33">
        <v>3</v>
      </c>
      <c r="H2012" s="33" t="s">
        <v>12634</v>
      </c>
      <c r="I2012" s="44" t="s">
        <v>12710</v>
      </c>
      <c r="J2012" s="43">
        <v>44743</v>
      </c>
      <c r="K2012" s="34"/>
      <c r="L2012" s="34"/>
      <c r="M2012" s="33" t="s">
        <v>12635</v>
      </c>
      <c r="N2012" s="37" t="s">
        <v>12636</v>
      </c>
      <c r="O2012" s="33" t="s">
        <v>12637</v>
      </c>
      <c r="P2012" s="33" t="s">
        <v>12638</v>
      </c>
      <c r="Q2012" s="36"/>
      <c r="R2012" s="36"/>
      <c r="S2012" s="33" t="s">
        <v>12639</v>
      </c>
      <c r="T2012" s="33" t="s">
        <v>12692</v>
      </c>
    </row>
    <row r="2013" spans="1:20" x14ac:dyDescent="0.25">
      <c r="A2013" s="33" t="s">
        <v>7367</v>
      </c>
      <c r="B2013" s="33" t="s">
        <v>7366</v>
      </c>
      <c r="C2013" s="33" t="s">
        <v>13</v>
      </c>
      <c r="D2013" s="33" t="s">
        <v>255</v>
      </c>
      <c r="E2013" s="33">
        <v>2021</v>
      </c>
      <c r="F2013" s="33">
        <v>47</v>
      </c>
      <c r="G2013" s="33">
        <v>5</v>
      </c>
      <c r="H2013" s="33" t="s">
        <v>7368</v>
      </c>
      <c r="I2013" s="34"/>
      <c r="J2013" s="43">
        <v>44317</v>
      </c>
      <c r="K2013" s="36"/>
      <c r="L2013" s="36"/>
      <c r="M2013" s="33" t="s">
        <v>6115</v>
      </c>
      <c r="N2013" s="37" t="s">
        <v>7369</v>
      </c>
      <c r="O2013" s="33" t="s">
        <v>7370</v>
      </c>
      <c r="P2013" s="33" t="s">
        <v>7371</v>
      </c>
      <c r="Q2013" s="36"/>
      <c r="R2013" s="36"/>
      <c r="S2013" s="33" t="s">
        <v>7372</v>
      </c>
      <c r="T2013" s="38" t="s">
        <v>12688</v>
      </c>
    </row>
    <row r="2014" spans="1:20" x14ac:dyDescent="0.25">
      <c r="A2014" s="39" t="s">
        <v>10467</v>
      </c>
      <c r="B2014" s="39" t="s">
        <v>10469</v>
      </c>
      <c r="C2014" s="39" t="s">
        <v>9539</v>
      </c>
      <c r="D2014" s="36"/>
      <c r="E2014" s="39">
        <v>2021</v>
      </c>
      <c r="F2014" s="40"/>
      <c r="G2014" s="40"/>
      <c r="H2014" s="36"/>
      <c r="I2014" s="39" t="s">
        <v>9388</v>
      </c>
      <c r="J2014" s="36"/>
      <c r="K2014" s="36"/>
      <c r="L2014" s="36"/>
      <c r="M2014" s="34"/>
      <c r="N2014" s="41" t="s">
        <v>10470</v>
      </c>
      <c r="O2014" s="39" t="s">
        <v>10468</v>
      </c>
      <c r="P2014" s="33"/>
      <c r="Q2014" s="36"/>
      <c r="R2014" s="34"/>
      <c r="S2014" s="38"/>
      <c r="T2014" s="38" t="s">
        <v>12689</v>
      </c>
    </row>
    <row r="2015" spans="1:20" x14ac:dyDescent="0.25">
      <c r="A2015" s="33" t="s">
        <v>6081</v>
      </c>
      <c r="B2015" s="33" t="s">
        <v>6080</v>
      </c>
      <c r="C2015" s="33" t="s">
        <v>13</v>
      </c>
      <c r="D2015" s="33" t="s">
        <v>209</v>
      </c>
      <c r="E2015" s="33">
        <v>2018</v>
      </c>
      <c r="F2015" s="33" t="s">
        <v>6082</v>
      </c>
      <c r="G2015" s="34"/>
      <c r="H2015" s="33" t="s">
        <v>6083</v>
      </c>
      <c r="I2015" s="33" t="s">
        <v>4155</v>
      </c>
      <c r="J2015" s="33">
        <v>2018</v>
      </c>
      <c r="K2015" s="34"/>
      <c r="L2015" s="34"/>
      <c r="M2015" s="33" t="s">
        <v>213</v>
      </c>
      <c r="N2015" s="37" t="s">
        <v>6084</v>
      </c>
      <c r="O2015" s="33" t="s">
        <v>6085</v>
      </c>
      <c r="P2015" s="33" t="s">
        <v>6086</v>
      </c>
      <c r="Q2015" s="33" t="s">
        <v>2811</v>
      </c>
      <c r="R2015" s="34"/>
      <c r="S2015" s="38"/>
      <c r="T2015" s="38" t="s">
        <v>12690</v>
      </c>
    </row>
    <row r="2016" spans="1:20" x14ac:dyDescent="0.25">
      <c r="A2016" s="33" t="s">
        <v>8522</v>
      </c>
      <c r="B2016" s="33" t="s">
        <v>8521</v>
      </c>
      <c r="C2016" s="33" t="s">
        <v>13</v>
      </c>
      <c r="D2016" s="33" t="s">
        <v>307</v>
      </c>
      <c r="E2016" s="33">
        <v>2020</v>
      </c>
      <c r="F2016" s="33">
        <v>127</v>
      </c>
      <c r="G2016" s="36"/>
      <c r="H2016" s="33">
        <v>106375</v>
      </c>
      <c r="I2016" s="36"/>
      <c r="J2016" s="33">
        <v>2020</v>
      </c>
      <c r="K2016" s="34"/>
      <c r="L2016" s="34"/>
      <c r="M2016" s="33" t="s">
        <v>308</v>
      </c>
      <c r="N2016" s="37" t="s">
        <v>8523</v>
      </c>
      <c r="O2016" s="33" t="s">
        <v>8524</v>
      </c>
      <c r="P2016" s="33" t="s">
        <v>8525</v>
      </c>
      <c r="Q2016" s="36"/>
      <c r="R2016" s="36"/>
      <c r="S2016" s="33" t="s">
        <v>8526</v>
      </c>
      <c r="T2016" s="38" t="s">
        <v>12693</v>
      </c>
    </row>
    <row r="2017" spans="1:20" x14ac:dyDescent="0.25">
      <c r="A2017" s="33" t="s">
        <v>208</v>
      </c>
      <c r="B2017" s="33" t="s">
        <v>207</v>
      </c>
      <c r="C2017" s="33" t="s">
        <v>13</v>
      </c>
      <c r="D2017" s="33" t="s">
        <v>209</v>
      </c>
      <c r="E2017" s="33">
        <v>2022</v>
      </c>
      <c r="F2017" s="33" t="s">
        <v>210</v>
      </c>
      <c r="G2017" s="34"/>
      <c r="H2017" s="33" t="s">
        <v>211</v>
      </c>
      <c r="I2017" s="33" t="s">
        <v>212</v>
      </c>
      <c r="J2017" s="33">
        <v>2022</v>
      </c>
      <c r="K2017" s="34"/>
      <c r="L2017" s="34"/>
      <c r="M2017" s="33" t="s">
        <v>213</v>
      </c>
      <c r="N2017" s="37" t="s">
        <v>214</v>
      </c>
      <c r="O2017" s="33" t="s">
        <v>215</v>
      </c>
      <c r="P2017" s="33" t="s">
        <v>216</v>
      </c>
      <c r="Q2017" s="33" t="s">
        <v>157</v>
      </c>
      <c r="R2017" s="34"/>
      <c r="S2017" s="38"/>
      <c r="T2017" s="38" t="s">
        <v>12690</v>
      </c>
    </row>
    <row r="2018" spans="1:20" x14ac:dyDescent="0.25">
      <c r="A2018" s="33" t="s">
        <v>4622</v>
      </c>
      <c r="B2018" s="33" t="s">
        <v>4621</v>
      </c>
      <c r="C2018" s="33" t="s">
        <v>141</v>
      </c>
      <c r="D2018" s="34"/>
      <c r="E2018" s="33">
        <v>2020</v>
      </c>
      <c r="F2018" s="34"/>
      <c r="G2018" s="34"/>
      <c r="H2018" s="33" t="s">
        <v>4623</v>
      </c>
      <c r="I2018" s="33" t="s">
        <v>145</v>
      </c>
      <c r="J2018" s="33">
        <v>2020</v>
      </c>
      <c r="K2018" s="33">
        <v>9781450367356</v>
      </c>
      <c r="L2018" s="34"/>
      <c r="M2018" s="33" t="s">
        <v>3308</v>
      </c>
      <c r="N2018" s="37" t="s">
        <v>4624</v>
      </c>
      <c r="O2018" s="33" t="s">
        <v>4625</v>
      </c>
      <c r="P2018" s="33" t="s">
        <v>4626</v>
      </c>
      <c r="Q2018" s="33" t="s">
        <v>4627</v>
      </c>
      <c r="R2018" s="34"/>
      <c r="S2018" s="38"/>
      <c r="T2018" s="38" t="s">
        <v>12690</v>
      </c>
    </row>
    <row r="2019" spans="1:20" x14ac:dyDescent="0.25">
      <c r="A2019" s="33" t="s">
        <v>1565</v>
      </c>
      <c r="B2019" s="33" t="s">
        <v>1564</v>
      </c>
      <c r="C2019" s="33" t="s">
        <v>13</v>
      </c>
      <c r="D2019" s="33" t="s">
        <v>1566</v>
      </c>
      <c r="E2019" s="33">
        <v>2021</v>
      </c>
      <c r="F2019" s="33">
        <v>93</v>
      </c>
      <c r="G2019" s="33">
        <v>12</v>
      </c>
      <c r="H2019" s="33" t="s">
        <v>1567</v>
      </c>
      <c r="I2019" s="33" t="s">
        <v>1568</v>
      </c>
      <c r="J2019" s="33">
        <v>2021</v>
      </c>
      <c r="K2019" s="34"/>
      <c r="L2019" s="34"/>
      <c r="M2019" s="33" t="s">
        <v>1569</v>
      </c>
      <c r="N2019" s="37" t="s">
        <v>1570</v>
      </c>
      <c r="O2019" s="33" t="s">
        <v>1571</v>
      </c>
      <c r="P2019" s="33" t="s">
        <v>1572</v>
      </c>
      <c r="Q2019" s="33" t="s">
        <v>1573</v>
      </c>
      <c r="R2019" s="34"/>
      <c r="S2019" s="38"/>
      <c r="T2019" s="38" t="s">
        <v>12690</v>
      </c>
    </row>
    <row r="2020" spans="1:20" x14ac:dyDescent="0.25">
      <c r="A2020" s="33" t="s">
        <v>5240</v>
      </c>
      <c r="B2020" s="33" t="s">
        <v>5239</v>
      </c>
      <c r="C2020" s="33" t="s">
        <v>141</v>
      </c>
      <c r="D2020" s="34"/>
      <c r="E2020" s="33">
        <v>2017</v>
      </c>
      <c r="F2020" s="34"/>
      <c r="G2020" s="34"/>
      <c r="H2020" s="33" t="s">
        <v>6517</v>
      </c>
      <c r="I2020" s="33" t="s">
        <v>6518</v>
      </c>
      <c r="J2020" s="35">
        <v>43070</v>
      </c>
      <c r="K2020" s="36"/>
      <c r="L2020" s="36"/>
      <c r="M2020" s="34"/>
      <c r="N2020" s="37" t="s">
        <v>6519</v>
      </c>
      <c r="O2020" s="33" t="s">
        <v>5243</v>
      </c>
      <c r="P2020" s="33" t="s">
        <v>6520</v>
      </c>
      <c r="Q2020" s="36"/>
      <c r="R2020" s="36"/>
      <c r="S2020" s="33" t="s">
        <v>6521</v>
      </c>
      <c r="T2020" s="38" t="s">
        <v>12688</v>
      </c>
    </row>
    <row r="2021" spans="1:20" x14ac:dyDescent="0.25">
      <c r="A2021" s="33" t="s">
        <v>5240</v>
      </c>
      <c r="B2021" s="33" t="s">
        <v>5239</v>
      </c>
      <c r="C2021" s="33" t="s">
        <v>141</v>
      </c>
      <c r="D2021" s="34"/>
      <c r="E2021" s="33">
        <v>2017</v>
      </c>
      <c r="F2021" s="45">
        <v>43101</v>
      </c>
      <c r="G2021" s="34"/>
      <c r="H2021" s="33" t="s">
        <v>5241</v>
      </c>
      <c r="I2021" s="33" t="s">
        <v>257</v>
      </c>
      <c r="J2021" s="33">
        <v>2017</v>
      </c>
      <c r="K2021" s="33">
        <v>9781538627143</v>
      </c>
      <c r="L2021" s="34"/>
      <c r="M2021" s="34"/>
      <c r="N2021" s="37" t="s">
        <v>5242</v>
      </c>
      <c r="O2021" s="33" t="s">
        <v>5243</v>
      </c>
      <c r="P2021" s="33" t="s">
        <v>5244</v>
      </c>
      <c r="Q2021" s="33" t="s">
        <v>5245</v>
      </c>
      <c r="R2021" s="34"/>
      <c r="S2021" s="38"/>
      <c r="T2021" s="38" t="s">
        <v>12690</v>
      </c>
    </row>
    <row r="2022" spans="1:20" x14ac:dyDescent="0.25">
      <c r="A2022" s="39" t="s">
        <v>9429</v>
      </c>
      <c r="B2022" s="39" t="s">
        <v>9431</v>
      </c>
      <c r="C2022" s="39" t="s">
        <v>539</v>
      </c>
      <c r="D2022" s="36"/>
      <c r="E2022" s="39">
        <v>2021</v>
      </c>
      <c r="F2022" s="40"/>
      <c r="G2022" s="40"/>
      <c r="H2022" s="36"/>
      <c r="I2022" s="39" t="s">
        <v>9275</v>
      </c>
      <c r="J2022" s="36"/>
      <c r="K2022" s="36"/>
      <c r="L2022" s="36"/>
      <c r="M2022" s="34"/>
      <c r="N2022" s="41" t="s">
        <v>9432</v>
      </c>
      <c r="O2022" s="39" t="s">
        <v>9430</v>
      </c>
      <c r="P2022" s="33"/>
      <c r="Q2022" s="36"/>
      <c r="R2022" s="34"/>
      <c r="S2022" s="38"/>
      <c r="T2022" s="38" t="s">
        <v>12689</v>
      </c>
    </row>
    <row r="2023" spans="1:20" x14ac:dyDescent="0.25">
      <c r="A2023" s="33" t="s">
        <v>9252</v>
      </c>
      <c r="B2023" s="33" t="s">
        <v>9251</v>
      </c>
      <c r="C2023" s="33" t="s">
        <v>13</v>
      </c>
      <c r="D2023" s="33" t="s">
        <v>1850</v>
      </c>
      <c r="E2023" s="33">
        <v>2022</v>
      </c>
      <c r="F2023" s="33">
        <v>501</v>
      </c>
      <c r="G2023" s="36"/>
      <c r="H2023" s="33" t="s">
        <v>9253</v>
      </c>
      <c r="I2023" s="36"/>
      <c r="J2023" s="33">
        <v>2022</v>
      </c>
      <c r="K2023" s="34"/>
      <c r="L2023" s="34"/>
      <c r="M2023" s="33" t="s">
        <v>1852</v>
      </c>
      <c r="N2023" s="37" t="s">
        <v>9254</v>
      </c>
      <c r="O2023" s="33" t="s">
        <v>9255</v>
      </c>
      <c r="P2023" s="33" t="s">
        <v>9256</v>
      </c>
      <c r="Q2023" s="36"/>
      <c r="R2023" s="36"/>
      <c r="S2023" s="33" t="s">
        <v>9257</v>
      </c>
      <c r="T2023" s="38" t="s">
        <v>12693</v>
      </c>
    </row>
    <row r="2024" spans="1:20" x14ac:dyDescent="0.25">
      <c r="A2024" s="39" t="s">
        <v>10115</v>
      </c>
      <c r="B2024" s="39" t="s">
        <v>10117</v>
      </c>
      <c r="C2024" s="39" t="s">
        <v>9383</v>
      </c>
      <c r="D2024" s="36"/>
      <c r="E2024" s="39">
        <v>2021</v>
      </c>
      <c r="F2024" s="40"/>
      <c r="G2024" s="40"/>
      <c r="H2024" s="36"/>
      <c r="I2024" s="40"/>
      <c r="J2024" s="36"/>
      <c r="K2024" s="36"/>
      <c r="L2024" s="36"/>
      <c r="M2024" s="34"/>
      <c r="N2024" s="41" t="s">
        <v>10118</v>
      </c>
      <c r="O2024" s="39" t="s">
        <v>10116</v>
      </c>
      <c r="P2024" s="33"/>
      <c r="Q2024" s="36"/>
      <c r="R2024" s="34"/>
      <c r="S2024" s="38"/>
      <c r="T2024" s="38" t="s">
        <v>12689</v>
      </c>
    </row>
    <row r="2025" spans="1:20" x14ac:dyDescent="0.25">
      <c r="A2025" s="33" t="s">
        <v>6123</v>
      </c>
      <c r="B2025" s="33" t="s">
        <v>6122</v>
      </c>
      <c r="C2025" s="33" t="s">
        <v>141</v>
      </c>
      <c r="D2025" s="34"/>
      <c r="E2025" s="33">
        <v>2018</v>
      </c>
      <c r="F2025" s="34"/>
      <c r="G2025" s="34"/>
      <c r="H2025" s="33">
        <v>61</v>
      </c>
      <c r="I2025" s="44" t="s">
        <v>12722</v>
      </c>
      <c r="J2025" s="33">
        <v>2018</v>
      </c>
      <c r="K2025" s="33">
        <v>9781450357135</v>
      </c>
      <c r="L2025" s="33" t="s">
        <v>11109</v>
      </c>
      <c r="M2025" s="34"/>
      <c r="N2025" s="37" t="s">
        <v>11195</v>
      </c>
      <c r="O2025" s="33" t="s">
        <v>11196</v>
      </c>
      <c r="P2025" s="33" t="s">
        <v>11197</v>
      </c>
      <c r="Q2025" s="36"/>
      <c r="R2025" s="36"/>
      <c r="S2025" s="34"/>
      <c r="T2025" s="33" t="s">
        <v>12692</v>
      </c>
    </row>
    <row r="2026" spans="1:20" x14ac:dyDescent="0.25">
      <c r="A2026" s="33" t="s">
        <v>6123</v>
      </c>
      <c r="B2026" s="33" t="s">
        <v>6122</v>
      </c>
      <c r="C2026" s="33" t="s">
        <v>141</v>
      </c>
      <c r="D2026" s="34"/>
      <c r="E2026" s="33">
        <v>2018</v>
      </c>
      <c r="F2026" s="34"/>
      <c r="G2026" s="34"/>
      <c r="H2026" s="33" t="s">
        <v>6124</v>
      </c>
      <c r="I2026" s="33" t="s">
        <v>6125</v>
      </c>
      <c r="J2026" s="43">
        <v>43221</v>
      </c>
      <c r="K2026" s="36"/>
      <c r="L2026" s="36"/>
      <c r="M2026" s="34"/>
      <c r="N2026" s="34"/>
      <c r="O2026" s="34"/>
      <c r="P2026" s="33" t="s">
        <v>6126</v>
      </c>
      <c r="Q2026" s="36"/>
      <c r="R2026" s="36"/>
      <c r="S2026" s="33" t="s">
        <v>6127</v>
      </c>
      <c r="T2026" s="38" t="s">
        <v>12688</v>
      </c>
    </row>
    <row r="2027" spans="1:20" x14ac:dyDescent="0.25">
      <c r="A2027" s="33" t="s">
        <v>8933</v>
      </c>
      <c r="B2027" s="33" t="s">
        <v>8932</v>
      </c>
      <c r="C2027" s="33" t="s">
        <v>13</v>
      </c>
      <c r="D2027" s="33" t="s">
        <v>354</v>
      </c>
      <c r="E2027" s="33">
        <v>2023</v>
      </c>
      <c r="F2027" s="34"/>
      <c r="G2027" s="36"/>
      <c r="H2027" s="33">
        <v>111615</v>
      </c>
      <c r="I2027" s="36"/>
      <c r="J2027" s="33">
        <v>2023</v>
      </c>
      <c r="K2027" s="34"/>
      <c r="L2027" s="34"/>
      <c r="M2027" s="33" t="s">
        <v>65</v>
      </c>
      <c r="N2027" s="37" t="s">
        <v>8934</v>
      </c>
      <c r="O2027" s="33" t="s">
        <v>8935</v>
      </c>
      <c r="P2027" s="33" t="s">
        <v>8936</v>
      </c>
      <c r="Q2027" s="36"/>
      <c r="R2027" s="36"/>
      <c r="S2027" s="33" t="s">
        <v>8937</v>
      </c>
      <c r="T2027" s="38" t="s">
        <v>12693</v>
      </c>
    </row>
    <row r="2028" spans="1:20" x14ac:dyDescent="0.25">
      <c r="A2028" s="39" t="s">
        <v>10531</v>
      </c>
      <c r="B2028" s="39" t="s">
        <v>10533</v>
      </c>
      <c r="C2028" s="39" t="s">
        <v>539</v>
      </c>
      <c r="D2028" s="36"/>
      <c r="E2028" s="39">
        <v>2022</v>
      </c>
      <c r="F2028" s="40"/>
      <c r="G2028" s="40"/>
      <c r="H2028" s="36"/>
      <c r="I2028" s="39" t="s">
        <v>10138</v>
      </c>
      <c r="J2028" s="36"/>
      <c r="K2028" s="36"/>
      <c r="L2028" s="36"/>
      <c r="M2028" s="34"/>
      <c r="N2028" s="41" t="s">
        <v>10534</v>
      </c>
      <c r="O2028" s="39" t="s">
        <v>10532</v>
      </c>
      <c r="P2028" s="33"/>
      <c r="Q2028" s="36"/>
      <c r="R2028" s="34"/>
      <c r="S2028" s="38"/>
      <c r="T2028" s="38" t="s">
        <v>12689</v>
      </c>
    </row>
    <row r="2029" spans="1:20" x14ac:dyDescent="0.25">
      <c r="A2029" s="33" t="s">
        <v>4265</v>
      </c>
      <c r="B2029" s="33" t="s">
        <v>4264</v>
      </c>
      <c r="C2029" s="33" t="s">
        <v>13</v>
      </c>
      <c r="D2029" s="33" t="s">
        <v>4266</v>
      </c>
      <c r="E2029" s="33">
        <v>2019</v>
      </c>
      <c r="F2029" s="33">
        <v>11</v>
      </c>
      <c r="G2029" s="33">
        <v>1</v>
      </c>
      <c r="H2029" s="33" t="s">
        <v>4267</v>
      </c>
      <c r="I2029" s="33" t="s">
        <v>4268</v>
      </c>
      <c r="J2029" s="33">
        <v>2019</v>
      </c>
      <c r="K2029" s="34"/>
      <c r="L2029" s="34"/>
      <c r="M2029" s="33" t="s">
        <v>4269</v>
      </c>
      <c r="N2029" s="37" t="s">
        <v>4270</v>
      </c>
      <c r="O2029" s="33" t="s">
        <v>4271</v>
      </c>
      <c r="P2029" s="33" t="s">
        <v>4272</v>
      </c>
      <c r="Q2029" s="33" t="s">
        <v>2830</v>
      </c>
      <c r="R2029" s="34"/>
      <c r="S2029" s="38"/>
      <c r="T2029" s="38" t="s">
        <v>12690</v>
      </c>
    </row>
    <row r="2030" spans="1:20" x14ac:dyDescent="0.25">
      <c r="A2030" s="39" t="s">
        <v>4265</v>
      </c>
      <c r="B2030" s="39" t="s">
        <v>9720</v>
      </c>
      <c r="C2030" s="39" t="s">
        <v>539</v>
      </c>
      <c r="D2030" s="36"/>
      <c r="E2030" s="39">
        <v>2019</v>
      </c>
      <c r="F2030" s="40"/>
      <c r="G2030" s="40"/>
      <c r="H2030" s="36"/>
      <c r="I2030" s="39" t="s">
        <v>4266</v>
      </c>
      <c r="J2030" s="36"/>
      <c r="K2030" s="36"/>
      <c r="L2030" s="36"/>
      <c r="M2030" s="34"/>
      <c r="N2030" s="41" t="s">
        <v>9721</v>
      </c>
      <c r="O2030" s="39" t="s">
        <v>9719</v>
      </c>
      <c r="P2030" s="33"/>
      <c r="Q2030" s="36"/>
      <c r="R2030" s="34"/>
      <c r="S2030" s="38"/>
      <c r="T2030" s="38" t="s">
        <v>12689</v>
      </c>
    </row>
    <row r="2031" spans="1:20" x14ac:dyDescent="0.25">
      <c r="A2031" s="39" t="s">
        <v>9737</v>
      </c>
      <c r="B2031" s="39" t="s">
        <v>9739</v>
      </c>
      <c r="C2031" s="39" t="s">
        <v>539</v>
      </c>
      <c r="D2031" s="36"/>
      <c r="E2031" s="39">
        <v>2021</v>
      </c>
      <c r="F2031" s="40"/>
      <c r="G2031" s="40"/>
      <c r="H2031" s="36"/>
      <c r="I2031" s="39" t="s">
        <v>1870</v>
      </c>
      <c r="J2031" s="36"/>
      <c r="K2031" s="36"/>
      <c r="L2031" s="36"/>
      <c r="M2031" s="34"/>
      <c r="N2031" s="41" t="s">
        <v>9740</v>
      </c>
      <c r="O2031" s="39" t="s">
        <v>9738</v>
      </c>
      <c r="P2031" s="33"/>
      <c r="Q2031" s="36"/>
      <c r="R2031" s="34"/>
      <c r="S2031" s="38"/>
      <c r="T2031" s="38" t="s">
        <v>12689</v>
      </c>
    </row>
    <row r="2032" spans="1:20" x14ac:dyDescent="0.25">
      <c r="A2032" s="33" t="s">
        <v>6555</v>
      </c>
      <c r="B2032" s="33" t="s">
        <v>6554</v>
      </c>
      <c r="C2032" s="33" t="s">
        <v>13</v>
      </c>
      <c r="D2032" s="33" t="s">
        <v>4637</v>
      </c>
      <c r="E2032" s="33">
        <v>2018</v>
      </c>
      <c r="F2032" s="33">
        <v>35</v>
      </c>
      <c r="G2032" s="33">
        <v>6</v>
      </c>
      <c r="H2032" s="42">
        <v>45275</v>
      </c>
      <c r="I2032" s="34"/>
      <c r="J2032" s="35">
        <v>43405</v>
      </c>
      <c r="K2032" s="36"/>
      <c r="L2032" s="36"/>
      <c r="M2032" s="33" t="s">
        <v>6207</v>
      </c>
      <c r="N2032" s="37" t="s">
        <v>6556</v>
      </c>
      <c r="O2032" s="33" t="s">
        <v>6557</v>
      </c>
      <c r="P2032" s="33" t="s">
        <v>6558</v>
      </c>
      <c r="Q2032" s="36"/>
      <c r="R2032" s="36"/>
      <c r="S2032" s="33" t="s">
        <v>6559</v>
      </c>
      <c r="T2032" s="38" t="s">
        <v>12688</v>
      </c>
    </row>
    <row r="2033" spans="1:20" x14ac:dyDescent="0.25">
      <c r="A2033" s="33" t="s">
        <v>6676</v>
      </c>
      <c r="B2033" s="33" t="s">
        <v>6675</v>
      </c>
      <c r="C2033" s="33" t="s">
        <v>141</v>
      </c>
      <c r="D2033" s="34"/>
      <c r="E2033" s="33">
        <v>2021</v>
      </c>
      <c r="F2033" s="34"/>
      <c r="G2033" s="34"/>
      <c r="H2033" s="42">
        <v>44934</v>
      </c>
      <c r="I2033" s="33" t="s">
        <v>6677</v>
      </c>
      <c r="J2033" s="43">
        <v>44317</v>
      </c>
      <c r="K2033" s="36"/>
      <c r="L2033" s="36"/>
      <c r="M2033" s="34"/>
      <c r="N2033" s="37" t="s">
        <v>6678</v>
      </c>
      <c r="O2033" s="33" t="s">
        <v>3810</v>
      </c>
      <c r="P2033" s="33" t="s">
        <v>6679</v>
      </c>
      <c r="Q2033" s="36"/>
      <c r="R2033" s="36"/>
      <c r="S2033" s="33" t="s">
        <v>6680</v>
      </c>
      <c r="T2033" s="38" t="s">
        <v>12688</v>
      </c>
    </row>
    <row r="2034" spans="1:20" x14ac:dyDescent="0.25">
      <c r="A2034" s="33" t="s">
        <v>6676</v>
      </c>
      <c r="B2034" s="33" t="s">
        <v>3806</v>
      </c>
      <c r="C2034" s="33" t="s">
        <v>141</v>
      </c>
      <c r="D2034" s="34"/>
      <c r="E2034" s="33">
        <v>2021</v>
      </c>
      <c r="F2034" s="34"/>
      <c r="G2034" s="34"/>
      <c r="H2034" s="33" t="s">
        <v>3808</v>
      </c>
      <c r="I2034" s="33" t="s">
        <v>257</v>
      </c>
      <c r="J2034" s="33">
        <v>2021</v>
      </c>
      <c r="K2034" s="33">
        <v>9781665444705</v>
      </c>
      <c r="L2034" s="34"/>
      <c r="M2034" s="34"/>
      <c r="N2034" s="37" t="s">
        <v>3809</v>
      </c>
      <c r="O2034" s="33" t="s">
        <v>3810</v>
      </c>
      <c r="P2034" s="33" t="s">
        <v>3811</v>
      </c>
      <c r="Q2034" s="33" t="s">
        <v>1656</v>
      </c>
      <c r="R2034" s="34"/>
      <c r="S2034" s="38"/>
      <c r="T2034" s="38" t="s">
        <v>12690</v>
      </c>
    </row>
    <row r="2035" spans="1:20" x14ac:dyDescent="0.25">
      <c r="A2035" s="33" t="s">
        <v>5989</v>
      </c>
      <c r="B2035" s="33" t="s">
        <v>5988</v>
      </c>
      <c r="C2035" s="33" t="s">
        <v>13</v>
      </c>
      <c r="D2035" s="33" t="s">
        <v>307</v>
      </c>
      <c r="E2035" s="33">
        <v>2016</v>
      </c>
      <c r="F2035" s="33">
        <v>74</v>
      </c>
      <c r="G2035" s="34"/>
      <c r="H2035" s="33" t="s">
        <v>5990</v>
      </c>
      <c r="I2035" s="33" t="s">
        <v>280</v>
      </c>
      <c r="J2035" s="33">
        <v>2016</v>
      </c>
      <c r="K2035" s="34"/>
      <c r="L2035" s="34"/>
      <c r="M2035" s="33" t="s">
        <v>308</v>
      </c>
      <c r="N2035" s="37" t="s">
        <v>5991</v>
      </c>
      <c r="O2035" s="33" t="s">
        <v>5992</v>
      </c>
      <c r="P2035" s="33" t="s">
        <v>5993</v>
      </c>
      <c r="Q2035" s="33" t="s">
        <v>5433</v>
      </c>
      <c r="R2035" s="34"/>
      <c r="S2035" s="38"/>
      <c r="T2035" s="38" t="s">
        <v>12690</v>
      </c>
    </row>
    <row r="2036" spans="1:20" x14ac:dyDescent="0.25">
      <c r="A2036" s="33" t="s">
        <v>4758</v>
      </c>
      <c r="B2036" s="33" t="s">
        <v>4757</v>
      </c>
      <c r="C2036" s="33" t="s">
        <v>141</v>
      </c>
      <c r="D2036" s="34"/>
      <c r="E2036" s="33">
        <v>2019</v>
      </c>
      <c r="F2036" s="45">
        <v>43586</v>
      </c>
      <c r="G2036" s="34"/>
      <c r="H2036" s="33" t="s">
        <v>4759</v>
      </c>
      <c r="I2036" s="33" t="s">
        <v>196</v>
      </c>
      <c r="J2036" s="33">
        <v>2019</v>
      </c>
      <c r="K2036" s="33">
        <v>9781728134123</v>
      </c>
      <c r="L2036" s="34"/>
      <c r="M2036" s="33" t="s">
        <v>4352</v>
      </c>
      <c r="N2036" s="37" t="s">
        <v>4760</v>
      </c>
      <c r="O2036" s="33" t="s">
        <v>4761</v>
      </c>
      <c r="P2036" s="33" t="s">
        <v>4762</v>
      </c>
      <c r="Q2036" s="33" t="s">
        <v>2420</v>
      </c>
      <c r="R2036" s="34"/>
      <c r="S2036" s="38"/>
      <c r="T2036" s="38" t="s">
        <v>12690</v>
      </c>
    </row>
    <row r="2037" spans="1:20" x14ac:dyDescent="0.25">
      <c r="A2037" s="39" t="s">
        <v>9747</v>
      </c>
      <c r="B2037" s="39" t="s">
        <v>9749</v>
      </c>
      <c r="C2037" s="39" t="s">
        <v>539</v>
      </c>
      <c r="D2037" s="36"/>
      <c r="E2037" s="39">
        <v>2020</v>
      </c>
      <c r="F2037" s="40"/>
      <c r="G2037" s="40"/>
      <c r="H2037" s="36"/>
      <c r="I2037" s="40"/>
      <c r="J2037" s="36"/>
      <c r="K2037" s="36"/>
      <c r="L2037" s="36"/>
      <c r="M2037" s="34"/>
      <c r="N2037" s="41" t="s">
        <v>9750</v>
      </c>
      <c r="O2037" s="39" t="s">
        <v>9748</v>
      </c>
      <c r="P2037" s="33"/>
      <c r="Q2037" s="36"/>
      <c r="R2037" s="34"/>
      <c r="S2037" s="38"/>
      <c r="T2037" s="38" t="s">
        <v>12689</v>
      </c>
    </row>
    <row r="2038" spans="1:20" x14ac:dyDescent="0.25">
      <c r="A2038" s="33" t="s">
        <v>11389</v>
      </c>
      <c r="B2038" s="33" t="s">
        <v>11388</v>
      </c>
      <c r="C2038" s="33" t="s">
        <v>141</v>
      </c>
      <c r="D2038" s="34"/>
      <c r="E2038" s="33">
        <v>2022</v>
      </c>
      <c r="F2038" s="34"/>
      <c r="G2038" s="34"/>
      <c r="H2038" s="33" t="s">
        <v>11390</v>
      </c>
      <c r="I2038" s="44" t="s">
        <v>12778</v>
      </c>
      <c r="J2038" s="33">
        <v>2022</v>
      </c>
      <c r="K2038" s="33">
        <v>9781450398787</v>
      </c>
      <c r="L2038" s="33" t="s">
        <v>11397</v>
      </c>
      <c r="M2038" s="34"/>
      <c r="N2038" s="37" t="s">
        <v>11393</v>
      </c>
      <c r="O2038" s="33" t="s">
        <v>11394</v>
      </c>
      <c r="P2038" s="33" t="s">
        <v>11395</v>
      </c>
      <c r="Q2038" s="36"/>
      <c r="R2038" s="36"/>
      <c r="S2038" s="33" t="s">
        <v>11396</v>
      </c>
      <c r="T2038" s="33" t="s">
        <v>12692</v>
      </c>
    </row>
    <row r="2039" spans="1:20" x14ac:dyDescent="0.25">
      <c r="A2039" s="33" t="s">
        <v>7249</v>
      </c>
      <c r="B2039" s="33" t="s">
        <v>6014</v>
      </c>
      <c r="C2039" s="33" t="s">
        <v>13</v>
      </c>
      <c r="D2039" s="33" t="s">
        <v>255</v>
      </c>
      <c r="E2039" s="33">
        <v>2018</v>
      </c>
      <c r="F2039" s="33">
        <v>44</v>
      </c>
      <c r="G2039" s="33">
        <v>10</v>
      </c>
      <c r="H2039" s="33" t="s">
        <v>7250</v>
      </c>
      <c r="I2039" s="34"/>
      <c r="J2039" s="35">
        <v>43374</v>
      </c>
      <c r="K2039" s="36"/>
      <c r="L2039" s="36"/>
      <c r="M2039" s="33" t="s">
        <v>6115</v>
      </c>
      <c r="N2039" s="37" t="s">
        <v>7251</v>
      </c>
      <c r="O2039" s="33" t="s">
        <v>6018</v>
      </c>
      <c r="P2039" s="33" t="s">
        <v>7252</v>
      </c>
      <c r="Q2039" s="36"/>
      <c r="R2039" s="36"/>
      <c r="S2039" s="33" t="s">
        <v>7253</v>
      </c>
      <c r="T2039" s="38" t="s">
        <v>12688</v>
      </c>
    </row>
    <row r="2040" spans="1:20" x14ac:dyDescent="0.25">
      <c r="A2040" s="33" t="s">
        <v>7249</v>
      </c>
      <c r="B2040" s="33" t="s">
        <v>6014</v>
      </c>
      <c r="C2040" s="33" t="s">
        <v>13</v>
      </c>
      <c r="D2040" s="33" t="s">
        <v>255</v>
      </c>
      <c r="E2040" s="33">
        <v>2018</v>
      </c>
      <c r="F2040" s="33">
        <v>44</v>
      </c>
      <c r="G2040" s="33">
        <v>10</v>
      </c>
      <c r="H2040" s="33" t="s">
        <v>6016</v>
      </c>
      <c r="I2040" s="33" t="s">
        <v>257</v>
      </c>
      <c r="J2040" s="33">
        <v>2018</v>
      </c>
      <c r="K2040" s="34"/>
      <c r="L2040" s="34"/>
      <c r="M2040" s="33" t="s">
        <v>18</v>
      </c>
      <c r="N2040" s="37" t="s">
        <v>6017</v>
      </c>
      <c r="O2040" s="33" t="s">
        <v>6018</v>
      </c>
      <c r="P2040" s="33" t="s">
        <v>6019</v>
      </c>
      <c r="Q2040" s="33" t="s">
        <v>6020</v>
      </c>
      <c r="R2040" s="34"/>
      <c r="S2040" s="38"/>
      <c r="T2040" s="38" t="s">
        <v>12690</v>
      </c>
    </row>
    <row r="2041" spans="1:20" x14ac:dyDescent="0.25">
      <c r="A2041" s="33" t="s">
        <v>3909</v>
      </c>
      <c r="B2041" s="33" t="s">
        <v>3908</v>
      </c>
      <c r="C2041" s="33" t="s">
        <v>141</v>
      </c>
      <c r="D2041" s="34"/>
      <c r="E2041" s="33">
        <v>2020</v>
      </c>
      <c r="F2041" s="34"/>
      <c r="G2041" s="34"/>
      <c r="H2041" s="33" t="s">
        <v>3910</v>
      </c>
      <c r="I2041" s="33" t="s">
        <v>153</v>
      </c>
      <c r="J2041" s="33">
        <v>2020</v>
      </c>
      <c r="K2041" s="33">
        <v>9781450379571</v>
      </c>
      <c r="L2041" s="34"/>
      <c r="M2041" s="34"/>
      <c r="N2041" s="37" t="s">
        <v>3911</v>
      </c>
      <c r="O2041" s="33" t="s">
        <v>3912</v>
      </c>
      <c r="P2041" s="33" t="s">
        <v>3913</v>
      </c>
      <c r="Q2041" s="33" t="s">
        <v>2811</v>
      </c>
      <c r="R2041" s="34"/>
      <c r="S2041" s="38"/>
      <c r="T2041" s="38" t="s">
        <v>12690</v>
      </c>
    </row>
    <row r="2042" spans="1:20" x14ac:dyDescent="0.25">
      <c r="A2042" s="39" t="s">
        <v>3895</v>
      </c>
      <c r="B2042" s="39" t="s">
        <v>10388</v>
      </c>
      <c r="C2042" s="39" t="s">
        <v>9539</v>
      </c>
      <c r="D2042" s="36"/>
      <c r="E2042" s="39">
        <v>2020</v>
      </c>
      <c r="F2042" s="40"/>
      <c r="G2042" s="40"/>
      <c r="H2042" s="36"/>
      <c r="I2042" s="39" t="s">
        <v>10387</v>
      </c>
      <c r="J2042" s="36"/>
      <c r="K2042" s="36"/>
      <c r="L2042" s="36"/>
      <c r="M2042" s="34"/>
      <c r="N2042" s="41" t="s">
        <v>10389</v>
      </c>
      <c r="O2042" s="39" t="s">
        <v>3899</v>
      </c>
      <c r="P2042" s="33"/>
      <c r="Q2042" s="36"/>
      <c r="R2042" s="34"/>
      <c r="S2042" s="38"/>
      <c r="T2042" s="38" t="s">
        <v>12689</v>
      </c>
    </row>
    <row r="2043" spans="1:20" x14ac:dyDescent="0.25">
      <c r="A2043" s="33" t="s">
        <v>3895</v>
      </c>
      <c r="B2043" s="33" t="s">
        <v>3894</v>
      </c>
      <c r="C2043" s="33" t="s">
        <v>13</v>
      </c>
      <c r="D2043" s="33" t="s">
        <v>209</v>
      </c>
      <c r="E2043" s="33">
        <v>2020</v>
      </c>
      <c r="F2043" s="33" t="s">
        <v>3896</v>
      </c>
      <c r="G2043" s="33">
        <v>1</v>
      </c>
      <c r="H2043" s="33" t="s">
        <v>3897</v>
      </c>
      <c r="I2043" s="33" t="s">
        <v>212</v>
      </c>
      <c r="J2043" s="33">
        <v>2020</v>
      </c>
      <c r="K2043" s="34"/>
      <c r="L2043" s="34"/>
      <c r="M2043" s="33" t="s">
        <v>213</v>
      </c>
      <c r="N2043" s="37" t="s">
        <v>3898</v>
      </c>
      <c r="O2043" s="33" t="s">
        <v>3899</v>
      </c>
      <c r="P2043" s="33" t="s">
        <v>3900</v>
      </c>
      <c r="Q2043" s="33" t="s">
        <v>1598</v>
      </c>
      <c r="R2043" s="34"/>
      <c r="S2043" s="38"/>
      <c r="T2043" s="38" t="s">
        <v>12690</v>
      </c>
    </row>
    <row r="2044" spans="1:20" x14ac:dyDescent="0.25">
      <c r="A2044" s="33" t="s">
        <v>11892</v>
      </c>
      <c r="B2044" s="33" t="s">
        <v>11891</v>
      </c>
      <c r="C2044" s="33" t="s">
        <v>141</v>
      </c>
      <c r="D2044" s="34"/>
      <c r="E2044" s="33">
        <v>2020</v>
      </c>
      <c r="F2044" s="34"/>
      <c r="G2044" s="34"/>
      <c r="H2044" s="33" t="s">
        <v>11893</v>
      </c>
      <c r="I2044" s="44" t="s">
        <v>12793</v>
      </c>
      <c r="J2044" s="33">
        <v>2020</v>
      </c>
      <c r="K2044" s="33">
        <v>9781450379588</v>
      </c>
      <c r="L2044" s="33" t="s">
        <v>11899</v>
      </c>
      <c r="M2044" s="34"/>
      <c r="N2044" s="37" t="s">
        <v>11895</v>
      </c>
      <c r="O2044" s="33" t="s">
        <v>11896</v>
      </c>
      <c r="P2044" s="33" t="s">
        <v>11897</v>
      </c>
      <c r="Q2044" s="36"/>
      <c r="R2044" s="36"/>
      <c r="S2044" s="33" t="s">
        <v>11898</v>
      </c>
      <c r="T2044" s="33" t="s">
        <v>12692</v>
      </c>
    </row>
    <row r="2045" spans="1:20" x14ac:dyDescent="0.25">
      <c r="A2045" s="39" t="s">
        <v>10564</v>
      </c>
      <c r="B2045" s="39" t="s">
        <v>10566</v>
      </c>
      <c r="C2045" s="39" t="s">
        <v>9478</v>
      </c>
      <c r="D2045" s="36"/>
      <c r="E2045" s="39">
        <v>2021</v>
      </c>
      <c r="F2045" s="39">
        <v>26</v>
      </c>
      <c r="G2045" s="39">
        <v>5</v>
      </c>
      <c r="H2045" s="36"/>
      <c r="I2045" s="39" t="s">
        <v>136</v>
      </c>
      <c r="J2045" s="36"/>
      <c r="K2045" s="36"/>
      <c r="L2045" s="36"/>
      <c r="M2045" s="34"/>
      <c r="N2045" s="41" t="s">
        <v>10567</v>
      </c>
      <c r="O2045" s="39" t="s">
        <v>10565</v>
      </c>
      <c r="P2045" s="33"/>
      <c r="Q2045" s="36"/>
      <c r="R2045" s="34"/>
      <c r="S2045" s="38"/>
      <c r="T2045" s="38" t="s">
        <v>12689</v>
      </c>
    </row>
    <row r="2046" spans="1:20" x14ac:dyDescent="0.25">
      <c r="A2046" s="33" t="s">
        <v>754</v>
      </c>
      <c r="B2046" s="33" t="s">
        <v>753</v>
      </c>
      <c r="C2046" s="33" t="s">
        <v>13</v>
      </c>
      <c r="D2046" s="33" t="s">
        <v>755</v>
      </c>
      <c r="E2046" s="33">
        <v>2022</v>
      </c>
      <c r="F2046" s="33">
        <v>38</v>
      </c>
      <c r="G2046" s="33">
        <v>5</v>
      </c>
      <c r="H2046" s="33" t="s">
        <v>756</v>
      </c>
      <c r="I2046" s="33" t="s">
        <v>757</v>
      </c>
      <c r="J2046" s="33">
        <v>2022</v>
      </c>
      <c r="K2046" s="34"/>
      <c r="L2046" s="34"/>
      <c r="M2046" s="33" t="s">
        <v>758</v>
      </c>
      <c r="N2046" s="37" t="s">
        <v>759</v>
      </c>
      <c r="O2046" s="33" t="s">
        <v>760</v>
      </c>
      <c r="P2046" s="33" t="s">
        <v>761</v>
      </c>
      <c r="Q2046" s="33" t="s">
        <v>585</v>
      </c>
      <c r="R2046" s="34"/>
      <c r="S2046" s="38"/>
      <c r="T2046" s="38" t="s">
        <v>12690</v>
      </c>
    </row>
    <row r="2047" spans="1:20" x14ac:dyDescent="0.25">
      <c r="A2047" s="33" t="s">
        <v>5489</v>
      </c>
      <c r="B2047" s="33" t="s">
        <v>5488</v>
      </c>
      <c r="C2047" s="33" t="s">
        <v>13</v>
      </c>
      <c r="D2047" s="33" t="s">
        <v>354</v>
      </c>
      <c r="E2047" s="33">
        <v>2017</v>
      </c>
      <c r="F2047" s="33">
        <v>125</v>
      </c>
      <c r="G2047" s="36"/>
      <c r="H2047" s="33" t="s">
        <v>8947</v>
      </c>
      <c r="I2047" s="36"/>
      <c r="J2047" s="33">
        <v>2017</v>
      </c>
      <c r="K2047" s="34"/>
      <c r="L2047" s="34"/>
      <c r="M2047" s="33" t="s">
        <v>65</v>
      </c>
      <c r="N2047" s="37" t="s">
        <v>8948</v>
      </c>
      <c r="O2047" s="33" t="s">
        <v>5492</v>
      </c>
      <c r="P2047" s="33" t="s">
        <v>8949</v>
      </c>
      <c r="Q2047" s="36"/>
      <c r="R2047" s="36"/>
      <c r="S2047" s="33" t="s">
        <v>8950</v>
      </c>
      <c r="T2047" s="38" t="s">
        <v>12693</v>
      </c>
    </row>
    <row r="2048" spans="1:20" x14ac:dyDescent="0.25">
      <c r="A2048" s="33" t="s">
        <v>5489</v>
      </c>
      <c r="B2048" s="33" t="s">
        <v>5488</v>
      </c>
      <c r="C2048" s="33" t="s">
        <v>13</v>
      </c>
      <c r="D2048" s="33" t="s">
        <v>354</v>
      </c>
      <c r="E2048" s="33">
        <v>2017</v>
      </c>
      <c r="F2048" s="33">
        <v>125</v>
      </c>
      <c r="G2048" s="34"/>
      <c r="H2048" s="33" t="s">
        <v>5490</v>
      </c>
      <c r="I2048" s="33" t="s">
        <v>355</v>
      </c>
      <c r="J2048" s="33">
        <v>2017</v>
      </c>
      <c r="K2048" s="34"/>
      <c r="L2048" s="34"/>
      <c r="M2048" s="33" t="s">
        <v>65</v>
      </c>
      <c r="N2048" s="37" t="s">
        <v>5491</v>
      </c>
      <c r="O2048" s="33" t="s">
        <v>5492</v>
      </c>
      <c r="P2048" s="33" t="s">
        <v>5493</v>
      </c>
      <c r="Q2048" s="33" t="s">
        <v>5494</v>
      </c>
      <c r="R2048" s="34"/>
      <c r="S2048" s="38"/>
      <c r="T2048" s="38" t="s">
        <v>12690</v>
      </c>
    </row>
    <row r="2049" spans="1:20" x14ac:dyDescent="0.25">
      <c r="A2049" s="39" t="s">
        <v>11021</v>
      </c>
      <c r="B2049" s="39" t="s">
        <v>9497</v>
      </c>
      <c r="C2049" s="39" t="s">
        <v>9539</v>
      </c>
      <c r="D2049" s="36"/>
      <c r="E2049" s="39">
        <v>2020</v>
      </c>
      <c r="F2049" s="40"/>
      <c r="G2049" s="40"/>
      <c r="H2049" s="36"/>
      <c r="I2049" s="39" t="s">
        <v>9495</v>
      </c>
      <c r="J2049" s="36"/>
      <c r="K2049" s="36"/>
      <c r="L2049" s="36"/>
      <c r="M2049" s="34"/>
      <c r="N2049" s="41" t="s">
        <v>11023</v>
      </c>
      <c r="O2049" s="39" t="s">
        <v>11022</v>
      </c>
      <c r="P2049" s="33"/>
      <c r="Q2049" s="36"/>
      <c r="R2049" s="34"/>
      <c r="S2049" s="38"/>
      <c r="T2049" s="38" t="s">
        <v>12689</v>
      </c>
    </row>
    <row r="2050" spans="1:20" x14ac:dyDescent="0.25">
      <c r="A2050" s="33" t="s">
        <v>2342</v>
      </c>
      <c r="B2050" s="33" t="s">
        <v>2341</v>
      </c>
      <c r="C2050" s="33" t="s">
        <v>141</v>
      </c>
      <c r="D2050" s="34"/>
      <c r="E2050" s="33">
        <v>2022</v>
      </c>
      <c r="F2050" s="34"/>
      <c r="G2050" s="34"/>
      <c r="H2050" s="33" t="s">
        <v>2343</v>
      </c>
      <c r="I2050" s="33" t="s">
        <v>196</v>
      </c>
      <c r="J2050" s="33">
        <v>2022</v>
      </c>
      <c r="K2050" s="33">
        <v>9781665495981</v>
      </c>
      <c r="L2050" s="34"/>
      <c r="M2050" s="33" t="s">
        <v>1458</v>
      </c>
      <c r="N2050" s="37" t="s">
        <v>2344</v>
      </c>
      <c r="O2050" s="33" t="s">
        <v>2345</v>
      </c>
      <c r="P2050" s="33" t="s">
        <v>2346</v>
      </c>
      <c r="Q2050" s="33" t="s">
        <v>157</v>
      </c>
      <c r="R2050" s="34"/>
      <c r="S2050" s="38"/>
      <c r="T2050" s="38" t="s">
        <v>12690</v>
      </c>
    </row>
    <row r="2051" spans="1:20" x14ac:dyDescent="0.25">
      <c r="A2051" s="33" t="s">
        <v>11127</v>
      </c>
      <c r="B2051" s="33" t="s">
        <v>3189</v>
      </c>
      <c r="C2051" s="33" t="s">
        <v>141</v>
      </c>
      <c r="D2051" s="34"/>
      <c r="E2051" s="33">
        <v>2019</v>
      </c>
      <c r="F2051" s="34"/>
      <c r="G2051" s="34"/>
      <c r="H2051" s="33" t="s">
        <v>11128</v>
      </c>
      <c r="I2051" s="44" t="s">
        <v>12826</v>
      </c>
      <c r="J2051" s="33">
        <v>2019</v>
      </c>
      <c r="K2051" s="33">
        <v>9781450372336</v>
      </c>
      <c r="L2051" s="33" t="s">
        <v>11134</v>
      </c>
      <c r="M2051" s="34"/>
      <c r="N2051" s="37" t="s">
        <v>11131</v>
      </c>
      <c r="O2051" s="33" t="s">
        <v>4952</v>
      </c>
      <c r="P2051" s="33" t="s">
        <v>11132</v>
      </c>
      <c r="Q2051" s="36"/>
      <c r="R2051" s="36"/>
      <c r="S2051" s="33" t="s">
        <v>11133</v>
      </c>
      <c r="T2051" s="33" t="s">
        <v>12692</v>
      </c>
    </row>
    <row r="2052" spans="1:20" x14ac:dyDescent="0.25">
      <c r="A2052" s="33" t="s">
        <v>11127</v>
      </c>
      <c r="B2052" s="33" t="s">
        <v>3189</v>
      </c>
      <c r="C2052" s="33" t="s">
        <v>141</v>
      </c>
      <c r="D2052" s="34"/>
      <c r="E2052" s="33">
        <v>2019</v>
      </c>
      <c r="F2052" s="34"/>
      <c r="G2052" s="34"/>
      <c r="H2052" s="33" t="s">
        <v>4950</v>
      </c>
      <c r="I2052" s="33" t="s">
        <v>145</v>
      </c>
      <c r="J2052" s="33">
        <v>2019</v>
      </c>
      <c r="K2052" s="33">
        <v>9781450372336</v>
      </c>
      <c r="L2052" s="34"/>
      <c r="M2052" s="34"/>
      <c r="N2052" s="37" t="s">
        <v>4951</v>
      </c>
      <c r="O2052" s="33" t="s">
        <v>4952</v>
      </c>
      <c r="P2052" s="33" t="s">
        <v>4953</v>
      </c>
      <c r="Q2052" s="33" t="s">
        <v>4954</v>
      </c>
      <c r="R2052" s="34"/>
      <c r="S2052" s="38"/>
      <c r="T2052" s="38" t="s">
        <v>12690</v>
      </c>
    </row>
    <row r="2053" spans="1:20" x14ac:dyDescent="0.25">
      <c r="A2053" s="33" t="s">
        <v>3640</v>
      </c>
      <c r="B2053" s="33" t="s">
        <v>3639</v>
      </c>
      <c r="C2053" s="33" t="s">
        <v>13</v>
      </c>
      <c r="D2053" s="33" t="s">
        <v>188</v>
      </c>
      <c r="E2053" s="33">
        <v>2021</v>
      </c>
      <c r="F2053" s="33">
        <v>31</v>
      </c>
      <c r="G2053" s="33">
        <v>1</v>
      </c>
      <c r="H2053" s="33" t="s">
        <v>3641</v>
      </c>
      <c r="I2053" s="33" t="s">
        <v>189</v>
      </c>
      <c r="J2053" s="33">
        <v>2021</v>
      </c>
      <c r="K2053" s="34"/>
      <c r="L2053" s="34"/>
      <c r="M2053" s="33" t="s">
        <v>73</v>
      </c>
      <c r="N2053" s="37" t="s">
        <v>3642</v>
      </c>
      <c r="O2053" s="33" t="s">
        <v>3643</v>
      </c>
      <c r="P2053" s="33" t="s">
        <v>3644</v>
      </c>
      <c r="Q2053" s="33" t="s">
        <v>318</v>
      </c>
      <c r="R2053" s="34"/>
      <c r="S2053" s="38"/>
      <c r="T2053" s="38" t="s">
        <v>12690</v>
      </c>
    </row>
    <row r="2054" spans="1:20" x14ac:dyDescent="0.25">
      <c r="A2054" s="33" t="s">
        <v>12544</v>
      </c>
      <c r="B2054" s="33" t="s">
        <v>12543</v>
      </c>
      <c r="C2054" s="33" t="s">
        <v>13</v>
      </c>
      <c r="D2054" s="33" t="s">
        <v>11214</v>
      </c>
      <c r="E2054" s="33">
        <v>2019</v>
      </c>
      <c r="F2054" s="33">
        <v>62</v>
      </c>
      <c r="G2054" s="33">
        <v>7</v>
      </c>
      <c r="H2054" s="33" t="s">
        <v>11402</v>
      </c>
      <c r="I2054" s="44" t="s">
        <v>12710</v>
      </c>
      <c r="J2054" s="43">
        <v>43617</v>
      </c>
      <c r="K2054" s="34"/>
      <c r="L2054" s="34"/>
      <c r="M2054" s="33" t="s">
        <v>11216</v>
      </c>
      <c r="N2054" s="37" t="s">
        <v>12545</v>
      </c>
      <c r="O2054" s="33" t="s">
        <v>12546</v>
      </c>
      <c r="P2054" s="33" t="s">
        <v>12547</v>
      </c>
      <c r="Q2054" s="36"/>
      <c r="R2054" s="36"/>
      <c r="S2054" s="34"/>
      <c r="T2054" s="33" t="s">
        <v>12692</v>
      </c>
    </row>
    <row r="2055" spans="1:20" x14ac:dyDescent="0.25">
      <c r="A2055" s="33" t="s">
        <v>4127</v>
      </c>
      <c r="B2055" s="33" t="s">
        <v>4126</v>
      </c>
      <c r="C2055" s="33" t="s">
        <v>7972</v>
      </c>
      <c r="D2055" s="34"/>
      <c r="E2055" s="33">
        <v>2019</v>
      </c>
      <c r="F2055" s="33">
        <v>47</v>
      </c>
      <c r="G2055" s="36"/>
      <c r="H2055" s="33" t="s">
        <v>8776</v>
      </c>
      <c r="I2055" s="36"/>
      <c r="J2055" s="33">
        <v>2019</v>
      </c>
      <c r="K2055" s="33" t="s">
        <v>8536</v>
      </c>
      <c r="L2055" s="34"/>
      <c r="M2055" s="33" t="s">
        <v>4130</v>
      </c>
      <c r="N2055" s="37" t="s">
        <v>8778</v>
      </c>
      <c r="O2055" s="33" t="s">
        <v>4132</v>
      </c>
      <c r="P2055" s="33" t="s">
        <v>8779</v>
      </c>
      <c r="Q2055" s="36"/>
      <c r="R2055" s="36"/>
      <c r="S2055" s="33" t="s">
        <v>8780</v>
      </c>
      <c r="T2055" s="38" t="s">
        <v>12693</v>
      </c>
    </row>
    <row r="2056" spans="1:20" x14ac:dyDescent="0.25">
      <c r="A2056" s="33" t="s">
        <v>4127</v>
      </c>
      <c r="B2056" s="33" t="s">
        <v>4126</v>
      </c>
      <c r="C2056" s="33" t="s">
        <v>13</v>
      </c>
      <c r="D2056" s="33" t="s">
        <v>4128</v>
      </c>
      <c r="E2056" s="33">
        <v>2019</v>
      </c>
      <c r="F2056" s="33">
        <v>47</v>
      </c>
      <c r="G2056" s="34"/>
      <c r="H2056" s="33" t="s">
        <v>4129</v>
      </c>
      <c r="I2056" s="33" t="s">
        <v>280</v>
      </c>
      <c r="J2056" s="33">
        <v>2019</v>
      </c>
      <c r="K2056" s="34"/>
      <c r="L2056" s="34"/>
      <c r="M2056" s="33" t="s">
        <v>4130</v>
      </c>
      <c r="N2056" s="37" t="s">
        <v>4131</v>
      </c>
      <c r="O2056" s="33" t="s">
        <v>4132</v>
      </c>
      <c r="P2056" s="33" t="s">
        <v>4133</v>
      </c>
      <c r="Q2056" s="33" t="s">
        <v>1573</v>
      </c>
      <c r="R2056" s="34"/>
      <c r="S2056" s="38"/>
      <c r="T2056" s="38" t="s">
        <v>12690</v>
      </c>
    </row>
    <row r="2057" spans="1:20" x14ac:dyDescent="0.25">
      <c r="A2057" s="39" t="s">
        <v>10997</v>
      </c>
      <c r="B2057" s="39" t="s">
        <v>10999</v>
      </c>
      <c r="C2057" s="39" t="s">
        <v>9539</v>
      </c>
      <c r="D2057" s="36"/>
      <c r="E2057" s="39">
        <v>2022</v>
      </c>
      <c r="F2057" s="40"/>
      <c r="G2057" s="40"/>
      <c r="H2057" s="36"/>
      <c r="I2057" s="39" t="s">
        <v>9926</v>
      </c>
      <c r="J2057" s="36"/>
      <c r="K2057" s="36"/>
      <c r="L2057" s="36"/>
      <c r="M2057" s="34"/>
      <c r="N2057" s="41" t="s">
        <v>11000</v>
      </c>
      <c r="O2057" s="39" t="s">
        <v>10998</v>
      </c>
      <c r="P2057" s="33"/>
      <c r="Q2057" s="36"/>
      <c r="R2057" s="34"/>
      <c r="S2057" s="38"/>
      <c r="T2057" s="38" t="s">
        <v>12689</v>
      </c>
    </row>
    <row r="2058" spans="1:20" x14ac:dyDescent="0.25">
      <c r="A2058" s="39" t="s">
        <v>9855</v>
      </c>
      <c r="B2058" s="39" t="s">
        <v>9857</v>
      </c>
      <c r="C2058" s="39" t="s">
        <v>539</v>
      </c>
      <c r="D2058" s="36"/>
      <c r="E2058" s="39">
        <v>2022</v>
      </c>
      <c r="F2058" s="40"/>
      <c r="G2058" s="40"/>
      <c r="H2058" s="36"/>
      <c r="I2058" s="40"/>
      <c r="J2058" s="36"/>
      <c r="K2058" s="36"/>
      <c r="L2058" s="36"/>
      <c r="M2058" s="34"/>
      <c r="N2058" s="41" t="s">
        <v>9858</v>
      </c>
      <c r="O2058" s="39" t="s">
        <v>9856</v>
      </c>
      <c r="P2058" s="33"/>
      <c r="Q2058" s="36"/>
      <c r="R2058" s="34"/>
      <c r="S2058" s="38"/>
      <c r="T2058" s="38" t="s">
        <v>12689</v>
      </c>
    </row>
    <row r="2059" spans="1:20" x14ac:dyDescent="0.25">
      <c r="A2059" s="33" t="s">
        <v>4205</v>
      </c>
      <c r="B2059" s="33" t="s">
        <v>4204</v>
      </c>
      <c r="C2059" s="33" t="s">
        <v>539</v>
      </c>
      <c r="D2059" s="34"/>
      <c r="E2059" s="33">
        <v>2020</v>
      </c>
      <c r="F2059" s="34"/>
      <c r="G2059" s="34"/>
      <c r="H2059" s="34"/>
      <c r="I2059" s="33" t="s">
        <v>4206</v>
      </c>
      <c r="J2059" s="33">
        <v>2020</v>
      </c>
      <c r="K2059" s="33">
        <v>9783030369187</v>
      </c>
      <c r="L2059" s="33">
        <v>9783030369170</v>
      </c>
      <c r="M2059" s="34"/>
      <c r="N2059" s="37" t="s">
        <v>4207</v>
      </c>
      <c r="O2059" s="33" t="s">
        <v>4208</v>
      </c>
      <c r="P2059" s="33" t="s">
        <v>4209</v>
      </c>
      <c r="Q2059" s="33" t="s">
        <v>1094</v>
      </c>
      <c r="R2059" s="33" t="s">
        <v>4210</v>
      </c>
      <c r="S2059" s="38"/>
      <c r="T2059" s="38" t="s">
        <v>12690</v>
      </c>
    </row>
    <row r="2060" spans="1:20" x14ac:dyDescent="0.25">
      <c r="A2060" s="39" t="s">
        <v>10101</v>
      </c>
      <c r="B2060" s="39" t="s">
        <v>10103</v>
      </c>
      <c r="C2060" s="39" t="s">
        <v>9478</v>
      </c>
      <c r="D2060" s="36"/>
      <c r="E2060" s="39">
        <v>2020</v>
      </c>
      <c r="F2060" s="39">
        <v>25</v>
      </c>
      <c r="G2060" s="39">
        <v>5</v>
      </c>
      <c r="H2060" s="36"/>
      <c r="I2060" s="39" t="s">
        <v>136</v>
      </c>
      <c r="J2060" s="36"/>
      <c r="K2060" s="36"/>
      <c r="L2060" s="36"/>
      <c r="M2060" s="34"/>
      <c r="N2060" s="41" t="s">
        <v>10104</v>
      </c>
      <c r="O2060" s="39" t="s">
        <v>10102</v>
      </c>
      <c r="P2060" s="33"/>
      <c r="Q2060" s="36"/>
      <c r="R2060" s="34"/>
      <c r="S2060" s="38"/>
      <c r="T2060" s="38" t="s">
        <v>12689</v>
      </c>
    </row>
    <row r="2061" spans="1:20" x14ac:dyDescent="0.25">
      <c r="A2061" s="33" t="s">
        <v>12400</v>
      </c>
      <c r="B2061" s="33" t="s">
        <v>12399</v>
      </c>
      <c r="C2061" s="33" t="s">
        <v>141</v>
      </c>
      <c r="D2061" s="34"/>
      <c r="E2061" s="33">
        <v>2021</v>
      </c>
      <c r="F2061" s="34"/>
      <c r="G2061" s="34"/>
      <c r="H2061" s="33" t="s">
        <v>12401</v>
      </c>
      <c r="I2061" s="44" t="s">
        <v>12746</v>
      </c>
      <c r="J2061" s="33">
        <v>2021</v>
      </c>
      <c r="K2061" s="33">
        <v>9781450386586</v>
      </c>
      <c r="L2061" s="33" t="s">
        <v>11659</v>
      </c>
      <c r="M2061" s="34"/>
      <c r="N2061" s="37" t="s">
        <v>12402</v>
      </c>
      <c r="O2061" s="33" t="s">
        <v>12403</v>
      </c>
      <c r="P2061" s="34"/>
      <c r="Q2061" s="36"/>
      <c r="R2061" s="36"/>
      <c r="S2061" s="33" t="s">
        <v>12404</v>
      </c>
      <c r="T2061" s="33" t="s">
        <v>12692</v>
      </c>
    </row>
    <row r="2062" spans="1:20" x14ac:dyDescent="0.25">
      <c r="A2062" s="33" t="s">
        <v>8965</v>
      </c>
      <c r="B2062" s="33" t="s">
        <v>8964</v>
      </c>
      <c r="C2062" s="33" t="s">
        <v>13</v>
      </c>
      <c r="D2062" s="33" t="s">
        <v>354</v>
      </c>
      <c r="E2062" s="33">
        <v>2020</v>
      </c>
      <c r="F2062" s="33">
        <v>166</v>
      </c>
      <c r="G2062" s="36"/>
      <c r="H2062" s="33">
        <v>110596</v>
      </c>
      <c r="I2062" s="36"/>
      <c r="J2062" s="33">
        <v>2020</v>
      </c>
      <c r="K2062" s="34"/>
      <c r="L2062" s="34"/>
      <c r="M2062" s="33" t="s">
        <v>65</v>
      </c>
      <c r="N2062" s="37" t="s">
        <v>8966</v>
      </c>
      <c r="O2062" s="33" t="s">
        <v>8967</v>
      </c>
      <c r="P2062" s="33" t="s">
        <v>8968</v>
      </c>
      <c r="Q2062" s="36"/>
      <c r="R2062" s="36"/>
      <c r="S2062" s="33" t="s">
        <v>8969</v>
      </c>
      <c r="T2062" s="38" t="s">
        <v>12693</v>
      </c>
    </row>
    <row r="2063" spans="1:20" x14ac:dyDescent="0.25">
      <c r="A2063" s="39" t="s">
        <v>10553</v>
      </c>
      <c r="B2063" s="39" t="s">
        <v>10555</v>
      </c>
      <c r="C2063" s="39" t="s">
        <v>9478</v>
      </c>
      <c r="D2063" s="36"/>
      <c r="E2063" s="39">
        <v>2020</v>
      </c>
      <c r="F2063" s="39">
        <v>25</v>
      </c>
      <c r="G2063" s="39">
        <v>3</v>
      </c>
      <c r="H2063" s="36"/>
      <c r="I2063" s="39" t="s">
        <v>136</v>
      </c>
      <c r="J2063" s="36"/>
      <c r="K2063" s="36"/>
      <c r="L2063" s="36"/>
      <c r="M2063" s="34"/>
      <c r="N2063" s="41" t="s">
        <v>10556</v>
      </c>
      <c r="O2063" s="39" t="s">
        <v>10554</v>
      </c>
      <c r="P2063" s="33"/>
      <c r="Q2063" s="36"/>
      <c r="R2063" s="34"/>
      <c r="S2063" s="38"/>
      <c r="T2063" s="38" t="s">
        <v>12689</v>
      </c>
    </row>
    <row r="2064" spans="1:20" x14ac:dyDescent="0.25">
      <c r="A2064" s="33" t="s">
        <v>12827</v>
      </c>
      <c r="B2064" s="33" t="s">
        <v>4211</v>
      </c>
      <c r="C2064" s="33" t="s">
        <v>13</v>
      </c>
      <c r="D2064" s="33" t="s">
        <v>1870</v>
      </c>
      <c r="E2064" s="33">
        <v>2020</v>
      </c>
      <c r="F2064" s="33" t="s">
        <v>4213</v>
      </c>
      <c r="G2064" s="34"/>
      <c r="H2064" s="33" t="s">
        <v>4214</v>
      </c>
      <c r="I2064" s="33" t="s">
        <v>137</v>
      </c>
      <c r="J2064" s="33">
        <v>2020</v>
      </c>
      <c r="K2064" s="34"/>
      <c r="L2064" s="34"/>
      <c r="M2064" s="33" t="s">
        <v>1873</v>
      </c>
      <c r="N2064" s="37" t="s">
        <v>4215</v>
      </c>
      <c r="O2064" s="33" t="s">
        <v>4216</v>
      </c>
      <c r="P2064" s="33" t="s">
        <v>4217</v>
      </c>
      <c r="Q2064" s="33" t="s">
        <v>2201</v>
      </c>
      <c r="R2064" s="34"/>
      <c r="S2064" s="38"/>
      <c r="T2064" s="38" t="s">
        <v>12690</v>
      </c>
    </row>
    <row r="2065" spans="1:20" x14ac:dyDescent="0.25">
      <c r="A2065" s="39" t="s">
        <v>10734</v>
      </c>
      <c r="B2065" s="39" t="s">
        <v>10736</v>
      </c>
      <c r="C2065" s="39" t="s">
        <v>9539</v>
      </c>
      <c r="D2065" s="36"/>
      <c r="E2065" s="39">
        <v>2018</v>
      </c>
      <c r="F2065" s="40"/>
      <c r="G2065" s="40"/>
      <c r="H2065" s="36"/>
      <c r="I2065" s="39" t="s">
        <v>10733</v>
      </c>
      <c r="J2065" s="36"/>
      <c r="K2065" s="36"/>
      <c r="L2065" s="36"/>
      <c r="M2065" s="34"/>
      <c r="N2065" s="41" t="s">
        <v>10737</v>
      </c>
      <c r="O2065" s="39" t="s">
        <v>10735</v>
      </c>
      <c r="P2065" s="33"/>
      <c r="Q2065" s="36"/>
      <c r="R2065" s="34"/>
      <c r="S2065" s="38"/>
      <c r="T2065" s="38" t="s">
        <v>12689</v>
      </c>
    </row>
    <row r="2066" spans="1:20" x14ac:dyDescent="0.25">
      <c r="A2066" s="39" t="s">
        <v>10956</v>
      </c>
      <c r="B2066" s="39" t="s">
        <v>10736</v>
      </c>
      <c r="C2066" s="39" t="s">
        <v>9539</v>
      </c>
      <c r="D2066" s="36"/>
      <c r="E2066" s="39">
        <v>2018</v>
      </c>
      <c r="F2066" s="40"/>
      <c r="G2066" s="40"/>
      <c r="H2066" s="36"/>
      <c r="I2066" s="39" t="s">
        <v>10733</v>
      </c>
      <c r="J2066" s="36"/>
      <c r="K2066" s="36"/>
      <c r="L2066" s="36"/>
      <c r="M2066" s="34"/>
      <c r="N2066" s="41" t="s">
        <v>10958</v>
      </c>
      <c r="O2066" s="39" t="s">
        <v>10957</v>
      </c>
      <c r="P2066" s="33"/>
      <c r="Q2066" s="36"/>
      <c r="R2066" s="34"/>
      <c r="S2066" s="38"/>
      <c r="T2066" s="38" t="s">
        <v>12689</v>
      </c>
    </row>
    <row r="2067" spans="1:20" x14ac:dyDescent="0.25">
      <c r="A2067" s="33" t="s">
        <v>8216</v>
      </c>
      <c r="B2067" s="33" t="s">
        <v>8215</v>
      </c>
      <c r="C2067" s="33" t="s">
        <v>7972</v>
      </c>
      <c r="D2067" s="34"/>
      <c r="E2067" s="33">
        <v>2021</v>
      </c>
      <c r="F2067" s="34"/>
      <c r="G2067" s="34"/>
      <c r="H2067" s="33" t="s">
        <v>8217</v>
      </c>
      <c r="I2067" s="33" t="s">
        <v>12828</v>
      </c>
      <c r="J2067" s="33">
        <v>2021</v>
      </c>
      <c r="K2067" s="33">
        <v>9781119735427</v>
      </c>
      <c r="L2067" s="36"/>
      <c r="M2067" s="34"/>
      <c r="N2067" s="37" t="s">
        <v>8219</v>
      </c>
      <c r="O2067" s="34"/>
      <c r="P2067" s="33" t="s">
        <v>8220</v>
      </c>
      <c r="Q2067" s="36"/>
      <c r="R2067" s="36"/>
      <c r="S2067" s="33" t="s">
        <v>8221</v>
      </c>
      <c r="T2067" s="38" t="s">
        <v>12688</v>
      </c>
    </row>
    <row r="2068" spans="1:20" x14ac:dyDescent="0.25">
      <c r="A2068" s="39" t="s">
        <v>10886</v>
      </c>
      <c r="B2068" s="39" t="s">
        <v>10008</v>
      </c>
      <c r="C2068" s="39" t="s">
        <v>9539</v>
      </c>
      <c r="D2068" s="36"/>
      <c r="E2068" s="39">
        <v>2019</v>
      </c>
      <c r="F2068" s="40"/>
      <c r="G2068" s="40"/>
      <c r="H2068" s="36"/>
      <c r="I2068" s="39" t="s">
        <v>10885</v>
      </c>
      <c r="J2068" s="36"/>
      <c r="K2068" s="36"/>
      <c r="L2068" s="36"/>
      <c r="M2068" s="34"/>
      <c r="N2068" s="41" t="s">
        <v>10888</v>
      </c>
      <c r="O2068" s="39" t="s">
        <v>10887</v>
      </c>
      <c r="P2068" s="33"/>
      <c r="Q2068" s="36"/>
      <c r="R2068" s="34"/>
      <c r="S2068" s="38"/>
      <c r="T2068" s="38" t="s">
        <v>12689</v>
      </c>
    </row>
    <row r="2069" spans="1:20" x14ac:dyDescent="0.25">
      <c r="A2069" s="33" t="s">
        <v>7261</v>
      </c>
      <c r="B2069" s="33" t="s">
        <v>7260</v>
      </c>
      <c r="C2069" s="33" t="s">
        <v>141</v>
      </c>
      <c r="D2069" s="34"/>
      <c r="E2069" s="33">
        <v>2019</v>
      </c>
      <c r="F2069" s="34"/>
      <c r="G2069" s="34"/>
      <c r="H2069" s="42">
        <v>44936</v>
      </c>
      <c r="I2069" s="33" t="s">
        <v>6274</v>
      </c>
      <c r="J2069" s="43">
        <v>43586</v>
      </c>
      <c r="K2069" s="36"/>
      <c r="L2069" s="36"/>
      <c r="M2069" s="34"/>
      <c r="N2069" s="37" t="s">
        <v>7262</v>
      </c>
      <c r="O2069" s="33" t="s">
        <v>7263</v>
      </c>
      <c r="P2069" s="33" t="s">
        <v>7264</v>
      </c>
      <c r="Q2069" s="36"/>
      <c r="R2069" s="36"/>
      <c r="S2069" s="33" t="s">
        <v>7265</v>
      </c>
      <c r="T2069" s="38" t="s">
        <v>12688</v>
      </c>
    </row>
    <row r="2070" spans="1:20" x14ac:dyDescent="0.25">
      <c r="A2070" s="33" t="s">
        <v>7261</v>
      </c>
      <c r="B2070" s="33" t="s">
        <v>12261</v>
      </c>
      <c r="C2070" s="33" t="s">
        <v>141</v>
      </c>
      <c r="D2070" s="34"/>
      <c r="E2070" s="33">
        <v>2019</v>
      </c>
      <c r="F2070" s="34"/>
      <c r="G2070" s="34"/>
      <c r="H2070" s="33" t="s">
        <v>11155</v>
      </c>
      <c r="I2070" s="44" t="s">
        <v>12810</v>
      </c>
      <c r="J2070" s="33">
        <v>2019</v>
      </c>
      <c r="K2070" s="34"/>
      <c r="L2070" s="33" t="s">
        <v>11152</v>
      </c>
      <c r="M2070" s="34"/>
      <c r="N2070" s="37" t="s">
        <v>12262</v>
      </c>
      <c r="O2070" s="33" t="s">
        <v>7263</v>
      </c>
      <c r="P2070" s="33" t="s">
        <v>12263</v>
      </c>
      <c r="Q2070" s="36"/>
      <c r="R2070" s="36"/>
      <c r="S2070" s="33" t="s">
        <v>12264</v>
      </c>
      <c r="T2070" s="33" t="s">
        <v>12692</v>
      </c>
    </row>
    <row r="2071" spans="1:20" x14ac:dyDescent="0.25">
      <c r="A2071" s="33" t="s">
        <v>3029</v>
      </c>
      <c r="B2071" s="33" t="s">
        <v>3028</v>
      </c>
      <c r="C2071" s="33" t="s">
        <v>141</v>
      </c>
      <c r="D2071" s="34"/>
      <c r="E2071" s="33">
        <v>2020</v>
      </c>
      <c r="F2071" s="34"/>
      <c r="G2071" s="34"/>
      <c r="H2071" s="33" t="s">
        <v>3030</v>
      </c>
      <c r="I2071" s="33" t="s">
        <v>153</v>
      </c>
      <c r="J2071" s="33">
        <v>2020</v>
      </c>
      <c r="K2071" s="33">
        <v>9781450370431</v>
      </c>
      <c r="L2071" s="34"/>
      <c r="M2071" s="34"/>
      <c r="N2071" s="37" t="s">
        <v>3031</v>
      </c>
      <c r="O2071" s="33" t="s">
        <v>3032</v>
      </c>
      <c r="P2071" s="33" t="s">
        <v>3033</v>
      </c>
      <c r="Q2071" s="33" t="s">
        <v>520</v>
      </c>
      <c r="R2071" s="34"/>
      <c r="S2071" s="38"/>
      <c r="T2071" s="38" t="s">
        <v>12690</v>
      </c>
    </row>
    <row r="2072" spans="1:20" x14ac:dyDescent="0.25">
      <c r="A2072" s="33" t="s">
        <v>790</v>
      </c>
      <c r="B2072" s="33" t="s">
        <v>789</v>
      </c>
      <c r="C2072" s="33" t="s">
        <v>13</v>
      </c>
      <c r="D2072" s="33" t="s">
        <v>791</v>
      </c>
      <c r="E2072" s="33">
        <v>2022</v>
      </c>
      <c r="F2072" s="33">
        <v>11</v>
      </c>
      <c r="G2072" s="33">
        <v>18</v>
      </c>
      <c r="H2072" s="34"/>
      <c r="I2072" s="33" t="s">
        <v>228</v>
      </c>
      <c r="J2072" s="33">
        <v>2022</v>
      </c>
      <c r="K2072" s="34"/>
      <c r="L2072" s="34"/>
      <c r="M2072" s="33" t="s">
        <v>792</v>
      </c>
      <c r="N2072" s="37" t="s">
        <v>793</v>
      </c>
      <c r="O2072" s="33" t="s">
        <v>794</v>
      </c>
      <c r="P2072" s="33" t="s">
        <v>795</v>
      </c>
      <c r="Q2072" s="33" t="s">
        <v>285</v>
      </c>
      <c r="R2072" s="34"/>
      <c r="S2072" s="38"/>
      <c r="T2072" s="38" t="s">
        <v>12690</v>
      </c>
    </row>
    <row r="2073" spans="1:20" x14ac:dyDescent="0.25">
      <c r="A2073" s="33" t="s">
        <v>7714</v>
      </c>
      <c r="B2073" s="33" t="s">
        <v>7713</v>
      </c>
      <c r="C2073" s="33" t="s">
        <v>141</v>
      </c>
      <c r="D2073" s="34"/>
      <c r="E2073" s="33">
        <v>2022</v>
      </c>
      <c r="F2073" s="34"/>
      <c r="G2073" s="34"/>
      <c r="H2073" s="33" t="s">
        <v>7715</v>
      </c>
      <c r="I2073" s="33" t="s">
        <v>7716</v>
      </c>
      <c r="J2073" s="43">
        <v>44682</v>
      </c>
      <c r="K2073" s="36"/>
      <c r="L2073" s="36"/>
      <c r="M2073" s="34"/>
      <c r="N2073" s="37" t="s">
        <v>7717</v>
      </c>
      <c r="O2073" s="33" t="s">
        <v>7718</v>
      </c>
      <c r="P2073" s="33" t="s">
        <v>7719</v>
      </c>
      <c r="Q2073" s="36"/>
      <c r="R2073" s="36"/>
      <c r="S2073" s="33" t="s">
        <v>7720</v>
      </c>
      <c r="T2073" s="38" t="s">
        <v>12688</v>
      </c>
    </row>
    <row r="2074" spans="1:20" x14ac:dyDescent="0.25">
      <c r="A2074" s="33" t="s">
        <v>3990</v>
      </c>
      <c r="B2074" s="33" t="s">
        <v>3368</v>
      </c>
      <c r="C2074" s="33" t="s">
        <v>13</v>
      </c>
      <c r="D2074" s="33" t="s">
        <v>925</v>
      </c>
      <c r="E2074" s="33">
        <v>2020</v>
      </c>
      <c r="F2074" s="33">
        <v>9</v>
      </c>
      <c r="G2074" s="33">
        <v>1</v>
      </c>
      <c r="H2074" s="34"/>
      <c r="I2074" s="33" t="s">
        <v>3431</v>
      </c>
      <c r="J2074" s="33">
        <v>2020</v>
      </c>
      <c r="K2074" s="34"/>
      <c r="L2074" s="34"/>
      <c r="M2074" s="33" t="s">
        <v>926</v>
      </c>
      <c r="N2074" s="37" t="s">
        <v>3991</v>
      </c>
      <c r="O2074" s="33" t="s">
        <v>3992</v>
      </c>
      <c r="P2074" s="33" t="s">
        <v>3993</v>
      </c>
      <c r="Q2074" s="33" t="s">
        <v>3994</v>
      </c>
      <c r="R2074" s="34"/>
      <c r="S2074" s="38"/>
      <c r="T2074" s="38" t="s">
        <v>12690</v>
      </c>
    </row>
    <row r="2075" spans="1:20" x14ac:dyDescent="0.25">
      <c r="A2075" s="33" t="s">
        <v>11376</v>
      </c>
      <c r="B2075" s="33" t="s">
        <v>5625</v>
      </c>
      <c r="C2075" s="33" t="s">
        <v>141</v>
      </c>
      <c r="D2075" s="34"/>
      <c r="E2075" s="33">
        <v>2018</v>
      </c>
      <c r="F2075" s="34"/>
      <c r="G2075" s="34"/>
      <c r="H2075" s="33" t="s">
        <v>11377</v>
      </c>
      <c r="I2075" s="44" t="s">
        <v>12829</v>
      </c>
      <c r="J2075" s="33">
        <v>2018</v>
      </c>
      <c r="K2075" s="33">
        <v>9781450350952</v>
      </c>
      <c r="L2075" s="33" t="s">
        <v>11383</v>
      </c>
      <c r="M2075" s="34"/>
      <c r="N2075" s="37" t="s">
        <v>11380</v>
      </c>
      <c r="O2075" s="33" t="s">
        <v>5629</v>
      </c>
      <c r="P2075" s="33" t="s">
        <v>11381</v>
      </c>
      <c r="Q2075" s="36"/>
      <c r="R2075" s="36"/>
      <c r="S2075" s="33" t="s">
        <v>11382</v>
      </c>
      <c r="T2075" s="33" t="s">
        <v>12692</v>
      </c>
    </row>
    <row r="2076" spans="1:20" x14ac:dyDescent="0.25">
      <c r="A2076" s="33" t="s">
        <v>11376</v>
      </c>
      <c r="B2076" s="33" t="s">
        <v>5625</v>
      </c>
      <c r="C2076" s="33" t="s">
        <v>141</v>
      </c>
      <c r="D2076" s="34"/>
      <c r="E2076" s="33">
        <v>2018</v>
      </c>
      <c r="F2076" s="45">
        <v>43160</v>
      </c>
      <c r="G2076" s="34"/>
      <c r="H2076" s="33" t="s">
        <v>5627</v>
      </c>
      <c r="I2076" s="33" t="s">
        <v>153</v>
      </c>
      <c r="J2076" s="33">
        <v>2018</v>
      </c>
      <c r="K2076" s="33">
        <v>9781450350952</v>
      </c>
      <c r="L2076" s="34"/>
      <c r="M2076" s="34"/>
      <c r="N2076" s="37" t="s">
        <v>5628</v>
      </c>
      <c r="O2076" s="33" t="s">
        <v>5629</v>
      </c>
      <c r="P2076" s="33" t="s">
        <v>5630</v>
      </c>
      <c r="Q2076" s="33" t="s">
        <v>3067</v>
      </c>
      <c r="R2076" s="34"/>
      <c r="S2076" s="38"/>
      <c r="T2076" s="38" t="s">
        <v>12690</v>
      </c>
    </row>
    <row r="2077" spans="1:20" x14ac:dyDescent="0.25">
      <c r="A2077" s="33" t="s">
        <v>12548</v>
      </c>
      <c r="B2077" s="33" t="s">
        <v>12543</v>
      </c>
      <c r="C2077" s="33" t="s">
        <v>13</v>
      </c>
      <c r="D2077" s="33" t="s">
        <v>11531</v>
      </c>
      <c r="E2077" s="33">
        <v>2019</v>
      </c>
      <c r="F2077" s="33">
        <v>17</v>
      </c>
      <c r="G2077" s="33">
        <v>1</v>
      </c>
      <c r="H2077" s="33" t="s">
        <v>12549</v>
      </c>
      <c r="I2077" s="44" t="s">
        <v>12710</v>
      </c>
      <c r="J2077" s="43">
        <v>43497</v>
      </c>
      <c r="K2077" s="34"/>
      <c r="L2077" s="34"/>
      <c r="M2077" s="33" t="s">
        <v>11533</v>
      </c>
      <c r="N2077" s="37" t="s">
        <v>12550</v>
      </c>
      <c r="O2077" s="33" t="s">
        <v>12551</v>
      </c>
      <c r="P2077" s="33" t="s">
        <v>12552</v>
      </c>
      <c r="Q2077" s="36"/>
      <c r="R2077" s="36"/>
      <c r="S2077" s="34"/>
      <c r="T2077" s="33" t="s">
        <v>12692</v>
      </c>
    </row>
    <row r="2078" spans="1:20" x14ac:dyDescent="0.25">
      <c r="A2078" s="33" t="s">
        <v>4998</v>
      </c>
      <c r="B2078" s="33" t="s">
        <v>4997</v>
      </c>
      <c r="C2078" s="33" t="s">
        <v>13</v>
      </c>
      <c r="D2078" s="33" t="s">
        <v>2179</v>
      </c>
      <c r="E2078" s="33">
        <v>2019</v>
      </c>
      <c r="F2078" s="33">
        <v>2019</v>
      </c>
      <c r="G2078" s="33">
        <v>4</v>
      </c>
      <c r="H2078" s="34"/>
      <c r="I2078" s="33" t="s">
        <v>2180</v>
      </c>
      <c r="J2078" s="33">
        <v>2019</v>
      </c>
      <c r="K2078" s="34"/>
      <c r="L2078" s="34"/>
      <c r="M2078" s="33" t="s">
        <v>2181</v>
      </c>
      <c r="N2078" s="37" t="s">
        <v>4999</v>
      </c>
      <c r="O2078" s="33" t="s">
        <v>5000</v>
      </c>
      <c r="P2078" s="33" t="s">
        <v>5001</v>
      </c>
      <c r="Q2078" s="33" t="s">
        <v>3452</v>
      </c>
      <c r="R2078" s="34"/>
      <c r="S2078" s="38"/>
      <c r="T2078" s="38" t="s">
        <v>12690</v>
      </c>
    </row>
    <row r="2079" spans="1:20" x14ac:dyDescent="0.25">
      <c r="A2079" s="33" t="s">
        <v>1510</v>
      </c>
      <c r="B2079" s="33" t="s">
        <v>1509</v>
      </c>
      <c r="C2079" s="33" t="s">
        <v>13</v>
      </c>
      <c r="D2079" s="33" t="s">
        <v>1511</v>
      </c>
      <c r="E2079" s="33">
        <v>2021</v>
      </c>
      <c r="F2079" s="33">
        <v>12</v>
      </c>
      <c r="G2079" s="33">
        <v>10</v>
      </c>
      <c r="H2079" s="34"/>
      <c r="I2079" s="33" t="s">
        <v>228</v>
      </c>
      <c r="J2079" s="33">
        <v>2021</v>
      </c>
      <c r="K2079" s="34"/>
      <c r="L2079" s="34"/>
      <c r="M2079" s="33" t="s">
        <v>1512</v>
      </c>
      <c r="N2079" s="37" t="s">
        <v>1513</v>
      </c>
      <c r="O2079" s="33" t="s">
        <v>1514</v>
      </c>
      <c r="P2079" s="33" t="s">
        <v>1515</v>
      </c>
      <c r="Q2079" s="33" t="s">
        <v>285</v>
      </c>
      <c r="R2079" s="34"/>
      <c r="S2079" s="38"/>
      <c r="T2079" s="38" t="s">
        <v>12690</v>
      </c>
    </row>
    <row r="2080" spans="1:20" x14ac:dyDescent="0.25">
      <c r="A2080" s="33" t="s">
        <v>612</v>
      </c>
      <c r="B2080" s="33" t="s">
        <v>611</v>
      </c>
      <c r="C2080" s="33" t="s">
        <v>141</v>
      </c>
      <c r="D2080" s="34"/>
      <c r="E2080" s="33">
        <v>2022</v>
      </c>
      <c r="F2080" s="33">
        <v>3272</v>
      </c>
      <c r="G2080" s="34"/>
      <c r="H2080" s="34"/>
      <c r="I2080" s="33" t="s">
        <v>613</v>
      </c>
      <c r="J2080" s="33">
        <v>2022</v>
      </c>
      <c r="K2080" s="34"/>
      <c r="L2080" s="34"/>
      <c r="M2080" s="33" t="s">
        <v>614</v>
      </c>
      <c r="N2080" s="37" t="s">
        <v>615</v>
      </c>
      <c r="O2080" s="34"/>
      <c r="P2080" s="33" t="s">
        <v>616</v>
      </c>
      <c r="Q2080" s="33" t="s">
        <v>157</v>
      </c>
      <c r="R2080" s="34"/>
      <c r="S2080" s="38"/>
      <c r="T2080" s="38" t="s">
        <v>12690</v>
      </c>
    </row>
    <row r="2081" spans="1:20" x14ac:dyDescent="0.25">
      <c r="A2081" s="33" t="s">
        <v>4818</v>
      </c>
      <c r="B2081" s="33" t="s">
        <v>4817</v>
      </c>
      <c r="C2081" s="33" t="s">
        <v>13</v>
      </c>
      <c r="D2081" s="33" t="s">
        <v>255</v>
      </c>
      <c r="E2081" s="33">
        <v>2019</v>
      </c>
      <c r="F2081" s="33">
        <v>45</v>
      </c>
      <c r="G2081" s="33">
        <v>2</v>
      </c>
      <c r="H2081" s="33" t="s">
        <v>4819</v>
      </c>
      <c r="I2081" s="33" t="s">
        <v>257</v>
      </c>
      <c r="J2081" s="33">
        <v>2019</v>
      </c>
      <c r="K2081" s="34"/>
      <c r="L2081" s="34"/>
      <c r="M2081" s="33" t="s">
        <v>18</v>
      </c>
      <c r="N2081" s="37" t="s">
        <v>4820</v>
      </c>
      <c r="O2081" s="33" t="s">
        <v>4821</v>
      </c>
      <c r="P2081" s="33" t="s">
        <v>4822</v>
      </c>
      <c r="Q2081" s="33" t="s">
        <v>4823</v>
      </c>
      <c r="R2081" s="34"/>
      <c r="S2081" s="38"/>
      <c r="T2081" s="38" t="s">
        <v>12690</v>
      </c>
    </row>
    <row r="2082" spans="1:20" x14ac:dyDescent="0.25">
      <c r="A2082" s="33" t="s">
        <v>1993</v>
      </c>
      <c r="B2082" s="33" t="s">
        <v>1992</v>
      </c>
      <c r="C2082" s="33" t="s">
        <v>13</v>
      </c>
      <c r="D2082" s="33" t="s">
        <v>1033</v>
      </c>
      <c r="E2082" s="33">
        <v>2021</v>
      </c>
      <c r="F2082" s="33">
        <v>46</v>
      </c>
      <c r="G2082" s="33">
        <v>9</v>
      </c>
      <c r="H2082" s="33" t="s">
        <v>1994</v>
      </c>
      <c r="I2082" s="33" t="s">
        <v>212</v>
      </c>
      <c r="J2082" s="33">
        <v>2021</v>
      </c>
      <c r="K2082" s="34"/>
      <c r="L2082" s="34"/>
      <c r="M2082" s="33" t="s">
        <v>1035</v>
      </c>
      <c r="N2082" s="37" t="s">
        <v>1995</v>
      </c>
      <c r="O2082" s="33" t="s">
        <v>1996</v>
      </c>
      <c r="P2082" s="33" t="s">
        <v>1997</v>
      </c>
      <c r="Q2082" s="33" t="s">
        <v>318</v>
      </c>
      <c r="R2082" s="34"/>
      <c r="S2082" s="38"/>
      <c r="T2082" s="38" t="s">
        <v>12690</v>
      </c>
    </row>
    <row r="2083" spans="1:20" x14ac:dyDescent="0.25">
      <c r="A2083" s="39" t="s">
        <v>10881</v>
      </c>
      <c r="B2083" s="39" t="s">
        <v>10883</v>
      </c>
      <c r="C2083" s="39" t="s">
        <v>9478</v>
      </c>
      <c r="D2083" s="36"/>
      <c r="E2083" s="39">
        <v>2019</v>
      </c>
      <c r="F2083" s="39">
        <v>15</v>
      </c>
      <c r="G2083" s="39">
        <v>10</v>
      </c>
      <c r="H2083" s="36"/>
      <c r="I2083" s="39" t="s">
        <v>10880</v>
      </c>
      <c r="J2083" s="36"/>
      <c r="K2083" s="36"/>
      <c r="L2083" s="36"/>
      <c r="M2083" s="34"/>
      <c r="N2083" s="41" t="s">
        <v>10884</v>
      </c>
      <c r="O2083" s="39" t="s">
        <v>10882</v>
      </c>
      <c r="P2083" s="33"/>
      <c r="Q2083" s="36"/>
      <c r="R2083" s="34"/>
      <c r="S2083" s="38"/>
      <c r="T2083" s="38" t="s">
        <v>12689</v>
      </c>
    </row>
    <row r="2084" spans="1:20" x14ac:dyDescent="0.25">
      <c r="A2084" s="33" t="s">
        <v>5040</v>
      </c>
      <c r="B2084" s="33" t="s">
        <v>5039</v>
      </c>
      <c r="C2084" s="33" t="s">
        <v>141</v>
      </c>
      <c r="D2084" s="34"/>
      <c r="E2084" s="33">
        <v>2019</v>
      </c>
      <c r="F2084" s="34"/>
      <c r="G2084" s="34"/>
      <c r="H2084" s="33" t="s">
        <v>5041</v>
      </c>
      <c r="I2084" s="33" t="s">
        <v>257</v>
      </c>
      <c r="J2084" s="33">
        <v>2019</v>
      </c>
      <c r="K2084" s="33">
        <v>9781728122434</v>
      </c>
      <c r="L2084" s="34"/>
      <c r="M2084" s="34"/>
      <c r="N2084" s="37" t="s">
        <v>5042</v>
      </c>
      <c r="O2084" s="33" t="s">
        <v>5043</v>
      </c>
      <c r="P2084" s="33" t="s">
        <v>5044</v>
      </c>
      <c r="Q2084" s="33" t="s">
        <v>404</v>
      </c>
      <c r="R2084" s="34"/>
      <c r="S2084" s="38"/>
      <c r="T2084" s="38" t="s">
        <v>12690</v>
      </c>
    </row>
    <row r="2085" spans="1:20" x14ac:dyDescent="0.25">
      <c r="A2085" s="33" t="s">
        <v>7498</v>
      </c>
      <c r="B2085" s="33" t="s">
        <v>5737</v>
      </c>
      <c r="C2085" s="33" t="s">
        <v>141</v>
      </c>
      <c r="D2085" s="34"/>
      <c r="E2085" s="33">
        <v>2018</v>
      </c>
      <c r="F2085" s="34"/>
      <c r="G2085" s="34"/>
      <c r="H2085" s="33" t="s">
        <v>11855</v>
      </c>
      <c r="I2085" s="44" t="s">
        <v>12725</v>
      </c>
      <c r="J2085" s="33">
        <v>2018</v>
      </c>
      <c r="K2085" s="33">
        <v>9781450357166</v>
      </c>
      <c r="L2085" s="33" t="s">
        <v>11283</v>
      </c>
      <c r="M2085" s="34"/>
      <c r="N2085" s="37" t="s">
        <v>11856</v>
      </c>
      <c r="O2085" s="33" t="s">
        <v>5741</v>
      </c>
      <c r="P2085" s="33" t="s">
        <v>7500</v>
      </c>
      <c r="Q2085" s="36"/>
      <c r="R2085" s="36"/>
      <c r="S2085" s="34"/>
      <c r="T2085" s="33" t="s">
        <v>12692</v>
      </c>
    </row>
    <row r="2086" spans="1:20" x14ac:dyDescent="0.25">
      <c r="A2086" s="33" t="s">
        <v>7498</v>
      </c>
      <c r="B2086" s="33" t="s">
        <v>5737</v>
      </c>
      <c r="C2086" s="33" t="s">
        <v>141</v>
      </c>
      <c r="D2086" s="34"/>
      <c r="E2086" s="33">
        <v>2018</v>
      </c>
      <c r="F2086" s="34"/>
      <c r="G2086" s="34"/>
      <c r="H2086" s="33" t="s">
        <v>7499</v>
      </c>
      <c r="I2086" s="33" t="s">
        <v>6151</v>
      </c>
      <c r="J2086" s="43">
        <v>43221</v>
      </c>
      <c r="K2086" s="36"/>
      <c r="L2086" s="36"/>
      <c r="M2086" s="33" t="s">
        <v>6152</v>
      </c>
      <c r="N2086" s="34"/>
      <c r="O2086" s="34"/>
      <c r="P2086" s="33" t="s">
        <v>7500</v>
      </c>
      <c r="Q2086" s="36"/>
      <c r="R2086" s="36"/>
      <c r="S2086" s="33" t="s">
        <v>7501</v>
      </c>
      <c r="T2086" s="38" t="s">
        <v>12688</v>
      </c>
    </row>
    <row r="2087" spans="1:20" x14ac:dyDescent="0.25">
      <c r="A2087" s="33" t="s">
        <v>7498</v>
      </c>
      <c r="B2087" s="33" t="s">
        <v>5737</v>
      </c>
      <c r="C2087" s="33" t="s">
        <v>141</v>
      </c>
      <c r="D2087" s="34"/>
      <c r="E2087" s="33">
        <v>2018</v>
      </c>
      <c r="F2087" s="34"/>
      <c r="G2087" s="34"/>
      <c r="H2087" s="33" t="s">
        <v>5739</v>
      </c>
      <c r="I2087" s="33" t="s">
        <v>196</v>
      </c>
      <c r="J2087" s="33">
        <v>2018</v>
      </c>
      <c r="K2087" s="33">
        <v>9781450357166</v>
      </c>
      <c r="L2087" s="34"/>
      <c r="M2087" s="33" t="s">
        <v>1458</v>
      </c>
      <c r="N2087" s="37" t="s">
        <v>5740</v>
      </c>
      <c r="O2087" s="33" t="s">
        <v>5741</v>
      </c>
      <c r="P2087" s="33" t="s">
        <v>5742</v>
      </c>
      <c r="Q2087" s="33" t="s">
        <v>5743</v>
      </c>
      <c r="R2087" s="34"/>
      <c r="S2087" s="38"/>
      <c r="T2087" s="38" t="s">
        <v>12690</v>
      </c>
    </row>
    <row r="2088" spans="1:20" x14ac:dyDescent="0.25">
      <c r="A2088" s="39" t="s">
        <v>1114</v>
      </c>
      <c r="B2088" s="39" t="s">
        <v>9973</v>
      </c>
      <c r="C2088" s="39" t="s">
        <v>9478</v>
      </c>
      <c r="D2088" s="36"/>
      <c r="E2088" s="39">
        <v>2022</v>
      </c>
      <c r="F2088" s="39">
        <v>30</v>
      </c>
      <c r="G2088" s="39">
        <v>3</v>
      </c>
      <c r="H2088" s="36"/>
      <c r="I2088" s="39" t="s">
        <v>523</v>
      </c>
      <c r="J2088" s="36"/>
      <c r="K2088" s="36"/>
      <c r="L2088" s="36"/>
      <c r="M2088" s="34"/>
      <c r="N2088" s="41" t="s">
        <v>9974</v>
      </c>
      <c r="O2088" s="39" t="s">
        <v>1117</v>
      </c>
      <c r="P2088" s="33"/>
      <c r="Q2088" s="36"/>
      <c r="R2088" s="34"/>
      <c r="S2088" s="38"/>
      <c r="T2088" s="38" t="s">
        <v>12689</v>
      </c>
    </row>
    <row r="2089" spans="1:20" x14ac:dyDescent="0.25">
      <c r="A2089" s="33" t="s">
        <v>1114</v>
      </c>
      <c r="B2089" s="33" t="s">
        <v>1113</v>
      </c>
      <c r="C2089" s="33" t="s">
        <v>13</v>
      </c>
      <c r="D2089" s="33" t="s">
        <v>523</v>
      </c>
      <c r="E2089" s="33">
        <v>2022</v>
      </c>
      <c r="F2089" s="33">
        <v>30</v>
      </c>
      <c r="G2089" s="33">
        <v>3</v>
      </c>
      <c r="H2089" s="33" t="s">
        <v>1115</v>
      </c>
      <c r="I2089" s="33" t="s">
        <v>137</v>
      </c>
      <c r="J2089" s="33">
        <v>2022</v>
      </c>
      <c r="K2089" s="34"/>
      <c r="L2089" s="34"/>
      <c r="M2089" s="33" t="s">
        <v>525</v>
      </c>
      <c r="N2089" s="37" t="s">
        <v>1116</v>
      </c>
      <c r="O2089" s="33" t="s">
        <v>1117</v>
      </c>
      <c r="P2089" s="33" t="s">
        <v>1118</v>
      </c>
      <c r="Q2089" s="33" t="s">
        <v>157</v>
      </c>
      <c r="R2089" s="34"/>
      <c r="S2089" s="38"/>
      <c r="T2089" s="38" t="s">
        <v>12690</v>
      </c>
    </row>
    <row r="2090" spans="1:20" x14ac:dyDescent="0.25">
      <c r="A2090" s="33" t="s">
        <v>4038</v>
      </c>
      <c r="B2090" s="33" t="s">
        <v>3236</v>
      </c>
      <c r="C2090" s="33" t="s">
        <v>141</v>
      </c>
      <c r="D2090" s="34"/>
      <c r="E2090" s="33">
        <v>2019</v>
      </c>
      <c r="F2090" s="34"/>
      <c r="G2090" s="34"/>
      <c r="H2090" s="33" t="s">
        <v>4039</v>
      </c>
      <c r="I2090" s="33" t="s">
        <v>257</v>
      </c>
      <c r="J2090" s="33">
        <v>2019</v>
      </c>
      <c r="K2090" s="33">
        <v>9781728122700</v>
      </c>
      <c r="L2090" s="34"/>
      <c r="M2090" s="34"/>
      <c r="N2090" s="37" t="s">
        <v>4040</v>
      </c>
      <c r="O2090" s="33" t="s">
        <v>4041</v>
      </c>
      <c r="P2090" s="33" t="s">
        <v>4042</v>
      </c>
      <c r="Q2090" s="33" t="s">
        <v>2723</v>
      </c>
      <c r="R2090" s="34"/>
      <c r="S2090" s="38"/>
      <c r="T2090" s="38" t="s">
        <v>12690</v>
      </c>
    </row>
    <row r="2091" spans="1:20" x14ac:dyDescent="0.25">
      <c r="A2091" s="33" t="s">
        <v>12018</v>
      </c>
      <c r="B2091" s="33" t="s">
        <v>12017</v>
      </c>
      <c r="C2091" s="33" t="s">
        <v>141</v>
      </c>
      <c r="D2091" s="34"/>
      <c r="E2091" s="33">
        <v>2021</v>
      </c>
      <c r="F2091" s="34"/>
      <c r="G2091" s="34"/>
      <c r="H2091" s="33" t="s">
        <v>11425</v>
      </c>
      <c r="I2091" s="44" t="s">
        <v>12747</v>
      </c>
      <c r="J2091" s="33">
        <v>2021</v>
      </c>
      <c r="K2091" s="33">
        <v>9781450386258</v>
      </c>
      <c r="L2091" s="33" t="s">
        <v>11487</v>
      </c>
      <c r="M2091" s="34"/>
      <c r="N2091" s="37" t="s">
        <v>12019</v>
      </c>
      <c r="O2091" s="33" t="s">
        <v>12020</v>
      </c>
      <c r="P2091" s="33" t="s">
        <v>12021</v>
      </c>
      <c r="Q2091" s="36"/>
      <c r="R2091" s="36"/>
      <c r="S2091" s="33" t="s">
        <v>12022</v>
      </c>
      <c r="T2091" s="33" t="s">
        <v>12692</v>
      </c>
    </row>
    <row r="2092" spans="1:20" x14ac:dyDescent="0.25">
      <c r="A2092" s="33" t="s">
        <v>3063</v>
      </c>
      <c r="B2092" s="33" t="s">
        <v>3062</v>
      </c>
      <c r="C2092" s="33" t="s">
        <v>13</v>
      </c>
      <c r="D2092" s="33" t="s">
        <v>354</v>
      </c>
      <c r="E2092" s="33">
        <v>2021</v>
      </c>
      <c r="F2092" s="33">
        <v>171</v>
      </c>
      <c r="G2092" s="36"/>
      <c r="H2092" s="33">
        <v>110821</v>
      </c>
      <c r="I2092" s="36"/>
      <c r="J2092" s="33">
        <v>2021</v>
      </c>
      <c r="K2092" s="34"/>
      <c r="L2092" s="34"/>
      <c r="M2092" s="33" t="s">
        <v>65</v>
      </c>
      <c r="N2092" s="37" t="s">
        <v>8787</v>
      </c>
      <c r="O2092" s="33" t="s">
        <v>3065</v>
      </c>
      <c r="P2092" s="33" t="s">
        <v>8788</v>
      </c>
      <c r="Q2092" s="36"/>
      <c r="R2092" s="36"/>
      <c r="S2092" s="33" t="s">
        <v>8789</v>
      </c>
      <c r="T2092" s="38" t="s">
        <v>12693</v>
      </c>
    </row>
    <row r="2093" spans="1:20" x14ac:dyDescent="0.25">
      <c r="A2093" s="33" t="s">
        <v>3063</v>
      </c>
      <c r="B2093" s="33" t="s">
        <v>3062</v>
      </c>
      <c r="C2093" s="33" t="s">
        <v>13</v>
      </c>
      <c r="D2093" s="33" t="s">
        <v>354</v>
      </c>
      <c r="E2093" s="33">
        <v>2021</v>
      </c>
      <c r="F2093" s="33">
        <v>171</v>
      </c>
      <c r="G2093" s="34"/>
      <c r="H2093" s="34"/>
      <c r="I2093" s="33" t="s">
        <v>355</v>
      </c>
      <c r="J2093" s="33">
        <v>2021</v>
      </c>
      <c r="K2093" s="34"/>
      <c r="L2093" s="34"/>
      <c r="M2093" s="33" t="s">
        <v>65</v>
      </c>
      <c r="N2093" s="37" t="s">
        <v>3064</v>
      </c>
      <c r="O2093" s="33" t="s">
        <v>3065</v>
      </c>
      <c r="P2093" s="33" t="s">
        <v>3066</v>
      </c>
      <c r="Q2093" s="33" t="s">
        <v>3067</v>
      </c>
      <c r="R2093" s="34"/>
      <c r="S2093" s="38"/>
      <c r="T2093" s="38" t="s">
        <v>12690</v>
      </c>
    </row>
    <row r="2094" spans="1:20" x14ac:dyDescent="0.25">
      <c r="A2094" s="33" t="s">
        <v>2273</v>
      </c>
      <c r="B2094" s="33" t="s">
        <v>2272</v>
      </c>
      <c r="C2094" s="33" t="s">
        <v>141</v>
      </c>
      <c r="D2094" s="34"/>
      <c r="E2094" s="33">
        <v>2022</v>
      </c>
      <c r="F2094" s="34"/>
      <c r="G2094" s="34"/>
      <c r="H2094" s="33" t="s">
        <v>2274</v>
      </c>
      <c r="I2094" s="33" t="s">
        <v>257</v>
      </c>
      <c r="J2094" s="33">
        <v>2022</v>
      </c>
      <c r="K2094" s="33">
        <v>9781665437868</v>
      </c>
      <c r="L2094" s="34"/>
      <c r="M2094" s="34"/>
      <c r="N2094" s="37" t="s">
        <v>2275</v>
      </c>
      <c r="O2094" s="33" t="s">
        <v>2276</v>
      </c>
      <c r="P2094" s="33" t="s">
        <v>2277</v>
      </c>
      <c r="Q2094" s="33" t="s">
        <v>318</v>
      </c>
      <c r="R2094" s="34"/>
      <c r="S2094" s="38"/>
      <c r="T2094" s="38" t="s">
        <v>12690</v>
      </c>
    </row>
    <row r="2095" spans="1:20" x14ac:dyDescent="0.25">
      <c r="A2095" s="33" t="s">
        <v>11612</v>
      </c>
      <c r="B2095" s="33" t="s">
        <v>11611</v>
      </c>
      <c r="C2095" s="33" t="s">
        <v>141</v>
      </c>
      <c r="D2095" s="34"/>
      <c r="E2095" s="33">
        <v>2018</v>
      </c>
      <c r="F2095" s="34"/>
      <c r="G2095" s="34"/>
      <c r="H2095" s="34"/>
      <c r="I2095" s="44" t="s">
        <v>12830</v>
      </c>
      <c r="J2095" s="33">
        <v>2018</v>
      </c>
      <c r="K2095" s="33">
        <v>9781450364836</v>
      </c>
      <c r="L2095" s="33" t="s">
        <v>11618</v>
      </c>
      <c r="M2095" s="34"/>
      <c r="N2095" s="37" t="s">
        <v>11614</v>
      </c>
      <c r="O2095" s="33" t="s">
        <v>11615</v>
      </c>
      <c r="P2095" s="33" t="s">
        <v>11616</v>
      </c>
      <c r="Q2095" s="36"/>
      <c r="R2095" s="36"/>
      <c r="S2095" s="33" t="s">
        <v>11617</v>
      </c>
      <c r="T2095" s="33" t="s">
        <v>12692</v>
      </c>
    </row>
    <row r="2096" spans="1:20" x14ac:dyDescent="0.25">
      <c r="A2096" s="33" t="s">
        <v>9030</v>
      </c>
      <c r="B2096" s="33" t="s">
        <v>9029</v>
      </c>
      <c r="C2096" s="33" t="s">
        <v>13</v>
      </c>
      <c r="D2096" s="33" t="s">
        <v>9031</v>
      </c>
      <c r="E2096" s="33">
        <v>2021</v>
      </c>
      <c r="F2096" s="33">
        <v>171</v>
      </c>
      <c r="G2096" s="36"/>
      <c r="H2096" s="33">
        <v>120957</v>
      </c>
      <c r="I2096" s="36"/>
      <c r="J2096" s="33">
        <v>2021</v>
      </c>
      <c r="K2096" s="34"/>
      <c r="L2096" s="34"/>
      <c r="M2096" s="33" t="s">
        <v>9032</v>
      </c>
      <c r="N2096" s="37" t="s">
        <v>9033</v>
      </c>
      <c r="O2096" s="33" t="s">
        <v>9034</v>
      </c>
      <c r="P2096" s="33" t="s">
        <v>9035</v>
      </c>
      <c r="Q2096" s="36"/>
      <c r="R2096" s="36"/>
      <c r="S2096" s="33" t="s">
        <v>9036</v>
      </c>
      <c r="T2096" s="38" t="s">
        <v>12693</v>
      </c>
    </row>
    <row r="2097" spans="1:20" x14ac:dyDescent="0.25">
      <c r="A2097" s="33" t="s">
        <v>810</v>
      </c>
      <c r="B2097" s="33" t="s">
        <v>809</v>
      </c>
      <c r="C2097" s="33" t="s">
        <v>141</v>
      </c>
      <c r="D2097" s="34"/>
      <c r="E2097" s="33">
        <v>2022</v>
      </c>
      <c r="F2097" s="34"/>
      <c r="G2097" s="34"/>
      <c r="H2097" s="33" t="s">
        <v>811</v>
      </c>
      <c r="I2097" s="33" t="s">
        <v>145</v>
      </c>
      <c r="J2097" s="33">
        <v>2022</v>
      </c>
      <c r="K2097" s="33">
        <v>9781450396134</v>
      </c>
      <c r="L2097" s="34"/>
      <c r="M2097" s="34"/>
      <c r="N2097" s="37" t="s">
        <v>812</v>
      </c>
      <c r="O2097" s="33" t="s">
        <v>813</v>
      </c>
      <c r="P2097" s="33" t="s">
        <v>814</v>
      </c>
      <c r="Q2097" s="33" t="s">
        <v>157</v>
      </c>
      <c r="R2097" s="34"/>
      <c r="S2097" s="38"/>
      <c r="T2097" s="38" t="s">
        <v>12690</v>
      </c>
    </row>
    <row r="2098" spans="1:20" x14ac:dyDescent="0.25">
      <c r="A2098" s="33" t="s">
        <v>2967</v>
      </c>
      <c r="B2098" s="33" t="s">
        <v>2966</v>
      </c>
      <c r="C2098" s="33" t="s">
        <v>141</v>
      </c>
      <c r="D2098" s="34"/>
      <c r="E2098" s="33">
        <v>2020</v>
      </c>
      <c r="F2098" s="34"/>
      <c r="G2098" s="34"/>
      <c r="H2098" s="33" t="s">
        <v>2968</v>
      </c>
      <c r="I2098" s="33" t="s">
        <v>257</v>
      </c>
      <c r="J2098" s="33">
        <v>2020</v>
      </c>
      <c r="K2098" s="33">
        <v>9781728184142</v>
      </c>
      <c r="L2098" s="34"/>
      <c r="M2098" s="34"/>
      <c r="N2098" s="37" t="s">
        <v>2969</v>
      </c>
      <c r="O2098" s="33" t="s">
        <v>2970</v>
      </c>
      <c r="P2098" s="33" t="s">
        <v>2971</v>
      </c>
      <c r="Q2098" s="33" t="s">
        <v>2723</v>
      </c>
      <c r="R2098" s="34"/>
      <c r="S2098" s="38"/>
      <c r="T2098" s="38" t="s">
        <v>12690</v>
      </c>
    </row>
    <row r="2099" spans="1:20" x14ac:dyDescent="0.25">
      <c r="A2099" s="33" t="s">
        <v>6942</v>
      </c>
      <c r="B2099" s="33" t="s">
        <v>6941</v>
      </c>
      <c r="C2099" s="33" t="s">
        <v>141</v>
      </c>
      <c r="D2099" s="34"/>
      <c r="E2099" s="33">
        <v>2019</v>
      </c>
      <c r="F2099" s="34"/>
      <c r="G2099" s="34"/>
      <c r="H2099" s="42">
        <v>44931</v>
      </c>
      <c r="I2099" s="33" t="s">
        <v>6943</v>
      </c>
      <c r="J2099" s="43">
        <v>43709</v>
      </c>
      <c r="K2099" s="36"/>
      <c r="L2099" s="36"/>
      <c r="M2099" s="33" t="s">
        <v>6944</v>
      </c>
      <c r="N2099" s="37" t="s">
        <v>6945</v>
      </c>
      <c r="O2099" s="33" t="s">
        <v>6946</v>
      </c>
      <c r="P2099" s="33" t="s">
        <v>6947</v>
      </c>
      <c r="Q2099" s="36"/>
      <c r="R2099" s="36"/>
      <c r="S2099" s="33" t="s">
        <v>6948</v>
      </c>
      <c r="T2099" s="38" t="s">
        <v>12688</v>
      </c>
    </row>
    <row r="2100" spans="1:20" x14ac:dyDescent="0.25">
      <c r="A2100" s="33" t="s">
        <v>3375</v>
      </c>
      <c r="B2100" s="33" t="s">
        <v>3374</v>
      </c>
      <c r="C2100" s="33" t="s">
        <v>141</v>
      </c>
      <c r="D2100" s="34"/>
      <c r="E2100" s="33">
        <v>2020</v>
      </c>
      <c r="F2100" s="34"/>
      <c r="G2100" s="34"/>
      <c r="H2100" s="33" t="s">
        <v>3376</v>
      </c>
      <c r="I2100" s="33" t="s">
        <v>153</v>
      </c>
      <c r="J2100" s="33">
        <v>2020</v>
      </c>
      <c r="K2100" s="33">
        <v>9781450381352</v>
      </c>
      <c r="L2100" s="34"/>
      <c r="M2100" s="34"/>
      <c r="N2100" s="37" t="s">
        <v>3377</v>
      </c>
      <c r="O2100" s="33" t="s">
        <v>3378</v>
      </c>
      <c r="P2100" s="33" t="s">
        <v>3379</v>
      </c>
      <c r="Q2100" s="33" t="s">
        <v>818</v>
      </c>
      <c r="R2100" s="34"/>
      <c r="S2100" s="38"/>
      <c r="T2100" s="38" t="s">
        <v>12690</v>
      </c>
    </row>
    <row r="2101" spans="1:20" x14ac:dyDescent="0.25">
      <c r="A2101" s="33" t="s">
        <v>5892</v>
      </c>
      <c r="B2101" s="33" t="s">
        <v>5891</v>
      </c>
      <c r="C2101" s="33" t="s">
        <v>141</v>
      </c>
      <c r="D2101" s="34"/>
      <c r="E2101" s="33">
        <v>2015</v>
      </c>
      <c r="F2101" s="34"/>
      <c r="G2101" s="34"/>
      <c r="H2101" s="33" t="s">
        <v>5893</v>
      </c>
      <c r="I2101" s="33" t="s">
        <v>257</v>
      </c>
      <c r="J2101" s="33">
        <v>2015</v>
      </c>
      <c r="K2101" s="33">
        <v>9781467373784</v>
      </c>
      <c r="L2101" s="34"/>
      <c r="M2101" s="34"/>
      <c r="N2101" s="37" t="s">
        <v>5894</v>
      </c>
      <c r="O2101" s="33" t="s">
        <v>5895</v>
      </c>
      <c r="P2101" s="33" t="s">
        <v>5896</v>
      </c>
      <c r="Q2101" s="33" t="s">
        <v>4052</v>
      </c>
      <c r="R2101" s="34"/>
      <c r="S2101" s="38"/>
      <c r="T2101" s="38" t="s">
        <v>12690</v>
      </c>
    </row>
    <row r="2102" spans="1:20" x14ac:dyDescent="0.25">
      <c r="A2102" s="33" t="s">
        <v>2703</v>
      </c>
      <c r="B2102" s="33" t="s">
        <v>2702</v>
      </c>
      <c r="C2102" s="33" t="s">
        <v>13</v>
      </c>
      <c r="D2102" s="33" t="s">
        <v>2704</v>
      </c>
      <c r="E2102" s="33">
        <v>2020</v>
      </c>
      <c r="F2102" s="33">
        <v>14</v>
      </c>
      <c r="G2102" s="33">
        <v>6</v>
      </c>
      <c r="H2102" s="33" t="s">
        <v>2705</v>
      </c>
      <c r="I2102" s="33" t="s">
        <v>2706</v>
      </c>
      <c r="J2102" s="33">
        <v>2020</v>
      </c>
      <c r="K2102" s="34"/>
      <c r="L2102" s="34"/>
      <c r="M2102" s="33" t="s">
        <v>2707</v>
      </c>
      <c r="N2102" s="37" t="s">
        <v>2708</v>
      </c>
      <c r="O2102" s="33" t="s">
        <v>2709</v>
      </c>
      <c r="P2102" s="33" t="s">
        <v>2710</v>
      </c>
      <c r="Q2102" s="33" t="s">
        <v>529</v>
      </c>
      <c r="R2102" s="34"/>
      <c r="S2102" s="38"/>
      <c r="T2102" s="38" t="s">
        <v>12690</v>
      </c>
    </row>
    <row r="2103" spans="1:20" x14ac:dyDescent="0.25">
      <c r="A2103" s="33" t="s">
        <v>5995</v>
      </c>
      <c r="B2103" s="33" t="s">
        <v>5994</v>
      </c>
      <c r="C2103" s="33" t="s">
        <v>13</v>
      </c>
      <c r="D2103" s="33" t="s">
        <v>227</v>
      </c>
      <c r="E2103" s="33">
        <v>2018</v>
      </c>
      <c r="F2103" s="33">
        <v>8</v>
      </c>
      <c r="G2103" s="33">
        <v>10</v>
      </c>
      <c r="H2103" s="34"/>
      <c r="I2103" s="33" t="s">
        <v>3431</v>
      </c>
      <c r="J2103" s="33">
        <v>2018</v>
      </c>
      <c r="K2103" s="34"/>
      <c r="L2103" s="34"/>
      <c r="M2103" s="33" t="s">
        <v>229</v>
      </c>
      <c r="N2103" s="37" t="s">
        <v>5996</v>
      </c>
      <c r="O2103" s="33" t="s">
        <v>5997</v>
      </c>
      <c r="P2103" s="33" t="s">
        <v>5998</v>
      </c>
      <c r="Q2103" s="33" t="s">
        <v>3452</v>
      </c>
      <c r="R2103" s="34"/>
      <c r="S2103" s="38"/>
      <c r="T2103" s="38" t="s">
        <v>12690</v>
      </c>
    </row>
    <row r="2104" spans="1:20" x14ac:dyDescent="0.25">
      <c r="A2104" s="33" t="s">
        <v>8758</v>
      </c>
      <c r="B2104" s="33" t="s">
        <v>8757</v>
      </c>
      <c r="C2104" s="33" t="s">
        <v>13</v>
      </c>
      <c r="D2104" s="33" t="s">
        <v>8642</v>
      </c>
      <c r="E2104" s="33">
        <v>2019</v>
      </c>
      <c r="F2104" s="33">
        <v>153</v>
      </c>
      <c r="G2104" s="36"/>
      <c r="H2104" s="33" t="s">
        <v>8759</v>
      </c>
      <c r="I2104" s="36"/>
      <c r="J2104" s="33">
        <v>2019</v>
      </c>
      <c r="K2104" s="34"/>
      <c r="L2104" s="34"/>
      <c r="M2104" s="33" t="s">
        <v>3058</v>
      </c>
      <c r="N2104" s="37" t="s">
        <v>8760</v>
      </c>
      <c r="O2104" s="33" t="s">
        <v>8761</v>
      </c>
      <c r="P2104" s="33" t="s">
        <v>8762</v>
      </c>
      <c r="Q2104" s="36"/>
      <c r="R2104" s="36"/>
      <c r="S2104" s="33" t="s">
        <v>8763</v>
      </c>
      <c r="T2104" s="38" t="s">
        <v>12693</v>
      </c>
    </row>
    <row r="2105" spans="1:20" x14ac:dyDescent="0.25">
      <c r="A2105" s="33" t="s">
        <v>12438</v>
      </c>
      <c r="B2105" s="33" t="s">
        <v>12437</v>
      </c>
      <c r="C2105" s="33" t="s">
        <v>141</v>
      </c>
      <c r="D2105" s="34"/>
      <c r="E2105" s="33">
        <v>2014</v>
      </c>
      <c r="F2105" s="34"/>
      <c r="G2105" s="34"/>
      <c r="H2105" s="33" t="s">
        <v>11347</v>
      </c>
      <c r="I2105" s="44" t="s">
        <v>12831</v>
      </c>
      <c r="J2105" s="33">
        <v>2014</v>
      </c>
      <c r="K2105" s="33">
        <v>9781450331500</v>
      </c>
      <c r="L2105" s="33" t="s">
        <v>12445</v>
      </c>
      <c r="M2105" s="34"/>
      <c r="N2105" s="37" t="s">
        <v>12441</v>
      </c>
      <c r="O2105" s="33" t="s">
        <v>12442</v>
      </c>
      <c r="P2105" s="33" t="s">
        <v>12443</v>
      </c>
      <c r="Q2105" s="36"/>
      <c r="R2105" s="36"/>
      <c r="S2105" s="33" t="s">
        <v>12444</v>
      </c>
      <c r="T2105" s="33" t="s">
        <v>12692</v>
      </c>
    </row>
    <row r="2106" spans="1:20" x14ac:dyDescent="0.25">
      <c r="A2106" s="33" t="s">
        <v>7997</v>
      </c>
      <c r="B2106" s="33" t="s">
        <v>7996</v>
      </c>
      <c r="C2106" s="33" t="s">
        <v>141</v>
      </c>
      <c r="D2106" s="34"/>
      <c r="E2106" s="33">
        <v>2020</v>
      </c>
      <c r="F2106" s="34"/>
      <c r="G2106" s="34"/>
      <c r="H2106" s="33" t="s">
        <v>7998</v>
      </c>
      <c r="I2106" s="33" t="s">
        <v>7999</v>
      </c>
      <c r="J2106" s="35">
        <v>44105</v>
      </c>
      <c r="K2106" s="34"/>
      <c r="L2106" s="36"/>
      <c r="M2106" s="34"/>
      <c r="N2106" s="37" t="s">
        <v>8000</v>
      </c>
      <c r="O2106" s="33" t="s">
        <v>8001</v>
      </c>
      <c r="P2106" s="33" t="s">
        <v>8002</v>
      </c>
      <c r="Q2106" s="36"/>
      <c r="R2106" s="36"/>
      <c r="S2106" s="33" t="s">
        <v>8003</v>
      </c>
      <c r="T2106" s="38" t="s">
        <v>12688</v>
      </c>
    </row>
    <row r="2107" spans="1:20" x14ac:dyDescent="0.25">
      <c r="A2107" s="33" t="s">
        <v>11295</v>
      </c>
      <c r="B2107" s="33" t="s">
        <v>3596</v>
      </c>
      <c r="C2107" s="33" t="s">
        <v>141</v>
      </c>
      <c r="D2107" s="34"/>
      <c r="E2107" s="33">
        <v>2021</v>
      </c>
      <c r="F2107" s="34"/>
      <c r="G2107" s="34"/>
      <c r="H2107" s="33" t="s">
        <v>11296</v>
      </c>
      <c r="I2107" s="44" t="s">
        <v>12717</v>
      </c>
      <c r="J2107" s="33">
        <v>2021</v>
      </c>
      <c r="K2107" s="33">
        <v>9781450383097</v>
      </c>
      <c r="L2107" s="33" t="s">
        <v>11302</v>
      </c>
      <c r="M2107" s="34"/>
      <c r="N2107" s="37" t="s">
        <v>11299</v>
      </c>
      <c r="O2107" s="33" t="s">
        <v>3600</v>
      </c>
      <c r="P2107" s="33" t="s">
        <v>11300</v>
      </c>
      <c r="Q2107" s="36"/>
      <c r="R2107" s="36"/>
      <c r="S2107" s="33" t="s">
        <v>11301</v>
      </c>
      <c r="T2107" s="33" t="s">
        <v>12692</v>
      </c>
    </row>
    <row r="2108" spans="1:20" x14ac:dyDescent="0.25">
      <c r="A2108" s="33" t="s">
        <v>11295</v>
      </c>
      <c r="B2108" s="33" t="s">
        <v>3596</v>
      </c>
      <c r="C2108" s="33" t="s">
        <v>141</v>
      </c>
      <c r="D2108" s="34"/>
      <c r="E2108" s="33">
        <v>2021</v>
      </c>
      <c r="F2108" s="34"/>
      <c r="G2108" s="34"/>
      <c r="H2108" s="33" t="s">
        <v>3598</v>
      </c>
      <c r="I2108" s="33" t="s">
        <v>153</v>
      </c>
      <c r="J2108" s="33">
        <v>2021</v>
      </c>
      <c r="K2108" s="33">
        <v>9781450383097</v>
      </c>
      <c r="L2108" s="34"/>
      <c r="M2108" s="34"/>
      <c r="N2108" s="37" t="s">
        <v>3599</v>
      </c>
      <c r="O2108" s="33" t="s">
        <v>3600</v>
      </c>
      <c r="P2108" s="33" t="s">
        <v>3601</v>
      </c>
      <c r="Q2108" s="33" t="s">
        <v>3602</v>
      </c>
      <c r="R2108" s="34"/>
      <c r="S2108" s="38"/>
      <c r="T2108" s="38" t="s">
        <v>12690</v>
      </c>
    </row>
    <row r="2109" spans="1:20" x14ac:dyDescent="0.25">
      <c r="A2109" s="33" t="s">
        <v>8728</v>
      </c>
      <c r="B2109" s="33" t="s">
        <v>8727</v>
      </c>
      <c r="C2109" s="33" t="s">
        <v>13</v>
      </c>
      <c r="D2109" s="33" t="s">
        <v>8421</v>
      </c>
      <c r="E2109" s="33">
        <v>2022</v>
      </c>
      <c r="F2109" s="33">
        <v>107</v>
      </c>
      <c r="G2109" s="36"/>
      <c r="H2109" s="33" t="s">
        <v>8729</v>
      </c>
      <c r="I2109" s="36"/>
      <c r="J2109" s="33">
        <v>2022</v>
      </c>
      <c r="K2109" s="34"/>
      <c r="L2109" s="34"/>
      <c r="M2109" s="33" t="s">
        <v>456</v>
      </c>
      <c r="N2109" s="37" t="s">
        <v>8730</v>
      </c>
      <c r="O2109" s="33" t="s">
        <v>8731</v>
      </c>
      <c r="P2109" s="33" t="s">
        <v>8732</v>
      </c>
      <c r="Q2109" s="36"/>
      <c r="R2109" s="36"/>
      <c r="S2109" s="33" t="s">
        <v>8733</v>
      </c>
      <c r="T2109" s="38" t="s">
        <v>12693</v>
      </c>
    </row>
    <row r="2110" spans="1:20" x14ac:dyDescent="0.25">
      <c r="A2110" s="33" t="s">
        <v>1845</v>
      </c>
      <c r="B2110" s="33" t="s">
        <v>1784</v>
      </c>
      <c r="C2110" s="33" t="s">
        <v>13</v>
      </c>
      <c r="D2110" s="33" t="s">
        <v>878</v>
      </c>
      <c r="E2110" s="33">
        <v>2022</v>
      </c>
      <c r="F2110" s="34"/>
      <c r="G2110" s="34"/>
      <c r="H2110" s="34"/>
      <c r="I2110" s="33" t="s">
        <v>266</v>
      </c>
      <c r="J2110" s="33">
        <v>2022</v>
      </c>
      <c r="K2110" s="34"/>
      <c r="L2110" s="34"/>
      <c r="M2110" s="33" t="s">
        <v>879</v>
      </c>
      <c r="N2110" s="37" t="s">
        <v>1846</v>
      </c>
      <c r="O2110" s="33" t="s">
        <v>1847</v>
      </c>
      <c r="P2110" s="33" t="s">
        <v>1848</v>
      </c>
      <c r="Q2110" s="33" t="s">
        <v>404</v>
      </c>
      <c r="R2110" s="34"/>
      <c r="S2110" s="38"/>
      <c r="T2110" s="38" t="s">
        <v>12690</v>
      </c>
    </row>
    <row r="2111" spans="1:20" x14ac:dyDescent="0.25">
      <c r="A2111" s="33" t="s">
        <v>5692</v>
      </c>
      <c r="B2111" s="33" t="s">
        <v>5691</v>
      </c>
      <c r="C2111" s="33" t="s">
        <v>141</v>
      </c>
      <c r="D2111" s="34"/>
      <c r="E2111" s="33">
        <v>2016</v>
      </c>
      <c r="F2111" s="34"/>
      <c r="G2111" s="34"/>
      <c r="H2111" s="33" t="s">
        <v>5693</v>
      </c>
      <c r="I2111" s="33" t="s">
        <v>257</v>
      </c>
      <c r="J2111" s="33">
        <v>2016</v>
      </c>
      <c r="K2111" s="33">
        <v>9781509021314</v>
      </c>
      <c r="L2111" s="34"/>
      <c r="M2111" s="34"/>
      <c r="N2111" s="37" t="s">
        <v>5694</v>
      </c>
      <c r="O2111" s="33" t="s">
        <v>5695</v>
      </c>
      <c r="P2111" s="33" t="s">
        <v>5696</v>
      </c>
      <c r="Q2111" s="33" t="s">
        <v>4581</v>
      </c>
      <c r="R2111" s="34"/>
      <c r="S2111" s="38"/>
      <c r="T2111" s="38" t="s">
        <v>12690</v>
      </c>
    </row>
    <row r="2112" spans="1:20" x14ac:dyDescent="0.25">
      <c r="A2112" s="33" t="s">
        <v>5698</v>
      </c>
      <c r="B2112" s="33" t="s">
        <v>5697</v>
      </c>
      <c r="C2112" s="33" t="s">
        <v>141</v>
      </c>
      <c r="D2112" s="34"/>
      <c r="E2112" s="33">
        <v>2015</v>
      </c>
      <c r="F2112" s="34"/>
      <c r="G2112" s="34"/>
      <c r="H2112" s="33" t="s">
        <v>1911</v>
      </c>
      <c r="I2112" s="33" t="s">
        <v>257</v>
      </c>
      <c r="J2112" s="33">
        <v>2015</v>
      </c>
      <c r="K2112" s="33">
        <v>9781467373784</v>
      </c>
      <c r="L2112" s="34"/>
      <c r="M2112" s="34"/>
      <c r="N2112" s="37" t="s">
        <v>5699</v>
      </c>
      <c r="O2112" s="33" t="s">
        <v>5700</v>
      </c>
      <c r="P2112" s="33" t="s">
        <v>5701</v>
      </c>
      <c r="Q2112" s="33" t="s">
        <v>4634</v>
      </c>
      <c r="R2112" s="34"/>
      <c r="S2112" s="38"/>
      <c r="T2112" s="38" t="s">
        <v>12690</v>
      </c>
    </row>
    <row r="2113" spans="1:20" x14ac:dyDescent="0.25">
      <c r="A2113" s="33" t="s">
        <v>5610</v>
      </c>
      <c r="B2113" s="33" t="s">
        <v>5609</v>
      </c>
      <c r="C2113" s="33" t="s">
        <v>141</v>
      </c>
      <c r="D2113" s="34"/>
      <c r="E2113" s="33">
        <v>2018</v>
      </c>
      <c r="F2113" s="34"/>
      <c r="G2113" s="34"/>
      <c r="H2113" s="33" t="s">
        <v>3417</v>
      </c>
      <c r="I2113" s="33" t="s">
        <v>257</v>
      </c>
      <c r="J2113" s="33">
        <v>2018</v>
      </c>
      <c r="K2113" s="33">
        <v>9781538682906</v>
      </c>
      <c r="L2113" s="34"/>
      <c r="M2113" s="34"/>
      <c r="N2113" s="37" t="s">
        <v>5611</v>
      </c>
      <c r="O2113" s="33" t="s">
        <v>5612</v>
      </c>
      <c r="P2113" s="33" t="s">
        <v>5613</v>
      </c>
      <c r="Q2113" s="33" t="s">
        <v>2286</v>
      </c>
      <c r="R2113" s="34"/>
      <c r="S2113" s="38"/>
      <c r="T2113" s="38" t="s">
        <v>12690</v>
      </c>
    </row>
    <row r="2114" spans="1:20" x14ac:dyDescent="0.25">
      <c r="A2114" s="33" t="s">
        <v>3211</v>
      </c>
      <c r="B2114" s="33" t="s">
        <v>3210</v>
      </c>
      <c r="C2114" s="33" t="s">
        <v>13</v>
      </c>
      <c r="D2114" s="33" t="s">
        <v>307</v>
      </c>
      <c r="E2114" s="33">
        <v>2020</v>
      </c>
      <c r="F2114" s="33">
        <v>127</v>
      </c>
      <c r="G2114" s="34"/>
      <c r="H2114" s="34"/>
      <c r="I2114" s="33" t="s">
        <v>280</v>
      </c>
      <c r="J2114" s="33">
        <v>2020</v>
      </c>
      <c r="K2114" s="34"/>
      <c r="L2114" s="34"/>
      <c r="M2114" s="33" t="s">
        <v>308</v>
      </c>
      <c r="N2114" s="37" t="s">
        <v>3212</v>
      </c>
      <c r="O2114" s="33" t="s">
        <v>3213</v>
      </c>
      <c r="P2114" s="33" t="s">
        <v>3214</v>
      </c>
      <c r="Q2114" s="33" t="s">
        <v>2110</v>
      </c>
      <c r="R2114" s="34"/>
      <c r="S2114" s="38"/>
      <c r="T2114" s="38" t="s">
        <v>12690</v>
      </c>
    </row>
    <row r="2115" spans="1:20" x14ac:dyDescent="0.25">
      <c r="A2115" s="33" t="s">
        <v>3102</v>
      </c>
      <c r="B2115" s="33" t="s">
        <v>3101</v>
      </c>
      <c r="C2115" s="33" t="s">
        <v>141</v>
      </c>
      <c r="D2115" s="34"/>
      <c r="E2115" s="33">
        <v>2020</v>
      </c>
      <c r="F2115" s="34"/>
      <c r="G2115" s="34"/>
      <c r="H2115" s="33" t="s">
        <v>11043</v>
      </c>
      <c r="I2115" s="44" t="s">
        <v>12697</v>
      </c>
      <c r="J2115" s="33">
        <v>2020</v>
      </c>
      <c r="K2115" s="33">
        <v>9781450371223</v>
      </c>
      <c r="L2115" s="33" t="s">
        <v>11050</v>
      </c>
      <c r="M2115" s="34"/>
      <c r="N2115" s="37" t="s">
        <v>11047</v>
      </c>
      <c r="O2115" s="33" t="s">
        <v>3105</v>
      </c>
      <c r="P2115" s="33" t="s">
        <v>11048</v>
      </c>
      <c r="Q2115" s="36"/>
      <c r="R2115" s="36"/>
      <c r="S2115" s="33" t="s">
        <v>11049</v>
      </c>
      <c r="T2115" s="33" t="s">
        <v>12692</v>
      </c>
    </row>
    <row r="2116" spans="1:20" x14ac:dyDescent="0.25">
      <c r="A2116" s="33" t="s">
        <v>3102</v>
      </c>
      <c r="B2116" s="33" t="s">
        <v>3101</v>
      </c>
      <c r="C2116" s="33" t="s">
        <v>141</v>
      </c>
      <c r="D2116" s="34"/>
      <c r="E2116" s="33">
        <v>2020</v>
      </c>
      <c r="F2116" s="34"/>
      <c r="G2116" s="34"/>
      <c r="H2116" s="33" t="s">
        <v>6110</v>
      </c>
      <c r="I2116" s="33" t="s">
        <v>6111</v>
      </c>
      <c r="J2116" s="35">
        <v>44105</v>
      </c>
      <c r="K2116" s="36"/>
      <c r="L2116" s="36"/>
      <c r="M2116" s="33" t="s">
        <v>6112</v>
      </c>
      <c r="N2116" s="34"/>
      <c r="O2116" s="34"/>
      <c r="P2116" s="33" t="s">
        <v>6113</v>
      </c>
      <c r="Q2116" s="36"/>
      <c r="R2116" s="36"/>
      <c r="S2116" s="33" t="s">
        <v>6114</v>
      </c>
      <c r="T2116" s="38" t="s">
        <v>12688</v>
      </c>
    </row>
    <row r="2117" spans="1:20" x14ac:dyDescent="0.25">
      <c r="A2117" s="33" t="s">
        <v>3102</v>
      </c>
      <c r="B2117" s="33" t="s">
        <v>3101</v>
      </c>
      <c r="C2117" s="33" t="s">
        <v>141</v>
      </c>
      <c r="D2117" s="34"/>
      <c r="E2117" s="33">
        <v>2020</v>
      </c>
      <c r="F2117" s="34"/>
      <c r="G2117" s="34"/>
      <c r="H2117" s="33" t="s">
        <v>3103</v>
      </c>
      <c r="I2117" s="33" t="s">
        <v>257</v>
      </c>
      <c r="J2117" s="33">
        <v>2020</v>
      </c>
      <c r="K2117" s="33">
        <v>9781450371223</v>
      </c>
      <c r="L2117" s="34"/>
      <c r="M2117" s="34"/>
      <c r="N2117" s="37" t="s">
        <v>3104</v>
      </c>
      <c r="O2117" s="33" t="s">
        <v>3105</v>
      </c>
      <c r="P2117" s="33" t="s">
        <v>3106</v>
      </c>
      <c r="Q2117" s="33" t="s">
        <v>289</v>
      </c>
      <c r="R2117" s="34"/>
      <c r="S2117" s="38"/>
      <c r="T2117" s="38" t="s">
        <v>12690</v>
      </c>
    </row>
    <row r="2118" spans="1:20" x14ac:dyDescent="0.25">
      <c r="A2118" s="33" t="s">
        <v>3102</v>
      </c>
      <c r="B2118" s="33" t="s">
        <v>3101</v>
      </c>
      <c r="C2118" s="33" t="s">
        <v>141</v>
      </c>
      <c r="D2118" s="34"/>
      <c r="E2118" s="33">
        <v>2020</v>
      </c>
      <c r="F2118" s="34"/>
      <c r="G2118" s="34"/>
      <c r="H2118" s="33" t="s">
        <v>3103</v>
      </c>
      <c r="I2118" s="33" t="s">
        <v>196</v>
      </c>
      <c r="J2118" s="33">
        <v>2020</v>
      </c>
      <c r="K2118" s="33">
        <v>9781450371223</v>
      </c>
      <c r="L2118" s="34"/>
      <c r="M2118" s="33" t="s">
        <v>1458</v>
      </c>
      <c r="N2118" s="37" t="s">
        <v>3968</v>
      </c>
      <c r="O2118" s="33" t="s">
        <v>3105</v>
      </c>
      <c r="P2118" s="33" t="s">
        <v>3969</v>
      </c>
      <c r="Q2118" s="33" t="s">
        <v>289</v>
      </c>
      <c r="R2118" s="34"/>
      <c r="S2118" s="38"/>
      <c r="T2118" s="38" t="s">
        <v>12690</v>
      </c>
    </row>
    <row r="2119" spans="1:20" x14ac:dyDescent="0.25">
      <c r="A2119" s="33" t="s">
        <v>4752</v>
      </c>
      <c r="B2119" s="33" t="s">
        <v>4751</v>
      </c>
      <c r="C2119" s="33" t="s">
        <v>141</v>
      </c>
      <c r="D2119" s="34"/>
      <c r="E2119" s="33">
        <v>2019</v>
      </c>
      <c r="F2119" s="34"/>
      <c r="G2119" s="34"/>
      <c r="H2119" s="33" t="s">
        <v>4753</v>
      </c>
      <c r="I2119" s="33" t="s">
        <v>257</v>
      </c>
      <c r="J2119" s="33">
        <v>2019</v>
      </c>
      <c r="K2119" s="33">
        <v>9781728130941</v>
      </c>
      <c r="L2119" s="34"/>
      <c r="M2119" s="34"/>
      <c r="N2119" s="37" t="s">
        <v>4754</v>
      </c>
      <c r="O2119" s="33" t="s">
        <v>4755</v>
      </c>
      <c r="P2119" s="33" t="s">
        <v>4756</v>
      </c>
      <c r="Q2119" s="33" t="s">
        <v>185</v>
      </c>
      <c r="R2119" s="34"/>
      <c r="S2119" s="38"/>
      <c r="T2119" s="38" t="s">
        <v>12690</v>
      </c>
    </row>
    <row r="2120" spans="1:20" x14ac:dyDescent="0.25">
      <c r="A2120" s="39" t="s">
        <v>10239</v>
      </c>
      <c r="B2120" s="39" t="s">
        <v>10241</v>
      </c>
      <c r="C2120" s="39" t="s">
        <v>9539</v>
      </c>
      <c r="D2120" s="36"/>
      <c r="E2120" s="39">
        <v>2020</v>
      </c>
      <c r="F2120" s="40"/>
      <c r="G2120" s="40"/>
      <c r="H2120" s="36"/>
      <c r="I2120" s="39" t="s">
        <v>10238</v>
      </c>
      <c r="J2120" s="36"/>
      <c r="K2120" s="36"/>
      <c r="L2120" s="36"/>
      <c r="M2120" s="34"/>
      <c r="N2120" s="41" t="s">
        <v>10242</v>
      </c>
      <c r="O2120" s="39" t="s">
        <v>10240</v>
      </c>
      <c r="P2120" s="33"/>
      <c r="Q2120" s="36"/>
      <c r="R2120" s="34"/>
      <c r="S2120" s="38"/>
      <c r="T2120" s="38" t="s">
        <v>12689</v>
      </c>
    </row>
    <row r="2121" spans="1:20" x14ac:dyDescent="0.25">
      <c r="A2121" s="33" t="s">
        <v>1636</v>
      </c>
      <c r="B2121" s="33" t="s">
        <v>1635</v>
      </c>
      <c r="C2121" s="33" t="s">
        <v>13</v>
      </c>
      <c r="D2121" s="33" t="s">
        <v>1637</v>
      </c>
      <c r="E2121" s="33">
        <v>2021</v>
      </c>
      <c r="F2121" s="33">
        <v>3</v>
      </c>
      <c r="G2121" s="33">
        <v>2</v>
      </c>
      <c r="H2121" s="33" t="s">
        <v>1638</v>
      </c>
      <c r="I2121" s="33" t="s">
        <v>228</v>
      </c>
      <c r="J2121" s="33">
        <v>2021</v>
      </c>
      <c r="K2121" s="34"/>
      <c r="L2121" s="34"/>
      <c r="M2121" s="33" t="s">
        <v>1639</v>
      </c>
      <c r="N2121" s="37" t="s">
        <v>1640</v>
      </c>
      <c r="O2121" s="33" t="s">
        <v>1641</v>
      </c>
      <c r="P2121" s="33" t="s">
        <v>1642</v>
      </c>
      <c r="Q2121" s="33" t="s">
        <v>1643</v>
      </c>
      <c r="R2121" s="34"/>
      <c r="S2121" s="38"/>
      <c r="T2121" s="38" t="s">
        <v>12690</v>
      </c>
    </row>
    <row r="2122" spans="1:20" x14ac:dyDescent="0.25">
      <c r="A2122" s="39" t="s">
        <v>10427</v>
      </c>
      <c r="B2122" s="39" t="s">
        <v>10429</v>
      </c>
      <c r="C2122" s="39" t="s">
        <v>9539</v>
      </c>
      <c r="D2122" s="36"/>
      <c r="E2122" s="39">
        <v>2018</v>
      </c>
      <c r="F2122" s="40"/>
      <c r="G2122" s="40"/>
      <c r="H2122" s="36"/>
      <c r="I2122" s="39" t="s">
        <v>10426</v>
      </c>
      <c r="J2122" s="36"/>
      <c r="K2122" s="36"/>
      <c r="L2122" s="36"/>
      <c r="M2122" s="34"/>
      <c r="N2122" s="41" t="s">
        <v>10430</v>
      </c>
      <c r="O2122" s="39" t="s">
        <v>10428</v>
      </c>
      <c r="P2122" s="33"/>
      <c r="Q2122" s="36"/>
      <c r="R2122" s="34"/>
      <c r="S2122" s="38"/>
      <c r="T2122" s="38" t="s">
        <v>12689</v>
      </c>
    </row>
    <row r="2123" spans="1:20" x14ac:dyDescent="0.25">
      <c r="A2123" s="33" t="s">
        <v>8676</v>
      </c>
      <c r="B2123" s="33" t="s">
        <v>8675</v>
      </c>
      <c r="C2123" s="33" t="s">
        <v>13</v>
      </c>
      <c r="D2123" s="33" t="s">
        <v>307</v>
      </c>
      <c r="E2123" s="33">
        <v>2019</v>
      </c>
      <c r="F2123" s="33">
        <v>110</v>
      </c>
      <c r="G2123" s="36"/>
      <c r="H2123" s="33" t="s">
        <v>8677</v>
      </c>
      <c r="I2123" s="36"/>
      <c r="J2123" s="33">
        <v>2019</v>
      </c>
      <c r="K2123" s="34"/>
      <c r="L2123" s="34"/>
      <c r="M2123" s="33" t="s">
        <v>308</v>
      </c>
      <c r="N2123" s="37" t="s">
        <v>8678</v>
      </c>
      <c r="O2123" s="33" t="s">
        <v>8679</v>
      </c>
      <c r="P2123" s="33" t="s">
        <v>8680</v>
      </c>
      <c r="Q2123" s="36"/>
      <c r="R2123" s="36"/>
      <c r="S2123" s="33" t="s">
        <v>8681</v>
      </c>
      <c r="T2123" s="38" t="s">
        <v>12693</v>
      </c>
    </row>
    <row r="2124" spans="1:20" x14ac:dyDescent="0.25">
      <c r="A2124" s="33" t="s">
        <v>4114</v>
      </c>
      <c r="B2124" s="33" t="s">
        <v>4113</v>
      </c>
      <c r="C2124" s="33" t="s">
        <v>13</v>
      </c>
      <c r="D2124" s="33" t="s">
        <v>462</v>
      </c>
      <c r="E2124" s="33">
        <v>2020</v>
      </c>
      <c r="F2124" s="33" t="s">
        <v>4115</v>
      </c>
      <c r="G2124" s="34"/>
      <c r="H2124" s="33" t="s">
        <v>4116</v>
      </c>
      <c r="I2124" s="33" t="s">
        <v>212</v>
      </c>
      <c r="J2124" s="33">
        <v>2020</v>
      </c>
      <c r="K2124" s="34"/>
      <c r="L2124" s="34"/>
      <c r="M2124" s="33" t="s">
        <v>465</v>
      </c>
      <c r="N2124" s="37" t="s">
        <v>4117</v>
      </c>
      <c r="O2124" s="33" t="s">
        <v>4118</v>
      </c>
      <c r="P2124" s="33" t="s">
        <v>4119</v>
      </c>
      <c r="Q2124" s="33" t="s">
        <v>4120</v>
      </c>
      <c r="R2124" s="34"/>
      <c r="S2124" s="38"/>
      <c r="T2124" s="38" t="s">
        <v>12690</v>
      </c>
    </row>
    <row r="2125" spans="1:20" x14ac:dyDescent="0.25">
      <c r="A2125" s="33" t="s">
        <v>7462</v>
      </c>
      <c r="B2125" s="33" t="s">
        <v>7461</v>
      </c>
      <c r="C2125" s="33" t="s">
        <v>141</v>
      </c>
      <c r="D2125" s="34"/>
      <c r="E2125" s="33">
        <v>2020</v>
      </c>
      <c r="F2125" s="34"/>
      <c r="G2125" s="34"/>
      <c r="H2125" s="33" t="s">
        <v>7463</v>
      </c>
      <c r="I2125" s="33" t="s">
        <v>7464</v>
      </c>
      <c r="J2125" s="35">
        <v>44105</v>
      </c>
      <c r="K2125" s="36"/>
      <c r="L2125" s="36"/>
      <c r="M2125" s="34"/>
      <c r="N2125" s="37" t="s">
        <v>7465</v>
      </c>
      <c r="O2125" s="33" t="s">
        <v>7466</v>
      </c>
      <c r="P2125" s="33" t="s">
        <v>7467</v>
      </c>
      <c r="Q2125" s="36"/>
      <c r="R2125" s="36"/>
      <c r="S2125" s="33" t="s">
        <v>7468</v>
      </c>
      <c r="T2125" s="38" t="s">
        <v>12688</v>
      </c>
    </row>
    <row r="2126" spans="1:20" x14ac:dyDescent="0.25">
      <c r="A2126" s="33" t="s">
        <v>1785</v>
      </c>
      <c r="B2126" s="33" t="s">
        <v>1784</v>
      </c>
      <c r="C2126" s="33" t="s">
        <v>141</v>
      </c>
      <c r="D2126" s="34"/>
      <c r="E2126" s="33">
        <v>2021</v>
      </c>
      <c r="F2126" s="34"/>
      <c r="G2126" s="34"/>
      <c r="H2126" s="42">
        <v>44934</v>
      </c>
      <c r="I2126" s="33" t="s">
        <v>6179</v>
      </c>
      <c r="J2126" s="43">
        <v>44440</v>
      </c>
      <c r="K2126" s="36"/>
      <c r="L2126" s="36"/>
      <c r="M2126" s="34"/>
      <c r="N2126" s="37" t="s">
        <v>6386</v>
      </c>
      <c r="O2126" s="33" t="s">
        <v>1788</v>
      </c>
      <c r="P2126" s="33" t="s">
        <v>6387</v>
      </c>
      <c r="Q2126" s="36"/>
      <c r="R2126" s="36"/>
      <c r="S2126" s="33" t="s">
        <v>6388</v>
      </c>
      <c r="T2126" s="38" t="s">
        <v>12688</v>
      </c>
    </row>
    <row r="2127" spans="1:20" x14ac:dyDescent="0.25">
      <c r="A2127" s="33" t="s">
        <v>1785</v>
      </c>
      <c r="B2127" s="33" t="s">
        <v>1784</v>
      </c>
      <c r="C2127" s="33" t="s">
        <v>141</v>
      </c>
      <c r="D2127" s="34"/>
      <c r="E2127" s="33">
        <v>2021</v>
      </c>
      <c r="F2127" s="34"/>
      <c r="G2127" s="34"/>
      <c r="H2127" s="33" t="s">
        <v>1786</v>
      </c>
      <c r="I2127" s="33" t="s">
        <v>257</v>
      </c>
      <c r="J2127" s="33">
        <v>2021</v>
      </c>
      <c r="K2127" s="33">
        <v>9781665427050</v>
      </c>
      <c r="L2127" s="34"/>
      <c r="M2127" s="34"/>
      <c r="N2127" s="37" t="s">
        <v>1787</v>
      </c>
      <c r="O2127" s="33" t="s">
        <v>1788</v>
      </c>
      <c r="P2127" s="33" t="s">
        <v>1789</v>
      </c>
      <c r="Q2127" s="33" t="s">
        <v>397</v>
      </c>
      <c r="R2127" s="34"/>
      <c r="S2127" s="38"/>
      <c r="T2127" s="38" t="s">
        <v>12690</v>
      </c>
    </row>
    <row r="2128" spans="1:20" x14ac:dyDescent="0.25">
      <c r="A2128" s="33" t="s">
        <v>3526</v>
      </c>
      <c r="B2128" s="33" t="s">
        <v>3525</v>
      </c>
      <c r="C2128" s="33" t="s">
        <v>141</v>
      </c>
      <c r="D2128" s="34"/>
      <c r="E2128" s="33">
        <v>2021</v>
      </c>
      <c r="F2128" s="34"/>
      <c r="G2128" s="34"/>
      <c r="H2128" s="33" t="s">
        <v>3527</v>
      </c>
      <c r="I2128" s="33" t="s">
        <v>257</v>
      </c>
      <c r="J2128" s="33">
        <v>2021</v>
      </c>
      <c r="K2128" s="33">
        <v>9781728195155</v>
      </c>
      <c r="L2128" s="34"/>
      <c r="M2128" s="34"/>
      <c r="N2128" s="37" t="s">
        <v>3528</v>
      </c>
      <c r="O2128" s="33" t="s">
        <v>3529</v>
      </c>
      <c r="P2128" s="33" t="s">
        <v>3530</v>
      </c>
      <c r="Q2128" s="33" t="s">
        <v>157</v>
      </c>
      <c r="R2128" s="34"/>
      <c r="S2128" s="38"/>
      <c r="T2128" s="38" t="s">
        <v>12690</v>
      </c>
    </row>
    <row r="2129" spans="1:20" x14ac:dyDescent="0.25">
      <c r="A2129" s="33" t="s">
        <v>924</v>
      </c>
      <c r="B2129" s="33" t="s">
        <v>923</v>
      </c>
      <c r="C2129" s="33" t="s">
        <v>13</v>
      </c>
      <c r="D2129" s="33" t="s">
        <v>925</v>
      </c>
      <c r="E2129" s="33">
        <v>2022</v>
      </c>
      <c r="F2129" s="33">
        <v>11</v>
      </c>
      <c r="G2129" s="33">
        <v>10</v>
      </c>
      <c r="H2129" s="34"/>
      <c r="I2129" s="33" t="s">
        <v>228</v>
      </c>
      <c r="J2129" s="33">
        <v>2022</v>
      </c>
      <c r="K2129" s="34"/>
      <c r="L2129" s="34"/>
      <c r="M2129" s="33" t="s">
        <v>926</v>
      </c>
      <c r="N2129" s="37" t="s">
        <v>927</v>
      </c>
      <c r="O2129" s="33" t="s">
        <v>928</v>
      </c>
      <c r="P2129" s="33" t="s">
        <v>929</v>
      </c>
      <c r="Q2129" s="33" t="s">
        <v>285</v>
      </c>
      <c r="R2129" s="34"/>
      <c r="S2129" s="38"/>
      <c r="T2129" s="38" t="s">
        <v>12690</v>
      </c>
    </row>
    <row r="2130" spans="1:20" x14ac:dyDescent="0.25">
      <c r="A2130" s="33" t="s">
        <v>2165</v>
      </c>
      <c r="B2130" s="33" t="s">
        <v>2164</v>
      </c>
      <c r="C2130" s="33" t="s">
        <v>13</v>
      </c>
      <c r="D2130" s="33" t="s">
        <v>2166</v>
      </c>
      <c r="E2130" s="33">
        <v>2021</v>
      </c>
      <c r="F2130" s="33">
        <v>2</v>
      </c>
      <c r="G2130" s="33">
        <v>5</v>
      </c>
      <c r="H2130" s="34"/>
      <c r="I2130" s="33" t="s">
        <v>137</v>
      </c>
      <c r="J2130" s="33">
        <v>2021</v>
      </c>
      <c r="K2130" s="34"/>
      <c r="L2130" s="34"/>
      <c r="M2130" s="33" t="s">
        <v>2167</v>
      </c>
      <c r="N2130" s="37" t="s">
        <v>2168</v>
      </c>
      <c r="O2130" s="33" t="s">
        <v>2169</v>
      </c>
      <c r="P2130" s="33" t="s">
        <v>2170</v>
      </c>
      <c r="Q2130" s="33" t="s">
        <v>1656</v>
      </c>
      <c r="R2130" s="34"/>
      <c r="S2130" s="38"/>
      <c r="T2130" s="38" t="s">
        <v>12690</v>
      </c>
    </row>
    <row r="2131" spans="1:20" x14ac:dyDescent="0.25">
      <c r="A2131" s="33" t="s">
        <v>5960</v>
      </c>
      <c r="B2131" s="33" t="s">
        <v>5959</v>
      </c>
      <c r="C2131" s="33" t="s">
        <v>141</v>
      </c>
      <c r="D2131" s="34"/>
      <c r="E2131" s="33">
        <v>2018</v>
      </c>
      <c r="F2131" s="33">
        <v>2361</v>
      </c>
      <c r="G2131" s="34"/>
      <c r="H2131" s="34"/>
      <c r="I2131" s="33" t="s">
        <v>613</v>
      </c>
      <c r="J2131" s="33">
        <v>2018</v>
      </c>
      <c r="K2131" s="34"/>
      <c r="L2131" s="34"/>
      <c r="M2131" s="33" t="s">
        <v>614</v>
      </c>
      <c r="N2131" s="37" t="s">
        <v>5961</v>
      </c>
      <c r="O2131" s="34"/>
      <c r="P2131" s="33" t="s">
        <v>5962</v>
      </c>
      <c r="Q2131" s="33" t="s">
        <v>318</v>
      </c>
      <c r="R2131" s="34"/>
      <c r="S2131" s="38"/>
      <c r="T2131" s="38" t="s">
        <v>12690</v>
      </c>
    </row>
    <row r="2132" spans="1:20" x14ac:dyDescent="0.25">
      <c r="A2132" s="33" t="s">
        <v>11184</v>
      </c>
      <c r="B2132" s="33" t="s">
        <v>4885</v>
      </c>
      <c r="C2132" s="33" t="s">
        <v>141</v>
      </c>
      <c r="D2132" s="34"/>
      <c r="E2132" s="33">
        <v>2019</v>
      </c>
      <c r="F2132" s="34"/>
      <c r="G2132" s="34"/>
      <c r="H2132" s="33" t="s">
        <v>11185</v>
      </c>
      <c r="I2132" s="44" t="s">
        <v>12795</v>
      </c>
      <c r="J2132" s="33">
        <v>2019</v>
      </c>
      <c r="K2132" s="33">
        <v>9781450368551</v>
      </c>
      <c r="L2132" s="33" t="s">
        <v>11191</v>
      </c>
      <c r="M2132" s="34"/>
      <c r="N2132" s="37" t="s">
        <v>11188</v>
      </c>
      <c r="O2132" s="33" t="s">
        <v>4889</v>
      </c>
      <c r="P2132" s="33" t="s">
        <v>11189</v>
      </c>
      <c r="Q2132" s="36"/>
      <c r="R2132" s="36"/>
      <c r="S2132" s="33" t="s">
        <v>11190</v>
      </c>
      <c r="T2132" s="33" t="s">
        <v>12692</v>
      </c>
    </row>
    <row r="2133" spans="1:20" x14ac:dyDescent="0.25">
      <c r="A2133" s="33" t="s">
        <v>11184</v>
      </c>
      <c r="B2133" s="33" t="s">
        <v>4885</v>
      </c>
      <c r="C2133" s="33" t="s">
        <v>141</v>
      </c>
      <c r="D2133" s="34"/>
      <c r="E2133" s="33">
        <v>2019</v>
      </c>
      <c r="F2133" s="34"/>
      <c r="G2133" s="34"/>
      <c r="H2133" s="33" t="s">
        <v>4887</v>
      </c>
      <c r="I2133" s="33" t="s">
        <v>153</v>
      </c>
      <c r="J2133" s="33">
        <v>2019</v>
      </c>
      <c r="K2133" s="33">
        <v>9781450368551</v>
      </c>
      <c r="L2133" s="34"/>
      <c r="M2133" s="34"/>
      <c r="N2133" s="37" t="s">
        <v>4888</v>
      </c>
      <c r="O2133" s="33" t="s">
        <v>4889</v>
      </c>
      <c r="P2133" s="33" t="s">
        <v>4890</v>
      </c>
      <c r="Q2133" s="33" t="s">
        <v>4016</v>
      </c>
      <c r="R2133" s="34"/>
      <c r="S2133" s="38"/>
      <c r="T2133" s="38" t="s">
        <v>12690</v>
      </c>
    </row>
    <row r="2134" spans="1:20" x14ac:dyDescent="0.25">
      <c r="A2134" s="33" t="s">
        <v>7516</v>
      </c>
      <c r="B2134" s="33" t="s">
        <v>7515</v>
      </c>
      <c r="C2134" s="33" t="s">
        <v>13</v>
      </c>
      <c r="D2134" s="33" t="s">
        <v>255</v>
      </c>
      <c r="E2134" s="33">
        <v>2022</v>
      </c>
      <c r="F2134" s="34"/>
      <c r="G2134" s="34"/>
      <c r="H2134" s="42">
        <v>44946</v>
      </c>
      <c r="I2134" s="34"/>
      <c r="J2134" s="33">
        <v>2022</v>
      </c>
      <c r="K2134" s="36"/>
      <c r="L2134" s="36"/>
      <c r="M2134" s="33" t="s">
        <v>6115</v>
      </c>
      <c r="N2134" s="37" t="s">
        <v>7517</v>
      </c>
      <c r="O2134" s="33" t="s">
        <v>7518</v>
      </c>
      <c r="P2134" s="33" t="s">
        <v>7519</v>
      </c>
      <c r="Q2134" s="36"/>
      <c r="R2134" s="36"/>
      <c r="S2134" s="33" t="s">
        <v>7520</v>
      </c>
      <c r="T2134" s="38" t="s">
        <v>12688</v>
      </c>
    </row>
    <row r="2135" spans="1:20" x14ac:dyDescent="0.25">
      <c r="A2135" s="33" t="s">
        <v>2961</v>
      </c>
      <c r="B2135" s="33" t="s">
        <v>2960</v>
      </c>
      <c r="C2135" s="33" t="s">
        <v>141</v>
      </c>
      <c r="D2135" s="34"/>
      <c r="E2135" s="33">
        <v>2021</v>
      </c>
      <c r="F2135" s="34"/>
      <c r="G2135" s="34"/>
      <c r="H2135" s="33" t="s">
        <v>2962</v>
      </c>
      <c r="I2135" s="33" t="s">
        <v>257</v>
      </c>
      <c r="J2135" s="33">
        <v>2021</v>
      </c>
      <c r="K2135" s="33">
        <v>9781665403375</v>
      </c>
      <c r="L2135" s="34"/>
      <c r="M2135" s="34"/>
      <c r="N2135" s="37" t="s">
        <v>2963</v>
      </c>
      <c r="O2135" s="33" t="s">
        <v>2964</v>
      </c>
      <c r="P2135" s="33" t="s">
        <v>2965</v>
      </c>
      <c r="Q2135" s="33" t="s">
        <v>157</v>
      </c>
      <c r="R2135" s="34"/>
      <c r="S2135" s="38"/>
      <c r="T2135" s="38" t="s">
        <v>12690</v>
      </c>
    </row>
    <row r="2136" spans="1:20" x14ac:dyDescent="0.25">
      <c r="A2136" s="33" t="s">
        <v>12276</v>
      </c>
      <c r="B2136" s="33" t="s">
        <v>5782</v>
      </c>
      <c r="C2136" s="33" t="s">
        <v>141</v>
      </c>
      <c r="D2136" s="34"/>
      <c r="E2136" s="33">
        <v>2018</v>
      </c>
      <c r="F2136" s="34"/>
      <c r="G2136" s="34"/>
      <c r="H2136" s="33" t="s">
        <v>11092</v>
      </c>
      <c r="I2136" s="44" t="s">
        <v>12832</v>
      </c>
      <c r="J2136" s="33">
        <v>2018</v>
      </c>
      <c r="K2136" s="33">
        <v>9781450360555</v>
      </c>
      <c r="L2136" s="33" t="s">
        <v>12281</v>
      </c>
      <c r="M2136" s="34"/>
      <c r="N2136" s="37" t="s">
        <v>12278</v>
      </c>
      <c r="O2136" s="33" t="s">
        <v>5786</v>
      </c>
      <c r="P2136" s="33" t="s">
        <v>12279</v>
      </c>
      <c r="Q2136" s="36"/>
      <c r="R2136" s="36"/>
      <c r="S2136" s="33" t="s">
        <v>12280</v>
      </c>
      <c r="T2136" s="33" t="s">
        <v>12692</v>
      </c>
    </row>
    <row r="2137" spans="1:20" x14ac:dyDescent="0.25">
      <c r="A2137" s="33" t="s">
        <v>12276</v>
      </c>
      <c r="B2137" s="33" t="s">
        <v>5782</v>
      </c>
      <c r="C2137" s="33" t="s">
        <v>141</v>
      </c>
      <c r="D2137" s="34"/>
      <c r="E2137" s="33">
        <v>2018</v>
      </c>
      <c r="F2137" s="34"/>
      <c r="G2137" s="34"/>
      <c r="H2137" s="33" t="s">
        <v>5784</v>
      </c>
      <c r="I2137" s="33" t="s">
        <v>153</v>
      </c>
      <c r="J2137" s="33">
        <v>2018</v>
      </c>
      <c r="K2137" s="33">
        <v>9781450360555</v>
      </c>
      <c r="L2137" s="34"/>
      <c r="M2137" s="34"/>
      <c r="N2137" s="37" t="s">
        <v>5785</v>
      </c>
      <c r="O2137" s="33" t="s">
        <v>5786</v>
      </c>
      <c r="P2137" s="33" t="s">
        <v>5787</v>
      </c>
      <c r="Q2137" s="33" t="s">
        <v>1813</v>
      </c>
      <c r="R2137" s="34"/>
      <c r="S2137" s="38"/>
      <c r="T2137" s="38" t="s">
        <v>12690</v>
      </c>
    </row>
    <row r="2138" spans="1:20" x14ac:dyDescent="0.25">
      <c r="A2138" s="33" t="s">
        <v>3532</v>
      </c>
      <c r="B2138" s="33" t="s">
        <v>3531</v>
      </c>
      <c r="C2138" s="33" t="s">
        <v>141</v>
      </c>
      <c r="D2138" s="34"/>
      <c r="E2138" s="33">
        <v>2021</v>
      </c>
      <c r="F2138" s="34"/>
      <c r="G2138" s="34"/>
      <c r="H2138" s="33" t="s">
        <v>3533</v>
      </c>
      <c r="I2138" s="33" t="s">
        <v>257</v>
      </c>
      <c r="J2138" s="33">
        <v>2021</v>
      </c>
      <c r="K2138" s="33">
        <v>9781665448970</v>
      </c>
      <c r="L2138" s="34"/>
      <c r="M2138" s="34"/>
      <c r="N2138" s="37" t="s">
        <v>3534</v>
      </c>
      <c r="O2138" s="33" t="s">
        <v>3535</v>
      </c>
      <c r="P2138" s="33" t="s">
        <v>3536</v>
      </c>
      <c r="Q2138" s="33" t="s">
        <v>157</v>
      </c>
      <c r="R2138" s="34"/>
      <c r="S2138" s="38"/>
      <c r="T2138" s="38" t="s">
        <v>12690</v>
      </c>
    </row>
    <row r="2139" spans="1:20" x14ac:dyDescent="0.25">
      <c r="A2139" s="39" t="s">
        <v>10557</v>
      </c>
      <c r="B2139" s="39" t="s">
        <v>10559</v>
      </c>
      <c r="C2139" s="39" t="s">
        <v>9539</v>
      </c>
      <c r="D2139" s="36"/>
      <c r="E2139" s="39">
        <v>2022</v>
      </c>
      <c r="F2139" s="40"/>
      <c r="G2139" s="40"/>
      <c r="H2139" s="36"/>
      <c r="I2139" s="39" t="s">
        <v>9433</v>
      </c>
      <c r="J2139" s="36"/>
      <c r="K2139" s="36"/>
      <c r="L2139" s="36"/>
      <c r="M2139" s="34"/>
      <c r="N2139" s="41" t="s">
        <v>10560</v>
      </c>
      <c r="O2139" s="39" t="s">
        <v>10558</v>
      </c>
      <c r="P2139" s="33"/>
      <c r="Q2139" s="36"/>
      <c r="R2139" s="34"/>
      <c r="S2139" s="38"/>
      <c r="T2139" s="38" t="s">
        <v>12689</v>
      </c>
    </row>
    <row r="2140" spans="1:20" x14ac:dyDescent="0.25">
      <c r="A2140" s="33" t="s">
        <v>11258</v>
      </c>
      <c r="B2140" s="33" t="s">
        <v>11257</v>
      </c>
      <c r="C2140" s="33" t="s">
        <v>141</v>
      </c>
      <c r="D2140" s="34"/>
      <c r="E2140" s="33">
        <v>2020</v>
      </c>
      <c r="F2140" s="34"/>
      <c r="G2140" s="34"/>
      <c r="H2140" s="33" t="s">
        <v>11259</v>
      </c>
      <c r="I2140" s="44" t="s">
        <v>12711</v>
      </c>
      <c r="J2140" s="33">
        <v>2020</v>
      </c>
      <c r="K2140" s="33">
        <v>9781450379601</v>
      </c>
      <c r="L2140" s="33" t="s">
        <v>11162</v>
      </c>
      <c r="M2140" s="34"/>
      <c r="N2140" s="37" t="s">
        <v>11260</v>
      </c>
      <c r="O2140" s="33" t="s">
        <v>11261</v>
      </c>
      <c r="P2140" s="33" t="s">
        <v>11262</v>
      </c>
      <c r="Q2140" s="36"/>
      <c r="R2140" s="36"/>
      <c r="S2140" s="34"/>
      <c r="T2140" s="33" t="s">
        <v>12692</v>
      </c>
    </row>
    <row r="2141" spans="1:20" x14ac:dyDescent="0.25">
      <c r="A2141" s="33" t="s">
        <v>5605</v>
      </c>
      <c r="B2141" s="33" t="s">
        <v>5604</v>
      </c>
      <c r="C2141" s="33" t="s">
        <v>141</v>
      </c>
      <c r="D2141" s="34"/>
      <c r="E2141" s="33">
        <v>2015</v>
      </c>
      <c r="F2141" s="45">
        <v>42248</v>
      </c>
      <c r="G2141" s="34"/>
      <c r="H2141" s="34"/>
      <c r="I2141" s="33" t="s">
        <v>257</v>
      </c>
      <c r="J2141" s="33">
        <v>2015</v>
      </c>
      <c r="K2141" s="33">
        <v>9781479919604</v>
      </c>
      <c r="L2141" s="34"/>
      <c r="M2141" s="34"/>
      <c r="N2141" s="37" t="s">
        <v>5606</v>
      </c>
      <c r="O2141" s="33" t="s">
        <v>5607</v>
      </c>
      <c r="P2141" s="33" t="s">
        <v>5608</v>
      </c>
      <c r="Q2141" s="33" t="s">
        <v>520</v>
      </c>
      <c r="R2141" s="34"/>
      <c r="S2141" s="38"/>
      <c r="T2141" s="38" t="s">
        <v>12690</v>
      </c>
    </row>
    <row r="2142" spans="1:20" x14ac:dyDescent="0.25">
      <c r="A2142" s="33" t="s">
        <v>3107</v>
      </c>
      <c r="B2142" s="33" t="s">
        <v>352</v>
      </c>
      <c r="C2142" s="33" t="s">
        <v>141</v>
      </c>
      <c r="D2142" s="34"/>
      <c r="E2142" s="33">
        <v>2021</v>
      </c>
      <c r="F2142" s="34"/>
      <c r="G2142" s="34"/>
      <c r="H2142" s="33" t="s">
        <v>3108</v>
      </c>
      <c r="I2142" s="33" t="s">
        <v>3109</v>
      </c>
      <c r="J2142" s="33">
        <v>2021</v>
      </c>
      <c r="K2142" s="33">
        <v>9789897585234</v>
      </c>
      <c r="L2142" s="34"/>
      <c r="M2142" s="34"/>
      <c r="N2142" s="37" t="s">
        <v>3110</v>
      </c>
      <c r="O2142" s="33" t="s">
        <v>3111</v>
      </c>
      <c r="P2142" s="33" t="s">
        <v>3112</v>
      </c>
      <c r="Q2142" s="33" t="s">
        <v>595</v>
      </c>
      <c r="R2142" s="34"/>
      <c r="S2142" s="38"/>
      <c r="T2142" s="38" t="s">
        <v>12690</v>
      </c>
    </row>
    <row r="2143" spans="1:20" x14ac:dyDescent="0.25">
      <c r="A2143" s="33" t="s">
        <v>2483</v>
      </c>
      <c r="B2143" s="33" t="s">
        <v>2482</v>
      </c>
      <c r="C2143" s="33" t="s">
        <v>13</v>
      </c>
      <c r="D2143" s="33" t="s">
        <v>2484</v>
      </c>
      <c r="E2143" s="33">
        <v>2022</v>
      </c>
      <c r="F2143" s="33">
        <v>2022</v>
      </c>
      <c r="G2143" s="34"/>
      <c r="H2143" s="34"/>
      <c r="I2143" s="33" t="s">
        <v>1333</v>
      </c>
      <c r="J2143" s="33">
        <v>2022</v>
      </c>
      <c r="K2143" s="34"/>
      <c r="L2143" s="34"/>
      <c r="M2143" s="33" t="s">
        <v>2485</v>
      </c>
      <c r="N2143" s="37" t="s">
        <v>2486</v>
      </c>
      <c r="O2143" s="33" t="s">
        <v>2487</v>
      </c>
      <c r="P2143" s="33" t="s">
        <v>2488</v>
      </c>
      <c r="Q2143" s="33" t="s">
        <v>896</v>
      </c>
      <c r="R2143" s="34"/>
      <c r="S2143" s="38"/>
      <c r="T2143" s="38" t="s">
        <v>12690</v>
      </c>
    </row>
    <row r="2144" spans="1:20" x14ac:dyDescent="0.25">
      <c r="A2144" s="39" t="s">
        <v>10754</v>
      </c>
      <c r="B2144" s="39" t="s">
        <v>10756</v>
      </c>
      <c r="C2144" s="39" t="s">
        <v>9539</v>
      </c>
      <c r="D2144" s="36"/>
      <c r="E2144" s="39">
        <v>2020</v>
      </c>
      <c r="F2144" s="40"/>
      <c r="G2144" s="40"/>
      <c r="H2144" s="36"/>
      <c r="I2144" s="39" t="s">
        <v>10753</v>
      </c>
      <c r="J2144" s="36"/>
      <c r="K2144" s="36"/>
      <c r="L2144" s="36"/>
      <c r="M2144" s="34"/>
      <c r="N2144" s="41" t="s">
        <v>10757</v>
      </c>
      <c r="O2144" s="39" t="s">
        <v>10755</v>
      </c>
      <c r="P2144" s="33"/>
      <c r="Q2144" s="36"/>
      <c r="R2144" s="34"/>
      <c r="S2144" s="38"/>
      <c r="T2144" s="38" t="s">
        <v>12689</v>
      </c>
    </row>
    <row r="2145" spans="1:20" x14ac:dyDescent="0.25">
      <c r="A2145" s="33" t="s">
        <v>1833</v>
      </c>
      <c r="B2145" s="33" t="s">
        <v>1832</v>
      </c>
      <c r="C2145" s="33" t="s">
        <v>13</v>
      </c>
      <c r="D2145" s="33" t="s">
        <v>209</v>
      </c>
      <c r="E2145" s="33">
        <v>2022</v>
      </c>
      <c r="F2145" s="33" t="s">
        <v>1834</v>
      </c>
      <c r="G2145" s="34"/>
      <c r="H2145" s="33" t="s">
        <v>1835</v>
      </c>
      <c r="I2145" s="33" t="s">
        <v>212</v>
      </c>
      <c r="J2145" s="33">
        <v>2022</v>
      </c>
      <c r="K2145" s="34"/>
      <c r="L2145" s="34"/>
      <c r="M2145" s="33" t="s">
        <v>213</v>
      </c>
      <c r="N2145" s="37" t="s">
        <v>1836</v>
      </c>
      <c r="O2145" s="33" t="s">
        <v>1837</v>
      </c>
      <c r="P2145" s="33" t="s">
        <v>1838</v>
      </c>
      <c r="Q2145" s="33" t="s">
        <v>404</v>
      </c>
      <c r="R2145" s="34"/>
      <c r="S2145" s="38"/>
      <c r="T2145" s="38" t="s">
        <v>12690</v>
      </c>
    </row>
    <row r="2146" spans="1:20" x14ac:dyDescent="0.25">
      <c r="A2146" s="39" t="s">
        <v>9449</v>
      </c>
      <c r="B2146" s="39" t="s">
        <v>9451</v>
      </c>
      <c r="C2146" s="39" t="s">
        <v>539</v>
      </c>
      <c r="D2146" s="36"/>
      <c r="E2146" s="39">
        <v>2021</v>
      </c>
      <c r="F2146" s="40"/>
      <c r="G2146" s="40"/>
      <c r="H2146" s="36"/>
      <c r="I2146" s="39" t="s">
        <v>3475</v>
      </c>
      <c r="J2146" s="36"/>
      <c r="K2146" s="36"/>
      <c r="L2146" s="36"/>
      <c r="M2146" s="34"/>
      <c r="N2146" s="41" t="s">
        <v>9452</v>
      </c>
      <c r="O2146" s="39" t="s">
        <v>9450</v>
      </c>
      <c r="P2146" s="33"/>
      <c r="Q2146" s="36"/>
      <c r="R2146" s="34"/>
      <c r="S2146" s="38"/>
      <c r="T2146" s="38" t="s">
        <v>12689</v>
      </c>
    </row>
    <row r="2147" spans="1:20" x14ac:dyDescent="0.25">
      <c r="A2147" s="33" t="s">
        <v>8027</v>
      </c>
      <c r="B2147" s="33" t="s">
        <v>8026</v>
      </c>
      <c r="C2147" s="33" t="s">
        <v>141</v>
      </c>
      <c r="D2147" s="34"/>
      <c r="E2147" s="33">
        <v>2022</v>
      </c>
      <c r="F2147" s="34"/>
      <c r="G2147" s="34"/>
      <c r="H2147" s="42">
        <v>44934</v>
      </c>
      <c r="I2147" s="33" t="s">
        <v>8028</v>
      </c>
      <c r="J2147" s="43">
        <v>44805</v>
      </c>
      <c r="K2147" s="34"/>
      <c r="L2147" s="36"/>
      <c r="M2147" s="34"/>
      <c r="N2147" s="37" t="s">
        <v>8029</v>
      </c>
      <c r="O2147" s="33" t="s">
        <v>8030</v>
      </c>
      <c r="P2147" s="33" t="s">
        <v>8031</v>
      </c>
      <c r="Q2147" s="36"/>
      <c r="R2147" s="36"/>
      <c r="S2147" s="33" t="s">
        <v>8032</v>
      </c>
      <c r="T2147" s="38" t="s">
        <v>12688</v>
      </c>
    </row>
    <row r="2148" spans="1:20" x14ac:dyDescent="0.25">
      <c r="A2148" s="39" t="s">
        <v>10722</v>
      </c>
      <c r="B2148" s="39" t="s">
        <v>10724</v>
      </c>
      <c r="C2148" s="39" t="s">
        <v>539</v>
      </c>
      <c r="D2148" s="36"/>
      <c r="E2148" s="39">
        <v>2022</v>
      </c>
      <c r="F2148" s="40"/>
      <c r="G2148" s="40"/>
      <c r="H2148" s="36"/>
      <c r="I2148" s="39" t="s">
        <v>676</v>
      </c>
      <c r="J2148" s="36"/>
      <c r="K2148" s="36"/>
      <c r="L2148" s="36"/>
      <c r="M2148" s="34"/>
      <c r="N2148" s="41" t="s">
        <v>10725</v>
      </c>
      <c r="O2148" s="39" t="s">
        <v>10723</v>
      </c>
      <c r="P2148" s="33"/>
      <c r="Q2148" s="36"/>
      <c r="R2148" s="34"/>
      <c r="S2148" s="38"/>
      <c r="T2148" s="38" t="s">
        <v>12689</v>
      </c>
    </row>
    <row r="2149" spans="1:20" x14ac:dyDescent="0.25">
      <c r="A2149" s="33" t="s">
        <v>7216</v>
      </c>
      <c r="B2149" s="33" t="s">
        <v>7215</v>
      </c>
      <c r="C2149" s="33" t="s">
        <v>141</v>
      </c>
      <c r="D2149" s="34"/>
      <c r="E2149" s="33">
        <v>2016</v>
      </c>
      <c r="F2149" s="34"/>
      <c r="G2149" s="34"/>
      <c r="H2149" s="33" t="s">
        <v>7217</v>
      </c>
      <c r="I2149" s="33" t="s">
        <v>7218</v>
      </c>
      <c r="J2149" s="43">
        <v>42614</v>
      </c>
      <c r="K2149" s="36"/>
      <c r="L2149" s="36"/>
      <c r="M2149" s="33" t="s">
        <v>7219</v>
      </c>
      <c r="N2149" s="37" t="s">
        <v>7220</v>
      </c>
      <c r="O2149" s="33" t="s">
        <v>7221</v>
      </c>
      <c r="P2149" s="33" t="s">
        <v>7222</v>
      </c>
      <c r="Q2149" s="36"/>
      <c r="R2149" s="36"/>
      <c r="S2149" s="33" t="s">
        <v>7223</v>
      </c>
      <c r="T2149" s="38" t="s">
        <v>12688</v>
      </c>
    </row>
    <row r="2150" spans="1:20" x14ac:dyDescent="0.25">
      <c r="A2150" s="33" t="s">
        <v>4097</v>
      </c>
      <c r="B2150" s="33" t="s">
        <v>4096</v>
      </c>
      <c r="C2150" s="33" t="s">
        <v>141</v>
      </c>
      <c r="D2150" s="34"/>
      <c r="E2150" s="33">
        <v>2020</v>
      </c>
      <c r="F2150" s="34"/>
      <c r="G2150" s="34"/>
      <c r="H2150" s="34"/>
      <c r="I2150" s="33" t="s">
        <v>257</v>
      </c>
      <c r="J2150" s="33">
        <v>2020</v>
      </c>
      <c r="K2150" s="33">
        <v>9781728147161</v>
      </c>
      <c r="L2150" s="34"/>
      <c r="M2150" s="34"/>
      <c r="N2150" s="37" t="s">
        <v>4098</v>
      </c>
      <c r="O2150" s="33" t="s">
        <v>4099</v>
      </c>
      <c r="P2150" s="33" t="s">
        <v>4100</v>
      </c>
      <c r="Q2150" s="33" t="s">
        <v>2990</v>
      </c>
      <c r="R2150" s="34"/>
      <c r="S2150" s="38"/>
      <c r="T2150" s="38" t="s">
        <v>12690</v>
      </c>
    </row>
    <row r="2151" spans="1:20" x14ac:dyDescent="0.25">
      <c r="A2151" s="33" t="s">
        <v>12465</v>
      </c>
      <c r="B2151" s="33" t="s">
        <v>12464</v>
      </c>
      <c r="C2151" s="33" t="s">
        <v>13</v>
      </c>
      <c r="D2151" s="33" t="s">
        <v>11332</v>
      </c>
      <c r="E2151" s="33">
        <v>2023</v>
      </c>
      <c r="F2151" s="33">
        <v>55</v>
      </c>
      <c r="G2151" s="33">
        <v>9</v>
      </c>
      <c r="H2151" s="34"/>
      <c r="I2151" s="44" t="s">
        <v>12710</v>
      </c>
      <c r="J2151" s="43">
        <v>44927</v>
      </c>
      <c r="K2151" s="34"/>
      <c r="L2151" s="34"/>
      <c r="M2151" s="33" t="s">
        <v>5367</v>
      </c>
      <c r="N2151" s="37" t="s">
        <v>12466</v>
      </c>
      <c r="O2151" s="33" t="s">
        <v>12467</v>
      </c>
      <c r="P2151" s="33" t="s">
        <v>12468</v>
      </c>
      <c r="Q2151" s="36"/>
      <c r="R2151" s="36"/>
      <c r="S2151" s="33" t="s">
        <v>12469</v>
      </c>
      <c r="T2151" s="33" t="s">
        <v>12692</v>
      </c>
    </row>
    <row r="2152" spans="1:20" x14ac:dyDescent="0.25">
      <c r="A2152" s="39" t="s">
        <v>10990</v>
      </c>
      <c r="B2152" s="39" t="s">
        <v>10992</v>
      </c>
      <c r="C2152" s="39" t="s">
        <v>9478</v>
      </c>
      <c r="D2152" s="36"/>
      <c r="E2152" s="39">
        <v>2022</v>
      </c>
      <c r="F2152" s="39">
        <v>104</v>
      </c>
      <c r="G2152" s="39">
        <v>1</v>
      </c>
      <c r="H2152" s="36"/>
      <c r="I2152" s="39" t="s">
        <v>10989</v>
      </c>
      <c r="J2152" s="36"/>
      <c r="K2152" s="36"/>
      <c r="L2152" s="36"/>
      <c r="M2152" s="34"/>
      <c r="N2152" s="41" t="s">
        <v>10993</v>
      </c>
      <c r="O2152" s="39" t="s">
        <v>10991</v>
      </c>
      <c r="P2152" s="33"/>
      <c r="Q2152" s="36"/>
      <c r="R2152" s="34"/>
      <c r="S2152" s="38"/>
      <c r="T2152" s="38" t="s">
        <v>12689</v>
      </c>
    </row>
    <row r="2153" spans="1:20" x14ac:dyDescent="0.25">
      <c r="A2153" s="33" t="s">
        <v>2848</v>
      </c>
      <c r="B2153" s="33" t="s">
        <v>2847</v>
      </c>
      <c r="C2153" s="33" t="s">
        <v>141</v>
      </c>
      <c r="D2153" s="34"/>
      <c r="E2153" s="33">
        <v>2021</v>
      </c>
      <c r="F2153" s="33">
        <v>2978</v>
      </c>
      <c r="G2153" s="34"/>
      <c r="H2153" s="34"/>
      <c r="I2153" s="33" t="s">
        <v>613</v>
      </c>
      <c r="J2153" s="33">
        <v>2021</v>
      </c>
      <c r="K2153" s="34"/>
      <c r="L2153" s="34"/>
      <c r="M2153" s="33" t="s">
        <v>614</v>
      </c>
      <c r="N2153" s="37" t="s">
        <v>2849</v>
      </c>
      <c r="O2153" s="34"/>
      <c r="P2153" s="33" t="s">
        <v>2850</v>
      </c>
      <c r="Q2153" s="33" t="s">
        <v>157</v>
      </c>
      <c r="R2153" s="34"/>
      <c r="S2153" s="38"/>
      <c r="T2153" s="38" t="s">
        <v>12690</v>
      </c>
    </row>
    <row r="2154" spans="1:20" x14ac:dyDescent="0.25">
      <c r="A2154" s="33" t="s">
        <v>7825</v>
      </c>
      <c r="B2154" s="33" t="s">
        <v>7824</v>
      </c>
      <c r="C2154" s="33" t="s">
        <v>141</v>
      </c>
      <c r="D2154" s="34"/>
      <c r="E2154" s="33">
        <v>2019</v>
      </c>
      <c r="F2154" s="34"/>
      <c r="G2154" s="34"/>
      <c r="H2154" s="33" t="s">
        <v>12377</v>
      </c>
      <c r="I2154" s="44" t="s">
        <v>12763</v>
      </c>
      <c r="J2154" s="33">
        <v>2019</v>
      </c>
      <c r="K2154" s="34"/>
      <c r="L2154" s="33" t="s">
        <v>12275</v>
      </c>
      <c r="M2154" s="34"/>
      <c r="N2154" s="37" t="s">
        <v>12378</v>
      </c>
      <c r="O2154" s="33" t="s">
        <v>7828</v>
      </c>
      <c r="P2154" s="33" t="s">
        <v>12379</v>
      </c>
      <c r="Q2154" s="36"/>
      <c r="R2154" s="36"/>
      <c r="S2154" s="33" t="s">
        <v>12380</v>
      </c>
      <c r="T2154" s="33" t="s">
        <v>12692</v>
      </c>
    </row>
    <row r="2155" spans="1:20" x14ac:dyDescent="0.25">
      <c r="A2155" s="33" t="s">
        <v>7825</v>
      </c>
      <c r="B2155" s="33" t="s">
        <v>7824</v>
      </c>
      <c r="C2155" s="33" t="s">
        <v>141</v>
      </c>
      <c r="D2155" s="34"/>
      <c r="E2155" s="33">
        <v>2019</v>
      </c>
      <c r="F2155" s="34"/>
      <c r="G2155" s="34"/>
      <c r="H2155" s="33" t="s">
        <v>7826</v>
      </c>
      <c r="I2155" s="33" t="s">
        <v>6986</v>
      </c>
      <c r="J2155" s="43">
        <v>43586</v>
      </c>
      <c r="K2155" s="36"/>
      <c r="L2155" s="36"/>
      <c r="M2155" s="33" t="s">
        <v>6336</v>
      </c>
      <c r="N2155" s="37" t="s">
        <v>7827</v>
      </c>
      <c r="O2155" s="33" t="s">
        <v>7828</v>
      </c>
      <c r="P2155" s="33" t="s">
        <v>7829</v>
      </c>
      <c r="Q2155" s="36"/>
      <c r="R2155" s="36"/>
      <c r="S2155" s="33" t="s">
        <v>7830</v>
      </c>
      <c r="T2155" s="38" t="s">
        <v>12688</v>
      </c>
    </row>
    <row r="2156" spans="1:20" x14ac:dyDescent="0.25">
      <c r="A2156" s="33" t="s">
        <v>2430</v>
      </c>
      <c r="B2156" s="33" t="s">
        <v>2429</v>
      </c>
      <c r="C2156" s="33" t="s">
        <v>141</v>
      </c>
      <c r="D2156" s="34"/>
      <c r="E2156" s="33">
        <v>2022</v>
      </c>
      <c r="F2156" s="34"/>
      <c r="G2156" s="34"/>
      <c r="H2156" s="33" t="s">
        <v>2431</v>
      </c>
      <c r="I2156" s="33" t="s">
        <v>257</v>
      </c>
      <c r="J2156" s="33">
        <v>2022</v>
      </c>
      <c r="K2156" s="33">
        <v>9781450392754</v>
      </c>
      <c r="L2156" s="34"/>
      <c r="M2156" s="34"/>
      <c r="N2156" s="37" t="s">
        <v>2432</v>
      </c>
      <c r="O2156" s="33" t="s">
        <v>2433</v>
      </c>
      <c r="P2156" s="33" t="s">
        <v>2434</v>
      </c>
      <c r="Q2156" s="33" t="s">
        <v>149</v>
      </c>
      <c r="R2156" s="34"/>
      <c r="S2156" s="38"/>
      <c r="T2156" s="38" t="s">
        <v>12690</v>
      </c>
    </row>
    <row r="2157" spans="1:20" x14ac:dyDescent="0.25">
      <c r="A2157" s="33" t="s">
        <v>8914</v>
      </c>
      <c r="B2157" s="33" t="s">
        <v>8913</v>
      </c>
      <c r="C2157" s="33" t="s">
        <v>13</v>
      </c>
      <c r="D2157" s="33" t="s">
        <v>2450</v>
      </c>
      <c r="E2157" s="33">
        <v>2022</v>
      </c>
      <c r="F2157" s="33">
        <v>129</v>
      </c>
      <c r="G2157" s="36"/>
      <c r="H2157" s="33">
        <v>109620</v>
      </c>
      <c r="I2157" s="36"/>
      <c r="J2157" s="33">
        <v>2022</v>
      </c>
      <c r="K2157" s="34"/>
      <c r="L2157" s="34"/>
      <c r="M2157" s="33" t="s">
        <v>2451</v>
      </c>
      <c r="N2157" s="37" t="s">
        <v>8915</v>
      </c>
      <c r="O2157" s="33" t="s">
        <v>8916</v>
      </c>
      <c r="P2157" s="33" t="s">
        <v>8917</v>
      </c>
      <c r="Q2157" s="36"/>
      <c r="R2157" s="36"/>
      <c r="S2157" s="33" t="s">
        <v>8918</v>
      </c>
      <c r="T2157" s="38" t="s">
        <v>12693</v>
      </c>
    </row>
    <row r="2158" spans="1:20" x14ac:dyDescent="0.25">
      <c r="A2158" s="33" t="s">
        <v>7276</v>
      </c>
      <c r="B2158" s="33" t="s">
        <v>7275</v>
      </c>
      <c r="C2158" s="33" t="s">
        <v>141</v>
      </c>
      <c r="D2158" s="34"/>
      <c r="E2158" s="33">
        <v>2021</v>
      </c>
      <c r="F2158" s="34"/>
      <c r="G2158" s="34"/>
      <c r="H2158" s="33" t="s">
        <v>7277</v>
      </c>
      <c r="I2158" s="33" t="s">
        <v>7278</v>
      </c>
      <c r="J2158" s="43">
        <v>44256</v>
      </c>
      <c r="K2158" s="36"/>
      <c r="L2158" s="36"/>
      <c r="M2158" s="33" t="s">
        <v>6593</v>
      </c>
      <c r="N2158" s="37" t="s">
        <v>7279</v>
      </c>
      <c r="O2158" s="33" t="s">
        <v>7280</v>
      </c>
      <c r="P2158" s="33" t="s">
        <v>7281</v>
      </c>
      <c r="Q2158" s="36"/>
      <c r="R2158" s="36"/>
      <c r="S2158" s="33" t="s">
        <v>7282</v>
      </c>
      <c r="T2158" s="38" t="s">
        <v>12688</v>
      </c>
    </row>
    <row r="2159" spans="1:20" x14ac:dyDescent="0.25">
      <c r="A2159" s="33" t="s">
        <v>5126</v>
      </c>
      <c r="B2159" s="33" t="s">
        <v>5125</v>
      </c>
      <c r="C2159" s="33" t="s">
        <v>141</v>
      </c>
      <c r="D2159" s="34"/>
      <c r="E2159" s="33">
        <v>2020</v>
      </c>
      <c r="F2159" s="34"/>
      <c r="G2159" s="34"/>
      <c r="H2159" s="34"/>
      <c r="I2159" s="33" t="s">
        <v>145</v>
      </c>
      <c r="J2159" s="33">
        <v>2020</v>
      </c>
      <c r="K2159" s="33">
        <v>9781450367080</v>
      </c>
      <c r="L2159" s="34"/>
      <c r="M2159" s="34"/>
      <c r="N2159" s="37" t="s">
        <v>5127</v>
      </c>
      <c r="O2159" s="33" t="s">
        <v>5128</v>
      </c>
      <c r="P2159" s="33" t="s">
        <v>5129</v>
      </c>
      <c r="Q2159" s="33" t="s">
        <v>5130</v>
      </c>
      <c r="R2159" s="34"/>
      <c r="S2159" s="38"/>
      <c r="T2159" s="38" t="s">
        <v>12690</v>
      </c>
    </row>
    <row r="2160" spans="1:20" x14ac:dyDescent="0.25">
      <c r="A2160" s="33" t="s">
        <v>3781</v>
      </c>
      <c r="B2160" s="33" t="s">
        <v>3780</v>
      </c>
      <c r="C2160" s="33" t="s">
        <v>141</v>
      </c>
      <c r="D2160" s="34"/>
      <c r="E2160" s="33">
        <v>2021</v>
      </c>
      <c r="F2160" s="45">
        <v>44317</v>
      </c>
      <c r="G2160" s="34"/>
      <c r="H2160" s="33" t="s">
        <v>3782</v>
      </c>
      <c r="I2160" s="33" t="s">
        <v>196</v>
      </c>
      <c r="J2160" s="33">
        <v>2021</v>
      </c>
      <c r="K2160" s="33">
        <v>9780738133225</v>
      </c>
      <c r="L2160" s="34"/>
      <c r="M2160" s="33" t="s">
        <v>1458</v>
      </c>
      <c r="N2160" s="37" t="s">
        <v>3783</v>
      </c>
      <c r="O2160" s="33" t="s">
        <v>3784</v>
      </c>
      <c r="P2160" s="33" t="s">
        <v>3785</v>
      </c>
      <c r="Q2160" s="33" t="s">
        <v>2243</v>
      </c>
      <c r="R2160" s="34"/>
      <c r="S2160" s="38"/>
      <c r="T2160" s="38" t="s">
        <v>12690</v>
      </c>
    </row>
    <row r="2161" spans="1:20" x14ac:dyDescent="0.25">
      <c r="A2161" s="39" t="s">
        <v>10082</v>
      </c>
      <c r="B2161" s="39" t="s">
        <v>10084</v>
      </c>
      <c r="C2161" s="39" t="s">
        <v>9478</v>
      </c>
      <c r="D2161" s="36"/>
      <c r="E2161" s="39">
        <v>2022</v>
      </c>
      <c r="F2161" s="39">
        <v>14</v>
      </c>
      <c r="G2161" s="39">
        <v>2</v>
      </c>
      <c r="H2161" s="36"/>
      <c r="I2161" s="39" t="s">
        <v>10081</v>
      </c>
      <c r="J2161" s="36"/>
      <c r="K2161" s="36"/>
      <c r="L2161" s="36"/>
      <c r="M2161" s="34"/>
      <c r="N2161" s="41" t="s">
        <v>10085</v>
      </c>
      <c r="O2161" s="39" t="s">
        <v>10083</v>
      </c>
      <c r="P2161" s="33"/>
      <c r="Q2161" s="36"/>
      <c r="R2161" s="34"/>
      <c r="S2161" s="38"/>
      <c r="T2161" s="38" t="s">
        <v>12689</v>
      </c>
    </row>
    <row r="2162" spans="1:20" x14ac:dyDescent="0.25">
      <c r="A2162" s="39" t="s">
        <v>10345</v>
      </c>
      <c r="B2162" s="39" t="s">
        <v>10347</v>
      </c>
      <c r="C2162" s="39" t="s">
        <v>9478</v>
      </c>
      <c r="D2162" s="36"/>
      <c r="E2162" s="39">
        <v>2017</v>
      </c>
      <c r="F2162" s="39">
        <v>22</v>
      </c>
      <c r="G2162" s="39">
        <v>4</v>
      </c>
      <c r="H2162" s="36"/>
      <c r="I2162" s="39" t="s">
        <v>691</v>
      </c>
      <c r="J2162" s="36"/>
      <c r="K2162" s="36"/>
      <c r="L2162" s="36"/>
      <c r="M2162" s="34"/>
      <c r="N2162" s="41" t="s">
        <v>10348</v>
      </c>
      <c r="O2162" s="39" t="s">
        <v>10346</v>
      </c>
      <c r="P2162" s="33"/>
      <c r="Q2162" s="36"/>
      <c r="R2162" s="34"/>
      <c r="S2162" s="38"/>
      <c r="T2162" s="38" t="s">
        <v>12689</v>
      </c>
    </row>
    <row r="2163" spans="1:20" x14ac:dyDescent="0.25">
      <c r="A2163" s="33" t="s">
        <v>1883</v>
      </c>
      <c r="B2163" s="33" t="s">
        <v>1882</v>
      </c>
      <c r="C2163" s="33" t="s">
        <v>13</v>
      </c>
      <c r="D2163" s="33" t="s">
        <v>11246</v>
      </c>
      <c r="E2163" s="33">
        <v>2021</v>
      </c>
      <c r="F2163" s="33">
        <v>30</v>
      </c>
      <c r="G2163" s="33">
        <v>4</v>
      </c>
      <c r="H2163" s="34"/>
      <c r="I2163" s="44" t="s">
        <v>12710</v>
      </c>
      <c r="J2163" s="43">
        <v>44378</v>
      </c>
      <c r="K2163" s="34"/>
      <c r="L2163" s="34"/>
      <c r="M2163" s="33" t="s">
        <v>329</v>
      </c>
      <c r="N2163" s="37" t="s">
        <v>11584</v>
      </c>
      <c r="O2163" s="33" t="s">
        <v>1885</v>
      </c>
      <c r="P2163" s="33" t="s">
        <v>11585</v>
      </c>
      <c r="Q2163" s="36"/>
      <c r="R2163" s="36"/>
      <c r="S2163" s="33" t="s">
        <v>11586</v>
      </c>
      <c r="T2163" s="33" t="s">
        <v>12692</v>
      </c>
    </row>
    <row r="2164" spans="1:20" x14ac:dyDescent="0.25">
      <c r="A2164" s="33" t="s">
        <v>1883</v>
      </c>
      <c r="B2164" s="33" t="s">
        <v>1882</v>
      </c>
      <c r="C2164" s="33" t="s">
        <v>13</v>
      </c>
      <c r="D2164" s="33" t="s">
        <v>328</v>
      </c>
      <c r="E2164" s="33">
        <v>2021</v>
      </c>
      <c r="F2164" s="33">
        <v>30</v>
      </c>
      <c r="G2164" s="33">
        <v>4</v>
      </c>
      <c r="H2164" s="34"/>
      <c r="I2164" s="33" t="s">
        <v>145</v>
      </c>
      <c r="J2164" s="33">
        <v>2021</v>
      </c>
      <c r="K2164" s="34"/>
      <c r="L2164" s="34"/>
      <c r="M2164" s="33" t="s">
        <v>329</v>
      </c>
      <c r="N2164" s="37" t="s">
        <v>1884</v>
      </c>
      <c r="O2164" s="33" t="s">
        <v>1885</v>
      </c>
      <c r="P2164" s="33" t="s">
        <v>1886</v>
      </c>
      <c r="Q2164" s="33" t="s">
        <v>1887</v>
      </c>
      <c r="R2164" s="34"/>
      <c r="S2164" s="38"/>
      <c r="T2164" s="38" t="s">
        <v>12690</v>
      </c>
    </row>
    <row r="2165" spans="1:20" x14ac:dyDescent="0.25">
      <c r="A2165" s="33" t="s">
        <v>8927</v>
      </c>
      <c r="B2165" s="33" t="s">
        <v>8926</v>
      </c>
      <c r="C2165" s="33" t="s">
        <v>13</v>
      </c>
      <c r="D2165" s="33" t="s">
        <v>1355</v>
      </c>
      <c r="E2165" s="33">
        <v>2021</v>
      </c>
      <c r="F2165" s="33">
        <v>167</v>
      </c>
      <c r="G2165" s="36"/>
      <c r="H2165" s="33">
        <v>114134</v>
      </c>
      <c r="I2165" s="36"/>
      <c r="J2165" s="33">
        <v>2021</v>
      </c>
      <c r="K2165" s="34"/>
      <c r="L2165" s="34"/>
      <c r="M2165" s="33" t="s">
        <v>1356</v>
      </c>
      <c r="N2165" s="37" t="s">
        <v>8928</v>
      </c>
      <c r="O2165" s="33" t="s">
        <v>8929</v>
      </c>
      <c r="P2165" s="33" t="s">
        <v>8930</v>
      </c>
      <c r="Q2165" s="36"/>
      <c r="R2165" s="36"/>
      <c r="S2165" s="33" t="s">
        <v>8931</v>
      </c>
      <c r="T2165" s="38" t="s">
        <v>12693</v>
      </c>
    </row>
    <row r="2166" spans="1:20" x14ac:dyDescent="0.25">
      <c r="A2166" s="33" t="s">
        <v>6156</v>
      </c>
      <c r="B2166" s="33" t="s">
        <v>6155</v>
      </c>
      <c r="C2166" s="33" t="s">
        <v>141</v>
      </c>
      <c r="D2166" s="34"/>
      <c r="E2166" s="33">
        <v>2017</v>
      </c>
      <c r="F2166" s="34"/>
      <c r="G2166" s="34"/>
      <c r="H2166" s="33" t="s">
        <v>11402</v>
      </c>
      <c r="I2166" s="44" t="s">
        <v>12833</v>
      </c>
      <c r="J2166" s="33">
        <v>2017</v>
      </c>
      <c r="K2166" s="33">
        <v>9781538627976</v>
      </c>
      <c r="L2166" s="33" t="s">
        <v>11408</v>
      </c>
      <c r="M2166" s="34"/>
      <c r="N2166" s="37" t="s">
        <v>11405</v>
      </c>
      <c r="O2166" s="33" t="s">
        <v>6160</v>
      </c>
      <c r="P2166" s="33" t="s">
        <v>11406</v>
      </c>
      <c r="Q2166" s="36"/>
      <c r="R2166" s="36"/>
      <c r="S2166" s="33" t="s">
        <v>11407</v>
      </c>
      <c r="T2166" s="33" t="s">
        <v>12692</v>
      </c>
    </row>
    <row r="2167" spans="1:20" x14ac:dyDescent="0.25">
      <c r="A2167" s="33" t="s">
        <v>6156</v>
      </c>
      <c r="B2167" s="33" t="s">
        <v>6155</v>
      </c>
      <c r="C2167" s="33" t="s">
        <v>141</v>
      </c>
      <c r="D2167" s="34"/>
      <c r="E2167" s="33">
        <v>2017</v>
      </c>
      <c r="F2167" s="34"/>
      <c r="G2167" s="34"/>
      <c r="H2167" s="33" t="s">
        <v>6157</v>
      </c>
      <c r="I2167" s="33" t="s">
        <v>6158</v>
      </c>
      <c r="J2167" s="43">
        <v>42856</v>
      </c>
      <c r="K2167" s="36"/>
      <c r="L2167" s="36"/>
      <c r="M2167" s="34"/>
      <c r="N2167" s="37" t="s">
        <v>6159</v>
      </c>
      <c r="O2167" s="33" t="s">
        <v>6160</v>
      </c>
      <c r="P2167" s="33" t="s">
        <v>6161</v>
      </c>
      <c r="Q2167" s="36"/>
      <c r="R2167" s="36"/>
      <c r="S2167" s="33" t="s">
        <v>6162</v>
      </c>
      <c r="T2167" s="38" t="s">
        <v>12688</v>
      </c>
    </row>
    <row r="2168" spans="1:20" x14ac:dyDescent="0.25">
      <c r="A2168" s="33" t="s">
        <v>5652</v>
      </c>
      <c r="B2168" s="33" t="s">
        <v>5651</v>
      </c>
      <c r="C2168" s="33" t="s">
        <v>141</v>
      </c>
      <c r="D2168" s="34"/>
      <c r="E2168" s="33">
        <v>2017</v>
      </c>
      <c r="F2168" s="34"/>
      <c r="G2168" s="34"/>
      <c r="H2168" s="33" t="s">
        <v>11250</v>
      </c>
      <c r="I2168" s="44" t="s">
        <v>12834</v>
      </c>
      <c r="J2168" s="33">
        <v>2017</v>
      </c>
      <c r="K2168" s="33">
        <v>9781450353267</v>
      </c>
      <c r="L2168" s="33" t="s">
        <v>11256</v>
      </c>
      <c r="M2168" s="34"/>
      <c r="N2168" s="37" t="s">
        <v>11253</v>
      </c>
      <c r="O2168" s="33" t="s">
        <v>5654</v>
      </c>
      <c r="P2168" s="33" t="s">
        <v>11254</v>
      </c>
      <c r="Q2168" s="36"/>
      <c r="R2168" s="36"/>
      <c r="S2168" s="33" t="s">
        <v>11255</v>
      </c>
      <c r="T2168" s="33" t="s">
        <v>12692</v>
      </c>
    </row>
    <row r="2169" spans="1:20" x14ac:dyDescent="0.25">
      <c r="A2169" s="33" t="s">
        <v>5652</v>
      </c>
      <c r="B2169" s="33" t="s">
        <v>5651</v>
      </c>
      <c r="C2169" s="33" t="s">
        <v>141</v>
      </c>
      <c r="D2169" s="34"/>
      <c r="E2169" s="33">
        <v>2017</v>
      </c>
      <c r="F2169" s="34"/>
      <c r="G2169" s="34"/>
      <c r="H2169" s="33" t="s">
        <v>1659</v>
      </c>
      <c r="I2169" s="33" t="s">
        <v>145</v>
      </c>
      <c r="J2169" s="33">
        <v>2017</v>
      </c>
      <c r="K2169" s="33">
        <v>9781450353267</v>
      </c>
      <c r="L2169" s="34"/>
      <c r="M2169" s="34"/>
      <c r="N2169" s="37" t="s">
        <v>5653</v>
      </c>
      <c r="O2169" s="33" t="s">
        <v>5654</v>
      </c>
      <c r="P2169" s="33" t="s">
        <v>5655</v>
      </c>
      <c r="Q2169" s="33" t="s">
        <v>2243</v>
      </c>
      <c r="R2169" s="34"/>
      <c r="S2169" s="38"/>
      <c r="T2169" s="38" t="s">
        <v>12690</v>
      </c>
    </row>
    <row r="2170" spans="1:20" x14ac:dyDescent="0.25">
      <c r="A2170" s="33" t="s">
        <v>5674</v>
      </c>
      <c r="B2170" s="33" t="s">
        <v>5673</v>
      </c>
      <c r="C2170" s="33" t="s">
        <v>13</v>
      </c>
      <c r="D2170" s="33" t="s">
        <v>188</v>
      </c>
      <c r="E2170" s="33">
        <v>2015</v>
      </c>
      <c r="F2170" s="33">
        <v>25</v>
      </c>
      <c r="G2170" s="42">
        <v>45179</v>
      </c>
      <c r="H2170" s="33" t="s">
        <v>5675</v>
      </c>
      <c r="I2170" s="33" t="s">
        <v>5647</v>
      </c>
      <c r="J2170" s="33">
        <v>2015</v>
      </c>
      <c r="K2170" s="34"/>
      <c r="L2170" s="34"/>
      <c r="M2170" s="33" t="s">
        <v>73</v>
      </c>
      <c r="N2170" s="37" t="s">
        <v>5676</v>
      </c>
      <c r="O2170" s="33" t="s">
        <v>5677</v>
      </c>
      <c r="P2170" s="33" t="s">
        <v>5678</v>
      </c>
      <c r="Q2170" s="33" t="s">
        <v>1598</v>
      </c>
      <c r="R2170" s="34"/>
      <c r="S2170" s="38"/>
      <c r="T2170" s="38" t="s">
        <v>12690</v>
      </c>
    </row>
    <row r="2171" spans="1:20" x14ac:dyDescent="0.25">
      <c r="A2171" s="39" t="s">
        <v>10605</v>
      </c>
      <c r="B2171" s="39" t="s">
        <v>10607</v>
      </c>
      <c r="C2171" s="39" t="s">
        <v>9478</v>
      </c>
      <c r="D2171" s="36"/>
      <c r="E2171" s="39">
        <v>2019</v>
      </c>
      <c r="F2171" s="39">
        <v>24</v>
      </c>
      <c r="G2171" s="39">
        <v>4</v>
      </c>
      <c r="H2171" s="36"/>
      <c r="I2171" s="39" t="s">
        <v>136</v>
      </c>
      <c r="J2171" s="36"/>
      <c r="K2171" s="36"/>
      <c r="L2171" s="36"/>
      <c r="M2171" s="34"/>
      <c r="N2171" s="41" t="s">
        <v>10608</v>
      </c>
      <c r="O2171" s="39" t="s">
        <v>10606</v>
      </c>
      <c r="P2171" s="33"/>
      <c r="Q2171" s="36"/>
      <c r="R2171" s="34"/>
      <c r="S2171" s="38"/>
      <c r="T2171" s="38" t="s">
        <v>12689</v>
      </c>
    </row>
    <row r="2172" spans="1:20" x14ac:dyDescent="0.25">
      <c r="A2172" s="33" t="s">
        <v>2141</v>
      </c>
      <c r="B2172" s="33" t="s">
        <v>2140</v>
      </c>
      <c r="C2172" s="33" t="s">
        <v>141</v>
      </c>
      <c r="D2172" s="34"/>
      <c r="E2172" s="33">
        <v>2021</v>
      </c>
      <c r="F2172" s="34"/>
      <c r="G2172" s="34"/>
      <c r="H2172" s="33" t="s">
        <v>2142</v>
      </c>
      <c r="I2172" s="33" t="s">
        <v>153</v>
      </c>
      <c r="J2172" s="33">
        <v>2021</v>
      </c>
      <c r="K2172" s="33">
        <v>9781450385626</v>
      </c>
      <c r="L2172" s="34"/>
      <c r="M2172" s="34"/>
      <c r="N2172" s="37" t="s">
        <v>2143</v>
      </c>
      <c r="O2172" s="33" t="s">
        <v>2144</v>
      </c>
      <c r="P2172" s="33" t="s">
        <v>2145</v>
      </c>
      <c r="Q2172" s="33" t="s">
        <v>318</v>
      </c>
      <c r="R2172" s="34"/>
      <c r="S2172" s="38"/>
      <c r="T2172" s="38" t="s">
        <v>12690</v>
      </c>
    </row>
    <row r="2173" spans="1:20" x14ac:dyDescent="0.25">
      <c r="A2173" s="39" t="s">
        <v>10941</v>
      </c>
      <c r="B2173" s="39" t="s">
        <v>10943</v>
      </c>
      <c r="C2173" s="39" t="s">
        <v>9539</v>
      </c>
      <c r="D2173" s="36"/>
      <c r="E2173" s="39">
        <v>2019</v>
      </c>
      <c r="F2173" s="40"/>
      <c r="G2173" s="40"/>
      <c r="H2173" s="36"/>
      <c r="I2173" s="39" t="s">
        <v>10940</v>
      </c>
      <c r="J2173" s="36"/>
      <c r="K2173" s="36"/>
      <c r="L2173" s="36"/>
      <c r="M2173" s="34"/>
      <c r="N2173" s="41" t="s">
        <v>10944</v>
      </c>
      <c r="O2173" s="39" t="s">
        <v>10942</v>
      </c>
      <c r="P2173" s="33"/>
      <c r="Q2173" s="36"/>
      <c r="R2173" s="34"/>
      <c r="S2173" s="38"/>
      <c r="T2173" s="38" t="s">
        <v>12689</v>
      </c>
    </row>
    <row r="2174" spans="1:20" x14ac:dyDescent="0.25">
      <c r="A2174" s="33" t="s">
        <v>4033</v>
      </c>
      <c r="B2174" s="33" t="s">
        <v>4032</v>
      </c>
      <c r="C2174" s="33" t="s">
        <v>13</v>
      </c>
      <c r="D2174" s="33" t="s">
        <v>307</v>
      </c>
      <c r="E2174" s="33">
        <v>2019</v>
      </c>
      <c r="F2174" s="33">
        <v>112</v>
      </c>
      <c r="G2174" s="34"/>
      <c r="H2174" s="33" t="s">
        <v>4034</v>
      </c>
      <c r="I2174" s="33" t="s">
        <v>280</v>
      </c>
      <c r="J2174" s="33">
        <v>2019</v>
      </c>
      <c r="K2174" s="34"/>
      <c r="L2174" s="34"/>
      <c r="M2174" s="33" t="s">
        <v>308</v>
      </c>
      <c r="N2174" s="37" t="s">
        <v>4035</v>
      </c>
      <c r="O2174" s="33" t="s">
        <v>4036</v>
      </c>
      <c r="P2174" s="33" t="s">
        <v>4037</v>
      </c>
      <c r="Q2174" s="33" t="s">
        <v>2830</v>
      </c>
      <c r="R2174" s="34"/>
      <c r="S2174" s="38"/>
      <c r="T2174" s="38" t="s">
        <v>12690</v>
      </c>
    </row>
    <row r="2175" spans="1:20" x14ac:dyDescent="0.25">
      <c r="A2175" s="33" t="s">
        <v>51</v>
      </c>
      <c r="B2175" s="39" t="s">
        <v>9485</v>
      </c>
      <c r="C2175" s="39" t="s">
        <v>9478</v>
      </c>
      <c r="D2175" s="36"/>
      <c r="E2175" s="39">
        <v>2021</v>
      </c>
      <c r="F2175" s="39">
        <v>15</v>
      </c>
      <c r="G2175" s="39">
        <v>4</v>
      </c>
      <c r="H2175" s="36"/>
      <c r="I2175" s="39" t="s">
        <v>629</v>
      </c>
      <c r="J2175" s="36"/>
      <c r="K2175" s="36"/>
      <c r="L2175" s="36"/>
      <c r="M2175" s="34"/>
      <c r="N2175" s="41" t="s">
        <v>9486</v>
      </c>
      <c r="O2175" s="39" t="s">
        <v>53</v>
      </c>
      <c r="P2175" s="33"/>
      <c r="Q2175" s="36"/>
      <c r="R2175" s="34"/>
      <c r="S2175" s="38"/>
      <c r="T2175" s="38" t="s">
        <v>12689</v>
      </c>
    </row>
    <row r="2176" spans="1:20" x14ac:dyDescent="0.25">
      <c r="A2176" s="33" t="s">
        <v>51</v>
      </c>
      <c r="B2176" s="33" t="s">
        <v>50</v>
      </c>
      <c r="C2176" s="33" t="s">
        <v>13</v>
      </c>
      <c r="D2176" s="33" t="s">
        <v>629</v>
      </c>
      <c r="E2176" s="33">
        <v>2021</v>
      </c>
      <c r="F2176" s="33">
        <v>15</v>
      </c>
      <c r="G2176" s="33">
        <v>4</v>
      </c>
      <c r="H2176" s="34"/>
      <c r="I2176" s="33" t="s">
        <v>630</v>
      </c>
      <c r="J2176" s="33">
        <v>2021</v>
      </c>
      <c r="K2176" s="34"/>
      <c r="L2176" s="34"/>
      <c r="M2176" s="33" t="s">
        <v>46</v>
      </c>
      <c r="N2176" s="37" t="s">
        <v>1481</v>
      </c>
      <c r="O2176" s="33" t="s">
        <v>53</v>
      </c>
      <c r="P2176" s="33" t="s">
        <v>1482</v>
      </c>
      <c r="Q2176" s="33" t="s">
        <v>185</v>
      </c>
      <c r="R2176" s="34"/>
      <c r="S2176" s="38"/>
      <c r="T2176" s="38" t="s">
        <v>12690</v>
      </c>
    </row>
    <row r="2177" spans="1:20" x14ac:dyDescent="0.25">
      <c r="A2177" s="33" t="s">
        <v>51</v>
      </c>
      <c r="B2177" s="33" t="s">
        <v>50</v>
      </c>
      <c r="C2177" s="33" t="s">
        <v>13</v>
      </c>
      <c r="D2177" s="33" t="s">
        <v>45</v>
      </c>
      <c r="E2177" s="33">
        <v>2021</v>
      </c>
      <c r="F2177" s="33">
        <v>15</v>
      </c>
      <c r="G2177" s="33">
        <v>4</v>
      </c>
      <c r="H2177" s="34"/>
      <c r="I2177" s="38" t="s">
        <v>12699</v>
      </c>
      <c r="J2177" s="43">
        <v>44409</v>
      </c>
      <c r="K2177" s="33" t="s">
        <v>46</v>
      </c>
      <c r="L2177" s="38" t="s">
        <v>12699</v>
      </c>
      <c r="M2177" s="38" t="s">
        <v>12699</v>
      </c>
      <c r="N2177" s="37" t="s">
        <v>52</v>
      </c>
      <c r="O2177" s="33" t="s">
        <v>53</v>
      </c>
      <c r="P2177" s="33" t="s">
        <v>54</v>
      </c>
      <c r="Q2177" s="38" t="s">
        <v>12699</v>
      </c>
      <c r="R2177" s="38" t="s">
        <v>12699</v>
      </c>
      <c r="S2177" s="38"/>
      <c r="T2177" s="38" t="s">
        <v>12700</v>
      </c>
    </row>
    <row r="2178" spans="1:20" x14ac:dyDescent="0.25">
      <c r="A2178" s="33" t="s">
        <v>12190</v>
      </c>
      <c r="B2178" s="33" t="s">
        <v>5359</v>
      </c>
      <c r="C2178" s="33" t="s">
        <v>141</v>
      </c>
      <c r="D2178" s="34"/>
      <c r="E2178" s="33">
        <v>2018</v>
      </c>
      <c r="F2178" s="34"/>
      <c r="G2178" s="34"/>
      <c r="H2178" s="33" t="s">
        <v>12191</v>
      </c>
      <c r="I2178" s="44" t="s">
        <v>12835</v>
      </c>
      <c r="J2178" s="33">
        <v>2018</v>
      </c>
      <c r="K2178" s="33">
        <v>9781450365031</v>
      </c>
      <c r="L2178" s="33" t="s">
        <v>12197</v>
      </c>
      <c r="M2178" s="34"/>
      <c r="N2178" s="37" t="s">
        <v>12194</v>
      </c>
      <c r="O2178" s="33" t="s">
        <v>5363</v>
      </c>
      <c r="P2178" s="33" t="s">
        <v>12195</v>
      </c>
      <c r="Q2178" s="36"/>
      <c r="R2178" s="36"/>
      <c r="S2178" s="33" t="s">
        <v>12196</v>
      </c>
      <c r="T2178" s="33" t="s">
        <v>12692</v>
      </c>
    </row>
    <row r="2179" spans="1:20" x14ac:dyDescent="0.25">
      <c r="A2179" s="33" t="s">
        <v>5360</v>
      </c>
      <c r="B2179" s="33" t="s">
        <v>5359</v>
      </c>
      <c r="C2179" s="33" t="s">
        <v>141</v>
      </c>
      <c r="D2179" s="34"/>
      <c r="E2179" s="33">
        <v>2018</v>
      </c>
      <c r="F2179" s="34"/>
      <c r="G2179" s="34"/>
      <c r="H2179" s="33" t="s">
        <v>5361</v>
      </c>
      <c r="I2179" s="33" t="s">
        <v>145</v>
      </c>
      <c r="J2179" s="33">
        <v>2018</v>
      </c>
      <c r="K2179" s="33">
        <v>9781450365031</v>
      </c>
      <c r="L2179" s="34"/>
      <c r="M2179" s="34"/>
      <c r="N2179" s="37" t="s">
        <v>5362</v>
      </c>
      <c r="O2179" s="33" t="s">
        <v>5363</v>
      </c>
      <c r="P2179" s="33" t="s">
        <v>5364</v>
      </c>
      <c r="Q2179" s="33" t="s">
        <v>318</v>
      </c>
      <c r="R2179" s="34"/>
      <c r="S2179" s="38"/>
      <c r="T2179" s="38" t="s">
        <v>12690</v>
      </c>
    </row>
    <row r="2180" spans="1:20" x14ac:dyDescent="0.25">
      <c r="A2180" s="33" t="s">
        <v>353</v>
      </c>
      <c r="B2180" s="33" t="s">
        <v>352</v>
      </c>
      <c r="C2180" s="33" t="s">
        <v>13</v>
      </c>
      <c r="D2180" s="33" t="s">
        <v>354</v>
      </c>
      <c r="E2180" s="33">
        <v>2022</v>
      </c>
      <c r="F2180" s="33">
        <v>194</v>
      </c>
      <c r="G2180" s="36"/>
      <c r="H2180" s="33">
        <v>111481</v>
      </c>
      <c r="I2180" s="36"/>
      <c r="J2180" s="33">
        <v>2022</v>
      </c>
      <c r="K2180" s="34"/>
      <c r="L2180" s="34"/>
      <c r="M2180" s="33" t="s">
        <v>65</v>
      </c>
      <c r="N2180" s="37" t="s">
        <v>8672</v>
      </c>
      <c r="O2180" s="33" t="s">
        <v>357</v>
      </c>
      <c r="P2180" s="33" t="s">
        <v>8673</v>
      </c>
      <c r="Q2180" s="36"/>
      <c r="R2180" s="36"/>
      <c r="S2180" s="33" t="s">
        <v>8674</v>
      </c>
      <c r="T2180" s="38" t="s">
        <v>12693</v>
      </c>
    </row>
    <row r="2181" spans="1:20" x14ac:dyDescent="0.25">
      <c r="A2181" s="33" t="s">
        <v>353</v>
      </c>
      <c r="B2181" s="33" t="s">
        <v>352</v>
      </c>
      <c r="C2181" s="33" t="s">
        <v>13</v>
      </c>
      <c r="D2181" s="33" t="s">
        <v>354</v>
      </c>
      <c r="E2181" s="33">
        <v>2022</v>
      </c>
      <c r="F2181" s="33">
        <v>194</v>
      </c>
      <c r="G2181" s="34"/>
      <c r="H2181" s="34"/>
      <c r="I2181" s="33" t="s">
        <v>355</v>
      </c>
      <c r="J2181" s="33">
        <v>2022</v>
      </c>
      <c r="K2181" s="34"/>
      <c r="L2181" s="34"/>
      <c r="M2181" s="33" t="s">
        <v>65</v>
      </c>
      <c r="N2181" s="37" t="s">
        <v>356</v>
      </c>
      <c r="O2181" s="33" t="s">
        <v>357</v>
      </c>
      <c r="P2181" s="33" t="s">
        <v>358</v>
      </c>
      <c r="Q2181" s="33" t="s">
        <v>318</v>
      </c>
      <c r="R2181" s="34"/>
      <c r="S2181" s="38"/>
      <c r="T2181" s="38" t="s">
        <v>12690</v>
      </c>
    </row>
    <row r="2182" spans="1:20" x14ac:dyDescent="0.25">
      <c r="A2182" s="33" t="s">
        <v>11866</v>
      </c>
      <c r="B2182" s="33" t="s">
        <v>11865</v>
      </c>
      <c r="C2182" s="33" t="s">
        <v>141</v>
      </c>
      <c r="D2182" s="34"/>
      <c r="E2182" s="33">
        <v>2021</v>
      </c>
      <c r="F2182" s="34"/>
      <c r="G2182" s="34"/>
      <c r="H2182" s="33">
        <v>25</v>
      </c>
      <c r="I2182" s="44" t="s">
        <v>12746</v>
      </c>
      <c r="J2182" s="33">
        <v>2021</v>
      </c>
      <c r="K2182" s="33">
        <v>9781450386586</v>
      </c>
      <c r="L2182" s="33" t="s">
        <v>11659</v>
      </c>
      <c r="M2182" s="34"/>
      <c r="N2182" s="37" t="s">
        <v>11867</v>
      </c>
      <c r="O2182" s="33" t="s">
        <v>11868</v>
      </c>
      <c r="P2182" s="33" t="s">
        <v>11869</v>
      </c>
      <c r="Q2182" s="36"/>
      <c r="R2182" s="36"/>
      <c r="S2182" s="33" t="s">
        <v>11870</v>
      </c>
      <c r="T2182" s="33" t="s">
        <v>12692</v>
      </c>
    </row>
    <row r="2183" spans="1:20" x14ac:dyDescent="0.25">
      <c r="A2183" s="33" t="s">
        <v>749</v>
      </c>
      <c r="B2183" s="33" t="s">
        <v>748</v>
      </c>
      <c r="C2183" s="33" t="s">
        <v>141</v>
      </c>
      <c r="D2183" s="34"/>
      <c r="E2183" s="33">
        <v>2022</v>
      </c>
      <c r="F2183" s="33">
        <v>3231</v>
      </c>
      <c r="G2183" s="34"/>
      <c r="H2183" s="33" t="s">
        <v>750</v>
      </c>
      <c r="I2183" s="33" t="s">
        <v>613</v>
      </c>
      <c r="J2183" s="33">
        <v>2022</v>
      </c>
      <c r="K2183" s="34"/>
      <c r="L2183" s="34"/>
      <c r="M2183" s="33" t="s">
        <v>614</v>
      </c>
      <c r="N2183" s="37" t="s">
        <v>751</v>
      </c>
      <c r="O2183" s="34"/>
      <c r="P2183" s="33" t="s">
        <v>752</v>
      </c>
      <c r="Q2183" s="33" t="s">
        <v>157</v>
      </c>
      <c r="R2183" s="34"/>
      <c r="S2183" s="38"/>
      <c r="T2183" s="38" t="s">
        <v>12690</v>
      </c>
    </row>
    <row r="2184" spans="1:20" x14ac:dyDescent="0.25">
      <c r="A2184" s="39" t="s">
        <v>10948</v>
      </c>
      <c r="B2184" s="39" t="s">
        <v>10950</v>
      </c>
      <c r="C2184" s="39" t="s">
        <v>9539</v>
      </c>
      <c r="D2184" s="36"/>
      <c r="E2184" s="39">
        <v>2021</v>
      </c>
      <c r="F2184" s="40"/>
      <c r="G2184" s="40"/>
      <c r="H2184" s="36"/>
      <c r="I2184" s="39" t="s">
        <v>9737</v>
      </c>
      <c r="J2184" s="36"/>
      <c r="K2184" s="36"/>
      <c r="L2184" s="36"/>
      <c r="M2184" s="34"/>
      <c r="N2184" s="41" t="s">
        <v>10951</v>
      </c>
      <c r="O2184" s="39" t="s">
        <v>10949</v>
      </c>
      <c r="P2184" s="33"/>
      <c r="Q2184" s="36"/>
      <c r="R2184" s="34"/>
      <c r="S2184" s="38"/>
      <c r="T2184" s="38" t="s">
        <v>12689</v>
      </c>
    </row>
    <row r="2185" spans="1:20" x14ac:dyDescent="0.25">
      <c r="A2185" s="33" t="s">
        <v>11360</v>
      </c>
      <c r="B2185" s="33" t="s">
        <v>1025</v>
      </c>
      <c r="C2185" s="33" t="s">
        <v>141</v>
      </c>
      <c r="D2185" s="34"/>
      <c r="E2185" s="33">
        <v>2022</v>
      </c>
      <c r="F2185" s="34"/>
      <c r="G2185" s="34"/>
      <c r="H2185" s="33" t="s">
        <v>11361</v>
      </c>
      <c r="I2185" s="44" t="s">
        <v>12836</v>
      </c>
      <c r="J2185" s="33">
        <v>2022</v>
      </c>
      <c r="K2185" s="33">
        <v>9781450394567</v>
      </c>
      <c r="L2185" s="33" t="s">
        <v>11366</v>
      </c>
      <c r="M2185" s="34"/>
      <c r="N2185" s="37" t="s">
        <v>11363</v>
      </c>
      <c r="O2185" s="33" t="s">
        <v>1029</v>
      </c>
      <c r="P2185" s="33" t="s">
        <v>11364</v>
      </c>
      <c r="Q2185" s="36"/>
      <c r="R2185" s="36"/>
      <c r="S2185" s="33" t="s">
        <v>11365</v>
      </c>
      <c r="T2185" s="33" t="s">
        <v>12692</v>
      </c>
    </row>
    <row r="2186" spans="1:20" x14ac:dyDescent="0.25">
      <c r="A2186" s="33" t="s">
        <v>11360</v>
      </c>
      <c r="B2186" s="33" t="s">
        <v>1025</v>
      </c>
      <c r="C2186" s="33" t="s">
        <v>141</v>
      </c>
      <c r="D2186" s="34"/>
      <c r="E2186" s="33">
        <v>2022</v>
      </c>
      <c r="F2186" s="34"/>
      <c r="G2186" s="34"/>
      <c r="H2186" s="33" t="s">
        <v>1027</v>
      </c>
      <c r="I2186" s="33" t="s">
        <v>153</v>
      </c>
      <c r="J2186" s="33">
        <v>2022</v>
      </c>
      <c r="K2186" s="33">
        <v>9781450394567</v>
      </c>
      <c r="L2186" s="34"/>
      <c r="M2186" s="34"/>
      <c r="N2186" s="37" t="s">
        <v>1028</v>
      </c>
      <c r="O2186" s="33" t="s">
        <v>1029</v>
      </c>
      <c r="P2186" s="33" t="s">
        <v>1030</v>
      </c>
      <c r="Q2186" s="33" t="s">
        <v>157</v>
      </c>
      <c r="R2186" s="34"/>
      <c r="S2186" s="38"/>
      <c r="T2186" s="38" t="s">
        <v>12690</v>
      </c>
    </row>
    <row r="2187" spans="1:20" x14ac:dyDescent="0.25">
      <c r="A2187" s="33" t="s">
        <v>15</v>
      </c>
      <c r="B2187" s="33" t="s">
        <v>14</v>
      </c>
      <c r="C2187" s="33" t="s">
        <v>13</v>
      </c>
      <c r="D2187" s="33" t="s">
        <v>255</v>
      </c>
      <c r="E2187" s="33">
        <v>2017</v>
      </c>
      <c r="F2187" s="33">
        <v>43</v>
      </c>
      <c r="G2187" s="33">
        <v>11</v>
      </c>
      <c r="H2187" s="33" t="s">
        <v>17</v>
      </c>
      <c r="I2187" s="34"/>
      <c r="J2187" s="35">
        <v>43040</v>
      </c>
      <c r="K2187" s="36"/>
      <c r="L2187" s="36"/>
      <c r="M2187" s="33" t="s">
        <v>6115</v>
      </c>
      <c r="N2187" s="37" t="s">
        <v>19</v>
      </c>
      <c r="O2187" s="33" t="s">
        <v>20</v>
      </c>
      <c r="P2187" s="33" t="s">
        <v>21</v>
      </c>
      <c r="Q2187" s="36"/>
      <c r="R2187" s="36"/>
      <c r="S2187" s="33" t="s">
        <v>6116</v>
      </c>
      <c r="T2187" s="38" t="s">
        <v>12688</v>
      </c>
    </row>
    <row r="2188" spans="1:20" x14ac:dyDescent="0.25">
      <c r="A2188" s="33" t="s">
        <v>15</v>
      </c>
      <c r="B2188" s="33" t="s">
        <v>14</v>
      </c>
      <c r="C2188" s="33" t="s">
        <v>13</v>
      </c>
      <c r="D2188" s="33" t="s">
        <v>255</v>
      </c>
      <c r="E2188" s="33">
        <v>2017</v>
      </c>
      <c r="F2188" s="33">
        <v>43</v>
      </c>
      <c r="G2188" s="33">
        <v>11</v>
      </c>
      <c r="H2188" s="33" t="s">
        <v>5511</v>
      </c>
      <c r="I2188" s="33" t="s">
        <v>257</v>
      </c>
      <c r="J2188" s="33">
        <v>2017</v>
      </c>
      <c r="K2188" s="34"/>
      <c r="L2188" s="34"/>
      <c r="M2188" s="33" t="s">
        <v>18</v>
      </c>
      <c r="N2188" s="37" t="s">
        <v>5512</v>
      </c>
      <c r="O2188" s="33" t="s">
        <v>20</v>
      </c>
      <c r="P2188" s="33" t="s">
        <v>5513</v>
      </c>
      <c r="Q2188" s="33" t="s">
        <v>5514</v>
      </c>
      <c r="R2188" s="34"/>
      <c r="S2188" s="38"/>
      <c r="T2188" s="38" t="s">
        <v>12690</v>
      </c>
    </row>
    <row r="2189" spans="1:20" x14ac:dyDescent="0.25">
      <c r="A2189" s="33" t="s">
        <v>15</v>
      </c>
      <c r="B2189" s="33" t="s">
        <v>14</v>
      </c>
      <c r="C2189" s="33" t="s">
        <v>13</v>
      </c>
      <c r="D2189" s="33" t="s">
        <v>16</v>
      </c>
      <c r="E2189" s="33">
        <v>2017</v>
      </c>
      <c r="F2189" s="33">
        <v>43</v>
      </c>
      <c r="G2189" s="33">
        <v>11</v>
      </c>
      <c r="H2189" s="33" t="s">
        <v>17</v>
      </c>
      <c r="I2189" s="38" t="s">
        <v>12699</v>
      </c>
      <c r="J2189" s="35">
        <v>43040</v>
      </c>
      <c r="K2189" s="33" t="s">
        <v>18</v>
      </c>
      <c r="L2189" s="38" t="s">
        <v>12699</v>
      </c>
      <c r="M2189" s="38" t="s">
        <v>12699</v>
      </c>
      <c r="N2189" s="37" t="s">
        <v>19</v>
      </c>
      <c r="O2189" s="33" t="s">
        <v>20</v>
      </c>
      <c r="P2189" s="33" t="s">
        <v>21</v>
      </c>
      <c r="Q2189" s="38" t="s">
        <v>12699</v>
      </c>
      <c r="R2189" s="38" t="s">
        <v>12699</v>
      </c>
      <c r="S2189" s="38"/>
      <c r="T2189" s="38" t="s">
        <v>12700</v>
      </c>
    </row>
    <row r="2190" spans="1:20" x14ac:dyDescent="0.25">
      <c r="A2190" s="33" t="s">
        <v>11172</v>
      </c>
      <c r="B2190" s="33" t="s">
        <v>11171</v>
      </c>
      <c r="C2190" s="33" t="s">
        <v>141</v>
      </c>
      <c r="D2190" s="34"/>
      <c r="E2190" s="33">
        <v>2012</v>
      </c>
      <c r="F2190" s="34"/>
      <c r="G2190" s="34"/>
      <c r="H2190" s="33" t="s">
        <v>11173</v>
      </c>
      <c r="I2190" s="44" t="s">
        <v>12756</v>
      </c>
      <c r="J2190" s="33">
        <v>2012</v>
      </c>
      <c r="K2190" s="33">
        <v>9781467317498</v>
      </c>
      <c r="L2190" s="33" t="s">
        <v>11126</v>
      </c>
      <c r="M2190" s="34"/>
      <c r="N2190" s="34"/>
      <c r="O2190" s="34"/>
      <c r="P2190" s="33" t="s">
        <v>11174</v>
      </c>
      <c r="Q2190" s="36"/>
      <c r="R2190" s="36"/>
      <c r="S2190" s="33" t="s">
        <v>11175</v>
      </c>
      <c r="T2190" s="33" t="s">
        <v>12692</v>
      </c>
    </row>
    <row r="2191" spans="1:20" x14ac:dyDescent="0.25">
      <c r="A2191" s="33" t="s">
        <v>3358</v>
      </c>
      <c r="B2191" s="33" t="s">
        <v>3357</v>
      </c>
      <c r="C2191" s="33" t="s">
        <v>141</v>
      </c>
      <c r="D2191" s="34"/>
      <c r="E2191" s="33">
        <v>2021</v>
      </c>
      <c r="F2191" s="34"/>
      <c r="G2191" s="34"/>
      <c r="H2191" s="33" t="s">
        <v>6188</v>
      </c>
      <c r="I2191" s="33" t="s">
        <v>6189</v>
      </c>
      <c r="J2191" s="35">
        <v>44501</v>
      </c>
      <c r="K2191" s="36"/>
      <c r="L2191" s="36"/>
      <c r="M2191" s="33" t="s">
        <v>6190</v>
      </c>
      <c r="N2191" s="37" t="s">
        <v>6191</v>
      </c>
      <c r="O2191" s="33" t="s">
        <v>3361</v>
      </c>
      <c r="P2191" s="33" t="s">
        <v>6192</v>
      </c>
      <c r="Q2191" s="36"/>
      <c r="R2191" s="36"/>
      <c r="S2191" s="33" t="s">
        <v>6193</v>
      </c>
      <c r="T2191" s="38" t="s">
        <v>12688</v>
      </c>
    </row>
    <row r="2192" spans="1:20" x14ac:dyDescent="0.25">
      <c r="A2192" s="33" t="s">
        <v>3358</v>
      </c>
      <c r="B2192" s="33" t="s">
        <v>3357</v>
      </c>
      <c r="C2192" s="33" t="s">
        <v>141</v>
      </c>
      <c r="D2192" s="34"/>
      <c r="E2192" s="33">
        <v>2021</v>
      </c>
      <c r="F2192" s="34"/>
      <c r="G2192" s="34"/>
      <c r="H2192" s="33" t="s">
        <v>3359</v>
      </c>
      <c r="I2192" s="33" t="s">
        <v>257</v>
      </c>
      <c r="J2192" s="33">
        <v>2021</v>
      </c>
      <c r="K2192" s="33">
        <v>9781665403375</v>
      </c>
      <c r="L2192" s="34"/>
      <c r="M2192" s="34"/>
      <c r="N2192" s="37" t="s">
        <v>3360</v>
      </c>
      <c r="O2192" s="33" t="s">
        <v>3361</v>
      </c>
      <c r="P2192" s="33" t="s">
        <v>3362</v>
      </c>
      <c r="Q2192" s="33" t="s">
        <v>157</v>
      </c>
      <c r="R2192" s="34"/>
      <c r="S2192" s="38"/>
      <c r="T2192" s="38" t="s">
        <v>12690</v>
      </c>
    </row>
    <row r="2193" spans="1:20" x14ac:dyDescent="0.25">
      <c r="A2193" s="33" t="s">
        <v>3358</v>
      </c>
      <c r="B2193" s="33" t="s">
        <v>11570</v>
      </c>
      <c r="C2193" s="33" t="s">
        <v>141</v>
      </c>
      <c r="D2193" s="34"/>
      <c r="E2193" s="33">
        <v>2022</v>
      </c>
      <c r="F2193" s="34"/>
      <c r="G2193" s="34"/>
      <c r="H2193" s="33" t="s">
        <v>11572</v>
      </c>
      <c r="I2193" s="44" t="s">
        <v>12775</v>
      </c>
      <c r="J2193" s="33">
        <v>2022</v>
      </c>
      <c r="K2193" s="33">
        <v>9781665403375</v>
      </c>
      <c r="L2193" s="33" t="s">
        <v>11498</v>
      </c>
      <c r="M2193" s="34"/>
      <c r="N2193" s="37" t="s">
        <v>11573</v>
      </c>
      <c r="O2193" s="33" t="s">
        <v>3361</v>
      </c>
      <c r="P2193" s="33" t="s">
        <v>11574</v>
      </c>
      <c r="Q2193" s="36"/>
      <c r="R2193" s="36"/>
      <c r="S2193" s="33" t="s">
        <v>11575</v>
      </c>
      <c r="T2193" s="33" t="s">
        <v>12692</v>
      </c>
    </row>
    <row r="2194" spans="1:20" x14ac:dyDescent="0.25">
      <c r="A2194" s="33" t="s">
        <v>4460</v>
      </c>
      <c r="B2194" s="33" t="s">
        <v>4459</v>
      </c>
      <c r="C2194" s="33" t="s">
        <v>13</v>
      </c>
      <c r="D2194" s="33" t="s">
        <v>4461</v>
      </c>
      <c r="E2194" s="33">
        <v>2019</v>
      </c>
      <c r="F2194" s="33">
        <v>25</v>
      </c>
      <c r="G2194" s="33">
        <v>1</v>
      </c>
      <c r="H2194" s="34"/>
      <c r="I2194" s="33" t="s">
        <v>4462</v>
      </c>
      <c r="J2194" s="33">
        <v>2019</v>
      </c>
      <c r="K2194" s="34"/>
      <c r="L2194" s="34"/>
      <c r="M2194" s="33" t="s">
        <v>4463</v>
      </c>
      <c r="N2194" s="37" t="s">
        <v>4464</v>
      </c>
      <c r="O2194" s="33" t="s">
        <v>4465</v>
      </c>
      <c r="P2194" s="33" t="s">
        <v>4466</v>
      </c>
      <c r="Q2194" s="33" t="s">
        <v>1844</v>
      </c>
      <c r="R2194" s="34"/>
      <c r="S2194" s="38"/>
      <c r="T2194" s="38" t="s">
        <v>12690</v>
      </c>
    </row>
    <row r="2195" spans="1:20" x14ac:dyDescent="0.25">
      <c r="A2195" s="33" t="s">
        <v>8208</v>
      </c>
      <c r="B2195" s="33" t="s">
        <v>8207</v>
      </c>
      <c r="C2195" s="33" t="s">
        <v>141</v>
      </c>
      <c r="D2195" s="34"/>
      <c r="E2195" s="33">
        <v>2021</v>
      </c>
      <c r="F2195" s="34"/>
      <c r="G2195" s="34"/>
      <c r="H2195" s="33" t="s">
        <v>8209</v>
      </c>
      <c r="I2195" s="33" t="s">
        <v>8210</v>
      </c>
      <c r="J2195" s="43">
        <v>44440</v>
      </c>
      <c r="K2195" s="34"/>
      <c r="L2195" s="36"/>
      <c r="M2195" s="34"/>
      <c r="N2195" s="37" t="s">
        <v>8211</v>
      </c>
      <c r="O2195" s="33" t="s">
        <v>8212</v>
      </c>
      <c r="P2195" s="33" t="s">
        <v>8213</v>
      </c>
      <c r="Q2195" s="36"/>
      <c r="R2195" s="36"/>
      <c r="S2195" s="33" t="s">
        <v>8214</v>
      </c>
      <c r="T2195" s="38" t="s">
        <v>12688</v>
      </c>
    </row>
    <row r="2196" spans="1:20" x14ac:dyDescent="0.25">
      <c r="A2196" s="33" t="s">
        <v>8020</v>
      </c>
      <c r="B2196" s="33" t="s">
        <v>8019</v>
      </c>
      <c r="C2196" s="33" t="s">
        <v>13</v>
      </c>
      <c r="D2196" s="33" t="s">
        <v>668</v>
      </c>
      <c r="E2196" s="33">
        <v>2022</v>
      </c>
      <c r="F2196" s="33">
        <v>10</v>
      </c>
      <c r="G2196" s="34"/>
      <c r="H2196" s="33" t="s">
        <v>8021</v>
      </c>
      <c r="I2196" s="34"/>
      <c r="J2196" s="33">
        <v>2022</v>
      </c>
      <c r="K2196" s="34"/>
      <c r="L2196" s="36"/>
      <c r="M2196" s="33" t="s">
        <v>670</v>
      </c>
      <c r="N2196" s="37" t="s">
        <v>8022</v>
      </c>
      <c r="O2196" s="33" t="s">
        <v>8023</v>
      </c>
      <c r="P2196" s="33" t="s">
        <v>8024</v>
      </c>
      <c r="Q2196" s="36"/>
      <c r="R2196" s="36"/>
      <c r="S2196" s="33" t="s">
        <v>8025</v>
      </c>
      <c r="T2196" s="38" t="s">
        <v>12688</v>
      </c>
    </row>
    <row r="2197" spans="1:20" x14ac:dyDescent="0.25">
      <c r="A2197" s="33" t="s">
        <v>12837</v>
      </c>
      <c r="B2197" s="33" t="s">
        <v>2750</v>
      </c>
      <c r="C2197" s="33" t="s">
        <v>13</v>
      </c>
      <c r="D2197" s="33" t="s">
        <v>136</v>
      </c>
      <c r="E2197" s="33">
        <v>2020</v>
      </c>
      <c r="F2197" s="33">
        <v>25</v>
      </c>
      <c r="G2197" s="33">
        <v>5</v>
      </c>
      <c r="H2197" s="33" t="s">
        <v>2752</v>
      </c>
      <c r="I2197" s="33" t="s">
        <v>137</v>
      </c>
      <c r="J2197" s="33">
        <v>2020</v>
      </c>
      <c r="K2197" s="34"/>
      <c r="L2197" s="34"/>
      <c r="M2197" s="33" t="s">
        <v>33</v>
      </c>
      <c r="N2197" s="37" t="s">
        <v>2753</v>
      </c>
      <c r="O2197" s="33" t="s">
        <v>2754</v>
      </c>
      <c r="P2197" s="33" t="s">
        <v>2755</v>
      </c>
      <c r="Q2197" s="33" t="s">
        <v>2756</v>
      </c>
      <c r="R2197" s="34"/>
      <c r="S2197" s="38"/>
      <c r="T2197" s="38" t="s">
        <v>12690</v>
      </c>
    </row>
    <row r="2198" spans="1:20" x14ac:dyDescent="0.25">
      <c r="A2198" s="33" t="s">
        <v>12837</v>
      </c>
      <c r="B2198" s="39" t="s">
        <v>9642</v>
      </c>
      <c r="C2198" s="39" t="s">
        <v>9478</v>
      </c>
      <c r="D2198" s="36"/>
      <c r="E2198" s="39">
        <v>2020</v>
      </c>
      <c r="F2198" s="39">
        <v>25</v>
      </c>
      <c r="G2198" s="39">
        <v>5</v>
      </c>
      <c r="H2198" s="36"/>
      <c r="I2198" s="39" t="s">
        <v>136</v>
      </c>
      <c r="J2198" s="36"/>
      <c r="K2198" s="36"/>
      <c r="L2198" s="36"/>
      <c r="M2198" s="34"/>
      <c r="N2198" s="41" t="s">
        <v>9643</v>
      </c>
      <c r="O2198" s="39" t="s">
        <v>2754</v>
      </c>
      <c r="P2198" s="33"/>
      <c r="Q2198" s="36"/>
      <c r="R2198" s="34"/>
      <c r="S2198" s="38"/>
      <c r="T2198" s="38" t="s">
        <v>12689</v>
      </c>
    </row>
    <row r="2199" spans="1:20" x14ac:dyDescent="0.25">
      <c r="A2199" s="33" t="s">
        <v>2105</v>
      </c>
      <c r="B2199" s="33" t="s">
        <v>2104</v>
      </c>
      <c r="C2199" s="33" t="s">
        <v>141</v>
      </c>
      <c r="D2199" s="34"/>
      <c r="E2199" s="33">
        <v>2021</v>
      </c>
      <c r="F2199" s="34"/>
      <c r="G2199" s="34"/>
      <c r="H2199" s="33" t="s">
        <v>2106</v>
      </c>
      <c r="I2199" s="33" t="s">
        <v>257</v>
      </c>
      <c r="J2199" s="33">
        <v>2021</v>
      </c>
      <c r="K2199" s="33">
        <v>9781728187105</v>
      </c>
      <c r="L2199" s="34"/>
      <c r="M2199" s="34"/>
      <c r="N2199" s="37" t="s">
        <v>2107</v>
      </c>
      <c r="O2199" s="33" t="s">
        <v>2108</v>
      </c>
      <c r="P2199" s="33" t="s">
        <v>2109</v>
      </c>
      <c r="Q2199" s="33" t="s">
        <v>2110</v>
      </c>
      <c r="R2199" s="34"/>
      <c r="S2199" s="38"/>
      <c r="T2199" s="38" t="s">
        <v>12690</v>
      </c>
    </row>
    <row r="2200" spans="1:20" x14ac:dyDescent="0.25">
      <c r="A2200" s="33" t="s">
        <v>11279</v>
      </c>
      <c r="B2200" s="33" t="s">
        <v>5806</v>
      </c>
      <c r="C2200" s="33" t="s">
        <v>141</v>
      </c>
      <c r="D2200" s="34"/>
      <c r="E2200" s="33">
        <v>2018</v>
      </c>
      <c r="F2200" s="34"/>
      <c r="G2200" s="34"/>
      <c r="H2200" s="33" t="s">
        <v>11280</v>
      </c>
      <c r="I2200" s="44" t="s">
        <v>12725</v>
      </c>
      <c r="J2200" s="33">
        <v>2018</v>
      </c>
      <c r="K2200" s="33">
        <v>9781450357166</v>
      </c>
      <c r="L2200" s="33" t="s">
        <v>11283</v>
      </c>
      <c r="M2200" s="34"/>
      <c r="N2200" s="37" t="s">
        <v>11282</v>
      </c>
      <c r="O2200" s="33" t="s">
        <v>5810</v>
      </c>
      <c r="P2200" s="33" t="s">
        <v>6603</v>
      </c>
      <c r="Q2200" s="36"/>
      <c r="R2200" s="36"/>
      <c r="S2200" s="34"/>
      <c r="T2200" s="33" t="s">
        <v>12692</v>
      </c>
    </row>
    <row r="2201" spans="1:20" x14ac:dyDescent="0.25">
      <c r="A2201" s="33" t="s">
        <v>11279</v>
      </c>
      <c r="B2201" s="33" t="s">
        <v>5806</v>
      </c>
      <c r="C2201" s="33" t="s">
        <v>141</v>
      </c>
      <c r="D2201" s="34"/>
      <c r="E2201" s="33">
        <v>2018</v>
      </c>
      <c r="F2201" s="34"/>
      <c r="G2201" s="34"/>
      <c r="H2201" s="33" t="s">
        <v>6602</v>
      </c>
      <c r="I2201" s="33" t="s">
        <v>6151</v>
      </c>
      <c r="J2201" s="43">
        <v>43221</v>
      </c>
      <c r="K2201" s="36"/>
      <c r="L2201" s="36"/>
      <c r="M2201" s="33" t="s">
        <v>6152</v>
      </c>
      <c r="N2201" s="34"/>
      <c r="O2201" s="34"/>
      <c r="P2201" s="33" t="s">
        <v>6603</v>
      </c>
      <c r="Q2201" s="36"/>
      <c r="R2201" s="36"/>
      <c r="S2201" s="33" t="s">
        <v>6604</v>
      </c>
      <c r="T2201" s="38" t="s">
        <v>12688</v>
      </c>
    </row>
    <row r="2202" spans="1:20" x14ac:dyDescent="0.25">
      <c r="A2202" s="33" t="s">
        <v>11279</v>
      </c>
      <c r="B2202" s="33" t="s">
        <v>5806</v>
      </c>
      <c r="C2202" s="33" t="s">
        <v>141</v>
      </c>
      <c r="D2202" s="34"/>
      <c r="E2202" s="33">
        <v>2018</v>
      </c>
      <c r="F2202" s="34"/>
      <c r="G2202" s="34"/>
      <c r="H2202" s="33" t="s">
        <v>5808</v>
      </c>
      <c r="I2202" s="33" t="s">
        <v>196</v>
      </c>
      <c r="J2202" s="33">
        <v>2018</v>
      </c>
      <c r="K2202" s="33">
        <v>9781450357166</v>
      </c>
      <c r="L2202" s="34"/>
      <c r="M2202" s="33" t="s">
        <v>1458</v>
      </c>
      <c r="N2202" s="37" t="s">
        <v>5809</v>
      </c>
      <c r="O2202" s="33" t="s">
        <v>5810</v>
      </c>
      <c r="P2202" s="33" t="s">
        <v>5811</v>
      </c>
      <c r="Q2202" s="33" t="s">
        <v>5812</v>
      </c>
      <c r="R2202" s="34"/>
      <c r="S2202" s="38"/>
      <c r="T2202" s="38" t="s">
        <v>12690</v>
      </c>
    </row>
    <row r="2203" spans="1:20" x14ac:dyDescent="0.25">
      <c r="A2203" s="33" t="s">
        <v>11324</v>
      </c>
      <c r="B2203" s="33" t="s">
        <v>6466</v>
      </c>
      <c r="C2203" s="33" t="s">
        <v>141</v>
      </c>
      <c r="D2203" s="34"/>
      <c r="E2203" s="33">
        <v>2022</v>
      </c>
      <c r="F2203" s="34"/>
      <c r="G2203" s="34"/>
      <c r="H2203" s="33" t="s">
        <v>11325</v>
      </c>
      <c r="I2203" s="44" t="s">
        <v>12740</v>
      </c>
      <c r="J2203" s="33">
        <v>2022</v>
      </c>
      <c r="K2203" s="33">
        <v>9781450393034</v>
      </c>
      <c r="L2203" s="33" t="s">
        <v>11329</v>
      </c>
      <c r="M2203" s="34"/>
      <c r="N2203" s="37" t="s">
        <v>11327</v>
      </c>
      <c r="O2203" s="33" t="s">
        <v>6471</v>
      </c>
      <c r="P2203" s="33" t="s">
        <v>6472</v>
      </c>
      <c r="Q2203" s="36"/>
      <c r="R2203" s="36"/>
      <c r="S2203" s="33" t="s">
        <v>11328</v>
      </c>
      <c r="T2203" s="33" t="s">
        <v>12692</v>
      </c>
    </row>
    <row r="2204" spans="1:20" x14ac:dyDescent="0.25">
      <c r="A2204" s="33" t="s">
        <v>11324</v>
      </c>
      <c r="B2204" s="33" t="s">
        <v>6466</v>
      </c>
      <c r="C2204" s="33" t="s">
        <v>141</v>
      </c>
      <c r="D2204" s="34"/>
      <c r="E2204" s="33">
        <v>2022</v>
      </c>
      <c r="F2204" s="34"/>
      <c r="G2204" s="34"/>
      <c r="H2204" s="33" t="s">
        <v>6468</v>
      </c>
      <c r="I2204" s="33" t="s">
        <v>6469</v>
      </c>
      <c r="J2204" s="43">
        <v>44682</v>
      </c>
      <c r="K2204" s="36"/>
      <c r="L2204" s="36"/>
      <c r="M2204" s="33" t="s">
        <v>6152</v>
      </c>
      <c r="N2204" s="37" t="s">
        <v>6470</v>
      </c>
      <c r="O2204" s="33" t="s">
        <v>6471</v>
      </c>
      <c r="P2204" s="33" t="s">
        <v>6472</v>
      </c>
      <c r="Q2204" s="36"/>
      <c r="R2204" s="36"/>
      <c r="S2204" s="33" t="s">
        <v>6473</v>
      </c>
      <c r="T2204" s="38" t="s">
        <v>12688</v>
      </c>
    </row>
    <row r="2205" spans="1:20" x14ac:dyDescent="0.25">
      <c r="A2205" s="39" t="s">
        <v>10650</v>
      </c>
      <c r="B2205" s="39" t="s">
        <v>10652</v>
      </c>
      <c r="C2205" s="39" t="s">
        <v>9539</v>
      </c>
      <c r="D2205" s="36"/>
      <c r="E2205" s="39">
        <v>2016</v>
      </c>
      <c r="F2205" s="40"/>
      <c r="G2205" s="40"/>
      <c r="H2205" s="36"/>
      <c r="I2205" s="39" t="s">
        <v>10649</v>
      </c>
      <c r="J2205" s="36"/>
      <c r="K2205" s="36"/>
      <c r="L2205" s="36"/>
      <c r="M2205" s="34"/>
      <c r="N2205" s="41" t="s">
        <v>10653</v>
      </c>
      <c r="O2205" s="39" t="s">
        <v>10651</v>
      </c>
      <c r="P2205" s="33"/>
      <c r="Q2205" s="36"/>
      <c r="R2205" s="34"/>
      <c r="S2205" s="38"/>
      <c r="T2205" s="38" t="s">
        <v>12689</v>
      </c>
    </row>
    <row r="2206" spans="1:20" x14ac:dyDescent="0.25">
      <c r="A2206" s="33" t="s">
        <v>5294</v>
      </c>
      <c r="B2206" s="33" t="s">
        <v>5293</v>
      </c>
      <c r="C2206" s="33" t="s">
        <v>141</v>
      </c>
      <c r="D2206" s="34"/>
      <c r="E2206" s="33">
        <v>2016</v>
      </c>
      <c r="F2206" s="34"/>
      <c r="G2206" s="34"/>
      <c r="H2206" s="33" t="s">
        <v>5295</v>
      </c>
      <c r="I2206" s="33" t="s">
        <v>257</v>
      </c>
      <c r="J2206" s="33">
        <v>2016</v>
      </c>
      <c r="K2206" s="33">
        <v>9781509036943</v>
      </c>
      <c r="L2206" s="34"/>
      <c r="M2206" s="34"/>
      <c r="N2206" s="37" t="s">
        <v>5296</v>
      </c>
      <c r="O2206" s="33" t="s">
        <v>5297</v>
      </c>
      <c r="P2206" s="33" t="s">
        <v>5298</v>
      </c>
      <c r="Q2206" s="33" t="s">
        <v>2286</v>
      </c>
      <c r="R2206" s="34"/>
      <c r="S2206" s="38"/>
      <c r="T2206" s="38" t="s">
        <v>12690</v>
      </c>
    </row>
    <row r="2207" spans="1:20" x14ac:dyDescent="0.25">
      <c r="A2207" s="33" t="s">
        <v>640</v>
      </c>
      <c r="B2207" s="33" t="s">
        <v>639</v>
      </c>
      <c r="C2207" s="33" t="s">
        <v>13</v>
      </c>
      <c r="D2207" s="33" t="s">
        <v>354</v>
      </c>
      <c r="E2207" s="33">
        <v>2023</v>
      </c>
      <c r="F2207" s="33">
        <v>198</v>
      </c>
      <c r="G2207" s="36"/>
      <c r="H2207" s="33">
        <v>111588</v>
      </c>
      <c r="I2207" s="36"/>
      <c r="J2207" s="33">
        <v>2023</v>
      </c>
      <c r="K2207" s="34"/>
      <c r="L2207" s="34"/>
      <c r="M2207" s="33" t="s">
        <v>65</v>
      </c>
      <c r="N2207" s="37" t="s">
        <v>8865</v>
      </c>
      <c r="O2207" s="33" t="s">
        <v>642</v>
      </c>
      <c r="P2207" s="33" t="s">
        <v>8866</v>
      </c>
      <c r="Q2207" s="36"/>
      <c r="R2207" s="36"/>
      <c r="S2207" s="33" t="s">
        <v>8867</v>
      </c>
      <c r="T2207" s="38" t="s">
        <v>12693</v>
      </c>
    </row>
    <row r="2208" spans="1:20" x14ac:dyDescent="0.25">
      <c r="A2208" s="33" t="s">
        <v>640</v>
      </c>
      <c r="B2208" s="33" t="s">
        <v>639</v>
      </c>
      <c r="C2208" s="33" t="s">
        <v>13</v>
      </c>
      <c r="D2208" s="33" t="s">
        <v>354</v>
      </c>
      <c r="E2208" s="33">
        <v>2023</v>
      </c>
      <c r="F2208" s="33">
        <v>198</v>
      </c>
      <c r="G2208" s="34"/>
      <c r="H2208" s="34"/>
      <c r="I2208" s="33" t="s">
        <v>355</v>
      </c>
      <c r="J2208" s="33">
        <v>2023</v>
      </c>
      <c r="K2208" s="34"/>
      <c r="L2208" s="34"/>
      <c r="M2208" s="33" t="s">
        <v>65</v>
      </c>
      <c r="N2208" s="37" t="s">
        <v>641</v>
      </c>
      <c r="O2208" s="33" t="s">
        <v>642</v>
      </c>
      <c r="P2208" s="33" t="s">
        <v>643</v>
      </c>
      <c r="Q2208" s="33" t="s">
        <v>404</v>
      </c>
      <c r="R2208" s="34"/>
      <c r="S2208" s="38"/>
      <c r="T2208" s="38" t="s">
        <v>12690</v>
      </c>
    </row>
    <row r="2209" spans="1:20" x14ac:dyDescent="0.25">
      <c r="A2209" s="33" t="s">
        <v>5052</v>
      </c>
      <c r="B2209" s="33" t="s">
        <v>5051</v>
      </c>
      <c r="C2209" s="33" t="s">
        <v>13</v>
      </c>
      <c r="D2209" s="33" t="s">
        <v>136</v>
      </c>
      <c r="E2209" s="33">
        <v>2020</v>
      </c>
      <c r="F2209" s="33">
        <v>25</v>
      </c>
      <c r="G2209" s="33">
        <v>1</v>
      </c>
      <c r="H2209" s="33" t="s">
        <v>5053</v>
      </c>
      <c r="I2209" s="33" t="s">
        <v>137</v>
      </c>
      <c r="J2209" s="33">
        <v>2020</v>
      </c>
      <c r="K2209" s="34"/>
      <c r="L2209" s="34"/>
      <c r="M2209" s="33" t="s">
        <v>33</v>
      </c>
      <c r="N2209" s="37" t="s">
        <v>5054</v>
      </c>
      <c r="O2209" s="33" t="s">
        <v>5055</v>
      </c>
      <c r="P2209" s="33" t="s">
        <v>5056</v>
      </c>
      <c r="Q2209" s="33" t="s">
        <v>3118</v>
      </c>
      <c r="R2209" s="34"/>
      <c r="S2209" s="38"/>
      <c r="T2209" s="38" t="s">
        <v>12690</v>
      </c>
    </row>
    <row r="2210" spans="1:20" x14ac:dyDescent="0.25">
      <c r="A2210" s="39" t="s">
        <v>10592</v>
      </c>
      <c r="B2210" s="39" t="s">
        <v>10594</v>
      </c>
      <c r="C2210" s="39" t="s">
        <v>9478</v>
      </c>
      <c r="D2210" s="36"/>
      <c r="E2210" s="39">
        <v>2020</v>
      </c>
      <c r="F2210" s="39">
        <v>25</v>
      </c>
      <c r="G2210" s="39">
        <v>4</v>
      </c>
      <c r="H2210" s="36"/>
      <c r="I2210" s="39" t="s">
        <v>136</v>
      </c>
      <c r="J2210" s="36"/>
      <c r="K2210" s="36"/>
      <c r="L2210" s="36"/>
      <c r="M2210" s="34"/>
      <c r="N2210" s="41" t="s">
        <v>10595</v>
      </c>
      <c r="O2210" s="39" t="s">
        <v>10593</v>
      </c>
      <c r="P2210" s="33"/>
      <c r="Q2210" s="36"/>
      <c r="R2210" s="34"/>
      <c r="S2210" s="38"/>
      <c r="T2210" s="38" t="s">
        <v>12689</v>
      </c>
    </row>
    <row r="2211" spans="1:20" x14ac:dyDescent="0.25">
      <c r="A2211" s="33" t="s">
        <v>2778</v>
      </c>
      <c r="B2211" s="33" t="s">
        <v>2777</v>
      </c>
      <c r="C2211" s="33" t="s">
        <v>13</v>
      </c>
      <c r="D2211" s="33" t="s">
        <v>209</v>
      </c>
      <c r="E2211" s="33">
        <v>2021</v>
      </c>
      <c r="F2211" s="33" t="s">
        <v>2779</v>
      </c>
      <c r="G2211" s="34"/>
      <c r="H2211" s="33" t="s">
        <v>2780</v>
      </c>
      <c r="I2211" s="33" t="s">
        <v>212</v>
      </c>
      <c r="J2211" s="33">
        <v>2021</v>
      </c>
      <c r="K2211" s="34"/>
      <c r="L2211" s="34"/>
      <c r="M2211" s="33" t="s">
        <v>213</v>
      </c>
      <c r="N2211" s="37" t="s">
        <v>2781</v>
      </c>
      <c r="O2211" s="33" t="s">
        <v>2782</v>
      </c>
      <c r="P2211" s="33" t="s">
        <v>2783</v>
      </c>
      <c r="Q2211" s="33" t="s">
        <v>404</v>
      </c>
      <c r="R2211" s="34"/>
      <c r="S2211" s="38"/>
      <c r="T2211" s="38" t="s">
        <v>12690</v>
      </c>
    </row>
    <row r="2212" spans="1:20" x14ac:dyDescent="0.25">
      <c r="A2212" s="33" t="s">
        <v>11604</v>
      </c>
      <c r="B2212" s="33" t="s">
        <v>5395</v>
      </c>
      <c r="C2212" s="33" t="s">
        <v>141</v>
      </c>
      <c r="D2212" s="34"/>
      <c r="E2212" s="33">
        <v>2017</v>
      </c>
      <c r="F2212" s="34"/>
      <c r="G2212" s="34"/>
      <c r="H2212" s="33" t="s">
        <v>11605</v>
      </c>
      <c r="I2212" s="44" t="s">
        <v>12719</v>
      </c>
      <c r="J2212" s="33">
        <v>2017</v>
      </c>
      <c r="K2212" s="33">
        <v>9781509040391</v>
      </c>
      <c r="L2212" s="33" t="s">
        <v>11610</v>
      </c>
      <c r="M2212" s="34"/>
      <c r="N2212" s="37" t="s">
        <v>11608</v>
      </c>
      <c r="O2212" s="33" t="s">
        <v>5400</v>
      </c>
      <c r="P2212" s="33" t="s">
        <v>7156</v>
      </c>
      <c r="Q2212" s="36"/>
      <c r="R2212" s="36"/>
      <c r="S2212" s="33" t="s">
        <v>11609</v>
      </c>
      <c r="T2212" s="33" t="s">
        <v>12692</v>
      </c>
    </row>
    <row r="2213" spans="1:20" x14ac:dyDescent="0.25">
      <c r="A2213" s="33" t="s">
        <v>11604</v>
      </c>
      <c r="B2213" s="33" t="s">
        <v>5395</v>
      </c>
      <c r="C2213" s="33" t="s">
        <v>141</v>
      </c>
      <c r="D2213" s="34"/>
      <c r="E2213" s="33">
        <v>2017</v>
      </c>
      <c r="F2213" s="34"/>
      <c r="G2213" s="34"/>
      <c r="H2213" s="33" t="s">
        <v>7153</v>
      </c>
      <c r="I2213" s="33" t="s">
        <v>7154</v>
      </c>
      <c r="J2213" s="35">
        <v>43040</v>
      </c>
      <c r="K2213" s="36"/>
      <c r="L2213" s="36"/>
      <c r="M2213" s="34"/>
      <c r="N2213" s="37" t="s">
        <v>7155</v>
      </c>
      <c r="O2213" s="33" t="s">
        <v>5400</v>
      </c>
      <c r="P2213" s="33" t="s">
        <v>7156</v>
      </c>
      <c r="Q2213" s="36"/>
      <c r="R2213" s="36"/>
      <c r="S2213" s="33" t="s">
        <v>7157</v>
      </c>
      <c r="T2213" s="38" t="s">
        <v>12688</v>
      </c>
    </row>
    <row r="2214" spans="1:20" x14ac:dyDescent="0.25">
      <c r="A2214" s="33" t="s">
        <v>11604</v>
      </c>
      <c r="B2214" s="33" t="s">
        <v>5395</v>
      </c>
      <c r="C2214" s="33" t="s">
        <v>141</v>
      </c>
      <c r="D2214" s="34"/>
      <c r="E2214" s="33">
        <v>2017</v>
      </c>
      <c r="F2214" s="33" t="s">
        <v>5397</v>
      </c>
      <c r="G2214" s="34"/>
      <c r="H2214" s="33" t="s">
        <v>5398</v>
      </c>
      <c r="I2214" s="33" t="s">
        <v>196</v>
      </c>
      <c r="J2214" s="33">
        <v>2017</v>
      </c>
      <c r="K2214" s="33">
        <v>9781509040391</v>
      </c>
      <c r="L2214" s="34"/>
      <c r="M2214" s="33" t="s">
        <v>197</v>
      </c>
      <c r="N2214" s="37" t="s">
        <v>5399</v>
      </c>
      <c r="O2214" s="33" t="s">
        <v>5400</v>
      </c>
      <c r="P2214" s="33" t="s">
        <v>5401</v>
      </c>
      <c r="Q2214" s="33" t="s">
        <v>2804</v>
      </c>
      <c r="R2214" s="34"/>
      <c r="S2214" s="38"/>
      <c r="T2214" s="38" t="s">
        <v>12690</v>
      </c>
    </row>
    <row r="2215" spans="1:20" x14ac:dyDescent="0.25">
      <c r="A2215" s="39" t="s">
        <v>10843</v>
      </c>
      <c r="B2215" s="39" t="s">
        <v>10845</v>
      </c>
      <c r="C2215" s="39" t="s">
        <v>9539</v>
      </c>
      <c r="D2215" s="36"/>
      <c r="E2215" s="39">
        <v>2017</v>
      </c>
      <c r="F2215" s="40"/>
      <c r="G2215" s="40"/>
      <c r="H2215" s="36"/>
      <c r="I2215" s="39" t="s">
        <v>9519</v>
      </c>
      <c r="J2215" s="36"/>
      <c r="K2215" s="36"/>
      <c r="L2215" s="36"/>
      <c r="M2215" s="34"/>
      <c r="N2215" s="41" t="s">
        <v>10846</v>
      </c>
      <c r="O2215" s="39" t="s">
        <v>10844</v>
      </c>
      <c r="P2215" s="33"/>
      <c r="Q2215" s="36"/>
      <c r="R2215" s="34"/>
      <c r="S2215" s="38"/>
      <c r="T2215" s="38" t="s">
        <v>12689</v>
      </c>
    </row>
    <row r="2216" spans="1:20" x14ac:dyDescent="0.25">
      <c r="A2216" s="39" t="s">
        <v>10936</v>
      </c>
      <c r="B2216" s="39" t="s">
        <v>10938</v>
      </c>
      <c r="C2216" s="39" t="s">
        <v>9539</v>
      </c>
      <c r="D2216" s="36"/>
      <c r="E2216" s="39">
        <v>2019</v>
      </c>
      <c r="F2216" s="40"/>
      <c r="G2216" s="40"/>
      <c r="H2216" s="36"/>
      <c r="I2216" s="39" t="s">
        <v>10935</v>
      </c>
      <c r="J2216" s="36"/>
      <c r="K2216" s="36"/>
      <c r="L2216" s="36"/>
      <c r="M2216" s="34"/>
      <c r="N2216" s="41" t="s">
        <v>10939</v>
      </c>
      <c r="O2216" s="39" t="s">
        <v>10937</v>
      </c>
      <c r="P2216" s="33"/>
      <c r="Q2216" s="36"/>
      <c r="R2216" s="34"/>
      <c r="S2216" s="38"/>
      <c r="T2216" s="38" t="s">
        <v>12689</v>
      </c>
    </row>
    <row r="2217" spans="1:20" x14ac:dyDescent="0.25">
      <c r="A2217" s="33" t="s">
        <v>8326</v>
      </c>
      <c r="B2217" s="33" t="s">
        <v>8325</v>
      </c>
      <c r="C2217" s="33" t="s">
        <v>13</v>
      </c>
      <c r="D2217" s="33" t="s">
        <v>4637</v>
      </c>
      <c r="E2217" s="33">
        <v>2020</v>
      </c>
      <c r="F2217" s="33">
        <v>37</v>
      </c>
      <c r="G2217" s="33">
        <v>4</v>
      </c>
      <c r="H2217" s="42">
        <v>44991</v>
      </c>
      <c r="I2217" s="34"/>
      <c r="J2217" s="43">
        <v>44013</v>
      </c>
      <c r="K2217" s="34"/>
      <c r="L2217" s="36"/>
      <c r="M2217" s="33" t="s">
        <v>6207</v>
      </c>
      <c r="N2217" s="37" t="s">
        <v>8327</v>
      </c>
      <c r="O2217" s="33" t="s">
        <v>8328</v>
      </c>
      <c r="P2217" s="33" t="s">
        <v>8329</v>
      </c>
      <c r="Q2217" s="36"/>
      <c r="R2217" s="34"/>
      <c r="S2217" s="38"/>
      <c r="T2217" s="38" t="s">
        <v>12688</v>
      </c>
    </row>
    <row r="2218" spans="1:20" x14ac:dyDescent="0.25">
      <c r="A2218" s="33" t="s">
        <v>7577</v>
      </c>
      <c r="B2218" s="33" t="s">
        <v>7576</v>
      </c>
      <c r="C2218" s="33" t="s">
        <v>141</v>
      </c>
      <c r="D2218" s="34"/>
      <c r="E2218" s="33">
        <v>2022</v>
      </c>
      <c r="F2218" s="34"/>
      <c r="G2218" s="34"/>
      <c r="H2218" s="33" t="s">
        <v>11979</v>
      </c>
      <c r="I2218" s="44" t="s">
        <v>12745</v>
      </c>
      <c r="J2218" s="33">
        <v>2022</v>
      </c>
      <c r="K2218" s="33">
        <v>9781450392754</v>
      </c>
      <c r="L2218" s="33" t="s">
        <v>11323</v>
      </c>
      <c r="M2218" s="34"/>
      <c r="N2218" s="37" t="s">
        <v>11980</v>
      </c>
      <c r="O2218" s="33" t="s">
        <v>7579</v>
      </c>
      <c r="P2218" s="33" t="s">
        <v>7580</v>
      </c>
      <c r="Q2218" s="36"/>
      <c r="R2218" s="36"/>
      <c r="S2218" s="33" t="s">
        <v>11981</v>
      </c>
      <c r="T2218" s="33" t="s">
        <v>12692</v>
      </c>
    </row>
    <row r="2219" spans="1:20" x14ac:dyDescent="0.25">
      <c r="A2219" s="33" t="s">
        <v>7577</v>
      </c>
      <c r="B2219" s="33" t="s">
        <v>7576</v>
      </c>
      <c r="C2219" s="33" t="s">
        <v>141</v>
      </c>
      <c r="D2219" s="34"/>
      <c r="E2219" s="33">
        <v>2022</v>
      </c>
      <c r="F2219" s="34"/>
      <c r="G2219" s="34"/>
      <c r="H2219" s="42">
        <v>44935</v>
      </c>
      <c r="I2219" s="33" t="s">
        <v>6269</v>
      </c>
      <c r="J2219" s="43">
        <v>44682</v>
      </c>
      <c r="K2219" s="36"/>
      <c r="L2219" s="36"/>
      <c r="M2219" s="34"/>
      <c r="N2219" s="37" t="s">
        <v>7578</v>
      </c>
      <c r="O2219" s="33" t="s">
        <v>7579</v>
      </c>
      <c r="P2219" s="33" t="s">
        <v>7580</v>
      </c>
      <c r="Q2219" s="36"/>
      <c r="R2219" s="36"/>
      <c r="S2219" s="33" t="s">
        <v>7581</v>
      </c>
      <c r="T2219" s="38" t="s">
        <v>12688</v>
      </c>
    </row>
    <row r="2220" spans="1:20" x14ac:dyDescent="0.25">
      <c r="A2220" s="33" t="s">
        <v>12124</v>
      </c>
      <c r="B2220" s="33" t="s">
        <v>12123</v>
      </c>
      <c r="C2220" s="33" t="s">
        <v>13</v>
      </c>
      <c r="D2220" s="33" t="s">
        <v>11246</v>
      </c>
      <c r="E2220" s="33">
        <v>2022</v>
      </c>
      <c r="F2220" s="34"/>
      <c r="G2220" s="34"/>
      <c r="H2220" s="34"/>
      <c r="I2220" s="44" t="s">
        <v>12710</v>
      </c>
      <c r="J2220" s="35">
        <v>44835</v>
      </c>
      <c r="K2220" s="34"/>
      <c r="L2220" s="34"/>
      <c r="M2220" s="33" t="s">
        <v>329</v>
      </c>
      <c r="N2220" s="37" t="s">
        <v>12125</v>
      </c>
      <c r="O2220" s="33" t="s">
        <v>12126</v>
      </c>
      <c r="P2220" s="33" t="s">
        <v>12127</v>
      </c>
      <c r="Q2220" s="36"/>
      <c r="R2220" s="36"/>
      <c r="S2220" s="33" t="s">
        <v>12128</v>
      </c>
      <c r="T2220" s="33" t="s">
        <v>12692</v>
      </c>
    </row>
    <row r="2221" spans="1:20" x14ac:dyDescent="0.25">
      <c r="A2221" s="33" t="s">
        <v>11566</v>
      </c>
      <c r="B2221" s="33" t="s">
        <v>11565</v>
      </c>
      <c r="C2221" s="33" t="s">
        <v>141</v>
      </c>
      <c r="D2221" s="34"/>
      <c r="E2221" s="33">
        <v>2012</v>
      </c>
      <c r="F2221" s="34"/>
      <c r="G2221" s="34"/>
      <c r="H2221" s="33" t="s">
        <v>11567</v>
      </c>
      <c r="I2221" s="44" t="s">
        <v>12756</v>
      </c>
      <c r="J2221" s="33">
        <v>2012</v>
      </c>
      <c r="K2221" s="33">
        <v>9781467317498</v>
      </c>
      <c r="L2221" s="33" t="s">
        <v>11126</v>
      </c>
      <c r="M2221" s="34"/>
      <c r="N2221" s="34"/>
      <c r="O2221" s="34"/>
      <c r="P2221" s="33" t="s">
        <v>11568</v>
      </c>
      <c r="Q2221" s="36"/>
      <c r="R2221" s="36"/>
      <c r="S2221" s="33" t="s">
        <v>11569</v>
      </c>
      <c r="T2221" s="33" t="s">
        <v>12692</v>
      </c>
    </row>
    <row r="2222" spans="1:20" x14ac:dyDescent="0.25">
      <c r="A2222" s="33" t="s">
        <v>3568</v>
      </c>
      <c r="B2222" s="33" t="s">
        <v>3567</v>
      </c>
      <c r="C2222" s="33" t="s">
        <v>13</v>
      </c>
      <c r="D2222" s="33" t="s">
        <v>136</v>
      </c>
      <c r="E2222" s="33">
        <v>2021</v>
      </c>
      <c r="F2222" s="33">
        <v>26</v>
      </c>
      <c r="G2222" s="33">
        <v>1</v>
      </c>
      <c r="H2222" s="34"/>
      <c r="I2222" s="33" t="s">
        <v>137</v>
      </c>
      <c r="J2222" s="33">
        <v>2021</v>
      </c>
      <c r="K2222" s="34"/>
      <c r="L2222" s="34"/>
      <c r="M2222" s="33" t="s">
        <v>33</v>
      </c>
      <c r="N2222" s="37" t="s">
        <v>3569</v>
      </c>
      <c r="O2222" s="33" t="s">
        <v>3570</v>
      </c>
      <c r="P2222" s="33" t="s">
        <v>3571</v>
      </c>
      <c r="Q2222" s="33" t="s">
        <v>289</v>
      </c>
      <c r="R2222" s="34"/>
      <c r="S2222" s="38"/>
      <c r="T2222" s="38" t="s">
        <v>12690</v>
      </c>
    </row>
    <row r="2223" spans="1:20" x14ac:dyDescent="0.25">
      <c r="A2223" s="39" t="s">
        <v>10156</v>
      </c>
      <c r="B2223" s="39" t="s">
        <v>10158</v>
      </c>
      <c r="C2223" s="39" t="s">
        <v>9478</v>
      </c>
      <c r="D2223" s="36"/>
      <c r="E2223" s="39">
        <v>2023</v>
      </c>
      <c r="F2223" s="39">
        <v>28</v>
      </c>
      <c r="G2223" s="39">
        <v>2</v>
      </c>
      <c r="H2223" s="36"/>
      <c r="I2223" s="39" t="s">
        <v>136</v>
      </c>
      <c r="J2223" s="36"/>
      <c r="K2223" s="36"/>
      <c r="L2223" s="36"/>
      <c r="M2223" s="34"/>
      <c r="N2223" s="41" t="s">
        <v>10159</v>
      </c>
      <c r="O2223" s="39" t="s">
        <v>10157</v>
      </c>
      <c r="P2223" s="33"/>
      <c r="Q2223" s="36"/>
      <c r="R2223" s="34"/>
      <c r="S2223" s="38"/>
      <c r="T2223" s="38" t="s">
        <v>12689</v>
      </c>
    </row>
    <row r="2224" spans="1:20" x14ac:dyDescent="0.25">
      <c r="A2224" s="39" t="s">
        <v>10793</v>
      </c>
      <c r="B2224" s="39" t="s">
        <v>10795</v>
      </c>
      <c r="C2224" s="39" t="s">
        <v>9478</v>
      </c>
      <c r="D2224" s="36"/>
      <c r="E2224" s="39">
        <v>2020</v>
      </c>
      <c r="F2224" s="39">
        <v>25</v>
      </c>
      <c r="G2224" s="39">
        <v>5</v>
      </c>
      <c r="H2224" s="36"/>
      <c r="I2224" s="39" t="s">
        <v>136</v>
      </c>
      <c r="J2224" s="36"/>
      <c r="K2224" s="36"/>
      <c r="L2224" s="36"/>
      <c r="M2224" s="34"/>
      <c r="N2224" s="41" t="s">
        <v>10796</v>
      </c>
      <c r="O2224" s="39" t="s">
        <v>10794</v>
      </c>
      <c r="P2224" s="33"/>
      <c r="Q2224" s="36"/>
      <c r="R2224" s="34"/>
      <c r="S2224" s="38"/>
      <c r="T2224" s="38" t="s">
        <v>12689</v>
      </c>
    </row>
    <row r="2225" spans="1:20" x14ac:dyDescent="0.25">
      <c r="A2225" s="33" t="s">
        <v>5953</v>
      </c>
      <c r="B2225" s="33" t="s">
        <v>5952</v>
      </c>
      <c r="C2225" s="33" t="s">
        <v>141</v>
      </c>
      <c r="D2225" s="34"/>
      <c r="E2225" s="33">
        <v>2017</v>
      </c>
      <c r="F2225" s="34"/>
      <c r="G2225" s="34"/>
      <c r="H2225" s="33" t="s">
        <v>5954</v>
      </c>
      <c r="I2225" s="33" t="s">
        <v>257</v>
      </c>
      <c r="J2225" s="33">
        <v>2017</v>
      </c>
      <c r="K2225" s="33">
        <v>9781538631911</v>
      </c>
      <c r="L2225" s="34"/>
      <c r="M2225" s="34"/>
      <c r="N2225" s="37" t="s">
        <v>5955</v>
      </c>
      <c r="O2225" s="33" t="s">
        <v>5956</v>
      </c>
      <c r="P2225" s="33" t="s">
        <v>5957</v>
      </c>
      <c r="Q2225" s="33" t="s">
        <v>5958</v>
      </c>
      <c r="R2225" s="34"/>
      <c r="S2225" s="38"/>
      <c r="T2225" s="38" t="s">
        <v>12690</v>
      </c>
    </row>
    <row r="2226" spans="1:20" x14ac:dyDescent="0.25">
      <c r="A2226" s="33" t="s">
        <v>11792</v>
      </c>
      <c r="B2226" s="33" t="s">
        <v>11791</v>
      </c>
      <c r="C2226" s="33" t="s">
        <v>141</v>
      </c>
      <c r="D2226" s="34"/>
      <c r="E2226" s="33">
        <v>2021</v>
      </c>
      <c r="F2226" s="34"/>
      <c r="G2226" s="34"/>
      <c r="H2226" s="33" t="s">
        <v>11793</v>
      </c>
      <c r="I2226" s="44" t="s">
        <v>12746</v>
      </c>
      <c r="J2226" s="33">
        <v>2021</v>
      </c>
      <c r="K2226" s="33">
        <v>9781450386586</v>
      </c>
      <c r="L2226" s="33" t="s">
        <v>11659</v>
      </c>
      <c r="M2226" s="34"/>
      <c r="N2226" s="37" t="s">
        <v>11794</v>
      </c>
      <c r="O2226" s="33" t="s">
        <v>11795</v>
      </c>
      <c r="P2226" s="33" t="s">
        <v>11796</v>
      </c>
      <c r="Q2226" s="36"/>
      <c r="R2226" s="36"/>
      <c r="S2226" s="33" t="s">
        <v>11797</v>
      </c>
      <c r="T2226" s="33" t="s">
        <v>12692</v>
      </c>
    </row>
    <row r="2227" spans="1:20" x14ac:dyDescent="0.25">
      <c r="A2227" s="33" t="s">
        <v>3023</v>
      </c>
      <c r="B2227" s="33" t="s">
        <v>3022</v>
      </c>
      <c r="C2227" s="33" t="s">
        <v>141</v>
      </c>
      <c r="D2227" s="34"/>
      <c r="E2227" s="33">
        <v>2021</v>
      </c>
      <c r="F2227" s="34"/>
      <c r="G2227" s="34"/>
      <c r="H2227" s="33" t="s">
        <v>3024</v>
      </c>
      <c r="I2227" s="33" t="s">
        <v>196</v>
      </c>
      <c r="J2227" s="33">
        <v>2021</v>
      </c>
      <c r="K2227" s="33">
        <v>9781665428569</v>
      </c>
      <c r="L2227" s="34"/>
      <c r="M2227" s="33" t="s">
        <v>322</v>
      </c>
      <c r="N2227" s="37" t="s">
        <v>3025</v>
      </c>
      <c r="O2227" s="33" t="s">
        <v>3026</v>
      </c>
      <c r="P2227" s="33" t="s">
        <v>3027</v>
      </c>
      <c r="Q2227" s="33" t="s">
        <v>1573</v>
      </c>
      <c r="R2227" s="34"/>
      <c r="S2227" s="38"/>
      <c r="T2227" s="38" t="s">
        <v>12690</v>
      </c>
    </row>
    <row r="2228" spans="1:20" x14ac:dyDescent="0.25">
      <c r="A2228" s="33" t="s">
        <v>12382</v>
      </c>
      <c r="B2228" s="33" t="s">
        <v>12381</v>
      </c>
      <c r="C2228" s="33" t="s">
        <v>141</v>
      </c>
      <c r="D2228" s="34"/>
      <c r="E2228" s="33">
        <v>2018</v>
      </c>
      <c r="F2228" s="34"/>
      <c r="G2228" s="34"/>
      <c r="H2228" s="33" t="s">
        <v>12383</v>
      </c>
      <c r="I2228" s="44" t="s">
        <v>12838</v>
      </c>
      <c r="J2228" s="33">
        <v>2018</v>
      </c>
      <c r="K2228" s="33">
        <v>9781450356381</v>
      </c>
      <c r="L2228" s="33" t="s">
        <v>11359</v>
      </c>
      <c r="M2228" s="34"/>
      <c r="N2228" s="37" t="s">
        <v>12385</v>
      </c>
      <c r="O2228" s="33" t="s">
        <v>12386</v>
      </c>
      <c r="P2228" s="33" t="s">
        <v>12387</v>
      </c>
      <c r="Q2228" s="36"/>
      <c r="R2228" s="36"/>
      <c r="S2228" s="33" t="s">
        <v>12388</v>
      </c>
      <c r="T2228" s="33" t="s">
        <v>12692</v>
      </c>
    </row>
    <row r="2229" spans="1:20" x14ac:dyDescent="0.25">
      <c r="A2229" s="33" t="s">
        <v>7132</v>
      </c>
      <c r="B2229" s="33" t="s">
        <v>7131</v>
      </c>
      <c r="C2229" s="33" t="s">
        <v>141</v>
      </c>
      <c r="D2229" s="34"/>
      <c r="E2229" s="33">
        <v>2022</v>
      </c>
      <c r="F2229" s="34"/>
      <c r="G2229" s="34"/>
      <c r="H2229" s="33" t="s">
        <v>7133</v>
      </c>
      <c r="I2229" s="33" t="s">
        <v>6817</v>
      </c>
      <c r="J2229" s="35">
        <v>44835</v>
      </c>
      <c r="K2229" s="36"/>
      <c r="L2229" s="36"/>
      <c r="M2229" s="33" t="s">
        <v>6818</v>
      </c>
      <c r="N2229" s="37" t="s">
        <v>7134</v>
      </c>
      <c r="O2229" s="33" t="s">
        <v>7135</v>
      </c>
      <c r="P2229" s="33" t="s">
        <v>7136</v>
      </c>
      <c r="Q2229" s="36"/>
      <c r="R2229" s="36"/>
      <c r="S2229" s="33" t="s">
        <v>7137</v>
      </c>
      <c r="T2229" s="38" t="s">
        <v>12688</v>
      </c>
    </row>
    <row r="2230" spans="1:20" x14ac:dyDescent="0.25">
      <c r="A2230" s="33" t="s">
        <v>8722</v>
      </c>
      <c r="B2230" s="33" t="s">
        <v>8721</v>
      </c>
      <c r="C2230" s="33" t="s">
        <v>13</v>
      </c>
      <c r="D2230" s="33" t="s">
        <v>354</v>
      </c>
      <c r="E2230" s="33">
        <v>2022</v>
      </c>
      <c r="F2230" s="33">
        <v>192</v>
      </c>
      <c r="G2230" s="36"/>
      <c r="H2230" s="33">
        <v>111389</v>
      </c>
      <c r="I2230" s="36"/>
      <c r="J2230" s="33">
        <v>2022</v>
      </c>
      <c r="K2230" s="34"/>
      <c r="L2230" s="34"/>
      <c r="M2230" s="33" t="s">
        <v>65</v>
      </c>
      <c r="N2230" s="37" t="s">
        <v>8723</v>
      </c>
      <c r="O2230" s="33" t="s">
        <v>8724</v>
      </c>
      <c r="P2230" s="33" t="s">
        <v>8725</v>
      </c>
      <c r="Q2230" s="36"/>
      <c r="R2230" s="36"/>
      <c r="S2230" s="33" t="s">
        <v>8726</v>
      </c>
      <c r="T2230" s="38" t="s">
        <v>12693</v>
      </c>
    </row>
    <row r="2231" spans="1:20" x14ac:dyDescent="0.25">
      <c r="A2231" s="33" t="s">
        <v>3556</v>
      </c>
      <c r="B2231" s="33" t="s">
        <v>3555</v>
      </c>
      <c r="C2231" s="33" t="s">
        <v>13</v>
      </c>
      <c r="D2231" s="33" t="s">
        <v>255</v>
      </c>
      <c r="E2231" s="33">
        <v>2021</v>
      </c>
      <c r="F2231" s="33">
        <v>47</v>
      </c>
      <c r="G2231" s="33">
        <v>3</v>
      </c>
      <c r="H2231" s="33" t="s">
        <v>3557</v>
      </c>
      <c r="I2231" s="33" t="s">
        <v>257</v>
      </c>
      <c r="J2231" s="33">
        <v>2021</v>
      </c>
      <c r="K2231" s="34"/>
      <c r="L2231" s="34"/>
      <c r="M2231" s="33" t="s">
        <v>18</v>
      </c>
      <c r="N2231" s="37" t="s">
        <v>3558</v>
      </c>
      <c r="O2231" s="33" t="s">
        <v>3559</v>
      </c>
      <c r="P2231" s="33" t="s">
        <v>3560</v>
      </c>
      <c r="Q2231" s="33" t="s">
        <v>3003</v>
      </c>
      <c r="R2231" s="34"/>
      <c r="S2231" s="38"/>
      <c r="T2231" s="38" t="s">
        <v>12690</v>
      </c>
    </row>
    <row r="2232" spans="1:20" x14ac:dyDescent="0.25">
      <c r="A2232" s="33" t="s">
        <v>8098</v>
      </c>
      <c r="B2232" s="33" t="s">
        <v>8097</v>
      </c>
      <c r="C2232" s="33" t="s">
        <v>141</v>
      </c>
      <c r="D2232" s="34"/>
      <c r="E2232" s="33">
        <v>2020</v>
      </c>
      <c r="F2232" s="34"/>
      <c r="G2232" s="34"/>
      <c r="H2232" s="33" t="s">
        <v>8099</v>
      </c>
      <c r="I2232" s="33" t="s">
        <v>8100</v>
      </c>
      <c r="J2232" s="43">
        <v>43922</v>
      </c>
      <c r="K2232" s="34"/>
      <c r="L2232" s="36"/>
      <c r="M2232" s="33" t="s">
        <v>8101</v>
      </c>
      <c r="N2232" s="37" t="s">
        <v>8102</v>
      </c>
      <c r="O2232" s="33" t="s">
        <v>8103</v>
      </c>
      <c r="P2232" s="33" t="s">
        <v>8104</v>
      </c>
      <c r="Q2232" s="36"/>
      <c r="R2232" s="36"/>
      <c r="S2232" s="33" t="s">
        <v>8105</v>
      </c>
      <c r="T2232" s="38" t="s">
        <v>12688</v>
      </c>
    </row>
    <row r="2233" spans="1:20" x14ac:dyDescent="0.25">
      <c r="A2233" s="33" t="s">
        <v>3573</v>
      </c>
      <c r="B2233" s="33" t="s">
        <v>3572</v>
      </c>
      <c r="C2233" s="33" t="s">
        <v>13</v>
      </c>
      <c r="D2233" s="33" t="s">
        <v>3574</v>
      </c>
      <c r="E2233" s="33">
        <v>2021</v>
      </c>
      <c r="F2233" s="33">
        <v>47</v>
      </c>
      <c r="G2233" s="33">
        <v>5</v>
      </c>
      <c r="H2233" s="33" t="s">
        <v>3575</v>
      </c>
      <c r="I2233" s="33" t="s">
        <v>3576</v>
      </c>
      <c r="J2233" s="33">
        <v>2021</v>
      </c>
      <c r="K2233" s="34"/>
      <c r="L2233" s="34"/>
      <c r="M2233" s="33" t="s">
        <v>3577</v>
      </c>
      <c r="N2233" s="37" t="s">
        <v>3578</v>
      </c>
      <c r="O2233" s="33" t="s">
        <v>3579</v>
      </c>
      <c r="P2233" s="33" t="s">
        <v>3580</v>
      </c>
      <c r="Q2233" s="33" t="s">
        <v>3581</v>
      </c>
      <c r="R2233" s="34"/>
      <c r="S2233" s="38"/>
      <c r="T2233" s="38" t="s">
        <v>12690</v>
      </c>
    </row>
    <row r="2234" spans="1:20" x14ac:dyDescent="0.25">
      <c r="A2234" s="33" t="s">
        <v>2986</v>
      </c>
      <c r="B2234" s="33" t="s">
        <v>2985</v>
      </c>
      <c r="C2234" s="33" t="s">
        <v>141</v>
      </c>
      <c r="D2234" s="34"/>
      <c r="E2234" s="33">
        <v>2021</v>
      </c>
      <c r="F2234" s="34"/>
      <c r="G2234" s="34"/>
      <c r="H2234" s="33" t="s">
        <v>2370</v>
      </c>
      <c r="I2234" s="33" t="s">
        <v>257</v>
      </c>
      <c r="J2234" s="33">
        <v>2021</v>
      </c>
      <c r="K2234" s="33">
        <v>9781665444705</v>
      </c>
      <c r="L2234" s="34"/>
      <c r="M2234" s="34"/>
      <c r="N2234" s="37" t="s">
        <v>2987</v>
      </c>
      <c r="O2234" s="33" t="s">
        <v>2988</v>
      </c>
      <c r="P2234" s="33" t="s">
        <v>2989</v>
      </c>
      <c r="Q2234" s="33" t="s">
        <v>2990</v>
      </c>
      <c r="R2234" s="34"/>
      <c r="S2234" s="38"/>
      <c r="T2234" s="38" t="s">
        <v>12690</v>
      </c>
    </row>
    <row r="2235" spans="1:20" x14ac:dyDescent="0.25">
      <c r="A2235" s="33" t="s">
        <v>2626</v>
      </c>
      <c r="B2235" s="33" t="s">
        <v>2625</v>
      </c>
      <c r="C2235" s="33" t="s">
        <v>13</v>
      </c>
      <c r="D2235" s="33" t="s">
        <v>354</v>
      </c>
      <c r="E2235" s="33">
        <v>2021</v>
      </c>
      <c r="F2235" s="33">
        <v>177</v>
      </c>
      <c r="G2235" s="36"/>
      <c r="H2235" s="33">
        <v>110939</v>
      </c>
      <c r="I2235" s="36"/>
      <c r="J2235" s="33">
        <v>2021</v>
      </c>
      <c r="K2235" s="34"/>
      <c r="L2235" s="34"/>
      <c r="M2235" s="33" t="s">
        <v>65</v>
      </c>
      <c r="N2235" s="37" t="s">
        <v>8831</v>
      </c>
      <c r="O2235" s="33" t="s">
        <v>2628</v>
      </c>
      <c r="P2235" s="33" t="s">
        <v>8832</v>
      </c>
      <c r="Q2235" s="36"/>
      <c r="R2235" s="36"/>
      <c r="S2235" s="33" t="s">
        <v>8833</v>
      </c>
      <c r="T2235" s="38" t="s">
        <v>12693</v>
      </c>
    </row>
    <row r="2236" spans="1:20" x14ac:dyDescent="0.25">
      <c r="A2236" s="33" t="s">
        <v>2626</v>
      </c>
      <c r="B2236" s="33" t="s">
        <v>2625</v>
      </c>
      <c r="C2236" s="33" t="s">
        <v>13</v>
      </c>
      <c r="D2236" s="33" t="s">
        <v>354</v>
      </c>
      <c r="E2236" s="33">
        <v>2021</v>
      </c>
      <c r="F2236" s="33">
        <v>177</v>
      </c>
      <c r="G2236" s="34"/>
      <c r="H2236" s="34"/>
      <c r="I2236" s="33" t="s">
        <v>355</v>
      </c>
      <c r="J2236" s="33">
        <v>2021</v>
      </c>
      <c r="K2236" s="34"/>
      <c r="L2236" s="34"/>
      <c r="M2236" s="33" t="s">
        <v>65</v>
      </c>
      <c r="N2236" s="37" t="s">
        <v>2627</v>
      </c>
      <c r="O2236" s="33" t="s">
        <v>2628</v>
      </c>
      <c r="P2236" s="33" t="s">
        <v>2629</v>
      </c>
      <c r="Q2236" s="33" t="s">
        <v>176</v>
      </c>
      <c r="R2236" s="34"/>
      <c r="S2236" s="38"/>
      <c r="T2236" s="38" t="s">
        <v>12690</v>
      </c>
    </row>
    <row r="2237" spans="1:20" x14ac:dyDescent="0.25">
      <c r="A2237" s="33" t="s">
        <v>327</v>
      </c>
      <c r="B2237" s="33" t="s">
        <v>326</v>
      </c>
      <c r="C2237" s="33" t="s">
        <v>13</v>
      </c>
      <c r="D2237" s="33" t="s">
        <v>328</v>
      </c>
      <c r="E2237" s="33">
        <v>2022</v>
      </c>
      <c r="F2237" s="33">
        <v>31</v>
      </c>
      <c r="G2237" s="33">
        <v>2</v>
      </c>
      <c r="H2237" s="34"/>
      <c r="I2237" s="33" t="s">
        <v>145</v>
      </c>
      <c r="J2237" s="33">
        <v>2022</v>
      </c>
      <c r="K2237" s="34"/>
      <c r="L2237" s="34"/>
      <c r="M2237" s="33" t="s">
        <v>329</v>
      </c>
      <c r="N2237" s="37" t="s">
        <v>330</v>
      </c>
      <c r="O2237" s="33" t="s">
        <v>331</v>
      </c>
      <c r="P2237" s="33" t="s">
        <v>332</v>
      </c>
      <c r="Q2237" s="33" t="s">
        <v>289</v>
      </c>
      <c r="R2237" s="34"/>
      <c r="S2237" s="38"/>
      <c r="T2237" s="38" t="s">
        <v>12690</v>
      </c>
    </row>
    <row r="2238" spans="1:20" x14ac:dyDescent="0.25">
      <c r="A2238" s="33" t="s">
        <v>12214</v>
      </c>
      <c r="B2238" s="33" t="s">
        <v>12213</v>
      </c>
      <c r="C2238" s="33" t="s">
        <v>13</v>
      </c>
      <c r="D2238" s="33" t="s">
        <v>11246</v>
      </c>
      <c r="E2238" s="33">
        <v>2021</v>
      </c>
      <c r="F2238" s="33">
        <v>30</v>
      </c>
      <c r="G2238" s="33">
        <v>2</v>
      </c>
      <c r="H2238" s="34"/>
      <c r="I2238" s="44" t="s">
        <v>12710</v>
      </c>
      <c r="J2238" s="43">
        <v>44228</v>
      </c>
      <c r="K2238" s="34"/>
      <c r="L2238" s="34"/>
      <c r="M2238" s="33" t="s">
        <v>329</v>
      </c>
      <c r="N2238" s="37" t="s">
        <v>12215</v>
      </c>
      <c r="O2238" s="33" t="s">
        <v>12216</v>
      </c>
      <c r="P2238" s="33" t="s">
        <v>12217</v>
      </c>
      <c r="Q2238" s="36"/>
      <c r="R2238" s="36"/>
      <c r="S2238" s="33" t="s">
        <v>12218</v>
      </c>
      <c r="T2238" s="33" t="s">
        <v>12692</v>
      </c>
    </row>
    <row r="2239" spans="1:20" x14ac:dyDescent="0.25">
      <c r="A2239" s="33" t="s">
        <v>383</v>
      </c>
      <c r="B2239" s="33" t="s">
        <v>382</v>
      </c>
      <c r="C2239" s="33" t="s">
        <v>13</v>
      </c>
      <c r="D2239" s="33" t="s">
        <v>136</v>
      </c>
      <c r="E2239" s="33">
        <v>2022</v>
      </c>
      <c r="F2239" s="33">
        <v>27</v>
      </c>
      <c r="G2239" s="33">
        <v>3</v>
      </c>
      <c r="H2239" s="34"/>
      <c r="I2239" s="33" t="s">
        <v>137</v>
      </c>
      <c r="J2239" s="33">
        <v>2022</v>
      </c>
      <c r="K2239" s="34"/>
      <c r="L2239" s="34"/>
      <c r="M2239" s="33" t="s">
        <v>33</v>
      </c>
      <c r="N2239" s="37" t="s">
        <v>384</v>
      </c>
      <c r="O2239" s="33" t="s">
        <v>385</v>
      </c>
      <c r="P2239" s="33" t="s">
        <v>386</v>
      </c>
      <c r="Q2239" s="33" t="s">
        <v>387</v>
      </c>
      <c r="R2239" s="34"/>
      <c r="S2239" s="38"/>
      <c r="T2239" s="38" t="s">
        <v>12690</v>
      </c>
    </row>
    <row r="2240" spans="1:20" x14ac:dyDescent="0.25">
      <c r="A2240" s="33" t="s">
        <v>383</v>
      </c>
      <c r="B2240" s="39" t="s">
        <v>10507</v>
      </c>
      <c r="C2240" s="39" t="s">
        <v>9478</v>
      </c>
      <c r="D2240" s="36"/>
      <c r="E2240" s="39">
        <v>2022</v>
      </c>
      <c r="F2240" s="39">
        <v>27</v>
      </c>
      <c r="G2240" s="39">
        <v>3</v>
      </c>
      <c r="H2240" s="36"/>
      <c r="I2240" s="39" t="s">
        <v>136</v>
      </c>
      <c r="J2240" s="36"/>
      <c r="K2240" s="36"/>
      <c r="L2240" s="36"/>
      <c r="M2240" s="34"/>
      <c r="N2240" s="41" t="s">
        <v>10508</v>
      </c>
      <c r="O2240" s="39" t="s">
        <v>385</v>
      </c>
      <c r="P2240" s="33"/>
      <c r="Q2240" s="36"/>
      <c r="R2240" s="34"/>
      <c r="S2240" s="38"/>
      <c r="T2240" s="38" t="s">
        <v>12689</v>
      </c>
    </row>
    <row r="2241" spans="1:20" x14ac:dyDescent="0.25">
      <c r="A2241" s="33" t="s">
        <v>5885</v>
      </c>
      <c r="B2241" s="33" t="s">
        <v>5549</v>
      </c>
      <c r="C2241" s="33" t="s">
        <v>141</v>
      </c>
      <c r="D2241" s="34"/>
      <c r="E2241" s="33">
        <v>2016</v>
      </c>
      <c r="F2241" s="33" t="s">
        <v>5838</v>
      </c>
      <c r="G2241" s="34"/>
      <c r="H2241" s="33" t="s">
        <v>5886</v>
      </c>
      <c r="I2241" s="33" t="s">
        <v>145</v>
      </c>
      <c r="J2241" s="33">
        <v>2016</v>
      </c>
      <c r="K2241" s="33">
        <v>9781450342322</v>
      </c>
      <c r="L2241" s="34"/>
      <c r="M2241" s="34"/>
      <c r="N2241" s="37" t="s">
        <v>5887</v>
      </c>
      <c r="O2241" s="33" t="s">
        <v>5888</v>
      </c>
      <c r="P2241" s="33" t="s">
        <v>5889</v>
      </c>
      <c r="Q2241" s="33" t="s">
        <v>5890</v>
      </c>
      <c r="R2241" s="34"/>
      <c r="S2241" s="38"/>
      <c r="T2241" s="38" t="s">
        <v>12690</v>
      </c>
    </row>
    <row r="2242" spans="1:20" x14ac:dyDescent="0.25">
      <c r="A2242" s="33" t="s">
        <v>3120</v>
      </c>
      <c r="B2242" s="33" t="s">
        <v>3119</v>
      </c>
      <c r="C2242" s="33" t="s">
        <v>13</v>
      </c>
      <c r="D2242" s="33" t="s">
        <v>3121</v>
      </c>
      <c r="E2242" s="33">
        <v>2021</v>
      </c>
      <c r="F2242" s="33">
        <v>548</v>
      </c>
      <c r="G2242" s="34"/>
      <c r="H2242" s="33" t="s">
        <v>3122</v>
      </c>
      <c r="I2242" s="33" t="s">
        <v>355</v>
      </c>
      <c r="J2242" s="33">
        <v>2021</v>
      </c>
      <c r="K2242" s="34"/>
      <c r="L2242" s="34"/>
      <c r="M2242" s="33" t="s">
        <v>3123</v>
      </c>
      <c r="N2242" s="37" t="s">
        <v>3124</v>
      </c>
      <c r="O2242" s="33" t="s">
        <v>3125</v>
      </c>
      <c r="P2242" s="33" t="s">
        <v>3126</v>
      </c>
      <c r="Q2242" s="33" t="s">
        <v>3127</v>
      </c>
      <c r="R2242" s="34"/>
      <c r="S2242" s="38"/>
      <c r="T2242" s="38" t="s">
        <v>12690</v>
      </c>
    </row>
    <row r="2243" spans="1:20" x14ac:dyDescent="0.25">
      <c r="A2243" s="33" t="s">
        <v>4388</v>
      </c>
      <c r="B2243" s="33" t="s">
        <v>4387</v>
      </c>
      <c r="C2243" s="33" t="s">
        <v>13</v>
      </c>
      <c r="D2243" s="33" t="s">
        <v>2704</v>
      </c>
      <c r="E2243" s="33">
        <v>2020</v>
      </c>
      <c r="F2243" s="33">
        <v>14</v>
      </c>
      <c r="G2243" s="33">
        <v>3</v>
      </c>
      <c r="H2243" s="33" t="s">
        <v>4389</v>
      </c>
      <c r="I2243" s="33" t="s">
        <v>2706</v>
      </c>
      <c r="J2243" s="33">
        <v>2020</v>
      </c>
      <c r="K2243" s="34"/>
      <c r="L2243" s="34"/>
      <c r="M2243" s="33" t="s">
        <v>2707</v>
      </c>
      <c r="N2243" s="37" t="s">
        <v>4390</v>
      </c>
      <c r="O2243" s="33" t="s">
        <v>4391</v>
      </c>
      <c r="P2243" s="33" t="s">
        <v>4392</v>
      </c>
      <c r="Q2243" s="33" t="s">
        <v>4393</v>
      </c>
      <c r="R2243" s="34"/>
      <c r="S2243" s="38"/>
      <c r="T2243" s="38" t="s">
        <v>12690</v>
      </c>
    </row>
    <row r="2244" spans="1:20" x14ac:dyDescent="0.25">
      <c r="A2244" s="33" t="s">
        <v>6149</v>
      </c>
      <c r="B2244" s="33" t="s">
        <v>5917</v>
      </c>
      <c r="C2244" s="33" t="s">
        <v>141</v>
      </c>
      <c r="D2244" s="34"/>
      <c r="E2244" s="33">
        <v>2018</v>
      </c>
      <c r="F2244" s="34"/>
      <c r="G2244" s="34"/>
      <c r="H2244" s="33" t="s">
        <v>11099</v>
      </c>
      <c r="I2244" s="44" t="s">
        <v>12725</v>
      </c>
      <c r="J2244" s="33">
        <v>2018</v>
      </c>
      <c r="K2244" s="33">
        <v>9781450357166</v>
      </c>
      <c r="L2244" s="33" t="s">
        <v>11283</v>
      </c>
      <c r="M2244" s="34"/>
      <c r="N2244" s="37" t="s">
        <v>11292</v>
      </c>
      <c r="O2244" s="33" t="s">
        <v>5921</v>
      </c>
      <c r="P2244" s="33" t="s">
        <v>11293</v>
      </c>
      <c r="Q2244" s="36"/>
      <c r="R2244" s="36"/>
      <c r="S2244" s="33" t="s">
        <v>11294</v>
      </c>
      <c r="T2244" s="33" t="s">
        <v>12692</v>
      </c>
    </row>
    <row r="2245" spans="1:20" x14ac:dyDescent="0.25">
      <c r="A2245" s="33" t="s">
        <v>6149</v>
      </c>
      <c r="B2245" s="33" t="s">
        <v>5917</v>
      </c>
      <c r="C2245" s="33" t="s">
        <v>141</v>
      </c>
      <c r="D2245" s="34"/>
      <c r="E2245" s="33">
        <v>2018</v>
      </c>
      <c r="F2245" s="34"/>
      <c r="G2245" s="34"/>
      <c r="H2245" s="33" t="s">
        <v>6150</v>
      </c>
      <c r="I2245" s="33" t="s">
        <v>6151</v>
      </c>
      <c r="J2245" s="43">
        <v>43221</v>
      </c>
      <c r="K2245" s="36"/>
      <c r="L2245" s="36"/>
      <c r="M2245" s="33" t="s">
        <v>6152</v>
      </c>
      <c r="N2245" s="34"/>
      <c r="O2245" s="34"/>
      <c r="P2245" s="33" t="s">
        <v>6153</v>
      </c>
      <c r="Q2245" s="36"/>
      <c r="R2245" s="36"/>
      <c r="S2245" s="33" t="s">
        <v>6154</v>
      </c>
      <c r="T2245" s="38" t="s">
        <v>12688</v>
      </c>
    </row>
    <row r="2246" spans="1:20" x14ac:dyDescent="0.25">
      <c r="A2246" s="33" t="s">
        <v>6149</v>
      </c>
      <c r="B2246" s="33" t="s">
        <v>5917</v>
      </c>
      <c r="C2246" s="33" t="s">
        <v>141</v>
      </c>
      <c r="D2246" s="34"/>
      <c r="E2246" s="33">
        <v>2018</v>
      </c>
      <c r="F2246" s="34"/>
      <c r="G2246" s="34"/>
      <c r="H2246" s="33" t="s">
        <v>5919</v>
      </c>
      <c r="I2246" s="33" t="s">
        <v>196</v>
      </c>
      <c r="J2246" s="33">
        <v>2018</v>
      </c>
      <c r="K2246" s="33">
        <v>9781450357166</v>
      </c>
      <c r="L2246" s="34"/>
      <c r="M2246" s="33" t="s">
        <v>1458</v>
      </c>
      <c r="N2246" s="37" t="s">
        <v>5920</v>
      </c>
      <c r="O2246" s="33" t="s">
        <v>5921</v>
      </c>
      <c r="P2246" s="33" t="s">
        <v>5922</v>
      </c>
      <c r="Q2246" s="33" t="s">
        <v>5923</v>
      </c>
      <c r="R2246" s="34"/>
      <c r="S2246" s="38"/>
      <c r="T2246" s="38" t="s">
        <v>12690</v>
      </c>
    </row>
    <row r="2247" spans="1:20" x14ac:dyDescent="0.25">
      <c r="A2247" s="33" t="s">
        <v>2501</v>
      </c>
      <c r="B2247" s="33" t="s">
        <v>2500</v>
      </c>
      <c r="C2247" s="33" t="s">
        <v>13</v>
      </c>
      <c r="D2247" s="33" t="s">
        <v>2502</v>
      </c>
      <c r="E2247" s="33">
        <v>2022</v>
      </c>
      <c r="F2247" s="34"/>
      <c r="G2247" s="34"/>
      <c r="H2247" s="34"/>
      <c r="I2247" s="33" t="s">
        <v>137</v>
      </c>
      <c r="J2247" s="33">
        <v>2022</v>
      </c>
      <c r="K2247" s="34"/>
      <c r="L2247" s="34"/>
      <c r="M2247" s="33" t="s">
        <v>2503</v>
      </c>
      <c r="N2247" s="37" t="s">
        <v>2504</v>
      </c>
      <c r="O2247" s="33" t="s">
        <v>2505</v>
      </c>
      <c r="P2247" s="33" t="s">
        <v>2506</v>
      </c>
      <c r="Q2247" s="33" t="s">
        <v>387</v>
      </c>
      <c r="R2247" s="34"/>
      <c r="S2247" s="38"/>
      <c r="T2247" s="38" t="s">
        <v>12690</v>
      </c>
    </row>
    <row r="2248" spans="1:20" x14ac:dyDescent="0.25">
      <c r="A2248" s="33" t="s">
        <v>7643</v>
      </c>
      <c r="B2248" s="33" t="s">
        <v>4257</v>
      </c>
      <c r="C2248" s="33" t="s">
        <v>141</v>
      </c>
      <c r="D2248" s="34"/>
      <c r="E2248" s="33">
        <v>2017</v>
      </c>
      <c r="F2248" s="34"/>
      <c r="G2248" s="34"/>
      <c r="H2248" s="33" t="s">
        <v>7644</v>
      </c>
      <c r="I2248" s="33" t="s">
        <v>7645</v>
      </c>
      <c r="J2248" s="43">
        <v>42948</v>
      </c>
      <c r="K2248" s="36"/>
      <c r="L2248" s="36"/>
      <c r="M2248" s="34"/>
      <c r="N2248" s="37" t="s">
        <v>7646</v>
      </c>
      <c r="O2248" s="33" t="s">
        <v>5846</v>
      </c>
      <c r="P2248" s="33" t="s">
        <v>7647</v>
      </c>
      <c r="Q2248" s="36"/>
      <c r="R2248" s="36"/>
      <c r="S2248" s="33" t="s">
        <v>7648</v>
      </c>
      <c r="T2248" s="38" t="s">
        <v>12688</v>
      </c>
    </row>
    <row r="2249" spans="1:20" x14ac:dyDescent="0.25">
      <c r="A2249" s="33" t="s">
        <v>7643</v>
      </c>
      <c r="B2249" s="33" t="s">
        <v>4257</v>
      </c>
      <c r="C2249" s="33" t="s">
        <v>141</v>
      </c>
      <c r="D2249" s="34"/>
      <c r="E2249" s="33">
        <v>2017</v>
      </c>
      <c r="F2249" s="34"/>
      <c r="G2249" s="34"/>
      <c r="H2249" s="33" t="s">
        <v>5844</v>
      </c>
      <c r="I2249" s="33" t="s">
        <v>257</v>
      </c>
      <c r="J2249" s="33">
        <v>2017</v>
      </c>
      <c r="K2249" s="33">
        <v>9781538621400</v>
      </c>
      <c r="L2249" s="34"/>
      <c r="M2249" s="34"/>
      <c r="N2249" s="37" t="s">
        <v>5845</v>
      </c>
      <c r="O2249" s="33" t="s">
        <v>5846</v>
      </c>
      <c r="P2249" s="33" t="s">
        <v>5847</v>
      </c>
      <c r="Q2249" s="33" t="s">
        <v>3633</v>
      </c>
      <c r="R2249" s="34"/>
      <c r="S2249" s="38"/>
      <c r="T2249" s="38" t="s">
        <v>12690</v>
      </c>
    </row>
    <row r="2250" spans="1:20" x14ac:dyDescent="0.25">
      <c r="A2250" s="39" t="s">
        <v>11029</v>
      </c>
      <c r="B2250" s="39" t="s">
        <v>11031</v>
      </c>
      <c r="C2250" s="39" t="s">
        <v>539</v>
      </c>
      <c r="D2250" s="36"/>
      <c r="E2250" s="39">
        <v>2021</v>
      </c>
      <c r="F2250" s="40"/>
      <c r="G2250" s="40"/>
      <c r="H2250" s="36"/>
      <c r="I2250" s="39" t="s">
        <v>11028</v>
      </c>
      <c r="J2250" s="36"/>
      <c r="K2250" s="36"/>
      <c r="L2250" s="36"/>
      <c r="M2250" s="34"/>
      <c r="N2250" s="41" t="s">
        <v>11032</v>
      </c>
      <c r="O2250" s="39" t="s">
        <v>11030</v>
      </c>
      <c r="P2250" s="33"/>
      <c r="Q2250" s="36"/>
      <c r="R2250" s="34"/>
      <c r="S2250" s="38"/>
      <c r="T2250" s="38" t="s">
        <v>12689</v>
      </c>
    </row>
    <row r="2251" spans="1:20" x14ac:dyDescent="0.25">
      <c r="A2251" s="34"/>
      <c r="B2251" s="33" t="s">
        <v>8194</v>
      </c>
      <c r="C2251" s="33" t="s">
        <v>539</v>
      </c>
      <c r="D2251" s="34"/>
      <c r="E2251" s="33">
        <v>2021</v>
      </c>
      <c r="F2251" s="34"/>
      <c r="G2251" s="34"/>
      <c r="H2251" s="34"/>
      <c r="I2251" s="33" t="s">
        <v>8195</v>
      </c>
      <c r="J2251" s="33">
        <v>2021</v>
      </c>
      <c r="K2251" s="33">
        <v>9780691226750</v>
      </c>
      <c r="L2251" s="36"/>
      <c r="M2251" s="34"/>
      <c r="N2251" s="37" t="s">
        <v>8196</v>
      </c>
      <c r="O2251" s="34"/>
      <c r="P2251" s="33" t="s">
        <v>8197</v>
      </c>
      <c r="Q2251" s="36"/>
      <c r="R2251" s="36"/>
      <c r="S2251" s="34"/>
      <c r="T2251" s="38" t="s">
        <v>12688</v>
      </c>
    </row>
    <row r="2252" spans="1:20" x14ac:dyDescent="0.25">
      <c r="A2252" s="34"/>
      <c r="B2252" s="33" t="s">
        <v>8181</v>
      </c>
      <c r="C2252" s="33" t="s">
        <v>539</v>
      </c>
      <c r="D2252" s="34"/>
      <c r="E2252" s="33">
        <v>2021</v>
      </c>
      <c r="F2252" s="34"/>
      <c r="G2252" s="34"/>
      <c r="H2252" s="34"/>
      <c r="I2252" s="33" t="s">
        <v>8182</v>
      </c>
      <c r="J2252" s="33">
        <v>2021</v>
      </c>
      <c r="K2252" s="33">
        <v>9781630817947</v>
      </c>
      <c r="L2252" s="36"/>
      <c r="M2252" s="34"/>
      <c r="N2252" s="37" t="s">
        <v>8183</v>
      </c>
      <c r="O2252" s="34"/>
      <c r="P2252" s="33" t="s">
        <v>8184</v>
      </c>
      <c r="Q2252" s="36"/>
      <c r="R2252" s="36"/>
      <c r="S2252" s="34"/>
      <c r="T2252" s="38" t="s">
        <v>12688</v>
      </c>
    </row>
    <row r="2253" spans="1:20" x14ac:dyDescent="0.25">
      <c r="A2253" s="14"/>
      <c r="B2253" s="18"/>
      <c r="C2253" s="14"/>
      <c r="D2253" s="18"/>
      <c r="E2253" s="14"/>
      <c r="F2253" s="18"/>
      <c r="G2253" s="18"/>
      <c r="H2253" s="23"/>
      <c r="I2253" s="14"/>
      <c r="J2253" s="20"/>
      <c r="M2253" s="18"/>
      <c r="N2253" s="14"/>
      <c r="O2253" s="14"/>
      <c r="P2253" s="14"/>
      <c r="R2253" s="18"/>
      <c r="S2253" s="12"/>
      <c r="T2253" s="12"/>
    </row>
    <row r="2254" spans="1:20" x14ac:dyDescent="0.25">
      <c r="A2254" s="14"/>
      <c r="B2254" s="18"/>
      <c r="C2254" s="14"/>
      <c r="D2254" s="18"/>
      <c r="E2254" s="14"/>
      <c r="F2254" s="18"/>
      <c r="G2254" s="18"/>
      <c r="H2254" s="23"/>
      <c r="I2254" s="14"/>
      <c r="J2254" s="20"/>
      <c r="M2254" s="18"/>
      <c r="N2254" s="14"/>
      <c r="O2254" s="14"/>
      <c r="P2254" s="14"/>
      <c r="R2254" s="18"/>
      <c r="S2254" s="12"/>
      <c r="T2254" s="12"/>
    </row>
    <row r="2255" spans="1:20" x14ac:dyDescent="0.25">
      <c r="A2255" s="14"/>
      <c r="B2255" s="18"/>
      <c r="C2255" s="14"/>
      <c r="D2255" s="18"/>
      <c r="E2255" s="14"/>
      <c r="F2255" s="18"/>
      <c r="G2255" s="18"/>
      <c r="H2255" s="23"/>
      <c r="I2255" s="14"/>
      <c r="J2255" s="20"/>
      <c r="M2255" s="18"/>
      <c r="N2255" s="14"/>
      <c r="O2255" s="14"/>
      <c r="P2255" s="14"/>
      <c r="R2255" s="18"/>
      <c r="S2255" s="12" t="s">
        <v>12700</v>
      </c>
      <c r="T2255" s="50">
        <f t="shared" ref="T2255:T2260" si="0">COUNTIF($T$2:$T$2252,S2255)</f>
        <v>18</v>
      </c>
    </row>
    <row r="2256" spans="1:20" x14ac:dyDescent="0.25">
      <c r="A2256" s="14"/>
      <c r="B2256" s="18"/>
      <c r="C2256" s="14"/>
      <c r="D2256" s="18"/>
      <c r="E2256" s="14"/>
      <c r="F2256" s="18"/>
      <c r="G2256" s="18"/>
      <c r="H2256" s="23"/>
      <c r="I2256" s="14"/>
      <c r="J2256" s="20"/>
      <c r="M2256" s="18"/>
      <c r="N2256" s="14"/>
      <c r="O2256" s="14"/>
      <c r="P2256" s="14"/>
      <c r="R2256" s="18"/>
      <c r="S2256" s="12" t="s">
        <v>12690</v>
      </c>
      <c r="T2256" s="50">
        <f t="shared" si="0"/>
        <v>951</v>
      </c>
    </row>
    <row r="2257" spans="1:20" x14ac:dyDescent="0.25">
      <c r="A2257" s="14"/>
      <c r="B2257" s="18"/>
      <c r="C2257" s="14"/>
      <c r="D2257" s="18"/>
      <c r="E2257" s="14"/>
      <c r="F2257" s="18"/>
      <c r="G2257" s="18"/>
      <c r="H2257" s="23"/>
      <c r="I2257" s="14"/>
      <c r="J2257" s="20"/>
      <c r="M2257" s="18"/>
      <c r="N2257" s="14"/>
      <c r="O2257" s="14"/>
      <c r="P2257" s="14"/>
      <c r="R2257" s="18"/>
      <c r="S2257" s="12" t="s">
        <v>12688</v>
      </c>
      <c r="T2257" s="50">
        <f t="shared" si="0"/>
        <v>384</v>
      </c>
    </row>
    <row r="2258" spans="1:20" x14ac:dyDescent="0.25">
      <c r="A2258" s="14"/>
      <c r="B2258" s="18"/>
      <c r="C2258" s="14"/>
      <c r="D2258" s="18"/>
      <c r="E2258" s="14"/>
      <c r="F2258" s="18"/>
      <c r="G2258" s="18"/>
      <c r="H2258" s="23"/>
      <c r="I2258" s="14"/>
      <c r="J2258" s="20"/>
      <c r="M2258" s="18"/>
      <c r="N2258" s="14"/>
      <c r="O2258" s="14"/>
      <c r="P2258" s="14"/>
      <c r="R2258" s="18"/>
      <c r="S2258" s="12" t="s">
        <v>12693</v>
      </c>
      <c r="T2258" s="50">
        <f t="shared" si="0"/>
        <v>157</v>
      </c>
    </row>
    <row r="2259" spans="1:20" x14ac:dyDescent="0.25">
      <c r="A2259" s="14"/>
      <c r="B2259" s="18"/>
      <c r="C2259" s="14"/>
      <c r="D2259" s="18"/>
      <c r="E2259" s="14"/>
      <c r="F2259" s="18"/>
      <c r="G2259" s="18"/>
      <c r="H2259" s="23"/>
      <c r="I2259" s="14"/>
      <c r="J2259" s="20"/>
      <c r="M2259" s="18"/>
      <c r="N2259" s="14"/>
      <c r="O2259" s="14"/>
      <c r="P2259" s="14"/>
      <c r="R2259" s="18"/>
      <c r="S2259" s="12" t="s">
        <v>12689</v>
      </c>
      <c r="T2259" s="50">
        <f t="shared" si="0"/>
        <v>474</v>
      </c>
    </row>
    <row r="2260" spans="1:20" x14ac:dyDescent="0.25">
      <c r="A2260" s="14"/>
      <c r="B2260" s="18"/>
      <c r="C2260" s="14"/>
      <c r="D2260" s="18"/>
      <c r="E2260" s="14"/>
      <c r="F2260" s="18"/>
      <c r="G2260" s="18"/>
      <c r="H2260" s="23"/>
      <c r="I2260" s="14"/>
      <c r="J2260" s="20"/>
      <c r="M2260" s="18"/>
      <c r="N2260" s="14"/>
      <c r="O2260" s="14"/>
      <c r="P2260" s="14"/>
      <c r="R2260" s="18"/>
      <c r="S2260" s="12" t="s">
        <v>12692</v>
      </c>
      <c r="T2260" s="50">
        <f t="shared" si="0"/>
        <v>267</v>
      </c>
    </row>
    <row r="2261" spans="1:20" x14ac:dyDescent="0.25">
      <c r="A2261" s="14"/>
      <c r="B2261" s="18"/>
      <c r="C2261" s="14"/>
      <c r="D2261" s="18"/>
      <c r="E2261" s="14"/>
      <c r="F2261" s="18"/>
      <c r="G2261" s="18"/>
      <c r="H2261" s="23"/>
      <c r="I2261" s="14"/>
      <c r="J2261" s="20"/>
      <c r="M2261" s="18"/>
      <c r="N2261" s="14"/>
      <c r="O2261" s="14"/>
      <c r="P2261" s="14"/>
      <c r="R2261" s="18"/>
      <c r="S2261" s="12" t="s">
        <v>12839</v>
      </c>
      <c r="T2261" s="12">
        <f>SUM(T2255:T2260)</f>
        <v>2251</v>
      </c>
    </row>
    <row r="2262" spans="1:20" x14ac:dyDescent="0.25">
      <c r="A2262" s="14"/>
      <c r="B2262" s="18"/>
      <c r="C2262" s="14"/>
      <c r="D2262" s="18"/>
      <c r="E2262" s="14"/>
      <c r="F2262" s="18"/>
      <c r="G2262" s="18"/>
      <c r="H2262" s="23"/>
      <c r="I2262" s="14"/>
      <c r="J2262" s="20"/>
      <c r="M2262" s="18"/>
      <c r="N2262" s="14"/>
      <c r="O2262" s="14"/>
      <c r="P2262" s="14"/>
      <c r="R2262" s="18"/>
      <c r="S2262" s="12"/>
      <c r="T2262" s="12"/>
    </row>
    <row r="2263" spans="1:20" x14ac:dyDescent="0.25">
      <c r="A2263" s="14"/>
      <c r="B2263" s="18"/>
      <c r="C2263" s="14"/>
      <c r="D2263" s="18"/>
      <c r="E2263" s="14"/>
      <c r="F2263" s="18"/>
      <c r="G2263" s="18"/>
      <c r="H2263" s="23"/>
      <c r="I2263" s="14"/>
      <c r="J2263" s="20"/>
      <c r="M2263" s="18"/>
      <c r="N2263" s="14"/>
      <c r="O2263" s="14"/>
      <c r="P2263" s="14"/>
      <c r="R2263" s="18"/>
      <c r="S2263" s="12"/>
      <c r="T2263" s="12"/>
    </row>
    <row r="2264" spans="1:20" x14ac:dyDescent="0.25">
      <c r="A2264" s="14"/>
      <c r="B2264" s="18"/>
      <c r="C2264" s="14"/>
      <c r="D2264" s="18"/>
      <c r="E2264" s="14"/>
      <c r="F2264" s="18"/>
      <c r="G2264" s="18"/>
      <c r="H2264" s="23"/>
      <c r="I2264" s="14"/>
      <c r="J2264" s="20"/>
      <c r="M2264" s="18"/>
      <c r="N2264" s="14"/>
      <c r="O2264" s="14"/>
      <c r="P2264" s="14"/>
      <c r="R2264" s="18"/>
      <c r="S2264" s="12"/>
      <c r="T2264" s="12"/>
    </row>
    <row r="2265" spans="1:20" x14ac:dyDescent="0.25">
      <c r="A2265" s="14"/>
      <c r="B2265" s="18"/>
      <c r="C2265" s="14"/>
      <c r="D2265" s="18"/>
      <c r="E2265" s="14"/>
      <c r="F2265" s="18"/>
      <c r="G2265" s="18"/>
      <c r="H2265" s="23"/>
      <c r="I2265" s="14"/>
      <c r="J2265" s="20"/>
      <c r="M2265" s="18"/>
      <c r="N2265" s="14"/>
      <c r="O2265" s="14"/>
      <c r="P2265" s="14"/>
      <c r="R2265" s="18"/>
      <c r="S2265" s="12"/>
      <c r="T2265" s="12"/>
    </row>
    <row r="2266" spans="1:20" x14ac:dyDescent="0.25">
      <c r="A2266" s="14"/>
      <c r="B2266" s="18"/>
      <c r="C2266" s="14"/>
      <c r="D2266" s="18"/>
      <c r="E2266" s="14"/>
      <c r="F2266" s="18"/>
      <c r="G2266" s="18"/>
      <c r="H2266" s="23"/>
      <c r="I2266" s="14"/>
      <c r="J2266" s="20"/>
      <c r="M2266" s="18"/>
      <c r="N2266" s="14"/>
      <c r="O2266" s="14"/>
      <c r="P2266" s="14"/>
      <c r="R2266" s="18"/>
      <c r="S2266" s="12"/>
      <c r="T2266" s="12"/>
    </row>
    <row r="2267" spans="1:20" x14ac:dyDescent="0.25">
      <c r="A2267" s="14"/>
      <c r="B2267" s="18"/>
      <c r="C2267" s="14"/>
      <c r="D2267" s="18"/>
      <c r="E2267" s="14"/>
      <c r="F2267" s="18"/>
      <c r="G2267" s="18"/>
      <c r="H2267" s="23"/>
      <c r="I2267" s="14"/>
      <c r="J2267" s="20"/>
      <c r="M2267" s="18"/>
      <c r="N2267" s="14"/>
      <c r="O2267" s="14"/>
      <c r="P2267" s="14"/>
      <c r="R2267" s="18"/>
      <c r="S2267" s="12"/>
      <c r="T2267" s="12"/>
    </row>
    <row r="2268" spans="1:20" x14ac:dyDescent="0.25">
      <c r="A2268" s="14"/>
      <c r="B2268" s="18"/>
      <c r="C2268" s="14"/>
      <c r="D2268" s="18"/>
      <c r="E2268" s="14"/>
      <c r="F2268" s="18"/>
      <c r="G2268" s="18"/>
      <c r="H2268" s="23"/>
      <c r="I2268" s="14"/>
      <c r="J2268" s="20"/>
      <c r="M2268" s="18"/>
      <c r="N2268" s="14"/>
      <c r="O2268" s="14"/>
      <c r="P2268" s="14"/>
      <c r="R2268" s="18"/>
      <c r="S2268" s="12"/>
      <c r="T2268" s="12"/>
    </row>
    <row r="2269" spans="1:20" x14ac:dyDescent="0.25">
      <c r="A2269" s="14"/>
      <c r="B2269" s="18"/>
      <c r="C2269" s="14"/>
      <c r="D2269" s="18"/>
      <c r="E2269" s="14"/>
      <c r="F2269" s="18"/>
      <c r="G2269" s="18"/>
      <c r="H2269" s="23"/>
      <c r="I2269" s="14"/>
      <c r="J2269" s="20"/>
      <c r="M2269" s="18"/>
      <c r="N2269" s="14"/>
      <c r="O2269" s="14"/>
      <c r="P2269" s="14"/>
      <c r="R2269" s="18"/>
      <c r="S2269" s="12"/>
      <c r="T2269" s="12"/>
    </row>
    <row r="2270" spans="1:20" x14ac:dyDescent="0.25">
      <c r="A2270" s="14"/>
      <c r="B2270" s="18"/>
      <c r="C2270" s="14"/>
      <c r="D2270" s="18"/>
      <c r="E2270" s="14"/>
      <c r="F2270" s="18"/>
      <c r="G2270" s="18"/>
      <c r="H2270" s="23"/>
      <c r="I2270" s="14"/>
      <c r="J2270" s="20"/>
      <c r="M2270" s="18"/>
      <c r="N2270" s="14"/>
      <c r="O2270" s="14"/>
      <c r="P2270" s="14"/>
      <c r="R2270" s="18"/>
      <c r="S2270" s="12"/>
      <c r="T2270" s="12"/>
    </row>
    <row r="2271" spans="1:20" x14ac:dyDescent="0.25">
      <c r="A2271" s="14"/>
      <c r="B2271" s="18"/>
      <c r="C2271" s="14"/>
      <c r="D2271" s="18"/>
      <c r="E2271" s="14"/>
      <c r="F2271" s="18"/>
      <c r="G2271" s="18"/>
      <c r="H2271" s="23"/>
      <c r="I2271" s="14"/>
      <c r="J2271" s="20"/>
      <c r="M2271" s="18"/>
      <c r="N2271" s="14"/>
      <c r="O2271" s="14"/>
      <c r="P2271" s="14"/>
      <c r="R2271" s="18"/>
      <c r="S2271" s="12"/>
      <c r="T2271" s="12"/>
    </row>
    <row r="2272" spans="1:20" x14ac:dyDescent="0.25">
      <c r="A2272" s="14"/>
      <c r="B2272" s="18"/>
      <c r="C2272" s="14"/>
      <c r="D2272" s="18"/>
      <c r="E2272" s="14"/>
      <c r="F2272" s="18"/>
      <c r="G2272" s="18"/>
      <c r="H2272" s="23"/>
      <c r="I2272" s="14"/>
      <c r="J2272" s="20"/>
      <c r="M2272" s="18"/>
      <c r="N2272" s="14"/>
      <c r="O2272" s="14"/>
      <c r="P2272" s="14"/>
      <c r="R2272" s="18"/>
      <c r="S2272" s="12"/>
      <c r="T2272" s="12"/>
    </row>
    <row r="2273" spans="1:20" x14ac:dyDescent="0.25">
      <c r="A2273" s="14"/>
      <c r="B2273" s="18"/>
      <c r="C2273" s="14"/>
      <c r="D2273" s="18"/>
      <c r="E2273" s="14"/>
      <c r="F2273" s="18"/>
      <c r="G2273" s="18"/>
      <c r="H2273" s="23"/>
      <c r="I2273" s="14"/>
      <c r="J2273" s="20"/>
      <c r="M2273" s="18"/>
      <c r="N2273" s="14"/>
      <c r="O2273" s="14"/>
      <c r="P2273" s="14"/>
      <c r="R2273" s="18"/>
      <c r="S2273" s="12"/>
      <c r="T2273" s="12"/>
    </row>
    <row r="2274" spans="1:20" x14ac:dyDescent="0.25">
      <c r="A2274" s="14"/>
      <c r="B2274" s="18"/>
      <c r="C2274" s="14"/>
      <c r="D2274" s="18"/>
      <c r="E2274" s="14"/>
      <c r="F2274" s="18"/>
      <c r="G2274" s="18"/>
      <c r="H2274" s="23"/>
      <c r="I2274" s="14"/>
      <c r="J2274" s="20"/>
      <c r="M2274" s="18"/>
      <c r="N2274" s="14"/>
      <c r="O2274" s="14"/>
      <c r="P2274" s="14"/>
      <c r="R2274" s="18"/>
      <c r="S2274" s="12"/>
      <c r="T2274" s="12"/>
    </row>
    <row r="2275" spans="1:20" x14ac:dyDescent="0.25">
      <c r="A2275" s="14"/>
      <c r="B2275" s="18"/>
      <c r="C2275" s="14"/>
      <c r="D2275" s="18"/>
      <c r="E2275" s="14"/>
      <c r="F2275" s="18"/>
      <c r="G2275" s="18"/>
      <c r="H2275" s="23"/>
      <c r="I2275" s="14"/>
      <c r="J2275" s="20"/>
      <c r="M2275" s="18"/>
      <c r="N2275" s="14"/>
      <c r="O2275" s="14"/>
      <c r="P2275" s="14"/>
      <c r="R2275" s="18"/>
      <c r="S2275" s="12"/>
      <c r="T2275" s="12"/>
    </row>
    <row r="2276" spans="1:20" x14ac:dyDescent="0.25">
      <c r="A2276" s="14"/>
      <c r="B2276" s="18"/>
      <c r="C2276" s="14"/>
      <c r="D2276" s="18"/>
      <c r="E2276" s="14"/>
      <c r="F2276" s="18"/>
      <c r="G2276" s="18"/>
      <c r="H2276" s="23"/>
      <c r="I2276" s="14"/>
      <c r="J2276" s="20"/>
      <c r="M2276" s="18"/>
      <c r="N2276" s="14"/>
      <c r="O2276" s="14"/>
      <c r="P2276" s="14"/>
      <c r="R2276" s="18"/>
      <c r="S2276" s="12"/>
      <c r="T2276" s="12"/>
    </row>
    <row r="2277" spans="1:20" x14ac:dyDescent="0.25">
      <c r="A2277" s="14"/>
      <c r="B2277" s="18"/>
      <c r="C2277" s="14"/>
      <c r="D2277" s="18"/>
      <c r="E2277" s="14"/>
      <c r="F2277" s="18"/>
      <c r="G2277" s="18"/>
      <c r="H2277" s="23"/>
      <c r="I2277" s="14"/>
      <c r="J2277" s="20"/>
      <c r="M2277" s="18"/>
      <c r="N2277" s="14"/>
      <c r="O2277" s="14"/>
      <c r="P2277" s="14"/>
      <c r="R2277" s="18"/>
      <c r="S2277" s="12"/>
      <c r="T2277" s="12"/>
    </row>
    <row r="2278" spans="1:20" x14ac:dyDescent="0.25">
      <c r="A2278" s="14"/>
      <c r="B2278" s="18"/>
      <c r="C2278" s="14"/>
      <c r="D2278" s="18"/>
      <c r="E2278" s="14"/>
      <c r="F2278" s="18"/>
      <c r="G2278" s="18"/>
      <c r="H2278" s="23"/>
      <c r="I2278" s="14"/>
      <c r="J2278" s="20"/>
      <c r="M2278" s="18"/>
      <c r="N2278" s="14"/>
      <c r="O2278" s="14"/>
      <c r="P2278" s="14"/>
      <c r="R2278" s="18"/>
      <c r="S2278" s="12"/>
      <c r="T2278" s="12"/>
    </row>
    <row r="2279" spans="1:20" x14ac:dyDescent="0.25">
      <c r="A2279" s="14"/>
      <c r="B2279" s="18"/>
      <c r="C2279" s="14"/>
      <c r="D2279" s="18"/>
      <c r="E2279" s="14"/>
      <c r="F2279" s="18"/>
      <c r="G2279" s="18"/>
      <c r="H2279" s="23"/>
      <c r="I2279" s="14"/>
      <c r="J2279" s="20"/>
      <c r="M2279" s="18"/>
      <c r="N2279" s="14"/>
      <c r="O2279" s="14"/>
      <c r="P2279" s="14"/>
      <c r="R2279" s="18"/>
      <c r="S2279" s="12"/>
      <c r="T2279" s="12"/>
    </row>
    <row r="2280" spans="1:20" x14ac:dyDescent="0.25">
      <c r="A2280" s="14"/>
      <c r="B2280" s="18"/>
      <c r="C2280" s="14"/>
      <c r="D2280" s="18"/>
      <c r="E2280" s="14"/>
      <c r="F2280" s="18"/>
      <c r="G2280" s="18"/>
      <c r="H2280" s="23"/>
      <c r="I2280" s="14"/>
      <c r="J2280" s="20"/>
      <c r="M2280" s="18"/>
      <c r="N2280" s="14"/>
      <c r="O2280" s="14"/>
      <c r="P2280" s="14"/>
      <c r="R2280" s="18"/>
      <c r="S2280" s="12"/>
      <c r="T2280" s="12"/>
    </row>
    <row r="2281" spans="1:20" x14ac:dyDescent="0.25">
      <c r="A2281" s="14"/>
      <c r="B2281" s="18"/>
      <c r="C2281" s="14"/>
      <c r="D2281" s="18"/>
      <c r="E2281" s="14"/>
      <c r="F2281" s="18"/>
      <c r="G2281" s="18"/>
      <c r="H2281" s="23"/>
      <c r="I2281" s="14"/>
      <c r="J2281" s="20"/>
      <c r="M2281" s="18"/>
      <c r="N2281" s="14"/>
      <c r="O2281" s="14"/>
      <c r="P2281" s="14"/>
      <c r="R2281" s="18"/>
      <c r="S2281" s="12"/>
      <c r="T2281" s="12"/>
    </row>
    <row r="2282" spans="1:20" x14ac:dyDescent="0.25">
      <c r="A2282" s="14"/>
      <c r="B2282" s="18"/>
      <c r="C2282" s="14"/>
      <c r="D2282" s="18"/>
      <c r="E2282" s="14"/>
      <c r="F2282" s="18"/>
      <c r="G2282" s="18"/>
      <c r="H2282" s="23"/>
      <c r="I2282" s="14"/>
      <c r="J2282" s="20"/>
      <c r="M2282" s="18"/>
      <c r="N2282" s="14"/>
      <c r="O2282" s="14"/>
      <c r="P2282" s="14"/>
      <c r="R2282" s="18"/>
      <c r="S2282" s="12"/>
      <c r="T2282" s="12"/>
    </row>
    <row r="2283" spans="1:20" x14ac:dyDescent="0.25">
      <c r="A2283" s="14"/>
      <c r="B2283" s="18"/>
      <c r="C2283" s="14"/>
      <c r="D2283" s="18"/>
      <c r="E2283" s="14"/>
      <c r="F2283" s="18"/>
      <c r="G2283" s="18"/>
      <c r="H2283" s="23"/>
      <c r="I2283" s="14"/>
      <c r="J2283" s="20"/>
      <c r="M2283" s="18"/>
      <c r="N2283" s="14"/>
      <c r="O2283" s="14"/>
      <c r="P2283" s="14"/>
      <c r="R2283" s="18"/>
      <c r="S2283" s="12"/>
      <c r="T2283" s="12"/>
    </row>
    <row r="2284" spans="1:20" x14ac:dyDescent="0.25">
      <c r="A2284" s="14"/>
      <c r="B2284" s="18"/>
      <c r="C2284" s="14"/>
      <c r="D2284" s="18"/>
      <c r="E2284" s="14"/>
      <c r="F2284" s="18"/>
      <c r="G2284" s="18"/>
      <c r="H2284" s="23"/>
      <c r="I2284" s="14"/>
      <c r="J2284" s="20"/>
      <c r="M2284" s="18"/>
      <c r="N2284" s="14"/>
      <c r="O2284" s="14"/>
      <c r="P2284" s="14"/>
      <c r="R2284" s="18"/>
      <c r="S2284" s="12"/>
      <c r="T2284" s="12"/>
    </row>
    <row r="2285" spans="1:20" x14ac:dyDescent="0.25">
      <c r="A2285" s="14"/>
      <c r="B2285" s="18"/>
      <c r="C2285" s="14"/>
      <c r="D2285" s="18"/>
      <c r="E2285" s="14"/>
      <c r="F2285" s="18"/>
      <c r="G2285" s="18"/>
      <c r="H2285" s="23"/>
      <c r="I2285" s="14"/>
      <c r="J2285" s="20"/>
      <c r="M2285" s="18"/>
      <c r="N2285" s="14"/>
      <c r="O2285" s="14"/>
      <c r="P2285" s="14"/>
      <c r="R2285" s="18"/>
      <c r="S2285" s="12"/>
      <c r="T2285" s="12"/>
    </row>
    <row r="2286" spans="1:20" x14ac:dyDescent="0.25">
      <c r="A2286" s="14"/>
      <c r="B2286" s="18"/>
      <c r="C2286" s="14"/>
      <c r="D2286" s="18"/>
      <c r="E2286" s="14"/>
      <c r="F2286" s="18"/>
      <c r="G2286" s="18"/>
      <c r="H2286" s="23"/>
      <c r="I2286" s="14"/>
      <c r="J2286" s="20"/>
      <c r="M2286" s="18"/>
      <c r="N2286" s="14"/>
      <c r="O2286" s="14"/>
      <c r="P2286" s="14"/>
      <c r="R2286" s="18"/>
      <c r="S2286" s="12"/>
      <c r="T2286" s="12"/>
    </row>
    <row r="2287" spans="1:20" x14ac:dyDescent="0.25">
      <c r="A2287" s="14"/>
      <c r="B2287" s="18"/>
      <c r="C2287" s="14"/>
      <c r="D2287" s="18"/>
      <c r="E2287" s="14"/>
      <c r="F2287" s="18"/>
      <c r="G2287" s="18"/>
      <c r="H2287" s="23"/>
      <c r="I2287" s="14"/>
      <c r="J2287" s="20"/>
      <c r="M2287" s="18"/>
      <c r="N2287" s="14"/>
      <c r="O2287" s="14"/>
      <c r="P2287" s="14"/>
      <c r="R2287" s="18"/>
      <c r="S2287" s="12"/>
      <c r="T2287" s="12"/>
    </row>
    <row r="2288" spans="1:20" x14ac:dyDescent="0.25">
      <c r="A2288" s="14"/>
      <c r="B2288" s="18"/>
      <c r="C2288" s="14"/>
      <c r="D2288" s="18"/>
      <c r="E2288" s="14"/>
      <c r="F2288" s="18"/>
      <c r="G2288" s="18"/>
      <c r="H2288" s="23"/>
      <c r="I2288" s="14"/>
      <c r="J2288" s="20"/>
      <c r="M2288" s="18"/>
      <c r="N2288" s="14"/>
      <c r="O2288" s="14"/>
      <c r="P2288" s="14"/>
      <c r="R2288" s="18"/>
      <c r="S2288" s="12"/>
      <c r="T2288" s="12"/>
    </row>
    <row r="2289" spans="1:20" x14ac:dyDescent="0.25">
      <c r="A2289" s="14"/>
      <c r="B2289" s="18"/>
      <c r="C2289" s="14"/>
      <c r="D2289" s="18"/>
      <c r="E2289" s="14"/>
      <c r="F2289" s="18"/>
      <c r="G2289" s="18"/>
      <c r="H2289" s="23"/>
      <c r="I2289" s="14"/>
      <c r="J2289" s="20"/>
      <c r="M2289" s="18"/>
      <c r="N2289" s="14"/>
      <c r="O2289" s="14"/>
      <c r="P2289" s="14"/>
      <c r="R2289" s="18"/>
      <c r="S2289" s="12"/>
      <c r="T2289" s="12"/>
    </row>
    <row r="2290" spans="1:20" x14ac:dyDescent="0.25">
      <c r="A2290" s="14"/>
      <c r="B2290" s="18"/>
      <c r="C2290" s="14"/>
      <c r="D2290" s="18"/>
      <c r="E2290" s="14"/>
      <c r="F2290" s="18"/>
      <c r="G2290" s="18"/>
      <c r="H2290" s="23"/>
      <c r="I2290" s="14"/>
      <c r="J2290" s="20"/>
      <c r="M2290" s="18"/>
      <c r="N2290" s="14"/>
      <c r="O2290" s="14"/>
      <c r="P2290" s="14"/>
      <c r="R2290" s="18"/>
      <c r="S2290" s="12"/>
      <c r="T2290" s="12"/>
    </row>
    <row r="2291" spans="1:20" x14ac:dyDescent="0.25">
      <c r="A2291" s="14"/>
      <c r="B2291" s="18"/>
      <c r="C2291" s="14"/>
      <c r="D2291" s="18"/>
      <c r="E2291" s="14"/>
      <c r="F2291" s="18"/>
      <c r="G2291" s="18"/>
      <c r="H2291" s="23"/>
      <c r="I2291" s="14"/>
      <c r="J2291" s="20"/>
      <c r="M2291" s="18"/>
      <c r="N2291" s="14"/>
      <c r="O2291" s="14"/>
      <c r="P2291" s="14"/>
      <c r="R2291" s="18"/>
      <c r="S2291" s="12"/>
      <c r="T2291" s="12"/>
    </row>
    <row r="2292" spans="1:20" x14ac:dyDescent="0.25">
      <c r="A2292" s="14"/>
      <c r="B2292" s="18"/>
      <c r="C2292" s="14"/>
      <c r="D2292" s="18"/>
      <c r="E2292" s="14"/>
      <c r="F2292" s="18"/>
      <c r="G2292" s="18"/>
      <c r="H2292" s="23"/>
      <c r="I2292" s="14"/>
      <c r="J2292" s="20"/>
      <c r="M2292" s="18"/>
      <c r="N2292" s="14"/>
      <c r="O2292" s="14"/>
      <c r="P2292" s="14"/>
      <c r="R2292" s="18"/>
      <c r="S2292" s="12"/>
      <c r="T2292" s="12"/>
    </row>
    <row r="2293" spans="1:20" x14ac:dyDescent="0.25">
      <c r="A2293" s="14"/>
      <c r="B2293" s="18"/>
      <c r="C2293" s="14"/>
      <c r="D2293" s="18"/>
      <c r="E2293" s="14"/>
      <c r="F2293" s="18"/>
      <c r="G2293" s="18"/>
      <c r="H2293" s="23"/>
      <c r="I2293" s="14"/>
      <c r="J2293" s="20"/>
      <c r="M2293" s="18"/>
      <c r="N2293" s="14"/>
      <c r="O2293" s="14"/>
      <c r="P2293" s="14"/>
      <c r="R2293" s="18"/>
      <c r="S2293" s="12"/>
      <c r="T2293" s="12"/>
    </row>
    <row r="2294" spans="1:20" x14ac:dyDescent="0.25">
      <c r="A2294" s="14"/>
      <c r="B2294" s="18"/>
      <c r="C2294" s="14"/>
      <c r="D2294" s="18"/>
      <c r="E2294" s="14"/>
      <c r="F2294" s="18"/>
      <c r="G2294" s="18"/>
      <c r="H2294" s="23"/>
      <c r="I2294" s="14"/>
      <c r="J2294" s="20"/>
      <c r="M2294" s="18"/>
      <c r="N2294" s="14"/>
      <c r="O2294" s="14"/>
      <c r="P2294" s="14"/>
      <c r="R2294" s="18"/>
      <c r="S2294" s="12"/>
      <c r="T2294" s="12"/>
    </row>
    <row r="2295" spans="1:20" x14ac:dyDescent="0.25">
      <c r="A2295" s="14"/>
      <c r="B2295" s="18"/>
      <c r="C2295" s="14"/>
      <c r="D2295" s="18"/>
      <c r="E2295" s="14"/>
      <c r="F2295" s="18"/>
      <c r="G2295" s="18"/>
      <c r="H2295" s="23"/>
      <c r="I2295" s="14"/>
      <c r="J2295" s="20"/>
      <c r="M2295" s="18"/>
      <c r="N2295" s="14"/>
      <c r="O2295" s="14"/>
      <c r="P2295" s="14"/>
      <c r="R2295" s="18"/>
      <c r="S2295" s="12"/>
      <c r="T2295" s="12"/>
    </row>
    <row r="2296" spans="1:20" x14ac:dyDescent="0.25">
      <c r="A2296" s="14"/>
      <c r="B2296" s="18"/>
      <c r="C2296" s="14"/>
      <c r="D2296" s="18"/>
      <c r="E2296" s="14"/>
      <c r="F2296" s="18"/>
      <c r="G2296" s="18"/>
      <c r="H2296" s="23"/>
      <c r="I2296" s="14"/>
      <c r="J2296" s="20"/>
      <c r="M2296" s="18"/>
      <c r="N2296" s="14"/>
      <c r="O2296" s="14"/>
      <c r="P2296" s="14"/>
      <c r="R2296" s="18"/>
      <c r="S2296" s="12"/>
      <c r="T2296" s="12"/>
    </row>
    <row r="2297" spans="1:20" x14ac:dyDescent="0.25">
      <c r="A2297" s="14"/>
      <c r="B2297" s="18"/>
      <c r="C2297" s="14"/>
      <c r="D2297" s="18"/>
      <c r="E2297" s="14"/>
      <c r="F2297" s="18"/>
      <c r="G2297" s="18"/>
      <c r="H2297" s="23"/>
      <c r="I2297" s="14"/>
      <c r="J2297" s="20"/>
      <c r="M2297" s="18"/>
      <c r="N2297" s="14"/>
      <c r="O2297" s="14"/>
      <c r="P2297" s="14"/>
      <c r="R2297" s="18"/>
      <c r="S2297" s="12"/>
      <c r="T2297" s="12"/>
    </row>
    <row r="2298" spans="1:20" x14ac:dyDescent="0.25">
      <c r="A2298" s="14"/>
      <c r="B2298" s="18"/>
      <c r="C2298" s="14"/>
      <c r="D2298" s="18"/>
      <c r="E2298" s="14"/>
      <c r="F2298" s="18"/>
      <c r="G2298" s="18"/>
      <c r="H2298" s="23"/>
      <c r="I2298" s="14"/>
      <c r="J2298" s="20"/>
      <c r="M2298" s="18"/>
      <c r="N2298" s="14"/>
      <c r="O2298" s="14"/>
      <c r="P2298" s="14"/>
      <c r="R2298" s="18"/>
      <c r="S2298" s="12"/>
      <c r="T2298" s="12"/>
    </row>
    <row r="2299" spans="1:20" x14ac:dyDescent="0.25">
      <c r="A2299" s="14"/>
      <c r="B2299" s="18"/>
      <c r="C2299" s="14"/>
      <c r="D2299" s="18"/>
      <c r="E2299" s="14"/>
      <c r="F2299" s="18"/>
      <c r="G2299" s="18"/>
      <c r="H2299" s="23"/>
      <c r="I2299" s="14"/>
      <c r="J2299" s="20"/>
      <c r="M2299" s="18"/>
      <c r="N2299" s="14"/>
      <c r="O2299" s="14"/>
      <c r="P2299" s="14"/>
      <c r="R2299" s="18"/>
      <c r="S2299" s="12"/>
      <c r="T2299" s="12"/>
    </row>
    <row r="2300" spans="1:20" x14ac:dyDescent="0.25">
      <c r="A2300" s="14"/>
      <c r="B2300" s="18"/>
      <c r="C2300" s="14"/>
      <c r="D2300" s="18"/>
      <c r="E2300" s="14"/>
      <c r="F2300" s="18"/>
      <c r="G2300" s="18"/>
      <c r="H2300" s="23"/>
      <c r="I2300" s="14"/>
      <c r="J2300" s="20"/>
      <c r="M2300" s="18"/>
      <c r="N2300" s="14"/>
      <c r="O2300" s="14"/>
      <c r="P2300" s="14"/>
      <c r="R2300" s="18"/>
      <c r="S2300" s="12"/>
      <c r="T2300" s="12"/>
    </row>
    <row r="2301" spans="1:20" x14ac:dyDescent="0.25">
      <c r="A2301" s="14"/>
      <c r="B2301" s="18"/>
      <c r="C2301" s="14"/>
      <c r="D2301" s="18"/>
      <c r="E2301" s="14"/>
      <c r="F2301" s="18"/>
      <c r="G2301" s="18"/>
      <c r="H2301" s="23"/>
      <c r="I2301" s="14"/>
      <c r="J2301" s="20"/>
      <c r="M2301" s="18"/>
      <c r="N2301" s="14"/>
      <c r="O2301" s="14"/>
      <c r="P2301" s="14"/>
      <c r="R2301" s="18"/>
      <c r="S2301" s="12"/>
      <c r="T2301" s="12"/>
    </row>
    <row r="2302" spans="1:20" x14ac:dyDescent="0.25">
      <c r="A2302" s="14"/>
      <c r="B2302" s="18"/>
      <c r="C2302" s="14"/>
      <c r="D2302" s="18"/>
      <c r="E2302" s="14"/>
      <c r="F2302" s="18"/>
      <c r="G2302" s="18"/>
      <c r="H2302" s="23"/>
      <c r="I2302" s="14"/>
      <c r="J2302" s="20"/>
      <c r="M2302" s="18"/>
      <c r="N2302" s="14"/>
      <c r="O2302" s="14"/>
      <c r="P2302" s="14"/>
      <c r="R2302" s="18"/>
      <c r="S2302" s="12"/>
      <c r="T2302" s="12"/>
    </row>
    <row r="2303" spans="1:20" x14ac:dyDescent="0.25">
      <c r="A2303" s="14"/>
      <c r="B2303" s="18"/>
      <c r="C2303" s="14"/>
      <c r="D2303" s="18"/>
      <c r="E2303" s="14"/>
      <c r="F2303" s="18"/>
      <c r="G2303" s="18"/>
      <c r="H2303" s="23"/>
      <c r="I2303" s="14"/>
      <c r="J2303" s="20"/>
      <c r="M2303" s="18"/>
      <c r="N2303" s="14"/>
      <c r="O2303" s="14"/>
      <c r="P2303" s="14"/>
      <c r="R2303" s="18"/>
      <c r="S2303" s="12"/>
      <c r="T2303" s="12"/>
    </row>
    <row r="2304" spans="1:20" x14ac:dyDescent="0.25">
      <c r="A2304" s="14"/>
      <c r="B2304" s="18"/>
      <c r="C2304" s="14"/>
      <c r="D2304" s="18"/>
      <c r="E2304" s="14"/>
      <c r="F2304" s="18"/>
      <c r="G2304" s="18"/>
      <c r="H2304" s="23"/>
      <c r="I2304" s="14"/>
      <c r="J2304" s="20"/>
      <c r="M2304" s="18"/>
      <c r="N2304" s="14"/>
      <c r="O2304" s="14"/>
      <c r="P2304" s="14"/>
      <c r="R2304" s="18"/>
      <c r="S2304" s="12"/>
      <c r="T2304" s="12"/>
    </row>
    <row r="2305" spans="1:20" x14ac:dyDescent="0.25">
      <c r="A2305" s="14"/>
      <c r="B2305" s="18"/>
      <c r="C2305" s="14"/>
      <c r="D2305" s="18"/>
      <c r="E2305" s="14"/>
      <c r="F2305" s="18"/>
      <c r="G2305" s="18"/>
      <c r="H2305" s="23"/>
      <c r="I2305" s="14"/>
      <c r="J2305" s="20"/>
      <c r="M2305" s="18"/>
      <c r="N2305" s="14"/>
      <c r="O2305" s="14"/>
      <c r="P2305" s="14"/>
      <c r="R2305" s="18"/>
      <c r="S2305" s="12"/>
      <c r="T2305" s="12"/>
    </row>
    <row r="2306" spans="1:20" x14ac:dyDescent="0.25">
      <c r="A2306" s="14"/>
      <c r="B2306" s="18"/>
      <c r="C2306" s="14"/>
      <c r="D2306" s="18"/>
      <c r="E2306" s="14"/>
      <c r="F2306" s="18"/>
      <c r="G2306" s="18"/>
      <c r="H2306" s="23"/>
      <c r="I2306" s="14"/>
      <c r="J2306" s="20"/>
      <c r="M2306" s="18"/>
      <c r="N2306" s="14"/>
      <c r="O2306" s="14"/>
      <c r="P2306" s="14"/>
      <c r="R2306" s="18"/>
      <c r="S2306" s="12"/>
      <c r="T2306" s="12"/>
    </row>
    <row r="2307" spans="1:20" x14ac:dyDescent="0.25">
      <c r="A2307" s="14"/>
      <c r="B2307" s="18"/>
      <c r="C2307" s="14"/>
      <c r="D2307" s="18"/>
      <c r="E2307" s="14"/>
      <c r="F2307" s="18"/>
      <c r="G2307" s="18"/>
      <c r="H2307" s="23"/>
      <c r="I2307" s="14"/>
      <c r="J2307" s="20"/>
      <c r="M2307" s="18"/>
      <c r="N2307" s="14"/>
      <c r="O2307" s="14"/>
      <c r="P2307" s="14"/>
      <c r="R2307" s="18"/>
      <c r="S2307" s="12"/>
      <c r="T2307" s="12"/>
    </row>
    <row r="2308" spans="1:20" x14ac:dyDescent="0.25">
      <c r="A2308" s="14"/>
      <c r="B2308" s="18"/>
      <c r="C2308" s="14"/>
      <c r="D2308" s="18"/>
      <c r="E2308" s="14"/>
      <c r="F2308" s="18"/>
      <c r="G2308" s="18"/>
      <c r="H2308" s="23"/>
      <c r="I2308" s="14"/>
      <c r="J2308" s="20"/>
      <c r="M2308" s="18"/>
      <c r="N2308" s="14"/>
      <c r="O2308" s="14"/>
      <c r="P2308" s="14"/>
      <c r="R2308" s="18"/>
      <c r="S2308" s="12"/>
      <c r="T2308" s="12"/>
    </row>
    <row r="2309" spans="1:20" x14ac:dyDescent="0.25">
      <c r="A2309" s="14"/>
      <c r="B2309" s="18"/>
      <c r="C2309" s="14"/>
      <c r="D2309" s="18"/>
      <c r="E2309" s="14"/>
      <c r="F2309" s="18"/>
      <c r="G2309" s="18"/>
      <c r="H2309" s="23"/>
      <c r="I2309" s="14"/>
      <c r="J2309" s="20"/>
      <c r="M2309" s="18"/>
      <c r="N2309" s="14"/>
      <c r="O2309" s="14"/>
      <c r="P2309" s="14"/>
      <c r="R2309" s="18"/>
      <c r="S2309" s="12"/>
      <c r="T2309" s="12"/>
    </row>
    <row r="2310" spans="1:20" x14ac:dyDescent="0.25">
      <c r="A2310" s="14"/>
      <c r="B2310" s="18"/>
      <c r="C2310" s="14"/>
      <c r="D2310" s="18"/>
      <c r="E2310" s="14"/>
      <c r="F2310" s="18"/>
      <c r="G2310" s="18"/>
      <c r="H2310" s="23"/>
      <c r="I2310" s="14"/>
      <c r="J2310" s="20"/>
      <c r="M2310" s="18"/>
      <c r="N2310" s="14"/>
      <c r="O2310" s="14"/>
      <c r="P2310" s="14"/>
      <c r="R2310" s="18"/>
      <c r="S2310" s="12"/>
      <c r="T2310" s="12"/>
    </row>
    <row r="2311" spans="1:20" x14ac:dyDescent="0.25">
      <c r="A2311" s="14"/>
      <c r="B2311" s="18"/>
      <c r="C2311" s="14"/>
      <c r="D2311" s="18"/>
      <c r="E2311" s="14"/>
      <c r="F2311" s="18"/>
      <c r="G2311" s="18"/>
      <c r="H2311" s="23"/>
      <c r="I2311" s="14"/>
      <c r="J2311" s="20"/>
      <c r="M2311" s="18"/>
      <c r="N2311" s="14"/>
      <c r="O2311" s="14"/>
      <c r="P2311" s="14"/>
      <c r="R2311" s="18"/>
      <c r="S2311" s="12"/>
      <c r="T2311" s="12"/>
    </row>
    <row r="2312" spans="1:20" x14ac:dyDescent="0.25">
      <c r="A2312" s="14"/>
      <c r="B2312" s="18"/>
      <c r="C2312" s="14"/>
      <c r="D2312" s="18"/>
      <c r="E2312" s="14"/>
      <c r="F2312" s="18"/>
      <c r="G2312" s="18"/>
      <c r="H2312" s="23"/>
      <c r="I2312" s="14"/>
      <c r="J2312" s="20"/>
      <c r="M2312" s="18"/>
      <c r="N2312" s="14"/>
      <c r="O2312" s="14"/>
      <c r="P2312" s="14"/>
      <c r="R2312" s="18"/>
      <c r="S2312" s="12"/>
      <c r="T2312" s="12"/>
    </row>
    <row r="2313" spans="1:20" x14ac:dyDescent="0.25">
      <c r="A2313" s="14"/>
      <c r="B2313" s="18"/>
      <c r="C2313" s="14"/>
      <c r="D2313" s="18"/>
      <c r="E2313" s="14"/>
      <c r="F2313" s="18"/>
      <c r="G2313" s="18"/>
      <c r="H2313" s="23"/>
      <c r="I2313" s="14"/>
      <c r="J2313" s="20"/>
      <c r="M2313" s="18"/>
      <c r="N2313" s="14"/>
      <c r="O2313" s="14"/>
      <c r="P2313" s="14"/>
      <c r="R2313" s="18"/>
      <c r="S2313" s="12"/>
      <c r="T2313" s="12"/>
    </row>
    <row r="2314" spans="1:20" x14ac:dyDescent="0.25">
      <c r="A2314" s="14"/>
      <c r="B2314" s="18"/>
      <c r="C2314" s="14"/>
      <c r="D2314" s="18"/>
      <c r="E2314" s="14"/>
      <c r="F2314" s="18"/>
      <c r="G2314" s="18"/>
      <c r="H2314" s="23"/>
      <c r="I2314" s="14"/>
      <c r="J2314" s="20"/>
      <c r="M2314" s="18"/>
      <c r="N2314" s="14"/>
      <c r="O2314" s="14"/>
      <c r="P2314" s="14"/>
      <c r="R2314" s="18"/>
      <c r="S2314" s="12"/>
      <c r="T2314" s="12"/>
    </row>
    <row r="2315" spans="1:20" x14ac:dyDescent="0.25">
      <c r="A2315" s="14"/>
      <c r="B2315" s="18"/>
      <c r="C2315" s="14"/>
      <c r="D2315" s="18"/>
      <c r="E2315" s="14"/>
      <c r="F2315" s="18"/>
      <c r="G2315" s="18"/>
      <c r="H2315" s="23"/>
      <c r="I2315" s="14"/>
      <c r="J2315" s="20"/>
      <c r="M2315" s="18"/>
      <c r="N2315" s="14"/>
      <c r="O2315" s="14"/>
      <c r="P2315" s="14"/>
      <c r="R2315" s="18"/>
      <c r="S2315" s="12"/>
      <c r="T2315" s="12"/>
    </row>
    <row r="2316" spans="1:20" x14ac:dyDescent="0.25">
      <c r="A2316" s="14"/>
      <c r="B2316" s="18"/>
      <c r="C2316" s="14"/>
      <c r="D2316" s="18"/>
      <c r="E2316" s="14"/>
      <c r="F2316" s="18"/>
      <c r="G2316" s="18"/>
      <c r="H2316" s="23"/>
      <c r="I2316" s="14"/>
      <c r="J2316" s="20"/>
      <c r="M2316" s="18"/>
      <c r="N2316" s="14"/>
      <c r="O2316" s="14"/>
      <c r="P2316" s="14"/>
      <c r="R2316" s="18"/>
      <c r="S2316" s="12"/>
      <c r="T2316" s="12"/>
    </row>
    <row r="2317" spans="1:20" x14ac:dyDescent="0.25">
      <c r="A2317" s="14"/>
      <c r="B2317" s="18"/>
      <c r="C2317" s="14"/>
      <c r="D2317" s="18"/>
      <c r="E2317" s="14"/>
      <c r="F2317" s="18"/>
      <c r="G2317" s="18"/>
      <c r="H2317" s="23"/>
      <c r="I2317" s="14"/>
      <c r="J2317" s="20"/>
      <c r="M2317" s="18"/>
      <c r="N2317" s="14"/>
      <c r="O2317" s="14"/>
      <c r="P2317" s="14"/>
      <c r="R2317" s="18"/>
      <c r="S2317" s="12"/>
      <c r="T2317" s="12"/>
    </row>
    <row r="2318" spans="1:20" x14ac:dyDescent="0.25">
      <c r="A2318" s="14"/>
      <c r="B2318" s="18"/>
      <c r="C2318" s="14"/>
      <c r="D2318" s="18"/>
      <c r="E2318" s="14"/>
      <c r="F2318" s="18"/>
      <c r="G2318" s="18"/>
      <c r="H2318" s="23"/>
      <c r="I2318" s="14"/>
      <c r="J2318" s="20"/>
      <c r="M2318" s="18"/>
      <c r="N2318" s="14"/>
      <c r="O2318" s="14"/>
      <c r="P2318" s="14"/>
      <c r="R2318" s="18"/>
      <c r="S2318" s="12"/>
      <c r="T2318" s="12"/>
    </row>
    <row r="2319" spans="1:20" x14ac:dyDescent="0.25">
      <c r="A2319" s="14"/>
      <c r="B2319" s="18"/>
      <c r="C2319" s="14"/>
      <c r="D2319" s="18"/>
      <c r="E2319" s="14"/>
      <c r="F2319" s="18"/>
      <c r="G2319" s="18"/>
      <c r="H2319" s="23"/>
      <c r="I2319" s="14"/>
      <c r="J2319" s="20"/>
      <c r="M2319" s="18"/>
      <c r="N2319" s="14"/>
      <c r="O2319" s="14"/>
      <c r="P2319" s="14"/>
      <c r="R2319" s="18"/>
      <c r="S2319" s="12"/>
      <c r="T2319" s="12"/>
    </row>
    <row r="2320" spans="1:20" x14ac:dyDescent="0.25">
      <c r="A2320" s="14"/>
      <c r="B2320" s="18"/>
      <c r="C2320" s="14"/>
      <c r="D2320" s="18"/>
      <c r="E2320" s="14"/>
      <c r="F2320" s="18"/>
      <c r="G2320" s="18"/>
      <c r="H2320" s="23"/>
      <c r="I2320" s="14"/>
      <c r="J2320" s="20"/>
      <c r="M2320" s="18"/>
      <c r="N2320" s="14"/>
      <c r="O2320" s="14"/>
      <c r="P2320" s="14"/>
      <c r="R2320" s="18"/>
      <c r="S2320" s="12"/>
      <c r="T2320" s="12"/>
    </row>
    <row r="2321" spans="1:20" x14ac:dyDescent="0.25">
      <c r="A2321" s="14"/>
      <c r="B2321" s="18"/>
      <c r="C2321" s="14"/>
      <c r="D2321" s="18"/>
      <c r="E2321" s="14"/>
      <c r="F2321" s="18"/>
      <c r="G2321" s="18"/>
      <c r="H2321" s="23"/>
      <c r="I2321" s="14"/>
      <c r="J2321" s="20"/>
      <c r="M2321" s="18"/>
      <c r="N2321" s="14"/>
      <c r="O2321" s="14"/>
      <c r="P2321" s="14"/>
      <c r="R2321" s="18"/>
      <c r="S2321" s="12"/>
      <c r="T2321" s="12"/>
    </row>
    <row r="2322" spans="1:20" x14ac:dyDescent="0.25">
      <c r="A2322" s="14"/>
      <c r="B2322" s="18"/>
      <c r="C2322" s="14"/>
      <c r="D2322" s="18"/>
      <c r="E2322" s="14"/>
      <c r="F2322" s="18"/>
      <c r="G2322" s="18"/>
      <c r="H2322" s="23"/>
      <c r="I2322" s="14"/>
      <c r="J2322" s="20"/>
      <c r="M2322" s="18"/>
      <c r="N2322" s="14"/>
      <c r="O2322" s="14"/>
      <c r="P2322" s="14"/>
      <c r="R2322" s="18"/>
      <c r="S2322" s="12"/>
      <c r="T2322" s="12"/>
    </row>
    <row r="2323" spans="1:20" x14ac:dyDescent="0.25">
      <c r="A2323" s="14"/>
      <c r="B2323" s="18"/>
      <c r="C2323" s="14"/>
      <c r="D2323" s="18"/>
      <c r="E2323" s="14"/>
      <c r="F2323" s="18"/>
      <c r="G2323" s="18"/>
      <c r="H2323" s="23"/>
      <c r="I2323" s="14"/>
      <c r="J2323" s="20"/>
      <c r="M2323" s="18"/>
      <c r="N2323" s="14"/>
      <c r="O2323" s="14"/>
      <c r="P2323" s="14"/>
      <c r="R2323" s="18"/>
      <c r="S2323" s="12"/>
      <c r="T2323" s="12"/>
    </row>
    <row r="2324" spans="1:20" x14ac:dyDescent="0.25">
      <c r="A2324" s="14"/>
      <c r="B2324" s="18"/>
      <c r="C2324" s="14"/>
      <c r="D2324" s="18"/>
      <c r="E2324" s="14"/>
      <c r="F2324" s="18"/>
      <c r="G2324" s="18"/>
      <c r="H2324" s="23"/>
      <c r="I2324" s="14"/>
      <c r="J2324" s="20"/>
      <c r="M2324" s="18"/>
      <c r="N2324" s="14"/>
      <c r="O2324" s="14"/>
      <c r="P2324" s="14"/>
      <c r="R2324" s="18"/>
      <c r="S2324" s="12"/>
      <c r="T2324" s="12"/>
    </row>
    <row r="2325" spans="1:20" x14ac:dyDescent="0.25">
      <c r="A2325" s="14"/>
      <c r="B2325" s="18"/>
      <c r="C2325" s="14"/>
      <c r="D2325" s="18"/>
      <c r="E2325" s="14"/>
      <c r="F2325" s="18"/>
      <c r="G2325" s="18"/>
      <c r="H2325" s="23"/>
      <c r="I2325" s="14"/>
      <c r="J2325" s="20"/>
      <c r="M2325" s="18"/>
      <c r="N2325" s="14"/>
      <c r="O2325" s="14"/>
      <c r="P2325" s="14"/>
      <c r="R2325" s="18"/>
      <c r="S2325" s="12"/>
      <c r="T2325" s="12"/>
    </row>
    <row r="2326" spans="1:20" x14ac:dyDescent="0.25">
      <c r="A2326" s="14"/>
      <c r="B2326" s="18"/>
      <c r="C2326" s="14"/>
      <c r="D2326" s="18"/>
      <c r="E2326" s="14"/>
      <c r="F2326" s="18"/>
      <c r="G2326" s="18"/>
      <c r="H2326" s="23"/>
      <c r="I2326" s="14"/>
      <c r="J2326" s="20"/>
      <c r="M2326" s="18"/>
      <c r="N2326" s="14"/>
      <c r="O2326" s="14"/>
      <c r="P2326" s="14"/>
      <c r="R2326" s="18"/>
      <c r="S2326" s="12"/>
      <c r="T2326" s="12"/>
    </row>
    <row r="2327" spans="1:20" x14ac:dyDescent="0.25">
      <c r="A2327" s="14"/>
      <c r="B2327" s="18"/>
      <c r="C2327" s="14"/>
      <c r="D2327" s="18"/>
      <c r="E2327" s="14"/>
      <c r="F2327" s="18"/>
      <c r="G2327" s="18"/>
      <c r="H2327" s="23"/>
      <c r="I2327" s="14"/>
      <c r="J2327" s="20"/>
      <c r="M2327" s="18"/>
      <c r="N2327" s="14"/>
      <c r="O2327" s="14"/>
      <c r="P2327" s="14"/>
      <c r="R2327" s="18"/>
      <c r="S2327" s="12"/>
      <c r="T2327" s="12"/>
    </row>
    <row r="2328" spans="1:20" x14ac:dyDescent="0.25">
      <c r="A2328" s="14"/>
      <c r="B2328" s="18"/>
      <c r="C2328" s="14"/>
      <c r="D2328" s="18"/>
      <c r="E2328" s="14"/>
      <c r="F2328" s="18"/>
      <c r="G2328" s="18"/>
      <c r="H2328" s="23"/>
      <c r="I2328" s="14"/>
      <c r="J2328" s="20"/>
      <c r="M2328" s="18"/>
      <c r="N2328" s="14"/>
      <c r="O2328" s="14"/>
      <c r="P2328" s="14"/>
      <c r="R2328" s="18"/>
      <c r="S2328" s="12"/>
      <c r="T2328" s="12"/>
    </row>
    <row r="2329" spans="1:20" x14ac:dyDescent="0.25">
      <c r="A2329" s="14"/>
      <c r="B2329" s="18"/>
      <c r="C2329" s="14"/>
      <c r="D2329" s="18"/>
      <c r="E2329" s="14"/>
      <c r="F2329" s="18"/>
      <c r="G2329" s="18"/>
      <c r="H2329" s="23"/>
      <c r="I2329" s="14"/>
      <c r="J2329" s="20"/>
      <c r="M2329" s="18"/>
      <c r="N2329" s="14"/>
      <c r="O2329" s="14"/>
      <c r="P2329" s="14"/>
      <c r="R2329" s="18"/>
      <c r="S2329" s="12"/>
      <c r="T2329" s="12"/>
    </row>
    <row r="2330" spans="1:20" x14ac:dyDescent="0.25">
      <c r="A2330" s="14"/>
      <c r="B2330" s="18"/>
      <c r="C2330" s="14"/>
      <c r="D2330" s="18"/>
      <c r="E2330" s="14"/>
      <c r="F2330" s="18"/>
      <c r="G2330" s="18"/>
      <c r="H2330" s="23"/>
      <c r="I2330" s="14"/>
      <c r="J2330" s="20"/>
      <c r="M2330" s="18"/>
      <c r="N2330" s="14"/>
      <c r="O2330" s="14"/>
      <c r="P2330" s="14"/>
      <c r="R2330" s="18"/>
      <c r="S2330" s="12"/>
      <c r="T2330" s="12"/>
    </row>
    <row r="2331" spans="1:20" x14ac:dyDescent="0.25">
      <c r="A2331" s="14"/>
      <c r="B2331" s="18"/>
      <c r="C2331" s="14"/>
      <c r="D2331" s="18"/>
      <c r="E2331" s="14"/>
      <c r="F2331" s="18"/>
      <c r="G2331" s="18"/>
      <c r="H2331" s="23"/>
      <c r="I2331" s="14"/>
      <c r="J2331" s="20"/>
      <c r="M2331" s="18"/>
      <c r="N2331" s="14"/>
      <c r="O2331" s="14"/>
      <c r="P2331" s="14"/>
      <c r="R2331" s="18"/>
      <c r="S2331" s="12"/>
      <c r="T2331" s="12"/>
    </row>
    <row r="2332" spans="1:20" x14ac:dyDescent="0.25">
      <c r="A2332" s="14"/>
      <c r="B2332" s="18"/>
      <c r="C2332" s="14"/>
      <c r="D2332" s="18"/>
      <c r="E2332" s="14"/>
      <c r="F2332" s="18"/>
      <c r="G2332" s="18"/>
      <c r="H2332" s="23"/>
      <c r="I2332" s="14"/>
      <c r="J2332" s="20"/>
      <c r="M2332" s="18"/>
      <c r="N2332" s="14"/>
      <c r="O2332" s="14"/>
      <c r="P2332" s="14"/>
      <c r="R2332" s="18"/>
      <c r="S2332" s="12"/>
      <c r="T2332" s="12"/>
    </row>
    <row r="2333" spans="1:20" x14ac:dyDescent="0.25">
      <c r="A2333" s="14"/>
      <c r="B2333" s="18"/>
      <c r="C2333" s="14"/>
      <c r="D2333" s="18"/>
      <c r="E2333" s="14"/>
      <c r="F2333" s="18"/>
      <c r="G2333" s="18"/>
      <c r="H2333" s="23"/>
      <c r="I2333" s="14"/>
      <c r="J2333" s="20"/>
      <c r="M2333" s="18"/>
      <c r="N2333" s="14"/>
      <c r="O2333" s="14"/>
      <c r="P2333" s="14"/>
      <c r="R2333" s="18"/>
      <c r="S2333" s="12"/>
      <c r="T2333" s="12"/>
    </row>
    <row r="2334" spans="1:20" x14ac:dyDescent="0.25">
      <c r="A2334" s="14"/>
      <c r="B2334" s="18"/>
      <c r="C2334" s="14"/>
      <c r="D2334" s="18"/>
      <c r="E2334" s="14"/>
      <c r="F2334" s="18"/>
      <c r="G2334" s="18"/>
      <c r="H2334" s="23"/>
      <c r="I2334" s="14"/>
      <c r="J2334" s="20"/>
      <c r="M2334" s="18"/>
      <c r="N2334" s="14"/>
      <c r="O2334" s="14"/>
      <c r="P2334" s="14"/>
      <c r="R2334" s="18"/>
      <c r="S2334" s="12"/>
      <c r="T2334" s="12"/>
    </row>
    <row r="2335" spans="1:20" x14ac:dyDescent="0.25">
      <c r="A2335" s="14"/>
      <c r="B2335" s="18"/>
      <c r="C2335" s="14"/>
      <c r="D2335" s="18"/>
      <c r="E2335" s="14"/>
      <c r="F2335" s="18"/>
      <c r="G2335" s="18"/>
      <c r="H2335" s="23"/>
      <c r="I2335" s="14"/>
      <c r="J2335" s="20"/>
      <c r="M2335" s="18"/>
      <c r="N2335" s="14"/>
      <c r="O2335" s="14"/>
      <c r="P2335" s="14"/>
      <c r="R2335" s="18"/>
      <c r="S2335" s="12"/>
      <c r="T2335" s="12"/>
    </row>
    <row r="2336" spans="1:20" x14ac:dyDescent="0.25">
      <c r="A2336" s="14"/>
      <c r="B2336" s="18"/>
      <c r="C2336" s="14"/>
      <c r="D2336" s="18"/>
      <c r="E2336" s="14"/>
      <c r="F2336" s="18"/>
      <c r="G2336" s="18"/>
      <c r="H2336" s="23"/>
      <c r="I2336" s="14"/>
      <c r="J2336" s="20"/>
      <c r="M2336" s="18"/>
      <c r="N2336" s="14"/>
      <c r="O2336" s="14"/>
      <c r="P2336" s="14"/>
      <c r="R2336" s="18"/>
      <c r="S2336" s="12"/>
      <c r="T2336" s="12"/>
    </row>
    <row r="2337" spans="1:20" x14ac:dyDescent="0.25">
      <c r="A2337" s="14"/>
      <c r="B2337" s="18"/>
      <c r="C2337" s="14"/>
      <c r="D2337" s="18"/>
      <c r="E2337" s="14"/>
      <c r="F2337" s="18"/>
      <c r="G2337" s="18"/>
      <c r="H2337" s="23"/>
      <c r="I2337" s="14"/>
      <c r="J2337" s="20"/>
      <c r="M2337" s="18"/>
      <c r="N2337" s="14"/>
      <c r="O2337" s="14"/>
      <c r="P2337" s="14"/>
      <c r="R2337" s="18"/>
      <c r="S2337" s="12"/>
      <c r="T2337" s="12"/>
    </row>
    <row r="2338" spans="1:20" x14ac:dyDescent="0.25">
      <c r="A2338" s="14"/>
      <c r="B2338" s="18"/>
      <c r="C2338" s="14"/>
      <c r="D2338" s="18"/>
      <c r="E2338" s="14"/>
      <c r="F2338" s="18"/>
      <c r="G2338" s="18"/>
      <c r="H2338" s="23"/>
      <c r="I2338" s="14"/>
      <c r="J2338" s="20"/>
      <c r="M2338" s="18"/>
      <c r="N2338" s="14"/>
      <c r="O2338" s="14"/>
      <c r="P2338" s="14"/>
      <c r="R2338" s="18"/>
      <c r="S2338" s="12"/>
      <c r="T2338" s="12"/>
    </row>
    <row r="2339" spans="1:20" x14ac:dyDescent="0.25">
      <c r="A2339" s="14"/>
      <c r="B2339" s="18"/>
      <c r="C2339" s="14"/>
      <c r="D2339" s="18"/>
      <c r="E2339" s="14"/>
      <c r="F2339" s="18"/>
      <c r="G2339" s="18"/>
      <c r="H2339" s="23"/>
      <c r="I2339" s="14"/>
      <c r="J2339" s="20"/>
      <c r="M2339" s="18"/>
      <c r="N2339" s="14"/>
      <c r="O2339" s="14"/>
      <c r="P2339" s="14"/>
      <c r="R2339" s="18"/>
      <c r="S2339" s="12"/>
      <c r="T2339" s="12"/>
    </row>
    <row r="2340" spans="1:20" x14ac:dyDescent="0.25">
      <c r="A2340" s="14"/>
      <c r="B2340" s="18"/>
      <c r="C2340" s="14"/>
      <c r="D2340" s="18"/>
      <c r="E2340" s="14"/>
      <c r="F2340" s="18"/>
      <c r="G2340" s="18"/>
      <c r="H2340" s="23"/>
      <c r="I2340" s="14"/>
      <c r="J2340" s="20"/>
      <c r="M2340" s="18"/>
      <c r="N2340" s="14"/>
      <c r="O2340" s="14"/>
      <c r="P2340" s="14"/>
      <c r="R2340" s="18"/>
      <c r="S2340" s="12"/>
      <c r="T2340" s="12"/>
    </row>
    <row r="2341" spans="1:20" x14ac:dyDescent="0.25">
      <c r="A2341" s="14"/>
      <c r="B2341" s="18"/>
      <c r="C2341" s="14"/>
      <c r="D2341" s="18"/>
      <c r="E2341" s="14"/>
      <c r="F2341" s="18"/>
      <c r="G2341" s="18"/>
      <c r="H2341" s="23"/>
      <c r="I2341" s="14"/>
      <c r="J2341" s="20"/>
      <c r="M2341" s="18"/>
      <c r="N2341" s="14"/>
      <c r="O2341" s="14"/>
      <c r="P2341" s="14"/>
      <c r="R2341" s="18"/>
      <c r="S2341" s="12"/>
      <c r="T2341" s="12"/>
    </row>
    <row r="2342" spans="1:20" x14ac:dyDescent="0.25">
      <c r="A2342" s="14"/>
      <c r="B2342" s="18"/>
      <c r="C2342" s="14"/>
      <c r="D2342" s="18"/>
      <c r="E2342" s="14"/>
      <c r="F2342" s="18"/>
      <c r="G2342" s="18"/>
      <c r="H2342" s="23"/>
      <c r="I2342" s="14"/>
      <c r="J2342" s="20"/>
      <c r="M2342" s="18"/>
      <c r="N2342" s="14"/>
      <c r="O2342" s="14"/>
      <c r="P2342" s="14"/>
      <c r="R2342" s="18"/>
      <c r="S2342" s="12"/>
      <c r="T2342" s="12"/>
    </row>
    <row r="2343" spans="1:20" x14ac:dyDescent="0.25">
      <c r="A2343" s="14"/>
      <c r="B2343" s="18"/>
      <c r="C2343" s="14"/>
      <c r="D2343" s="18"/>
      <c r="E2343" s="14"/>
      <c r="F2343" s="18"/>
      <c r="G2343" s="18"/>
      <c r="H2343" s="23"/>
      <c r="I2343" s="14"/>
      <c r="J2343" s="20"/>
      <c r="M2343" s="18"/>
      <c r="N2343" s="14"/>
      <c r="O2343" s="14"/>
      <c r="P2343" s="14"/>
      <c r="R2343" s="18"/>
      <c r="S2343" s="12"/>
      <c r="T2343" s="12"/>
    </row>
  </sheetData>
  <autoFilter ref="A1:T2252" xr:uid="{00000000-0009-0000-0000-000007000000}"/>
  <hyperlinks>
    <hyperlink ref="N2" r:id="rId1" xr:uid="{00000000-0004-0000-0700-000000000000}"/>
    <hyperlink ref="N3" r:id="rId2" xr:uid="{00000000-0004-0000-0700-000001000000}"/>
    <hyperlink ref="N4" r:id="rId3" xr:uid="{00000000-0004-0000-0700-000002000000}"/>
    <hyperlink ref="N5" r:id="rId4" xr:uid="{00000000-0004-0000-0700-000003000000}"/>
    <hyperlink ref="N6" r:id="rId5" xr:uid="{00000000-0004-0000-0700-000004000000}"/>
    <hyperlink ref="N7" r:id="rId6" xr:uid="{00000000-0004-0000-0700-000005000000}"/>
    <hyperlink ref="N8" r:id="rId7" xr:uid="{00000000-0004-0000-0700-000006000000}"/>
    <hyperlink ref="N9" r:id="rId8" xr:uid="{00000000-0004-0000-0700-000007000000}"/>
    <hyperlink ref="N10" r:id="rId9" xr:uid="{00000000-0004-0000-0700-000008000000}"/>
    <hyperlink ref="N11" r:id="rId10" xr:uid="{00000000-0004-0000-0700-000009000000}"/>
    <hyperlink ref="N12" r:id="rId11" xr:uid="{00000000-0004-0000-0700-00000A000000}"/>
    <hyperlink ref="N13" r:id="rId12" xr:uid="{00000000-0004-0000-0700-00000B000000}"/>
    <hyperlink ref="N14" r:id="rId13" xr:uid="{00000000-0004-0000-0700-00000C000000}"/>
    <hyperlink ref="N15" r:id="rId14" xr:uid="{00000000-0004-0000-0700-00000D000000}"/>
    <hyperlink ref="N16" r:id="rId15" xr:uid="{00000000-0004-0000-0700-00000E000000}"/>
    <hyperlink ref="N17" r:id="rId16" xr:uid="{00000000-0004-0000-0700-00000F000000}"/>
    <hyperlink ref="N18" r:id="rId17" xr:uid="{00000000-0004-0000-0700-000010000000}"/>
    <hyperlink ref="N19" r:id="rId18" xr:uid="{00000000-0004-0000-0700-000011000000}"/>
    <hyperlink ref="N20" r:id="rId19" xr:uid="{00000000-0004-0000-0700-000012000000}"/>
    <hyperlink ref="N21" r:id="rId20" xr:uid="{00000000-0004-0000-0700-000013000000}"/>
    <hyperlink ref="N22" r:id="rId21" xr:uid="{00000000-0004-0000-0700-000014000000}"/>
    <hyperlink ref="N23" r:id="rId22" xr:uid="{00000000-0004-0000-0700-000015000000}"/>
    <hyperlink ref="N24" r:id="rId23" xr:uid="{00000000-0004-0000-0700-000016000000}"/>
    <hyperlink ref="N25" r:id="rId24" xr:uid="{00000000-0004-0000-0700-000017000000}"/>
    <hyperlink ref="N26" r:id="rId25" xr:uid="{00000000-0004-0000-0700-000018000000}"/>
    <hyperlink ref="N27" r:id="rId26" xr:uid="{00000000-0004-0000-0700-000019000000}"/>
    <hyperlink ref="N28" r:id="rId27" xr:uid="{00000000-0004-0000-0700-00001A000000}"/>
    <hyperlink ref="N29" r:id="rId28" xr:uid="{00000000-0004-0000-0700-00001B000000}"/>
    <hyperlink ref="N30" r:id="rId29" xr:uid="{00000000-0004-0000-0700-00001C000000}"/>
    <hyperlink ref="N31" r:id="rId30" xr:uid="{00000000-0004-0000-0700-00001D000000}"/>
    <hyperlink ref="N32" r:id="rId31" xr:uid="{00000000-0004-0000-0700-00001E000000}"/>
    <hyperlink ref="N34" r:id="rId32" xr:uid="{00000000-0004-0000-0700-00001F000000}"/>
    <hyperlink ref="N35" r:id="rId33" xr:uid="{00000000-0004-0000-0700-000020000000}"/>
    <hyperlink ref="N36" r:id="rId34" xr:uid="{00000000-0004-0000-0700-000021000000}"/>
    <hyperlink ref="N37" r:id="rId35" xr:uid="{00000000-0004-0000-0700-000022000000}"/>
    <hyperlink ref="N38" r:id="rId36" xr:uid="{00000000-0004-0000-0700-000023000000}"/>
    <hyperlink ref="N39" r:id="rId37" xr:uid="{00000000-0004-0000-0700-000024000000}"/>
    <hyperlink ref="N40" r:id="rId38" xr:uid="{00000000-0004-0000-0700-000025000000}"/>
    <hyperlink ref="N41" r:id="rId39" xr:uid="{00000000-0004-0000-0700-000026000000}"/>
    <hyperlink ref="N42" r:id="rId40" xr:uid="{00000000-0004-0000-0700-000027000000}"/>
    <hyperlink ref="N43" r:id="rId41" xr:uid="{00000000-0004-0000-0700-000028000000}"/>
    <hyperlink ref="N44" r:id="rId42" xr:uid="{00000000-0004-0000-0700-000029000000}"/>
    <hyperlink ref="N45" r:id="rId43" xr:uid="{00000000-0004-0000-0700-00002A000000}"/>
    <hyperlink ref="N46" r:id="rId44" xr:uid="{00000000-0004-0000-0700-00002B000000}"/>
    <hyperlink ref="N47" r:id="rId45" xr:uid="{00000000-0004-0000-0700-00002C000000}"/>
    <hyperlink ref="N48" r:id="rId46" xr:uid="{00000000-0004-0000-0700-00002D000000}"/>
    <hyperlink ref="N49" r:id="rId47" xr:uid="{00000000-0004-0000-0700-00002E000000}"/>
    <hyperlink ref="N50" r:id="rId48" xr:uid="{00000000-0004-0000-0700-00002F000000}"/>
    <hyperlink ref="N51" r:id="rId49" xr:uid="{00000000-0004-0000-0700-000030000000}"/>
    <hyperlink ref="N52" r:id="rId50" xr:uid="{00000000-0004-0000-0700-000031000000}"/>
    <hyperlink ref="N53" r:id="rId51" xr:uid="{00000000-0004-0000-0700-000032000000}"/>
    <hyperlink ref="N54" r:id="rId52" xr:uid="{00000000-0004-0000-0700-000033000000}"/>
    <hyperlink ref="N55" r:id="rId53" xr:uid="{00000000-0004-0000-0700-000034000000}"/>
    <hyperlink ref="N56" r:id="rId54" xr:uid="{00000000-0004-0000-0700-000035000000}"/>
    <hyperlink ref="N57" r:id="rId55" xr:uid="{00000000-0004-0000-0700-000036000000}"/>
    <hyperlink ref="N58" r:id="rId56" xr:uid="{00000000-0004-0000-0700-000037000000}"/>
    <hyperlink ref="N59" r:id="rId57" xr:uid="{00000000-0004-0000-0700-000038000000}"/>
    <hyperlink ref="N60" r:id="rId58" xr:uid="{00000000-0004-0000-0700-000039000000}"/>
    <hyperlink ref="N61" r:id="rId59" xr:uid="{00000000-0004-0000-0700-00003A000000}"/>
    <hyperlink ref="N62" r:id="rId60" xr:uid="{00000000-0004-0000-0700-00003B000000}"/>
    <hyperlink ref="N63" r:id="rId61" xr:uid="{00000000-0004-0000-0700-00003C000000}"/>
    <hyperlink ref="N64" r:id="rId62" xr:uid="{00000000-0004-0000-0700-00003D000000}"/>
    <hyperlink ref="N65" r:id="rId63" xr:uid="{00000000-0004-0000-0700-00003E000000}"/>
    <hyperlink ref="N66" r:id="rId64" xr:uid="{00000000-0004-0000-0700-00003F000000}"/>
    <hyperlink ref="N67" r:id="rId65" xr:uid="{00000000-0004-0000-0700-000040000000}"/>
    <hyperlink ref="N68" r:id="rId66" xr:uid="{00000000-0004-0000-0700-000041000000}"/>
    <hyperlink ref="N69" r:id="rId67" xr:uid="{00000000-0004-0000-0700-000042000000}"/>
    <hyperlink ref="N70" r:id="rId68" xr:uid="{00000000-0004-0000-0700-000043000000}"/>
    <hyperlink ref="N71" r:id="rId69" xr:uid="{00000000-0004-0000-0700-000044000000}"/>
    <hyperlink ref="N72" r:id="rId70" xr:uid="{00000000-0004-0000-0700-000045000000}"/>
    <hyperlink ref="N73" r:id="rId71" xr:uid="{00000000-0004-0000-0700-000046000000}"/>
    <hyperlink ref="N74" r:id="rId72" xr:uid="{00000000-0004-0000-0700-000047000000}"/>
    <hyperlink ref="N75" r:id="rId73" xr:uid="{00000000-0004-0000-0700-000048000000}"/>
    <hyperlink ref="N76" r:id="rId74" xr:uid="{00000000-0004-0000-0700-000049000000}"/>
    <hyperlink ref="N77" r:id="rId75" xr:uid="{00000000-0004-0000-0700-00004A000000}"/>
    <hyperlink ref="N78" r:id="rId76" xr:uid="{00000000-0004-0000-0700-00004B000000}"/>
    <hyperlink ref="N79" r:id="rId77" xr:uid="{00000000-0004-0000-0700-00004C000000}"/>
    <hyperlink ref="N80" r:id="rId78" xr:uid="{00000000-0004-0000-0700-00004D000000}"/>
    <hyperlink ref="N81" r:id="rId79" xr:uid="{00000000-0004-0000-0700-00004E000000}"/>
    <hyperlink ref="N82" r:id="rId80" xr:uid="{00000000-0004-0000-0700-00004F000000}"/>
    <hyperlink ref="N83" r:id="rId81" xr:uid="{00000000-0004-0000-0700-000050000000}"/>
    <hyperlink ref="N84" r:id="rId82" xr:uid="{00000000-0004-0000-0700-000051000000}"/>
    <hyperlink ref="N85" r:id="rId83" xr:uid="{00000000-0004-0000-0700-000052000000}"/>
    <hyperlink ref="N86" r:id="rId84" xr:uid="{00000000-0004-0000-0700-000053000000}"/>
    <hyperlink ref="N87" r:id="rId85" xr:uid="{00000000-0004-0000-0700-000054000000}"/>
    <hyperlink ref="N88" r:id="rId86" xr:uid="{00000000-0004-0000-0700-000055000000}"/>
    <hyperlink ref="N89" r:id="rId87" xr:uid="{00000000-0004-0000-0700-000056000000}"/>
    <hyperlink ref="N90" r:id="rId88" xr:uid="{00000000-0004-0000-0700-000057000000}"/>
    <hyperlink ref="N91" r:id="rId89" xr:uid="{00000000-0004-0000-0700-000058000000}"/>
    <hyperlink ref="N92" r:id="rId90" xr:uid="{00000000-0004-0000-0700-000059000000}"/>
    <hyperlink ref="N93" r:id="rId91" xr:uid="{00000000-0004-0000-0700-00005A000000}"/>
    <hyperlink ref="N94" r:id="rId92" xr:uid="{00000000-0004-0000-0700-00005B000000}"/>
    <hyperlink ref="N95" r:id="rId93" xr:uid="{00000000-0004-0000-0700-00005C000000}"/>
    <hyperlink ref="N96" r:id="rId94" xr:uid="{00000000-0004-0000-0700-00005D000000}"/>
    <hyperlink ref="N97" r:id="rId95" xr:uid="{00000000-0004-0000-0700-00005E000000}"/>
    <hyperlink ref="N98" r:id="rId96" xr:uid="{00000000-0004-0000-0700-00005F000000}"/>
    <hyperlink ref="N99" r:id="rId97" xr:uid="{00000000-0004-0000-0700-000060000000}"/>
    <hyperlink ref="N100" r:id="rId98" xr:uid="{00000000-0004-0000-0700-000061000000}"/>
    <hyperlink ref="N101" r:id="rId99" xr:uid="{00000000-0004-0000-0700-000062000000}"/>
    <hyperlink ref="N102" r:id="rId100" xr:uid="{00000000-0004-0000-0700-000063000000}"/>
    <hyperlink ref="N103" r:id="rId101" xr:uid="{00000000-0004-0000-0700-000064000000}"/>
    <hyperlink ref="N104" r:id="rId102" xr:uid="{00000000-0004-0000-0700-000065000000}"/>
    <hyperlink ref="N105" r:id="rId103" xr:uid="{00000000-0004-0000-0700-000066000000}"/>
    <hyperlink ref="N106" r:id="rId104" xr:uid="{00000000-0004-0000-0700-000067000000}"/>
    <hyperlink ref="N107" r:id="rId105" xr:uid="{00000000-0004-0000-0700-000068000000}"/>
    <hyperlink ref="N108" r:id="rId106" xr:uid="{00000000-0004-0000-0700-000069000000}"/>
    <hyperlink ref="N109" r:id="rId107" xr:uid="{00000000-0004-0000-0700-00006A000000}"/>
    <hyperlink ref="N110" r:id="rId108" xr:uid="{00000000-0004-0000-0700-00006B000000}"/>
    <hyperlink ref="N111" r:id="rId109" xr:uid="{00000000-0004-0000-0700-00006C000000}"/>
    <hyperlink ref="N112" r:id="rId110" xr:uid="{00000000-0004-0000-0700-00006D000000}"/>
    <hyperlink ref="N113" r:id="rId111" xr:uid="{00000000-0004-0000-0700-00006E000000}"/>
    <hyperlink ref="N114" r:id="rId112" xr:uid="{00000000-0004-0000-0700-00006F000000}"/>
    <hyperlink ref="N115" r:id="rId113" xr:uid="{00000000-0004-0000-0700-000070000000}"/>
    <hyperlink ref="N116" r:id="rId114" xr:uid="{00000000-0004-0000-0700-000071000000}"/>
    <hyperlink ref="N117" r:id="rId115" xr:uid="{00000000-0004-0000-0700-000072000000}"/>
    <hyperlink ref="N118" r:id="rId116" xr:uid="{00000000-0004-0000-0700-000073000000}"/>
    <hyperlink ref="N119" r:id="rId117" xr:uid="{00000000-0004-0000-0700-000074000000}"/>
    <hyperlink ref="N120" r:id="rId118" xr:uid="{00000000-0004-0000-0700-000075000000}"/>
    <hyperlink ref="N121" r:id="rId119" xr:uid="{00000000-0004-0000-0700-000076000000}"/>
    <hyperlink ref="N122" r:id="rId120" xr:uid="{00000000-0004-0000-0700-000077000000}"/>
    <hyperlink ref="N123" r:id="rId121" xr:uid="{00000000-0004-0000-0700-000078000000}"/>
    <hyperlink ref="N124" r:id="rId122" xr:uid="{00000000-0004-0000-0700-000079000000}"/>
    <hyperlink ref="N125" r:id="rId123" xr:uid="{00000000-0004-0000-0700-00007A000000}"/>
    <hyperlink ref="N126" r:id="rId124" xr:uid="{00000000-0004-0000-0700-00007B000000}"/>
    <hyperlink ref="N127" r:id="rId125" xr:uid="{00000000-0004-0000-0700-00007C000000}"/>
    <hyperlink ref="N128" r:id="rId126" xr:uid="{00000000-0004-0000-0700-00007D000000}"/>
    <hyperlink ref="N129" r:id="rId127" xr:uid="{00000000-0004-0000-0700-00007E000000}"/>
    <hyperlink ref="N130" r:id="rId128" xr:uid="{00000000-0004-0000-0700-00007F000000}"/>
    <hyperlink ref="N131" r:id="rId129" xr:uid="{00000000-0004-0000-0700-000080000000}"/>
    <hyperlink ref="N132" r:id="rId130" xr:uid="{00000000-0004-0000-0700-000081000000}"/>
    <hyperlink ref="N133" r:id="rId131" xr:uid="{00000000-0004-0000-0700-000082000000}"/>
    <hyperlink ref="N134" r:id="rId132" xr:uid="{00000000-0004-0000-0700-000083000000}"/>
    <hyperlink ref="N135" r:id="rId133" xr:uid="{00000000-0004-0000-0700-000084000000}"/>
    <hyperlink ref="N136" r:id="rId134" xr:uid="{00000000-0004-0000-0700-000085000000}"/>
    <hyperlink ref="N137" r:id="rId135" xr:uid="{00000000-0004-0000-0700-000086000000}"/>
    <hyperlink ref="N138" r:id="rId136" xr:uid="{00000000-0004-0000-0700-000087000000}"/>
    <hyperlink ref="N139" r:id="rId137" xr:uid="{00000000-0004-0000-0700-000088000000}"/>
    <hyperlink ref="N140" r:id="rId138" xr:uid="{00000000-0004-0000-0700-000089000000}"/>
    <hyperlink ref="N141" r:id="rId139" xr:uid="{00000000-0004-0000-0700-00008A000000}"/>
    <hyperlink ref="N142" r:id="rId140" xr:uid="{00000000-0004-0000-0700-00008B000000}"/>
    <hyperlink ref="N143" r:id="rId141" xr:uid="{00000000-0004-0000-0700-00008C000000}"/>
    <hyperlink ref="N144" r:id="rId142" xr:uid="{00000000-0004-0000-0700-00008D000000}"/>
    <hyperlink ref="N145" r:id="rId143" xr:uid="{00000000-0004-0000-0700-00008E000000}"/>
    <hyperlink ref="N146" r:id="rId144" xr:uid="{00000000-0004-0000-0700-00008F000000}"/>
    <hyperlink ref="N147" r:id="rId145" xr:uid="{00000000-0004-0000-0700-000090000000}"/>
    <hyperlink ref="N148" r:id="rId146" xr:uid="{00000000-0004-0000-0700-000091000000}"/>
    <hyperlink ref="N149" r:id="rId147" xr:uid="{00000000-0004-0000-0700-000092000000}"/>
    <hyperlink ref="N150" r:id="rId148" xr:uid="{00000000-0004-0000-0700-000093000000}"/>
    <hyperlink ref="N151" r:id="rId149" xr:uid="{00000000-0004-0000-0700-000094000000}"/>
    <hyperlink ref="N152" r:id="rId150" xr:uid="{00000000-0004-0000-0700-000095000000}"/>
    <hyperlink ref="N153" r:id="rId151" xr:uid="{00000000-0004-0000-0700-000096000000}"/>
    <hyperlink ref="N154" r:id="rId152" xr:uid="{00000000-0004-0000-0700-000097000000}"/>
    <hyperlink ref="N155" r:id="rId153" xr:uid="{00000000-0004-0000-0700-000098000000}"/>
    <hyperlink ref="N156" r:id="rId154" xr:uid="{00000000-0004-0000-0700-000099000000}"/>
    <hyperlink ref="N157" r:id="rId155" xr:uid="{00000000-0004-0000-0700-00009A000000}"/>
    <hyperlink ref="N158" r:id="rId156" xr:uid="{00000000-0004-0000-0700-00009B000000}"/>
    <hyperlink ref="N159" r:id="rId157" xr:uid="{00000000-0004-0000-0700-00009C000000}"/>
    <hyperlink ref="N160" r:id="rId158" xr:uid="{00000000-0004-0000-0700-00009D000000}"/>
    <hyperlink ref="N161" r:id="rId159" xr:uid="{00000000-0004-0000-0700-00009E000000}"/>
    <hyperlink ref="N162" r:id="rId160" xr:uid="{00000000-0004-0000-0700-00009F000000}"/>
    <hyperlink ref="N163" r:id="rId161" xr:uid="{00000000-0004-0000-0700-0000A0000000}"/>
    <hyperlink ref="N164" r:id="rId162" xr:uid="{00000000-0004-0000-0700-0000A1000000}"/>
    <hyperlink ref="N165" r:id="rId163" xr:uid="{00000000-0004-0000-0700-0000A2000000}"/>
    <hyperlink ref="N166" r:id="rId164" xr:uid="{00000000-0004-0000-0700-0000A3000000}"/>
    <hyperlink ref="N167" r:id="rId165" xr:uid="{00000000-0004-0000-0700-0000A4000000}"/>
    <hyperlink ref="N168" r:id="rId166" xr:uid="{00000000-0004-0000-0700-0000A5000000}"/>
    <hyperlink ref="N169" r:id="rId167" xr:uid="{00000000-0004-0000-0700-0000A6000000}"/>
    <hyperlink ref="N170" r:id="rId168" xr:uid="{00000000-0004-0000-0700-0000A7000000}"/>
    <hyperlink ref="N171" r:id="rId169" xr:uid="{00000000-0004-0000-0700-0000A8000000}"/>
    <hyperlink ref="N172" r:id="rId170" xr:uid="{00000000-0004-0000-0700-0000A9000000}"/>
    <hyperlink ref="N173" r:id="rId171" xr:uid="{00000000-0004-0000-0700-0000AA000000}"/>
    <hyperlink ref="N174" r:id="rId172" xr:uid="{00000000-0004-0000-0700-0000AB000000}"/>
    <hyperlink ref="N175" r:id="rId173" xr:uid="{00000000-0004-0000-0700-0000AC000000}"/>
    <hyperlink ref="N176" r:id="rId174" xr:uid="{00000000-0004-0000-0700-0000AD000000}"/>
    <hyperlink ref="N177" r:id="rId175" xr:uid="{00000000-0004-0000-0700-0000AE000000}"/>
    <hyperlink ref="N178" r:id="rId176" xr:uid="{00000000-0004-0000-0700-0000AF000000}"/>
    <hyperlink ref="N179" r:id="rId177" xr:uid="{00000000-0004-0000-0700-0000B0000000}"/>
    <hyperlink ref="N180" r:id="rId178" xr:uid="{00000000-0004-0000-0700-0000B1000000}"/>
    <hyperlink ref="N181" r:id="rId179" xr:uid="{00000000-0004-0000-0700-0000B2000000}"/>
    <hyperlink ref="N182" r:id="rId180" xr:uid="{00000000-0004-0000-0700-0000B3000000}"/>
    <hyperlink ref="N183" r:id="rId181" xr:uid="{00000000-0004-0000-0700-0000B4000000}"/>
    <hyperlink ref="N184" r:id="rId182" xr:uid="{00000000-0004-0000-0700-0000B5000000}"/>
    <hyperlink ref="N185" r:id="rId183" xr:uid="{00000000-0004-0000-0700-0000B6000000}"/>
    <hyperlink ref="N186" r:id="rId184" xr:uid="{00000000-0004-0000-0700-0000B7000000}"/>
    <hyperlink ref="N187" r:id="rId185" xr:uid="{00000000-0004-0000-0700-0000B8000000}"/>
    <hyperlink ref="N188" r:id="rId186" xr:uid="{00000000-0004-0000-0700-0000B9000000}"/>
    <hyperlink ref="N189" r:id="rId187" xr:uid="{00000000-0004-0000-0700-0000BA000000}"/>
    <hyperlink ref="N190" r:id="rId188" xr:uid="{00000000-0004-0000-0700-0000BB000000}"/>
    <hyperlink ref="N191" r:id="rId189" xr:uid="{00000000-0004-0000-0700-0000BC000000}"/>
    <hyperlink ref="N192" r:id="rId190" xr:uid="{00000000-0004-0000-0700-0000BD000000}"/>
    <hyperlink ref="N193" r:id="rId191" xr:uid="{00000000-0004-0000-0700-0000BE000000}"/>
    <hyperlink ref="N194" r:id="rId192" xr:uid="{00000000-0004-0000-0700-0000BF000000}"/>
    <hyperlink ref="N195" r:id="rId193" xr:uid="{00000000-0004-0000-0700-0000C0000000}"/>
    <hyperlink ref="N196" r:id="rId194" xr:uid="{00000000-0004-0000-0700-0000C1000000}"/>
    <hyperlink ref="N197" r:id="rId195" xr:uid="{00000000-0004-0000-0700-0000C2000000}"/>
    <hyperlink ref="N198" r:id="rId196" xr:uid="{00000000-0004-0000-0700-0000C3000000}"/>
    <hyperlink ref="N199" r:id="rId197" xr:uid="{00000000-0004-0000-0700-0000C4000000}"/>
    <hyperlink ref="N200" r:id="rId198" xr:uid="{00000000-0004-0000-0700-0000C5000000}"/>
    <hyperlink ref="N201" r:id="rId199" xr:uid="{00000000-0004-0000-0700-0000C6000000}"/>
    <hyperlink ref="N202" r:id="rId200" xr:uid="{00000000-0004-0000-0700-0000C7000000}"/>
    <hyperlink ref="N203" r:id="rId201" xr:uid="{00000000-0004-0000-0700-0000C8000000}"/>
    <hyperlink ref="N204" r:id="rId202" xr:uid="{00000000-0004-0000-0700-0000C9000000}"/>
    <hyperlink ref="N205" r:id="rId203" xr:uid="{00000000-0004-0000-0700-0000CA000000}"/>
    <hyperlink ref="N206" r:id="rId204" xr:uid="{00000000-0004-0000-0700-0000CB000000}"/>
    <hyperlink ref="N207" r:id="rId205" xr:uid="{00000000-0004-0000-0700-0000CC000000}"/>
    <hyperlink ref="N208" r:id="rId206" xr:uid="{00000000-0004-0000-0700-0000CD000000}"/>
    <hyperlink ref="N209" r:id="rId207" xr:uid="{00000000-0004-0000-0700-0000CE000000}"/>
    <hyperlink ref="N210" r:id="rId208" xr:uid="{00000000-0004-0000-0700-0000CF000000}"/>
    <hyperlink ref="N211" r:id="rId209" xr:uid="{00000000-0004-0000-0700-0000D0000000}"/>
    <hyperlink ref="N212" r:id="rId210" xr:uid="{00000000-0004-0000-0700-0000D1000000}"/>
    <hyperlink ref="N213" r:id="rId211" xr:uid="{00000000-0004-0000-0700-0000D2000000}"/>
    <hyperlink ref="N214" r:id="rId212" xr:uid="{00000000-0004-0000-0700-0000D3000000}"/>
    <hyperlink ref="N215" r:id="rId213" xr:uid="{00000000-0004-0000-0700-0000D4000000}"/>
    <hyperlink ref="N216" r:id="rId214" xr:uid="{00000000-0004-0000-0700-0000D5000000}"/>
    <hyperlink ref="N217" r:id="rId215" xr:uid="{00000000-0004-0000-0700-0000D6000000}"/>
    <hyperlink ref="N218" r:id="rId216" xr:uid="{00000000-0004-0000-0700-0000D7000000}"/>
    <hyperlink ref="N219" r:id="rId217" xr:uid="{00000000-0004-0000-0700-0000D8000000}"/>
    <hyperlink ref="N220" r:id="rId218" xr:uid="{00000000-0004-0000-0700-0000D9000000}"/>
    <hyperlink ref="N221" r:id="rId219" xr:uid="{00000000-0004-0000-0700-0000DA000000}"/>
    <hyperlink ref="N222" r:id="rId220" xr:uid="{00000000-0004-0000-0700-0000DB000000}"/>
    <hyperlink ref="N223" r:id="rId221" xr:uid="{00000000-0004-0000-0700-0000DC000000}"/>
    <hyperlink ref="N224" r:id="rId222" xr:uid="{00000000-0004-0000-0700-0000DD000000}"/>
    <hyperlink ref="N225" r:id="rId223" xr:uid="{00000000-0004-0000-0700-0000DE000000}"/>
    <hyperlink ref="N226" r:id="rId224" xr:uid="{00000000-0004-0000-0700-0000DF000000}"/>
    <hyperlink ref="N227" r:id="rId225" xr:uid="{00000000-0004-0000-0700-0000E0000000}"/>
    <hyperlink ref="N228" r:id="rId226" xr:uid="{00000000-0004-0000-0700-0000E1000000}"/>
    <hyperlink ref="N229" r:id="rId227" xr:uid="{00000000-0004-0000-0700-0000E2000000}"/>
    <hyperlink ref="N230" r:id="rId228" xr:uid="{00000000-0004-0000-0700-0000E3000000}"/>
    <hyperlink ref="N231" r:id="rId229" xr:uid="{00000000-0004-0000-0700-0000E4000000}"/>
    <hyperlink ref="N232" r:id="rId230" xr:uid="{00000000-0004-0000-0700-0000E5000000}"/>
    <hyperlink ref="N233" r:id="rId231" xr:uid="{00000000-0004-0000-0700-0000E6000000}"/>
    <hyperlink ref="N234" r:id="rId232" xr:uid="{00000000-0004-0000-0700-0000E7000000}"/>
    <hyperlink ref="N235" r:id="rId233" xr:uid="{00000000-0004-0000-0700-0000E8000000}"/>
    <hyperlink ref="N236" r:id="rId234" xr:uid="{00000000-0004-0000-0700-0000E9000000}"/>
    <hyperlink ref="N237" r:id="rId235" xr:uid="{00000000-0004-0000-0700-0000EA000000}"/>
    <hyperlink ref="N238" r:id="rId236" xr:uid="{00000000-0004-0000-0700-0000EB000000}"/>
    <hyperlink ref="N239" r:id="rId237" xr:uid="{00000000-0004-0000-0700-0000EC000000}"/>
    <hyperlink ref="N240" r:id="rId238" xr:uid="{00000000-0004-0000-0700-0000ED000000}"/>
    <hyperlink ref="N241" r:id="rId239" xr:uid="{00000000-0004-0000-0700-0000EE000000}"/>
    <hyperlink ref="N242" r:id="rId240" xr:uid="{00000000-0004-0000-0700-0000EF000000}"/>
    <hyperlink ref="N243" r:id="rId241" xr:uid="{00000000-0004-0000-0700-0000F0000000}"/>
    <hyperlink ref="N244" r:id="rId242" xr:uid="{00000000-0004-0000-0700-0000F1000000}"/>
    <hyperlink ref="N245" r:id="rId243" xr:uid="{00000000-0004-0000-0700-0000F2000000}"/>
    <hyperlink ref="N246" r:id="rId244" xr:uid="{00000000-0004-0000-0700-0000F3000000}"/>
    <hyperlink ref="N247" r:id="rId245" xr:uid="{00000000-0004-0000-0700-0000F4000000}"/>
    <hyperlink ref="N248" r:id="rId246" xr:uid="{00000000-0004-0000-0700-0000F5000000}"/>
    <hyperlink ref="N249" r:id="rId247" xr:uid="{00000000-0004-0000-0700-0000F6000000}"/>
    <hyperlink ref="N250" r:id="rId248" xr:uid="{00000000-0004-0000-0700-0000F7000000}"/>
    <hyperlink ref="N251" r:id="rId249" xr:uid="{00000000-0004-0000-0700-0000F8000000}"/>
    <hyperlink ref="N252" r:id="rId250" xr:uid="{00000000-0004-0000-0700-0000F9000000}"/>
    <hyperlink ref="N253" r:id="rId251" xr:uid="{00000000-0004-0000-0700-0000FA000000}"/>
    <hyperlink ref="N254" r:id="rId252" xr:uid="{00000000-0004-0000-0700-0000FB000000}"/>
    <hyperlink ref="N255" r:id="rId253" xr:uid="{00000000-0004-0000-0700-0000FC000000}"/>
    <hyperlink ref="N256" r:id="rId254" xr:uid="{00000000-0004-0000-0700-0000FD000000}"/>
    <hyperlink ref="N257" r:id="rId255" xr:uid="{00000000-0004-0000-0700-0000FE000000}"/>
    <hyperlink ref="N258" r:id="rId256" xr:uid="{00000000-0004-0000-0700-0000FF000000}"/>
    <hyperlink ref="N259" r:id="rId257" xr:uid="{00000000-0004-0000-0700-000000010000}"/>
    <hyperlink ref="N260" r:id="rId258" xr:uid="{00000000-0004-0000-0700-000001010000}"/>
    <hyperlink ref="N261" r:id="rId259" xr:uid="{00000000-0004-0000-0700-000002010000}"/>
    <hyperlink ref="N262" r:id="rId260" xr:uid="{00000000-0004-0000-0700-000003010000}"/>
    <hyperlink ref="N263" r:id="rId261" xr:uid="{00000000-0004-0000-0700-000004010000}"/>
    <hyperlink ref="N264" r:id="rId262" xr:uid="{00000000-0004-0000-0700-000005010000}"/>
    <hyperlink ref="N265" r:id="rId263" xr:uid="{00000000-0004-0000-0700-000006010000}"/>
    <hyperlink ref="N266" r:id="rId264" xr:uid="{00000000-0004-0000-0700-000007010000}"/>
    <hyperlink ref="N267" r:id="rId265" xr:uid="{00000000-0004-0000-0700-000008010000}"/>
    <hyperlink ref="N268" r:id="rId266" xr:uid="{00000000-0004-0000-0700-000009010000}"/>
    <hyperlink ref="N269" r:id="rId267" xr:uid="{00000000-0004-0000-0700-00000A010000}"/>
    <hyperlink ref="N270" r:id="rId268" xr:uid="{00000000-0004-0000-0700-00000B010000}"/>
    <hyperlink ref="N271" r:id="rId269" xr:uid="{00000000-0004-0000-0700-00000C010000}"/>
    <hyperlink ref="N272" r:id="rId270" xr:uid="{00000000-0004-0000-0700-00000D010000}"/>
    <hyperlink ref="N273" r:id="rId271" xr:uid="{00000000-0004-0000-0700-00000E010000}"/>
    <hyperlink ref="N274" r:id="rId272" xr:uid="{00000000-0004-0000-0700-00000F010000}"/>
    <hyperlink ref="N275" r:id="rId273" xr:uid="{00000000-0004-0000-0700-000010010000}"/>
    <hyperlink ref="N276" r:id="rId274" xr:uid="{00000000-0004-0000-0700-000011010000}"/>
    <hyperlink ref="N277" r:id="rId275" xr:uid="{00000000-0004-0000-0700-000012010000}"/>
    <hyperlink ref="N278" r:id="rId276" xr:uid="{00000000-0004-0000-0700-000013010000}"/>
    <hyperlink ref="N279" r:id="rId277" xr:uid="{00000000-0004-0000-0700-000014010000}"/>
    <hyperlink ref="N280" r:id="rId278" xr:uid="{00000000-0004-0000-0700-000015010000}"/>
    <hyperlink ref="N281" r:id="rId279" xr:uid="{00000000-0004-0000-0700-000016010000}"/>
    <hyperlink ref="N282" r:id="rId280" xr:uid="{00000000-0004-0000-0700-000017010000}"/>
    <hyperlink ref="N283" r:id="rId281" xr:uid="{00000000-0004-0000-0700-000018010000}"/>
    <hyperlink ref="N284" r:id="rId282" xr:uid="{00000000-0004-0000-0700-000019010000}"/>
    <hyperlink ref="N285" r:id="rId283" xr:uid="{00000000-0004-0000-0700-00001A010000}"/>
    <hyperlink ref="N286" r:id="rId284" xr:uid="{00000000-0004-0000-0700-00001B010000}"/>
    <hyperlink ref="N287" r:id="rId285" xr:uid="{00000000-0004-0000-0700-00001C010000}"/>
    <hyperlink ref="N288" r:id="rId286" xr:uid="{00000000-0004-0000-0700-00001D010000}"/>
    <hyperlink ref="N289" r:id="rId287" xr:uid="{00000000-0004-0000-0700-00001E010000}"/>
    <hyperlink ref="N290" r:id="rId288" xr:uid="{00000000-0004-0000-0700-00001F010000}"/>
    <hyperlink ref="N291" r:id="rId289" xr:uid="{00000000-0004-0000-0700-000020010000}"/>
    <hyperlink ref="N292" r:id="rId290" xr:uid="{00000000-0004-0000-0700-000021010000}"/>
    <hyperlink ref="N293" r:id="rId291" xr:uid="{00000000-0004-0000-0700-000022010000}"/>
    <hyperlink ref="N294" r:id="rId292" xr:uid="{00000000-0004-0000-0700-000023010000}"/>
    <hyperlink ref="N295" r:id="rId293" xr:uid="{00000000-0004-0000-0700-000024010000}"/>
    <hyperlink ref="N296" r:id="rId294" xr:uid="{00000000-0004-0000-0700-000025010000}"/>
    <hyperlink ref="N297" r:id="rId295" xr:uid="{00000000-0004-0000-0700-000026010000}"/>
    <hyperlink ref="N298" r:id="rId296" xr:uid="{00000000-0004-0000-0700-000027010000}"/>
    <hyperlink ref="N299" r:id="rId297" xr:uid="{00000000-0004-0000-0700-000028010000}"/>
    <hyperlink ref="N300" r:id="rId298" xr:uid="{00000000-0004-0000-0700-000029010000}"/>
    <hyperlink ref="N301" r:id="rId299" xr:uid="{00000000-0004-0000-0700-00002A010000}"/>
    <hyperlink ref="N302" r:id="rId300" xr:uid="{00000000-0004-0000-0700-00002B010000}"/>
    <hyperlink ref="N304" r:id="rId301" xr:uid="{00000000-0004-0000-0700-00002C010000}"/>
    <hyperlink ref="N305" r:id="rId302" xr:uid="{00000000-0004-0000-0700-00002D010000}"/>
    <hyperlink ref="N306" r:id="rId303" xr:uid="{00000000-0004-0000-0700-00002E010000}"/>
    <hyperlink ref="N307" r:id="rId304" xr:uid="{00000000-0004-0000-0700-00002F010000}"/>
    <hyperlink ref="N308" r:id="rId305" xr:uid="{00000000-0004-0000-0700-000030010000}"/>
    <hyperlink ref="N309" r:id="rId306" xr:uid="{00000000-0004-0000-0700-000031010000}"/>
    <hyperlink ref="N310" r:id="rId307" xr:uid="{00000000-0004-0000-0700-000032010000}"/>
    <hyperlink ref="N311" r:id="rId308" xr:uid="{00000000-0004-0000-0700-000033010000}"/>
    <hyperlink ref="N312" r:id="rId309" xr:uid="{00000000-0004-0000-0700-000034010000}"/>
    <hyperlink ref="N313" r:id="rId310" xr:uid="{00000000-0004-0000-0700-000035010000}"/>
    <hyperlink ref="N314" r:id="rId311" xr:uid="{00000000-0004-0000-0700-000036010000}"/>
    <hyperlink ref="N315" r:id="rId312" xr:uid="{00000000-0004-0000-0700-000037010000}"/>
    <hyperlink ref="N316" r:id="rId313" xr:uid="{00000000-0004-0000-0700-000038010000}"/>
    <hyperlink ref="N317" r:id="rId314" xr:uid="{00000000-0004-0000-0700-000039010000}"/>
    <hyperlink ref="N318" r:id="rId315" xr:uid="{00000000-0004-0000-0700-00003A010000}"/>
    <hyperlink ref="N319" r:id="rId316" xr:uid="{00000000-0004-0000-0700-00003B010000}"/>
    <hyperlink ref="N320" r:id="rId317" xr:uid="{00000000-0004-0000-0700-00003C010000}"/>
    <hyperlink ref="N321" r:id="rId318" xr:uid="{00000000-0004-0000-0700-00003D010000}"/>
    <hyperlink ref="N322" r:id="rId319" xr:uid="{00000000-0004-0000-0700-00003E010000}"/>
    <hyperlink ref="N323" r:id="rId320" xr:uid="{00000000-0004-0000-0700-00003F010000}"/>
    <hyperlink ref="N324" r:id="rId321" xr:uid="{00000000-0004-0000-0700-000040010000}"/>
    <hyperlink ref="N325" r:id="rId322" xr:uid="{00000000-0004-0000-0700-000041010000}"/>
    <hyperlink ref="N326" r:id="rId323" xr:uid="{00000000-0004-0000-0700-000042010000}"/>
    <hyperlink ref="N327" r:id="rId324" xr:uid="{00000000-0004-0000-0700-000043010000}"/>
    <hyperlink ref="N329" r:id="rId325" xr:uid="{00000000-0004-0000-0700-000044010000}"/>
    <hyperlink ref="N330" r:id="rId326" xr:uid="{00000000-0004-0000-0700-000045010000}"/>
    <hyperlink ref="N331" r:id="rId327" xr:uid="{00000000-0004-0000-0700-000046010000}"/>
    <hyperlink ref="N332" r:id="rId328" xr:uid="{00000000-0004-0000-0700-000047010000}"/>
    <hyperlink ref="N333" r:id="rId329" xr:uid="{00000000-0004-0000-0700-000048010000}"/>
    <hyperlink ref="N334" r:id="rId330" xr:uid="{00000000-0004-0000-0700-000049010000}"/>
    <hyperlink ref="N335" r:id="rId331" xr:uid="{00000000-0004-0000-0700-00004A010000}"/>
    <hyperlink ref="N336" r:id="rId332" xr:uid="{00000000-0004-0000-0700-00004B010000}"/>
    <hyperlink ref="N337" r:id="rId333" xr:uid="{00000000-0004-0000-0700-00004C010000}"/>
    <hyperlink ref="N338" r:id="rId334" xr:uid="{00000000-0004-0000-0700-00004D010000}"/>
    <hyperlink ref="N339" r:id="rId335" xr:uid="{00000000-0004-0000-0700-00004E010000}"/>
    <hyperlink ref="N340" r:id="rId336" xr:uid="{00000000-0004-0000-0700-00004F010000}"/>
    <hyperlink ref="N341" r:id="rId337" xr:uid="{00000000-0004-0000-0700-000050010000}"/>
    <hyperlink ref="N342" r:id="rId338" xr:uid="{00000000-0004-0000-0700-000051010000}"/>
    <hyperlink ref="N343" r:id="rId339" xr:uid="{00000000-0004-0000-0700-000052010000}"/>
    <hyperlink ref="N344" r:id="rId340" xr:uid="{00000000-0004-0000-0700-000053010000}"/>
    <hyperlink ref="N345" r:id="rId341" xr:uid="{00000000-0004-0000-0700-000054010000}"/>
    <hyperlink ref="N346" r:id="rId342" xr:uid="{00000000-0004-0000-0700-000055010000}"/>
    <hyperlink ref="N347" r:id="rId343" xr:uid="{00000000-0004-0000-0700-000056010000}"/>
    <hyperlink ref="N348" r:id="rId344" xr:uid="{00000000-0004-0000-0700-000057010000}"/>
    <hyperlink ref="N349" r:id="rId345" xr:uid="{00000000-0004-0000-0700-000058010000}"/>
    <hyperlink ref="N350" r:id="rId346" xr:uid="{00000000-0004-0000-0700-000059010000}"/>
    <hyperlink ref="N351" r:id="rId347" xr:uid="{00000000-0004-0000-0700-00005A010000}"/>
    <hyperlink ref="N352" r:id="rId348" xr:uid="{00000000-0004-0000-0700-00005B010000}"/>
    <hyperlink ref="N353" r:id="rId349" xr:uid="{00000000-0004-0000-0700-00005C010000}"/>
    <hyperlink ref="N354" r:id="rId350" xr:uid="{00000000-0004-0000-0700-00005D010000}"/>
    <hyperlink ref="N355" r:id="rId351" xr:uid="{00000000-0004-0000-0700-00005E010000}"/>
    <hyperlink ref="N356" r:id="rId352" xr:uid="{00000000-0004-0000-0700-00005F010000}"/>
    <hyperlink ref="N357" r:id="rId353" xr:uid="{00000000-0004-0000-0700-000060010000}"/>
    <hyperlink ref="N358" r:id="rId354" xr:uid="{00000000-0004-0000-0700-000061010000}"/>
    <hyperlink ref="N359" r:id="rId355" xr:uid="{00000000-0004-0000-0700-000062010000}"/>
    <hyperlink ref="N360" r:id="rId356" xr:uid="{00000000-0004-0000-0700-000063010000}"/>
    <hyperlink ref="N361" r:id="rId357" xr:uid="{00000000-0004-0000-0700-000064010000}"/>
    <hyperlink ref="N362" r:id="rId358" xr:uid="{00000000-0004-0000-0700-000065010000}"/>
    <hyperlink ref="N363" r:id="rId359" xr:uid="{00000000-0004-0000-0700-000066010000}"/>
    <hyperlink ref="N364" r:id="rId360" xr:uid="{00000000-0004-0000-0700-000067010000}"/>
    <hyperlink ref="N365" r:id="rId361" xr:uid="{00000000-0004-0000-0700-000068010000}"/>
    <hyperlink ref="N366" r:id="rId362" xr:uid="{00000000-0004-0000-0700-000069010000}"/>
    <hyperlink ref="N367" r:id="rId363" xr:uid="{00000000-0004-0000-0700-00006A010000}"/>
    <hyperlink ref="N368" r:id="rId364" xr:uid="{00000000-0004-0000-0700-00006B010000}"/>
    <hyperlink ref="N369" r:id="rId365" xr:uid="{00000000-0004-0000-0700-00006C010000}"/>
    <hyperlink ref="N370" r:id="rId366" xr:uid="{00000000-0004-0000-0700-00006D010000}"/>
    <hyperlink ref="N371" r:id="rId367" xr:uid="{00000000-0004-0000-0700-00006E010000}"/>
    <hyperlink ref="N372" r:id="rId368" xr:uid="{00000000-0004-0000-0700-00006F010000}"/>
    <hyperlink ref="N373" r:id="rId369" xr:uid="{00000000-0004-0000-0700-000070010000}"/>
    <hyperlink ref="N374" r:id="rId370" xr:uid="{00000000-0004-0000-0700-000071010000}"/>
    <hyperlink ref="N375" r:id="rId371" xr:uid="{00000000-0004-0000-0700-000072010000}"/>
    <hyperlink ref="N377" r:id="rId372" xr:uid="{00000000-0004-0000-0700-000073010000}"/>
    <hyperlink ref="N378" r:id="rId373" xr:uid="{00000000-0004-0000-0700-000074010000}"/>
    <hyperlink ref="N379" r:id="rId374" xr:uid="{00000000-0004-0000-0700-000075010000}"/>
    <hyperlink ref="N380" r:id="rId375" xr:uid="{00000000-0004-0000-0700-000076010000}"/>
    <hyperlink ref="N381" r:id="rId376" xr:uid="{00000000-0004-0000-0700-000077010000}"/>
    <hyperlink ref="N382" r:id="rId377" xr:uid="{00000000-0004-0000-0700-000078010000}"/>
    <hyperlink ref="N383" r:id="rId378" xr:uid="{00000000-0004-0000-0700-000079010000}"/>
    <hyperlink ref="N384" r:id="rId379" xr:uid="{00000000-0004-0000-0700-00007A010000}"/>
    <hyperlink ref="N385" r:id="rId380" xr:uid="{00000000-0004-0000-0700-00007B010000}"/>
    <hyperlink ref="N386" r:id="rId381" xr:uid="{00000000-0004-0000-0700-00007C010000}"/>
    <hyperlink ref="N387" r:id="rId382" xr:uid="{00000000-0004-0000-0700-00007D010000}"/>
    <hyperlink ref="N388" r:id="rId383" xr:uid="{00000000-0004-0000-0700-00007E010000}"/>
    <hyperlink ref="N389" r:id="rId384" xr:uid="{00000000-0004-0000-0700-00007F010000}"/>
    <hyperlink ref="N390" r:id="rId385" xr:uid="{00000000-0004-0000-0700-000080010000}"/>
    <hyperlink ref="N391" r:id="rId386" xr:uid="{00000000-0004-0000-0700-000081010000}"/>
    <hyperlink ref="N392" r:id="rId387" xr:uid="{00000000-0004-0000-0700-000082010000}"/>
    <hyperlink ref="N394" r:id="rId388" xr:uid="{00000000-0004-0000-0700-000083010000}"/>
    <hyperlink ref="N395" r:id="rId389" xr:uid="{00000000-0004-0000-0700-000084010000}"/>
    <hyperlink ref="N396" r:id="rId390" xr:uid="{00000000-0004-0000-0700-000085010000}"/>
    <hyperlink ref="N397" r:id="rId391" xr:uid="{00000000-0004-0000-0700-000086010000}"/>
    <hyperlink ref="N398" r:id="rId392" xr:uid="{00000000-0004-0000-0700-000087010000}"/>
    <hyperlink ref="N399" r:id="rId393" xr:uid="{00000000-0004-0000-0700-000088010000}"/>
    <hyperlink ref="N400" r:id="rId394" xr:uid="{00000000-0004-0000-0700-000089010000}"/>
    <hyperlink ref="N401" r:id="rId395" xr:uid="{00000000-0004-0000-0700-00008A010000}"/>
    <hyperlink ref="N402" r:id="rId396" xr:uid="{00000000-0004-0000-0700-00008B010000}"/>
    <hyperlink ref="N403" r:id="rId397" xr:uid="{00000000-0004-0000-0700-00008C010000}"/>
    <hyperlink ref="N404" r:id="rId398" xr:uid="{00000000-0004-0000-0700-00008D010000}"/>
    <hyperlink ref="N405" r:id="rId399" xr:uid="{00000000-0004-0000-0700-00008E010000}"/>
    <hyperlink ref="N406" r:id="rId400" xr:uid="{00000000-0004-0000-0700-00008F010000}"/>
    <hyperlink ref="N407" r:id="rId401" xr:uid="{00000000-0004-0000-0700-000090010000}"/>
    <hyperlink ref="N408" r:id="rId402" xr:uid="{00000000-0004-0000-0700-000091010000}"/>
    <hyperlink ref="N409" r:id="rId403" xr:uid="{00000000-0004-0000-0700-000092010000}"/>
    <hyperlink ref="N410" r:id="rId404" xr:uid="{00000000-0004-0000-0700-000093010000}"/>
    <hyperlink ref="N411" r:id="rId405" xr:uid="{00000000-0004-0000-0700-000094010000}"/>
    <hyperlink ref="N412" r:id="rId406" xr:uid="{00000000-0004-0000-0700-000095010000}"/>
    <hyperlink ref="N413" r:id="rId407" xr:uid="{00000000-0004-0000-0700-000096010000}"/>
    <hyperlink ref="N414" r:id="rId408" xr:uid="{00000000-0004-0000-0700-000097010000}"/>
    <hyperlink ref="N415" r:id="rId409" xr:uid="{00000000-0004-0000-0700-000098010000}"/>
    <hyperlink ref="N416" r:id="rId410" xr:uid="{00000000-0004-0000-0700-000099010000}"/>
    <hyperlink ref="N417" r:id="rId411" xr:uid="{00000000-0004-0000-0700-00009A010000}"/>
    <hyperlink ref="N418" r:id="rId412" xr:uid="{00000000-0004-0000-0700-00009B010000}"/>
    <hyperlink ref="N419" r:id="rId413" xr:uid="{00000000-0004-0000-0700-00009C010000}"/>
    <hyperlink ref="N420" r:id="rId414" xr:uid="{00000000-0004-0000-0700-00009D010000}"/>
    <hyperlink ref="N421" r:id="rId415" xr:uid="{00000000-0004-0000-0700-00009E010000}"/>
    <hyperlink ref="N422" r:id="rId416" xr:uid="{00000000-0004-0000-0700-00009F010000}"/>
    <hyperlink ref="N423" r:id="rId417" xr:uid="{00000000-0004-0000-0700-0000A0010000}"/>
    <hyperlink ref="N424" r:id="rId418" xr:uid="{00000000-0004-0000-0700-0000A1010000}"/>
    <hyperlink ref="N425" r:id="rId419" xr:uid="{00000000-0004-0000-0700-0000A2010000}"/>
    <hyperlink ref="N426" r:id="rId420" xr:uid="{00000000-0004-0000-0700-0000A3010000}"/>
    <hyperlink ref="N427" r:id="rId421" xr:uid="{00000000-0004-0000-0700-0000A4010000}"/>
    <hyperlink ref="N428" r:id="rId422" xr:uid="{00000000-0004-0000-0700-0000A5010000}"/>
    <hyperlink ref="N429" r:id="rId423" xr:uid="{00000000-0004-0000-0700-0000A6010000}"/>
    <hyperlink ref="N430" r:id="rId424" xr:uid="{00000000-0004-0000-0700-0000A7010000}"/>
    <hyperlink ref="N431" r:id="rId425" xr:uid="{00000000-0004-0000-0700-0000A8010000}"/>
    <hyperlink ref="N432" r:id="rId426" xr:uid="{00000000-0004-0000-0700-0000A9010000}"/>
    <hyperlink ref="N433" r:id="rId427" xr:uid="{00000000-0004-0000-0700-0000AA010000}"/>
    <hyperlink ref="N434" r:id="rId428" xr:uid="{00000000-0004-0000-0700-0000AB010000}"/>
    <hyperlink ref="N435" r:id="rId429" xr:uid="{00000000-0004-0000-0700-0000AC010000}"/>
    <hyperlink ref="N436" r:id="rId430" xr:uid="{00000000-0004-0000-0700-0000AD010000}"/>
    <hyperlink ref="N437" r:id="rId431" xr:uid="{00000000-0004-0000-0700-0000AE010000}"/>
    <hyperlink ref="N438" r:id="rId432" xr:uid="{00000000-0004-0000-0700-0000AF010000}"/>
    <hyperlink ref="N439" r:id="rId433" xr:uid="{00000000-0004-0000-0700-0000B0010000}"/>
    <hyperlink ref="N440" r:id="rId434" xr:uid="{00000000-0004-0000-0700-0000B1010000}"/>
    <hyperlink ref="N441" r:id="rId435" xr:uid="{00000000-0004-0000-0700-0000B2010000}"/>
    <hyperlink ref="N442" r:id="rId436" xr:uid="{00000000-0004-0000-0700-0000B3010000}"/>
    <hyperlink ref="N443" r:id="rId437" xr:uid="{00000000-0004-0000-0700-0000B4010000}"/>
    <hyperlink ref="N444" r:id="rId438" xr:uid="{00000000-0004-0000-0700-0000B5010000}"/>
    <hyperlink ref="N445" r:id="rId439" xr:uid="{00000000-0004-0000-0700-0000B6010000}"/>
    <hyperlink ref="N446" r:id="rId440" xr:uid="{00000000-0004-0000-0700-0000B7010000}"/>
    <hyperlink ref="N447" r:id="rId441" xr:uid="{00000000-0004-0000-0700-0000B8010000}"/>
    <hyperlink ref="N448" r:id="rId442" xr:uid="{00000000-0004-0000-0700-0000B9010000}"/>
    <hyperlink ref="N449" r:id="rId443" xr:uid="{00000000-0004-0000-0700-0000BA010000}"/>
    <hyperlink ref="N450" r:id="rId444" xr:uid="{00000000-0004-0000-0700-0000BB010000}"/>
    <hyperlink ref="N451" r:id="rId445" xr:uid="{00000000-0004-0000-0700-0000BC010000}"/>
    <hyperlink ref="N452" r:id="rId446" xr:uid="{00000000-0004-0000-0700-0000BD010000}"/>
    <hyperlink ref="N453" r:id="rId447" xr:uid="{00000000-0004-0000-0700-0000BE010000}"/>
    <hyperlink ref="N454" r:id="rId448" xr:uid="{00000000-0004-0000-0700-0000BF010000}"/>
    <hyperlink ref="N455" r:id="rId449" xr:uid="{00000000-0004-0000-0700-0000C0010000}"/>
    <hyperlink ref="N456" r:id="rId450" xr:uid="{00000000-0004-0000-0700-0000C1010000}"/>
    <hyperlink ref="N457" r:id="rId451" xr:uid="{00000000-0004-0000-0700-0000C2010000}"/>
    <hyperlink ref="N458" r:id="rId452" xr:uid="{00000000-0004-0000-0700-0000C3010000}"/>
    <hyperlink ref="N459" r:id="rId453" xr:uid="{00000000-0004-0000-0700-0000C4010000}"/>
    <hyperlink ref="N460" r:id="rId454" xr:uid="{00000000-0004-0000-0700-0000C5010000}"/>
    <hyperlink ref="N461" r:id="rId455" xr:uid="{00000000-0004-0000-0700-0000C6010000}"/>
    <hyperlink ref="N462" r:id="rId456" xr:uid="{00000000-0004-0000-0700-0000C7010000}"/>
    <hyperlink ref="N463" r:id="rId457" xr:uid="{00000000-0004-0000-0700-0000C8010000}"/>
    <hyperlink ref="N464" r:id="rId458" xr:uid="{00000000-0004-0000-0700-0000C9010000}"/>
    <hyperlink ref="N465" r:id="rId459" xr:uid="{00000000-0004-0000-0700-0000CA010000}"/>
    <hyperlink ref="N466" r:id="rId460" xr:uid="{00000000-0004-0000-0700-0000CB010000}"/>
    <hyperlink ref="N467" r:id="rId461" xr:uid="{00000000-0004-0000-0700-0000CC010000}"/>
    <hyperlink ref="N468" r:id="rId462" xr:uid="{00000000-0004-0000-0700-0000CD010000}"/>
    <hyperlink ref="N469" r:id="rId463" xr:uid="{00000000-0004-0000-0700-0000CE010000}"/>
    <hyperlink ref="N470" r:id="rId464" xr:uid="{00000000-0004-0000-0700-0000CF010000}"/>
    <hyperlink ref="N471" r:id="rId465" xr:uid="{00000000-0004-0000-0700-0000D0010000}"/>
    <hyperlink ref="N472" r:id="rId466" xr:uid="{00000000-0004-0000-0700-0000D1010000}"/>
    <hyperlink ref="N474" r:id="rId467" xr:uid="{00000000-0004-0000-0700-0000D2010000}"/>
    <hyperlink ref="N475" r:id="rId468" xr:uid="{00000000-0004-0000-0700-0000D3010000}"/>
    <hyperlink ref="N476" r:id="rId469" xr:uid="{00000000-0004-0000-0700-0000D4010000}"/>
    <hyperlink ref="N477" r:id="rId470" xr:uid="{00000000-0004-0000-0700-0000D5010000}"/>
    <hyperlink ref="N478" r:id="rId471" xr:uid="{00000000-0004-0000-0700-0000D6010000}"/>
    <hyperlink ref="N479" r:id="rId472" xr:uid="{00000000-0004-0000-0700-0000D7010000}"/>
    <hyperlink ref="N480" r:id="rId473" xr:uid="{00000000-0004-0000-0700-0000D8010000}"/>
    <hyperlink ref="N481" r:id="rId474" xr:uid="{00000000-0004-0000-0700-0000D9010000}"/>
    <hyperlink ref="N482" r:id="rId475" xr:uid="{00000000-0004-0000-0700-0000DA010000}"/>
    <hyperlink ref="N483" r:id="rId476" xr:uid="{00000000-0004-0000-0700-0000DB010000}"/>
    <hyperlink ref="N484" r:id="rId477" xr:uid="{00000000-0004-0000-0700-0000DC010000}"/>
    <hyperlink ref="N485" r:id="rId478" xr:uid="{00000000-0004-0000-0700-0000DD010000}"/>
    <hyperlink ref="N486" r:id="rId479" xr:uid="{00000000-0004-0000-0700-0000DE010000}"/>
    <hyperlink ref="N487" r:id="rId480" xr:uid="{00000000-0004-0000-0700-0000DF010000}"/>
    <hyperlink ref="N488" r:id="rId481" xr:uid="{00000000-0004-0000-0700-0000E0010000}"/>
    <hyperlink ref="N489" r:id="rId482" xr:uid="{00000000-0004-0000-0700-0000E1010000}"/>
    <hyperlink ref="N490" r:id="rId483" xr:uid="{00000000-0004-0000-0700-0000E2010000}"/>
    <hyperlink ref="N491" r:id="rId484" xr:uid="{00000000-0004-0000-0700-0000E3010000}"/>
    <hyperlink ref="N492" r:id="rId485" xr:uid="{00000000-0004-0000-0700-0000E4010000}"/>
    <hyperlink ref="N493" r:id="rId486" xr:uid="{00000000-0004-0000-0700-0000E5010000}"/>
    <hyperlink ref="N494" r:id="rId487" xr:uid="{00000000-0004-0000-0700-0000E6010000}"/>
    <hyperlink ref="N495" r:id="rId488" xr:uid="{00000000-0004-0000-0700-0000E7010000}"/>
    <hyperlink ref="N496" r:id="rId489" xr:uid="{00000000-0004-0000-0700-0000E8010000}"/>
    <hyperlink ref="N497" r:id="rId490" xr:uid="{00000000-0004-0000-0700-0000E9010000}"/>
    <hyperlink ref="N498" r:id="rId491" xr:uid="{00000000-0004-0000-0700-0000EA010000}"/>
    <hyperlink ref="N499" r:id="rId492" xr:uid="{00000000-0004-0000-0700-0000EB010000}"/>
    <hyperlink ref="N500" r:id="rId493" xr:uid="{00000000-0004-0000-0700-0000EC010000}"/>
    <hyperlink ref="N501" r:id="rId494" xr:uid="{00000000-0004-0000-0700-0000ED010000}"/>
    <hyperlink ref="N502" r:id="rId495" xr:uid="{00000000-0004-0000-0700-0000EE010000}"/>
    <hyperlink ref="N503" r:id="rId496" xr:uid="{00000000-0004-0000-0700-0000EF010000}"/>
    <hyperlink ref="N504" r:id="rId497" xr:uid="{00000000-0004-0000-0700-0000F0010000}"/>
    <hyperlink ref="N505" r:id="rId498" xr:uid="{00000000-0004-0000-0700-0000F1010000}"/>
    <hyperlink ref="N506" r:id="rId499" xr:uid="{00000000-0004-0000-0700-0000F2010000}"/>
    <hyperlink ref="N507" r:id="rId500" xr:uid="{00000000-0004-0000-0700-0000F3010000}"/>
    <hyperlink ref="N508" r:id="rId501" xr:uid="{00000000-0004-0000-0700-0000F4010000}"/>
    <hyperlink ref="N509" r:id="rId502" xr:uid="{00000000-0004-0000-0700-0000F5010000}"/>
    <hyperlink ref="N510" r:id="rId503" xr:uid="{00000000-0004-0000-0700-0000F6010000}"/>
    <hyperlink ref="N511" r:id="rId504" xr:uid="{00000000-0004-0000-0700-0000F7010000}"/>
    <hyperlink ref="N512" r:id="rId505" xr:uid="{00000000-0004-0000-0700-0000F8010000}"/>
    <hyperlink ref="N513" r:id="rId506" xr:uid="{00000000-0004-0000-0700-0000F9010000}"/>
    <hyperlink ref="N514" r:id="rId507" xr:uid="{00000000-0004-0000-0700-0000FA010000}"/>
    <hyperlink ref="N515" r:id="rId508" xr:uid="{00000000-0004-0000-0700-0000FB010000}"/>
    <hyperlink ref="N516" r:id="rId509" xr:uid="{00000000-0004-0000-0700-0000FC010000}"/>
    <hyperlink ref="N517" r:id="rId510" xr:uid="{00000000-0004-0000-0700-0000FD010000}"/>
    <hyperlink ref="N518" r:id="rId511" xr:uid="{00000000-0004-0000-0700-0000FE010000}"/>
    <hyperlink ref="N519" r:id="rId512" xr:uid="{00000000-0004-0000-0700-0000FF010000}"/>
    <hyperlink ref="N520" r:id="rId513" xr:uid="{00000000-0004-0000-0700-000000020000}"/>
    <hyperlink ref="N521" r:id="rId514" xr:uid="{00000000-0004-0000-0700-000001020000}"/>
    <hyperlink ref="N522" r:id="rId515" xr:uid="{00000000-0004-0000-0700-000002020000}"/>
    <hyperlink ref="N523" r:id="rId516" xr:uid="{00000000-0004-0000-0700-000003020000}"/>
    <hyperlink ref="N524" r:id="rId517" xr:uid="{00000000-0004-0000-0700-000004020000}"/>
    <hyperlink ref="N525" r:id="rId518" xr:uid="{00000000-0004-0000-0700-000005020000}"/>
    <hyperlink ref="N526" r:id="rId519" xr:uid="{00000000-0004-0000-0700-000006020000}"/>
    <hyperlink ref="N527" r:id="rId520" xr:uid="{00000000-0004-0000-0700-000007020000}"/>
    <hyperlink ref="N528" r:id="rId521" xr:uid="{00000000-0004-0000-0700-000008020000}"/>
    <hyperlink ref="N529" r:id="rId522" xr:uid="{00000000-0004-0000-0700-000009020000}"/>
    <hyperlink ref="N530" r:id="rId523" xr:uid="{00000000-0004-0000-0700-00000A020000}"/>
    <hyperlink ref="N531" r:id="rId524" xr:uid="{00000000-0004-0000-0700-00000B020000}"/>
    <hyperlink ref="N532" r:id="rId525" xr:uid="{00000000-0004-0000-0700-00000C020000}"/>
    <hyperlink ref="N533" r:id="rId526" xr:uid="{00000000-0004-0000-0700-00000D020000}"/>
    <hyperlink ref="N534" r:id="rId527" xr:uid="{00000000-0004-0000-0700-00000E020000}"/>
    <hyperlink ref="N535" r:id="rId528" xr:uid="{00000000-0004-0000-0700-00000F020000}"/>
    <hyperlink ref="N536" r:id="rId529" xr:uid="{00000000-0004-0000-0700-000010020000}"/>
    <hyperlink ref="N537" r:id="rId530" xr:uid="{00000000-0004-0000-0700-000011020000}"/>
    <hyperlink ref="N538" r:id="rId531" xr:uid="{00000000-0004-0000-0700-000012020000}"/>
    <hyperlink ref="N539" r:id="rId532" xr:uid="{00000000-0004-0000-0700-000013020000}"/>
    <hyperlink ref="N540" r:id="rId533" xr:uid="{00000000-0004-0000-0700-000014020000}"/>
    <hyperlink ref="N541" r:id="rId534" xr:uid="{00000000-0004-0000-0700-000015020000}"/>
    <hyperlink ref="N542" r:id="rId535" xr:uid="{00000000-0004-0000-0700-000016020000}"/>
    <hyperlink ref="N543" r:id="rId536" xr:uid="{00000000-0004-0000-0700-000017020000}"/>
    <hyperlink ref="N544" r:id="rId537" xr:uid="{00000000-0004-0000-0700-000018020000}"/>
    <hyperlink ref="N545" r:id="rId538" xr:uid="{00000000-0004-0000-0700-000019020000}"/>
    <hyperlink ref="N546" r:id="rId539" xr:uid="{00000000-0004-0000-0700-00001A020000}"/>
    <hyperlink ref="N547" r:id="rId540" xr:uid="{00000000-0004-0000-0700-00001B020000}"/>
    <hyperlink ref="N548" r:id="rId541" xr:uid="{00000000-0004-0000-0700-00001C020000}"/>
    <hyperlink ref="N549" r:id="rId542" xr:uid="{00000000-0004-0000-0700-00001D020000}"/>
    <hyperlink ref="N550" r:id="rId543" xr:uid="{00000000-0004-0000-0700-00001E020000}"/>
    <hyperlink ref="N551" r:id="rId544" xr:uid="{00000000-0004-0000-0700-00001F020000}"/>
    <hyperlink ref="N552" r:id="rId545" xr:uid="{00000000-0004-0000-0700-000020020000}"/>
    <hyperlink ref="N553" r:id="rId546" xr:uid="{00000000-0004-0000-0700-000021020000}"/>
    <hyperlink ref="N555" r:id="rId547" xr:uid="{00000000-0004-0000-0700-000022020000}"/>
    <hyperlink ref="N556" r:id="rId548" xr:uid="{00000000-0004-0000-0700-000023020000}"/>
    <hyperlink ref="N557" r:id="rId549" xr:uid="{00000000-0004-0000-0700-000024020000}"/>
    <hyperlink ref="N558" r:id="rId550" xr:uid="{00000000-0004-0000-0700-000025020000}"/>
    <hyperlink ref="N559" r:id="rId551" xr:uid="{00000000-0004-0000-0700-000026020000}"/>
    <hyperlink ref="N560" r:id="rId552" xr:uid="{00000000-0004-0000-0700-000027020000}"/>
    <hyperlink ref="N561" r:id="rId553" xr:uid="{00000000-0004-0000-0700-000028020000}"/>
    <hyperlink ref="N563" r:id="rId554" xr:uid="{00000000-0004-0000-0700-000029020000}"/>
    <hyperlink ref="N564" r:id="rId555" xr:uid="{00000000-0004-0000-0700-00002A020000}"/>
    <hyperlink ref="N565" r:id="rId556" xr:uid="{00000000-0004-0000-0700-00002B020000}"/>
    <hyperlink ref="N566" r:id="rId557" xr:uid="{00000000-0004-0000-0700-00002C020000}"/>
    <hyperlink ref="N567" r:id="rId558" xr:uid="{00000000-0004-0000-0700-00002D020000}"/>
    <hyperlink ref="N568" r:id="rId559" xr:uid="{00000000-0004-0000-0700-00002E020000}"/>
    <hyperlink ref="N569" r:id="rId560" xr:uid="{00000000-0004-0000-0700-00002F020000}"/>
    <hyperlink ref="N570" r:id="rId561" xr:uid="{00000000-0004-0000-0700-000030020000}"/>
    <hyperlink ref="N571" r:id="rId562" xr:uid="{00000000-0004-0000-0700-000031020000}"/>
    <hyperlink ref="N572" r:id="rId563" xr:uid="{00000000-0004-0000-0700-000032020000}"/>
    <hyperlink ref="N573" r:id="rId564" xr:uid="{00000000-0004-0000-0700-000033020000}"/>
    <hyperlink ref="N574" r:id="rId565" xr:uid="{00000000-0004-0000-0700-000034020000}"/>
    <hyperlink ref="N575" r:id="rId566" xr:uid="{00000000-0004-0000-0700-000035020000}"/>
    <hyperlink ref="N576" r:id="rId567" xr:uid="{00000000-0004-0000-0700-000036020000}"/>
    <hyperlink ref="N577" r:id="rId568" xr:uid="{00000000-0004-0000-0700-000037020000}"/>
    <hyperlink ref="N578" r:id="rId569" xr:uid="{00000000-0004-0000-0700-000038020000}"/>
    <hyperlink ref="N579" r:id="rId570" xr:uid="{00000000-0004-0000-0700-000039020000}"/>
    <hyperlink ref="N580" r:id="rId571" xr:uid="{00000000-0004-0000-0700-00003A020000}"/>
    <hyperlink ref="N581" r:id="rId572" xr:uid="{00000000-0004-0000-0700-00003B020000}"/>
    <hyperlink ref="N582" r:id="rId573" xr:uid="{00000000-0004-0000-0700-00003C020000}"/>
    <hyperlink ref="N583" r:id="rId574" xr:uid="{00000000-0004-0000-0700-00003D020000}"/>
    <hyperlink ref="N584" r:id="rId575" xr:uid="{00000000-0004-0000-0700-00003E020000}"/>
    <hyperlink ref="N586" r:id="rId576" xr:uid="{00000000-0004-0000-0700-00003F020000}"/>
    <hyperlink ref="N587" r:id="rId577" xr:uid="{00000000-0004-0000-0700-000040020000}"/>
    <hyperlink ref="N588" r:id="rId578" xr:uid="{00000000-0004-0000-0700-000041020000}"/>
    <hyperlink ref="N589" r:id="rId579" xr:uid="{00000000-0004-0000-0700-000042020000}"/>
    <hyperlink ref="N590" r:id="rId580" xr:uid="{00000000-0004-0000-0700-000043020000}"/>
    <hyperlink ref="N591" r:id="rId581" xr:uid="{00000000-0004-0000-0700-000044020000}"/>
    <hyperlink ref="N592" r:id="rId582" xr:uid="{00000000-0004-0000-0700-000045020000}"/>
    <hyperlink ref="N593" r:id="rId583" xr:uid="{00000000-0004-0000-0700-000046020000}"/>
    <hyperlink ref="N594" r:id="rId584" xr:uid="{00000000-0004-0000-0700-000047020000}"/>
    <hyperlink ref="N595" r:id="rId585" xr:uid="{00000000-0004-0000-0700-000048020000}"/>
    <hyperlink ref="N596" r:id="rId586" xr:uid="{00000000-0004-0000-0700-000049020000}"/>
    <hyperlink ref="N597" r:id="rId587" xr:uid="{00000000-0004-0000-0700-00004A020000}"/>
    <hyperlink ref="N598" r:id="rId588" xr:uid="{00000000-0004-0000-0700-00004B020000}"/>
    <hyperlink ref="N599" r:id="rId589" xr:uid="{00000000-0004-0000-0700-00004C020000}"/>
    <hyperlink ref="N600" r:id="rId590" xr:uid="{00000000-0004-0000-0700-00004D020000}"/>
    <hyperlink ref="N601" r:id="rId591" xr:uid="{00000000-0004-0000-0700-00004E020000}"/>
    <hyperlink ref="N602" r:id="rId592" xr:uid="{00000000-0004-0000-0700-00004F020000}"/>
    <hyperlink ref="N603" r:id="rId593" xr:uid="{00000000-0004-0000-0700-000050020000}"/>
    <hyperlink ref="N604" r:id="rId594" xr:uid="{00000000-0004-0000-0700-000051020000}"/>
    <hyperlink ref="N605" r:id="rId595" xr:uid="{00000000-0004-0000-0700-000052020000}"/>
    <hyperlink ref="N606" r:id="rId596" xr:uid="{00000000-0004-0000-0700-000053020000}"/>
    <hyperlink ref="N607" r:id="rId597" xr:uid="{00000000-0004-0000-0700-000054020000}"/>
    <hyperlink ref="N608" r:id="rId598" xr:uid="{00000000-0004-0000-0700-000055020000}"/>
    <hyperlink ref="N609" r:id="rId599" xr:uid="{00000000-0004-0000-0700-000056020000}"/>
    <hyperlink ref="N610" r:id="rId600" xr:uid="{00000000-0004-0000-0700-000057020000}"/>
    <hyperlink ref="N611" r:id="rId601" xr:uid="{00000000-0004-0000-0700-000058020000}"/>
    <hyperlink ref="N612" r:id="rId602" xr:uid="{00000000-0004-0000-0700-000059020000}"/>
    <hyperlink ref="N613" r:id="rId603" xr:uid="{00000000-0004-0000-0700-00005A020000}"/>
    <hyperlink ref="N614" r:id="rId604" xr:uid="{00000000-0004-0000-0700-00005B020000}"/>
    <hyperlink ref="N615" r:id="rId605" xr:uid="{00000000-0004-0000-0700-00005C020000}"/>
    <hyperlink ref="N616" r:id="rId606" xr:uid="{00000000-0004-0000-0700-00005D020000}"/>
    <hyperlink ref="N617" r:id="rId607" xr:uid="{00000000-0004-0000-0700-00005E020000}"/>
    <hyperlink ref="N618" r:id="rId608" xr:uid="{00000000-0004-0000-0700-00005F020000}"/>
    <hyperlink ref="N619" r:id="rId609" xr:uid="{00000000-0004-0000-0700-000060020000}"/>
    <hyperlink ref="N620" r:id="rId610" xr:uid="{00000000-0004-0000-0700-000061020000}"/>
    <hyperlink ref="N621" r:id="rId611" xr:uid="{00000000-0004-0000-0700-000062020000}"/>
    <hyperlink ref="N622" r:id="rId612" xr:uid="{00000000-0004-0000-0700-000063020000}"/>
    <hyperlink ref="N623" r:id="rId613" xr:uid="{00000000-0004-0000-0700-000064020000}"/>
    <hyperlink ref="N624" r:id="rId614" xr:uid="{00000000-0004-0000-0700-000065020000}"/>
    <hyperlink ref="N625" r:id="rId615" xr:uid="{00000000-0004-0000-0700-000066020000}"/>
    <hyperlink ref="N626" r:id="rId616" xr:uid="{00000000-0004-0000-0700-000067020000}"/>
    <hyperlink ref="N627" r:id="rId617" xr:uid="{00000000-0004-0000-0700-000068020000}"/>
    <hyperlink ref="N628" r:id="rId618" xr:uid="{00000000-0004-0000-0700-000069020000}"/>
    <hyperlink ref="N629" r:id="rId619" xr:uid="{00000000-0004-0000-0700-00006A020000}"/>
    <hyperlink ref="N630" r:id="rId620" xr:uid="{00000000-0004-0000-0700-00006B020000}"/>
    <hyperlink ref="N631" r:id="rId621" xr:uid="{00000000-0004-0000-0700-00006C020000}"/>
    <hyperlink ref="N632" r:id="rId622" xr:uid="{00000000-0004-0000-0700-00006D020000}"/>
    <hyperlink ref="N633" r:id="rId623" xr:uid="{00000000-0004-0000-0700-00006E020000}"/>
    <hyperlink ref="N634" r:id="rId624" xr:uid="{00000000-0004-0000-0700-00006F020000}"/>
    <hyperlink ref="N635" r:id="rId625" xr:uid="{00000000-0004-0000-0700-000070020000}"/>
    <hyperlink ref="N636" r:id="rId626" xr:uid="{00000000-0004-0000-0700-000071020000}"/>
    <hyperlink ref="N637" r:id="rId627" xr:uid="{00000000-0004-0000-0700-000072020000}"/>
    <hyperlink ref="N638" r:id="rId628" xr:uid="{00000000-0004-0000-0700-000073020000}"/>
    <hyperlink ref="N639" r:id="rId629" xr:uid="{00000000-0004-0000-0700-000074020000}"/>
    <hyperlink ref="N640" r:id="rId630" xr:uid="{00000000-0004-0000-0700-000075020000}"/>
    <hyperlink ref="N641" r:id="rId631" xr:uid="{00000000-0004-0000-0700-000076020000}"/>
    <hyperlink ref="N642" r:id="rId632" xr:uid="{00000000-0004-0000-0700-000077020000}"/>
    <hyperlink ref="N643" r:id="rId633" xr:uid="{00000000-0004-0000-0700-000078020000}"/>
    <hyperlink ref="N644" r:id="rId634" xr:uid="{00000000-0004-0000-0700-000079020000}"/>
    <hyperlink ref="N645" r:id="rId635" xr:uid="{00000000-0004-0000-0700-00007A020000}"/>
    <hyperlink ref="N646" r:id="rId636" xr:uid="{00000000-0004-0000-0700-00007B020000}"/>
    <hyperlink ref="N647" r:id="rId637" xr:uid="{00000000-0004-0000-0700-00007C020000}"/>
    <hyperlink ref="N648" r:id="rId638" xr:uid="{00000000-0004-0000-0700-00007D020000}"/>
    <hyperlink ref="N649" r:id="rId639" xr:uid="{00000000-0004-0000-0700-00007E020000}"/>
    <hyperlink ref="N650" r:id="rId640" xr:uid="{00000000-0004-0000-0700-00007F020000}"/>
    <hyperlink ref="N651" r:id="rId641" xr:uid="{00000000-0004-0000-0700-000080020000}"/>
    <hyperlink ref="N652" r:id="rId642" xr:uid="{00000000-0004-0000-0700-000081020000}"/>
    <hyperlink ref="N653" r:id="rId643" xr:uid="{00000000-0004-0000-0700-000082020000}"/>
    <hyperlink ref="N654" r:id="rId644" xr:uid="{00000000-0004-0000-0700-000083020000}"/>
    <hyperlink ref="N655" r:id="rId645" xr:uid="{00000000-0004-0000-0700-000084020000}"/>
    <hyperlink ref="N656" r:id="rId646" xr:uid="{00000000-0004-0000-0700-000085020000}"/>
    <hyperlink ref="N657" r:id="rId647" xr:uid="{00000000-0004-0000-0700-000086020000}"/>
    <hyperlink ref="N658" r:id="rId648" xr:uid="{00000000-0004-0000-0700-000087020000}"/>
    <hyperlink ref="N659" r:id="rId649" xr:uid="{00000000-0004-0000-0700-000088020000}"/>
    <hyperlink ref="N660" r:id="rId650" xr:uid="{00000000-0004-0000-0700-000089020000}"/>
    <hyperlink ref="N661" r:id="rId651" xr:uid="{00000000-0004-0000-0700-00008A020000}"/>
    <hyperlink ref="N662" r:id="rId652" xr:uid="{00000000-0004-0000-0700-00008B020000}"/>
    <hyperlink ref="N663" r:id="rId653" xr:uid="{00000000-0004-0000-0700-00008C020000}"/>
    <hyperlink ref="N664" r:id="rId654" xr:uid="{00000000-0004-0000-0700-00008D020000}"/>
    <hyperlink ref="N665" r:id="rId655" xr:uid="{00000000-0004-0000-0700-00008E020000}"/>
    <hyperlink ref="N666" r:id="rId656" xr:uid="{00000000-0004-0000-0700-00008F020000}"/>
    <hyperlink ref="N667" r:id="rId657" xr:uid="{00000000-0004-0000-0700-000090020000}"/>
    <hyperlink ref="N668" r:id="rId658" xr:uid="{00000000-0004-0000-0700-000091020000}"/>
    <hyperlink ref="N669" r:id="rId659" xr:uid="{00000000-0004-0000-0700-000092020000}"/>
    <hyperlink ref="N670" r:id="rId660" xr:uid="{00000000-0004-0000-0700-000093020000}"/>
    <hyperlink ref="N671" r:id="rId661" xr:uid="{00000000-0004-0000-0700-000094020000}"/>
    <hyperlink ref="N672" r:id="rId662" xr:uid="{00000000-0004-0000-0700-000095020000}"/>
    <hyperlink ref="N673" r:id="rId663" xr:uid="{00000000-0004-0000-0700-000096020000}"/>
    <hyperlink ref="N674" r:id="rId664" xr:uid="{00000000-0004-0000-0700-000097020000}"/>
    <hyperlink ref="N675" r:id="rId665" xr:uid="{00000000-0004-0000-0700-000098020000}"/>
    <hyperlink ref="N676" r:id="rId666" xr:uid="{00000000-0004-0000-0700-000099020000}"/>
    <hyperlink ref="N677" r:id="rId667" xr:uid="{00000000-0004-0000-0700-00009A020000}"/>
    <hyperlink ref="N678" r:id="rId668" xr:uid="{00000000-0004-0000-0700-00009B020000}"/>
    <hyperlink ref="N679" r:id="rId669" xr:uid="{00000000-0004-0000-0700-00009C020000}"/>
    <hyperlink ref="N680" r:id="rId670" xr:uid="{00000000-0004-0000-0700-00009D020000}"/>
    <hyperlink ref="N681" r:id="rId671" xr:uid="{00000000-0004-0000-0700-00009E020000}"/>
    <hyperlink ref="N682" r:id="rId672" xr:uid="{00000000-0004-0000-0700-00009F020000}"/>
    <hyperlink ref="N683" r:id="rId673" xr:uid="{00000000-0004-0000-0700-0000A0020000}"/>
    <hyperlink ref="N684" r:id="rId674" xr:uid="{00000000-0004-0000-0700-0000A1020000}"/>
    <hyperlink ref="N685" r:id="rId675" xr:uid="{00000000-0004-0000-0700-0000A2020000}"/>
    <hyperlink ref="N686" r:id="rId676" xr:uid="{00000000-0004-0000-0700-0000A3020000}"/>
    <hyperlink ref="N687" r:id="rId677" xr:uid="{00000000-0004-0000-0700-0000A4020000}"/>
    <hyperlink ref="N688" r:id="rId678" xr:uid="{00000000-0004-0000-0700-0000A5020000}"/>
    <hyperlink ref="N689" r:id="rId679" xr:uid="{00000000-0004-0000-0700-0000A6020000}"/>
    <hyperlink ref="N690" r:id="rId680" xr:uid="{00000000-0004-0000-0700-0000A7020000}"/>
    <hyperlink ref="N691" r:id="rId681" xr:uid="{00000000-0004-0000-0700-0000A8020000}"/>
    <hyperlink ref="N692" r:id="rId682" xr:uid="{00000000-0004-0000-0700-0000A9020000}"/>
    <hyperlink ref="N693" r:id="rId683" xr:uid="{00000000-0004-0000-0700-0000AA020000}"/>
    <hyperlink ref="N695" r:id="rId684" xr:uid="{00000000-0004-0000-0700-0000AB020000}"/>
    <hyperlink ref="N696" r:id="rId685" xr:uid="{00000000-0004-0000-0700-0000AC020000}"/>
    <hyperlink ref="N697" r:id="rId686" xr:uid="{00000000-0004-0000-0700-0000AD020000}"/>
    <hyperlink ref="N698" r:id="rId687" xr:uid="{00000000-0004-0000-0700-0000AE020000}"/>
    <hyperlink ref="N699" r:id="rId688" xr:uid="{00000000-0004-0000-0700-0000AF020000}"/>
    <hyperlink ref="N700" r:id="rId689" xr:uid="{00000000-0004-0000-0700-0000B0020000}"/>
    <hyperlink ref="N701" r:id="rId690" xr:uid="{00000000-0004-0000-0700-0000B1020000}"/>
    <hyperlink ref="N702" r:id="rId691" xr:uid="{00000000-0004-0000-0700-0000B2020000}"/>
    <hyperlink ref="N703" r:id="rId692" xr:uid="{00000000-0004-0000-0700-0000B3020000}"/>
    <hyperlink ref="N704" r:id="rId693" xr:uid="{00000000-0004-0000-0700-0000B4020000}"/>
    <hyperlink ref="N705" r:id="rId694" xr:uid="{00000000-0004-0000-0700-0000B5020000}"/>
    <hyperlink ref="N706" r:id="rId695" xr:uid="{00000000-0004-0000-0700-0000B6020000}"/>
    <hyperlink ref="N707" r:id="rId696" xr:uid="{00000000-0004-0000-0700-0000B7020000}"/>
    <hyperlink ref="N708" r:id="rId697" xr:uid="{00000000-0004-0000-0700-0000B8020000}"/>
    <hyperlink ref="N709" r:id="rId698" xr:uid="{00000000-0004-0000-0700-0000B9020000}"/>
    <hyperlink ref="N710" r:id="rId699" xr:uid="{00000000-0004-0000-0700-0000BA020000}"/>
    <hyperlink ref="N711" r:id="rId700" xr:uid="{00000000-0004-0000-0700-0000BB020000}"/>
    <hyperlink ref="N712" r:id="rId701" xr:uid="{00000000-0004-0000-0700-0000BC020000}"/>
    <hyperlink ref="N714" r:id="rId702" xr:uid="{00000000-0004-0000-0700-0000BD020000}"/>
    <hyperlink ref="N715" r:id="rId703" xr:uid="{00000000-0004-0000-0700-0000BE020000}"/>
    <hyperlink ref="N716" r:id="rId704" xr:uid="{00000000-0004-0000-0700-0000BF020000}"/>
    <hyperlink ref="N717" r:id="rId705" xr:uid="{00000000-0004-0000-0700-0000C0020000}"/>
    <hyperlink ref="N718" r:id="rId706" xr:uid="{00000000-0004-0000-0700-0000C1020000}"/>
    <hyperlink ref="N719" r:id="rId707" xr:uid="{00000000-0004-0000-0700-0000C2020000}"/>
    <hyperlink ref="N720" r:id="rId708" xr:uid="{00000000-0004-0000-0700-0000C3020000}"/>
    <hyperlink ref="N721" r:id="rId709" xr:uid="{00000000-0004-0000-0700-0000C4020000}"/>
    <hyperlink ref="N722" r:id="rId710" xr:uid="{00000000-0004-0000-0700-0000C5020000}"/>
    <hyperlink ref="N724" r:id="rId711" xr:uid="{00000000-0004-0000-0700-0000C6020000}"/>
    <hyperlink ref="N725" r:id="rId712" xr:uid="{00000000-0004-0000-0700-0000C7020000}"/>
    <hyperlink ref="N726" r:id="rId713" xr:uid="{00000000-0004-0000-0700-0000C8020000}"/>
    <hyperlink ref="N727" r:id="rId714" xr:uid="{00000000-0004-0000-0700-0000C9020000}"/>
    <hyperlink ref="N728" r:id="rId715" xr:uid="{00000000-0004-0000-0700-0000CA020000}"/>
    <hyperlink ref="N729" r:id="rId716" xr:uid="{00000000-0004-0000-0700-0000CB020000}"/>
    <hyperlink ref="N730" r:id="rId717" xr:uid="{00000000-0004-0000-0700-0000CC020000}"/>
    <hyperlink ref="N731" r:id="rId718" xr:uid="{00000000-0004-0000-0700-0000CD020000}"/>
    <hyperlink ref="N732" r:id="rId719" xr:uid="{00000000-0004-0000-0700-0000CE020000}"/>
    <hyperlink ref="N733" r:id="rId720" xr:uid="{00000000-0004-0000-0700-0000CF020000}"/>
    <hyperlink ref="N734" r:id="rId721" xr:uid="{00000000-0004-0000-0700-0000D0020000}"/>
    <hyperlink ref="N735" r:id="rId722" xr:uid="{00000000-0004-0000-0700-0000D1020000}"/>
    <hyperlink ref="N736" r:id="rId723" xr:uid="{00000000-0004-0000-0700-0000D2020000}"/>
    <hyperlink ref="N737" r:id="rId724" xr:uid="{00000000-0004-0000-0700-0000D3020000}"/>
    <hyperlink ref="N738" r:id="rId725" xr:uid="{00000000-0004-0000-0700-0000D4020000}"/>
    <hyperlink ref="N739" r:id="rId726" xr:uid="{00000000-0004-0000-0700-0000D5020000}"/>
    <hyperlink ref="N740" r:id="rId727" xr:uid="{00000000-0004-0000-0700-0000D6020000}"/>
    <hyperlink ref="N741" r:id="rId728" xr:uid="{00000000-0004-0000-0700-0000D7020000}"/>
    <hyperlink ref="N742" r:id="rId729" xr:uid="{00000000-0004-0000-0700-0000D8020000}"/>
    <hyperlink ref="N743" r:id="rId730" xr:uid="{00000000-0004-0000-0700-0000D9020000}"/>
    <hyperlink ref="N744" r:id="rId731" xr:uid="{00000000-0004-0000-0700-0000DA020000}"/>
    <hyperlink ref="N745" r:id="rId732" xr:uid="{00000000-0004-0000-0700-0000DB020000}"/>
    <hyperlink ref="N746" r:id="rId733" xr:uid="{00000000-0004-0000-0700-0000DC020000}"/>
    <hyperlink ref="N747" r:id="rId734" xr:uid="{00000000-0004-0000-0700-0000DD020000}"/>
    <hyperlink ref="N748" r:id="rId735" xr:uid="{00000000-0004-0000-0700-0000DE020000}"/>
    <hyperlink ref="N749" r:id="rId736" xr:uid="{00000000-0004-0000-0700-0000DF020000}"/>
    <hyperlink ref="N750" r:id="rId737" xr:uid="{00000000-0004-0000-0700-0000E0020000}"/>
    <hyperlink ref="N751" r:id="rId738" xr:uid="{00000000-0004-0000-0700-0000E1020000}"/>
    <hyperlink ref="N752" r:id="rId739" xr:uid="{00000000-0004-0000-0700-0000E2020000}"/>
    <hyperlink ref="N753" r:id="rId740" xr:uid="{00000000-0004-0000-0700-0000E3020000}"/>
    <hyperlink ref="N754" r:id="rId741" xr:uid="{00000000-0004-0000-0700-0000E4020000}"/>
    <hyperlink ref="N755" r:id="rId742" xr:uid="{00000000-0004-0000-0700-0000E5020000}"/>
    <hyperlink ref="N756" r:id="rId743" xr:uid="{00000000-0004-0000-0700-0000E6020000}"/>
    <hyperlink ref="N757" r:id="rId744" xr:uid="{00000000-0004-0000-0700-0000E7020000}"/>
    <hyperlink ref="N758" r:id="rId745" xr:uid="{00000000-0004-0000-0700-0000E8020000}"/>
    <hyperlink ref="N759" r:id="rId746" xr:uid="{00000000-0004-0000-0700-0000E9020000}"/>
    <hyperlink ref="N760" r:id="rId747" xr:uid="{00000000-0004-0000-0700-0000EA020000}"/>
    <hyperlink ref="N761" r:id="rId748" xr:uid="{00000000-0004-0000-0700-0000EB020000}"/>
    <hyperlink ref="N762" r:id="rId749" xr:uid="{00000000-0004-0000-0700-0000EC020000}"/>
    <hyperlink ref="N763" r:id="rId750" xr:uid="{00000000-0004-0000-0700-0000ED020000}"/>
    <hyperlink ref="N764" r:id="rId751" xr:uid="{00000000-0004-0000-0700-0000EE020000}"/>
    <hyperlink ref="N765" r:id="rId752" xr:uid="{00000000-0004-0000-0700-0000EF020000}"/>
    <hyperlink ref="N766" r:id="rId753" xr:uid="{00000000-0004-0000-0700-0000F0020000}"/>
    <hyperlink ref="N767" r:id="rId754" xr:uid="{00000000-0004-0000-0700-0000F1020000}"/>
    <hyperlink ref="N768" r:id="rId755" xr:uid="{00000000-0004-0000-0700-0000F2020000}"/>
    <hyperlink ref="N769" r:id="rId756" xr:uid="{00000000-0004-0000-0700-0000F3020000}"/>
    <hyperlink ref="N770" r:id="rId757" xr:uid="{00000000-0004-0000-0700-0000F4020000}"/>
    <hyperlink ref="N771" r:id="rId758" xr:uid="{00000000-0004-0000-0700-0000F5020000}"/>
    <hyperlink ref="N772" r:id="rId759" xr:uid="{00000000-0004-0000-0700-0000F6020000}"/>
    <hyperlink ref="N773" r:id="rId760" xr:uid="{00000000-0004-0000-0700-0000F7020000}"/>
    <hyperlink ref="N774" r:id="rId761" xr:uid="{00000000-0004-0000-0700-0000F8020000}"/>
    <hyperlink ref="N775" r:id="rId762" xr:uid="{00000000-0004-0000-0700-0000F9020000}"/>
    <hyperlink ref="N776" r:id="rId763" xr:uid="{00000000-0004-0000-0700-0000FA020000}"/>
    <hyperlink ref="N777" r:id="rId764" xr:uid="{00000000-0004-0000-0700-0000FB020000}"/>
    <hyperlink ref="N778" r:id="rId765" xr:uid="{00000000-0004-0000-0700-0000FC020000}"/>
    <hyperlink ref="N780" r:id="rId766" xr:uid="{00000000-0004-0000-0700-0000FD020000}"/>
    <hyperlink ref="N781" r:id="rId767" xr:uid="{00000000-0004-0000-0700-0000FE020000}"/>
    <hyperlink ref="N782" r:id="rId768" xr:uid="{00000000-0004-0000-0700-0000FF020000}"/>
    <hyperlink ref="N783" r:id="rId769" xr:uid="{00000000-0004-0000-0700-000000030000}"/>
    <hyperlink ref="N784" r:id="rId770" xr:uid="{00000000-0004-0000-0700-000001030000}"/>
    <hyperlink ref="N785" r:id="rId771" xr:uid="{00000000-0004-0000-0700-000002030000}"/>
    <hyperlink ref="N786" r:id="rId772" xr:uid="{00000000-0004-0000-0700-000003030000}"/>
    <hyperlink ref="N787" r:id="rId773" xr:uid="{00000000-0004-0000-0700-000004030000}"/>
    <hyperlink ref="N788" r:id="rId774" xr:uid="{00000000-0004-0000-0700-000005030000}"/>
    <hyperlink ref="N789" r:id="rId775" xr:uid="{00000000-0004-0000-0700-000006030000}"/>
    <hyperlink ref="N790" r:id="rId776" xr:uid="{00000000-0004-0000-0700-000007030000}"/>
    <hyperlink ref="N791" r:id="rId777" xr:uid="{00000000-0004-0000-0700-000008030000}"/>
    <hyperlink ref="N792" r:id="rId778" xr:uid="{00000000-0004-0000-0700-000009030000}"/>
    <hyperlink ref="N793" r:id="rId779" xr:uid="{00000000-0004-0000-0700-00000A030000}"/>
    <hyperlink ref="N794" r:id="rId780" xr:uid="{00000000-0004-0000-0700-00000B030000}"/>
    <hyperlink ref="N796" r:id="rId781" xr:uid="{00000000-0004-0000-0700-00000C030000}"/>
    <hyperlink ref="N797" r:id="rId782" xr:uid="{00000000-0004-0000-0700-00000D030000}"/>
    <hyperlink ref="N799" r:id="rId783" xr:uid="{00000000-0004-0000-0700-00000E030000}"/>
    <hyperlink ref="N800" r:id="rId784" xr:uid="{00000000-0004-0000-0700-00000F030000}"/>
    <hyperlink ref="N801" r:id="rId785" xr:uid="{00000000-0004-0000-0700-000010030000}"/>
    <hyperlink ref="N802" r:id="rId786" xr:uid="{00000000-0004-0000-0700-000011030000}"/>
    <hyperlink ref="N803" r:id="rId787" xr:uid="{00000000-0004-0000-0700-000012030000}"/>
    <hyperlink ref="N804" r:id="rId788" xr:uid="{00000000-0004-0000-0700-000013030000}"/>
    <hyperlink ref="N805" r:id="rId789" xr:uid="{00000000-0004-0000-0700-000014030000}"/>
    <hyperlink ref="N806" r:id="rId790" xr:uid="{00000000-0004-0000-0700-000015030000}"/>
    <hyperlink ref="N807" r:id="rId791" xr:uid="{00000000-0004-0000-0700-000016030000}"/>
    <hyperlink ref="N808" r:id="rId792" xr:uid="{00000000-0004-0000-0700-000017030000}"/>
    <hyperlink ref="N809" r:id="rId793" xr:uid="{00000000-0004-0000-0700-000018030000}"/>
    <hyperlink ref="N810" r:id="rId794" xr:uid="{00000000-0004-0000-0700-000019030000}"/>
    <hyperlink ref="N811" r:id="rId795" xr:uid="{00000000-0004-0000-0700-00001A030000}"/>
    <hyperlink ref="N812" r:id="rId796" xr:uid="{00000000-0004-0000-0700-00001B030000}"/>
    <hyperlink ref="N813" r:id="rId797" xr:uid="{00000000-0004-0000-0700-00001C030000}"/>
    <hyperlink ref="N814" r:id="rId798" xr:uid="{00000000-0004-0000-0700-00001D030000}"/>
    <hyperlink ref="N815" r:id="rId799" xr:uid="{00000000-0004-0000-0700-00001E030000}"/>
    <hyperlink ref="N816" r:id="rId800" xr:uid="{00000000-0004-0000-0700-00001F030000}"/>
    <hyperlink ref="N817" r:id="rId801" xr:uid="{00000000-0004-0000-0700-000020030000}"/>
    <hyperlink ref="N818" r:id="rId802" xr:uid="{00000000-0004-0000-0700-000021030000}"/>
    <hyperlink ref="N819" r:id="rId803" xr:uid="{00000000-0004-0000-0700-000022030000}"/>
    <hyperlink ref="N820" r:id="rId804" xr:uid="{00000000-0004-0000-0700-000023030000}"/>
    <hyperlink ref="N821" r:id="rId805" xr:uid="{00000000-0004-0000-0700-000024030000}"/>
    <hyperlink ref="N822" r:id="rId806" xr:uid="{00000000-0004-0000-0700-000025030000}"/>
    <hyperlink ref="N823" r:id="rId807" xr:uid="{00000000-0004-0000-0700-000026030000}"/>
    <hyperlink ref="N824" r:id="rId808" xr:uid="{00000000-0004-0000-0700-000027030000}"/>
    <hyperlink ref="N825" r:id="rId809" xr:uid="{00000000-0004-0000-0700-000028030000}"/>
    <hyperlink ref="N826" r:id="rId810" xr:uid="{00000000-0004-0000-0700-000029030000}"/>
    <hyperlink ref="N827" r:id="rId811" xr:uid="{00000000-0004-0000-0700-00002A030000}"/>
    <hyperlink ref="N828" r:id="rId812" xr:uid="{00000000-0004-0000-0700-00002B030000}"/>
    <hyperlink ref="N829" r:id="rId813" xr:uid="{00000000-0004-0000-0700-00002C030000}"/>
    <hyperlink ref="N830" r:id="rId814" xr:uid="{00000000-0004-0000-0700-00002D030000}"/>
    <hyperlink ref="N831" r:id="rId815" xr:uid="{00000000-0004-0000-0700-00002E030000}"/>
    <hyperlink ref="N832" r:id="rId816" xr:uid="{00000000-0004-0000-0700-00002F030000}"/>
    <hyperlink ref="N833" r:id="rId817" xr:uid="{00000000-0004-0000-0700-000030030000}"/>
    <hyperlink ref="N834" r:id="rId818" xr:uid="{00000000-0004-0000-0700-000031030000}"/>
    <hyperlink ref="N836" r:id="rId819" xr:uid="{00000000-0004-0000-0700-000032030000}"/>
    <hyperlink ref="N837" r:id="rId820" xr:uid="{00000000-0004-0000-0700-000033030000}"/>
    <hyperlink ref="N838" r:id="rId821" xr:uid="{00000000-0004-0000-0700-000034030000}"/>
    <hyperlink ref="N839" r:id="rId822" xr:uid="{00000000-0004-0000-0700-000035030000}"/>
    <hyperlink ref="N840" r:id="rId823" xr:uid="{00000000-0004-0000-0700-000036030000}"/>
    <hyperlink ref="N841" r:id="rId824" xr:uid="{00000000-0004-0000-0700-000037030000}"/>
    <hyperlink ref="N842" r:id="rId825" xr:uid="{00000000-0004-0000-0700-000038030000}"/>
    <hyperlink ref="N843" r:id="rId826" xr:uid="{00000000-0004-0000-0700-000039030000}"/>
    <hyperlink ref="N844" r:id="rId827" xr:uid="{00000000-0004-0000-0700-00003A030000}"/>
    <hyperlink ref="N845" r:id="rId828" xr:uid="{00000000-0004-0000-0700-00003B030000}"/>
    <hyperlink ref="N846" r:id="rId829" xr:uid="{00000000-0004-0000-0700-00003C030000}"/>
    <hyperlink ref="N847" r:id="rId830" xr:uid="{00000000-0004-0000-0700-00003D030000}"/>
    <hyperlink ref="N848" r:id="rId831" xr:uid="{00000000-0004-0000-0700-00003E030000}"/>
    <hyperlink ref="N849" r:id="rId832" xr:uid="{00000000-0004-0000-0700-00003F030000}"/>
    <hyperlink ref="N850" r:id="rId833" xr:uid="{00000000-0004-0000-0700-000040030000}"/>
    <hyperlink ref="N851" r:id="rId834" xr:uid="{00000000-0004-0000-0700-000041030000}"/>
    <hyperlink ref="N852" r:id="rId835" xr:uid="{00000000-0004-0000-0700-000042030000}"/>
    <hyperlink ref="N853" r:id="rId836" xr:uid="{00000000-0004-0000-0700-000043030000}"/>
    <hyperlink ref="N854" r:id="rId837" xr:uid="{00000000-0004-0000-0700-000044030000}"/>
    <hyperlink ref="N855" r:id="rId838" xr:uid="{00000000-0004-0000-0700-000045030000}"/>
    <hyperlink ref="N857" r:id="rId839" xr:uid="{00000000-0004-0000-0700-000046030000}"/>
    <hyperlink ref="N858" r:id="rId840" xr:uid="{00000000-0004-0000-0700-000047030000}"/>
    <hyperlink ref="N859" r:id="rId841" xr:uid="{00000000-0004-0000-0700-000048030000}"/>
    <hyperlink ref="N860" r:id="rId842" xr:uid="{00000000-0004-0000-0700-000049030000}"/>
    <hyperlink ref="N861" r:id="rId843" xr:uid="{00000000-0004-0000-0700-00004A030000}"/>
    <hyperlink ref="N862" r:id="rId844" xr:uid="{00000000-0004-0000-0700-00004B030000}"/>
    <hyperlink ref="N863" r:id="rId845" xr:uid="{00000000-0004-0000-0700-00004C030000}"/>
    <hyperlink ref="N864" r:id="rId846" xr:uid="{00000000-0004-0000-0700-00004D030000}"/>
    <hyperlink ref="N865" r:id="rId847" xr:uid="{00000000-0004-0000-0700-00004E030000}"/>
    <hyperlink ref="N866" r:id="rId848" xr:uid="{00000000-0004-0000-0700-00004F030000}"/>
    <hyperlink ref="N867" r:id="rId849" xr:uid="{00000000-0004-0000-0700-000050030000}"/>
    <hyperlink ref="N869" r:id="rId850" xr:uid="{00000000-0004-0000-0700-000051030000}"/>
    <hyperlink ref="N870" r:id="rId851" xr:uid="{00000000-0004-0000-0700-000052030000}"/>
    <hyperlink ref="N871" r:id="rId852" xr:uid="{00000000-0004-0000-0700-000053030000}"/>
    <hyperlink ref="N872" r:id="rId853" xr:uid="{00000000-0004-0000-0700-000054030000}"/>
    <hyperlink ref="N873" r:id="rId854" xr:uid="{00000000-0004-0000-0700-000055030000}"/>
    <hyperlink ref="N874" r:id="rId855" xr:uid="{00000000-0004-0000-0700-000056030000}"/>
    <hyperlink ref="N875" r:id="rId856" xr:uid="{00000000-0004-0000-0700-000057030000}"/>
    <hyperlink ref="N876" r:id="rId857" xr:uid="{00000000-0004-0000-0700-000058030000}"/>
    <hyperlink ref="N877" r:id="rId858" xr:uid="{00000000-0004-0000-0700-000059030000}"/>
    <hyperlink ref="N878" r:id="rId859" xr:uid="{00000000-0004-0000-0700-00005A030000}"/>
    <hyperlink ref="N879" r:id="rId860" xr:uid="{00000000-0004-0000-0700-00005B030000}"/>
    <hyperlink ref="N880" r:id="rId861" xr:uid="{00000000-0004-0000-0700-00005C030000}"/>
    <hyperlink ref="N881" r:id="rId862" xr:uid="{00000000-0004-0000-0700-00005D030000}"/>
    <hyperlink ref="N882" r:id="rId863" xr:uid="{00000000-0004-0000-0700-00005E030000}"/>
    <hyperlink ref="N883" r:id="rId864" xr:uid="{00000000-0004-0000-0700-00005F030000}"/>
    <hyperlink ref="N884" r:id="rId865" xr:uid="{00000000-0004-0000-0700-000060030000}"/>
    <hyperlink ref="N885" r:id="rId866" xr:uid="{00000000-0004-0000-0700-000061030000}"/>
    <hyperlink ref="N886" r:id="rId867" xr:uid="{00000000-0004-0000-0700-000062030000}"/>
    <hyperlink ref="N887" r:id="rId868" xr:uid="{00000000-0004-0000-0700-000063030000}"/>
    <hyperlink ref="N888" r:id="rId869" xr:uid="{00000000-0004-0000-0700-000064030000}"/>
    <hyperlink ref="N889" r:id="rId870" xr:uid="{00000000-0004-0000-0700-000065030000}"/>
    <hyperlink ref="N890" r:id="rId871" xr:uid="{00000000-0004-0000-0700-000066030000}"/>
    <hyperlink ref="N891" r:id="rId872" xr:uid="{00000000-0004-0000-0700-000067030000}"/>
    <hyperlink ref="N892" r:id="rId873" xr:uid="{00000000-0004-0000-0700-000068030000}"/>
    <hyperlink ref="N893" r:id="rId874" xr:uid="{00000000-0004-0000-0700-000069030000}"/>
    <hyperlink ref="N894" r:id="rId875" xr:uid="{00000000-0004-0000-0700-00006A030000}"/>
    <hyperlink ref="N895" r:id="rId876" xr:uid="{00000000-0004-0000-0700-00006B030000}"/>
    <hyperlink ref="N896" r:id="rId877" xr:uid="{00000000-0004-0000-0700-00006C030000}"/>
    <hyperlink ref="N897" r:id="rId878" xr:uid="{00000000-0004-0000-0700-00006D030000}"/>
    <hyperlink ref="N898" r:id="rId879" xr:uid="{00000000-0004-0000-0700-00006E030000}"/>
    <hyperlink ref="N899" r:id="rId880" xr:uid="{00000000-0004-0000-0700-00006F030000}"/>
    <hyperlink ref="N900" r:id="rId881" xr:uid="{00000000-0004-0000-0700-000070030000}"/>
    <hyperlink ref="N901" r:id="rId882" xr:uid="{00000000-0004-0000-0700-000071030000}"/>
    <hyperlink ref="N902" r:id="rId883" xr:uid="{00000000-0004-0000-0700-000072030000}"/>
    <hyperlink ref="N903" r:id="rId884" xr:uid="{00000000-0004-0000-0700-000073030000}"/>
    <hyperlink ref="N904" r:id="rId885" xr:uid="{00000000-0004-0000-0700-000074030000}"/>
    <hyperlink ref="N905" r:id="rId886" xr:uid="{00000000-0004-0000-0700-000075030000}"/>
    <hyperlink ref="N906" r:id="rId887" xr:uid="{00000000-0004-0000-0700-000076030000}"/>
    <hyperlink ref="N907" r:id="rId888" xr:uid="{00000000-0004-0000-0700-000077030000}"/>
    <hyperlink ref="N908" r:id="rId889" xr:uid="{00000000-0004-0000-0700-000078030000}"/>
    <hyperlink ref="N909" r:id="rId890" xr:uid="{00000000-0004-0000-0700-000079030000}"/>
    <hyperlink ref="N910" r:id="rId891" xr:uid="{00000000-0004-0000-0700-00007A030000}"/>
    <hyperlink ref="N911" r:id="rId892" xr:uid="{00000000-0004-0000-0700-00007B030000}"/>
    <hyperlink ref="N912" r:id="rId893" xr:uid="{00000000-0004-0000-0700-00007C030000}"/>
    <hyperlink ref="N913" r:id="rId894" xr:uid="{00000000-0004-0000-0700-00007D030000}"/>
    <hyperlink ref="N914" r:id="rId895" xr:uid="{00000000-0004-0000-0700-00007E030000}"/>
    <hyperlink ref="N915" r:id="rId896" xr:uid="{00000000-0004-0000-0700-00007F030000}"/>
    <hyperlink ref="N916" r:id="rId897" xr:uid="{00000000-0004-0000-0700-000080030000}"/>
    <hyperlink ref="N917" r:id="rId898" xr:uid="{00000000-0004-0000-0700-000081030000}"/>
    <hyperlink ref="N918" r:id="rId899" xr:uid="{00000000-0004-0000-0700-000082030000}"/>
    <hyperlink ref="N919" r:id="rId900" xr:uid="{00000000-0004-0000-0700-000083030000}"/>
    <hyperlink ref="N920" r:id="rId901" xr:uid="{00000000-0004-0000-0700-000084030000}"/>
    <hyperlink ref="N921" r:id="rId902" xr:uid="{00000000-0004-0000-0700-000085030000}"/>
    <hyperlink ref="N922" r:id="rId903" xr:uid="{00000000-0004-0000-0700-000086030000}"/>
    <hyperlink ref="N923" r:id="rId904" xr:uid="{00000000-0004-0000-0700-000087030000}"/>
    <hyperlink ref="N924" r:id="rId905" xr:uid="{00000000-0004-0000-0700-000088030000}"/>
    <hyperlink ref="N925" r:id="rId906" xr:uid="{00000000-0004-0000-0700-000089030000}"/>
    <hyperlink ref="N928" r:id="rId907" xr:uid="{00000000-0004-0000-0700-00008A030000}"/>
    <hyperlink ref="N929" r:id="rId908" xr:uid="{00000000-0004-0000-0700-00008B030000}"/>
    <hyperlink ref="N930" r:id="rId909" xr:uid="{00000000-0004-0000-0700-00008C030000}"/>
    <hyperlink ref="N931" r:id="rId910" xr:uid="{00000000-0004-0000-0700-00008D030000}"/>
    <hyperlink ref="N932" r:id="rId911" xr:uid="{00000000-0004-0000-0700-00008E030000}"/>
    <hyperlink ref="N933" r:id="rId912" xr:uid="{00000000-0004-0000-0700-00008F030000}"/>
    <hyperlink ref="N934" r:id="rId913" xr:uid="{00000000-0004-0000-0700-000090030000}"/>
    <hyperlink ref="N935" r:id="rId914" xr:uid="{00000000-0004-0000-0700-000091030000}"/>
    <hyperlink ref="N936" r:id="rId915" xr:uid="{00000000-0004-0000-0700-000092030000}"/>
    <hyperlink ref="N937" r:id="rId916" xr:uid="{00000000-0004-0000-0700-000093030000}"/>
    <hyperlink ref="N938" r:id="rId917" xr:uid="{00000000-0004-0000-0700-000094030000}"/>
    <hyperlink ref="N939" r:id="rId918" xr:uid="{00000000-0004-0000-0700-000095030000}"/>
    <hyperlink ref="N940" r:id="rId919" xr:uid="{00000000-0004-0000-0700-000096030000}"/>
    <hyperlink ref="N941" r:id="rId920" xr:uid="{00000000-0004-0000-0700-000097030000}"/>
    <hyperlink ref="N942" r:id="rId921" xr:uid="{00000000-0004-0000-0700-000098030000}"/>
    <hyperlink ref="N943" r:id="rId922" xr:uid="{00000000-0004-0000-0700-000099030000}"/>
    <hyperlink ref="N944" r:id="rId923" xr:uid="{00000000-0004-0000-0700-00009A030000}"/>
    <hyperlink ref="N945" r:id="rId924" xr:uid="{00000000-0004-0000-0700-00009B030000}"/>
    <hyperlink ref="N946" r:id="rId925" xr:uid="{00000000-0004-0000-0700-00009C030000}"/>
    <hyperlink ref="N947" r:id="rId926" xr:uid="{00000000-0004-0000-0700-00009D030000}"/>
    <hyperlink ref="N948" r:id="rId927" xr:uid="{00000000-0004-0000-0700-00009E030000}"/>
    <hyperlink ref="N949" r:id="rId928" xr:uid="{00000000-0004-0000-0700-00009F030000}"/>
    <hyperlink ref="N950" r:id="rId929" xr:uid="{00000000-0004-0000-0700-0000A0030000}"/>
    <hyperlink ref="N951" r:id="rId930" xr:uid="{00000000-0004-0000-0700-0000A1030000}"/>
    <hyperlink ref="N952" r:id="rId931" xr:uid="{00000000-0004-0000-0700-0000A2030000}"/>
    <hyperlink ref="N953" r:id="rId932" xr:uid="{00000000-0004-0000-0700-0000A3030000}"/>
    <hyperlink ref="N954" r:id="rId933" xr:uid="{00000000-0004-0000-0700-0000A4030000}"/>
    <hyperlink ref="N955" r:id="rId934" xr:uid="{00000000-0004-0000-0700-0000A5030000}"/>
    <hyperlink ref="N956" r:id="rId935" xr:uid="{00000000-0004-0000-0700-0000A6030000}"/>
    <hyperlink ref="N957" r:id="rId936" xr:uid="{00000000-0004-0000-0700-0000A7030000}"/>
    <hyperlink ref="N958" r:id="rId937" xr:uid="{00000000-0004-0000-0700-0000A8030000}"/>
    <hyperlink ref="N959" r:id="rId938" xr:uid="{00000000-0004-0000-0700-0000A9030000}"/>
    <hyperlink ref="N960" r:id="rId939" xr:uid="{00000000-0004-0000-0700-0000AA030000}"/>
    <hyperlink ref="N961" r:id="rId940" xr:uid="{00000000-0004-0000-0700-0000AB030000}"/>
    <hyperlink ref="N962" r:id="rId941" xr:uid="{00000000-0004-0000-0700-0000AC030000}"/>
    <hyperlink ref="N963" r:id="rId942" xr:uid="{00000000-0004-0000-0700-0000AD030000}"/>
    <hyperlink ref="N964" r:id="rId943" xr:uid="{00000000-0004-0000-0700-0000AE030000}"/>
    <hyperlink ref="N965" r:id="rId944" xr:uid="{00000000-0004-0000-0700-0000AF030000}"/>
    <hyperlink ref="N966" r:id="rId945" xr:uid="{00000000-0004-0000-0700-0000B0030000}"/>
    <hyperlink ref="N967" r:id="rId946" xr:uid="{00000000-0004-0000-0700-0000B1030000}"/>
    <hyperlink ref="N968" r:id="rId947" xr:uid="{00000000-0004-0000-0700-0000B2030000}"/>
    <hyperlink ref="N969" r:id="rId948" xr:uid="{00000000-0004-0000-0700-0000B3030000}"/>
    <hyperlink ref="N970" r:id="rId949" xr:uid="{00000000-0004-0000-0700-0000B4030000}"/>
    <hyperlink ref="N971" r:id="rId950" xr:uid="{00000000-0004-0000-0700-0000B5030000}"/>
    <hyperlink ref="N972" r:id="rId951" xr:uid="{00000000-0004-0000-0700-0000B6030000}"/>
    <hyperlink ref="N973" r:id="rId952" xr:uid="{00000000-0004-0000-0700-0000B7030000}"/>
    <hyperlink ref="N974" r:id="rId953" xr:uid="{00000000-0004-0000-0700-0000B8030000}"/>
    <hyperlink ref="N975" r:id="rId954" xr:uid="{00000000-0004-0000-0700-0000B9030000}"/>
    <hyperlink ref="N976" r:id="rId955" xr:uid="{00000000-0004-0000-0700-0000BA030000}"/>
    <hyperlink ref="N977" r:id="rId956" xr:uid="{00000000-0004-0000-0700-0000BB030000}"/>
    <hyperlink ref="N978" r:id="rId957" xr:uid="{00000000-0004-0000-0700-0000BC030000}"/>
    <hyperlink ref="N979" r:id="rId958" xr:uid="{00000000-0004-0000-0700-0000BD030000}"/>
    <hyperlink ref="N980" r:id="rId959" xr:uid="{00000000-0004-0000-0700-0000BE030000}"/>
    <hyperlink ref="N981" r:id="rId960" xr:uid="{00000000-0004-0000-0700-0000BF030000}"/>
    <hyperlink ref="N982" r:id="rId961" xr:uid="{00000000-0004-0000-0700-0000C0030000}"/>
    <hyperlink ref="N983" r:id="rId962" xr:uid="{00000000-0004-0000-0700-0000C1030000}"/>
    <hyperlink ref="N984" r:id="rId963" xr:uid="{00000000-0004-0000-0700-0000C2030000}"/>
    <hyperlink ref="N985" r:id="rId964" xr:uid="{00000000-0004-0000-0700-0000C3030000}"/>
    <hyperlink ref="N986" r:id="rId965" xr:uid="{00000000-0004-0000-0700-0000C4030000}"/>
    <hyperlink ref="N987" r:id="rId966" xr:uid="{00000000-0004-0000-0700-0000C5030000}"/>
    <hyperlink ref="N988" r:id="rId967" xr:uid="{00000000-0004-0000-0700-0000C6030000}"/>
    <hyperlink ref="N989" r:id="rId968" xr:uid="{00000000-0004-0000-0700-0000C7030000}"/>
    <hyperlink ref="N990" r:id="rId969" xr:uid="{00000000-0004-0000-0700-0000C8030000}"/>
    <hyperlink ref="N991" r:id="rId970" xr:uid="{00000000-0004-0000-0700-0000C9030000}"/>
    <hyperlink ref="N992" r:id="rId971" xr:uid="{00000000-0004-0000-0700-0000CA030000}"/>
    <hyperlink ref="N993" r:id="rId972" xr:uid="{00000000-0004-0000-0700-0000CB030000}"/>
    <hyperlink ref="N994" r:id="rId973" xr:uid="{00000000-0004-0000-0700-0000CC030000}"/>
    <hyperlink ref="N995" r:id="rId974" xr:uid="{00000000-0004-0000-0700-0000CD030000}"/>
    <hyperlink ref="N996" r:id="rId975" xr:uid="{00000000-0004-0000-0700-0000CE030000}"/>
    <hyperlink ref="N997" r:id="rId976" xr:uid="{00000000-0004-0000-0700-0000CF030000}"/>
    <hyperlink ref="N998" r:id="rId977" xr:uid="{00000000-0004-0000-0700-0000D0030000}"/>
    <hyperlink ref="N999" r:id="rId978" xr:uid="{00000000-0004-0000-0700-0000D1030000}"/>
    <hyperlink ref="N1000" r:id="rId979" xr:uid="{00000000-0004-0000-0700-0000D2030000}"/>
    <hyperlink ref="N1001" r:id="rId980" xr:uid="{00000000-0004-0000-0700-0000D3030000}"/>
    <hyperlink ref="N1002" r:id="rId981" xr:uid="{00000000-0004-0000-0700-0000D4030000}"/>
    <hyperlink ref="N1003" r:id="rId982" xr:uid="{00000000-0004-0000-0700-0000D5030000}"/>
    <hyperlink ref="N1004" r:id="rId983" xr:uid="{00000000-0004-0000-0700-0000D6030000}"/>
    <hyperlink ref="N1005" r:id="rId984" xr:uid="{00000000-0004-0000-0700-0000D7030000}"/>
    <hyperlink ref="N1006" r:id="rId985" xr:uid="{00000000-0004-0000-0700-0000D8030000}"/>
    <hyperlink ref="N1007" r:id="rId986" xr:uid="{00000000-0004-0000-0700-0000D9030000}"/>
    <hyperlink ref="N1008" r:id="rId987" xr:uid="{00000000-0004-0000-0700-0000DA030000}"/>
    <hyperlink ref="N1009" r:id="rId988" xr:uid="{00000000-0004-0000-0700-0000DB030000}"/>
    <hyperlink ref="N1010" r:id="rId989" xr:uid="{00000000-0004-0000-0700-0000DC030000}"/>
    <hyperlink ref="N1011" r:id="rId990" xr:uid="{00000000-0004-0000-0700-0000DD030000}"/>
    <hyperlink ref="N1012" r:id="rId991" xr:uid="{00000000-0004-0000-0700-0000DE030000}"/>
    <hyperlink ref="N1013" r:id="rId992" xr:uid="{00000000-0004-0000-0700-0000DF030000}"/>
    <hyperlink ref="N1014" r:id="rId993" xr:uid="{00000000-0004-0000-0700-0000E0030000}"/>
    <hyperlink ref="N1015" r:id="rId994" xr:uid="{00000000-0004-0000-0700-0000E1030000}"/>
    <hyperlink ref="N1016" r:id="rId995" xr:uid="{00000000-0004-0000-0700-0000E2030000}"/>
    <hyperlink ref="N1017" r:id="rId996" xr:uid="{00000000-0004-0000-0700-0000E3030000}"/>
    <hyperlink ref="N1018" r:id="rId997" xr:uid="{00000000-0004-0000-0700-0000E4030000}"/>
    <hyperlink ref="N1019" r:id="rId998" xr:uid="{00000000-0004-0000-0700-0000E5030000}"/>
    <hyperlink ref="N1020" r:id="rId999" xr:uid="{00000000-0004-0000-0700-0000E6030000}"/>
    <hyperlink ref="N1021" r:id="rId1000" xr:uid="{00000000-0004-0000-0700-0000E7030000}"/>
    <hyperlink ref="N1022" r:id="rId1001" xr:uid="{00000000-0004-0000-0700-0000E8030000}"/>
    <hyperlink ref="N1023" r:id="rId1002" xr:uid="{00000000-0004-0000-0700-0000E9030000}"/>
    <hyperlink ref="N1024" r:id="rId1003" xr:uid="{00000000-0004-0000-0700-0000EA030000}"/>
    <hyperlink ref="N1025" r:id="rId1004" xr:uid="{00000000-0004-0000-0700-0000EB030000}"/>
    <hyperlink ref="N1026" r:id="rId1005" xr:uid="{00000000-0004-0000-0700-0000EC030000}"/>
    <hyperlink ref="N1027" r:id="rId1006" xr:uid="{00000000-0004-0000-0700-0000ED030000}"/>
    <hyperlink ref="N1028" r:id="rId1007" xr:uid="{00000000-0004-0000-0700-0000EE030000}"/>
    <hyperlink ref="N1029" r:id="rId1008" xr:uid="{00000000-0004-0000-0700-0000EF030000}"/>
    <hyperlink ref="N1030" r:id="rId1009" xr:uid="{00000000-0004-0000-0700-0000F0030000}"/>
    <hyperlink ref="N1031" r:id="rId1010" xr:uid="{00000000-0004-0000-0700-0000F1030000}"/>
    <hyperlink ref="N1032" r:id="rId1011" xr:uid="{00000000-0004-0000-0700-0000F2030000}"/>
    <hyperlink ref="N1033" r:id="rId1012" xr:uid="{00000000-0004-0000-0700-0000F3030000}"/>
    <hyperlink ref="N1034" r:id="rId1013" xr:uid="{00000000-0004-0000-0700-0000F4030000}"/>
    <hyperlink ref="N1035" r:id="rId1014" xr:uid="{00000000-0004-0000-0700-0000F5030000}"/>
    <hyperlink ref="N1036" r:id="rId1015" xr:uid="{00000000-0004-0000-0700-0000F6030000}"/>
    <hyperlink ref="N1037" r:id="rId1016" xr:uid="{00000000-0004-0000-0700-0000F7030000}"/>
    <hyperlink ref="N1038" r:id="rId1017" xr:uid="{00000000-0004-0000-0700-0000F8030000}"/>
    <hyperlink ref="N1039" r:id="rId1018" xr:uid="{00000000-0004-0000-0700-0000F9030000}"/>
    <hyperlink ref="N1040" r:id="rId1019" xr:uid="{00000000-0004-0000-0700-0000FA030000}"/>
    <hyperlink ref="N1041" r:id="rId1020" xr:uid="{00000000-0004-0000-0700-0000FB030000}"/>
    <hyperlink ref="N1042" r:id="rId1021" xr:uid="{00000000-0004-0000-0700-0000FC030000}"/>
    <hyperlink ref="N1043" r:id="rId1022" xr:uid="{00000000-0004-0000-0700-0000FD030000}"/>
    <hyperlink ref="N1044" r:id="rId1023" xr:uid="{00000000-0004-0000-0700-0000FE030000}"/>
    <hyperlink ref="N1045" r:id="rId1024" xr:uid="{00000000-0004-0000-0700-0000FF030000}"/>
    <hyperlink ref="N1048" r:id="rId1025" xr:uid="{00000000-0004-0000-0700-000000040000}"/>
    <hyperlink ref="N1049" r:id="rId1026" xr:uid="{00000000-0004-0000-0700-000001040000}"/>
    <hyperlink ref="N1050" r:id="rId1027" xr:uid="{00000000-0004-0000-0700-000002040000}"/>
    <hyperlink ref="N1051" r:id="rId1028" xr:uid="{00000000-0004-0000-0700-000003040000}"/>
    <hyperlink ref="N1052" r:id="rId1029" xr:uid="{00000000-0004-0000-0700-000004040000}"/>
    <hyperlink ref="N1053" r:id="rId1030" xr:uid="{00000000-0004-0000-0700-000005040000}"/>
    <hyperlink ref="N1054" r:id="rId1031" xr:uid="{00000000-0004-0000-0700-000006040000}"/>
    <hyperlink ref="N1055" r:id="rId1032" xr:uid="{00000000-0004-0000-0700-000007040000}"/>
    <hyperlink ref="N1056" r:id="rId1033" xr:uid="{00000000-0004-0000-0700-000008040000}"/>
    <hyperlink ref="N1057" r:id="rId1034" xr:uid="{00000000-0004-0000-0700-000009040000}"/>
    <hyperlink ref="N1058" r:id="rId1035" xr:uid="{00000000-0004-0000-0700-00000A040000}"/>
    <hyperlink ref="N1059" r:id="rId1036" xr:uid="{00000000-0004-0000-0700-00000B040000}"/>
    <hyperlink ref="N1060" r:id="rId1037" xr:uid="{00000000-0004-0000-0700-00000C040000}"/>
    <hyperlink ref="N1061" r:id="rId1038" xr:uid="{00000000-0004-0000-0700-00000D040000}"/>
    <hyperlink ref="N1062" r:id="rId1039" xr:uid="{00000000-0004-0000-0700-00000E040000}"/>
    <hyperlink ref="N1063" r:id="rId1040" xr:uid="{00000000-0004-0000-0700-00000F040000}"/>
    <hyperlink ref="N1064" r:id="rId1041" xr:uid="{00000000-0004-0000-0700-000010040000}"/>
    <hyperlink ref="N1065" r:id="rId1042" xr:uid="{00000000-0004-0000-0700-000011040000}"/>
    <hyperlink ref="N1066" r:id="rId1043" xr:uid="{00000000-0004-0000-0700-000012040000}"/>
    <hyperlink ref="N1067" r:id="rId1044" xr:uid="{00000000-0004-0000-0700-000013040000}"/>
    <hyperlink ref="N1068" r:id="rId1045" xr:uid="{00000000-0004-0000-0700-000014040000}"/>
    <hyperlink ref="N1069" r:id="rId1046" xr:uid="{00000000-0004-0000-0700-000015040000}"/>
    <hyperlink ref="N1070" r:id="rId1047" xr:uid="{00000000-0004-0000-0700-000016040000}"/>
    <hyperlink ref="N1071" r:id="rId1048" xr:uid="{00000000-0004-0000-0700-000017040000}"/>
    <hyperlink ref="N1072" r:id="rId1049" xr:uid="{00000000-0004-0000-0700-000018040000}"/>
    <hyperlink ref="N1073" r:id="rId1050" xr:uid="{00000000-0004-0000-0700-000019040000}"/>
    <hyperlink ref="N1074" r:id="rId1051" xr:uid="{00000000-0004-0000-0700-00001A040000}"/>
    <hyperlink ref="N1075" r:id="rId1052" xr:uid="{00000000-0004-0000-0700-00001B040000}"/>
    <hyperlink ref="N1076" r:id="rId1053" xr:uid="{00000000-0004-0000-0700-00001C040000}"/>
    <hyperlink ref="N1077" r:id="rId1054" xr:uid="{00000000-0004-0000-0700-00001D040000}"/>
    <hyperlink ref="N1078" r:id="rId1055" xr:uid="{00000000-0004-0000-0700-00001E040000}"/>
    <hyperlink ref="N1079" r:id="rId1056" xr:uid="{00000000-0004-0000-0700-00001F040000}"/>
    <hyperlink ref="N1080" r:id="rId1057" xr:uid="{00000000-0004-0000-0700-000020040000}"/>
    <hyperlink ref="N1081" r:id="rId1058" xr:uid="{00000000-0004-0000-0700-000021040000}"/>
    <hyperlink ref="N1082" r:id="rId1059" xr:uid="{00000000-0004-0000-0700-000022040000}"/>
    <hyperlink ref="N1083" r:id="rId1060" xr:uid="{00000000-0004-0000-0700-000023040000}"/>
    <hyperlink ref="N1084" r:id="rId1061" xr:uid="{00000000-0004-0000-0700-000024040000}"/>
    <hyperlink ref="N1085" r:id="rId1062" xr:uid="{00000000-0004-0000-0700-000025040000}"/>
    <hyperlink ref="N1086" r:id="rId1063" xr:uid="{00000000-0004-0000-0700-000026040000}"/>
    <hyperlink ref="N1087" r:id="rId1064" xr:uid="{00000000-0004-0000-0700-000027040000}"/>
    <hyperlink ref="N1088" r:id="rId1065" xr:uid="{00000000-0004-0000-0700-000028040000}"/>
    <hyperlink ref="N1089" r:id="rId1066" xr:uid="{00000000-0004-0000-0700-000029040000}"/>
    <hyperlink ref="N1090" r:id="rId1067" xr:uid="{00000000-0004-0000-0700-00002A040000}"/>
    <hyperlink ref="N1091" r:id="rId1068" xr:uid="{00000000-0004-0000-0700-00002B040000}"/>
    <hyperlink ref="N1092" r:id="rId1069" xr:uid="{00000000-0004-0000-0700-00002C040000}"/>
    <hyperlink ref="N1093" r:id="rId1070" xr:uid="{00000000-0004-0000-0700-00002D040000}"/>
    <hyperlink ref="N1094" r:id="rId1071" xr:uid="{00000000-0004-0000-0700-00002E040000}"/>
    <hyperlink ref="N1095" r:id="rId1072" xr:uid="{00000000-0004-0000-0700-00002F040000}"/>
    <hyperlink ref="N1096" r:id="rId1073" xr:uid="{00000000-0004-0000-0700-000030040000}"/>
    <hyperlink ref="N1098" r:id="rId1074" xr:uid="{00000000-0004-0000-0700-000031040000}"/>
    <hyperlink ref="N1099" r:id="rId1075" xr:uid="{00000000-0004-0000-0700-000032040000}"/>
    <hyperlink ref="N1100" r:id="rId1076" xr:uid="{00000000-0004-0000-0700-000033040000}"/>
    <hyperlink ref="N1101" r:id="rId1077" xr:uid="{00000000-0004-0000-0700-000034040000}"/>
    <hyperlink ref="N1102" r:id="rId1078" xr:uid="{00000000-0004-0000-0700-000035040000}"/>
    <hyperlink ref="N1103" r:id="rId1079" xr:uid="{00000000-0004-0000-0700-000036040000}"/>
    <hyperlink ref="N1104" r:id="rId1080" xr:uid="{00000000-0004-0000-0700-000037040000}"/>
    <hyperlink ref="N1105" r:id="rId1081" xr:uid="{00000000-0004-0000-0700-000038040000}"/>
    <hyperlink ref="N1106" r:id="rId1082" xr:uid="{00000000-0004-0000-0700-000039040000}"/>
    <hyperlink ref="N1107" r:id="rId1083" xr:uid="{00000000-0004-0000-0700-00003A040000}"/>
    <hyperlink ref="N1108" r:id="rId1084" xr:uid="{00000000-0004-0000-0700-00003B040000}"/>
    <hyperlink ref="N1109" r:id="rId1085" xr:uid="{00000000-0004-0000-0700-00003C040000}"/>
    <hyperlink ref="N1110" r:id="rId1086" xr:uid="{00000000-0004-0000-0700-00003D040000}"/>
    <hyperlink ref="N1111" r:id="rId1087" xr:uid="{00000000-0004-0000-0700-00003E040000}"/>
    <hyperlink ref="N1112" r:id="rId1088" xr:uid="{00000000-0004-0000-0700-00003F040000}"/>
    <hyperlink ref="N1113" r:id="rId1089" xr:uid="{00000000-0004-0000-0700-000040040000}"/>
    <hyperlink ref="N1114" r:id="rId1090" xr:uid="{00000000-0004-0000-0700-000041040000}"/>
    <hyperlink ref="N1115" r:id="rId1091" xr:uid="{00000000-0004-0000-0700-000042040000}"/>
    <hyperlink ref="N1116" r:id="rId1092" xr:uid="{00000000-0004-0000-0700-000043040000}"/>
    <hyperlink ref="N1117" r:id="rId1093" xr:uid="{00000000-0004-0000-0700-000044040000}"/>
    <hyperlink ref="N1118" r:id="rId1094" xr:uid="{00000000-0004-0000-0700-000045040000}"/>
    <hyperlink ref="N1119" r:id="rId1095" xr:uid="{00000000-0004-0000-0700-000046040000}"/>
    <hyperlink ref="N1120" r:id="rId1096" xr:uid="{00000000-0004-0000-0700-000047040000}"/>
    <hyperlink ref="N1121" r:id="rId1097" xr:uid="{00000000-0004-0000-0700-000048040000}"/>
    <hyperlink ref="N1122" r:id="rId1098" xr:uid="{00000000-0004-0000-0700-000049040000}"/>
    <hyperlink ref="N1123" r:id="rId1099" xr:uid="{00000000-0004-0000-0700-00004A040000}"/>
    <hyperlink ref="N1124" r:id="rId1100" xr:uid="{00000000-0004-0000-0700-00004B040000}"/>
    <hyperlink ref="N1125" r:id="rId1101" xr:uid="{00000000-0004-0000-0700-00004C040000}"/>
    <hyperlink ref="N1126" r:id="rId1102" xr:uid="{00000000-0004-0000-0700-00004D040000}"/>
    <hyperlink ref="N1127" r:id="rId1103" xr:uid="{00000000-0004-0000-0700-00004E040000}"/>
    <hyperlink ref="N1128" r:id="rId1104" xr:uid="{00000000-0004-0000-0700-00004F040000}"/>
    <hyperlink ref="N1129" r:id="rId1105" xr:uid="{00000000-0004-0000-0700-000050040000}"/>
    <hyperlink ref="N1130" r:id="rId1106" xr:uid="{00000000-0004-0000-0700-000051040000}"/>
    <hyperlink ref="N1131" r:id="rId1107" xr:uid="{00000000-0004-0000-0700-000052040000}"/>
    <hyperlink ref="N1132" r:id="rId1108" xr:uid="{00000000-0004-0000-0700-000053040000}"/>
    <hyperlink ref="N1133" r:id="rId1109" xr:uid="{00000000-0004-0000-0700-000054040000}"/>
    <hyperlink ref="N1134" r:id="rId1110" xr:uid="{00000000-0004-0000-0700-000055040000}"/>
    <hyperlink ref="N1135" r:id="rId1111" xr:uid="{00000000-0004-0000-0700-000056040000}"/>
    <hyperlink ref="N1136" r:id="rId1112" xr:uid="{00000000-0004-0000-0700-000057040000}"/>
    <hyperlink ref="N1137" r:id="rId1113" xr:uid="{00000000-0004-0000-0700-000058040000}"/>
    <hyperlink ref="N1138" r:id="rId1114" xr:uid="{00000000-0004-0000-0700-000059040000}"/>
    <hyperlink ref="N1139" r:id="rId1115" xr:uid="{00000000-0004-0000-0700-00005A040000}"/>
    <hyperlink ref="N1140" r:id="rId1116" xr:uid="{00000000-0004-0000-0700-00005B040000}"/>
    <hyperlink ref="N1141" r:id="rId1117" xr:uid="{00000000-0004-0000-0700-00005C040000}"/>
    <hyperlink ref="N1142" r:id="rId1118" xr:uid="{00000000-0004-0000-0700-00005D040000}"/>
    <hyperlink ref="N1143" r:id="rId1119" xr:uid="{00000000-0004-0000-0700-00005E040000}"/>
    <hyperlink ref="N1144" r:id="rId1120" xr:uid="{00000000-0004-0000-0700-00005F040000}"/>
    <hyperlink ref="N1145" r:id="rId1121" xr:uid="{00000000-0004-0000-0700-000060040000}"/>
    <hyperlink ref="N1146" r:id="rId1122" xr:uid="{00000000-0004-0000-0700-000061040000}"/>
    <hyperlink ref="N1147" r:id="rId1123" xr:uid="{00000000-0004-0000-0700-000062040000}"/>
    <hyperlink ref="N1149" r:id="rId1124" xr:uid="{00000000-0004-0000-0700-000063040000}"/>
    <hyperlink ref="N1150" r:id="rId1125" xr:uid="{00000000-0004-0000-0700-000064040000}"/>
    <hyperlink ref="N1151" r:id="rId1126" xr:uid="{00000000-0004-0000-0700-000065040000}"/>
    <hyperlink ref="N1152" r:id="rId1127" xr:uid="{00000000-0004-0000-0700-000066040000}"/>
    <hyperlink ref="N1154" r:id="rId1128" xr:uid="{00000000-0004-0000-0700-000067040000}"/>
    <hyperlink ref="N1155" r:id="rId1129" xr:uid="{00000000-0004-0000-0700-000068040000}"/>
    <hyperlink ref="N1156" r:id="rId1130" xr:uid="{00000000-0004-0000-0700-000069040000}"/>
    <hyperlink ref="N1157" r:id="rId1131" xr:uid="{00000000-0004-0000-0700-00006A040000}"/>
    <hyperlink ref="N1158" r:id="rId1132" xr:uid="{00000000-0004-0000-0700-00006B040000}"/>
    <hyperlink ref="N1159" r:id="rId1133" xr:uid="{00000000-0004-0000-0700-00006C040000}"/>
    <hyperlink ref="N1160" r:id="rId1134" xr:uid="{00000000-0004-0000-0700-00006D040000}"/>
    <hyperlink ref="N1161" r:id="rId1135" xr:uid="{00000000-0004-0000-0700-00006E040000}"/>
    <hyperlink ref="N1162" r:id="rId1136" xr:uid="{00000000-0004-0000-0700-00006F040000}"/>
    <hyperlink ref="N1163" r:id="rId1137" xr:uid="{00000000-0004-0000-0700-000070040000}"/>
    <hyperlink ref="N1164" r:id="rId1138" xr:uid="{00000000-0004-0000-0700-000071040000}"/>
    <hyperlink ref="N1165" r:id="rId1139" xr:uid="{00000000-0004-0000-0700-000072040000}"/>
    <hyperlink ref="N1166" r:id="rId1140" xr:uid="{00000000-0004-0000-0700-000073040000}"/>
    <hyperlink ref="N1167" r:id="rId1141" xr:uid="{00000000-0004-0000-0700-000074040000}"/>
    <hyperlink ref="N1168" r:id="rId1142" xr:uid="{00000000-0004-0000-0700-000075040000}"/>
    <hyperlink ref="N1169" r:id="rId1143" xr:uid="{00000000-0004-0000-0700-000076040000}"/>
    <hyperlink ref="N1170" r:id="rId1144" xr:uid="{00000000-0004-0000-0700-000077040000}"/>
    <hyperlink ref="N1171" r:id="rId1145" xr:uid="{00000000-0004-0000-0700-000078040000}"/>
    <hyperlink ref="N1172" r:id="rId1146" xr:uid="{00000000-0004-0000-0700-000079040000}"/>
    <hyperlink ref="N1173" r:id="rId1147" xr:uid="{00000000-0004-0000-0700-00007A040000}"/>
    <hyperlink ref="N1174" r:id="rId1148" xr:uid="{00000000-0004-0000-0700-00007B040000}"/>
    <hyperlink ref="N1175" r:id="rId1149" xr:uid="{00000000-0004-0000-0700-00007C040000}"/>
    <hyperlink ref="N1176" r:id="rId1150" xr:uid="{00000000-0004-0000-0700-00007D040000}"/>
    <hyperlink ref="N1177" r:id="rId1151" xr:uid="{00000000-0004-0000-0700-00007E040000}"/>
    <hyperlink ref="N1178" r:id="rId1152" xr:uid="{00000000-0004-0000-0700-00007F040000}"/>
    <hyperlink ref="N1179" r:id="rId1153" xr:uid="{00000000-0004-0000-0700-000080040000}"/>
    <hyperlink ref="N1180" r:id="rId1154" xr:uid="{00000000-0004-0000-0700-000081040000}"/>
    <hyperlink ref="N1181" r:id="rId1155" xr:uid="{00000000-0004-0000-0700-000082040000}"/>
    <hyperlink ref="N1182" r:id="rId1156" xr:uid="{00000000-0004-0000-0700-000083040000}"/>
    <hyperlink ref="N1184" r:id="rId1157" xr:uid="{00000000-0004-0000-0700-000084040000}"/>
    <hyperlink ref="N1185" r:id="rId1158" xr:uid="{00000000-0004-0000-0700-000085040000}"/>
    <hyperlink ref="N1186" r:id="rId1159" xr:uid="{00000000-0004-0000-0700-000086040000}"/>
    <hyperlink ref="N1187" r:id="rId1160" xr:uid="{00000000-0004-0000-0700-000087040000}"/>
    <hyperlink ref="N1188" r:id="rId1161" xr:uid="{00000000-0004-0000-0700-000088040000}"/>
    <hyperlink ref="N1189" r:id="rId1162" xr:uid="{00000000-0004-0000-0700-000089040000}"/>
    <hyperlink ref="N1190" r:id="rId1163" xr:uid="{00000000-0004-0000-0700-00008A040000}"/>
    <hyperlink ref="N1191" r:id="rId1164" xr:uid="{00000000-0004-0000-0700-00008B040000}"/>
    <hyperlink ref="N1192" r:id="rId1165" xr:uid="{00000000-0004-0000-0700-00008C040000}"/>
    <hyperlink ref="N1193" r:id="rId1166" xr:uid="{00000000-0004-0000-0700-00008D040000}"/>
    <hyperlink ref="N1194" r:id="rId1167" xr:uid="{00000000-0004-0000-0700-00008E040000}"/>
    <hyperlink ref="N1195" r:id="rId1168" xr:uid="{00000000-0004-0000-0700-00008F040000}"/>
    <hyperlink ref="N1196" r:id="rId1169" xr:uid="{00000000-0004-0000-0700-000090040000}"/>
    <hyperlink ref="N1197" r:id="rId1170" xr:uid="{00000000-0004-0000-0700-000091040000}"/>
    <hyperlink ref="N1198" r:id="rId1171" xr:uid="{00000000-0004-0000-0700-000092040000}"/>
    <hyperlink ref="N1199" r:id="rId1172" xr:uid="{00000000-0004-0000-0700-000093040000}"/>
    <hyperlink ref="N1200" r:id="rId1173" xr:uid="{00000000-0004-0000-0700-000094040000}"/>
    <hyperlink ref="N1201" r:id="rId1174" xr:uid="{00000000-0004-0000-0700-000095040000}"/>
    <hyperlink ref="N1202" r:id="rId1175" xr:uid="{00000000-0004-0000-0700-000096040000}"/>
    <hyperlink ref="N1203" r:id="rId1176" xr:uid="{00000000-0004-0000-0700-000097040000}"/>
    <hyperlink ref="N1204" r:id="rId1177" xr:uid="{00000000-0004-0000-0700-000098040000}"/>
    <hyperlink ref="N1205" r:id="rId1178" xr:uid="{00000000-0004-0000-0700-000099040000}"/>
    <hyperlink ref="N1206" r:id="rId1179" xr:uid="{00000000-0004-0000-0700-00009A040000}"/>
    <hyperlink ref="N1207" r:id="rId1180" xr:uid="{00000000-0004-0000-0700-00009B040000}"/>
    <hyperlink ref="N1208" r:id="rId1181" xr:uid="{00000000-0004-0000-0700-00009C040000}"/>
    <hyperlink ref="N1210" r:id="rId1182" xr:uid="{00000000-0004-0000-0700-00009D040000}"/>
    <hyperlink ref="N1211" r:id="rId1183" xr:uid="{00000000-0004-0000-0700-00009E040000}"/>
    <hyperlink ref="N1212" r:id="rId1184" xr:uid="{00000000-0004-0000-0700-00009F040000}"/>
    <hyperlink ref="N1213" r:id="rId1185" xr:uid="{00000000-0004-0000-0700-0000A0040000}"/>
    <hyperlink ref="N1214" r:id="rId1186" xr:uid="{00000000-0004-0000-0700-0000A1040000}"/>
    <hyperlink ref="N1215" r:id="rId1187" xr:uid="{00000000-0004-0000-0700-0000A2040000}"/>
    <hyperlink ref="N1216" r:id="rId1188" xr:uid="{00000000-0004-0000-0700-0000A3040000}"/>
    <hyperlink ref="N1217" r:id="rId1189" xr:uid="{00000000-0004-0000-0700-0000A4040000}"/>
    <hyperlink ref="N1218" r:id="rId1190" xr:uid="{00000000-0004-0000-0700-0000A5040000}"/>
    <hyperlink ref="N1219" r:id="rId1191" xr:uid="{00000000-0004-0000-0700-0000A6040000}"/>
    <hyperlink ref="N1220" r:id="rId1192" xr:uid="{00000000-0004-0000-0700-0000A7040000}"/>
    <hyperlink ref="N1221" r:id="rId1193" xr:uid="{00000000-0004-0000-0700-0000A8040000}"/>
    <hyperlink ref="N1222" r:id="rId1194" xr:uid="{00000000-0004-0000-0700-0000A9040000}"/>
    <hyperlink ref="N1223" r:id="rId1195" xr:uid="{00000000-0004-0000-0700-0000AA040000}"/>
    <hyperlink ref="N1224" r:id="rId1196" xr:uid="{00000000-0004-0000-0700-0000AB040000}"/>
    <hyperlink ref="N1225" r:id="rId1197" xr:uid="{00000000-0004-0000-0700-0000AC040000}"/>
    <hyperlink ref="N1226" r:id="rId1198" xr:uid="{00000000-0004-0000-0700-0000AD040000}"/>
    <hyperlink ref="N1227" r:id="rId1199" xr:uid="{00000000-0004-0000-0700-0000AE040000}"/>
    <hyperlink ref="N1228" r:id="rId1200" xr:uid="{00000000-0004-0000-0700-0000AF040000}"/>
    <hyperlink ref="N1229" r:id="rId1201" xr:uid="{00000000-0004-0000-0700-0000B0040000}"/>
    <hyperlink ref="N1230" r:id="rId1202" xr:uid="{00000000-0004-0000-0700-0000B1040000}"/>
    <hyperlink ref="N1231" r:id="rId1203" xr:uid="{00000000-0004-0000-0700-0000B2040000}"/>
    <hyperlink ref="N1232" r:id="rId1204" xr:uid="{00000000-0004-0000-0700-0000B3040000}"/>
    <hyperlink ref="N1233" r:id="rId1205" xr:uid="{00000000-0004-0000-0700-0000B4040000}"/>
    <hyperlink ref="N1234" r:id="rId1206" xr:uid="{00000000-0004-0000-0700-0000B5040000}"/>
    <hyperlink ref="N1235" r:id="rId1207" xr:uid="{00000000-0004-0000-0700-0000B6040000}"/>
    <hyperlink ref="N1237" r:id="rId1208" xr:uid="{00000000-0004-0000-0700-0000B7040000}"/>
    <hyperlink ref="N1238" r:id="rId1209" xr:uid="{00000000-0004-0000-0700-0000B8040000}"/>
    <hyperlink ref="N1242" r:id="rId1210" xr:uid="{00000000-0004-0000-0700-0000B9040000}"/>
    <hyperlink ref="N1243" r:id="rId1211" xr:uid="{00000000-0004-0000-0700-0000BA040000}"/>
    <hyperlink ref="N1244" r:id="rId1212" xr:uid="{00000000-0004-0000-0700-0000BB040000}"/>
    <hyperlink ref="N1245" r:id="rId1213" xr:uid="{00000000-0004-0000-0700-0000BC040000}"/>
    <hyperlink ref="N1246" r:id="rId1214" xr:uid="{00000000-0004-0000-0700-0000BD040000}"/>
    <hyperlink ref="N1247" r:id="rId1215" xr:uid="{00000000-0004-0000-0700-0000BE040000}"/>
    <hyperlink ref="N1248" r:id="rId1216" xr:uid="{00000000-0004-0000-0700-0000BF040000}"/>
    <hyperlink ref="N1249" r:id="rId1217" xr:uid="{00000000-0004-0000-0700-0000C0040000}"/>
    <hyperlink ref="N1250" r:id="rId1218" xr:uid="{00000000-0004-0000-0700-0000C1040000}"/>
    <hyperlink ref="N1251" r:id="rId1219" xr:uid="{00000000-0004-0000-0700-0000C2040000}"/>
    <hyperlink ref="N1252" r:id="rId1220" xr:uid="{00000000-0004-0000-0700-0000C3040000}"/>
    <hyperlink ref="N1253" r:id="rId1221" xr:uid="{00000000-0004-0000-0700-0000C4040000}"/>
    <hyperlink ref="N1254" r:id="rId1222" xr:uid="{00000000-0004-0000-0700-0000C5040000}"/>
    <hyperlink ref="N1255" r:id="rId1223" xr:uid="{00000000-0004-0000-0700-0000C6040000}"/>
    <hyperlink ref="N1256" r:id="rId1224" xr:uid="{00000000-0004-0000-0700-0000C7040000}"/>
    <hyperlink ref="N1257" r:id="rId1225" xr:uid="{00000000-0004-0000-0700-0000C8040000}"/>
    <hyperlink ref="N1258" r:id="rId1226" xr:uid="{00000000-0004-0000-0700-0000C9040000}"/>
    <hyperlink ref="N1259" r:id="rId1227" xr:uid="{00000000-0004-0000-0700-0000CA040000}"/>
    <hyperlink ref="N1260" r:id="rId1228" xr:uid="{00000000-0004-0000-0700-0000CB040000}"/>
    <hyperlink ref="N1261" r:id="rId1229" xr:uid="{00000000-0004-0000-0700-0000CC040000}"/>
    <hyperlink ref="N1262" r:id="rId1230" xr:uid="{00000000-0004-0000-0700-0000CD040000}"/>
    <hyperlink ref="N1263" r:id="rId1231" xr:uid="{00000000-0004-0000-0700-0000CE040000}"/>
    <hyperlink ref="N1264" r:id="rId1232" xr:uid="{00000000-0004-0000-0700-0000CF040000}"/>
    <hyperlink ref="N1265" r:id="rId1233" xr:uid="{00000000-0004-0000-0700-0000D0040000}"/>
    <hyperlink ref="N1266" r:id="rId1234" xr:uid="{00000000-0004-0000-0700-0000D1040000}"/>
    <hyperlink ref="N1267" r:id="rId1235" xr:uid="{00000000-0004-0000-0700-0000D2040000}"/>
    <hyperlink ref="N1268" r:id="rId1236" xr:uid="{00000000-0004-0000-0700-0000D3040000}"/>
    <hyperlink ref="N1269" r:id="rId1237" xr:uid="{00000000-0004-0000-0700-0000D4040000}"/>
    <hyperlink ref="N1270" r:id="rId1238" xr:uid="{00000000-0004-0000-0700-0000D5040000}"/>
    <hyperlink ref="N1271" r:id="rId1239" xr:uid="{00000000-0004-0000-0700-0000D6040000}"/>
    <hyperlink ref="N1272" r:id="rId1240" xr:uid="{00000000-0004-0000-0700-0000D7040000}"/>
    <hyperlink ref="N1273" r:id="rId1241" xr:uid="{00000000-0004-0000-0700-0000D8040000}"/>
    <hyperlink ref="N1274" r:id="rId1242" xr:uid="{00000000-0004-0000-0700-0000D9040000}"/>
    <hyperlink ref="N1275" r:id="rId1243" xr:uid="{00000000-0004-0000-0700-0000DA040000}"/>
    <hyperlink ref="N1276" r:id="rId1244" xr:uid="{00000000-0004-0000-0700-0000DB040000}"/>
    <hyperlink ref="N1277" r:id="rId1245" xr:uid="{00000000-0004-0000-0700-0000DC040000}"/>
    <hyperlink ref="N1278" r:id="rId1246" xr:uid="{00000000-0004-0000-0700-0000DD040000}"/>
    <hyperlink ref="N1279" r:id="rId1247" xr:uid="{00000000-0004-0000-0700-0000DE040000}"/>
    <hyperlink ref="N1280" r:id="rId1248" xr:uid="{00000000-0004-0000-0700-0000DF040000}"/>
    <hyperlink ref="N1281" r:id="rId1249" xr:uid="{00000000-0004-0000-0700-0000E0040000}"/>
    <hyperlink ref="N1282" r:id="rId1250" xr:uid="{00000000-0004-0000-0700-0000E1040000}"/>
    <hyperlink ref="N1283" r:id="rId1251" xr:uid="{00000000-0004-0000-0700-0000E2040000}"/>
    <hyperlink ref="N1284" r:id="rId1252" xr:uid="{00000000-0004-0000-0700-0000E3040000}"/>
    <hyperlink ref="N1285" r:id="rId1253" xr:uid="{00000000-0004-0000-0700-0000E4040000}"/>
    <hyperlink ref="N1286" r:id="rId1254" xr:uid="{00000000-0004-0000-0700-0000E5040000}"/>
    <hyperlink ref="N1287" r:id="rId1255" xr:uid="{00000000-0004-0000-0700-0000E6040000}"/>
    <hyperlink ref="N1288" r:id="rId1256" xr:uid="{00000000-0004-0000-0700-0000E7040000}"/>
    <hyperlink ref="N1289" r:id="rId1257" xr:uid="{00000000-0004-0000-0700-0000E8040000}"/>
    <hyperlink ref="N1290" r:id="rId1258" xr:uid="{00000000-0004-0000-0700-0000E9040000}"/>
    <hyperlink ref="N1291" r:id="rId1259" xr:uid="{00000000-0004-0000-0700-0000EA040000}"/>
    <hyperlink ref="N1292" r:id="rId1260" xr:uid="{00000000-0004-0000-0700-0000EB040000}"/>
    <hyperlink ref="N1293" r:id="rId1261" xr:uid="{00000000-0004-0000-0700-0000EC040000}"/>
    <hyperlink ref="N1294" r:id="rId1262" xr:uid="{00000000-0004-0000-0700-0000ED040000}"/>
    <hyperlink ref="N1295" r:id="rId1263" xr:uid="{00000000-0004-0000-0700-0000EE040000}"/>
    <hyperlink ref="N1296" r:id="rId1264" xr:uid="{00000000-0004-0000-0700-0000EF040000}"/>
    <hyperlink ref="N1297" r:id="rId1265" xr:uid="{00000000-0004-0000-0700-0000F0040000}"/>
    <hyperlink ref="N1298" r:id="rId1266" xr:uid="{00000000-0004-0000-0700-0000F1040000}"/>
    <hyperlink ref="N1299" r:id="rId1267" xr:uid="{00000000-0004-0000-0700-0000F2040000}"/>
    <hyperlink ref="N1300" r:id="rId1268" xr:uid="{00000000-0004-0000-0700-0000F3040000}"/>
    <hyperlink ref="N1301" r:id="rId1269" xr:uid="{00000000-0004-0000-0700-0000F4040000}"/>
    <hyperlink ref="N1302" r:id="rId1270" xr:uid="{00000000-0004-0000-0700-0000F5040000}"/>
    <hyperlink ref="N1303" r:id="rId1271" xr:uid="{00000000-0004-0000-0700-0000F6040000}"/>
    <hyperlink ref="N1304" r:id="rId1272" xr:uid="{00000000-0004-0000-0700-0000F7040000}"/>
    <hyperlink ref="N1305" r:id="rId1273" xr:uid="{00000000-0004-0000-0700-0000F8040000}"/>
    <hyperlink ref="N1306" r:id="rId1274" xr:uid="{00000000-0004-0000-0700-0000F9040000}"/>
    <hyperlink ref="N1307" r:id="rId1275" xr:uid="{00000000-0004-0000-0700-0000FA040000}"/>
    <hyperlink ref="N1308" r:id="rId1276" xr:uid="{00000000-0004-0000-0700-0000FB040000}"/>
    <hyperlink ref="N1309" r:id="rId1277" xr:uid="{00000000-0004-0000-0700-0000FC040000}"/>
    <hyperlink ref="N1310" r:id="rId1278" xr:uid="{00000000-0004-0000-0700-0000FD040000}"/>
    <hyperlink ref="N1311" r:id="rId1279" xr:uid="{00000000-0004-0000-0700-0000FE040000}"/>
    <hyperlink ref="N1312" r:id="rId1280" xr:uid="{00000000-0004-0000-0700-0000FF040000}"/>
    <hyperlink ref="N1313" r:id="rId1281" xr:uid="{00000000-0004-0000-0700-000000050000}"/>
    <hyperlink ref="N1314" r:id="rId1282" xr:uid="{00000000-0004-0000-0700-000001050000}"/>
    <hyperlink ref="N1315" r:id="rId1283" xr:uid="{00000000-0004-0000-0700-000002050000}"/>
    <hyperlink ref="N1316" r:id="rId1284" xr:uid="{00000000-0004-0000-0700-000003050000}"/>
    <hyperlink ref="N1317" r:id="rId1285" xr:uid="{00000000-0004-0000-0700-000004050000}"/>
    <hyperlink ref="N1318" r:id="rId1286" xr:uid="{00000000-0004-0000-0700-000005050000}"/>
    <hyperlink ref="N1319" r:id="rId1287" xr:uid="{00000000-0004-0000-0700-000006050000}"/>
    <hyperlink ref="N1320" r:id="rId1288" xr:uid="{00000000-0004-0000-0700-000007050000}"/>
    <hyperlink ref="N1321" r:id="rId1289" xr:uid="{00000000-0004-0000-0700-000008050000}"/>
    <hyperlink ref="N1322" r:id="rId1290" xr:uid="{00000000-0004-0000-0700-000009050000}"/>
    <hyperlink ref="N1323" r:id="rId1291" xr:uid="{00000000-0004-0000-0700-00000A050000}"/>
    <hyperlink ref="N1324" r:id="rId1292" xr:uid="{00000000-0004-0000-0700-00000B050000}"/>
    <hyperlink ref="N1325" r:id="rId1293" xr:uid="{00000000-0004-0000-0700-00000C050000}"/>
    <hyperlink ref="N1326" r:id="rId1294" xr:uid="{00000000-0004-0000-0700-00000D050000}"/>
    <hyperlink ref="N1327" r:id="rId1295" xr:uid="{00000000-0004-0000-0700-00000E050000}"/>
    <hyperlink ref="N1328" r:id="rId1296" xr:uid="{00000000-0004-0000-0700-00000F050000}"/>
    <hyperlink ref="N1330" r:id="rId1297" xr:uid="{00000000-0004-0000-0700-000010050000}"/>
    <hyperlink ref="N1331" r:id="rId1298" xr:uid="{00000000-0004-0000-0700-000011050000}"/>
    <hyperlink ref="N1332" r:id="rId1299" xr:uid="{00000000-0004-0000-0700-000012050000}"/>
    <hyperlink ref="N1333" r:id="rId1300" xr:uid="{00000000-0004-0000-0700-000013050000}"/>
    <hyperlink ref="N1334" r:id="rId1301" xr:uid="{00000000-0004-0000-0700-000014050000}"/>
    <hyperlink ref="N1336" r:id="rId1302" xr:uid="{00000000-0004-0000-0700-000015050000}"/>
    <hyperlink ref="N1337" r:id="rId1303" xr:uid="{00000000-0004-0000-0700-000016050000}"/>
    <hyperlink ref="N1338" r:id="rId1304" xr:uid="{00000000-0004-0000-0700-000017050000}"/>
    <hyperlink ref="N1339" r:id="rId1305" xr:uid="{00000000-0004-0000-0700-000018050000}"/>
    <hyperlink ref="N1340" r:id="rId1306" xr:uid="{00000000-0004-0000-0700-000019050000}"/>
    <hyperlink ref="N1341" r:id="rId1307" xr:uid="{00000000-0004-0000-0700-00001A050000}"/>
    <hyperlink ref="N1342" r:id="rId1308" xr:uid="{00000000-0004-0000-0700-00001B050000}"/>
    <hyperlink ref="N1344" r:id="rId1309" xr:uid="{00000000-0004-0000-0700-00001C050000}"/>
    <hyperlink ref="N1345" r:id="rId1310" xr:uid="{00000000-0004-0000-0700-00001D050000}"/>
    <hyperlink ref="N1346" r:id="rId1311" xr:uid="{00000000-0004-0000-0700-00001E050000}"/>
    <hyperlink ref="N1347" r:id="rId1312" xr:uid="{00000000-0004-0000-0700-00001F050000}"/>
    <hyperlink ref="N1348" r:id="rId1313" xr:uid="{00000000-0004-0000-0700-000020050000}"/>
    <hyperlink ref="N1349" r:id="rId1314" xr:uid="{00000000-0004-0000-0700-000021050000}"/>
    <hyperlink ref="N1350" r:id="rId1315" xr:uid="{00000000-0004-0000-0700-000022050000}"/>
    <hyperlink ref="N1351" r:id="rId1316" xr:uid="{00000000-0004-0000-0700-000023050000}"/>
    <hyperlink ref="N1352" r:id="rId1317" xr:uid="{00000000-0004-0000-0700-000024050000}"/>
    <hyperlink ref="N1353" r:id="rId1318" xr:uid="{00000000-0004-0000-0700-000025050000}"/>
    <hyperlink ref="N1354" r:id="rId1319" xr:uid="{00000000-0004-0000-0700-000026050000}"/>
    <hyperlink ref="N1355" r:id="rId1320" xr:uid="{00000000-0004-0000-0700-000027050000}"/>
    <hyperlink ref="N1356" r:id="rId1321" xr:uid="{00000000-0004-0000-0700-000028050000}"/>
    <hyperlink ref="N1357" r:id="rId1322" xr:uid="{00000000-0004-0000-0700-000029050000}"/>
    <hyperlink ref="N1358" r:id="rId1323" xr:uid="{00000000-0004-0000-0700-00002A050000}"/>
    <hyperlink ref="N1359" r:id="rId1324" xr:uid="{00000000-0004-0000-0700-00002B050000}"/>
    <hyperlink ref="N1360" r:id="rId1325" xr:uid="{00000000-0004-0000-0700-00002C050000}"/>
    <hyperlink ref="N1361" r:id="rId1326" xr:uid="{00000000-0004-0000-0700-00002D050000}"/>
    <hyperlink ref="N1362" r:id="rId1327" xr:uid="{00000000-0004-0000-0700-00002E050000}"/>
    <hyperlink ref="N1363" r:id="rId1328" xr:uid="{00000000-0004-0000-0700-00002F050000}"/>
    <hyperlink ref="N1364" r:id="rId1329" xr:uid="{00000000-0004-0000-0700-000030050000}"/>
    <hyperlink ref="N1365" r:id="rId1330" xr:uid="{00000000-0004-0000-0700-000031050000}"/>
    <hyperlink ref="N1366" r:id="rId1331" xr:uid="{00000000-0004-0000-0700-000032050000}"/>
    <hyperlink ref="N1367" r:id="rId1332" xr:uid="{00000000-0004-0000-0700-000033050000}"/>
    <hyperlink ref="N1368" r:id="rId1333" xr:uid="{00000000-0004-0000-0700-000034050000}"/>
    <hyperlink ref="N1369" r:id="rId1334" xr:uid="{00000000-0004-0000-0700-000035050000}"/>
    <hyperlink ref="N1370" r:id="rId1335" xr:uid="{00000000-0004-0000-0700-000036050000}"/>
    <hyperlink ref="N1371" r:id="rId1336" xr:uid="{00000000-0004-0000-0700-000037050000}"/>
    <hyperlink ref="N1372" r:id="rId1337" xr:uid="{00000000-0004-0000-0700-000038050000}"/>
    <hyperlink ref="N1373" r:id="rId1338" xr:uid="{00000000-0004-0000-0700-000039050000}"/>
    <hyperlink ref="N1374" r:id="rId1339" xr:uid="{00000000-0004-0000-0700-00003A050000}"/>
    <hyperlink ref="N1375" r:id="rId1340" xr:uid="{00000000-0004-0000-0700-00003B050000}"/>
    <hyperlink ref="N1376" r:id="rId1341" xr:uid="{00000000-0004-0000-0700-00003C050000}"/>
    <hyperlink ref="N1377" r:id="rId1342" xr:uid="{00000000-0004-0000-0700-00003D050000}"/>
    <hyperlink ref="N1378" r:id="rId1343" xr:uid="{00000000-0004-0000-0700-00003E050000}"/>
    <hyperlink ref="N1379" r:id="rId1344" xr:uid="{00000000-0004-0000-0700-00003F050000}"/>
    <hyperlink ref="N1380" r:id="rId1345" xr:uid="{00000000-0004-0000-0700-000040050000}"/>
    <hyperlink ref="N1381" r:id="rId1346" xr:uid="{00000000-0004-0000-0700-000041050000}"/>
    <hyperlink ref="N1382" r:id="rId1347" xr:uid="{00000000-0004-0000-0700-000042050000}"/>
    <hyperlink ref="N1383" r:id="rId1348" xr:uid="{00000000-0004-0000-0700-000043050000}"/>
    <hyperlink ref="N1384" r:id="rId1349" xr:uid="{00000000-0004-0000-0700-000044050000}"/>
    <hyperlink ref="N1385" r:id="rId1350" xr:uid="{00000000-0004-0000-0700-000045050000}"/>
    <hyperlink ref="N1386" r:id="rId1351" xr:uid="{00000000-0004-0000-0700-000046050000}"/>
    <hyperlink ref="N1387" r:id="rId1352" xr:uid="{00000000-0004-0000-0700-000047050000}"/>
    <hyperlink ref="N1388" r:id="rId1353" xr:uid="{00000000-0004-0000-0700-000048050000}"/>
    <hyperlink ref="N1389" r:id="rId1354" xr:uid="{00000000-0004-0000-0700-000049050000}"/>
    <hyperlink ref="N1390" r:id="rId1355" xr:uid="{00000000-0004-0000-0700-00004A050000}"/>
    <hyperlink ref="N1391" r:id="rId1356" xr:uid="{00000000-0004-0000-0700-00004B050000}"/>
    <hyperlink ref="N1392" r:id="rId1357" xr:uid="{00000000-0004-0000-0700-00004C050000}"/>
    <hyperlink ref="N1394" r:id="rId1358" xr:uid="{00000000-0004-0000-0700-00004D050000}"/>
    <hyperlink ref="N1395" r:id="rId1359" xr:uid="{00000000-0004-0000-0700-00004E050000}"/>
    <hyperlink ref="N1396" r:id="rId1360" xr:uid="{00000000-0004-0000-0700-00004F050000}"/>
    <hyperlink ref="N1397" r:id="rId1361" xr:uid="{00000000-0004-0000-0700-000050050000}"/>
    <hyperlink ref="N1398" r:id="rId1362" xr:uid="{00000000-0004-0000-0700-000051050000}"/>
    <hyperlink ref="N1399" r:id="rId1363" xr:uid="{00000000-0004-0000-0700-000052050000}"/>
    <hyperlink ref="N1400" r:id="rId1364" xr:uid="{00000000-0004-0000-0700-000053050000}"/>
    <hyperlink ref="N1401" r:id="rId1365" xr:uid="{00000000-0004-0000-0700-000054050000}"/>
    <hyperlink ref="N1402" r:id="rId1366" xr:uid="{00000000-0004-0000-0700-000055050000}"/>
    <hyperlink ref="N1403" r:id="rId1367" xr:uid="{00000000-0004-0000-0700-000056050000}"/>
    <hyperlink ref="N1404" r:id="rId1368" xr:uid="{00000000-0004-0000-0700-000057050000}"/>
    <hyperlink ref="N1405" r:id="rId1369" xr:uid="{00000000-0004-0000-0700-000058050000}"/>
    <hyperlink ref="N1406" r:id="rId1370" xr:uid="{00000000-0004-0000-0700-000059050000}"/>
    <hyperlink ref="N1407" r:id="rId1371" xr:uid="{00000000-0004-0000-0700-00005A050000}"/>
    <hyperlink ref="N1408" r:id="rId1372" xr:uid="{00000000-0004-0000-0700-00005B050000}"/>
    <hyperlink ref="N1409" r:id="rId1373" xr:uid="{00000000-0004-0000-0700-00005C050000}"/>
    <hyperlink ref="N1410" r:id="rId1374" xr:uid="{00000000-0004-0000-0700-00005D050000}"/>
    <hyperlink ref="N1411" r:id="rId1375" xr:uid="{00000000-0004-0000-0700-00005E050000}"/>
    <hyperlink ref="N1412" r:id="rId1376" xr:uid="{00000000-0004-0000-0700-00005F050000}"/>
    <hyperlink ref="N1413" r:id="rId1377" xr:uid="{00000000-0004-0000-0700-000060050000}"/>
    <hyperlink ref="N1414" r:id="rId1378" xr:uid="{00000000-0004-0000-0700-000061050000}"/>
    <hyperlink ref="N1415" r:id="rId1379" xr:uid="{00000000-0004-0000-0700-000062050000}"/>
    <hyperlink ref="N1416" r:id="rId1380" xr:uid="{00000000-0004-0000-0700-000063050000}"/>
    <hyperlink ref="N1417" r:id="rId1381" xr:uid="{00000000-0004-0000-0700-000064050000}"/>
    <hyperlink ref="N1418" r:id="rId1382" xr:uid="{00000000-0004-0000-0700-000065050000}"/>
    <hyperlink ref="N1419" r:id="rId1383" xr:uid="{00000000-0004-0000-0700-000066050000}"/>
    <hyperlink ref="N1420" r:id="rId1384" xr:uid="{00000000-0004-0000-0700-000067050000}"/>
    <hyperlink ref="N1421" r:id="rId1385" xr:uid="{00000000-0004-0000-0700-000068050000}"/>
    <hyperlink ref="N1422" r:id="rId1386" xr:uid="{00000000-0004-0000-0700-000069050000}"/>
    <hyperlink ref="N1423" r:id="rId1387" xr:uid="{00000000-0004-0000-0700-00006A050000}"/>
    <hyperlink ref="N1424" r:id="rId1388" xr:uid="{00000000-0004-0000-0700-00006B050000}"/>
    <hyperlink ref="N1425" r:id="rId1389" xr:uid="{00000000-0004-0000-0700-00006C050000}"/>
    <hyperlink ref="N1426" r:id="rId1390" xr:uid="{00000000-0004-0000-0700-00006D050000}"/>
    <hyperlink ref="N1427" r:id="rId1391" xr:uid="{00000000-0004-0000-0700-00006E050000}"/>
    <hyperlink ref="N1428" r:id="rId1392" xr:uid="{00000000-0004-0000-0700-00006F050000}"/>
    <hyperlink ref="N1429" r:id="rId1393" xr:uid="{00000000-0004-0000-0700-000070050000}"/>
    <hyperlink ref="N1430" r:id="rId1394" xr:uid="{00000000-0004-0000-0700-000071050000}"/>
    <hyperlink ref="N1431" r:id="rId1395" xr:uid="{00000000-0004-0000-0700-000072050000}"/>
    <hyperlink ref="N1432" r:id="rId1396" xr:uid="{00000000-0004-0000-0700-000073050000}"/>
    <hyperlink ref="N1433" r:id="rId1397" xr:uid="{00000000-0004-0000-0700-000074050000}"/>
    <hyperlink ref="N1434" r:id="rId1398" xr:uid="{00000000-0004-0000-0700-000075050000}"/>
    <hyperlink ref="N1435" r:id="rId1399" xr:uid="{00000000-0004-0000-0700-000076050000}"/>
    <hyperlink ref="N1436" r:id="rId1400" xr:uid="{00000000-0004-0000-0700-000077050000}"/>
    <hyperlink ref="N1437" r:id="rId1401" xr:uid="{00000000-0004-0000-0700-000078050000}"/>
    <hyperlink ref="N1438" r:id="rId1402" xr:uid="{00000000-0004-0000-0700-000079050000}"/>
    <hyperlink ref="N1439" r:id="rId1403" xr:uid="{00000000-0004-0000-0700-00007A050000}"/>
    <hyperlink ref="N1440" r:id="rId1404" xr:uid="{00000000-0004-0000-0700-00007B050000}"/>
    <hyperlink ref="N1441" r:id="rId1405" xr:uid="{00000000-0004-0000-0700-00007C050000}"/>
    <hyperlink ref="N1442" r:id="rId1406" xr:uid="{00000000-0004-0000-0700-00007D050000}"/>
    <hyperlink ref="N1443" r:id="rId1407" xr:uid="{00000000-0004-0000-0700-00007E050000}"/>
    <hyperlink ref="N1444" r:id="rId1408" xr:uid="{00000000-0004-0000-0700-00007F050000}"/>
    <hyperlink ref="N1445" r:id="rId1409" xr:uid="{00000000-0004-0000-0700-000080050000}"/>
    <hyperlink ref="N1446" r:id="rId1410" xr:uid="{00000000-0004-0000-0700-000081050000}"/>
    <hyperlink ref="N1447" r:id="rId1411" xr:uid="{00000000-0004-0000-0700-000082050000}"/>
    <hyperlink ref="N1448" r:id="rId1412" xr:uid="{00000000-0004-0000-0700-000083050000}"/>
    <hyperlink ref="N1449" r:id="rId1413" xr:uid="{00000000-0004-0000-0700-000084050000}"/>
    <hyperlink ref="N1450" r:id="rId1414" xr:uid="{00000000-0004-0000-0700-000085050000}"/>
    <hyperlink ref="N1451" r:id="rId1415" xr:uid="{00000000-0004-0000-0700-000086050000}"/>
    <hyperlink ref="N1452" r:id="rId1416" xr:uid="{00000000-0004-0000-0700-000087050000}"/>
    <hyperlink ref="N1453" r:id="rId1417" xr:uid="{00000000-0004-0000-0700-000088050000}"/>
    <hyperlink ref="N1454" r:id="rId1418" xr:uid="{00000000-0004-0000-0700-000089050000}"/>
    <hyperlink ref="N1455" r:id="rId1419" xr:uid="{00000000-0004-0000-0700-00008A050000}"/>
    <hyperlink ref="N1456" r:id="rId1420" xr:uid="{00000000-0004-0000-0700-00008B050000}"/>
    <hyperlink ref="N1457" r:id="rId1421" xr:uid="{00000000-0004-0000-0700-00008C050000}"/>
    <hyperlink ref="N1458" r:id="rId1422" xr:uid="{00000000-0004-0000-0700-00008D050000}"/>
    <hyperlink ref="N1459" r:id="rId1423" xr:uid="{00000000-0004-0000-0700-00008E050000}"/>
    <hyperlink ref="N1460" r:id="rId1424" xr:uid="{00000000-0004-0000-0700-00008F050000}"/>
    <hyperlink ref="N1461" r:id="rId1425" xr:uid="{00000000-0004-0000-0700-000090050000}"/>
    <hyperlink ref="N1462" r:id="rId1426" xr:uid="{00000000-0004-0000-0700-000091050000}"/>
    <hyperlink ref="N1463" r:id="rId1427" xr:uid="{00000000-0004-0000-0700-000092050000}"/>
    <hyperlink ref="N1464" r:id="rId1428" xr:uid="{00000000-0004-0000-0700-000093050000}"/>
    <hyperlink ref="N1465" r:id="rId1429" xr:uid="{00000000-0004-0000-0700-000094050000}"/>
    <hyperlink ref="N1466" r:id="rId1430" xr:uid="{00000000-0004-0000-0700-000095050000}"/>
    <hyperlink ref="N1467" r:id="rId1431" xr:uid="{00000000-0004-0000-0700-000096050000}"/>
    <hyperlink ref="N1468" r:id="rId1432" xr:uid="{00000000-0004-0000-0700-000097050000}"/>
    <hyperlink ref="N1469" r:id="rId1433" xr:uid="{00000000-0004-0000-0700-000098050000}"/>
    <hyperlink ref="N1470" r:id="rId1434" xr:uid="{00000000-0004-0000-0700-000099050000}"/>
    <hyperlink ref="N1471" r:id="rId1435" xr:uid="{00000000-0004-0000-0700-00009A050000}"/>
    <hyperlink ref="N1472" r:id="rId1436" xr:uid="{00000000-0004-0000-0700-00009B050000}"/>
    <hyperlink ref="N1473" r:id="rId1437" xr:uid="{00000000-0004-0000-0700-00009C050000}"/>
    <hyperlink ref="N1474" r:id="rId1438" xr:uid="{00000000-0004-0000-0700-00009D050000}"/>
    <hyperlink ref="N1475" r:id="rId1439" xr:uid="{00000000-0004-0000-0700-00009E050000}"/>
    <hyperlink ref="N1476" r:id="rId1440" xr:uid="{00000000-0004-0000-0700-00009F050000}"/>
    <hyperlink ref="N1477" r:id="rId1441" xr:uid="{00000000-0004-0000-0700-0000A0050000}"/>
    <hyperlink ref="N1478" r:id="rId1442" xr:uid="{00000000-0004-0000-0700-0000A1050000}"/>
    <hyperlink ref="N1479" r:id="rId1443" xr:uid="{00000000-0004-0000-0700-0000A2050000}"/>
    <hyperlink ref="N1480" r:id="rId1444" xr:uid="{00000000-0004-0000-0700-0000A3050000}"/>
    <hyperlink ref="N1481" r:id="rId1445" xr:uid="{00000000-0004-0000-0700-0000A4050000}"/>
    <hyperlink ref="N1482" r:id="rId1446" xr:uid="{00000000-0004-0000-0700-0000A5050000}"/>
    <hyperlink ref="N1483" r:id="rId1447" xr:uid="{00000000-0004-0000-0700-0000A6050000}"/>
    <hyperlink ref="N1484" r:id="rId1448" xr:uid="{00000000-0004-0000-0700-0000A7050000}"/>
    <hyperlink ref="N1485" r:id="rId1449" xr:uid="{00000000-0004-0000-0700-0000A8050000}"/>
    <hyperlink ref="N1486" r:id="rId1450" xr:uid="{00000000-0004-0000-0700-0000A9050000}"/>
    <hyperlink ref="N1487" r:id="rId1451" xr:uid="{00000000-0004-0000-0700-0000AA050000}"/>
    <hyperlink ref="N1488" r:id="rId1452" xr:uid="{00000000-0004-0000-0700-0000AB050000}"/>
    <hyperlink ref="N1489" r:id="rId1453" xr:uid="{00000000-0004-0000-0700-0000AC050000}"/>
    <hyperlink ref="N1490" r:id="rId1454" xr:uid="{00000000-0004-0000-0700-0000AD050000}"/>
    <hyperlink ref="N1491" r:id="rId1455" xr:uid="{00000000-0004-0000-0700-0000AE050000}"/>
    <hyperlink ref="N1492" r:id="rId1456" xr:uid="{00000000-0004-0000-0700-0000AF050000}"/>
    <hyperlink ref="N1493" r:id="rId1457" xr:uid="{00000000-0004-0000-0700-0000B0050000}"/>
    <hyperlink ref="N1494" r:id="rId1458" xr:uid="{00000000-0004-0000-0700-0000B1050000}"/>
    <hyperlink ref="N1495" r:id="rId1459" xr:uid="{00000000-0004-0000-0700-0000B2050000}"/>
    <hyperlink ref="N1496" r:id="rId1460" xr:uid="{00000000-0004-0000-0700-0000B3050000}"/>
    <hyperlink ref="N1497" r:id="rId1461" xr:uid="{00000000-0004-0000-0700-0000B4050000}"/>
    <hyperlink ref="N1498" r:id="rId1462" xr:uid="{00000000-0004-0000-0700-0000B5050000}"/>
    <hyperlink ref="N1499" r:id="rId1463" xr:uid="{00000000-0004-0000-0700-0000B6050000}"/>
    <hyperlink ref="N1500" r:id="rId1464" xr:uid="{00000000-0004-0000-0700-0000B7050000}"/>
    <hyperlink ref="N1501" r:id="rId1465" xr:uid="{00000000-0004-0000-0700-0000B8050000}"/>
    <hyperlink ref="N1503" r:id="rId1466" xr:uid="{00000000-0004-0000-0700-0000B9050000}"/>
    <hyperlink ref="N1505" r:id="rId1467" xr:uid="{00000000-0004-0000-0700-0000BA050000}"/>
    <hyperlink ref="N1506" r:id="rId1468" xr:uid="{00000000-0004-0000-0700-0000BB050000}"/>
    <hyperlink ref="N1507" r:id="rId1469" xr:uid="{00000000-0004-0000-0700-0000BC050000}"/>
    <hyperlink ref="N1508" r:id="rId1470" xr:uid="{00000000-0004-0000-0700-0000BD050000}"/>
    <hyperlink ref="N1509" r:id="rId1471" xr:uid="{00000000-0004-0000-0700-0000BE050000}"/>
    <hyperlink ref="N1511" r:id="rId1472" xr:uid="{00000000-0004-0000-0700-0000BF050000}"/>
    <hyperlink ref="N1512" r:id="rId1473" xr:uid="{00000000-0004-0000-0700-0000C0050000}"/>
    <hyperlink ref="N1513" r:id="rId1474" xr:uid="{00000000-0004-0000-0700-0000C1050000}"/>
    <hyperlink ref="N1514" r:id="rId1475" xr:uid="{00000000-0004-0000-0700-0000C2050000}"/>
    <hyperlink ref="N1515" r:id="rId1476" xr:uid="{00000000-0004-0000-0700-0000C3050000}"/>
    <hyperlink ref="N1516" r:id="rId1477" xr:uid="{00000000-0004-0000-0700-0000C4050000}"/>
    <hyperlink ref="N1517" r:id="rId1478" xr:uid="{00000000-0004-0000-0700-0000C5050000}"/>
    <hyperlink ref="N1518" r:id="rId1479" xr:uid="{00000000-0004-0000-0700-0000C6050000}"/>
    <hyperlink ref="N1519" r:id="rId1480" xr:uid="{00000000-0004-0000-0700-0000C7050000}"/>
    <hyperlink ref="N1520" r:id="rId1481" xr:uid="{00000000-0004-0000-0700-0000C8050000}"/>
    <hyperlink ref="N1521" r:id="rId1482" xr:uid="{00000000-0004-0000-0700-0000C9050000}"/>
    <hyperlink ref="N1522" r:id="rId1483" xr:uid="{00000000-0004-0000-0700-0000CA050000}"/>
    <hyperlink ref="N1523" r:id="rId1484" xr:uid="{00000000-0004-0000-0700-0000CB050000}"/>
    <hyperlink ref="N1524" r:id="rId1485" xr:uid="{00000000-0004-0000-0700-0000CC050000}"/>
    <hyperlink ref="N1525" r:id="rId1486" xr:uid="{00000000-0004-0000-0700-0000CD050000}"/>
    <hyperlink ref="N1526" r:id="rId1487" xr:uid="{00000000-0004-0000-0700-0000CE050000}"/>
    <hyperlink ref="N1527" r:id="rId1488" xr:uid="{00000000-0004-0000-0700-0000CF050000}"/>
    <hyperlink ref="N1528" r:id="rId1489" xr:uid="{00000000-0004-0000-0700-0000D0050000}"/>
    <hyperlink ref="N1529" r:id="rId1490" xr:uid="{00000000-0004-0000-0700-0000D1050000}"/>
    <hyperlink ref="N1530" r:id="rId1491" xr:uid="{00000000-0004-0000-0700-0000D2050000}"/>
    <hyperlink ref="N1531" r:id="rId1492" xr:uid="{00000000-0004-0000-0700-0000D3050000}"/>
    <hyperlink ref="N1532" r:id="rId1493" xr:uid="{00000000-0004-0000-0700-0000D4050000}"/>
    <hyperlink ref="N1533" r:id="rId1494" xr:uid="{00000000-0004-0000-0700-0000D5050000}"/>
    <hyperlink ref="N1534" r:id="rId1495" xr:uid="{00000000-0004-0000-0700-0000D6050000}"/>
    <hyperlink ref="N1535" r:id="rId1496" xr:uid="{00000000-0004-0000-0700-0000D7050000}"/>
    <hyperlink ref="N1536" r:id="rId1497" xr:uid="{00000000-0004-0000-0700-0000D8050000}"/>
    <hyperlink ref="N1537" r:id="rId1498" xr:uid="{00000000-0004-0000-0700-0000D9050000}"/>
    <hyperlink ref="N1538" r:id="rId1499" xr:uid="{00000000-0004-0000-0700-0000DA050000}"/>
    <hyperlink ref="N1539" r:id="rId1500" xr:uid="{00000000-0004-0000-0700-0000DB050000}"/>
    <hyperlink ref="N1540" r:id="rId1501" xr:uid="{00000000-0004-0000-0700-0000DC050000}"/>
    <hyperlink ref="N1541" r:id="rId1502" xr:uid="{00000000-0004-0000-0700-0000DD050000}"/>
    <hyperlink ref="N1542" r:id="rId1503" xr:uid="{00000000-0004-0000-0700-0000DE050000}"/>
    <hyperlink ref="N1543" r:id="rId1504" xr:uid="{00000000-0004-0000-0700-0000DF050000}"/>
    <hyperlink ref="N1544" r:id="rId1505" xr:uid="{00000000-0004-0000-0700-0000E0050000}"/>
    <hyperlink ref="N1545" r:id="rId1506" xr:uid="{00000000-0004-0000-0700-0000E1050000}"/>
    <hyperlink ref="N1546" r:id="rId1507" xr:uid="{00000000-0004-0000-0700-0000E2050000}"/>
    <hyperlink ref="N1547" r:id="rId1508" xr:uid="{00000000-0004-0000-0700-0000E3050000}"/>
    <hyperlink ref="N1548" r:id="rId1509" xr:uid="{00000000-0004-0000-0700-0000E4050000}"/>
    <hyperlink ref="N1549" r:id="rId1510" xr:uid="{00000000-0004-0000-0700-0000E5050000}"/>
    <hyperlink ref="N1550" r:id="rId1511" xr:uid="{00000000-0004-0000-0700-0000E6050000}"/>
    <hyperlink ref="N1551" r:id="rId1512" xr:uid="{00000000-0004-0000-0700-0000E7050000}"/>
    <hyperlink ref="N1552" r:id="rId1513" xr:uid="{00000000-0004-0000-0700-0000E8050000}"/>
    <hyperlink ref="N1553" r:id="rId1514" xr:uid="{00000000-0004-0000-0700-0000E9050000}"/>
    <hyperlink ref="N1554" r:id="rId1515" xr:uid="{00000000-0004-0000-0700-0000EA050000}"/>
    <hyperlink ref="N1555" r:id="rId1516" xr:uid="{00000000-0004-0000-0700-0000EB050000}"/>
    <hyperlink ref="N1556" r:id="rId1517" xr:uid="{00000000-0004-0000-0700-0000EC050000}"/>
    <hyperlink ref="N1557" r:id="rId1518" xr:uid="{00000000-0004-0000-0700-0000ED050000}"/>
    <hyperlink ref="N1558" r:id="rId1519" xr:uid="{00000000-0004-0000-0700-0000EE050000}"/>
    <hyperlink ref="N1559" r:id="rId1520" xr:uid="{00000000-0004-0000-0700-0000EF050000}"/>
    <hyperlink ref="N1560" r:id="rId1521" xr:uid="{00000000-0004-0000-0700-0000F0050000}"/>
    <hyperlink ref="N1561" r:id="rId1522" xr:uid="{00000000-0004-0000-0700-0000F1050000}"/>
    <hyperlink ref="N1562" r:id="rId1523" xr:uid="{00000000-0004-0000-0700-0000F2050000}"/>
    <hyperlink ref="N1563" r:id="rId1524" xr:uid="{00000000-0004-0000-0700-0000F3050000}"/>
    <hyperlink ref="N1564" r:id="rId1525" xr:uid="{00000000-0004-0000-0700-0000F4050000}"/>
    <hyperlink ref="N1565" r:id="rId1526" xr:uid="{00000000-0004-0000-0700-0000F5050000}"/>
    <hyperlink ref="N1566" r:id="rId1527" xr:uid="{00000000-0004-0000-0700-0000F6050000}"/>
    <hyperlink ref="N1567" r:id="rId1528" xr:uid="{00000000-0004-0000-0700-0000F7050000}"/>
    <hyperlink ref="N1568" r:id="rId1529" xr:uid="{00000000-0004-0000-0700-0000F8050000}"/>
    <hyperlink ref="N1569" r:id="rId1530" xr:uid="{00000000-0004-0000-0700-0000F9050000}"/>
    <hyperlink ref="N1570" r:id="rId1531" xr:uid="{00000000-0004-0000-0700-0000FA050000}"/>
    <hyperlink ref="N1571" r:id="rId1532" xr:uid="{00000000-0004-0000-0700-0000FB050000}"/>
    <hyperlink ref="N1572" r:id="rId1533" xr:uid="{00000000-0004-0000-0700-0000FC050000}"/>
    <hyperlink ref="N1573" r:id="rId1534" xr:uid="{00000000-0004-0000-0700-0000FD050000}"/>
    <hyperlink ref="N1574" r:id="rId1535" xr:uid="{00000000-0004-0000-0700-0000FE050000}"/>
    <hyperlink ref="N1575" r:id="rId1536" xr:uid="{00000000-0004-0000-0700-0000FF050000}"/>
    <hyperlink ref="N1576" r:id="rId1537" xr:uid="{00000000-0004-0000-0700-000000060000}"/>
    <hyperlink ref="N1577" r:id="rId1538" xr:uid="{00000000-0004-0000-0700-000001060000}"/>
    <hyperlink ref="N1578" r:id="rId1539" xr:uid="{00000000-0004-0000-0700-000002060000}"/>
    <hyperlink ref="N1579" r:id="rId1540" xr:uid="{00000000-0004-0000-0700-000003060000}"/>
    <hyperlink ref="N1580" r:id="rId1541" xr:uid="{00000000-0004-0000-0700-000004060000}"/>
    <hyperlink ref="N1581" r:id="rId1542" xr:uid="{00000000-0004-0000-0700-000005060000}"/>
    <hyperlink ref="N1582" r:id="rId1543" xr:uid="{00000000-0004-0000-0700-000006060000}"/>
    <hyperlink ref="N1583" r:id="rId1544" xr:uid="{00000000-0004-0000-0700-000007060000}"/>
    <hyperlink ref="N1584" r:id="rId1545" xr:uid="{00000000-0004-0000-0700-000008060000}"/>
    <hyperlink ref="N1585" r:id="rId1546" xr:uid="{00000000-0004-0000-0700-000009060000}"/>
    <hyperlink ref="N1586" r:id="rId1547" xr:uid="{00000000-0004-0000-0700-00000A060000}"/>
    <hyperlink ref="N1587" r:id="rId1548" xr:uid="{00000000-0004-0000-0700-00000B060000}"/>
    <hyperlink ref="N1588" r:id="rId1549" xr:uid="{00000000-0004-0000-0700-00000C060000}"/>
    <hyperlink ref="N1590" r:id="rId1550" xr:uid="{00000000-0004-0000-0700-00000D060000}"/>
    <hyperlink ref="N1591" r:id="rId1551" xr:uid="{00000000-0004-0000-0700-00000E060000}"/>
    <hyperlink ref="N1592" r:id="rId1552" xr:uid="{00000000-0004-0000-0700-00000F060000}"/>
    <hyperlink ref="N1593" r:id="rId1553" xr:uid="{00000000-0004-0000-0700-000010060000}"/>
    <hyperlink ref="N1594" r:id="rId1554" xr:uid="{00000000-0004-0000-0700-000011060000}"/>
    <hyperlink ref="N1595" r:id="rId1555" xr:uid="{00000000-0004-0000-0700-000012060000}"/>
    <hyperlink ref="N1596" r:id="rId1556" xr:uid="{00000000-0004-0000-0700-000013060000}"/>
    <hyperlink ref="N1597" r:id="rId1557" xr:uid="{00000000-0004-0000-0700-000014060000}"/>
    <hyperlink ref="N1598" r:id="rId1558" xr:uid="{00000000-0004-0000-0700-000015060000}"/>
    <hyperlink ref="N1599" r:id="rId1559" xr:uid="{00000000-0004-0000-0700-000016060000}"/>
    <hyperlink ref="N1600" r:id="rId1560" xr:uid="{00000000-0004-0000-0700-000017060000}"/>
    <hyperlink ref="N1601" r:id="rId1561" xr:uid="{00000000-0004-0000-0700-000018060000}"/>
    <hyperlink ref="N1602" r:id="rId1562" xr:uid="{00000000-0004-0000-0700-000019060000}"/>
    <hyperlink ref="N1603" r:id="rId1563" xr:uid="{00000000-0004-0000-0700-00001A060000}"/>
    <hyperlink ref="N1604" r:id="rId1564" xr:uid="{00000000-0004-0000-0700-00001B060000}"/>
    <hyperlink ref="N1605" r:id="rId1565" xr:uid="{00000000-0004-0000-0700-00001C060000}"/>
    <hyperlink ref="N1606" r:id="rId1566" xr:uid="{00000000-0004-0000-0700-00001D060000}"/>
    <hyperlink ref="N1607" r:id="rId1567" xr:uid="{00000000-0004-0000-0700-00001E060000}"/>
    <hyperlink ref="N1608" r:id="rId1568" xr:uid="{00000000-0004-0000-0700-00001F060000}"/>
    <hyperlink ref="N1609" r:id="rId1569" xr:uid="{00000000-0004-0000-0700-000020060000}"/>
    <hyperlink ref="N1610" r:id="rId1570" xr:uid="{00000000-0004-0000-0700-000021060000}"/>
    <hyperlink ref="N1611" r:id="rId1571" xr:uid="{00000000-0004-0000-0700-000022060000}"/>
    <hyperlink ref="N1612" r:id="rId1572" xr:uid="{00000000-0004-0000-0700-000023060000}"/>
    <hyperlink ref="N1613" r:id="rId1573" xr:uid="{00000000-0004-0000-0700-000024060000}"/>
    <hyperlink ref="N1614" r:id="rId1574" xr:uid="{00000000-0004-0000-0700-000025060000}"/>
    <hyperlink ref="N1615" r:id="rId1575" xr:uid="{00000000-0004-0000-0700-000026060000}"/>
    <hyperlink ref="N1616" r:id="rId1576" xr:uid="{00000000-0004-0000-0700-000027060000}"/>
    <hyperlink ref="N1617" r:id="rId1577" xr:uid="{00000000-0004-0000-0700-000028060000}"/>
    <hyperlink ref="N1618" r:id="rId1578" xr:uid="{00000000-0004-0000-0700-000029060000}"/>
    <hyperlink ref="N1619" r:id="rId1579" xr:uid="{00000000-0004-0000-0700-00002A060000}"/>
    <hyperlink ref="N1620" r:id="rId1580" xr:uid="{00000000-0004-0000-0700-00002B060000}"/>
    <hyperlink ref="N1621" r:id="rId1581" xr:uid="{00000000-0004-0000-0700-00002C060000}"/>
    <hyperlink ref="N1622" r:id="rId1582" xr:uid="{00000000-0004-0000-0700-00002D060000}"/>
    <hyperlink ref="N1623" r:id="rId1583" xr:uid="{00000000-0004-0000-0700-00002E060000}"/>
    <hyperlink ref="N1624" r:id="rId1584" xr:uid="{00000000-0004-0000-0700-00002F060000}"/>
    <hyperlink ref="N1625" r:id="rId1585" xr:uid="{00000000-0004-0000-0700-000030060000}"/>
    <hyperlink ref="N1626" r:id="rId1586" xr:uid="{00000000-0004-0000-0700-000031060000}"/>
    <hyperlink ref="N1627" r:id="rId1587" xr:uid="{00000000-0004-0000-0700-000032060000}"/>
    <hyperlink ref="N1628" r:id="rId1588" xr:uid="{00000000-0004-0000-0700-000033060000}"/>
    <hyperlink ref="N1629" r:id="rId1589" xr:uid="{00000000-0004-0000-0700-000034060000}"/>
    <hyperlink ref="N1630" r:id="rId1590" xr:uid="{00000000-0004-0000-0700-000035060000}"/>
    <hyperlink ref="N1631" r:id="rId1591" xr:uid="{00000000-0004-0000-0700-000036060000}"/>
    <hyperlink ref="N1632" r:id="rId1592" xr:uid="{00000000-0004-0000-0700-000037060000}"/>
    <hyperlink ref="N1633" r:id="rId1593" xr:uid="{00000000-0004-0000-0700-000038060000}"/>
    <hyperlink ref="N1634" r:id="rId1594" xr:uid="{00000000-0004-0000-0700-000039060000}"/>
    <hyperlink ref="N1635" r:id="rId1595" xr:uid="{00000000-0004-0000-0700-00003A060000}"/>
    <hyperlink ref="N1636" r:id="rId1596" xr:uid="{00000000-0004-0000-0700-00003B060000}"/>
    <hyperlink ref="N1637" r:id="rId1597" xr:uid="{00000000-0004-0000-0700-00003C060000}"/>
    <hyperlink ref="N1638" r:id="rId1598" xr:uid="{00000000-0004-0000-0700-00003D060000}"/>
    <hyperlink ref="N1639" r:id="rId1599" xr:uid="{00000000-0004-0000-0700-00003E060000}"/>
    <hyperlink ref="N1640" r:id="rId1600" xr:uid="{00000000-0004-0000-0700-00003F060000}"/>
    <hyperlink ref="N1641" r:id="rId1601" xr:uid="{00000000-0004-0000-0700-000040060000}"/>
    <hyperlink ref="N1642" r:id="rId1602" xr:uid="{00000000-0004-0000-0700-000041060000}"/>
    <hyperlink ref="N1643" r:id="rId1603" xr:uid="{00000000-0004-0000-0700-000042060000}"/>
    <hyperlink ref="N1644" r:id="rId1604" xr:uid="{00000000-0004-0000-0700-000043060000}"/>
    <hyperlink ref="N1645" r:id="rId1605" xr:uid="{00000000-0004-0000-0700-000044060000}"/>
    <hyperlink ref="N1646" r:id="rId1606" xr:uid="{00000000-0004-0000-0700-000045060000}"/>
    <hyperlink ref="N1647" r:id="rId1607" xr:uid="{00000000-0004-0000-0700-000046060000}"/>
    <hyperlink ref="N1648" r:id="rId1608" xr:uid="{00000000-0004-0000-0700-000047060000}"/>
    <hyperlink ref="N1649" r:id="rId1609" xr:uid="{00000000-0004-0000-0700-000048060000}"/>
    <hyperlink ref="N1650" r:id="rId1610" xr:uid="{00000000-0004-0000-0700-000049060000}"/>
    <hyperlink ref="N1651" r:id="rId1611" xr:uid="{00000000-0004-0000-0700-00004A060000}"/>
    <hyperlink ref="N1652" r:id="rId1612" xr:uid="{00000000-0004-0000-0700-00004B060000}"/>
    <hyperlink ref="N1653" r:id="rId1613" xr:uid="{00000000-0004-0000-0700-00004C060000}"/>
    <hyperlink ref="N1654" r:id="rId1614" xr:uid="{00000000-0004-0000-0700-00004D060000}"/>
    <hyperlink ref="N1655" r:id="rId1615" xr:uid="{00000000-0004-0000-0700-00004E060000}"/>
    <hyperlink ref="N1656" r:id="rId1616" xr:uid="{00000000-0004-0000-0700-00004F060000}"/>
    <hyperlink ref="N1657" r:id="rId1617" xr:uid="{00000000-0004-0000-0700-000050060000}"/>
    <hyperlink ref="N1658" r:id="rId1618" xr:uid="{00000000-0004-0000-0700-000051060000}"/>
    <hyperlink ref="N1659" r:id="rId1619" xr:uid="{00000000-0004-0000-0700-000052060000}"/>
    <hyperlink ref="N1660" r:id="rId1620" xr:uid="{00000000-0004-0000-0700-000053060000}"/>
    <hyperlink ref="N1661" r:id="rId1621" xr:uid="{00000000-0004-0000-0700-000054060000}"/>
    <hyperlink ref="N1662" r:id="rId1622" xr:uid="{00000000-0004-0000-0700-000055060000}"/>
    <hyperlink ref="N1663" r:id="rId1623" xr:uid="{00000000-0004-0000-0700-000056060000}"/>
    <hyperlink ref="N1664" r:id="rId1624" xr:uid="{00000000-0004-0000-0700-000057060000}"/>
    <hyperlink ref="N1665" r:id="rId1625" xr:uid="{00000000-0004-0000-0700-000058060000}"/>
    <hyperlink ref="N1666" r:id="rId1626" xr:uid="{00000000-0004-0000-0700-000059060000}"/>
    <hyperlink ref="N1667" r:id="rId1627" xr:uid="{00000000-0004-0000-0700-00005A060000}"/>
    <hyperlink ref="N1668" r:id="rId1628" xr:uid="{00000000-0004-0000-0700-00005B060000}"/>
    <hyperlink ref="N1669" r:id="rId1629" xr:uid="{00000000-0004-0000-0700-00005C060000}"/>
    <hyperlink ref="N1670" r:id="rId1630" xr:uid="{00000000-0004-0000-0700-00005D060000}"/>
    <hyperlink ref="N1671" r:id="rId1631" xr:uid="{00000000-0004-0000-0700-00005E060000}"/>
    <hyperlink ref="N1672" r:id="rId1632" xr:uid="{00000000-0004-0000-0700-00005F060000}"/>
    <hyperlink ref="N1673" r:id="rId1633" xr:uid="{00000000-0004-0000-0700-000060060000}"/>
    <hyperlink ref="N1674" r:id="rId1634" xr:uid="{00000000-0004-0000-0700-000061060000}"/>
    <hyperlink ref="N1675" r:id="rId1635" xr:uid="{00000000-0004-0000-0700-000062060000}"/>
    <hyperlink ref="N1676" r:id="rId1636" xr:uid="{00000000-0004-0000-0700-000063060000}"/>
    <hyperlink ref="N1677" r:id="rId1637" xr:uid="{00000000-0004-0000-0700-000064060000}"/>
    <hyperlink ref="N1678" r:id="rId1638" xr:uid="{00000000-0004-0000-0700-000065060000}"/>
    <hyperlink ref="N1679" r:id="rId1639" xr:uid="{00000000-0004-0000-0700-000066060000}"/>
    <hyperlink ref="N1680" r:id="rId1640" xr:uid="{00000000-0004-0000-0700-000067060000}"/>
    <hyperlink ref="N1681" r:id="rId1641" xr:uid="{00000000-0004-0000-0700-000068060000}"/>
    <hyperlink ref="N1682" r:id="rId1642" xr:uid="{00000000-0004-0000-0700-000069060000}"/>
    <hyperlink ref="N1683" r:id="rId1643" xr:uid="{00000000-0004-0000-0700-00006A060000}"/>
    <hyperlink ref="N1684" r:id="rId1644" xr:uid="{00000000-0004-0000-0700-00006B060000}"/>
    <hyperlink ref="N1685" r:id="rId1645" xr:uid="{00000000-0004-0000-0700-00006C060000}"/>
    <hyperlink ref="N1687" r:id="rId1646" xr:uid="{00000000-0004-0000-0700-00006D060000}"/>
    <hyperlink ref="N1688" r:id="rId1647" xr:uid="{00000000-0004-0000-0700-00006E060000}"/>
    <hyperlink ref="N1689" r:id="rId1648" xr:uid="{00000000-0004-0000-0700-00006F060000}"/>
    <hyperlink ref="N1692" r:id="rId1649" xr:uid="{00000000-0004-0000-0700-000070060000}"/>
    <hyperlink ref="N1693" r:id="rId1650" xr:uid="{00000000-0004-0000-0700-000071060000}"/>
    <hyperlink ref="N1694" r:id="rId1651" xr:uid="{00000000-0004-0000-0700-000072060000}"/>
    <hyperlink ref="N1695" r:id="rId1652" xr:uid="{00000000-0004-0000-0700-000073060000}"/>
    <hyperlink ref="N1696" r:id="rId1653" xr:uid="{00000000-0004-0000-0700-000074060000}"/>
    <hyperlink ref="N1697" r:id="rId1654" xr:uid="{00000000-0004-0000-0700-000075060000}"/>
    <hyperlink ref="N1698" r:id="rId1655" xr:uid="{00000000-0004-0000-0700-000076060000}"/>
    <hyperlink ref="N1699" r:id="rId1656" xr:uid="{00000000-0004-0000-0700-000077060000}"/>
    <hyperlink ref="N1700" r:id="rId1657" xr:uid="{00000000-0004-0000-0700-000078060000}"/>
    <hyperlink ref="N1702" r:id="rId1658" xr:uid="{00000000-0004-0000-0700-000079060000}"/>
    <hyperlink ref="N1703" r:id="rId1659" xr:uid="{00000000-0004-0000-0700-00007A060000}"/>
    <hyperlink ref="N1704" r:id="rId1660" xr:uid="{00000000-0004-0000-0700-00007B060000}"/>
    <hyperlink ref="N1705" r:id="rId1661" xr:uid="{00000000-0004-0000-0700-00007C060000}"/>
    <hyperlink ref="N1706" r:id="rId1662" xr:uid="{00000000-0004-0000-0700-00007D060000}"/>
    <hyperlink ref="N1707" r:id="rId1663" xr:uid="{00000000-0004-0000-0700-00007E060000}"/>
    <hyperlink ref="N1708" r:id="rId1664" xr:uid="{00000000-0004-0000-0700-00007F060000}"/>
    <hyperlink ref="N1709" r:id="rId1665" xr:uid="{00000000-0004-0000-0700-000080060000}"/>
    <hyperlink ref="N1710" r:id="rId1666" xr:uid="{00000000-0004-0000-0700-000081060000}"/>
    <hyperlink ref="N1711" r:id="rId1667" xr:uid="{00000000-0004-0000-0700-000082060000}"/>
    <hyperlink ref="N1712" r:id="rId1668" xr:uid="{00000000-0004-0000-0700-000083060000}"/>
    <hyperlink ref="N1713" r:id="rId1669" xr:uid="{00000000-0004-0000-0700-000084060000}"/>
    <hyperlink ref="N1714" r:id="rId1670" xr:uid="{00000000-0004-0000-0700-000085060000}"/>
    <hyperlink ref="N1715" r:id="rId1671" xr:uid="{00000000-0004-0000-0700-000086060000}"/>
    <hyperlink ref="N1716" r:id="rId1672" xr:uid="{00000000-0004-0000-0700-000087060000}"/>
    <hyperlink ref="N1717" r:id="rId1673" xr:uid="{00000000-0004-0000-0700-000088060000}"/>
    <hyperlink ref="N1718" r:id="rId1674" xr:uid="{00000000-0004-0000-0700-000089060000}"/>
    <hyperlink ref="N1719" r:id="rId1675" xr:uid="{00000000-0004-0000-0700-00008A060000}"/>
    <hyperlink ref="N1720" r:id="rId1676" xr:uid="{00000000-0004-0000-0700-00008B060000}"/>
    <hyperlink ref="N1721" r:id="rId1677" xr:uid="{00000000-0004-0000-0700-00008C060000}"/>
    <hyperlink ref="N1722" r:id="rId1678" xr:uid="{00000000-0004-0000-0700-00008D060000}"/>
    <hyperlink ref="N1723" r:id="rId1679" xr:uid="{00000000-0004-0000-0700-00008E060000}"/>
    <hyperlink ref="N1724" r:id="rId1680" xr:uid="{00000000-0004-0000-0700-00008F060000}"/>
    <hyperlink ref="N1725" r:id="rId1681" xr:uid="{00000000-0004-0000-0700-000090060000}"/>
    <hyperlink ref="N1726" r:id="rId1682" xr:uid="{00000000-0004-0000-0700-000091060000}"/>
    <hyperlink ref="N1727" r:id="rId1683" xr:uid="{00000000-0004-0000-0700-000092060000}"/>
    <hyperlink ref="N1728" r:id="rId1684" xr:uid="{00000000-0004-0000-0700-000093060000}"/>
    <hyperlink ref="N1729" r:id="rId1685" xr:uid="{00000000-0004-0000-0700-000094060000}"/>
    <hyperlink ref="N1730" r:id="rId1686" xr:uid="{00000000-0004-0000-0700-000095060000}"/>
    <hyperlink ref="N1731" r:id="rId1687" xr:uid="{00000000-0004-0000-0700-000096060000}"/>
    <hyperlink ref="N1732" r:id="rId1688" xr:uid="{00000000-0004-0000-0700-000097060000}"/>
    <hyperlink ref="N1733" r:id="rId1689" xr:uid="{00000000-0004-0000-0700-000098060000}"/>
    <hyperlink ref="N1734" r:id="rId1690" xr:uid="{00000000-0004-0000-0700-000099060000}"/>
    <hyperlink ref="N1736" r:id="rId1691" xr:uid="{00000000-0004-0000-0700-00009A060000}"/>
    <hyperlink ref="N1737" r:id="rId1692" xr:uid="{00000000-0004-0000-0700-00009B060000}"/>
    <hyperlink ref="N1738" r:id="rId1693" xr:uid="{00000000-0004-0000-0700-00009C060000}"/>
    <hyperlink ref="N1739" r:id="rId1694" xr:uid="{00000000-0004-0000-0700-00009D060000}"/>
    <hyperlink ref="N1740" r:id="rId1695" xr:uid="{00000000-0004-0000-0700-00009E060000}"/>
    <hyperlink ref="N1741" r:id="rId1696" xr:uid="{00000000-0004-0000-0700-00009F060000}"/>
    <hyperlink ref="N1742" r:id="rId1697" xr:uid="{00000000-0004-0000-0700-0000A0060000}"/>
    <hyperlink ref="N1743" r:id="rId1698" xr:uid="{00000000-0004-0000-0700-0000A1060000}"/>
    <hyperlink ref="N1744" r:id="rId1699" xr:uid="{00000000-0004-0000-0700-0000A2060000}"/>
    <hyperlink ref="N1745" r:id="rId1700" xr:uid="{00000000-0004-0000-0700-0000A3060000}"/>
    <hyperlink ref="N1746" r:id="rId1701" xr:uid="{00000000-0004-0000-0700-0000A4060000}"/>
    <hyperlink ref="N1747" r:id="rId1702" xr:uid="{00000000-0004-0000-0700-0000A5060000}"/>
    <hyperlink ref="N1748" r:id="rId1703" xr:uid="{00000000-0004-0000-0700-0000A6060000}"/>
    <hyperlink ref="N1749" r:id="rId1704" xr:uid="{00000000-0004-0000-0700-0000A7060000}"/>
    <hyperlink ref="N1750" r:id="rId1705" xr:uid="{00000000-0004-0000-0700-0000A8060000}"/>
    <hyperlink ref="N1751" r:id="rId1706" xr:uid="{00000000-0004-0000-0700-0000A9060000}"/>
    <hyperlink ref="N1752" r:id="rId1707" xr:uid="{00000000-0004-0000-0700-0000AA060000}"/>
    <hyperlink ref="N1753" r:id="rId1708" xr:uid="{00000000-0004-0000-0700-0000AB060000}"/>
    <hyperlink ref="N1754" r:id="rId1709" xr:uid="{00000000-0004-0000-0700-0000AC060000}"/>
    <hyperlink ref="N1755" r:id="rId1710" xr:uid="{00000000-0004-0000-0700-0000AD060000}"/>
    <hyperlink ref="N1756" r:id="rId1711" xr:uid="{00000000-0004-0000-0700-0000AE060000}"/>
    <hyperlink ref="N1757" r:id="rId1712" xr:uid="{00000000-0004-0000-0700-0000AF060000}"/>
    <hyperlink ref="N1758" r:id="rId1713" xr:uid="{00000000-0004-0000-0700-0000B0060000}"/>
    <hyperlink ref="N1759" r:id="rId1714" xr:uid="{00000000-0004-0000-0700-0000B1060000}"/>
    <hyperlink ref="N1760" r:id="rId1715" xr:uid="{00000000-0004-0000-0700-0000B2060000}"/>
    <hyperlink ref="N1761" r:id="rId1716" xr:uid="{00000000-0004-0000-0700-0000B3060000}"/>
    <hyperlink ref="N1762" r:id="rId1717" xr:uid="{00000000-0004-0000-0700-0000B4060000}"/>
    <hyperlink ref="N1763" r:id="rId1718" xr:uid="{00000000-0004-0000-0700-0000B5060000}"/>
    <hyperlink ref="N1764" r:id="rId1719" xr:uid="{00000000-0004-0000-0700-0000B6060000}"/>
    <hyperlink ref="N1765" r:id="rId1720" xr:uid="{00000000-0004-0000-0700-0000B7060000}"/>
    <hyperlink ref="N1766" r:id="rId1721" xr:uid="{00000000-0004-0000-0700-0000B8060000}"/>
    <hyperlink ref="N1767" r:id="rId1722" xr:uid="{00000000-0004-0000-0700-0000B9060000}"/>
    <hyperlink ref="N1768" r:id="rId1723" xr:uid="{00000000-0004-0000-0700-0000BA060000}"/>
    <hyperlink ref="N1770" r:id="rId1724" xr:uid="{00000000-0004-0000-0700-0000BB060000}"/>
    <hyperlink ref="N1771" r:id="rId1725" xr:uid="{00000000-0004-0000-0700-0000BC060000}"/>
    <hyperlink ref="N1772" r:id="rId1726" xr:uid="{00000000-0004-0000-0700-0000BD060000}"/>
    <hyperlink ref="N1773" r:id="rId1727" xr:uid="{00000000-0004-0000-0700-0000BE060000}"/>
    <hyperlink ref="N1774" r:id="rId1728" xr:uid="{00000000-0004-0000-0700-0000BF060000}"/>
    <hyperlink ref="N1775" r:id="rId1729" xr:uid="{00000000-0004-0000-0700-0000C0060000}"/>
    <hyperlink ref="N1776" r:id="rId1730" xr:uid="{00000000-0004-0000-0700-0000C1060000}"/>
    <hyperlink ref="N1777" r:id="rId1731" xr:uid="{00000000-0004-0000-0700-0000C2060000}"/>
    <hyperlink ref="N1778" r:id="rId1732" xr:uid="{00000000-0004-0000-0700-0000C3060000}"/>
    <hyperlink ref="N1779" r:id="rId1733" xr:uid="{00000000-0004-0000-0700-0000C4060000}"/>
    <hyperlink ref="N1780" r:id="rId1734" xr:uid="{00000000-0004-0000-0700-0000C5060000}"/>
    <hyperlink ref="N1781" r:id="rId1735" xr:uid="{00000000-0004-0000-0700-0000C6060000}"/>
    <hyperlink ref="N1782" r:id="rId1736" xr:uid="{00000000-0004-0000-0700-0000C7060000}"/>
    <hyperlink ref="N1783" r:id="rId1737" xr:uid="{00000000-0004-0000-0700-0000C8060000}"/>
    <hyperlink ref="N1784" r:id="rId1738" xr:uid="{00000000-0004-0000-0700-0000C9060000}"/>
    <hyperlink ref="N1785" r:id="rId1739" xr:uid="{00000000-0004-0000-0700-0000CA060000}"/>
    <hyperlink ref="N1786" r:id="rId1740" xr:uid="{00000000-0004-0000-0700-0000CB060000}"/>
    <hyperlink ref="N1787" r:id="rId1741" xr:uid="{00000000-0004-0000-0700-0000CC060000}"/>
    <hyperlink ref="N1788" r:id="rId1742" xr:uid="{00000000-0004-0000-0700-0000CD060000}"/>
    <hyperlink ref="N1789" r:id="rId1743" xr:uid="{00000000-0004-0000-0700-0000CE060000}"/>
    <hyperlink ref="N1790" r:id="rId1744" xr:uid="{00000000-0004-0000-0700-0000CF060000}"/>
    <hyperlink ref="N1791" r:id="rId1745" xr:uid="{00000000-0004-0000-0700-0000D0060000}"/>
    <hyperlink ref="N1792" r:id="rId1746" xr:uid="{00000000-0004-0000-0700-0000D1060000}"/>
    <hyperlink ref="N1793" r:id="rId1747" xr:uid="{00000000-0004-0000-0700-0000D2060000}"/>
    <hyperlink ref="N1794" r:id="rId1748" xr:uid="{00000000-0004-0000-0700-0000D3060000}"/>
    <hyperlink ref="N1795" r:id="rId1749" xr:uid="{00000000-0004-0000-0700-0000D4060000}"/>
    <hyperlink ref="N1796" r:id="rId1750" xr:uid="{00000000-0004-0000-0700-0000D5060000}"/>
    <hyperlink ref="N1797" r:id="rId1751" xr:uid="{00000000-0004-0000-0700-0000D6060000}"/>
    <hyperlink ref="N1798" r:id="rId1752" xr:uid="{00000000-0004-0000-0700-0000D7060000}"/>
    <hyperlink ref="N1799" r:id="rId1753" xr:uid="{00000000-0004-0000-0700-0000D8060000}"/>
    <hyperlink ref="N1800" r:id="rId1754" xr:uid="{00000000-0004-0000-0700-0000D9060000}"/>
    <hyperlink ref="N1801" r:id="rId1755" xr:uid="{00000000-0004-0000-0700-0000DA060000}"/>
    <hyperlink ref="N1802" r:id="rId1756" xr:uid="{00000000-0004-0000-0700-0000DB060000}"/>
    <hyperlink ref="N1803" r:id="rId1757" xr:uid="{00000000-0004-0000-0700-0000DC060000}"/>
    <hyperlink ref="N1804" r:id="rId1758" xr:uid="{00000000-0004-0000-0700-0000DD060000}"/>
    <hyperlink ref="N1805" r:id="rId1759" xr:uid="{00000000-0004-0000-0700-0000DE060000}"/>
    <hyperlink ref="N1806" r:id="rId1760" xr:uid="{00000000-0004-0000-0700-0000DF060000}"/>
    <hyperlink ref="N1807" r:id="rId1761" xr:uid="{00000000-0004-0000-0700-0000E0060000}"/>
    <hyperlink ref="N1808" r:id="rId1762" xr:uid="{00000000-0004-0000-0700-0000E1060000}"/>
    <hyperlink ref="N1809" r:id="rId1763" xr:uid="{00000000-0004-0000-0700-0000E2060000}"/>
    <hyperlink ref="N1810" r:id="rId1764" xr:uid="{00000000-0004-0000-0700-0000E3060000}"/>
    <hyperlink ref="N1811" r:id="rId1765" xr:uid="{00000000-0004-0000-0700-0000E4060000}"/>
    <hyperlink ref="N1812" r:id="rId1766" xr:uid="{00000000-0004-0000-0700-0000E5060000}"/>
    <hyperlink ref="N1813" r:id="rId1767" xr:uid="{00000000-0004-0000-0700-0000E6060000}"/>
    <hyperlink ref="N1814" r:id="rId1768" xr:uid="{00000000-0004-0000-0700-0000E7060000}"/>
    <hyperlink ref="N1815" r:id="rId1769" xr:uid="{00000000-0004-0000-0700-0000E8060000}"/>
    <hyperlink ref="N1816" r:id="rId1770" xr:uid="{00000000-0004-0000-0700-0000E9060000}"/>
    <hyperlink ref="N1817" r:id="rId1771" xr:uid="{00000000-0004-0000-0700-0000EA060000}"/>
    <hyperlink ref="N1818" r:id="rId1772" xr:uid="{00000000-0004-0000-0700-0000EB060000}"/>
    <hyperlink ref="N1819" r:id="rId1773" xr:uid="{00000000-0004-0000-0700-0000EC060000}"/>
    <hyperlink ref="N1820" r:id="rId1774" xr:uid="{00000000-0004-0000-0700-0000ED060000}"/>
    <hyperlink ref="N1821" r:id="rId1775" xr:uid="{00000000-0004-0000-0700-0000EE060000}"/>
    <hyperlink ref="N1822" r:id="rId1776" xr:uid="{00000000-0004-0000-0700-0000EF060000}"/>
    <hyperlink ref="N1823" r:id="rId1777" xr:uid="{00000000-0004-0000-0700-0000F0060000}"/>
    <hyperlink ref="N1824" r:id="rId1778" xr:uid="{00000000-0004-0000-0700-0000F1060000}"/>
    <hyperlink ref="N1826" r:id="rId1779" xr:uid="{00000000-0004-0000-0700-0000F2060000}"/>
    <hyperlink ref="N1827" r:id="rId1780" xr:uid="{00000000-0004-0000-0700-0000F3060000}"/>
    <hyperlink ref="N1828" r:id="rId1781" xr:uid="{00000000-0004-0000-0700-0000F4060000}"/>
    <hyperlink ref="N1829" r:id="rId1782" xr:uid="{00000000-0004-0000-0700-0000F5060000}"/>
    <hyperlink ref="N1830" r:id="rId1783" xr:uid="{00000000-0004-0000-0700-0000F6060000}"/>
    <hyperlink ref="N1831" r:id="rId1784" xr:uid="{00000000-0004-0000-0700-0000F7060000}"/>
    <hyperlink ref="N1832" r:id="rId1785" xr:uid="{00000000-0004-0000-0700-0000F8060000}"/>
    <hyperlink ref="N1833" r:id="rId1786" xr:uid="{00000000-0004-0000-0700-0000F9060000}"/>
    <hyperlink ref="N1834" r:id="rId1787" xr:uid="{00000000-0004-0000-0700-0000FA060000}"/>
    <hyperlink ref="N1835" r:id="rId1788" xr:uid="{00000000-0004-0000-0700-0000FB060000}"/>
    <hyperlink ref="N1836" r:id="rId1789" xr:uid="{00000000-0004-0000-0700-0000FC060000}"/>
    <hyperlink ref="N1837" r:id="rId1790" xr:uid="{00000000-0004-0000-0700-0000FD060000}"/>
    <hyperlink ref="N1838" r:id="rId1791" xr:uid="{00000000-0004-0000-0700-0000FE060000}"/>
    <hyperlink ref="N1839" r:id="rId1792" xr:uid="{00000000-0004-0000-0700-0000FF060000}"/>
    <hyperlink ref="N1840" r:id="rId1793" xr:uid="{00000000-0004-0000-0700-000000070000}"/>
    <hyperlink ref="N1841" r:id="rId1794" xr:uid="{00000000-0004-0000-0700-000001070000}"/>
    <hyperlink ref="N1842" r:id="rId1795" xr:uid="{00000000-0004-0000-0700-000002070000}"/>
    <hyperlink ref="N1843" r:id="rId1796" xr:uid="{00000000-0004-0000-0700-000003070000}"/>
    <hyperlink ref="N1844" r:id="rId1797" xr:uid="{00000000-0004-0000-0700-000004070000}"/>
    <hyperlink ref="N1845" r:id="rId1798" xr:uid="{00000000-0004-0000-0700-000005070000}"/>
    <hyperlink ref="N1847" r:id="rId1799" xr:uid="{00000000-0004-0000-0700-000006070000}"/>
    <hyperlink ref="N1848" r:id="rId1800" xr:uid="{00000000-0004-0000-0700-000007070000}"/>
    <hyperlink ref="N1849" r:id="rId1801" xr:uid="{00000000-0004-0000-0700-000008070000}"/>
    <hyperlink ref="N1850" r:id="rId1802" xr:uid="{00000000-0004-0000-0700-000009070000}"/>
    <hyperlink ref="N1851" r:id="rId1803" xr:uid="{00000000-0004-0000-0700-00000A070000}"/>
    <hyperlink ref="N1852" r:id="rId1804" xr:uid="{00000000-0004-0000-0700-00000B070000}"/>
    <hyperlink ref="N1853" r:id="rId1805" xr:uid="{00000000-0004-0000-0700-00000C070000}"/>
    <hyperlink ref="N1854" r:id="rId1806" xr:uid="{00000000-0004-0000-0700-00000D070000}"/>
    <hyperlink ref="N1855" r:id="rId1807" xr:uid="{00000000-0004-0000-0700-00000E070000}"/>
    <hyperlink ref="N1856" r:id="rId1808" xr:uid="{00000000-0004-0000-0700-00000F070000}"/>
    <hyperlink ref="N1857" r:id="rId1809" xr:uid="{00000000-0004-0000-0700-000010070000}"/>
    <hyperlink ref="N1858" r:id="rId1810" xr:uid="{00000000-0004-0000-0700-000011070000}"/>
    <hyperlink ref="N1859" r:id="rId1811" xr:uid="{00000000-0004-0000-0700-000012070000}"/>
    <hyperlink ref="N1860" r:id="rId1812" xr:uid="{00000000-0004-0000-0700-000013070000}"/>
    <hyperlink ref="N1861" r:id="rId1813" xr:uid="{00000000-0004-0000-0700-000014070000}"/>
    <hyperlink ref="N1862" r:id="rId1814" xr:uid="{00000000-0004-0000-0700-000015070000}"/>
    <hyperlink ref="N1863" r:id="rId1815" xr:uid="{00000000-0004-0000-0700-000016070000}"/>
    <hyperlink ref="N1865" r:id="rId1816" xr:uid="{00000000-0004-0000-0700-000017070000}"/>
    <hyperlink ref="N1866" r:id="rId1817" xr:uid="{00000000-0004-0000-0700-000018070000}"/>
    <hyperlink ref="N1867" r:id="rId1818" xr:uid="{00000000-0004-0000-0700-000019070000}"/>
    <hyperlink ref="N1868" r:id="rId1819" xr:uid="{00000000-0004-0000-0700-00001A070000}"/>
    <hyperlink ref="N1869" r:id="rId1820" xr:uid="{00000000-0004-0000-0700-00001B070000}"/>
    <hyperlink ref="N1870" r:id="rId1821" xr:uid="{00000000-0004-0000-0700-00001C070000}"/>
    <hyperlink ref="N1871" r:id="rId1822" xr:uid="{00000000-0004-0000-0700-00001D070000}"/>
    <hyperlink ref="N1872" r:id="rId1823" xr:uid="{00000000-0004-0000-0700-00001E070000}"/>
    <hyperlink ref="N1873" r:id="rId1824" xr:uid="{00000000-0004-0000-0700-00001F070000}"/>
    <hyperlink ref="N1874" r:id="rId1825" xr:uid="{00000000-0004-0000-0700-000020070000}"/>
    <hyperlink ref="N1875" r:id="rId1826" xr:uid="{00000000-0004-0000-0700-000021070000}"/>
    <hyperlink ref="N1876" r:id="rId1827" xr:uid="{00000000-0004-0000-0700-000022070000}"/>
    <hyperlink ref="N1877" r:id="rId1828" xr:uid="{00000000-0004-0000-0700-000023070000}"/>
    <hyperlink ref="N1878" r:id="rId1829" xr:uid="{00000000-0004-0000-0700-000024070000}"/>
    <hyperlink ref="N1879" r:id="rId1830" xr:uid="{00000000-0004-0000-0700-000025070000}"/>
    <hyperlink ref="N1880" r:id="rId1831" xr:uid="{00000000-0004-0000-0700-000026070000}"/>
    <hyperlink ref="N1881" r:id="rId1832" xr:uid="{00000000-0004-0000-0700-000027070000}"/>
    <hyperlink ref="N1882" r:id="rId1833" xr:uid="{00000000-0004-0000-0700-000028070000}"/>
    <hyperlink ref="N1883" r:id="rId1834" xr:uid="{00000000-0004-0000-0700-000029070000}"/>
    <hyperlink ref="N1884" r:id="rId1835" xr:uid="{00000000-0004-0000-0700-00002A070000}"/>
    <hyperlink ref="N1885" r:id="rId1836" xr:uid="{00000000-0004-0000-0700-00002B070000}"/>
    <hyperlink ref="N1886" r:id="rId1837" xr:uid="{00000000-0004-0000-0700-00002C070000}"/>
    <hyperlink ref="N1887" r:id="rId1838" xr:uid="{00000000-0004-0000-0700-00002D070000}"/>
    <hyperlink ref="N1888" r:id="rId1839" xr:uid="{00000000-0004-0000-0700-00002E070000}"/>
    <hyperlink ref="N1889" r:id="rId1840" xr:uid="{00000000-0004-0000-0700-00002F070000}"/>
    <hyperlink ref="N1890" r:id="rId1841" xr:uid="{00000000-0004-0000-0700-000030070000}"/>
    <hyperlink ref="N1891" r:id="rId1842" xr:uid="{00000000-0004-0000-0700-000031070000}"/>
    <hyperlink ref="N1892" r:id="rId1843" xr:uid="{00000000-0004-0000-0700-000032070000}"/>
    <hyperlink ref="N1893" r:id="rId1844" xr:uid="{00000000-0004-0000-0700-000033070000}"/>
    <hyperlink ref="N1894" r:id="rId1845" xr:uid="{00000000-0004-0000-0700-000034070000}"/>
    <hyperlink ref="N1895" r:id="rId1846" xr:uid="{00000000-0004-0000-0700-000035070000}"/>
    <hyperlink ref="N1896" r:id="rId1847" xr:uid="{00000000-0004-0000-0700-000036070000}"/>
    <hyperlink ref="N1897" r:id="rId1848" xr:uid="{00000000-0004-0000-0700-000037070000}"/>
    <hyperlink ref="N1898" r:id="rId1849" xr:uid="{00000000-0004-0000-0700-000038070000}"/>
    <hyperlink ref="N1900" r:id="rId1850" xr:uid="{00000000-0004-0000-0700-000039070000}"/>
    <hyperlink ref="N1901" r:id="rId1851" xr:uid="{00000000-0004-0000-0700-00003A070000}"/>
    <hyperlink ref="N1903" r:id="rId1852" xr:uid="{00000000-0004-0000-0700-00003B070000}"/>
    <hyperlink ref="N1904" r:id="rId1853" xr:uid="{00000000-0004-0000-0700-00003C070000}"/>
    <hyperlink ref="N1906" r:id="rId1854" xr:uid="{00000000-0004-0000-0700-00003D070000}"/>
    <hyperlink ref="N1907" r:id="rId1855" xr:uid="{00000000-0004-0000-0700-00003E070000}"/>
    <hyperlink ref="N1908" r:id="rId1856" xr:uid="{00000000-0004-0000-0700-00003F070000}"/>
    <hyperlink ref="N1909" r:id="rId1857" xr:uid="{00000000-0004-0000-0700-000040070000}"/>
    <hyperlink ref="N1910" r:id="rId1858" xr:uid="{00000000-0004-0000-0700-000041070000}"/>
    <hyperlink ref="N1912" r:id="rId1859" xr:uid="{00000000-0004-0000-0700-000042070000}"/>
    <hyperlink ref="N1914" r:id="rId1860" xr:uid="{00000000-0004-0000-0700-000043070000}"/>
    <hyperlink ref="N1915" r:id="rId1861" xr:uid="{00000000-0004-0000-0700-000044070000}"/>
    <hyperlink ref="N1916" r:id="rId1862" xr:uid="{00000000-0004-0000-0700-000045070000}"/>
    <hyperlink ref="N1917" r:id="rId1863" xr:uid="{00000000-0004-0000-0700-000046070000}"/>
    <hyperlink ref="N1918" r:id="rId1864" xr:uid="{00000000-0004-0000-0700-000047070000}"/>
    <hyperlink ref="N1919" r:id="rId1865" xr:uid="{00000000-0004-0000-0700-000048070000}"/>
    <hyperlink ref="N1920" r:id="rId1866" xr:uid="{00000000-0004-0000-0700-000049070000}"/>
    <hyperlink ref="N1921" r:id="rId1867" xr:uid="{00000000-0004-0000-0700-00004A070000}"/>
    <hyperlink ref="N1922" r:id="rId1868" xr:uid="{00000000-0004-0000-0700-00004B070000}"/>
    <hyperlink ref="N1923" r:id="rId1869" xr:uid="{00000000-0004-0000-0700-00004C070000}"/>
    <hyperlink ref="N1924" r:id="rId1870" xr:uid="{00000000-0004-0000-0700-00004D070000}"/>
    <hyperlink ref="N1925" r:id="rId1871" xr:uid="{00000000-0004-0000-0700-00004E070000}"/>
    <hyperlink ref="N1927" r:id="rId1872" xr:uid="{00000000-0004-0000-0700-00004F070000}"/>
    <hyperlink ref="N1928" r:id="rId1873" xr:uid="{00000000-0004-0000-0700-000050070000}"/>
    <hyperlink ref="N1930" r:id="rId1874" xr:uid="{00000000-0004-0000-0700-000051070000}"/>
    <hyperlink ref="N1931" r:id="rId1875" xr:uid="{00000000-0004-0000-0700-000052070000}"/>
    <hyperlink ref="N1932" r:id="rId1876" xr:uid="{00000000-0004-0000-0700-000053070000}"/>
    <hyperlink ref="N1933" r:id="rId1877" xr:uid="{00000000-0004-0000-0700-000054070000}"/>
    <hyperlink ref="N1934" r:id="rId1878" xr:uid="{00000000-0004-0000-0700-000055070000}"/>
    <hyperlink ref="N1935" r:id="rId1879" xr:uid="{00000000-0004-0000-0700-000056070000}"/>
    <hyperlink ref="N1936" r:id="rId1880" xr:uid="{00000000-0004-0000-0700-000057070000}"/>
    <hyperlink ref="N1937" r:id="rId1881" xr:uid="{00000000-0004-0000-0700-000058070000}"/>
    <hyperlink ref="N1938" r:id="rId1882" xr:uid="{00000000-0004-0000-0700-000059070000}"/>
    <hyperlink ref="N1939" r:id="rId1883" xr:uid="{00000000-0004-0000-0700-00005A070000}"/>
    <hyperlink ref="N1940" r:id="rId1884" xr:uid="{00000000-0004-0000-0700-00005B070000}"/>
    <hyperlink ref="N1941" r:id="rId1885" xr:uid="{00000000-0004-0000-0700-00005C070000}"/>
    <hyperlink ref="N1942" r:id="rId1886" xr:uid="{00000000-0004-0000-0700-00005D070000}"/>
    <hyperlink ref="N1943" r:id="rId1887" xr:uid="{00000000-0004-0000-0700-00005E070000}"/>
    <hyperlink ref="N1944" r:id="rId1888" xr:uid="{00000000-0004-0000-0700-00005F070000}"/>
    <hyperlink ref="N1945" r:id="rId1889" xr:uid="{00000000-0004-0000-0700-000060070000}"/>
    <hyperlink ref="N1946" r:id="rId1890" xr:uid="{00000000-0004-0000-0700-000061070000}"/>
    <hyperlink ref="N1947" r:id="rId1891" xr:uid="{00000000-0004-0000-0700-000062070000}"/>
    <hyperlink ref="N1948" r:id="rId1892" xr:uid="{00000000-0004-0000-0700-000063070000}"/>
    <hyperlink ref="N1949" r:id="rId1893" xr:uid="{00000000-0004-0000-0700-000064070000}"/>
    <hyperlink ref="N1950" r:id="rId1894" xr:uid="{00000000-0004-0000-0700-000065070000}"/>
    <hyperlink ref="N1951" r:id="rId1895" xr:uid="{00000000-0004-0000-0700-000066070000}"/>
    <hyperlink ref="N1952" r:id="rId1896" xr:uid="{00000000-0004-0000-0700-000067070000}"/>
    <hyperlink ref="N1953" r:id="rId1897" xr:uid="{00000000-0004-0000-0700-000068070000}"/>
    <hyperlink ref="N1954" r:id="rId1898" xr:uid="{00000000-0004-0000-0700-000069070000}"/>
    <hyperlink ref="N1955" r:id="rId1899" xr:uid="{00000000-0004-0000-0700-00006A070000}"/>
    <hyperlink ref="N1956" r:id="rId1900" xr:uid="{00000000-0004-0000-0700-00006B070000}"/>
    <hyperlink ref="N1957" r:id="rId1901" xr:uid="{00000000-0004-0000-0700-00006C070000}"/>
    <hyperlink ref="N1958" r:id="rId1902" xr:uid="{00000000-0004-0000-0700-00006D070000}"/>
    <hyperlink ref="N1959" r:id="rId1903" xr:uid="{00000000-0004-0000-0700-00006E070000}"/>
    <hyperlink ref="N1960" r:id="rId1904" xr:uid="{00000000-0004-0000-0700-00006F070000}"/>
    <hyperlink ref="N1961" r:id="rId1905" xr:uid="{00000000-0004-0000-0700-000070070000}"/>
    <hyperlink ref="N1962" r:id="rId1906" xr:uid="{00000000-0004-0000-0700-000071070000}"/>
    <hyperlink ref="N1963" r:id="rId1907" xr:uid="{00000000-0004-0000-0700-000072070000}"/>
    <hyperlink ref="N1964" r:id="rId1908" xr:uid="{00000000-0004-0000-0700-000073070000}"/>
    <hyperlink ref="N1965" r:id="rId1909" xr:uid="{00000000-0004-0000-0700-000074070000}"/>
    <hyperlink ref="N1966" r:id="rId1910" xr:uid="{00000000-0004-0000-0700-000075070000}"/>
    <hyperlink ref="N1967" r:id="rId1911" xr:uid="{00000000-0004-0000-0700-000076070000}"/>
    <hyperlink ref="N1968" r:id="rId1912" xr:uid="{00000000-0004-0000-0700-000077070000}"/>
    <hyperlink ref="N1969" r:id="rId1913" xr:uid="{00000000-0004-0000-0700-000078070000}"/>
    <hyperlink ref="N1970" r:id="rId1914" xr:uid="{00000000-0004-0000-0700-000079070000}"/>
    <hyperlink ref="N1971" r:id="rId1915" xr:uid="{00000000-0004-0000-0700-00007A070000}"/>
    <hyperlink ref="N1972" r:id="rId1916" xr:uid="{00000000-0004-0000-0700-00007B070000}"/>
    <hyperlink ref="N1973" r:id="rId1917" xr:uid="{00000000-0004-0000-0700-00007C070000}"/>
    <hyperlink ref="N1974" r:id="rId1918" xr:uid="{00000000-0004-0000-0700-00007D070000}"/>
    <hyperlink ref="N1975" r:id="rId1919" xr:uid="{00000000-0004-0000-0700-00007E070000}"/>
    <hyperlink ref="N1976" r:id="rId1920" xr:uid="{00000000-0004-0000-0700-00007F070000}"/>
    <hyperlink ref="N1978" r:id="rId1921" xr:uid="{00000000-0004-0000-0700-000080070000}"/>
    <hyperlink ref="N1979" r:id="rId1922" xr:uid="{00000000-0004-0000-0700-000081070000}"/>
    <hyperlink ref="N1980" r:id="rId1923" xr:uid="{00000000-0004-0000-0700-000082070000}"/>
    <hyperlink ref="N1981" r:id="rId1924" xr:uid="{00000000-0004-0000-0700-000083070000}"/>
    <hyperlink ref="N1982" r:id="rId1925" xr:uid="{00000000-0004-0000-0700-000084070000}"/>
    <hyperlink ref="N1983" r:id="rId1926" xr:uid="{00000000-0004-0000-0700-000085070000}"/>
    <hyperlink ref="N1984" r:id="rId1927" xr:uid="{00000000-0004-0000-0700-000086070000}"/>
    <hyperlink ref="N1985" r:id="rId1928" xr:uid="{00000000-0004-0000-0700-000087070000}"/>
    <hyperlink ref="N1986" r:id="rId1929" xr:uid="{00000000-0004-0000-0700-000088070000}"/>
    <hyperlink ref="N1987" r:id="rId1930" xr:uid="{00000000-0004-0000-0700-000089070000}"/>
    <hyperlink ref="N1988" r:id="rId1931" xr:uid="{00000000-0004-0000-0700-00008A070000}"/>
    <hyperlink ref="N1989" r:id="rId1932" xr:uid="{00000000-0004-0000-0700-00008B070000}"/>
    <hyperlink ref="N1990" r:id="rId1933" xr:uid="{00000000-0004-0000-0700-00008C070000}"/>
    <hyperlink ref="N1991" r:id="rId1934" xr:uid="{00000000-0004-0000-0700-00008D070000}"/>
    <hyperlink ref="N1992" r:id="rId1935" xr:uid="{00000000-0004-0000-0700-00008E070000}"/>
    <hyperlink ref="N1993" r:id="rId1936" xr:uid="{00000000-0004-0000-0700-00008F070000}"/>
    <hyperlink ref="N1994" r:id="rId1937" xr:uid="{00000000-0004-0000-0700-000090070000}"/>
    <hyperlink ref="N1995" r:id="rId1938" xr:uid="{00000000-0004-0000-0700-000091070000}"/>
    <hyperlink ref="N1996" r:id="rId1939" xr:uid="{00000000-0004-0000-0700-000092070000}"/>
    <hyperlink ref="N1997" r:id="rId1940" xr:uid="{00000000-0004-0000-0700-000093070000}"/>
    <hyperlink ref="N1998" r:id="rId1941" xr:uid="{00000000-0004-0000-0700-000094070000}"/>
    <hyperlink ref="N1999" r:id="rId1942" xr:uid="{00000000-0004-0000-0700-000095070000}"/>
    <hyperlink ref="N2000" r:id="rId1943" xr:uid="{00000000-0004-0000-0700-000096070000}"/>
    <hyperlink ref="N2001" r:id="rId1944" xr:uid="{00000000-0004-0000-0700-000097070000}"/>
    <hyperlink ref="N2002" r:id="rId1945" xr:uid="{00000000-0004-0000-0700-000098070000}"/>
    <hyperlink ref="N2003" r:id="rId1946" xr:uid="{00000000-0004-0000-0700-000099070000}"/>
    <hyperlink ref="N2004" r:id="rId1947" xr:uid="{00000000-0004-0000-0700-00009A070000}"/>
    <hyperlink ref="N2005" r:id="rId1948" xr:uid="{00000000-0004-0000-0700-00009B070000}"/>
    <hyperlink ref="N2006" r:id="rId1949" xr:uid="{00000000-0004-0000-0700-00009C070000}"/>
    <hyperlink ref="N2007" r:id="rId1950" xr:uid="{00000000-0004-0000-0700-00009D070000}"/>
    <hyperlink ref="N2008" r:id="rId1951" xr:uid="{00000000-0004-0000-0700-00009E070000}"/>
    <hyperlink ref="N2009" r:id="rId1952" xr:uid="{00000000-0004-0000-0700-00009F070000}"/>
    <hyperlink ref="N2010" r:id="rId1953" xr:uid="{00000000-0004-0000-0700-0000A0070000}"/>
    <hyperlink ref="N2011" r:id="rId1954" xr:uid="{00000000-0004-0000-0700-0000A1070000}"/>
    <hyperlink ref="N2012" r:id="rId1955" xr:uid="{00000000-0004-0000-0700-0000A2070000}"/>
    <hyperlink ref="N2013" r:id="rId1956" xr:uid="{00000000-0004-0000-0700-0000A3070000}"/>
    <hyperlink ref="N2014" r:id="rId1957" xr:uid="{00000000-0004-0000-0700-0000A4070000}"/>
    <hyperlink ref="N2015" r:id="rId1958" xr:uid="{00000000-0004-0000-0700-0000A5070000}"/>
    <hyperlink ref="N2016" r:id="rId1959" xr:uid="{00000000-0004-0000-0700-0000A6070000}"/>
    <hyperlink ref="N2017" r:id="rId1960" xr:uid="{00000000-0004-0000-0700-0000A7070000}"/>
    <hyperlink ref="N2018" r:id="rId1961" xr:uid="{00000000-0004-0000-0700-0000A8070000}"/>
    <hyperlink ref="N2019" r:id="rId1962" xr:uid="{00000000-0004-0000-0700-0000A9070000}"/>
    <hyperlink ref="N2020" r:id="rId1963" xr:uid="{00000000-0004-0000-0700-0000AA070000}"/>
    <hyperlink ref="N2021" r:id="rId1964" xr:uid="{00000000-0004-0000-0700-0000AB070000}"/>
    <hyperlink ref="N2022" r:id="rId1965" xr:uid="{00000000-0004-0000-0700-0000AC070000}"/>
    <hyperlink ref="N2023" r:id="rId1966" xr:uid="{00000000-0004-0000-0700-0000AD070000}"/>
    <hyperlink ref="N2024" r:id="rId1967" xr:uid="{00000000-0004-0000-0700-0000AE070000}"/>
    <hyperlink ref="N2025" r:id="rId1968" xr:uid="{00000000-0004-0000-0700-0000AF070000}"/>
    <hyperlink ref="N2027" r:id="rId1969" xr:uid="{00000000-0004-0000-0700-0000B0070000}"/>
    <hyperlink ref="N2028" r:id="rId1970" xr:uid="{00000000-0004-0000-0700-0000B1070000}"/>
    <hyperlink ref="N2029" r:id="rId1971" xr:uid="{00000000-0004-0000-0700-0000B2070000}"/>
    <hyperlink ref="N2030" r:id="rId1972" xr:uid="{00000000-0004-0000-0700-0000B3070000}"/>
    <hyperlink ref="N2031" r:id="rId1973" xr:uid="{00000000-0004-0000-0700-0000B4070000}"/>
    <hyperlink ref="N2032" r:id="rId1974" xr:uid="{00000000-0004-0000-0700-0000B5070000}"/>
    <hyperlink ref="N2033" r:id="rId1975" xr:uid="{00000000-0004-0000-0700-0000B6070000}"/>
    <hyperlink ref="N2034" r:id="rId1976" xr:uid="{00000000-0004-0000-0700-0000B7070000}"/>
    <hyperlink ref="N2035" r:id="rId1977" xr:uid="{00000000-0004-0000-0700-0000B8070000}"/>
    <hyperlink ref="N2036" r:id="rId1978" xr:uid="{00000000-0004-0000-0700-0000B9070000}"/>
    <hyperlink ref="N2037" r:id="rId1979" xr:uid="{00000000-0004-0000-0700-0000BA070000}"/>
    <hyperlink ref="N2038" r:id="rId1980" xr:uid="{00000000-0004-0000-0700-0000BB070000}"/>
    <hyperlink ref="N2039" r:id="rId1981" xr:uid="{00000000-0004-0000-0700-0000BC070000}"/>
    <hyperlink ref="N2040" r:id="rId1982" xr:uid="{00000000-0004-0000-0700-0000BD070000}"/>
    <hyperlink ref="N2041" r:id="rId1983" xr:uid="{00000000-0004-0000-0700-0000BE070000}"/>
    <hyperlink ref="N2042" r:id="rId1984" xr:uid="{00000000-0004-0000-0700-0000BF070000}"/>
    <hyperlink ref="N2043" r:id="rId1985" xr:uid="{00000000-0004-0000-0700-0000C0070000}"/>
    <hyperlink ref="N2044" r:id="rId1986" xr:uid="{00000000-0004-0000-0700-0000C1070000}"/>
    <hyperlink ref="N2045" r:id="rId1987" xr:uid="{00000000-0004-0000-0700-0000C2070000}"/>
    <hyperlink ref="N2046" r:id="rId1988" xr:uid="{00000000-0004-0000-0700-0000C3070000}"/>
    <hyperlink ref="N2047" r:id="rId1989" xr:uid="{00000000-0004-0000-0700-0000C4070000}"/>
    <hyperlink ref="N2048" r:id="rId1990" xr:uid="{00000000-0004-0000-0700-0000C5070000}"/>
    <hyperlink ref="N2049" r:id="rId1991" xr:uid="{00000000-0004-0000-0700-0000C6070000}"/>
    <hyperlink ref="N2050" r:id="rId1992" xr:uid="{00000000-0004-0000-0700-0000C7070000}"/>
    <hyperlink ref="N2051" r:id="rId1993" xr:uid="{00000000-0004-0000-0700-0000C8070000}"/>
    <hyperlink ref="N2052" r:id="rId1994" xr:uid="{00000000-0004-0000-0700-0000C9070000}"/>
    <hyperlink ref="N2053" r:id="rId1995" xr:uid="{00000000-0004-0000-0700-0000CA070000}"/>
    <hyperlink ref="N2054" r:id="rId1996" xr:uid="{00000000-0004-0000-0700-0000CB070000}"/>
    <hyperlink ref="N2055" r:id="rId1997" xr:uid="{00000000-0004-0000-0700-0000CC070000}"/>
    <hyperlink ref="N2056" r:id="rId1998" xr:uid="{00000000-0004-0000-0700-0000CD070000}"/>
    <hyperlink ref="N2057" r:id="rId1999" xr:uid="{00000000-0004-0000-0700-0000CE070000}"/>
    <hyperlink ref="N2058" r:id="rId2000" xr:uid="{00000000-0004-0000-0700-0000CF070000}"/>
    <hyperlink ref="N2059" r:id="rId2001" xr:uid="{00000000-0004-0000-0700-0000D0070000}"/>
    <hyperlink ref="N2060" r:id="rId2002" xr:uid="{00000000-0004-0000-0700-0000D1070000}"/>
    <hyperlink ref="N2061" r:id="rId2003" xr:uid="{00000000-0004-0000-0700-0000D2070000}"/>
    <hyperlink ref="N2062" r:id="rId2004" xr:uid="{00000000-0004-0000-0700-0000D3070000}"/>
    <hyperlink ref="N2063" r:id="rId2005" xr:uid="{00000000-0004-0000-0700-0000D4070000}"/>
    <hyperlink ref="N2064" r:id="rId2006" xr:uid="{00000000-0004-0000-0700-0000D5070000}"/>
    <hyperlink ref="N2065" r:id="rId2007" xr:uid="{00000000-0004-0000-0700-0000D6070000}"/>
    <hyperlink ref="N2066" r:id="rId2008" xr:uid="{00000000-0004-0000-0700-0000D7070000}"/>
    <hyperlink ref="N2067" r:id="rId2009" xr:uid="{00000000-0004-0000-0700-0000D8070000}"/>
    <hyperlink ref="N2068" r:id="rId2010" xr:uid="{00000000-0004-0000-0700-0000D9070000}"/>
    <hyperlink ref="N2069" r:id="rId2011" xr:uid="{00000000-0004-0000-0700-0000DA070000}"/>
    <hyperlink ref="N2070" r:id="rId2012" xr:uid="{00000000-0004-0000-0700-0000DB070000}"/>
    <hyperlink ref="N2071" r:id="rId2013" xr:uid="{00000000-0004-0000-0700-0000DC070000}"/>
    <hyperlink ref="N2072" r:id="rId2014" xr:uid="{00000000-0004-0000-0700-0000DD070000}"/>
    <hyperlink ref="N2073" r:id="rId2015" xr:uid="{00000000-0004-0000-0700-0000DE070000}"/>
    <hyperlink ref="N2074" r:id="rId2016" xr:uid="{00000000-0004-0000-0700-0000DF070000}"/>
    <hyperlink ref="N2075" r:id="rId2017" xr:uid="{00000000-0004-0000-0700-0000E0070000}"/>
    <hyperlink ref="N2076" r:id="rId2018" xr:uid="{00000000-0004-0000-0700-0000E1070000}"/>
    <hyperlink ref="N2077" r:id="rId2019" xr:uid="{00000000-0004-0000-0700-0000E2070000}"/>
    <hyperlink ref="N2078" r:id="rId2020" xr:uid="{00000000-0004-0000-0700-0000E3070000}"/>
    <hyperlink ref="N2079" r:id="rId2021" xr:uid="{00000000-0004-0000-0700-0000E4070000}"/>
    <hyperlink ref="N2080" r:id="rId2022" xr:uid="{00000000-0004-0000-0700-0000E5070000}"/>
    <hyperlink ref="N2081" r:id="rId2023" xr:uid="{00000000-0004-0000-0700-0000E6070000}"/>
    <hyperlink ref="N2082" r:id="rId2024" xr:uid="{00000000-0004-0000-0700-0000E7070000}"/>
    <hyperlink ref="N2083" r:id="rId2025" xr:uid="{00000000-0004-0000-0700-0000E8070000}"/>
    <hyperlink ref="N2084" r:id="rId2026" xr:uid="{00000000-0004-0000-0700-0000E9070000}"/>
    <hyperlink ref="N2085" r:id="rId2027" xr:uid="{00000000-0004-0000-0700-0000EA070000}"/>
    <hyperlink ref="N2087" r:id="rId2028" xr:uid="{00000000-0004-0000-0700-0000EB070000}"/>
    <hyperlink ref="N2088" r:id="rId2029" xr:uid="{00000000-0004-0000-0700-0000EC070000}"/>
    <hyperlink ref="N2089" r:id="rId2030" xr:uid="{00000000-0004-0000-0700-0000ED070000}"/>
    <hyperlink ref="N2090" r:id="rId2031" xr:uid="{00000000-0004-0000-0700-0000EE070000}"/>
    <hyperlink ref="N2091" r:id="rId2032" xr:uid="{00000000-0004-0000-0700-0000EF070000}"/>
    <hyperlink ref="N2092" r:id="rId2033" xr:uid="{00000000-0004-0000-0700-0000F0070000}"/>
    <hyperlink ref="N2093" r:id="rId2034" xr:uid="{00000000-0004-0000-0700-0000F1070000}"/>
    <hyperlink ref="N2094" r:id="rId2035" xr:uid="{00000000-0004-0000-0700-0000F2070000}"/>
    <hyperlink ref="N2095" r:id="rId2036" xr:uid="{00000000-0004-0000-0700-0000F3070000}"/>
    <hyperlink ref="N2096" r:id="rId2037" xr:uid="{00000000-0004-0000-0700-0000F4070000}"/>
    <hyperlink ref="N2097" r:id="rId2038" xr:uid="{00000000-0004-0000-0700-0000F5070000}"/>
    <hyperlink ref="N2098" r:id="rId2039" xr:uid="{00000000-0004-0000-0700-0000F6070000}"/>
    <hyperlink ref="N2099" r:id="rId2040" xr:uid="{00000000-0004-0000-0700-0000F7070000}"/>
    <hyperlink ref="N2100" r:id="rId2041" xr:uid="{00000000-0004-0000-0700-0000F8070000}"/>
    <hyperlink ref="N2101" r:id="rId2042" xr:uid="{00000000-0004-0000-0700-0000F9070000}"/>
    <hyperlink ref="N2102" r:id="rId2043" xr:uid="{00000000-0004-0000-0700-0000FA070000}"/>
    <hyperlink ref="N2103" r:id="rId2044" xr:uid="{00000000-0004-0000-0700-0000FB070000}"/>
    <hyperlink ref="N2104" r:id="rId2045" xr:uid="{00000000-0004-0000-0700-0000FC070000}"/>
    <hyperlink ref="N2105" r:id="rId2046" xr:uid="{00000000-0004-0000-0700-0000FD070000}"/>
    <hyperlink ref="N2106" r:id="rId2047" xr:uid="{00000000-0004-0000-0700-0000FE070000}"/>
    <hyperlink ref="N2107" r:id="rId2048" xr:uid="{00000000-0004-0000-0700-0000FF070000}"/>
    <hyperlink ref="N2108" r:id="rId2049" xr:uid="{00000000-0004-0000-0700-000000080000}"/>
    <hyperlink ref="N2109" r:id="rId2050" xr:uid="{00000000-0004-0000-0700-000001080000}"/>
    <hyperlink ref="N2110" r:id="rId2051" xr:uid="{00000000-0004-0000-0700-000002080000}"/>
    <hyperlink ref="N2111" r:id="rId2052" xr:uid="{00000000-0004-0000-0700-000003080000}"/>
    <hyperlink ref="N2112" r:id="rId2053" xr:uid="{00000000-0004-0000-0700-000004080000}"/>
    <hyperlink ref="N2113" r:id="rId2054" xr:uid="{00000000-0004-0000-0700-000005080000}"/>
    <hyperlink ref="N2114" r:id="rId2055" xr:uid="{00000000-0004-0000-0700-000006080000}"/>
    <hyperlink ref="N2115" r:id="rId2056" xr:uid="{00000000-0004-0000-0700-000007080000}"/>
    <hyperlink ref="N2117" r:id="rId2057" xr:uid="{00000000-0004-0000-0700-000008080000}"/>
    <hyperlink ref="N2118" r:id="rId2058" xr:uid="{00000000-0004-0000-0700-000009080000}"/>
    <hyperlink ref="N2119" r:id="rId2059" xr:uid="{00000000-0004-0000-0700-00000A080000}"/>
    <hyperlink ref="N2120" r:id="rId2060" xr:uid="{00000000-0004-0000-0700-00000B080000}"/>
    <hyperlink ref="N2121" r:id="rId2061" xr:uid="{00000000-0004-0000-0700-00000C080000}"/>
    <hyperlink ref="N2122" r:id="rId2062" xr:uid="{00000000-0004-0000-0700-00000D080000}"/>
    <hyperlink ref="N2123" r:id="rId2063" xr:uid="{00000000-0004-0000-0700-00000E080000}"/>
    <hyperlink ref="N2124" r:id="rId2064" xr:uid="{00000000-0004-0000-0700-00000F080000}"/>
    <hyperlink ref="N2125" r:id="rId2065" xr:uid="{00000000-0004-0000-0700-000010080000}"/>
    <hyperlink ref="N2126" r:id="rId2066" xr:uid="{00000000-0004-0000-0700-000011080000}"/>
    <hyperlink ref="N2127" r:id="rId2067" xr:uid="{00000000-0004-0000-0700-000012080000}"/>
    <hyperlink ref="N2128" r:id="rId2068" xr:uid="{00000000-0004-0000-0700-000013080000}"/>
    <hyperlink ref="N2129" r:id="rId2069" xr:uid="{00000000-0004-0000-0700-000014080000}"/>
    <hyperlink ref="N2130" r:id="rId2070" xr:uid="{00000000-0004-0000-0700-000015080000}"/>
    <hyperlink ref="N2131" r:id="rId2071" xr:uid="{00000000-0004-0000-0700-000016080000}"/>
    <hyperlink ref="N2132" r:id="rId2072" xr:uid="{00000000-0004-0000-0700-000017080000}"/>
    <hyperlink ref="N2133" r:id="rId2073" xr:uid="{00000000-0004-0000-0700-000018080000}"/>
    <hyperlink ref="N2134" r:id="rId2074" xr:uid="{00000000-0004-0000-0700-000019080000}"/>
    <hyperlink ref="N2135" r:id="rId2075" xr:uid="{00000000-0004-0000-0700-00001A080000}"/>
    <hyperlink ref="N2136" r:id="rId2076" xr:uid="{00000000-0004-0000-0700-00001B080000}"/>
    <hyperlink ref="N2137" r:id="rId2077" xr:uid="{00000000-0004-0000-0700-00001C080000}"/>
    <hyperlink ref="N2138" r:id="rId2078" xr:uid="{00000000-0004-0000-0700-00001D080000}"/>
    <hyperlink ref="N2139" r:id="rId2079" xr:uid="{00000000-0004-0000-0700-00001E080000}"/>
    <hyperlink ref="N2140" r:id="rId2080" xr:uid="{00000000-0004-0000-0700-00001F080000}"/>
    <hyperlink ref="N2141" r:id="rId2081" xr:uid="{00000000-0004-0000-0700-000020080000}"/>
    <hyperlink ref="N2142" r:id="rId2082" xr:uid="{00000000-0004-0000-0700-000021080000}"/>
    <hyperlink ref="N2143" r:id="rId2083" xr:uid="{00000000-0004-0000-0700-000022080000}"/>
    <hyperlink ref="N2144" r:id="rId2084" xr:uid="{00000000-0004-0000-0700-000023080000}"/>
    <hyperlink ref="N2145" r:id="rId2085" xr:uid="{00000000-0004-0000-0700-000024080000}"/>
    <hyperlink ref="N2146" r:id="rId2086" xr:uid="{00000000-0004-0000-0700-000025080000}"/>
    <hyperlink ref="N2147" r:id="rId2087" xr:uid="{00000000-0004-0000-0700-000026080000}"/>
    <hyperlink ref="N2148" r:id="rId2088" xr:uid="{00000000-0004-0000-0700-000027080000}"/>
    <hyperlink ref="N2149" r:id="rId2089" xr:uid="{00000000-0004-0000-0700-000028080000}"/>
    <hyperlink ref="N2150" r:id="rId2090" xr:uid="{00000000-0004-0000-0700-000029080000}"/>
    <hyperlink ref="N2151" r:id="rId2091" xr:uid="{00000000-0004-0000-0700-00002A080000}"/>
    <hyperlink ref="N2152" r:id="rId2092" xr:uid="{00000000-0004-0000-0700-00002B080000}"/>
    <hyperlink ref="N2153" r:id="rId2093" xr:uid="{00000000-0004-0000-0700-00002C080000}"/>
    <hyperlink ref="N2154" r:id="rId2094" xr:uid="{00000000-0004-0000-0700-00002D080000}"/>
    <hyperlink ref="N2155" r:id="rId2095" xr:uid="{00000000-0004-0000-0700-00002E080000}"/>
    <hyperlink ref="N2156" r:id="rId2096" xr:uid="{00000000-0004-0000-0700-00002F080000}"/>
    <hyperlink ref="N2157" r:id="rId2097" xr:uid="{00000000-0004-0000-0700-000030080000}"/>
    <hyperlink ref="N2158" r:id="rId2098" xr:uid="{00000000-0004-0000-0700-000031080000}"/>
    <hyperlink ref="N2159" r:id="rId2099" xr:uid="{00000000-0004-0000-0700-000032080000}"/>
    <hyperlink ref="N2160" r:id="rId2100" xr:uid="{00000000-0004-0000-0700-000033080000}"/>
    <hyperlink ref="N2161" r:id="rId2101" xr:uid="{00000000-0004-0000-0700-000034080000}"/>
    <hyperlink ref="N2162" r:id="rId2102" xr:uid="{00000000-0004-0000-0700-000035080000}"/>
    <hyperlink ref="N2163" r:id="rId2103" xr:uid="{00000000-0004-0000-0700-000036080000}"/>
    <hyperlink ref="N2164" r:id="rId2104" xr:uid="{00000000-0004-0000-0700-000037080000}"/>
    <hyperlink ref="N2165" r:id="rId2105" xr:uid="{00000000-0004-0000-0700-000038080000}"/>
    <hyperlink ref="N2166" r:id="rId2106" xr:uid="{00000000-0004-0000-0700-000039080000}"/>
    <hyperlink ref="N2167" r:id="rId2107" xr:uid="{00000000-0004-0000-0700-00003A080000}"/>
    <hyperlink ref="N2168" r:id="rId2108" xr:uid="{00000000-0004-0000-0700-00003B080000}"/>
    <hyperlink ref="N2169" r:id="rId2109" xr:uid="{00000000-0004-0000-0700-00003C080000}"/>
    <hyperlink ref="N2170" r:id="rId2110" xr:uid="{00000000-0004-0000-0700-00003D080000}"/>
    <hyperlink ref="N2171" r:id="rId2111" xr:uid="{00000000-0004-0000-0700-00003E080000}"/>
    <hyperlink ref="N2172" r:id="rId2112" xr:uid="{00000000-0004-0000-0700-00003F080000}"/>
    <hyperlink ref="N2173" r:id="rId2113" xr:uid="{00000000-0004-0000-0700-000040080000}"/>
    <hyperlink ref="N2174" r:id="rId2114" xr:uid="{00000000-0004-0000-0700-000041080000}"/>
    <hyperlink ref="N2175" r:id="rId2115" xr:uid="{00000000-0004-0000-0700-000042080000}"/>
    <hyperlink ref="N2176" r:id="rId2116" xr:uid="{00000000-0004-0000-0700-000043080000}"/>
    <hyperlink ref="N2177" r:id="rId2117" xr:uid="{00000000-0004-0000-0700-000044080000}"/>
    <hyperlink ref="N2178" r:id="rId2118" xr:uid="{00000000-0004-0000-0700-000045080000}"/>
    <hyperlink ref="N2179" r:id="rId2119" xr:uid="{00000000-0004-0000-0700-000046080000}"/>
    <hyperlink ref="N2180" r:id="rId2120" xr:uid="{00000000-0004-0000-0700-000047080000}"/>
    <hyperlink ref="N2181" r:id="rId2121" xr:uid="{00000000-0004-0000-0700-000048080000}"/>
    <hyperlink ref="N2182" r:id="rId2122" xr:uid="{00000000-0004-0000-0700-000049080000}"/>
    <hyperlink ref="N2183" r:id="rId2123" xr:uid="{00000000-0004-0000-0700-00004A080000}"/>
    <hyperlink ref="N2184" r:id="rId2124" xr:uid="{00000000-0004-0000-0700-00004B080000}"/>
    <hyperlink ref="N2185" r:id="rId2125" xr:uid="{00000000-0004-0000-0700-00004C080000}"/>
    <hyperlink ref="N2186" r:id="rId2126" xr:uid="{00000000-0004-0000-0700-00004D080000}"/>
    <hyperlink ref="N2187" r:id="rId2127" xr:uid="{00000000-0004-0000-0700-00004E080000}"/>
    <hyperlink ref="N2188" r:id="rId2128" xr:uid="{00000000-0004-0000-0700-00004F080000}"/>
    <hyperlink ref="N2189" r:id="rId2129" xr:uid="{00000000-0004-0000-0700-000050080000}"/>
    <hyperlink ref="N2191" r:id="rId2130" xr:uid="{00000000-0004-0000-0700-000051080000}"/>
    <hyperlink ref="N2192" r:id="rId2131" xr:uid="{00000000-0004-0000-0700-000052080000}"/>
    <hyperlink ref="N2193" r:id="rId2132" xr:uid="{00000000-0004-0000-0700-000053080000}"/>
    <hyperlink ref="N2194" r:id="rId2133" xr:uid="{00000000-0004-0000-0700-000054080000}"/>
    <hyperlink ref="N2195" r:id="rId2134" xr:uid="{00000000-0004-0000-0700-000055080000}"/>
    <hyperlink ref="N2196" r:id="rId2135" xr:uid="{00000000-0004-0000-0700-000056080000}"/>
    <hyperlink ref="N2197" r:id="rId2136" xr:uid="{00000000-0004-0000-0700-000057080000}"/>
    <hyperlink ref="N2198" r:id="rId2137" xr:uid="{00000000-0004-0000-0700-000058080000}"/>
    <hyperlink ref="N2199" r:id="rId2138" xr:uid="{00000000-0004-0000-0700-000059080000}"/>
    <hyperlink ref="N2200" r:id="rId2139" xr:uid="{00000000-0004-0000-0700-00005A080000}"/>
    <hyperlink ref="N2202" r:id="rId2140" xr:uid="{00000000-0004-0000-0700-00005B080000}"/>
    <hyperlink ref="N2203" r:id="rId2141" xr:uid="{00000000-0004-0000-0700-00005C080000}"/>
    <hyperlink ref="N2204" r:id="rId2142" xr:uid="{00000000-0004-0000-0700-00005D080000}"/>
    <hyperlink ref="N2205" r:id="rId2143" xr:uid="{00000000-0004-0000-0700-00005E080000}"/>
    <hyperlink ref="N2206" r:id="rId2144" xr:uid="{00000000-0004-0000-0700-00005F080000}"/>
    <hyperlink ref="N2207" r:id="rId2145" xr:uid="{00000000-0004-0000-0700-000060080000}"/>
    <hyperlink ref="N2208" r:id="rId2146" xr:uid="{00000000-0004-0000-0700-000061080000}"/>
    <hyperlink ref="N2209" r:id="rId2147" xr:uid="{00000000-0004-0000-0700-000062080000}"/>
    <hyperlink ref="N2210" r:id="rId2148" xr:uid="{00000000-0004-0000-0700-000063080000}"/>
    <hyperlink ref="N2211" r:id="rId2149" xr:uid="{00000000-0004-0000-0700-000064080000}"/>
    <hyperlink ref="N2212" r:id="rId2150" xr:uid="{00000000-0004-0000-0700-000065080000}"/>
    <hyperlink ref="N2213" r:id="rId2151" xr:uid="{00000000-0004-0000-0700-000066080000}"/>
    <hyperlink ref="N2214" r:id="rId2152" xr:uid="{00000000-0004-0000-0700-000067080000}"/>
    <hyperlink ref="N2215" r:id="rId2153" xr:uid="{00000000-0004-0000-0700-000068080000}"/>
    <hyperlink ref="N2216" r:id="rId2154" xr:uid="{00000000-0004-0000-0700-000069080000}"/>
    <hyperlink ref="N2217" r:id="rId2155" xr:uid="{00000000-0004-0000-0700-00006A080000}"/>
    <hyperlink ref="N2218" r:id="rId2156" xr:uid="{00000000-0004-0000-0700-00006B080000}"/>
    <hyperlink ref="N2219" r:id="rId2157" xr:uid="{00000000-0004-0000-0700-00006C080000}"/>
    <hyperlink ref="N2220" r:id="rId2158" xr:uid="{00000000-0004-0000-0700-00006D080000}"/>
    <hyperlink ref="N2222" r:id="rId2159" xr:uid="{00000000-0004-0000-0700-00006E080000}"/>
    <hyperlink ref="N2223" r:id="rId2160" xr:uid="{00000000-0004-0000-0700-00006F080000}"/>
    <hyperlink ref="N2224" r:id="rId2161" xr:uid="{00000000-0004-0000-0700-000070080000}"/>
    <hyperlink ref="N2225" r:id="rId2162" xr:uid="{00000000-0004-0000-0700-000071080000}"/>
    <hyperlink ref="N2226" r:id="rId2163" xr:uid="{00000000-0004-0000-0700-000072080000}"/>
    <hyperlink ref="N2227" r:id="rId2164" xr:uid="{00000000-0004-0000-0700-000073080000}"/>
    <hyperlink ref="N2228" r:id="rId2165" xr:uid="{00000000-0004-0000-0700-000074080000}"/>
    <hyperlink ref="N2229" r:id="rId2166" xr:uid="{00000000-0004-0000-0700-000075080000}"/>
    <hyperlink ref="N2230" r:id="rId2167" xr:uid="{00000000-0004-0000-0700-000076080000}"/>
    <hyperlink ref="N2231" r:id="rId2168" xr:uid="{00000000-0004-0000-0700-000077080000}"/>
    <hyperlink ref="N2232" r:id="rId2169" xr:uid="{00000000-0004-0000-0700-000078080000}"/>
    <hyperlink ref="N2233" r:id="rId2170" xr:uid="{00000000-0004-0000-0700-000079080000}"/>
    <hyperlink ref="N2234" r:id="rId2171" xr:uid="{00000000-0004-0000-0700-00007A080000}"/>
    <hyperlink ref="N2235" r:id="rId2172" xr:uid="{00000000-0004-0000-0700-00007B080000}"/>
    <hyperlink ref="N2236" r:id="rId2173" xr:uid="{00000000-0004-0000-0700-00007C080000}"/>
    <hyperlink ref="N2237" r:id="rId2174" xr:uid="{00000000-0004-0000-0700-00007D080000}"/>
    <hyperlink ref="N2238" r:id="rId2175" xr:uid="{00000000-0004-0000-0700-00007E080000}"/>
    <hyperlink ref="N2239" r:id="rId2176" xr:uid="{00000000-0004-0000-0700-00007F080000}"/>
    <hyperlink ref="N2240" r:id="rId2177" xr:uid="{00000000-0004-0000-0700-000080080000}"/>
    <hyperlink ref="N2241" r:id="rId2178" xr:uid="{00000000-0004-0000-0700-000081080000}"/>
    <hyperlink ref="N2242" r:id="rId2179" xr:uid="{00000000-0004-0000-0700-000082080000}"/>
    <hyperlink ref="N2243" r:id="rId2180" xr:uid="{00000000-0004-0000-0700-000083080000}"/>
    <hyperlink ref="N2244" r:id="rId2181" xr:uid="{00000000-0004-0000-0700-000084080000}"/>
    <hyperlink ref="N2246" r:id="rId2182" xr:uid="{00000000-0004-0000-0700-000085080000}"/>
    <hyperlink ref="N2247" r:id="rId2183" xr:uid="{00000000-0004-0000-0700-000086080000}"/>
    <hyperlink ref="N2248" r:id="rId2184" xr:uid="{00000000-0004-0000-0700-000087080000}"/>
    <hyperlink ref="N2249" r:id="rId2185" xr:uid="{00000000-0004-0000-0700-000088080000}"/>
    <hyperlink ref="N2250" r:id="rId2186" xr:uid="{00000000-0004-0000-0700-000089080000}"/>
    <hyperlink ref="N2251" r:id="rId2187" xr:uid="{00000000-0004-0000-0700-00008A080000}"/>
    <hyperlink ref="N2252" r:id="rId2188" xr:uid="{00000000-0004-0000-0700-00008B08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1892"/>
  <sheetViews>
    <sheetView workbookViewId="0">
      <pane ySplit="1" topLeftCell="A2" activePane="bottomLeft" state="frozen"/>
      <selection pane="bottomLeft" activeCell="B38" sqref="B38"/>
    </sheetView>
  </sheetViews>
  <sheetFormatPr defaultColWidth="12.5703125" defaultRowHeight="15.75" customHeight="1" x14ac:dyDescent="0.2"/>
  <cols>
    <col min="1" max="1" width="6.7109375" customWidth="1"/>
    <col min="2" max="2" width="72.42578125" customWidth="1"/>
    <col min="3" max="3" width="64.28515625" customWidth="1"/>
    <col min="4" max="4" width="14.28515625" customWidth="1"/>
    <col min="6" max="6" width="34.140625" customWidth="1"/>
    <col min="8" max="8" width="18.28515625" customWidth="1"/>
  </cols>
  <sheetData>
    <row r="1" spans="1:28" ht="39" customHeight="1" x14ac:dyDescent="0.2">
      <c r="A1" s="52" t="s">
        <v>13287</v>
      </c>
      <c r="B1" s="51" t="s">
        <v>12840</v>
      </c>
      <c r="C1" s="51" t="s">
        <v>12841</v>
      </c>
      <c r="D1" s="51" t="s">
        <v>12842</v>
      </c>
      <c r="E1" s="51" t="s">
        <v>12843</v>
      </c>
      <c r="F1" s="51" t="s">
        <v>9273</v>
      </c>
      <c r="G1" s="51" t="s">
        <v>12844</v>
      </c>
      <c r="H1" s="51" t="s">
        <v>12845</v>
      </c>
      <c r="I1" s="52"/>
      <c r="J1" s="52"/>
      <c r="K1" s="52"/>
      <c r="L1" s="52"/>
      <c r="M1" s="52"/>
      <c r="N1" s="52"/>
      <c r="O1" s="52"/>
      <c r="P1" s="52"/>
      <c r="Q1" s="52"/>
      <c r="R1" s="52"/>
      <c r="S1" s="52"/>
      <c r="T1" s="52"/>
      <c r="U1" s="52"/>
      <c r="V1" s="52"/>
      <c r="W1" s="52"/>
      <c r="X1" s="52"/>
      <c r="Y1" s="52"/>
      <c r="Z1" s="52"/>
      <c r="AA1" s="52"/>
      <c r="AB1" s="52"/>
    </row>
    <row r="2" spans="1:28" ht="12.75" x14ac:dyDescent="0.2">
      <c r="A2">
        <v>1</v>
      </c>
      <c r="B2" s="15" t="str">
        <f ca="1">IFERROR(__xludf.DUMMYFUNCTION("UNIQUE('ALL DATABASES'!A2:A2252)"),"10 Years of Technical Debt Research and Practice: Past, Present, and Future")</f>
        <v>10 Years of Technical Debt Research and Practice: Past, Present, and Future</v>
      </c>
      <c r="C2" s="15" t="str">
        <f ca="1">VLOOKUP(B2,'ALL DATABASES'!$A$1:$T$2252,2,FALSE)</f>
        <v>Ciolkowski M,Lenarduzzi V,Martini A</v>
      </c>
      <c r="D2" s="15">
        <f ca="1">VLOOKUP(B2,'ALL DATABASES'!$A$1:$T$2252,5,FALSE)</f>
        <v>2021</v>
      </c>
      <c r="E2" s="53">
        <f ca="1">VLOOKUP(B2,'ALL DATABASES'!$A$1:$T$2252,10,FALSE)</f>
        <v>44501</v>
      </c>
      <c r="F2" s="54" t="str">
        <f ca="1">VLOOKUP(B2,'ALL DATABASES'!$A$1:$T$2252,14,FALSE)</f>
        <v>http://dx.doi.org/10.1109/MS.2021.3105625</v>
      </c>
      <c r="G2" s="15" t="str">
        <f ca="1">VLOOKUP(B2,'ALL DATABASES'!$A$1:$T$2252,3,FALSE)</f>
        <v>Journal Article</v>
      </c>
      <c r="H2" s="50" t="str">
        <f ca="1">VLOOKUP(B2,'ALL DATABASES'!$A$1:$T$2252,20,FALSE)</f>
        <v>IEEE</v>
      </c>
    </row>
    <row r="3" spans="1:28" ht="12.75" x14ac:dyDescent="0.2">
      <c r="A3">
        <v>2</v>
      </c>
      <c r="B3" s="15" t="str">
        <f ca="1">IFERROR(__xludf.DUMMYFUNCTION("""COMPUTED_VALUE"""),"18. Internationales Stuttgarter Symposium")</f>
        <v>18. Internationales Stuttgarter Symposium</v>
      </c>
      <c r="C3" s="15" t="str">
        <f ca="1">VLOOKUP(B3,'ALL DATABASES'!$A$1:$T$2252,2,FALSE)</f>
        <v>Prof. Dr. Michael BargendeProf. Dr. Hans-Christian ReussProf. Dr. Jochen Wiedemann</v>
      </c>
      <c r="D3" s="15">
        <f ca="1">VLOOKUP(B3,'ALL DATABASES'!$A$1:$T$2252,5,FALSE)</f>
        <v>2018</v>
      </c>
      <c r="E3" s="15">
        <f ca="1">VLOOKUP(B3,'ALL DATABASES'!$A$1:$T$2252,10,FALSE)</f>
        <v>0</v>
      </c>
      <c r="F3" s="54" t="str">
        <f ca="1">VLOOKUP(B3,'ALL DATABASES'!$A$1:$T$2252,14,FALSE)</f>
        <v>http://link.springer.com/book/10.1007/978-3-658-21194-3</v>
      </c>
      <c r="G3" s="15" t="str">
        <f ca="1">VLOOKUP(B3,'ALL DATABASES'!$A$1:$T$2252,3,FALSE)</f>
        <v>Book</v>
      </c>
      <c r="H3" s="50" t="str">
        <f ca="1">VLOOKUP(B3,'ALL DATABASES'!$A$1:$T$2252,20,FALSE)</f>
        <v>SPRINGER</v>
      </c>
    </row>
    <row r="4" spans="1:28" ht="12.75" x14ac:dyDescent="0.2">
      <c r="A4">
        <v>3</v>
      </c>
      <c r="B4" s="15" t="str">
        <f ca="1">IFERROR(__xludf.DUMMYFUNCTION("""COMPUTED_VALUE"""),"20. Internationales Stuttgarter Symposium")</f>
        <v>20. Internationales Stuttgarter Symposium</v>
      </c>
      <c r="C4" s="15" t="str">
        <f ca="1">VLOOKUP(B4,'ALL DATABASES'!$A$1:$T$2252,2,FALSE)</f>
        <v>Prof. Dr. Michael BargendeProf. Dr. Hans-Christian ReussProf. Dr. Andreas Wagner</v>
      </c>
      <c r="D4" s="15">
        <f ca="1">VLOOKUP(B4,'ALL DATABASES'!$A$1:$T$2252,5,FALSE)</f>
        <v>2020</v>
      </c>
      <c r="E4" s="15">
        <f ca="1">VLOOKUP(B4,'ALL DATABASES'!$A$1:$T$2252,10,FALSE)</f>
        <v>0</v>
      </c>
      <c r="F4" s="54" t="str">
        <f ca="1">VLOOKUP(B4,'ALL DATABASES'!$A$1:$T$2252,14,FALSE)</f>
        <v>http://link.springer.com/book/10.1007/978-3-658-30995-4</v>
      </c>
      <c r="G4" s="15" t="str">
        <f ca="1">VLOOKUP(B4,'ALL DATABASES'!$A$1:$T$2252,3,FALSE)</f>
        <v>Book</v>
      </c>
      <c r="H4" s="50" t="str">
        <f ca="1">VLOOKUP(B4,'ALL DATABASES'!$A$1:$T$2252,20,FALSE)</f>
        <v>SPRINGER</v>
      </c>
    </row>
    <row r="5" spans="1:28" ht="12.75" x14ac:dyDescent="0.2">
      <c r="A5">
        <v>4</v>
      </c>
      <c r="B5" s="15" t="str">
        <f ca="1">IFERROR(__xludf.DUMMYFUNCTION("""COMPUTED_VALUE"""),"2019 Index IEEE Transactions on Software Engineering Vol. 45")</f>
        <v>2019 Index IEEE Transactions on Software Engineering Vol. 45</v>
      </c>
      <c r="C5" s="15">
        <f ca="1">VLOOKUP(B5,'ALL DATABASES'!$A$1:$T$2252,2,FALSE)</f>
        <v>0</v>
      </c>
      <c r="D5" s="15">
        <f ca="1">VLOOKUP(B5,'ALL DATABASES'!$A$1:$T$2252,5,FALSE)</f>
        <v>2020</v>
      </c>
      <c r="E5" s="55">
        <f ca="1">VLOOKUP(B5,'ALL DATABASES'!$A$1:$T$2252,10,FALSE)</f>
        <v>43831</v>
      </c>
      <c r="F5" s="54" t="str">
        <f ca="1">VLOOKUP(B5,'ALL DATABASES'!$A$1:$T$2252,14,FALSE)</f>
        <v>http://dx.doi.org/10.1109/TSE.2019.2960169</v>
      </c>
      <c r="G5" s="15" t="str">
        <f ca="1">VLOOKUP(B5,'ALL DATABASES'!$A$1:$T$2252,3,FALSE)</f>
        <v>Journal Article</v>
      </c>
      <c r="H5" s="50" t="str">
        <f ca="1">VLOOKUP(B5,'ALL DATABASES'!$A$1:$T$2252,20,FALSE)</f>
        <v>IEEE</v>
      </c>
    </row>
    <row r="6" spans="1:28" ht="12.75" x14ac:dyDescent="0.2">
      <c r="A6">
        <v>5</v>
      </c>
      <c r="B6" s="15" t="str">
        <f ca="1">IFERROR(__xludf.DUMMYFUNCTION("""COMPUTED_VALUE"""),"2019 International Conference on Cyber Security and Protection of Digital Services (Cyber Security)")</f>
        <v>2019 International Conference on Cyber Security and Protection of Digital Services (Cyber Security)</v>
      </c>
      <c r="C6" s="15">
        <f ca="1">VLOOKUP(B6,'ALL DATABASES'!$A$1:$T$2252,2,FALSE)</f>
        <v>0</v>
      </c>
      <c r="D6" s="15">
        <f ca="1">VLOOKUP(B6,'ALL DATABASES'!$A$1:$T$2252,5,FALSE)</f>
        <v>2019</v>
      </c>
      <c r="E6" s="55">
        <f ca="1">VLOOKUP(B6,'ALL DATABASES'!$A$1:$T$2252,10,FALSE)</f>
        <v>43617</v>
      </c>
      <c r="F6" s="54" t="str">
        <f ca="1">VLOOKUP(B6,'ALL DATABASES'!$A$1:$T$2252,14,FALSE)</f>
        <v>http://dx.doi.org/10.1109/CyberSecPODS.2019.8885403</v>
      </c>
      <c r="G6" s="15" t="str">
        <f ca="1">VLOOKUP(B6,'ALL DATABASES'!$A$1:$T$2252,3,FALSE)</f>
        <v>Conference Paper</v>
      </c>
      <c r="H6" s="50" t="str">
        <f ca="1">VLOOKUP(B6,'ALL DATABASES'!$A$1:$T$2252,20,FALSE)</f>
        <v>IEEE</v>
      </c>
    </row>
    <row r="7" spans="1:28" ht="12.75" x14ac:dyDescent="0.2">
      <c r="A7">
        <v>6</v>
      </c>
      <c r="B7" s="15" t="str">
        <f ca="1">IFERROR(__xludf.DUMMYFUNCTION("""COMPUTED_VALUE"""),"20th International Conference on Product-Focused Software Process Improvement, PROFES 2019")</f>
        <v>20th International Conference on Product-Focused Software Process Improvement, PROFES 2019</v>
      </c>
      <c r="C7" s="15">
        <f ca="1">VLOOKUP(B7,'ALL DATABASES'!$A$1:$T$2252,2,FALSE)</f>
        <v>0</v>
      </c>
      <c r="D7" s="15">
        <f ca="1">VLOOKUP(B7,'ALL DATABASES'!$A$1:$T$2252,5,FALSE)</f>
        <v>2019</v>
      </c>
      <c r="E7" s="15">
        <f ca="1">VLOOKUP(B7,'ALL DATABASES'!$A$1:$T$2252,10,FALSE)</f>
        <v>2019</v>
      </c>
      <c r="F7" s="54" t="str">
        <f ca="1">VLOOKUP(B7,'ALL DATABASES'!$A$1:$T$2252,14,FALSE)</f>
        <v>https://www.scopus.com/inward/record.uri?eid=2-s2.0-85076541990&amp;partnerID=40&amp;md5=ce125964603b630e1543356b5f1858ae</v>
      </c>
      <c r="G7" s="15" t="str">
        <f ca="1">VLOOKUP(B7,'ALL DATABASES'!$A$1:$T$2252,3,FALSE)</f>
        <v>Journal Article</v>
      </c>
      <c r="H7" s="50" t="str">
        <f ca="1">VLOOKUP(B7,'ALL DATABASES'!$A$1:$T$2252,20,FALSE)</f>
        <v>SCOPUS</v>
      </c>
    </row>
    <row r="8" spans="1:28" ht="12.75" x14ac:dyDescent="0.2">
      <c r="A8">
        <v>7</v>
      </c>
      <c r="B8" s="15" t="str">
        <f ca="1">IFERROR(__xludf.DUMMYFUNCTION("""COMPUTED_VALUE"""),"22. Internationales Stuttgarter Symposium")</f>
        <v>22. Internationales Stuttgarter Symposium</v>
      </c>
      <c r="C8" s="15" t="str">
        <f ca="1">VLOOKUP(B8,'ALL DATABASES'!$A$1:$T$2252,2,FALSE)</f>
        <v>Michael BargendeHans-Christian ReussAndreas Wagner</v>
      </c>
      <c r="D8" s="15">
        <f ca="1">VLOOKUP(B8,'ALL DATABASES'!$A$1:$T$2252,5,FALSE)</f>
        <v>2022</v>
      </c>
      <c r="E8" s="15">
        <f ca="1">VLOOKUP(B8,'ALL DATABASES'!$A$1:$T$2252,10,FALSE)</f>
        <v>0</v>
      </c>
      <c r="F8" s="54" t="str">
        <f ca="1">VLOOKUP(B8,'ALL DATABASES'!$A$1:$T$2252,14,FALSE)</f>
        <v>http://link.springer.com/book/10.1007/978-3-658-37009-1</v>
      </c>
      <c r="G8" s="15" t="str">
        <f ca="1">VLOOKUP(B8,'ALL DATABASES'!$A$1:$T$2252,3,FALSE)</f>
        <v>Book</v>
      </c>
      <c r="H8" s="50" t="str">
        <f ca="1">VLOOKUP(B8,'ALL DATABASES'!$A$1:$T$2252,20,FALSE)</f>
        <v>SPRINGER</v>
      </c>
    </row>
    <row r="9" spans="1:28" ht="12.75" x14ac:dyDescent="0.2">
      <c r="A9">
        <v>8</v>
      </c>
      <c r="B9" s="15" t="str">
        <f ca="1">IFERROR(__xludf.DUMMYFUNCTION("""COMPUTED_VALUE"""),"22nd International Conference on Enterprise Information Systems, ICEIS 2020")</f>
        <v>22nd International Conference on Enterprise Information Systems, ICEIS 2020</v>
      </c>
      <c r="C9" s="15">
        <f ca="1">VLOOKUP(B9,'ALL DATABASES'!$A$1:$T$2252,2,FALSE)</f>
        <v>0</v>
      </c>
      <c r="D9" s="15">
        <f ca="1">VLOOKUP(B9,'ALL DATABASES'!$A$1:$T$2252,5,FALSE)</f>
        <v>2021</v>
      </c>
      <c r="E9" s="15">
        <f ca="1">VLOOKUP(B9,'ALL DATABASES'!$A$1:$T$2252,10,FALSE)</f>
        <v>2021</v>
      </c>
      <c r="F9" s="54" t="str">
        <f ca="1">VLOOKUP(B9,'ALL DATABASES'!$A$1:$T$2252,14,FALSE)</f>
        <v>https://www.scopus.com/inward/record.uri?eid=2-s2.0-85106414853&amp;partnerID=40&amp;md5=dd55c969141da37da7cf192f0fcca10a</v>
      </c>
      <c r="G9" s="15" t="str">
        <f ca="1">VLOOKUP(B9,'ALL DATABASES'!$A$1:$T$2252,3,FALSE)</f>
        <v>Journal Article</v>
      </c>
      <c r="H9" s="50" t="str">
        <f ca="1">VLOOKUP(B9,'ALL DATABASES'!$A$1:$T$2252,20,FALSE)</f>
        <v>SCOPUS</v>
      </c>
    </row>
    <row r="10" spans="1:28" ht="12.75" x14ac:dyDescent="0.2">
      <c r="A10">
        <v>9</v>
      </c>
      <c r="B10" s="15" t="str">
        <f ca="1">IFERROR(__xludf.DUMMYFUNCTION("""COMPUTED_VALUE"""),"22nd International Conference on Product-Focused Software Process Improvement, PROFES 2021")</f>
        <v>22nd International Conference on Product-Focused Software Process Improvement, PROFES 2021</v>
      </c>
      <c r="C10" s="15">
        <f ca="1">VLOOKUP(B10,'ALL DATABASES'!$A$1:$T$2252,2,FALSE)</f>
        <v>0</v>
      </c>
      <c r="D10" s="15">
        <f ca="1">VLOOKUP(B10,'ALL DATABASES'!$A$1:$T$2252,5,FALSE)</f>
        <v>2021</v>
      </c>
      <c r="E10" s="15">
        <f ca="1">VLOOKUP(B10,'ALL DATABASES'!$A$1:$T$2252,10,FALSE)</f>
        <v>2021</v>
      </c>
      <c r="F10" s="54" t="str">
        <f ca="1">VLOOKUP(B10,'ALL DATABASES'!$A$1:$T$2252,14,FALSE)</f>
        <v>https://www.scopus.com/inward/record.uri?eid=2-s2.0-85121599547&amp;partnerID=40&amp;md5=ee015f1d0da14b1242f0f173d2ecc680</v>
      </c>
      <c r="G10" s="15" t="str">
        <f ca="1">VLOOKUP(B10,'ALL DATABASES'!$A$1:$T$2252,3,FALSE)</f>
        <v>Journal Article</v>
      </c>
      <c r="H10" s="50" t="str">
        <f ca="1">VLOOKUP(B10,'ALL DATABASES'!$A$1:$T$2252,20,FALSE)</f>
        <v>SCOPUS</v>
      </c>
    </row>
    <row r="11" spans="1:28" ht="12.75" x14ac:dyDescent="0.2">
      <c r="A11">
        <v>10</v>
      </c>
      <c r="B11" s="15" t="str">
        <f ca="1">IFERROR(__xludf.DUMMYFUNCTION("""COMPUTED_VALUE"""),"23 Shades of Self-Admitted Technical Debt: An Empirical Study on Machine Learning Software")</f>
        <v>23 Shades of Self-Admitted Technical Debt: An Empirical Study on Machine Learning Software</v>
      </c>
      <c r="C11" s="15" t="str">
        <f ca="1">VLOOKUP(B11,'ALL DATABASES'!$A$1:$T$2252,2,FALSE)</f>
        <v>OBrien D,Biswas S,Imtiaz S,Abdalkareem R,Shihab E,Rajan H</v>
      </c>
      <c r="D11" s="15">
        <f ca="1">VLOOKUP(B11,'ALL DATABASES'!$A$1:$T$2252,5,FALSE)</f>
        <v>2022</v>
      </c>
      <c r="E11" s="15">
        <f ca="1">VLOOKUP(B11,'ALL DATABASES'!$A$1:$T$2252,10,FALSE)</f>
        <v>2022</v>
      </c>
      <c r="F11" s="54" t="str">
        <f ca="1">VLOOKUP(B11,'ALL DATABASES'!$A$1:$T$2252,14,FALSE)</f>
        <v>https://doi.org/10.1145/3540250.3549088;http://dx.doi.org/10.1145/3540250.3549088</v>
      </c>
      <c r="G11" s="15" t="str">
        <f ca="1">VLOOKUP(B11,'ALL DATABASES'!$A$1:$T$2252,3,FALSE)</f>
        <v>Conference Paper</v>
      </c>
      <c r="H11" s="50" t="str">
        <f ca="1">VLOOKUP(B11,'ALL DATABASES'!$A$1:$T$2252,20,FALSE)</f>
        <v>ACM</v>
      </c>
    </row>
    <row r="12" spans="1:28" ht="12.75" x14ac:dyDescent="0.2">
      <c r="A12">
        <v>11</v>
      </c>
      <c r="B12" s="15" t="str">
        <f ca="1">IFERROR(__xludf.DUMMYFUNCTION("""COMPUTED_VALUE"""),"23rd International Conference on Product-Focused Software Process Improvement, PROFES 2022")</f>
        <v>23rd International Conference on Product-Focused Software Process Improvement, PROFES 2022</v>
      </c>
      <c r="C12" s="15">
        <f ca="1">VLOOKUP(B12,'ALL DATABASES'!$A$1:$T$2252,2,FALSE)</f>
        <v>0</v>
      </c>
      <c r="D12" s="15">
        <f ca="1">VLOOKUP(B12,'ALL DATABASES'!$A$1:$T$2252,5,FALSE)</f>
        <v>2022</v>
      </c>
      <c r="E12" s="15">
        <f ca="1">VLOOKUP(B12,'ALL DATABASES'!$A$1:$T$2252,10,FALSE)</f>
        <v>2022</v>
      </c>
      <c r="F12" s="54" t="str">
        <f ca="1">VLOOKUP(B12,'ALL DATABASES'!$A$1:$T$2252,14,FALSE)</f>
        <v>https://www.scopus.com/inward/record.uri?eid=2-s2.0-85142754958&amp;partnerID=40&amp;md5=cd4bf0518dae3491537836c50064e080</v>
      </c>
      <c r="G12" s="15" t="str">
        <f ca="1">VLOOKUP(B12,'ALL DATABASES'!$A$1:$T$2252,3,FALSE)</f>
        <v>Journal Article</v>
      </c>
      <c r="H12" s="50" t="str">
        <f ca="1">VLOOKUP(B12,'ALL DATABASES'!$A$1:$T$2252,20,FALSE)</f>
        <v>SCOPUS</v>
      </c>
    </row>
    <row r="13" spans="1:28" ht="12.75" x14ac:dyDescent="0.2">
      <c r="A13">
        <v>12</v>
      </c>
      <c r="B13" s="15" t="str">
        <f ca="1">IFERROR(__xludf.DUMMYFUNCTION("""COMPUTED_VALUE"""),"A Bayesian Belief Network for modeling open source software maintenance productivity")</f>
        <v>A Bayesian Belief Network for modeling open source software maintenance productivity</v>
      </c>
      <c r="C13" s="15" t="str">
        <f ca="1">VLOOKUP(B13,'ALL DATABASES'!$A$1:$T$2252,2,FALSE)</f>
        <v>Bibi S,Ampatzoglou A,Stamelos I</v>
      </c>
      <c r="D13" s="15">
        <f ca="1">VLOOKUP(B13,'ALL DATABASES'!$A$1:$T$2252,5,FALSE)</f>
        <v>2016</v>
      </c>
      <c r="E13" s="15">
        <f ca="1">VLOOKUP(B13,'ALL DATABASES'!$A$1:$T$2252,10,FALSE)</f>
        <v>2016</v>
      </c>
      <c r="F13" s="54" t="str">
        <f ca="1">VLOOKUP(B13,'ALL DATABASES'!$A$1:$T$2252,14,FALSE)</f>
        <v>https://www.scopus.com/inward/record.uri?eid=2-s2.0-84971577036&amp;doi=10.1007%2f978-3-319-39225-7_3&amp;partnerID=40&amp;md5=a1bfb946220695530cc6d826730ad804;http://dx.doi.org/10.1007/978-3-319-39225-7_3</v>
      </c>
      <c r="G13" s="15" t="str">
        <f ca="1">VLOOKUP(B13,'ALL DATABASES'!$A$1:$T$2252,3,FALSE)</f>
        <v>Journal Article</v>
      </c>
      <c r="H13" s="50" t="str">
        <f ca="1">VLOOKUP(B13,'ALL DATABASES'!$A$1:$T$2252,20,FALSE)</f>
        <v>SCOPUS</v>
      </c>
    </row>
    <row r="14" spans="1:28" ht="12.75" x14ac:dyDescent="0.2">
      <c r="A14">
        <v>13</v>
      </c>
      <c r="B14" s="15" t="str">
        <f ca="1">IFERROR(__xludf.DUMMYFUNCTION("""COMPUTED_VALUE"""),"A Bibliographic Review of Software Metrics: Applying the Consolidated Meta-Analytic Approach")</f>
        <v>A Bibliographic Review of Software Metrics: Applying the Consolidated Meta-Analytic Approach</v>
      </c>
      <c r="C14" s="15" t="str">
        <f ca="1">VLOOKUP(B14,'ALL DATABASES'!$A$1:$T$2252,2,FALSE)</f>
        <v>Ari Melo MarianoAna Carla Bittencourt ReisLucas dos Santos AlthoffLaÃ­s Bandeira Barros</v>
      </c>
      <c r="D14" s="15">
        <f ca="1">VLOOKUP(B14,'ALL DATABASES'!$A$1:$T$2252,5,FALSE)</f>
        <v>2019</v>
      </c>
      <c r="E14" s="15">
        <f ca="1">VLOOKUP(B14,'ALL DATABASES'!$A$1:$T$2252,10,FALSE)</f>
        <v>0</v>
      </c>
      <c r="F14" s="54" t="str">
        <f ca="1">VLOOKUP(B14,'ALL DATABASES'!$A$1:$T$2252,14,FALSE)</f>
        <v>http://link.springer.com/chapter/10.1007/978-3-030-14969-7_21</v>
      </c>
      <c r="G14" s="15" t="str">
        <f ca="1">VLOOKUP(B14,'ALL DATABASES'!$A$1:$T$2252,3,FALSE)</f>
        <v>Chapter</v>
      </c>
      <c r="H14" s="50" t="str">
        <f ca="1">VLOOKUP(B14,'ALL DATABASES'!$A$1:$T$2252,20,FALSE)</f>
        <v>SPRINGER</v>
      </c>
    </row>
    <row r="15" spans="1:28" ht="12.75" x14ac:dyDescent="0.2">
      <c r="A15">
        <v>14</v>
      </c>
      <c r="B15" s="15" t="str">
        <f ca="1">IFERROR(__xludf.DUMMYFUNCTION("""COMPUTED_VALUE"""),"A bibliometric assessment of software engineering scholars and institutions (2010–2017)")</f>
        <v>A bibliometric assessment of software engineering scholars and institutions (2010–2017)</v>
      </c>
      <c r="C15" s="15" t="str">
        <f ca="1">VLOOKUP(B15,'ALL DATABASES'!$A$1:$T$2252,2,FALSE)</f>
        <v>Karanatsiou D,Li Y,Arvanitou EM,Misirlis N,Wong WE</v>
      </c>
      <c r="D15" s="15">
        <f ca="1">VLOOKUP(B15,'ALL DATABASES'!$A$1:$T$2252,5,FALSE)</f>
        <v>2019</v>
      </c>
      <c r="E15" s="15">
        <f ca="1">VLOOKUP(B15,'ALL DATABASES'!$A$1:$T$2252,10,FALSE)</f>
        <v>2019</v>
      </c>
      <c r="F15" s="54" t="str">
        <f ca="1">VLOOKUP(B15,'ALL DATABASES'!$A$1:$T$2252,14,FALSE)</f>
        <v>https://www.sciencedirect.com/science/article/pii/S0164121218302334;http://dx.doi.org/10.1016/j.jss.2018.10.029</v>
      </c>
      <c r="G15" s="15" t="str">
        <f ca="1">VLOOKUP(B15,'ALL DATABASES'!$A$1:$T$2252,3,FALSE)</f>
        <v>Journal Article</v>
      </c>
      <c r="H15" s="50" t="str">
        <f ca="1">VLOOKUP(B15,'ALL DATABASES'!$A$1:$T$2252,20,FALSE)</f>
        <v>SCIENCEDIRECT</v>
      </c>
    </row>
    <row r="16" spans="1:28" ht="12.75" x14ac:dyDescent="0.2">
      <c r="A16">
        <v>15</v>
      </c>
      <c r="B16" s="15" t="str">
        <f ca="1">IFERROR(__xludf.DUMMYFUNCTION("""COMPUTED_VALUE"""),"A bibliometric assessment of software engineering themes, scholars and institutions (2013–2020)")</f>
        <v>A bibliometric assessment of software engineering themes, scholars and institutions (2013–2020)</v>
      </c>
      <c r="C16" s="15" t="str">
        <f ca="1">VLOOKUP(B16,'ALL DATABASES'!$A$1:$T$2252,2,FALSE)</f>
        <v>Wong WE,Mittas N,Arvanitou EM,Li Y</v>
      </c>
      <c r="D16" s="15">
        <f ca="1">VLOOKUP(B16,'ALL DATABASES'!$A$1:$T$2252,5,FALSE)</f>
        <v>2021</v>
      </c>
      <c r="E16" s="15">
        <f ca="1">VLOOKUP(B16,'ALL DATABASES'!$A$1:$T$2252,10,FALSE)</f>
        <v>2021</v>
      </c>
      <c r="F16" s="54" t="str">
        <f ca="1">VLOOKUP(B16,'ALL DATABASES'!$A$1:$T$2252,14,FALSE)</f>
        <v>https://www.sciencedirect.com/science/article/pii/S0164121221001266;http://dx.doi.org/10.1016/j.jss.2021.111029</v>
      </c>
      <c r="G16" s="15" t="str">
        <f ca="1">VLOOKUP(B16,'ALL DATABASES'!$A$1:$T$2252,3,FALSE)</f>
        <v>Journal Article</v>
      </c>
      <c r="H16" s="50" t="str">
        <f ca="1">VLOOKUP(B16,'ALL DATABASES'!$A$1:$T$2252,20,FALSE)</f>
        <v>SCIENCEDIRECT</v>
      </c>
    </row>
    <row r="17" spans="1:8" ht="12.75" x14ac:dyDescent="0.2">
      <c r="A17">
        <v>16</v>
      </c>
      <c r="B17" s="15" t="str">
        <f ca="1">IFERROR(__xludf.DUMMYFUNCTION("""COMPUTED_VALUE"""),"A Case Study Using CBR-Insight to Visualize Source Code Quality")</f>
        <v>A Case Study Using CBR-Insight to Visualize Source Code Quality</v>
      </c>
      <c r="C17" s="15" t="str">
        <f ca="1">VLOOKUP(B17,'ALL DATABASES'!$A$1:$T$2252,2,FALSE)</f>
        <v>Ludwig J,Cline D,Novstrup A</v>
      </c>
      <c r="D17" s="15">
        <f ca="1">VLOOKUP(B17,'ALL DATABASES'!$A$1:$T$2252,5,FALSE)</f>
        <v>2020</v>
      </c>
      <c r="E17" s="55">
        <f ca="1">VLOOKUP(B17,'ALL DATABASES'!$A$1:$T$2252,10,FALSE)</f>
        <v>43891</v>
      </c>
      <c r="F17" s="54" t="str">
        <f ca="1">VLOOKUP(B17,'ALL DATABASES'!$A$1:$T$2252,14,FALSE)</f>
        <v>http://dx.doi.org/10.1109/AERO47225.2020.9172526</v>
      </c>
      <c r="G17" s="15" t="str">
        <f ca="1">VLOOKUP(B17,'ALL DATABASES'!$A$1:$T$2252,3,FALSE)</f>
        <v>Conference Paper</v>
      </c>
      <c r="H17" s="50" t="str">
        <f ca="1">VLOOKUP(B17,'ALL DATABASES'!$A$1:$T$2252,20,FALSE)</f>
        <v>IEEE</v>
      </c>
    </row>
    <row r="18" spans="1:8" ht="12.75" x14ac:dyDescent="0.2">
      <c r="A18">
        <v>17</v>
      </c>
      <c r="B18" s="15" t="str">
        <f ca="1">IFERROR(__xludf.DUMMYFUNCTION("""COMPUTED_VALUE"""),"A Catalogue of Game-Specific Anti-Patterns")</f>
        <v>A Catalogue of Game-Specific Anti-Patterns</v>
      </c>
      <c r="C18" s="15" t="str">
        <f ca="1">VLOOKUP(B18,'ALL DATABASES'!$A$1:$T$2252,2,FALSE)</f>
        <v>Agrahari V,Chimalakonda S</v>
      </c>
      <c r="D18" s="15">
        <f ca="1">VLOOKUP(B18,'ALL DATABASES'!$A$1:$T$2252,5,FALSE)</f>
        <v>2022</v>
      </c>
      <c r="E18" s="15">
        <f ca="1">VLOOKUP(B18,'ALL DATABASES'!$A$1:$T$2252,10,FALSE)</f>
        <v>2022</v>
      </c>
      <c r="F18" s="54" t="str">
        <f ca="1">VLOOKUP(B18,'ALL DATABASES'!$A$1:$T$2252,14,FALSE)</f>
        <v>https://doi.org/10.1145/3511430.3511436;http://dx.doi.org/10.1145/3511430.3511436</v>
      </c>
      <c r="G18" s="15" t="str">
        <f ca="1">VLOOKUP(B18,'ALL DATABASES'!$A$1:$T$2252,3,FALSE)</f>
        <v>Conference Paper</v>
      </c>
      <c r="H18" s="50" t="str">
        <f ca="1">VLOOKUP(B18,'ALL DATABASES'!$A$1:$T$2252,20,FALSE)</f>
        <v>ACM</v>
      </c>
    </row>
    <row r="19" spans="1:8" ht="12.75" x14ac:dyDescent="0.2">
      <c r="A19">
        <v>18</v>
      </c>
      <c r="B19" s="15" t="str">
        <f ca="1">IFERROR(__xludf.DUMMYFUNCTION("""COMPUTED_VALUE"""),"A characterization study of testing contributors and their contributions in open source projects")</f>
        <v>A characterization study of testing contributors and their contributions in open source projects</v>
      </c>
      <c r="C19" s="15" t="str">
        <f ca="1">VLOOKUP(B19,'ALL DATABASES'!$A$1:$T$2252,2,FALSE)</f>
        <v>Oliveira A,Oizumi W,Sousa L,Assunção WK,Garcia A,Lucena C,Cedrim D</v>
      </c>
      <c r="D19" s="15">
        <f ca="1">VLOOKUP(B19,'ALL DATABASES'!$A$1:$T$2252,5,FALSE)</f>
        <v>2022</v>
      </c>
      <c r="E19" s="15">
        <f ca="1">VLOOKUP(B19,'ALL DATABASES'!$A$1:$T$2252,10,FALSE)</f>
        <v>2022</v>
      </c>
      <c r="F19" s="54" t="str">
        <f ca="1">VLOOKUP(B19,'ALL DATABASES'!$A$1:$T$2252,14,FALSE)</f>
        <v>https://www.scopus.com/inward/record.uri?eid=2-s2.0-85139115973&amp;doi=10.1145%2f3555228.3555243&amp;partnerID=40&amp;md5=6cff46e7f5d2ebd3a471c921ec449c46;http://dx.doi.org/10.1145/3555228.3555243</v>
      </c>
      <c r="G19" s="15" t="str">
        <f ca="1">VLOOKUP(B19,'ALL DATABASES'!$A$1:$T$2252,3,FALSE)</f>
        <v>Conference Paper</v>
      </c>
      <c r="H19" s="50" t="str">
        <f ca="1">VLOOKUP(B19,'ALL DATABASES'!$A$1:$T$2252,20,FALSE)</f>
        <v>SCOPUS</v>
      </c>
    </row>
    <row r="20" spans="1:8" ht="12.75" x14ac:dyDescent="0.2">
      <c r="A20">
        <v>19</v>
      </c>
      <c r="B20" s="15" t="str">
        <f ca="1">IFERROR(__xludf.DUMMYFUNCTION("""COMPUTED_VALUE"""),"A Classification and Review of Tools for Developing and Interacting with Machine Learning Systems")</f>
        <v>A Classification and Review of Tools for Developing and Interacting with Machine Learning Systems</v>
      </c>
      <c r="C20" s="15" t="str">
        <f ca="1">VLOOKUP(B20,'ALL DATABASES'!$A$1:$T$2252,2,FALSE)</f>
        <v>Mosqueira-Rey E,Pereira EH,Alonso-Ríos D,Bobes-Bascarán J</v>
      </c>
      <c r="D20" s="15">
        <f ca="1">VLOOKUP(B20,'ALL DATABASES'!$A$1:$T$2252,5,FALSE)</f>
        <v>2022</v>
      </c>
      <c r="E20" s="15">
        <f ca="1">VLOOKUP(B20,'ALL DATABASES'!$A$1:$T$2252,10,FALSE)</f>
        <v>2022</v>
      </c>
      <c r="F20" s="54" t="str">
        <f ca="1">VLOOKUP(B20,'ALL DATABASES'!$A$1:$T$2252,14,FALSE)</f>
        <v>https://doi.org/10.1145/3477314.3507310;http://dx.doi.org/10.1145/3477314.3507310</v>
      </c>
      <c r="G20" s="15" t="str">
        <f ca="1">VLOOKUP(B20,'ALL DATABASES'!$A$1:$T$2252,3,FALSE)</f>
        <v>Conference Paper</v>
      </c>
      <c r="H20" s="50" t="str">
        <f ca="1">VLOOKUP(B20,'ALL DATABASES'!$A$1:$T$2252,20,FALSE)</f>
        <v>ACM</v>
      </c>
    </row>
    <row r="21" spans="1:8" ht="12.75" x14ac:dyDescent="0.2">
      <c r="A21">
        <v>20</v>
      </c>
      <c r="B21" s="15" t="str">
        <f ca="1">IFERROR(__xludf.DUMMYFUNCTION("""COMPUTED_VALUE"""),"A cloud-based framework for machine learning workloads and applications")</f>
        <v>A cloud-based framework for machine learning workloads and applications</v>
      </c>
      <c r="C21" s="15" t="str">
        <f ca="1">VLOOKUP(B21,'ALL DATABASES'!$A$1:$T$2252,2,FALSE)</f>
        <v>Lopez Garcia A,Tran V,Alic AS,Caballer M,Plasencia IC,Costantini A,Dlugolinsky S,Duma DC,Donvito G,Gomes J,Heredia Cacha I,De Lucas JM,Ito K,Kozlov VY,Nguyen G,Orviz Fernandez P,Sustr Z,Wolniewicz P,Antonacci M,Zu Castell W,David M,Hardt M,Lloret Iglesias L,Molto G,Plociennik M</v>
      </c>
      <c r="D21" s="15">
        <f ca="1">VLOOKUP(B21,'ALL DATABASES'!$A$1:$T$2252,5,FALSE)</f>
        <v>2020</v>
      </c>
      <c r="E21" s="15">
        <f ca="1">VLOOKUP(B21,'ALL DATABASES'!$A$1:$T$2252,10,FALSE)</f>
        <v>2020</v>
      </c>
      <c r="F21" s="54" t="str">
        <f ca="1">VLOOKUP(B21,'ALL DATABASES'!$A$1:$T$2252,14,FALSE)</f>
        <v>https://www.scopus.com/inward/record.uri?eid=2-s2.0-85079817562&amp;doi=10.1109%2fACCESS.2020.2964386&amp;partnerID=40&amp;md5=0083a9ea8c0405cf0392007bf1b89a6e;http://dx.doi.org/10.1109/ACCESS.2020.2964386</v>
      </c>
      <c r="G21" s="15" t="str">
        <f ca="1">VLOOKUP(B21,'ALL DATABASES'!$A$1:$T$2252,3,FALSE)</f>
        <v>Journal Article</v>
      </c>
      <c r="H21" s="50" t="str">
        <f ca="1">VLOOKUP(B21,'ALL DATABASES'!$A$1:$T$2252,20,FALSE)</f>
        <v>SCOPUS</v>
      </c>
    </row>
    <row r="22" spans="1:8" ht="12.75" x14ac:dyDescent="0.2">
      <c r="A22">
        <v>21</v>
      </c>
      <c r="B22" s="15" t="str">
        <f ca="1">IFERROR(__xludf.DUMMYFUNCTION("""COMPUTED_VALUE"""),"A Clustering Approach Towards Cross-Project Technical Debt Forecasting")</f>
        <v>A Clustering Approach Towards Cross-Project Technical Debt Forecasting</v>
      </c>
      <c r="C22" s="15" t="str">
        <f ca="1">VLOOKUP(B22,'ALL DATABASES'!$A$1:$T$2252,2,FALSE)</f>
        <v>Dimitrios TsoukalasMaria MathioudakiMiltiadis SiavvasDionysios KehagiasAlexander Chatzigeorgiou</v>
      </c>
      <c r="D22" s="15">
        <f ca="1">VLOOKUP(B22,'ALL DATABASES'!$A$1:$T$2252,5,FALSE)</f>
        <v>2021</v>
      </c>
      <c r="E22" s="15">
        <f ca="1">VLOOKUP(B22,'ALL DATABASES'!$A$1:$T$2252,10,FALSE)</f>
        <v>0</v>
      </c>
      <c r="F22" s="54" t="str">
        <f ca="1">VLOOKUP(B22,'ALL DATABASES'!$A$1:$T$2252,14,FALSE)</f>
        <v>http://link.springer.com/article/10.1007/s42979-020-00408-4</v>
      </c>
      <c r="G22" s="15" t="str">
        <f ca="1">VLOOKUP(B22,'ALL DATABASES'!$A$1:$T$2252,3,FALSE)</f>
        <v>Article</v>
      </c>
      <c r="H22" s="50" t="str">
        <f ca="1">VLOOKUP(B22,'ALL DATABASES'!$A$1:$T$2252,20,FALSE)</f>
        <v>SPRINGER</v>
      </c>
    </row>
    <row r="23" spans="1:8" ht="12.75" x14ac:dyDescent="0.2">
      <c r="A23">
        <v>22</v>
      </c>
      <c r="B23" s="15" t="str">
        <f ca="1">IFERROR(__xludf.DUMMYFUNCTION("""COMPUTED_VALUE"""),"A Collaborative Strategy for Mitigating Tracking through Browser Fingerprinting")</f>
        <v>A Collaborative Strategy for Mitigating Tracking through Browser Fingerprinting</v>
      </c>
      <c r="C23" s="15" t="str">
        <f ca="1">VLOOKUP(B23,'ALL DATABASES'!$A$1:$T$2252,2,FALSE)</f>
        <v>Gómez-Boix A,Frey D,Bromberg YD,Baudry B</v>
      </c>
      <c r="D23" s="15">
        <f ca="1">VLOOKUP(B23,'ALL DATABASES'!$A$1:$T$2252,5,FALSE)</f>
        <v>2019</v>
      </c>
      <c r="E23" s="15">
        <f ca="1">VLOOKUP(B23,'ALL DATABASES'!$A$1:$T$2252,10,FALSE)</f>
        <v>2019</v>
      </c>
      <c r="F23" s="54" t="str">
        <f ca="1">VLOOKUP(B23,'ALL DATABASES'!$A$1:$T$2252,14,FALSE)</f>
        <v>https://doi.org/10.1145/3338468.3356828;http://dx.doi.org/10.1145/3338468.3356828</v>
      </c>
      <c r="G23" s="15" t="str">
        <f ca="1">VLOOKUP(B23,'ALL DATABASES'!$A$1:$T$2252,3,FALSE)</f>
        <v>Conference Paper</v>
      </c>
      <c r="H23" s="50" t="str">
        <f ca="1">VLOOKUP(B23,'ALL DATABASES'!$A$1:$T$2252,20,FALSE)</f>
        <v>ACM</v>
      </c>
    </row>
    <row r="24" spans="1:8" ht="12.75" x14ac:dyDescent="0.2">
      <c r="A24">
        <v>23</v>
      </c>
      <c r="B24" s="15" t="str">
        <f ca="1">IFERROR(__xludf.DUMMYFUNCTION("""COMPUTED_VALUE"""),"A Comparative Analysis of Clone Detection Techniques on SemanticCloneBench")</f>
        <v>A Comparative Analysis of Clone Detection Techniques on SemanticCloneBench</v>
      </c>
      <c r="C24" s="15" t="str">
        <f ca="1">VLOOKUP(B24,'ALL DATABASES'!$A$1:$T$2252,2,FALSE)</f>
        <v>Rabbani SM,Ahmad Gulzar N,Arshad S,Abid S,Shamail S</v>
      </c>
      <c r="D24" s="15">
        <f ca="1">VLOOKUP(B24,'ALL DATABASES'!$A$1:$T$2252,5,FALSE)</f>
        <v>2022</v>
      </c>
      <c r="E24" s="53">
        <f ca="1">VLOOKUP(B24,'ALL DATABASES'!$A$1:$T$2252,10,FALSE)</f>
        <v>44835</v>
      </c>
      <c r="F24" s="54" t="str">
        <f ca="1">VLOOKUP(B24,'ALL DATABASES'!$A$1:$T$2252,14,FALSE)</f>
        <v>http://dx.doi.org/10.1109/IWSC55060.2022.00011</v>
      </c>
      <c r="G24" s="15" t="str">
        <f ca="1">VLOOKUP(B24,'ALL DATABASES'!$A$1:$T$2252,3,FALSE)</f>
        <v>Conference Paper</v>
      </c>
      <c r="H24" s="50" t="str">
        <f ca="1">VLOOKUP(B24,'ALL DATABASES'!$A$1:$T$2252,20,FALSE)</f>
        <v>IEEE</v>
      </c>
    </row>
    <row r="25" spans="1:8" ht="12.75" x14ac:dyDescent="0.2">
      <c r="A25">
        <v>24</v>
      </c>
      <c r="B25" s="15" t="str">
        <f ca="1">IFERROR(__xludf.DUMMYFUNCTION("""COMPUTED_VALUE"""),"A Comparative Study of Class Rebalancing Methods for Security Bug Report Classification")</f>
        <v>A Comparative Study of Class Rebalancing Methods for Security Bug Report Classification</v>
      </c>
      <c r="C25" s="15" t="str">
        <f ca="1">VLOOKUP(B25,'ALL DATABASES'!$A$1:$T$2252,2,FALSE)</f>
        <v>Zheng W,Xun Y,Wu X,Deng Z,Chen X,Sui Y</v>
      </c>
      <c r="D25" s="15">
        <f ca="1">VLOOKUP(B25,'ALL DATABASES'!$A$1:$T$2252,5,FALSE)</f>
        <v>2021</v>
      </c>
      <c r="E25" s="15">
        <f ca="1">VLOOKUP(B25,'ALL DATABASES'!$A$1:$T$2252,10,FALSE)</f>
        <v>2021</v>
      </c>
      <c r="F25" s="54" t="str">
        <f ca="1">VLOOKUP(B25,'ALL DATABASES'!$A$1:$T$2252,14,FALSE)</f>
        <v>https://www.scopus.com/inward/record.uri?eid=2-s2.0-85118546577&amp;doi=10.1109%2fTR.2021.3118026&amp;partnerID=40&amp;md5=2043476395f77f48777326e7f72bdf05;http://dx.doi.org/10.1109/TR.2021.3118026</v>
      </c>
      <c r="G25" s="15" t="str">
        <f ca="1">VLOOKUP(B25,'ALL DATABASES'!$A$1:$T$2252,3,FALSE)</f>
        <v>Journal Article</v>
      </c>
      <c r="H25" s="50" t="str">
        <f ca="1">VLOOKUP(B25,'ALL DATABASES'!$A$1:$T$2252,20,FALSE)</f>
        <v>SCOPUS</v>
      </c>
    </row>
    <row r="26" spans="1:8" ht="12.75" x14ac:dyDescent="0.2">
      <c r="A26">
        <v>25</v>
      </c>
      <c r="B26" s="15" t="str">
        <f ca="1">IFERROR(__xludf.DUMMYFUNCTION("""COMPUTED_VALUE"""),"A comparison of quality flaws and technical debt in model transformation specifications")</f>
        <v>A comparison of quality flaws and technical debt in model transformation specifications</v>
      </c>
      <c r="C26" s="15" t="str">
        <f ca="1">VLOOKUP(B26,'ALL DATABASES'!$A$1:$T$2252,2,FALSE)</f>
        <v>Kolahdouz-Rahimi S,Lano K,Sharbaf M,Karimi M,Alfraihi H</v>
      </c>
      <c r="D26" s="15">
        <f ca="1">VLOOKUP(B26,'ALL DATABASES'!$A$1:$T$2252,5,FALSE)</f>
        <v>2020</v>
      </c>
      <c r="E26" s="15">
        <f ca="1">VLOOKUP(B26,'ALL DATABASES'!$A$1:$T$2252,10,FALSE)</f>
        <v>2020</v>
      </c>
      <c r="F26" s="54" t="str">
        <f ca="1">VLOOKUP(B26,'ALL DATABASES'!$A$1:$T$2252,14,FALSE)</f>
        <v>https://www.scopus.com/inward/record.uri?eid=2-s2.0-85086381665&amp;doi=10.1016%2fj.jss.2020.110684&amp;partnerID=40&amp;md5=992a7eee002a59b3a9df05cff256dfc8;http://dx.doi.org/10.1016/j.jss.2020.110684</v>
      </c>
      <c r="G26" s="15" t="str">
        <f ca="1">VLOOKUP(B26,'ALL DATABASES'!$A$1:$T$2252,3,FALSE)</f>
        <v>Journal Article</v>
      </c>
      <c r="H26" s="50" t="str">
        <f ca="1">VLOOKUP(B26,'ALL DATABASES'!$A$1:$T$2252,20,FALSE)</f>
        <v>SCOPUS</v>
      </c>
    </row>
    <row r="27" spans="1:8" ht="12.75" x14ac:dyDescent="0.2">
      <c r="A27">
        <v>26</v>
      </c>
      <c r="B27" s="15" t="str">
        <f ca="1">IFERROR(__xludf.DUMMYFUNCTION("""COMPUTED_VALUE"""),"A component recommendation model for issues in software projects")</f>
        <v>A component recommendation model for issues in software projects</v>
      </c>
      <c r="C27" s="15" t="str">
        <f ca="1">VLOOKUP(B27,'ALL DATABASES'!$A$1:$T$2252,2,FALSE)</f>
        <v>Kangwanwisit P,Choetkiertikul M,Ragkhitwetsagul C,Sunetnanta T,Maipradit R,Hata H,Matsumoto K</v>
      </c>
      <c r="D27" s="15">
        <f ca="1">VLOOKUP(B27,'ALL DATABASES'!$A$1:$T$2252,5,FALSE)</f>
        <v>2022</v>
      </c>
      <c r="E27" s="15">
        <f ca="1">VLOOKUP(B27,'ALL DATABASES'!$A$1:$T$2252,10,FALSE)</f>
        <v>2022</v>
      </c>
      <c r="F27" s="54" t="str">
        <f ca="1">VLOOKUP(B27,'ALL DATABASES'!$A$1:$T$2252,14,FALSE)</f>
        <v>https://www.scopus.com/inward/record.uri?eid=2-s2.0-85136220815&amp;doi=10.1109%2fJCSSE54890.2022.9836311&amp;partnerID=40&amp;md5=7e08ec074e19ea7c325df9850b4d6f97;http://dx.doi.org/10.1109/JCSSE54890.2022.9836311</v>
      </c>
      <c r="G27" s="15" t="str">
        <f ca="1">VLOOKUP(B27,'ALL DATABASES'!$A$1:$T$2252,3,FALSE)</f>
        <v>Conference Paper</v>
      </c>
      <c r="H27" s="50" t="str">
        <f ca="1">VLOOKUP(B27,'ALL DATABASES'!$A$1:$T$2252,20,FALSE)</f>
        <v>SCOPUS</v>
      </c>
    </row>
    <row r="28" spans="1:8" ht="12.75" x14ac:dyDescent="0.2">
      <c r="A28">
        <v>27</v>
      </c>
      <c r="B28" s="15" t="str">
        <f ca="1">IFERROR(__xludf.DUMMYFUNCTION("""COMPUTED_VALUE"""),"A Composed Technical Debt Identification Methodology to Predict Software Vulnerabilities")</f>
        <v>A Composed Technical Debt Identification Methodology to Predict Software Vulnerabilities</v>
      </c>
      <c r="C28" s="15" t="str">
        <f ca="1">VLOOKUP(B28,'ALL DATABASES'!$A$1:$T$2252,2,FALSE)</f>
        <v>Halepmollasi R</v>
      </c>
      <c r="D28" s="15">
        <f ca="1">VLOOKUP(B28,'ALL DATABASES'!$A$1:$T$2252,5,FALSE)</f>
        <v>2020</v>
      </c>
      <c r="E28" s="15">
        <f ca="1">VLOOKUP(B28,'ALL DATABASES'!$A$1:$T$2252,10,FALSE)</f>
        <v>2020</v>
      </c>
      <c r="F28" s="54" t="str">
        <f ca="1">VLOOKUP(B28,'ALL DATABASES'!$A$1:$T$2252,14,FALSE)</f>
        <v>https://doi.org/10.1145/3377812.3381396;http://dx.doi.org/10.1145/3377812.3381396</v>
      </c>
      <c r="G28" s="15" t="str">
        <f ca="1">VLOOKUP(B28,'ALL DATABASES'!$A$1:$T$2252,3,FALSE)</f>
        <v>Conference Paper</v>
      </c>
      <c r="H28" s="50" t="str">
        <f ca="1">VLOOKUP(B28,'ALL DATABASES'!$A$1:$T$2252,20,FALSE)</f>
        <v>ACM</v>
      </c>
    </row>
    <row r="29" spans="1:8" ht="12.75" x14ac:dyDescent="0.2">
      <c r="A29">
        <v>28</v>
      </c>
      <c r="B29" s="15" t="str">
        <f ca="1">IFERROR(__xludf.DUMMYFUNCTION("""COMPUTED_VALUE"""),"A compositional approach to creating architecture frameworks with an application to distributed AI systems")</f>
        <v>A compositional approach to creating architecture frameworks with an application to distributed AI systems</v>
      </c>
      <c r="C29" s="15" t="str">
        <f ca="1">VLOOKUP(B29,'ALL DATABASES'!$A$1:$T$2252,2,FALSE)</f>
        <v>Heyn HM,Knauss E,Pelliccione P</v>
      </c>
      <c r="D29" s="15">
        <f ca="1">VLOOKUP(B29,'ALL DATABASES'!$A$1:$T$2252,5,FALSE)</f>
        <v>2023</v>
      </c>
      <c r="E29" s="15">
        <f ca="1">VLOOKUP(B29,'ALL DATABASES'!$A$1:$T$2252,10,FALSE)</f>
        <v>2023</v>
      </c>
      <c r="F29" s="54" t="str">
        <f ca="1">VLOOKUP(B29,'ALL DATABASES'!$A$1:$T$2252,14,FALSE)</f>
        <v>https://www.sciencedirect.com/science/article/pii/S0164121222002801;http://dx.doi.org/10.1016/j.jss.2022.111604</v>
      </c>
      <c r="G29" s="15" t="str">
        <f ca="1">VLOOKUP(B29,'ALL DATABASES'!$A$1:$T$2252,3,FALSE)</f>
        <v>Journal Article</v>
      </c>
      <c r="H29" s="50" t="str">
        <f ca="1">VLOOKUP(B29,'ALL DATABASES'!$A$1:$T$2252,20,FALSE)</f>
        <v>SCIENCEDIRECT</v>
      </c>
    </row>
    <row r="30" spans="1:8" ht="12.75" x14ac:dyDescent="0.2">
      <c r="A30">
        <v>29</v>
      </c>
      <c r="B30" s="15" t="str">
        <f ca="1">IFERROR(__xludf.DUMMYFUNCTION("""COMPUTED_VALUE"""),"A Comprehensive Study of Bugs in Software Defined Networks")</f>
        <v>A Comprehensive Study of Bugs in Software Defined Networks</v>
      </c>
      <c r="C30" s="15" t="str">
        <f ca="1">VLOOKUP(B30,'ALL DATABASES'!$A$1:$T$2252,2,FALSE)</f>
        <v>Bhardwaj A,Zhou Z,Benson TA</v>
      </c>
      <c r="D30" s="15">
        <f ca="1">VLOOKUP(B30,'ALL DATABASES'!$A$1:$T$2252,5,FALSE)</f>
        <v>2021</v>
      </c>
      <c r="E30" s="55">
        <f ca="1">VLOOKUP(B30,'ALL DATABASES'!$A$1:$T$2252,10,FALSE)</f>
        <v>44348</v>
      </c>
      <c r="F30" s="54" t="str">
        <f ca="1">VLOOKUP(B30,'ALL DATABASES'!$A$1:$T$2252,14,FALSE)</f>
        <v>http://dx.doi.org/10.1109/DSN48987.2021.00026</v>
      </c>
      <c r="G30" s="15" t="str">
        <f ca="1">VLOOKUP(B30,'ALL DATABASES'!$A$1:$T$2252,3,FALSE)</f>
        <v>Conference Paper</v>
      </c>
      <c r="H30" s="50" t="str">
        <f ca="1">VLOOKUP(B30,'ALL DATABASES'!$A$1:$T$2252,20,FALSE)</f>
        <v>IEEE</v>
      </c>
    </row>
    <row r="31" spans="1:8" ht="12.75" x14ac:dyDescent="0.2">
      <c r="A31">
        <v>30</v>
      </c>
      <c r="B31" s="15" t="str">
        <f ca="1">IFERROR(__xludf.DUMMYFUNCTION("""COMPUTED_VALUE"""),"A computational model of a natural language processing system for architectural technical debt management")</f>
        <v>A computational model of a natural language processing system for architectural technical debt management</v>
      </c>
      <c r="C31" s="15" t="str">
        <f ca="1">VLOOKUP(B31,'ALL DATABASES'!$A$1:$T$2252,2,FALSE)</f>
        <v>Perez B,Castellanos C,Correal D</v>
      </c>
      <c r="D31" s="15">
        <f ca="1">VLOOKUP(B31,'ALL DATABASES'!$A$1:$T$2252,5,FALSE)</f>
        <v>2020</v>
      </c>
      <c r="E31" s="15">
        <f ca="1">VLOOKUP(B31,'ALL DATABASES'!$A$1:$T$2252,10,FALSE)</f>
        <v>2020</v>
      </c>
      <c r="F31" s="54" t="str">
        <f ca="1">VLOOKUP(B31,'ALL DATABASES'!$A$1:$T$2252,14,FALSE)</f>
        <v>https://www.scopus.com/inward/record.uri?eid=2-s2.0-85090758196&amp;doi=10.1088%2f1742-6596%2f1587%2f1%2f012020&amp;partnerID=40&amp;md5=9bee82f46c9d3f49ef99493a9ef37493;http://dx.doi.org/10.1088/1742-6596/1587/1/012020</v>
      </c>
      <c r="G31" s="15" t="str">
        <f ca="1">VLOOKUP(B31,'ALL DATABASES'!$A$1:$T$2252,3,FALSE)</f>
        <v>Conference Paper</v>
      </c>
      <c r="H31" s="50" t="str">
        <f ca="1">VLOOKUP(B31,'ALL DATABASES'!$A$1:$T$2252,20,FALSE)</f>
        <v>SCOPUS</v>
      </c>
    </row>
    <row r="32" spans="1:8" ht="12.75" x14ac:dyDescent="0.2">
      <c r="A32">
        <v>31</v>
      </c>
      <c r="B32" s="15" t="str">
        <f ca="1">IFERROR(__xludf.DUMMYFUNCTION("""COMPUTED_VALUE"""),"A Contextualized Vocabulary Model for identifying technical debt on code comments")</f>
        <v>A Contextualized Vocabulary Model for identifying technical debt on code comments</v>
      </c>
      <c r="C32" s="15" t="str">
        <f ca="1">VLOOKUP(B32,'ALL DATABASES'!$A$1:$T$2252,2,FALSE)</f>
        <v>de Freitas Farias MA,de Mendonça Neto MG,Silva AB,Spínola RO</v>
      </c>
      <c r="D32" s="15">
        <f ca="1">VLOOKUP(B32,'ALL DATABASES'!$A$1:$T$2252,5,FALSE)</f>
        <v>2015</v>
      </c>
      <c r="E32" s="53">
        <f ca="1">VLOOKUP(B32,'ALL DATABASES'!$A$1:$T$2252,10,FALSE)</f>
        <v>42278</v>
      </c>
      <c r="F32" s="54" t="str">
        <f ca="1">VLOOKUP(B32,'ALL DATABASES'!$A$1:$T$2252,14,FALSE)</f>
        <v>http://dx.doi.org/10.1109/MTD.2015.7332621</v>
      </c>
      <c r="G32" s="15" t="str">
        <f ca="1">VLOOKUP(B32,'ALL DATABASES'!$A$1:$T$2252,3,FALSE)</f>
        <v>Conference Paper</v>
      </c>
      <c r="H32" s="50" t="str">
        <f ca="1">VLOOKUP(B32,'ALL DATABASES'!$A$1:$T$2252,20,FALSE)</f>
        <v>IEEE</v>
      </c>
    </row>
    <row r="33" spans="1:8" ht="12.75" x14ac:dyDescent="0.2">
      <c r="A33">
        <v>32</v>
      </c>
      <c r="B33" s="15" t="str">
        <f ca="1">IFERROR(__xludf.DUMMYFUNCTION("""COMPUTED_VALUE"""),"A critical comparison on six static analysis tools: Detection, agreement, and precision")</f>
        <v>A critical comparison on six static analysis tools: Detection, agreement, and precision</v>
      </c>
      <c r="C33" s="15" t="str">
        <f ca="1">VLOOKUP(B33,'ALL DATABASES'!$A$1:$T$2252,2,FALSE)</f>
        <v>Lenarduzzi V,Pecorelli F,Saarimaki N,Lujan S,Palomba F</v>
      </c>
      <c r="D33" s="15">
        <f ca="1">VLOOKUP(B33,'ALL DATABASES'!$A$1:$T$2252,5,FALSE)</f>
        <v>2023</v>
      </c>
      <c r="E33" s="15">
        <f ca="1">VLOOKUP(B33,'ALL DATABASES'!$A$1:$T$2252,10,FALSE)</f>
        <v>2023</v>
      </c>
      <c r="F33" s="54" t="str">
        <f ca="1">VLOOKUP(B33,'ALL DATABASES'!$A$1:$T$2252,14,FALSE)</f>
        <v>https://www.scopus.com/inward/record.uri?eid=2-s2.0-85144822206&amp;doi=10.1016%2fj.jss.2022.111575&amp;partnerID=40&amp;md5=7d40feaac35c2f25b5c56707c0cf4c5a;http://dx.doi.org/10.1016/j.jss.2022.111575</v>
      </c>
      <c r="G33" s="15" t="str">
        <f ca="1">VLOOKUP(B33,'ALL DATABASES'!$A$1:$T$2252,3,FALSE)</f>
        <v>Journal Article</v>
      </c>
      <c r="H33" s="50" t="str">
        <f ca="1">VLOOKUP(B33,'ALL DATABASES'!$A$1:$T$2252,20,FALSE)</f>
        <v>SCOPUS</v>
      </c>
    </row>
    <row r="34" spans="1:8" ht="12.75" x14ac:dyDescent="0.2">
      <c r="A34">
        <v>33</v>
      </c>
      <c r="B34" s="15" t="str">
        <f ca="1">IFERROR(__xludf.DUMMYFUNCTION("""COMPUTED_VALUE"""),"A data balancing approach based on generative adversarial network")</f>
        <v>A data balancing approach based on generative adversarial network</v>
      </c>
      <c r="C34" s="15" t="str">
        <f ca="1">VLOOKUP(B34,'ALL DATABASES'!$A$1:$T$2252,2,FALSE)</f>
        <v>Yuan L,Yu S,Yang Z,Duan M,Li K</v>
      </c>
      <c r="D34" s="15">
        <f ca="1">VLOOKUP(B34,'ALL DATABASES'!$A$1:$T$2252,5,FALSE)</f>
        <v>2023</v>
      </c>
      <c r="E34" s="15">
        <f ca="1">VLOOKUP(B34,'ALL DATABASES'!$A$1:$T$2252,10,FALSE)</f>
        <v>2023</v>
      </c>
      <c r="F34" s="54" t="str">
        <f ca="1">VLOOKUP(B34,'ALL DATABASES'!$A$1:$T$2252,14,FALSE)</f>
        <v>https://www.scopus.com/inward/record.uri?eid=2-s2.0-85144817300&amp;doi=10.1016%2fj.future.2022.12.024&amp;partnerID=40&amp;md5=7a875bbeb1eb88634bca573c15c8da9d;http://dx.doi.org/10.1016/j.future.2022.12.024</v>
      </c>
      <c r="G34" s="15" t="str">
        <f ca="1">VLOOKUP(B34,'ALL DATABASES'!$A$1:$T$2252,3,FALSE)</f>
        <v>Journal Article</v>
      </c>
      <c r="H34" s="50" t="str">
        <f ca="1">VLOOKUP(B34,'ALL DATABASES'!$A$1:$T$2252,20,FALSE)</f>
        <v>SCOPUS</v>
      </c>
    </row>
    <row r="35" spans="1:8" ht="12.75" x14ac:dyDescent="0.2">
      <c r="A35">
        <v>34</v>
      </c>
      <c r="B35" s="15" t="str">
        <f ca="1">IFERROR(__xludf.DUMMYFUNCTION("""COMPUTED_VALUE"""),"A Developer Recommendation Method Based on Code Quality")</f>
        <v>A Developer Recommendation Method Based on Code Quality</v>
      </c>
      <c r="C35" s="15" t="str">
        <f ca="1">VLOOKUP(B35,'ALL DATABASES'!$A$1:$T$2252,2,FALSE)</f>
        <v>da Silva MC,Cizotto AA,Paraiso EC</v>
      </c>
      <c r="D35" s="15">
        <f ca="1">VLOOKUP(B35,'ALL DATABASES'!$A$1:$T$2252,5,FALSE)</f>
        <v>2020</v>
      </c>
      <c r="E35" s="55">
        <f ca="1">VLOOKUP(B35,'ALL DATABASES'!$A$1:$T$2252,10,FALSE)</f>
        <v>44013</v>
      </c>
      <c r="F35" s="54" t="str">
        <f ca="1">VLOOKUP(B35,'ALL DATABASES'!$A$1:$T$2252,14,FALSE)</f>
        <v>http://dx.doi.org/10.1109/IJCNN48605.2020.9207116</v>
      </c>
      <c r="G35" s="15" t="str">
        <f ca="1">VLOOKUP(B35,'ALL DATABASES'!$A$1:$T$2252,3,FALSE)</f>
        <v>Conference Paper</v>
      </c>
      <c r="H35" s="50" t="str">
        <f ca="1">VLOOKUP(B35,'ALL DATABASES'!$A$1:$T$2252,20,FALSE)</f>
        <v>IEEE</v>
      </c>
    </row>
    <row r="36" spans="1:8" ht="12.75" x14ac:dyDescent="0.2">
      <c r="A36">
        <v>35</v>
      </c>
      <c r="B36" s="15" t="str">
        <f ca="1">IFERROR(__xludf.DUMMYFUNCTION("""COMPUTED_VALUE"""),"A Digital Twin Architecture Model Applied with MLOps Techniques to Improve Short-Term Energy Consumption Prediction")</f>
        <v>A Digital Twin Architecture Model Applied with MLOps Techniques to Improve Short-Term Energy Consumption Prediction</v>
      </c>
      <c r="C36" s="15" t="str">
        <f ca="1">VLOOKUP(B36,'ALL DATABASES'!$A$1:$T$2252,2,FALSE)</f>
        <v>Fujii TY,Hayashi VT,Arakaki R,Ruggiero WV,Bulla R,Hayashi FH,Khalil KA</v>
      </c>
      <c r="D36" s="15">
        <f ca="1">VLOOKUP(B36,'ALL DATABASES'!$A$1:$T$2252,5,FALSE)</f>
        <v>2022</v>
      </c>
      <c r="E36" s="15">
        <f ca="1">VLOOKUP(B36,'ALL DATABASES'!$A$1:$T$2252,10,FALSE)</f>
        <v>2022</v>
      </c>
      <c r="F36" s="54" t="str">
        <f ca="1">VLOOKUP(B36,'ALL DATABASES'!$A$1:$T$2252,14,FALSE)</f>
        <v>https://www.scopus.com/inward/record.uri?eid=2-s2.0-85124255974&amp;doi=10.3390%2fmachines10010023&amp;partnerID=40&amp;md5=28d3d472ad035d91998efc6df04c705e;http://dx.doi.org/10.3390/machines10010023</v>
      </c>
      <c r="G36" s="15" t="str">
        <f ca="1">VLOOKUP(B36,'ALL DATABASES'!$A$1:$T$2252,3,FALSE)</f>
        <v>Journal Article</v>
      </c>
      <c r="H36" s="50" t="str">
        <f ca="1">VLOOKUP(B36,'ALL DATABASES'!$A$1:$T$2252,20,FALSE)</f>
        <v>SCOPUS</v>
      </c>
    </row>
    <row r="37" spans="1:8" ht="12.75" x14ac:dyDescent="0.2">
      <c r="A37">
        <v>36</v>
      </c>
      <c r="B37" s="15" t="str">
        <f ca="1">IFERROR(__xludf.DUMMYFUNCTION("""COMPUTED_VALUE"""),"A Domain Knowledge-Guided Lightweight Approach for Security Bug Reports Prediction")</f>
        <v>A Domain Knowledge-Guided Lightweight Approach for Security Bug Reports Prediction</v>
      </c>
      <c r="C37" s="15" t="str">
        <f ca="1">VLOOKUP(B37,'ALL DATABASES'!$A$1:$T$2252,2,FALSE)</f>
        <v>Zheng W,Chen Z,Wu X,Fu W,Sun B,Cheng J</v>
      </c>
      <c r="D37" s="15">
        <f ca="1">VLOOKUP(B37,'ALL DATABASES'!$A$1:$T$2252,5,FALSE)</f>
        <v>2021</v>
      </c>
      <c r="E37" s="15">
        <f ca="1">VLOOKUP(B37,'ALL DATABASES'!$A$1:$T$2252,10,FALSE)</f>
        <v>2021</v>
      </c>
      <c r="F37" s="54" t="str">
        <f ca="1">VLOOKUP(B37,'ALL DATABASES'!$A$1:$T$2252,14,FALSE)</f>
        <v>https://www.scopus.com/inward/record.uri?eid=2-s2.0-85123492277&amp;doi=10.1109%2fDSA52907.2021.00055&amp;partnerID=40&amp;md5=9b1bcf38e138c663e9b343d5a5e75879;http://dx.doi.org/10.1109/DSA52907.2021.00055</v>
      </c>
      <c r="G37" s="15" t="str">
        <f ca="1">VLOOKUP(B37,'ALL DATABASES'!$A$1:$T$2252,3,FALSE)</f>
        <v>Conference Paper</v>
      </c>
      <c r="H37" s="50" t="str">
        <f ca="1">VLOOKUP(B37,'ALL DATABASES'!$A$1:$T$2252,20,FALSE)</f>
        <v>SCOPUS</v>
      </c>
    </row>
    <row r="38" spans="1:8" ht="12.75" x14ac:dyDescent="0.2">
      <c r="A38">
        <v>37</v>
      </c>
      <c r="B38" s="15" t="str">
        <f ca="1">IFERROR(__xludf.DUMMYFUNCTION("""COMPUTED_VALUE"""),"A DQN-based agent for automatic software refactoring")</f>
        <v>A DQN-based agent for automatic software refactoring</v>
      </c>
      <c r="C38" s="15" t="str">
        <f ca="1">VLOOKUP(B38,'ALL DATABASES'!$A$1:$T$2252,2,FALSE)</f>
        <v>Ahmadi H,Ashtiani M,Azgomi MA,Saheb-Nassagh R</v>
      </c>
      <c r="D38" s="15">
        <f ca="1">VLOOKUP(B38,'ALL DATABASES'!$A$1:$T$2252,5,FALSE)</f>
        <v>2022</v>
      </c>
      <c r="E38" s="15">
        <f ca="1">VLOOKUP(B38,'ALL DATABASES'!$A$1:$T$2252,10,FALSE)</f>
        <v>2022</v>
      </c>
      <c r="F38" s="54" t="str">
        <f ca="1">VLOOKUP(B38,'ALL DATABASES'!$A$1:$T$2252,14,FALSE)</f>
        <v>https://www.sciencedirect.com/science/article/pii/S0950584922000556;http://dx.doi.org/10.1016/j.infsof.2022.106893</v>
      </c>
      <c r="G38" s="15" t="str">
        <f ca="1">VLOOKUP(B38,'ALL DATABASES'!$A$1:$T$2252,3,FALSE)</f>
        <v>Journal Article</v>
      </c>
      <c r="H38" s="50" t="str">
        <f ca="1">VLOOKUP(B38,'ALL DATABASES'!$A$1:$T$2252,20,FALSE)</f>
        <v>SCIENCEDIRECT</v>
      </c>
    </row>
    <row r="39" spans="1:8" ht="12.75" x14ac:dyDescent="0.2">
      <c r="A39">
        <v>38</v>
      </c>
      <c r="B39" s="15" t="str">
        <f ca="1">IFERROR(__xludf.DUMMYFUNCTION("""COMPUTED_VALUE"""),"A Fast and Incremental Development Life Cycle for Data Analytics as a Service")</f>
        <v>A Fast and Incremental Development Life Cycle for Data Analytics as a Service</v>
      </c>
      <c r="C39" s="15" t="str">
        <f ca="1">VLOOKUP(B39,'ALL DATABASES'!$A$1:$T$2252,2,FALSE)</f>
        <v>Ardagna CA,Bellandi V,Ceravolo P,Damiani E,Di Martino B,D'Angelo S,Esposito A</v>
      </c>
      <c r="D39" s="15">
        <f ca="1">VLOOKUP(B39,'ALL DATABASES'!$A$1:$T$2252,5,FALSE)</f>
        <v>2018</v>
      </c>
      <c r="E39" s="55">
        <f ca="1">VLOOKUP(B39,'ALL DATABASES'!$A$1:$T$2252,10,FALSE)</f>
        <v>43282</v>
      </c>
      <c r="F39" s="54" t="str">
        <f ca="1">VLOOKUP(B39,'ALL DATABASES'!$A$1:$T$2252,14,FALSE)</f>
        <v>http://dx.doi.org/10.1109/BigDataCongress.2018.00030</v>
      </c>
      <c r="G39" s="15" t="str">
        <f ca="1">VLOOKUP(B39,'ALL DATABASES'!$A$1:$T$2252,3,FALSE)</f>
        <v>Conference Paper</v>
      </c>
      <c r="H39" s="50" t="str">
        <f ca="1">VLOOKUP(B39,'ALL DATABASES'!$A$1:$T$2252,20,FALSE)</f>
        <v>IEEE</v>
      </c>
    </row>
    <row r="40" spans="1:8" ht="12.75" x14ac:dyDescent="0.2">
      <c r="A40">
        <v>39</v>
      </c>
      <c r="B40" s="15" t="str">
        <f ca="1">IFERROR(__xludf.DUMMYFUNCTION("""COMPUTED_VALUE"""),"A fine-grained data set and analysis of tangling in bug fixing commits")</f>
        <v>A fine-grained data set and analysis of tangling in bug fixing commits</v>
      </c>
      <c r="C40" s="15" t="str">
        <f ca="1">VLOOKUP(B40,'ALL DATABASES'!$A$1:$T$2252,2,FALSE)</f>
        <v>Steffen HerboldAlexander TrautschBenjamin LedelAlireza AghamohammadiTaher A. GhalebKuljit Kaur ChahalTim BossenmaierBhaveet NagariaPhilip MakedonskiMatin Nili AhmadabadiKristof SzabadosHelge SpiekerMatej MadejaNathaniel HoyValentina LenarduzziShangwen Wang</v>
      </c>
      <c r="D40" s="15">
        <f ca="1">VLOOKUP(B40,'ALL DATABASES'!$A$1:$T$2252,5,FALSE)</f>
        <v>2022</v>
      </c>
      <c r="E40" s="15">
        <f ca="1">VLOOKUP(B40,'ALL DATABASES'!$A$1:$T$2252,10,FALSE)</f>
        <v>0</v>
      </c>
      <c r="F40" s="54" t="str">
        <f ca="1">VLOOKUP(B40,'ALL DATABASES'!$A$1:$T$2252,14,FALSE)</f>
        <v>http://link.springer.com/article/10.1007/s10664-021-10083-5</v>
      </c>
      <c r="G40" s="15" t="str">
        <f ca="1">VLOOKUP(B40,'ALL DATABASES'!$A$1:$T$2252,3,FALSE)</f>
        <v>Article</v>
      </c>
      <c r="H40" s="50" t="str">
        <f ca="1">VLOOKUP(B40,'ALL DATABASES'!$A$1:$T$2252,20,FALSE)</f>
        <v>SPRINGER</v>
      </c>
    </row>
    <row r="41" spans="1:8" ht="12.75" x14ac:dyDescent="0.2">
      <c r="A41">
        <v>40</v>
      </c>
      <c r="B41" s="15" t="str">
        <f ca="1">IFERROR(__xludf.DUMMYFUNCTION("""COMPUTED_VALUE"""),"A First Look at Duplicate and Near-Duplicate Self-Admitted Technical Debt Comments")</f>
        <v>A First Look at Duplicate and Near-Duplicate Self-Admitted Technical Debt Comments</v>
      </c>
      <c r="C41" s="15" t="str">
        <f ca="1">VLOOKUP(B41,'ALL DATABASES'!$A$1:$T$2252,2,FALSE)</f>
        <v>Yasmin J,Sheikhaei MS,Tian Y</v>
      </c>
      <c r="D41" s="15">
        <f ca="1">VLOOKUP(B41,'ALL DATABASES'!$A$1:$T$2252,5,FALSE)</f>
        <v>2022</v>
      </c>
      <c r="E41" s="15">
        <f ca="1">VLOOKUP(B41,'ALL DATABASES'!$A$1:$T$2252,10,FALSE)</f>
        <v>2022</v>
      </c>
      <c r="F41" s="54" t="str">
        <f ca="1">VLOOKUP(B41,'ALL DATABASES'!$A$1:$T$2252,14,FALSE)</f>
        <v>https://doi.org/10.1145/3524610.3528387;http://dx.doi.org/10.1145/3524610.3528387</v>
      </c>
      <c r="G41" s="15" t="str">
        <f ca="1">VLOOKUP(B41,'ALL DATABASES'!$A$1:$T$2252,3,FALSE)</f>
        <v>Conference Paper</v>
      </c>
      <c r="H41" s="50" t="str">
        <f ca="1">VLOOKUP(B41,'ALL DATABASES'!$A$1:$T$2252,20,FALSE)</f>
        <v>ACM</v>
      </c>
    </row>
    <row r="42" spans="1:8" ht="12.75" x14ac:dyDescent="0.2">
      <c r="A42">
        <v>41</v>
      </c>
      <c r="B42" s="15" t="str">
        <f ca="1">IFERROR(__xludf.DUMMYFUNCTION("""COMPUTED_VALUE"""),"A first look at the integration of machine learning models in complex autonomous driving systems: A case study on Apollo")</f>
        <v>A first look at the integration of machine learning models in complex autonomous driving systems: A case study on Apollo</v>
      </c>
      <c r="C42" s="15" t="str">
        <f ca="1">VLOOKUP(B42,'ALL DATABASES'!$A$1:$T$2252,2,FALSE)</f>
        <v>Peng Z,Yang J,Chen TH,Ma L</v>
      </c>
      <c r="D42" s="15">
        <f ca="1">VLOOKUP(B42,'ALL DATABASES'!$A$1:$T$2252,5,FALSE)</f>
        <v>2020</v>
      </c>
      <c r="E42" s="15">
        <f ca="1">VLOOKUP(B42,'ALL DATABASES'!$A$1:$T$2252,10,FALSE)</f>
        <v>2020</v>
      </c>
      <c r="F42" s="54" t="str">
        <f ca="1">VLOOKUP(B42,'ALL DATABASES'!$A$1:$T$2252,14,FALSE)</f>
        <v>https://www.scopus.com/inward/record.uri?eid=2-s2.0-85097173443&amp;doi=10.1145%2f3368089.3417063&amp;partnerID=40&amp;md5=aa1b6215912a8d109ab7e22f981e387a;http://dx.doi.org/10.1145/3368089.3417063</v>
      </c>
      <c r="G42" s="15" t="str">
        <f ca="1">VLOOKUP(B42,'ALL DATABASES'!$A$1:$T$2252,3,FALSE)</f>
        <v>Conference Paper</v>
      </c>
      <c r="H42" s="50" t="str">
        <f ca="1">VLOOKUP(B42,'ALL DATABASES'!$A$1:$T$2252,20,FALSE)</f>
        <v>SCOPUS</v>
      </c>
    </row>
    <row r="43" spans="1:8" ht="12.75" x14ac:dyDescent="0.2">
      <c r="A43">
        <v>42</v>
      </c>
      <c r="B43" s="15" t="str">
        <f ca="1">IFERROR(__xludf.DUMMYFUNCTION("""COMPUTED_VALUE"""),"A Flexible Tool for Estimating Applications Performance and Energy Consumption Through Static Analysis")</f>
        <v>A Flexible Tool for Estimating Applications Performance and Energy Consumption Through Static Analysis</v>
      </c>
      <c r="C43" s="15" t="str">
        <f ca="1">VLOOKUP(B43,'ALL DATABASES'!$A$1:$T$2252,2,FALSE)</f>
        <v>Charalampos MarantosKonstantinos SalapasLazaros PapadopoulosDimitrios Soudris</v>
      </c>
      <c r="D43" s="15">
        <f ca="1">VLOOKUP(B43,'ALL DATABASES'!$A$1:$T$2252,5,FALSE)</f>
        <v>2021</v>
      </c>
      <c r="E43" s="15">
        <f ca="1">VLOOKUP(B43,'ALL DATABASES'!$A$1:$T$2252,10,FALSE)</f>
        <v>0</v>
      </c>
      <c r="F43" s="54" t="str">
        <f ca="1">VLOOKUP(B43,'ALL DATABASES'!$A$1:$T$2252,14,FALSE)</f>
        <v>http://link.springer.com/article/10.1007/s42979-020-00405-7</v>
      </c>
      <c r="G43" s="15" t="str">
        <f ca="1">VLOOKUP(B43,'ALL DATABASES'!$A$1:$T$2252,3,FALSE)</f>
        <v>Article</v>
      </c>
      <c r="H43" s="50" t="str">
        <f ca="1">VLOOKUP(B43,'ALL DATABASES'!$A$1:$T$2252,20,FALSE)</f>
        <v>SPRINGER</v>
      </c>
    </row>
    <row r="44" spans="1:8" ht="12.75" x14ac:dyDescent="0.2">
      <c r="A44">
        <v>43</v>
      </c>
      <c r="B44" s="15" t="str">
        <f ca="1">IFERROR(__xludf.DUMMYFUNCTION("""COMPUTED_VALUE"""),"A framework for conditional statement technical debt identification and description")</f>
        <v>A framework for conditional statement technical debt identification and description</v>
      </c>
      <c r="C44" s="15" t="str">
        <f ca="1">VLOOKUP(B44,'ALL DATABASES'!$A$1:$T$2252,2,FALSE)</f>
        <v>Abdulaziz AlhefdhiHoa Khanh DamYusuf Sulistyo NugrohoHideaki HataTakashi IshioAditya Ghose</v>
      </c>
      <c r="D44" s="15">
        <f ca="1">VLOOKUP(B44,'ALL DATABASES'!$A$1:$T$2252,5,FALSE)</f>
        <v>2022</v>
      </c>
      <c r="E44" s="15">
        <f ca="1">VLOOKUP(B44,'ALL DATABASES'!$A$1:$T$2252,10,FALSE)</f>
        <v>0</v>
      </c>
      <c r="F44" s="54" t="str">
        <f ca="1">VLOOKUP(B44,'ALL DATABASES'!$A$1:$T$2252,14,FALSE)</f>
        <v>http://link.springer.com/article/10.1007/s10515-022-00364-8</v>
      </c>
      <c r="G44" s="15" t="str">
        <f ca="1">VLOOKUP(B44,'ALL DATABASES'!$A$1:$T$2252,3,FALSE)</f>
        <v>Article</v>
      </c>
      <c r="H44" s="50" t="str">
        <f ca="1">VLOOKUP(B44,'ALL DATABASES'!$A$1:$T$2252,20,FALSE)</f>
        <v>SPRINGER</v>
      </c>
    </row>
    <row r="45" spans="1:8" ht="12.75" x14ac:dyDescent="0.2">
      <c r="A45">
        <v>44</v>
      </c>
      <c r="B45" s="15" t="str">
        <f ca="1">IFERROR(__xludf.DUMMYFUNCTION("""COMPUTED_VALUE"""),"A framework for fostering transparency in shared artificial intelligence models by increasing visibility of contributions")</f>
        <v>A framework for fostering transparency in shared artificial intelligence models by increasing visibility of contributions</v>
      </c>
      <c r="C45" s="15" t="str">
        <f ca="1">VLOOKUP(B45,'ALL DATABASES'!$A$1:$T$2252,2,FALSE)</f>
        <v>Barclay I,Taylor H,Preece A,Taylor I,Verma D,de Mel G</v>
      </c>
      <c r="D45" s="15">
        <f ca="1">VLOOKUP(B45,'ALL DATABASES'!$A$1:$T$2252,5,FALSE)</f>
        <v>2021</v>
      </c>
      <c r="E45" s="15">
        <f ca="1">VLOOKUP(B45,'ALL DATABASES'!$A$1:$T$2252,10,FALSE)</f>
        <v>2021</v>
      </c>
      <c r="F45" s="54" t="str">
        <f ca="1">VLOOKUP(B45,'ALL DATABASES'!$A$1:$T$2252,14,FALSE)</f>
        <v>https://www.scopus.com/inward/record.uri?eid=2-s2.0-85097032199&amp;doi=10.1002%2fcpe.6129&amp;partnerID=40&amp;md5=35021be6327c7408aa2e08f0431f2531;http://dx.doi.org/10.1002/cpe.6129</v>
      </c>
      <c r="G45" s="15" t="str">
        <f ca="1">VLOOKUP(B45,'ALL DATABASES'!$A$1:$T$2252,3,FALSE)</f>
        <v>Journal Article</v>
      </c>
      <c r="H45" s="50" t="str">
        <f ca="1">VLOOKUP(B45,'ALL DATABASES'!$A$1:$T$2252,20,FALSE)</f>
        <v>SCOPUS</v>
      </c>
    </row>
    <row r="46" spans="1:8" ht="12.75" x14ac:dyDescent="0.2">
      <c r="A46">
        <v>45</v>
      </c>
      <c r="B46" s="15" t="str">
        <f ca="1">IFERROR(__xludf.DUMMYFUNCTION("""COMPUTED_VALUE"""),"A Framework for Writing Trigger-Action Todo Comments in Executable Format")</f>
        <v>A Framework for Writing Trigger-Action Todo Comments in Executable Format</v>
      </c>
      <c r="C46" s="15" t="str">
        <f ca="1">VLOOKUP(B46,'ALL DATABASES'!$A$1:$T$2252,2,FALSE)</f>
        <v>Nie P,Rai R,Li JJ,Khurshid S,Mooney RJ,Gligoric M</v>
      </c>
      <c r="D46" s="15">
        <f ca="1">VLOOKUP(B46,'ALL DATABASES'!$A$1:$T$2252,5,FALSE)</f>
        <v>2019</v>
      </c>
      <c r="E46" s="15">
        <f ca="1">VLOOKUP(B46,'ALL DATABASES'!$A$1:$T$2252,10,FALSE)</f>
        <v>2019</v>
      </c>
      <c r="F46" s="54" t="str">
        <f ca="1">VLOOKUP(B46,'ALL DATABASES'!$A$1:$T$2252,14,FALSE)</f>
        <v>https://doi.org/10.1145/3338906.3338965;http://dx.doi.org/10.1145/3338906.3338965</v>
      </c>
      <c r="G46" s="15" t="str">
        <f ca="1">VLOOKUP(B46,'ALL DATABASES'!$A$1:$T$2252,3,FALSE)</f>
        <v>Conference Paper</v>
      </c>
      <c r="H46" s="50" t="str">
        <f ca="1">VLOOKUP(B46,'ALL DATABASES'!$A$1:$T$2252,20,FALSE)</f>
        <v>ACM</v>
      </c>
    </row>
    <row r="47" spans="1:8" ht="12.75" x14ac:dyDescent="0.2">
      <c r="A47">
        <v>46</v>
      </c>
      <c r="B47" s="15" t="str">
        <f ca="1">IFERROR(__xludf.DUMMYFUNCTION("""COMPUTED_VALUE"""),"A game theoretic formulation of the technical debt management problem in cloud systems")</f>
        <v>A game theoretic formulation of the technical debt management problem in cloud systems</v>
      </c>
      <c r="C47" s="15" t="str">
        <f ca="1">VLOOKUP(B47,'ALL DATABASES'!$A$1:$T$2252,2,FALSE)</f>
        <v>Skourletopoulos G,Mavromoustakis CX,Mastorakis G,Sahalos JN,Batalla JM,Dobre C</v>
      </c>
      <c r="D47" s="15">
        <f ca="1">VLOOKUP(B47,'ALL DATABASES'!$A$1:$T$2252,5,FALSE)</f>
        <v>2017</v>
      </c>
      <c r="E47" s="55">
        <f ca="1">VLOOKUP(B47,'ALL DATABASES'!$A$1:$T$2252,10,FALSE)</f>
        <v>42887</v>
      </c>
      <c r="F47" s="54" t="str">
        <f ca="1">VLOOKUP(B47,'ALL DATABASES'!$A$1:$T$2252,14,FALSE)</f>
        <v>http://dx.doi.org/10.23919/ConTEL.2017.8000012</v>
      </c>
      <c r="G47" s="15" t="str">
        <f ca="1">VLOOKUP(B47,'ALL DATABASES'!$A$1:$T$2252,3,FALSE)</f>
        <v>Conference Paper</v>
      </c>
      <c r="H47" s="50" t="str">
        <f ca="1">VLOOKUP(B47,'ALL DATABASES'!$A$1:$T$2252,20,FALSE)</f>
        <v>IEEE</v>
      </c>
    </row>
    <row r="48" spans="1:8" ht="12.75" x14ac:dyDescent="0.2">
      <c r="A48">
        <v>47</v>
      </c>
      <c r="B48" s="15" t="str">
        <f ca="1">IFERROR(__xludf.DUMMYFUNCTION("""COMPUTED_VALUE"""),"A generic methodology for early identification of non-maintainable source code components through analysis of software releases")</f>
        <v>A generic methodology for early identification of non-maintainable source code components through analysis of software releases</v>
      </c>
      <c r="C48" s="15" t="str">
        <f ca="1">VLOOKUP(B48,'ALL DATABASES'!$A$1:$T$2252,2,FALSE)</f>
        <v>Papamichail MD,Symeonidis AL</v>
      </c>
      <c r="D48" s="15">
        <f ca="1">VLOOKUP(B48,'ALL DATABASES'!$A$1:$T$2252,5,FALSE)</f>
        <v>2020</v>
      </c>
      <c r="E48" s="15">
        <f ca="1">VLOOKUP(B48,'ALL DATABASES'!$A$1:$T$2252,10,FALSE)</f>
        <v>2020</v>
      </c>
      <c r="F48" s="54" t="str">
        <f ca="1">VLOOKUP(B48,'ALL DATABASES'!$A$1:$T$2252,14,FALSE)</f>
        <v>https://www.sciencedirect.com/science/article/pii/S0950584919302289;http://dx.doi.org/10.1016/j.infsof.2019.106218</v>
      </c>
      <c r="G48" s="15" t="str">
        <f ca="1">VLOOKUP(B48,'ALL DATABASES'!$A$1:$T$2252,3,FALSE)</f>
        <v>Journal Article</v>
      </c>
      <c r="H48" s="50" t="str">
        <f ca="1">VLOOKUP(B48,'ALL DATABASES'!$A$1:$T$2252,20,FALSE)</f>
        <v>SCIENCEDIRECT</v>
      </c>
    </row>
    <row r="49" spans="1:8" ht="12.75" x14ac:dyDescent="0.2">
      <c r="A49">
        <v>48</v>
      </c>
      <c r="B49" s="15" t="str">
        <f ca="1">IFERROR(__xludf.DUMMYFUNCTION("""COMPUTED_VALUE"""),"A Graphical Toolkit for Longitudinal Dataset Maintenance and Predictive Model Training in Health Care")</f>
        <v>A Graphical Toolkit for Longitudinal Dataset Maintenance and Predictive Model Training in Health Care</v>
      </c>
      <c r="C49" s="15" t="str">
        <f ca="1">VLOOKUP(B49,'ALL DATABASES'!$A$1:$T$2252,2,FALSE)</f>
        <v>Bai E,Song SL,Fraser HS,Ranney ML</v>
      </c>
      <c r="D49" s="15">
        <f ca="1">VLOOKUP(B49,'ALL DATABASES'!$A$1:$T$2252,5,FALSE)</f>
        <v>2021</v>
      </c>
      <c r="E49" s="15">
        <f ca="1">VLOOKUP(B49,'ALL DATABASES'!$A$1:$T$2252,10,FALSE)</f>
        <v>2021</v>
      </c>
      <c r="F49" s="54" t="str">
        <f ca="1">VLOOKUP(B49,'ALL DATABASES'!$A$1:$T$2252,14,FALSE)</f>
        <v>https://www.scopus.com/inward/record.uri?eid=2-s2.0-85124777462&amp;doi=10.1055%2fs-0041-1740923&amp;partnerID=40&amp;md5=cd97edd7ad4de13122a0f02c60dd31a6;http://dx.doi.org/10.1055/s-0041-1740923</v>
      </c>
      <c r="G49" s="15" t="str">
        <f ca="1">VLOOKUP(B49,'ALL DATABASES'!$A$1:$T$2252,3,FALSE)</f>
        <v>Journal Article</v>
      </c>
      <c r="H49" s="50" t="str">
        <f ca="1">VLOOKUP(B49,'ALL DATABASES'!$A$1:$T$2252,20,FALSE)</f>
        <v>SCOPUS</v>
      </c>
    </row>
    <row r="50" spans="1:8" ht="12.75" x14ac:dyDescent="0.2">
      <c r="A50">
        <v>49</v>
      </c>
      <c r="B50" s="15" t="str">
        <f ca="1">IFERROR(__xludf.DUMMYFUNCTION("""COMPUTED_VALUE"""),"A hierarchical model for quantifying software security based on static analysis alerts and software metrics")</f>
        <v>A hierarchical model for quantifying software security based on static analysis alerts and software metrics</v>
      </c>
      <c r="C50" s="15" t="str">
        <f ca="1">VLOOKUP(B50,'ALL DATABASES'!$A$1:$T$2252,2,FALSE)</f>
        <v>Miltiadis SiavvasDionysios KehagiasDimitrios TzovarasErol Gelenbe</v>
      </c>
      <c r="D50" s="15">
        <f ca="1">VLOOKUP(B50,'ALL DATABASES'!$A$1:$T$2252,5,FALSE)</f>
        <v>2021</v>
      </c>
      <c r="E50" s="15">
        <f ca="1">VLOOKUP(B50,'ALL DATABASES'!$A$1:$T$2252,10,FALSE)</f>
        <v>0</v>
      </c>
      <c r="F50" s="54" t="str">
        <f ca="1">VLOOKUP(B50,'ALL DATABASES'!$A$1:$T$2252,14,FALSE)</f>
        <v>http://link.springer.com/article/10.1007/s11219-021-09555-0</v>
      </c>
      <c r="G50" s="15" t="str">
        <f ca="1">VLOOKUP(B50,'ALL DATABASES'!$A$1:$T$2252,3,FALSE)</f>
        <v>Article</v>
      </c>
      <c r="H50" s="50" t="str">
        <f ca="1">VLOOKUP(B50,'ALL DATABASES'!$A$1:$T$2252,20,FALSE)</f>
        <v>SPRINGER</v>
      </c>
    </row>
    <row r="51" spans="1:8" ht="12.75" x14ac:dyDescent="0.2">
      <c r="A51">
        <v>50</v>
      </c>
      <c r="B51" s="15" t="str">
        <f ca="1">IFERROR(__xludf.DUMMYFUNCTION("""COMPUTED_VALUE"""),"A Holistic Framework for AI Systems in Industrial Applications")</f>
        <v>A Holistic Framework for AI Systems in Industrial Applications</v>
      </c>
      <c r="C51" s="15" t="str">
        <f ca="1">VLOOKUP(B51,'ALL DATABASES'!$A$1:$T$2252,2,FALSE)</f>
        <v>Kaymakci C,Wenninger S,Sauer A</v>
      </c>
      <c r="D51" s="15">
        <f ca="1">VLOOKUP(B51,'ALL DATABASES'!$A$1:$T$2252,5,FALSE)</f>
        <v>2021</v>
      </c>
      <c r="E51" s="15">
        <f ca="1">VLOOKUP(B51,'ALL DATABASES'!$A$1:$T$2252,10,FALSE)</f>
        <v>2021</v>
      </c>
      <c r="F51" s="54" t="str">
        <f ca="1">VLOOKUP(B51,'ALL DATABASES'!$A$1:$T$2252,14,FALSE)</f>
        <v>https://www.scopus.com/inward/record.uri?eid=2-s2.0-85118117926&amp;doi=10.1007%2f978-3-030-86797-3_6&amp;partnerID=40&amp;md5=7d50167056c58c12b24f121cd1a5a9fb;http://dx.doi.org/10.1007/978-3-030-86797-3_6</v>
      </c>
      <c r="G51" s="15" t="str">
        <f ca="1">VLOOKUP(B51,'ALL DATABASES'!$A$1:$T$2252,3,FALSE)</f>
        <v>Conference Paper</v>
      </c>
      <c r="H51" s="50" t="str">
        <f ca="1">VLOOKUP(B51,'ALL DATABASES'!$A$1:$T$2252,20,FALSE)</f>
        <v>SCOPUS</v>
      </c>
    </row>
    <row r="52" spans="1:8" ht="12.75" x14ac:dyDescent="0.2">
      <c r="A52">
        <v>51</v>
      </c>
      <c r="B52" s="15" t="str">
        <f ca="1">IFERROR(__xludf.DUMMYFUNCTION("""COMPUTED_VALUE"""),"A Journey from Process Algebra via Timed Automata to Model Learning")</f>
        <v>A Journey from Process Algebra via Timed Automata to Model Learning</v>
      </c>
      <c r="C52" s="15" t="str">
        <f ca="1">VLOOKUP(B52,'ALL DATABASES'!$A$1:$T$2252,2,FALSE)</f>
        <v>Nils JansenMariÃ«lle StoelingaPetra van den Bos</v>
      </c>
      <c r="D52" s="15">
        <f ca="1">VLOOKUP(B52,'ALL DATABASES'!$A$1:$T$2252,5,FALSE)</f>
        <v>2022</v>
      </c>
      <c r="E52" s="15">
        <f ca="1">VLOOKUP(B52,'ALL DATABASES'!$A$1:$T$2252,10,FALSE)</f>
        <v>0</v>
      </c>
      <c r="F52" s="54" t="str">
        <f ca="1">VLOOKUP(B52,'ALL DATABASES'!$A$1:$T$2252,14,FALSE)</f>
        <v>http://link.springer.com/book/10.1007/978-3-031-15629-8</v>
      </c>
      <c r="G52" s="15" t="str">
        <f ca="1">VLOOKUP(B52,'ALL DATABASES'!$A$1:$T$2252,3,FALSE)</f>
        <v>Book</v>
      </c>
      <c r="H52" s="50" t="str">
        <f ca="1">VLOOKUP(B52,'ALL DATABASES'!$A$1:$T$2252,20,FALSE)</f>
        <v>SPRINGER</v>
      </c>
    </row>
    <row r="53" spans="1:8" ht="12.75" x14ac:dyDescent="0.2">
      <c r="A53">
        <v>52</v>
      </c>
      <c r="B53" s="15" t="str">
        <f ca="1">IFERROR(__xludf.DUMMYFUNCTION("""COMPUTED_VALUE"""),"A knowledge-driven approach for designing data analytics platforms")</f>
        <v>A knowledge-driven approach for designing data analytics platforms</v>
      </c>
      <c r="C53" s="15" t="str">
        <f ca="1">VLOOKUP(B53,'ALL DATABASES'!$A$1:$T$2252,2,FALSE)</f>
        <v>Bandara M,Rabhi FA,Bano M</v>
      </c>
      <c r="D53" s="15">
        <f ca="1">VLOOKUP(B53,'ALL DATABASES'!$A$1:$T$2252,5,FALSE)</f>
        <v>2022</v>
      </c>
      <c r="E53" s="15">
        <f ca="1">VLOOKUP(B53,'ALL DATABASES'!$A$1:$T$2252,10,FALSE)</f>
        <v>2022</v>
      </c>
      <c r="F53" s="54" t="str">
        <f ca="1">VLOOKUP(B53,'ALL DATABASES'!$A$1:$T$2252,14,FALSE)</f>
        <v>https://www.scopus.com/inward/record.uri?eid=2-s2.0-85136515962&amp;doi=10.1007%2fs00766-022-00385-5&amp;partnerID=40&amp;md5=0f37b786a6059be379f420cf0d54e1f2;http://dx.doi.org/10.1007/s00766-022-00385-5</v>
      </c>
      <c r="G53" s="15" t="str">
        <f ca="1">VLOOKUP(B53,'ALL DATABASES'!$A$1:$T$2252,3,FALSE)</f>
        <v>Journal Article</v>
      </c>
      <c r="H53" s="50" t="str">
        <f ca="1">VLOOKUP(B53,'ALL DATABASES'!$A$1:$T$2252,20,FALSE)</f>
        <v>SCOPUS</v>
      </c>
    </row>
    <row r="54" spans="1:8" ht="12.75" x14ac:dyDescent="0.2">
      <c r="A54">
        <v>53</v>
      </c>
      <c r="B54" s="15" t="str">
        <f ca="1">IFERROR(__xludf.DUMMYFUNCTION("""COMPUTED_VALUE"""),"A large empirical assessment of the role of data balancing in machine-learning-based code smell detection")</f>
        <v>A large empirical assessment of the role of data balancing in machine-learning-based code smell detection</v>
      </c>
      <c r="C54" s="15" t="str">
        <f ca="1">VLOOKUP(B54,'ALL DATABASES'!$A$1:$T$2252,2,FALSE)</f>
        <v>Pecorelli F,Di Nucci D,De Roover C,De Lucia A</v>
      </c>
      <c r="D54" s="15">
        <f ca="1">VLOOKUP(B54,'ALL DATABASES'!$A$1:$T$2252,5,FALSE)</f>
        <v>2020</v>
      </c>
      <c r="E54" s="15">
        <f ca="1">VLOOKUP(B54,'ALL DATABASES'!$A$1:$T$2252,10,FALSE)</f>
        <v>2020</v>
      </c>
      <c r="F54" s="54" t="str">
        <f ca="1">VLOOKUP(B54,'ALL DATABASES'!$A$1:$T$2252,14,FALSE)</f>
        <v>https://www.sciencedirect.com/science/article/pii/S0164121220301448;http://dx.doi.org/10.1016/j.jss.2020.110693</v>
      </c>
      <c r="G54" s="15" t="str">
        <f ca="1">VLOOKUP(B54,'ALL DATABASES'!$A$1:$T$2252,3,FALSE)</f>
        <v>Journal Article</v>
      </c>
      <c r="H54" s="50" t="str">
        <f ca="1">VLOOKUP(B54,'ALL DATABASES'!$A$1:$T$2252,20,FALSE)</f>
        <v>SCIENCEDIRECT</v>
      </c>
    </row>
    <row r="55" spans="1:8" ht="12.75" x14ac:dyDescent="0.2">
      <c r="A55">
        <v>54</v>
      </c>
      <c r="B55" s="15" t="str">
        <f ca="1">IFERROR(__xludf.DUMMYFUNCTION("""COMPUTED_VALUE"""),"A Large Scale Study of Long-Time Contributor Prediction for GitHub Projects")</f>
        <v>A Large Scale Study of Long-Time Contributor Prediction for GitHub Projects</v>
      </c>
      <c r="C55" s="15" t="str">
        <f ca="1">VLOOKUP(B55,'ALL DATABASES'!$A$1:$T$2252,2,FALSE)</f>
        <v>Bao L,Xia X,Lo D,Murphy GC</v>
      </c>
      <c r="D55" s="15">
        <f ca="1">VLOOKUP(B55,'ALL DATABASES'!$A$1:$T$2252,5,FALSE)</f>
        <v>2021</v>
      </c>
      <c r="E55" s="15">
        <f ca="1">VLOOKUP(B55,'ALL DATABASES'!$A$1:$T$2252,10,FALSE)</f>
        <v>2021</v>
      </c>
      <c r="F55" s="54" t="str">
        <f ca="1">VLOOKUP(B55,'ALL DATABASES'!$A$1:$T$2252,14,FALSE)</f>
        <v>https://www.scopus.com/inward/record.uri?eid=2-s2.0-85067069426&amp;doi=10.1109%2fTSE.2019.2918536&amp;partnerID=40&amp;md5=a2151994a7598589135bd21ee5ac5251;http://dx.doi.org/10.1109/TSE.2019.2918536</v>
      </c>
      <c r="G55" s="15" t="str">
        <f ca="1">VLOOKUP(B55,'ALL DATABASES'!$A$1:$T$2252,3,FALSE)</f>
        <v>Journal Article</v>
      </c>
      <c r="H55" s="50" t="str">
        <f ca="1">VLOOKUP(B55,'ALL DATABASES'!$A$1:$T$2252,20,FALSE)</f>
        <v>SCOPUS</v>
      </c>
    </row>
    <row r="56" spans="1:8" ht="12.75" x14ac:dyDescent="0.2">
      <c r="A56">
        <v>55</v>
      </c>
      <c r="B56" s="15" t="str">
        <f ca="1">IFERROR(__xludf.DUMMYFUNCTION("""COMPUTED_VALUE"""),"A large scale study on how developers discuss code smells and anti-pattern in Stack Exchange sites")</f>
        <v>A large scale study on how developers discuss code smells and anti-pattern in Stack Exchange sites</v>
      </c>
      <c r="C56" s="15" t="str">
        <f ca="1">VLOOKUP(B56,'ALL DATABASES'!$A$1:$T$2252,2,FALSE)</f>
        <v>Tahir A,Dietrich J,Counsell S,Licorish S,Yamashita A</v>
      </c>
      <c r="D56" s="15">
        <f ca="1">VLOOKUP(B56,'ALL DATABASES'!$A$1:$T$2252,5,FALSE)</f>
        <v>2020</v>
      </c>
      <c r="E56" s="15">
        <f ca="1">VLOOKUP(B56,'ALL DATABASES'!$A$1:$T$2252,10,FALSE)</f>
        <v>2020</v>
      </c>
      <c r="F56" s="54" t="str">
        <f ca="1">VLOOKUP(B56,'ALL DATABASES'!$A$1:$T$2252,14,FALSE)</f>
        <v>https://www.sciencedirect.com/science/article/pii/S0950584920300926;http://dx.doi.org/10.1016/j.infsof.2020.106333</v>
      </c>
      <c r="G56" s="15" t="str">
        <f ca="1">VLOOKUP(B56,'ALL DATABASES'!$A$1:$T$2252,3,FALSE)</f>
        <v>Journal Article</v>
      </c>
      <c r="H56" s="50" t="str">
        <f ca="1">VLOOKUP(B56,'ALL DATABASES'!$A$1:$T$2252,20,FALSE)</f>
        <v>SCIENCEDIRECT</v>
      </c>
    </row>
    <row r="57" spans="1:8" ht="12.75" x14ac:dyDescent="0.2">
      <c r="A57">
        <v>56</v>
      </c>
      <c r="B57" s="15" t="str">
        <f ca="1">IFERROR(__xludf.DUMMYFUNCTION("""COMPUTED_VALUE"""),"A large-scale comparative analysis of Coding Standard conformance in Open-Source Data Science projects")</f>
        <v>A large-scale comparative analysis of Coding Standard conformance in Open-Source Data Science projects</v>
      </c>
      <c r="C57" s="15" t="str">
        <f ca="1">VLOOKUP(B57,'ALL DATABASES'!$A$1:$T$2252,2,FALSE)</f>
        <v>Simmons AJ,Barnett S,Rivera-Villicana J,Bajaj A,Vasa R</v>
      </c>
      <c r="D57" s="15">
        <f ca="1">VLOOKUP(B57,'ALL DATABASES'!$A$1:$T$2252,5,FALSE)</f>
        <v>2020</v>
      </c>
      <c r="E57" s="15">
        <f ca="1">VLOOKUP(B57,'ALL DATABASES'!$A$1:$T$2252,10,FALSE)</f>
        <v>2020</v>
      </c>
      <c r="F57" s="54" t="str">
        <f ca="1">VLOOKUP(B57,'ALL DATABASES'!$A$1:$T$2252,14,FALSE)</f>
        <v>https://www.scopus.com/inward/record.uri?eid=2-s2.0-85093925437&amp;doi=10.1145%2f3382494.3410680&amp;partnerID=40&amp;md5=c811f43a3e197f225b6bf063c67e0aed;http://dx.doi.org/10.1145/3382494.3410680</v>
      </c>
      <c r="G57" s="15" t="str">
        <f ca="1">VLOOKUP(B57,'ALL DATABASES'!$A$1:$T$2252,3,FALSE)</f>
        <v>Conference Paper</v>
      </c>
      <c r="H57" s="50" t="str">
        <f ca="1">VLOOKUP(B57,'ALL DATABASES'!$A$1:$T$2252,20,FALSE)</f>
        <v>SCOPUS</v>
      </c>
    </row>
    <row r="58" spans="1:8" ht="12.75" x14ac:dyDescent="0.2">
      <c r="A58">
        <v>57</v>
      </c>
      <c r="B58" s="15" t="str">
        <f ca="1">IFERROR(__xludf.DUMMYFUNCTION("""COMPUTED_VALUE"""),"A large-scale empirical exploration on refactoring activities in open source software projects")</f>
        <v>A large-scale empirical exploration on refactoring activities in open source software projects</v>
      </c>
      <c r="C58" s="15" t="str">
        <f ca="1">VLOOKUP(B58,'ALL DATABASES'!$A$1:$T$2252,2,FALSE)</f>
        <v>Vassallo C,Grano G,Palomba F,Gall HC,Bacchelli A</v>
      </c>
      <c r="D58" s="15">
        <f ca="1">VLOOKUP(B58,'ALL DATABASES'!$A$1:$T$2252,5,FALSE)</f>
        <v>2019</v>
      </c>
      <c r="E58" s="15">
        <f ca="1">VLOOKUP(B58,'ALL DATABASES'!$A$1:$T$2252,10,FALSE)</f>
        <v>2019</v>
      </c>
      <c r="F58" s="54" t="str">
        <f ca="1">VLOOKUP(B58,'ALL DATABASES'!$A$1:$T$2252,14,FALSE)</f>
        <v>https://www.scopus.com/inward/record.uri?eid=2-s2.0-85065542163&amp;doi=10.1016%2fj.scico.2019.05.002&amp;partnerID=40&amp;md5=0aa675929b8fce697b1de4ff272bb33b;http://dx.doi.org/10.1016/j.scico.2019.05.002</v>
      </c>
      <c r="G58" s="15" t="str">
        <f ca="1">VLOOKUP(B58,'ALL DATABASES'!$A$1:$T$2252,3,FALSE)</f>
        <v>Journal Article</v>
      </c>
      <c r="H58" s="50" t="str">
        <f ca="1">VLOOKUP(B58,'ALL DATABASES'!$A$1:$T$2252,20,FALSE)</f>
        <v>SCOPUS</v>
      </c>
    </row>
    <row r="59" spans="1:8" ht="12.75" x14ac:dyDescent="0.2">
      <c r="A59">
        <v>58</v>
      </c>
      <c r="B59" s="15" t="str">
        <f ca="1">IFERROR(__xludf.DUMMYFUNCTION("""COMPUTED_VALUE"""),"A Large-Scale Empirical Study on Code-Comment Inconsistencies")</f>
        <v>A Large-Scale Empirical Study on Code-Comment Inconsistencies</v>
      </c>
      <c r="C59" s="15" t="str">
        <f ca="1">VLOOKUP(B59,'ALL DATABASES'!$A$1:$T$2252,2,FALSE)</f>
        <v>Wen F,Nagy C,Bavota G,Lanza M</v>
      </c>
      <c r="D59" s="15">
        <f ca="1">VLOOKUP(B59,'ALL DATABASES'!$A$1:$T$2252,5,FALSE)</f>
        <v>2019</v>
      </c>
      <c r="E59" s="15">
        <f ca="1">VLOOKUP(B59,'ALL DATABASES'!$A$1:$T$2252,10,FALSE)</f>
        <v>2019</v>
      </c>
      <c r="F59" s="54" t="str">
        <f ca="1">VLOOKUP(B59,'ALL DATABASES'!$A$1:$T$2252,14,FALSE)</f>
        <v>https://doi.org/10.1109/ICPC.2019.00019;http://dx.doi.org/10.1109/ICPC.2019.00019</v>
      </c>
      <c r="G59" s="15" t="str">
        <f ca="1">VLOOKUP(B59,'ALL DATABASES'!$A$1:$T$2252,3,FALSE)</f>
        <v>Conference Paper</v>
      </c>
      <c r="H59" s="50" t="str">
        <f ca="1">VLOOKUP(B59,'ALL DATABASES'!$A$1:$T$2252,20,FALSE)</f>
        <v>ACM</v>
      </c>
    </row>
    <row r="60" spans="1:8" ht="12.75" x14ac:dyDescent="0.2">
      <c r="A60">
        <v>59</v>
      </c>
      <c r="B60" s="15" t="str">
        <f ca="1">IFERROR(__xludf.DUMMYFUNCTION("""COMPUTED_VALUE"""),"A large-scale empirical study on the lifecycle of code smell co-occurrences")</f>
        <v>A large-scale empirical study on the lifecycle of code smell co-occurrences</v>
      </c>
      <c r="C60" s="15" t="str">
        <f ca="1">VLOOKUP(B60,'ALL DATABASES'!$A$1:$T$2252,2,FALSE)</f>
        <v>Palomba F,Bavota G,Di Penta M,Fasano F,Oliveto R,De Lucia A</v>
      </c>
      <c r="D60" s="15">
        <f ca="1">VLOOKUP(B60,'ALL DATABASES'!$A$1:$T$2252,5,FALSE)</f>
        <v>2018</v>
      </c>
      <c r="E60" s="15">
        <f ca="1">VLOOKUP(B60,'ALL DATABASES'!$A$1:$T$2252,10,FALSE)</f>
        <v>2018</v>
      </c>
      <c r="F60" s="54" t="str">
        <f ca="1">VLOOKUP(B60,'ALL DATABASES'!$A$1:$T$2252,14,FALSE)</f>
        <v>https://www.scopus.com/inward/record.uri?eid=2-s2.0-85042941931&amp;doi=10.1016%2fj.infsof.2018.02.004&amp;partnerID=40&amp;md5=abf547bf7f9e4706c230c761b0260b81;http://dx.doi.org/10.1016/j.infsof.2018.02.004</v>
      </c>
      <c r="G60" s="15" t="str">
        <f ca="1">VLOOKUP(B60,'ALL DATABASES'!$A$1:$T$2252,3,FALSE)</f>
        <v>Journal Article</v>
      </c>
      <c r="H60" s="50" t="str">
        <f ca="1">VLOOKUP(B60,'ALL DATABASES'!$A$1:$T$2252,20,FALSE)</f>
        <v>SCOPUS</v>
      </c>
    </row>
    <row r="61" spans="1:8" ht="12.75" x14ac:dyDescent="0.2">
      <c r="A61">
        <v>60</v>
      </c>
      <c r="B61" s="15" t="str">
        <f ca="1">IFERROR(__xludf.DUMMYFUNCTION("""COMPUTED_VALUE"""),"A Literature Review of Using Machine Learning in Software Development Life Cycle Stages")</f>
        <v>A Literature Review of Using Machine Learning in Software Development Life Cycle Stages</v>
      </c>
      <c r="C61" s="15" t="str">
        <f ca="1">VLOOKUP(B61,'ALL DATABASES'!$A$1:$T$2252,2,FALSE)</f>
        <v>Shafiq S,Mashkoor A,Mayr-Dorn C,Egyed A</v>
      </c>
      <c r="D61" s="15">
        <f ca="1">VLOOKUP(B61,'ALL DATABASES'!$A$1:$T$2252,5,FALSE)</f>
        <v>2021</v>
      </c>
      <c r="E61" s="15">
        <f ca="1">VLOOKUP(B61,'ALL DATABASES'!$A$1:$T$2252,10,FALSE)</f>
        <v>2021</v>
      </c>
      <c r="F61" s="54" t="str">
        <f ca="1">VLOOKUP(B61,'ALL DATABASES'!$A$1:$T$2252,14,FALSE)</f>
        <v>http://dx.doi.org/10.1109/ACCESS.2021.3119746</v>
      </c>
      <c r="G61" s="15" t="str">
        <f ca="1">VLOOKUP(B61,'ALL DATABASES'!$A$1:$T$2252,3,FALSE)</f>
        <v>Journal Article</v>
      </c>
      <c r="H61" s="50" t="str">
        <f ca="1">VLOOKUP(B61,'ALL DATABASES'!$A$1:$T$2252,20,FALSE)</f>
        <v>IEEE</v>
      </c>
    </row>
    <row r="62" spans="1:8" ht="12.75" x14ac:dyDescent="0.2">
      <c r="A62">
        <v>61</v>
      </c>
      <c r="B62" s="15" t="str">
        <f ca="1">IFERROR(__xludf.DUMMYFUNCTION("""COMPUTED_VALUE"""),"A longitudinal exploratory study on code smells in server side web applications")</f>
        <v>A longitudinal exploratory study on code smells in server side web applications</v>
      </c>
      <c r="C62" s="15" t="str">
        <f ca="1">VLOOKUP(B62,'ALL DATABASES'!$A$1:$T$2252,2,FALSE)</f>
        <v>Bessghaier N,Ouni A,Mkaouer MW</v>
      </c>
      <c r="D62" s="15">
        <f ca="1">VLOOKUP(B62,'ALL DATABASES'!$A$1:$T$2252,5,FALSE)</f>
        <v>2021</v>
      </c>
      <c r="E62" s="15">
        <f ca="1">VLOOKUP(B62,'ALL DATABASES'!$A$1:$T$2252,10,FALSE)</f>
        <v>2021</v>
      </c>
      <c r="F62" s="54" t="str">
        <f ca="1">VLOOKUP(B62,'ALL DATABASES'!$A$1:$T$2252,14,FALSE)</f>
        <v>https://www.scopus.com/inward/record.uri?eid=2-s2.0-85113593339&amp;doi=10.1007%2fs11219-021-09567-w&amp;partnerID=40&amp;md5=4b23a0a229f5fbf8f3608c82dcc0182b;http://dx.doi.org/10.1007/s11219-021-09567-w</v>
      </c>
      <c r="G62" s="15" t="str">
        <f ca="1">VLOOKUP(B62,'ALL DATABASES'!$A$1:$T$2252,3,FALSE)</f>
        <v>Journal Article</v>
      </c>
      <c r="H62" s="50" t="str">
        <f ca="1">VLOOKUP(B62,'ALL DATABASES'!$A$1:$T$2252,20,FALSE)</f>
        <v>SCOPUS</v>
      </c>
    </row>
    <row r="63" spans="1:8" ht="12.75" x14ac:dyDescent="0.2">
      <c r="A63">
        <v>62</v>
      </c>
      <c r="B63" s="15" t="str">
        <f ca="1">IFERROR(__xludf.DUMMYFUNCTION("""COMPUTED_VALUE"""),"A longitudinal study of static analysis warning evolution and the effects of PMD on software quality in Apache open source projects")</f>
        <v>A longitudinal study of static analysis warning evolution and the effects of PMD on software quality in Apache open source projects</v>
      </c>
      <c r="C63" s="15" t="str">
        <f ca="1">VLOOKUP(B63,'ALL DATABASES'!$A$1:$T$2252,2,FALSE)</f>
        <v>Alexander TrautschSteffen HerboldJens Grabowski</v>
      </c>
      <c r="D63" s="15">
        <f ca="1">VLOOKUP(B63,'ALL DATABASES'!$A$1:$T$2252,5,FALSE)</f>
        <v>2020</v>
      </c>
      <c r="E63" s="15">
        <f ca="1">VLOOKUP(B63,'ALL DATABASES'!$A$1:$T$2252,10,FALSE)</f>
        <v>0</v>
      </c>
      <c r="F63" s="54" t="str">
        <f ca="1">VLOOKUP(B63,'ALL DATABASES'!$A$1:$T$2252,14,FALSE)</f>
        <v>http://link.springer.com/article/10.1007/s10664-020-09880-1</v>
      </c>
      <c r="G63" s="15" t="str">
        <f ca="1">VLOOKUP(B63,'ALL DATABASES'!$A$1:$T$2252,3,FALSE)</f>
        <v>Article</v>
      </c>
      <c r="H63" s="50" t="str">
        <f ca="1">VLOOKUP(B63,'ALL DATABASES'!$A$1:$T$2252,20,FALSE)</f>
        <v>SPRINGER</v>
      </c>
    </row>
    <row r="64" spans="1:8" ht="12.75" x14ac:dyDescent="0.2">
      <c r="A64">
        <v>63</v>
      </c>
      <c r="B64" s="15" t="str">
        <f ca="1">IFERROR(__xludf.DUMMYFUNCTION("""COMPUTED_VALUE"""),"A machine and deep learning analysis among SonarQube rules, product, and process metrics for fault prediction")</f>
        <v>A machine and deep learning analysis among SonarQube rules, product, and process metrics for fault prediction</v>
      </c>
      <c r="C64" s="15" t="str">
        <f ca="1">VLOOKUP(B64,'ALL DATABASES'!$A$1:$T$2252,2,FALSE)</f>
        <v>Francesco LomioSergio MoreschiniValentina Lenarduzzi</v>
      </c>
      <c r="D64" s="15">
        <f ca="1">VLOOKUP(B64,'ALL DATABASES'!$A$1:$T$2252,5,FALSE)</f>
        <v>2022</v>
      </c>
      <c r="E64" s="15">
        <f ca="1">VLOOKUP(B64,'ALL DATABASES'!$A$1:$T$2252,10,FALSE)</f>
        <v>0</v>
      </c>
      <c r="F64" s="54" t="str">
        <f ca="1">VLOOKUP(B64,'ALL DATABASES'!$A$1:$T$2252,14,FALSE)</f>
        <v>http://link.springer.com/article/10.1007/s10664-022-10164-z</v>
      </c>
      <c r="G64" s="15" t="str">
        <f ca="1">VLOOKUP(B64,'ALL DATABASES'!$A$1:$T$2252,3,FALSE)</f>
        <v>Article</v>
      </c>
      <c r="H64" s="50" t="str">
        <f ca="1">VLOOKUP(B64,'ALL DATABASES'!$A$1:$T$2252,20,FALSE)</f>
        <v>SPRINGER</v>
      </c>
    </row>
    <row r="65" spans="1:8" ht="12.75" x14ac:dyDescent="0.2">
      <c r="A65">
        <v>64</v>
      </c>
      <c r="B65" s="15" t="str">
        <f ca="1">IFERROR(__xludf.DUMMYFUNCTION("""COMPUTED_VALUE"""),"A Machine Learning Approach to Improve the Detection of CI Skip Commits")</f>
        <v>A Machine Learning Approach to Improve the Detection of CI Skip Commits</v>
      </c>
      <c r="C65" s="15" t="str">
        <f ca="1">VLOOKUP(B65,'ALL DATABASES'!$A$1:$T$2252,2,FALSE)</f>
        <v>Abdalkareem R,Mujahid S,Shihab E</v>
      </c>
      <c r="D65" s="15">
        <f ca="1">VLOOKUP(B65,'ALL DATABASES'!$A$1:$T$2252,5,FALSE)</f>
        <v>2021</v>
      </c>
      <c r="E65" s="53">
        <f ca="1">VLOOKUP(B65,'ALL DATABASES'!$A$1:$T$2252,10,FALSE)</f>
        <v>44531</v>
      </c>
      <c r="F65" s="54" t="str">
        <f ca="1">VLOOKUP(B65,'ALL DATABASES'!$A$1:$T$2252,14,FALSE)</f>
        <v>http://dx.doi.org/10.1109/TSE.2020.2967380</v>
      </c>
      <c r="G65" s="15" t="str">
        <f ca="1">VLOOKUP(B65,'ALL DATABASES'!$A$1:$T$2252,3,FALSE)</f>
        <v>Journal Article</v>
      </c>
      <c r="H65" s="50" t="str">
        <f ca="1">VLOOKUP(B65,'ALL DATABASES'!$A$1:$T$2252,20,FALSE)</f>
        <v>IEEE</v>
      </c>
    </row>
    <row r="66" spans="1:8" ht="12.75" x14ac:dyDescent="0.2">
      <c r="A66">
        <v>65</v>
      </c>
      <c r="B66" s="15" t="str">
        <f ca="1">IFERROR(__xludf.DUMMYFUNCTION("""COMPUTED_VALUE"""),"A Machine Learning Based Ensemble Method for Automatic Multiclass Classification of Decisions")</f>
        <v>A Machine Learning Based Ensemble Method for Automatic Multiclass Classification of Decisions</v>
      </c>
      <c r="C66" s="15" t="str">
        <f ca="1">VLOOKUP(B66,'ALL DATABASES'!$A$1:$T$2252,2,FALSE)</f>
        <v>Fu L,Liang P,Li X,Yang C</v>
      </c>
      <c r="D66" s="15">
        <f ca="1">VLOOKUP(B66,'ALL DATABASES'!$A$1:$T$2252,5,FALSE)</f>
        <v>2021</v>
      </c>
      <c r="E66" s="15">
        <f ca="1">VLOOKUP(B66,'ALL DATABASES'!$A$1:$T$2252,10,FALSE)</f>
        <v>2021</v>
      </c>
      <c r="F66" s="54" t="str">
        <f ca="1">VLOOKUP(B66,'ALL DATABASES'!$A$1:$T$2252,14,FALSE)</f>
        <v>https://doi.org/10.1145/3463274.3463325;http://dx.doi.org/10.1145/3463274.3463325</v>
      </c>
      <c r="G66" s="15" t="str">
        <f ca="1">VLOOKUP(B66,'ALL DATABASES'!$A$1:$T$2252,3,FALSE)</f>
        <v>Conference Paper</v>
      </c>
      <c r="H66" s="50" t="str">
        <f ca="1">VLOOKUP(B66,'ALL DATABASES'!$A$1:$T$2252,20,FALSE)</f>
        <v>ACM</v>
      </c>
    </row>
    <row r="67" spans="1:8" ht="12.75" x14ac:dyDescent="0.2">
      <c r="A67">
        <v>66</v>
      </c>
      <c r="B67" s="15" t="str">
        <f ca="1">IFERROR(__xludf.DUMMYFUNCTION("""COMPUTED_VALUE"""),"A Machine Learning Based Framework for Continuous Defect Prediction in CI/CD Pipelines")</f>
        <v>A Machine Learning Based Framework for Continuous Defect Prediction in CI/CD Pipelines</v>
      </c>
      <c r="C67" s="15" t="str">
        <f ca="1">VLOOKUP(B67,'ALL DATABASES'!$A$1:$T$2252,2,FALSE)</f>
        <v>Giorgio L,Nicola M,Fabio S,Andrea S</v>
      </c>
      <c r="D67" s="15">
        <f ca="1">VLOOKUP(B67,'ALL DATABASES'!$A$1:$T$2252,5,FALSE)</f>
        <v>2021</v>
      </c>
      <c r="E67" s="15">
        <f ca="1">VLOOKUP(B67,'ALL DATABASES'!$A$1:$T$2252,10,FALSE)</f>
        <v>2021</v>
      </c>
      <c r="F67" s="54" t="str">
        <f ca="1">VLOOKUP(B67,'ALL DATABASES'!$A$1:$T$2252,14,FALSE)</f>
        <v>https://www.scopus.com/inward/record.uri?eid=2-s2.0-85127155397&amp;partnerID=40&amp;md5=51baded0bda5f7d705bec12e82951857</v>
      </c>
      <c r="G67" s="15" t="str">
        <f ca="1">VLOOKUP(B67,'ALL DATABASES'!$A$1:$T$2252,3,FALSE)</f>
        <v>Conference Paper</v>
      </c>
      <c r="H67" s="50" t="str">
        <f ca="1">VLOOKUP(B67,'ALL DATABASES'!$A$1:$T$2252,20,FALSE)</f>
        <v>SCOPUS</v>
      </c>
    </row>
    <row r="68" spans="1:8" ht="12.75" x14ac:dyDescent="0.2">
      <c r="A68">
        <v>67</v>
      </c>
      <c r="B68" s="15" t="str">
        <f ca="1">IFERROR(__xludf.DUMMYFUNCTION("""COMPUTED_VALUE"""),"A mapping study on documentation in Continuous Software Development")</f>
        <v>A mapping study on documentation in Continuous Software Development</v>
      </c>
      <c r="C68" s="15" t="str">
        <f ca="1">VLOOKUP(B68,'ALL DATABASES'!$A$1:$T$2252,2,FALSE)</f>
        <v>Theunissen T,van Heesch U,Avgeriou P</v>
      </c>
      <c r="D68" s="15">
        <f ca="1">VLOOKUP(B68,'ALL DATABASES'!$A$1:$T$2252,5,FALSE)</f>
        <v>2022</v>
      </c>
      <c r="E68" s="15">
        <f ca="1">VLOOKUP(B68,'ALL DATABASES'!$A$1:$T$2252,10,FALSE)</f>
        <v>2022</v>
      </c>
      <c r="F68" s="54" t="str">
        <f ca="1">VLOOKUP(B68,'ALL DATABASES'!$A$1:$T$2252,14,FALSE)</f>
        <v>https://www.scopus.com/inward/record.uri?eid=2-s2.0-85116891092&amp;doi=10.1016%2fj.infsof.2021.106733&amp;partnerID=40&amp;md5=0b35a193194226616e7512f98d3e32f5;http://dx.doi.org/10.1016/j.infsof.2021.106733</v>
      </c>
      <c r="G68" s="15" t="str">
        <f ca="1">VLOOKUP(B68,'ALL DATABASES'!$A$1:$T$2252,3,FALSE)</f>
        <v>Journal Article</v>
      </c>
      <c r="H68" s="50" t="str">
        <f ca="1">VLOOKUP(B68,'ALL DATABASES'!$A$1:$T$2252,20,FALSE)</f>
        <v>SCOPUS</v>
      </c>
    </row>
    <row r="69" spans="1:8" ht="12.75" x14ac:dyDescent="0.2">
      <c r="A69">
        <v>68</v>
      </c>
      <c r="B69" s="15" t="str">
        <f ca="1">IFERROR(__xludf.DUMMYFUNCTION("""COMPUTED_VALUE"""),"A method for assessing class change proneness")</f>
        <v>A method for assessing class change proneness</v>
      </c>
      <c r="C69" s="15" t="str">
        <f ca="1">VLOOKUP(B69,'ALL DATABASES'!$A$1:$T$2252,2,FALSE)</f>
        <v>Arvanitou EM,Ampatzoglou A,Chatzigeorgiou A,Avgeriou P</v>
      </c>
      <c r="D69" s="15">
        <f ca="1">VLOOKUP(B69,'ALL DATABASES'!$A$1:$T$2252,5,FALSE)</f>
        <v>2017</v>
      </c>
      <c r="E69" s="15">
        <f ca="1">VLOOKUP(B69,'ALL DATABASES'!$A$1:$T$2252,10,FALSE)</f>
        <v>2017</v>
      </c>
      <c r="F69" s="54" t="str">
        <f ca="1">VLOOKUP(B69,'ALL DATABASES'!$A$1:$T$2252,14,FALSE)</f>
        <v>https://www.scopus.com/inward/record.uri?eid=2-s2.0-85025432762&amp;doi=10.1145%2f3084226.3084239&amp;partnerID=40&amp;md5=874158b90143a4a1ada5da7df674be31;http://dx.doi.org/10.1145/3084226.3084239</v>
      </c>
      <c r="G69" s="15" t="str">
        <f ca="1">VLOOKUP(B69,'ALL DATABASES'!$A$1:$T$2252,3,FALSE)</f>
        <v>Conference Paper</v>
      </c>
      <c r="H69" s="50" t="str">
        <f ca="1">VLOOKUP(B69,'ALL DATABASES'!$A$1:$T$2252,20,FALSE)</f>
        <v>SCOPUS</v>
      </c>
    </row>
    <row r="70" spans="1:8" ht="12.75" x14ac:dyDescent="0.2">
      <c r="A70">
        <v>69</v>
      </c>
      <c r="B70" s="15" t="str">
        <f ca="1">IFERROR(__xludf.DUMMYFUNCTION("""COMPUTED_VALUE"""),"A Methodology for Cross-Platform, Event-Driven Big Data Analytics-as-a-Service")</f>
        <v>A Methodology for Cross-Platform, Event-Driven Big Data Analytics-as-a-Service</v>
      </c>
      <c r="C70" s="15" t="str">
        <f ca="1">VLOOKUP(B70,'ALL DATABASES'!$A$1:$T$2252,2,FALSE)</f>
        <v>Ardagna CA,Bellandi V,Ceravolo P,Damiani E,Finazzo R</v>
      </c>
      <c r="D70" s="15">
        <f ca="1">VLOOKUP(B70,'ALL DATABASES'!$A$1:$T$2252,5,FALSE)</f>
        <v>2019</v>
      </c>
      <c r="E70" s="53">
        <f ca="1">VLOOKUP(B70,'ALL DATABASES'!$A$1:$T$2252,10,FALSE)</f>
        <v>43800</v>
      </c>
      <c r="F70" s="54" t="str">
        <f ca="1">VLOOKUP(B70,'ALL DATABASES'!$A$1:$T$2252,14,FALSE)</f>
        <v>http://dx.doi.org/10.1109/BigData47090.2019.9005503</v>
      </c>
      <c r="G70" s="15" t="str">
        <f ca="1">VLOOKUP(B70,'ALL DATABASES'!$A$1:$T$2252,3,FALSE)</f>
        <v>Conference Paper</v>
      </c>
      <c r="H70" s="50" t="str">
        <f ca="1">VLOOKUP(B70,'ALL DATABASES'!$A$1:$T$2252,20,FALSE)</f>
        <v>IEEE</v>
      </c>
    </row>
    <row r="71" spans="1:8" ht="12.75" x14ac:dyDescent="0.2">
      <c r="A71">
        <v>70</v>
      </c>
      <c r="B71" s="15" t="str">
        <f ca="1">IFERROR(__xludf.DUMMYFUNCTION("""COMPUTED_VALUE"""),"A metric for quantifying the ripple effects among requirements")</f>
        <v>A metric for quantifying the ripple effects among requirements</v>
      </c>
      <c r="C71" s="15" t="str">
        <f ca="1">VLOOKUP(B71,'ALL DATABASES'!$A$1:$T$2252,2,FALSE)</f>
        <v>Elvira-Maria ArvanitouApostolos AmpatzoglouAlexander ChatzigeorgiouParis AvgeriouNikolaos Tsiridis</v>
      </c>
      <c r="D71" s="15">
        <f ca="1">VLOOKUP(B71,'ALL DATABASES'!$A$1:$T$2252,5,FALSE)</f>
        <v>2022</v>
      </c>
      <c r="E71" s="15">
        <f ca="1">VLOOKUP(B71,'ALL DATABASES'!$A$1:$T$2252,10,FALSE)</f>
        <v>0</v>
      </c>
      <c r="F71" s="54" t="str">
        <f ca="1">VLOOKUP(B71,'ALL DATABASES'!$A$1:$T$2252,14,FALSE)</f>
        <v>http://link.springer.com/article/10.1007/s11219-021-09581-y</v>
      </c>
      <c r="G71" s="15" t="str">
        <f ca="1">VLOOKUP(B71,'ALL DATABASES'!$A$1:$T$2252,3,FALSE)</f>
        <v>Article</v>
      </c>
      <c r="H71" s="50" t="str">
        <f ca="1">VLOOKUP(B71,'ALL DATABASES'!$A$1:$T$2252,20,FALSE)</f>
        <v>SPRINGER</v>
      </c>
    </row>
    <row r="72" spans="1:8" ht="12.75" x14ac:dyDescent="0.2">
      <c r="A72">
        <v>71</v>
      </c>
      <c r="B72" s="15" t="str">
        <f ca="1">IFERROR(__xludf.DUMMYFUNCTION("""COMPUTED_VALUE"""),"A model of requirements engineering in software startups")</f>
        <v>A model of requirements engineering in software startups</v>
      </c>
      <c r="C72" s="15" t="str">
        <f ca="1">VLOOKUP(B72,'ALL DATABASES'!$A$1:$T$2252,2,FALSE)</f>
        <v>Melegati J,Goldman A,Kon F,Wang X</v>
      </c>
      <c r="D72" s="15">
        <f ca="1">VLOOKUP(B72,'ALL DATABASES'!$A$1:$T$2252,5,FALSE)</f>
        <v>2019</v>
      </c>
      <c r="E72" s="15">
        <f ca="1">VLOOKUP(B72,'ALL DATABASES'!$A$1:$T$2252,10,FALSE)</f>
        <v>2019</v>
      </c>
      <c r="F72" s="54" t="str">
        <f ca="1">VLOOKUP(B72,'ALL DATABASES'!$A$1:$T$2252,14,FALSE)</f>
        <v>https://www.sciencedirect.com/science/article/pii/S095058491930028X;http://dx.doi.org/10.1016/j.infsof.2019.02.001</v>
      </c>
      <c r="G72" s="15" t="str">
        <f ca="1">VLOOKUP(B72,'ALL DATABASES'!$A$1:$T$2252,3,FALSE)</f>
        <v>Journal Article</v>
      </c>
      <c r="H72" s="50" t="str">
        <f ca="1">VLOOKUP(B72,'ALL DATABASES'!$A$1:$T$2252,20,FALSE)</f>
        <v>SCIENCEDIRECT</v>
      </c>
    </row>
    <row r="73" spans="1:8" ht="12.75" x14ac:dyDescent="0.2">
      <c r="A73">
        <v>72</v>
      </c>
      <c r="B73" s="15" t="str">
        <f ca="1">IFERROR(__xludf.DUMMYFUNCTION("""COMPUTED_VALUE"""),"A Multi-criteria Decision-Making Approach to Analyze Python Code Smells")</f>
        <v>A Multi-criteria Decision-Making Approach to Analyze Python Code Smells</v>
      </c>
      <c r="C73" s="15" t="str">
        <f ca="1">VLOOKUP(B73,'ALL DATABASES'!$A$1:$T$2252,2,FALSE)</f>
        <v>Aakanshi GuptaDeepanshu SharmaKritika Phulli</v>
      </c>
      <c r="D73" s="15">
        <f ca="1">VLOOKUP(B73,'ALL DATABASES'!$A$1:$T$2252,5,FALSE)</f>
        <v>2022</v>
      </c>
      <c r="E73" s="15">
        <f ca="1">VLOOKUP(B73,'ALL DATABASES'!$A$1:$T$2252,10,FALSE)</f>
        <v>0</v>
      </c>
      <c r="F73" s="54" t="str">
        <f ca="1">VLOOKUP(B73,'ALL DATABASES'!$A$1:$T$2252,14,FALSE)</f>
        <v>http://link.springer.com/chapter/10.1007/978-981-19-1111-8_10</v>
      </c>
      <c r="G73" s="15" t="str">
        <f ca="1">VLOOKUP(B73,'ALL DATABASES'!$A$1:$T$2252,3,FALSE)</f>
        <v>Chapter</v>
      </c>
      <c r="H73" s="50" t="str">
        <f ca="1">VLOOKUP(B73,'ALL DATABASES'!$A$1:$T$2252,20,FALSE)</f>
        <v>SPRINGER</v>
      </c>
    </row>
    <row r="74" spans="1:8" ht="12.75" x14ac:dyDescent="0.2">
      <c r="A74">
        <v>73</v>
      </c>
      <c r="B74" s="15" t="str">
        <f ca="1">IFERROR(__xludf.DUMMYFUNCTION("""COMPUTED_VALUE"""),"A Novel Approach to Measure Confidence and Uncertainty in Assurance Cases")</f>
        <v>A Novel Approach to Measure Confidence and Uncertainty in Assurance Cases</v>
      </c>
      <c r="C74" s="15" t="str">
        <f ca="1">VLOOKUP(B74,'ALL DATABASES'!$A$1:$T$2252,2,FALSE)</f>
        <v>Belle AB,Lethbridge TC,Kpodjedo S,Adesina OO,Garzon MA</v>
      </c>
      <c r="D74" s="15">
        <f ca="1">VLOOKUP(B74,'ALL DATABASES'!$A$1:$T$2252,5,FALSE)</f>
        <v>2019</v>
      </c>
      <c r="E74" s="15">
        <f ca="1">VLOOKUP(B74,'ALL DATABASES'!$A$1:$T$2252,10,FALSE)</f>
        <v>2019</v>
      </c>
      <c r="F74" s="54" t="str">
        <f ca="1">VLOOKUP(B74,'ALL DATABASES'!$A$1:$T$2252,14,FALSE)</f>
        <v>https://www.scopus.com/inward/record.uri?eid=2-s2.0-85078009996&amp;doi=10.1109%2fREW.2019.00011&amp;partnerID=40&amp;md5=3d9d8ae9758cb2ce8d3fb6bf3347ffc9;http://dx.doi.org/10.1109/REW.2019.00011</v>
      </c>
      <c r="G74" s="15" t="str">
        <f ca="1">VLOOKUP(B74,'ALL DATABASES'!$A$1:$T$2252,3,FALSE)</f>
        <v>Conference Paper</v>
      </c>
      <c r="H74" s="50" t="str">
        <f ca="1">VLOOKUP(B74,'ALL DATABASES'!$A$1:$T$2252,20,FALSE)</f>
        <v>SCOPUS</v>
      </c>
    </row>
    <row r="75" spans="1:8" ht="12.75" x14ac:dyDescent="0.2">
      <c r="A75">
        <v>74</v>
      </c>
      <c r="B75" s="15" t="str">
        <f ca="1">IFERROR(__xludf.DUMMYFUNCTION("""COMPUTED_VALUE"""),"A Novel Four-Way Approach Designed with Ensemble Feature Selection for Code Smell Detection")</f>
        <v>A Novel Four-Way Approach Designed with Ensemble Feature Selection for Code Smell Detection</v>
      </c>
      <c r="C75" s="15" t="str">
        <f ca="1">VLOOKUP(B75,'ALL DATABASES'!$A$1:$T$2252,2,FALSE)</f>
        <v>Kaur I,Kaur A</v>
      </c>
      <c r="D75" s="15">
        <f ca="1">VLOOKUP(B75,'ALL DATABASES'!$A$1:$T$2252,5,FALSE)</f>
        <v>2021</v>
      </c>
      <c r="E75" s="15">
        <f ca="1">VLOOKUP(B75,'ALL DATABASES'!$A$1:$T$2252,10,FALSE)</f>
        <v>2021</v>
      </c>
      <c r="F75" s="54" t="str">
        <f ca="1">VLOOKUP(B75,'ALL DATABASES'!$A$1:$T$2252,14,FALSE)</f>
        <v>https://www.scopus.com/inward/record.uri?eid=2-s2.0-85106816941&amp;doi=10.1109%2fACCESS.2021.3049823&amp;partnerID=40&amp;md5=bec13ba44e5f67ee6d5e5bfba285ec34;http://dx.doi.org/10.1109/ACCESS.2021.3049823</v>
      </c>
      <c r="G75" s="15" t="str">
        <f ca="1">VLOOKUP(B75,'ALL DATABASES'!$A$1:$T$2252,3,FALSE)</f>
        <v>Journal Article</v>
      </c>
      <c r="H75" s="50" t="str">
        <f ca="1">VLOOKUP(B75,'ALL DATABASES'!$A$1:$T$2252,20,FALSE)</f>
        <v>SCOPUS</v>
      </c>
    </row>
    <row r="76" spans="1:8" ht="12.75" x14ac:dyDescent="0.2">
      <c r="A76">
        <v>75</v>
      </c>
      <c r="B76" s="15" t="str">
        <f ca="1">IFERROR(__xludf.DUMMYFUNCTION("""COMPUTED_VALUE"""),"A participatory data-centric approach to AI Ethics by Design")</f>
        <v>A participatory data-centric approach to AI Ethics by Design</v>
      </c>
      <c r="C76" s="15" t="str">
        <f ca="1">VLOOKUP(B76,'ALL DATABASES'!$A$1:$T$2252,2,FALSE)</f>
        <v>Gerdes A</v>
      </c>
      <c r="D76" s="15">
        <f ca="1">VLOOKUP(B76,'ALL DATABASES'!$A$1:$T$2252,5,FALSE)</f>
        <v>2022</v>
      </c>
      <c r="E76" s="15">
        <f ca="1">VLOOKUP(B76,'ALL DATABASES'!$A$1:$T$2252,10,FALSE)</f>
        <v>2022</v>
      </c>
      <c r="F76" s="54" t="str">
        <f ca="1">VLOOKUP(B76,'ALL DATABASES'!$A$1:$T$2252,14,FALSE)</f>
        <v>https://www.scopus.com/inward/record.uri?eid=2-s2.0-85121394933&amp;doi=10.1080%2f08839514.2021.2009222&amp;partnerID=40&amp;md5=bae762ff03709aaf0fe7fc2212394421;http://dx.doi.org/10.1080/08839514.2021.2009222</v>
      </c>
      <c r="G76" s="15" t="str">
        <f ca="1">VLOOKUP(B76,'ALL DATABASES'!$A$1:$T$2252,3,FALSE)</f>
        <v>Journal Article</v>
      </c>
      <c r="H76" s="50" t="str">
        <f ca="1">VLOOKUP(B76,'ALL DATABASES'!$A$1:$T$2252,20,FALSE)</f>
        <v>SCOPUS</v>
      </c>
    </row>
    <row r="77" spans="1:8" ht="12.75" x14ac:dyDescent="0.2">
      <c r="A77">
        <v>76</v>
      </c>
      <c r="B77" s="15" t="str">
        <f ca="1">IFERROR(__xludf.DUMMYFUNCTION("""COMPUTED_VALUE"""),"A patent registration and trading system based on blockchain")</f>
        <v>A patent registration and trading system based on blockchain</v>
      </c>
      <c r="C77" s="15" t="str">
        <f ca="1">VLOOKUP(B77,'ALL DATABASES'!$A$1:$T$2252,2,FALSE)</f>
        <v>Hu J,Zhu P,Qi Y,Zhu Q,Li X</v>
      </c>
      <c r="D77" s="15">
        <f ca="1">VLOOKUP(B77,'ALL DATABASES'!$A$1:$T$2252,5,FALSE)</f>
        <v>2022</v>
      </c>
      <c r="E77" s="15">
        <f ca="1">VLOOKUP(B77,'ALL DATABASES'!$A$1:$T$2252,10,FALSE)</f>
        <v>2022</v>
      </c>
      <c r="F77" s="54" t="str">
        <f ca="1">VLOOKUP(B77,'ALL DATABASES'!$A$1:$T$2252,14,FALSE)</f>
        <v>https://www.scopus.com/inward/record.uri?eid=2-s2.0-85128300131&amp;doi=10.1016%2fj.eswa.2022.117094&amp;partnerID=40&amp;md5=8abd4d36f0b2f01984d190f731d23a5a;http://dx.doi.org/10.1016/j.eswa.2022.117094</v>
      </c>
      <c r="G77" s="15" t="str">
        <f ca="1">VLOOKUP(B77,'ALL DATABASES'!$A$1:$T$2252,3,FALSE)</f>
        <v>Journal Article</v>
      </c>
      <c r="H77" s="50" t="str">
        <f ca="1">VLOOKUP(B77,'ALL DATABASES'!$A$1:$T$2252,20,FALSE)</f>
        <v>SCOPUS</v>
      </c>
    </row>
    <row r="78" spans="1:8" ht="12.75" x14ac:dyDescent="0.2">
      <c r="A78">
        <v>77</v>
      </c>
      <c r="B78" s="15" t="str">
        <f ca="1">IFERROR(__xludf.DUMMYFUNCTION("""COMPUTED_VALUE"""),"A Platform for Diversity-Driven Test Amplification")</f>
        <v>A Platform for Diversity-Driven Test Amplification</v>
      </c>
      <c r="C78" s="15" t="str">
        <f ca="1">VLOOKUP(B78,'ALL DATABASES'!$A$1:$T$2252,2,FALSE)</f>
        <v>Kessel M,Atkinson C</v>
      </c>
      <c r="D78" s="15">
        <f ca="1">VLOOKUP(B78,'ALL DATABASES'!$A$1:$T$2252,5,FALSE)</f>
        <v>2019</v>
      </c>
      <c r="E78" s="15">
        <f ca="1">VLOOKUP(B78,'ALL DATABASES'!$A$1:$T$2252,10,FALSE)</f>
        <v>2019</v>
      </c>
      <c r="F78" s="54" t="str">
        <f ca="1">VLOOKUP(B78,'ALL DATABASES'!$A$1:$T$2252,14,FALSE)</f>
        <v>https://doi.org/10.1145/3340433.3342825;http://dx.doi.org/10.1145/3340433.3342825</v>
      </c>
      <c r="G78" s="15" t="str">
        <f ca="1">VLOOKUP(B78,'ALL DATABASES'!$A$1:$T$2252,3,FALSE)</f>
        <v>Conference Paper</v>
      </c>
      <c r="H78" s="50" t="str">
        <f ca="1">VLOOKUP(B78,'ALL DATABASES'!$A$1:$T$2252,20,FALSE)</f>
        <v>ACM</v>
      </c>
    </row>
    <row r="79" spans="1:8" ht="12.75" x14ac:dyDescent="0.2">
      <c r="A79">
        <v>78</v>
      </c>
      <c r="B79" s="15" t="str">
        <f ca="1">IFERROR(__xludf.DUMMYFUNCTION("""COMPUTED_VALUE"""),"A preliminary analysis of self-adaptive systems according to different issues")</f>
        <v>A preliminary analysis of self-adaptive systems according to different issues</v>
      </c>
      <c r="C79" s="15" t="str">
        <f ca="1">VLOOKUP(B79,'ALL DATABASES'!$A$1:$T$2252,2,FALSE)</f>
        <v>Claudia RaibuletFrancesca Arcelli FontanaSimone Carettoni</v>
      </c>
      <c r="D79" s="15">
        <f ca="1">VLOOKUP(B79,'ALL DATABASES'!$A$1:$T$2252,5,FALSE)</f>
        <v>2020</v>
      </c>
      <c r="E79" s="15">
        <f ca="1">VLOOKUP(B79,'ALL DATABASES'!$A$1:$T$2252,10,FALSE)</f>
        <v>0</v>
      </c>
      <c r="F79" s="54" t="str">
        <f ca="1">VLOOKUP(B79,'ALL DATABASES'!$A$1:$T$2252,14,FALSE)</f>
        <v>http://link.springer.com/article/10.1007/s11219-020-09502-5</v>
      </c>
      <c r="G79" s="15" t="str">
        <f ca="1">VLOOKUP(B79,'ALL DATABASES'!$A$1:$T$2252,3,FALSE)</f>
        <v>Article</v>
      </c>
      <c r="H79" s="50" t="str">
        <f ca="1">VLOOKUP(B79,'ALL DATABASES'!$A$1:$T$2252,20,FALSE)</f>
        <v>SPRINGER</v>
      </c>
    </row>
    <row r="80" spans="1:8" ht="12.75" x14ac:dyDescent="0.2">
      <c r="A80">
        <v>79</v>
      </c>
      <c r="B80" s="15" t="str">
        <f ca="1">IFERROR(__xludf.DUMMYFUNCTION("""COMPUTED_VALUE"""),"A preliminary investigation of developer profiles based on their activities and code quality: Who does what?")</f>
        <v>A preliminary investigation of developer profiles based on their activities and code quality: Who does what?</v>
      </c>
      <c r="C80" s="15" t="str">
        <f ca="1">VLOOKUP(B80,'ALL DATABASES'!$A$1:$T$2252,2,FALSE)</f>
        <v>Gonzalez CA,Zumel LA,Acero JA,Lenarduzzi V,Martincz-Femandez S,Rodriguez SR</v>
      </c>
      <c r="D80" s="15">
        <f ca="1">VLOOKUP(B80,'ALL DATABASES'!$A$1:$T$2252,5,FALSE)</f>
        <v>2021</v>
      </c>
      <c r="E80" s="15">
        <f ca="1">VLOOKUP(B80,'ALL DATABASES'!$A$1:$T$2252,10,FALSE)</f>
        <v>2021</v>
      </c>
      <c r="F80" s="54" t="str">
        <f ca="1">VLOOKUP(B80,'ALL DATABASES'!$A$1:$T$2252,14,FALSE)</f>
        <v>https://www.scopus.com/inward/record.uri?eid=2-s2.0-85141430282&amp;doi=10.1109%2fQRS54544.2021.00103&amp;partnerID=40&amp;md5=b6d0f6795eecbed78733249832cfaa95;http://dx.doi.org/10.1109/QRS54544.2021.00103</v>
      </c>
      <c r="G80" s="15" t="str">
        <f ca="1">VLOOKUP(B80,'ALL DATABASES'!$A$1:$T$2252,3,FALSE)</f>
        <v>Conference Paper</v>
      </c>
      <c r="H80" s="50" t="str">
        <f ca="1">VLOOKUP(B80,'ALL DATABASES'!$A$1:$T$2252,20,FALSE)</f>
        <v>SCOPUS</v>
      </c>
    </row>
    <row r="81" spans="1:8" ht="12.75" x14ac:dyDescent="0.2">
      <c r="A81">
        <v>80</v>
      </c>
      <c r="B81" s="15" t="str">
        <f ca="1">IFERROR(__xludf.DUMMYFUNCTION("""COMPUTED_VALUE"""),"A preliminary investigation of self-Admitted refactorings in open source software")</f>
        <v>A preliminary investigation of self-Admitted refactorings in open source software</v>
      </c>
      <c r="C81" s="15" t="str">
        <f ca="1">VLOOKUP(B81,'ALL DATABASES'!$A$1:$T$2252,2,FALSE)</f>
        <v>Zhang D,Li B,Li Z,Liang P</v>
      </c>
      <c r="D81" s="15">
        <f ca="1">VLOOKUP(B81,'ALL DATABASES'!$A$1:$T$2252,5,FALSE)</f>
        <v>2018</v>
      </c>
      <c r="E81" s="15">
        <f ca="1">VLOOKUP(B81,'ALL DATABASES'!$A$1:$T$2252,10,FALSE)</f>
        <v>2018</v>
      </c>
      <c r="F81" s="54" t="str">
        <f ca="1">VLOOKUP(B81,'ALL DATABASES'!$A$1:$T$2252,14,FALSE)</f>
        <v>https://www.scopus.com/inward/record.uri?eid=2-s2.0-85056883561&amp;doi=10.18293%2fSEKE2018-081&amp;partnerID=40&amp;md5=58e6161dc9a55d903b889ce41da3d294;http://dx.doi.org/10.18293/SEKE2018-081</v>
      </c>
      <c r="G81" s="15" t="str">
        <f ca="1">VLOOKUP(B81,'ALL DATABASES'!$A$1:$T$2252,3,FALSE)</f>
        <v>Conference Paper</v>
      </c>
      <c r="H81" s="50" t="str">
        <f ca="1">VLOOKUP(B81,'ALL DATABASES'!$A$1:$T$2252,20,FALSE)</f>
        <v>SCOPUS</v>
      </c>
    </row>
    <row r="82" spans="1:8" ht="12.75" x14ac:dyDescent="0.2">
      <c r="A82">
        <v>81</v>
      </c>
      <c r="B82" s="15" t="str">
        <f ca="1">IFERROR(__xludf.DUMMYFUNCTION("""COMPUTED_VALUE"""),"A Preliminary Study on the Adequacy of Static Analysis Warnings with Respect to Code Smell Prediction")</f>
        <v>A Preliminary Study on the Adequacy of Static Analysis Warnings with Respect to Code Smell Prediction</v>
      </c>
      <c r="C82" s="15" t="str">
        <f ca="1">VLOOKUP(B82,'ALL DATABASES'!$A$1:$T$2252,2,FALSE)</f>
        <v>Lujan S,Pecorelli F,Palomba F,De Lucia A,Lenarduzzi V</v>
      </c>
      <c r="D82" s="15">
        <f ca="1">VLOOKUP(B82,'ALL DATABASES'!$A$1:$T$2252,5,FALSE)</f>
        <v>2020</v>
      </c>
      <c r="E82" s="15">
        <f ca="1">VLOOKUP(B82,'ALL DATABASES'!$A$1:$T$2252,10,FALSE)</f>
        <v>2020</v>
      </c>
      <c r="F82" s="54" t="str">
        <f ca="1">VLOOKUP(B82,'ALL DATABASES'!$A$1:$T$2252,14,FALSE)</f>
        <v>https://doi.org/10.1145/3416505.3423559;http://dx.doi.org/10.1145/3416505.3423559</v>
      </c>
      <c r="G82" s="15" t="str">
        <f ca="1">VLOOKUP(B82,'ALL DATABASES'!$A$1:$T$2252,3,FALSE)</f>
        <v>Conference Paper</v>
      </c>
      <c r="H82" s="50" t="str">
        <f ca="1">VLOOKUP(B82,'ALL DATABASES'!$A$1:$T$2252,20,FALSE)</f>
        <v>ACM</v>
      </c>
    </row>
    <row r="83" spans="1:8" ht="12.75" x14ac:dyDescent="0.2">
      <c r="A83">
        <v>82</v>
      </c>
      <c r="B83" s="15" t="str">
        <f ca="1">IFERROR(__xludf.DUMMYFUNCTION("""COMPUTED_VALUE"""),"A Proposal to Systematize Introducing DevOps into the Software Development Process")</f>
        <v>A Proposal to Systematize Introducing DevOps into the Software Development Process</v>
      </c>
      <c r="C83" s="15" t="str">
        <f ca="1">VLOOKUP(B83,'ALL DATABASES'!$A$1:$T$2252,2,FALSE)</f>
        <v>de Aguiar Monteiro L</v>
      </c>
      <c r="D83" s="15">
        <f ca="1">VLOOKUP(B83,'ALL DATABASES'!$A$1:$T$2252,5,FALSE)</f>
        <v>2021</v>
      </c>
      <c r="E83" s="15">
        <f ca="1">VLOOKUP(B83,'ALL DATABASES'!$A$1:$T$2252,10,FALSE)</f>
        <v>2021</v>
      </c>
      <c r="F83" s="54" t="str">
        <f ca="1">VLOOKUP(B83,'ALL DATABASES'!$A$1:$T$2252,14,FALSE)</f>
        <v>https://doi.org/10.1109/ICSE-Companion52605.2021.00124;http://dx.doi.org/10.1109/ICSE-Companion52605.2021.00124</v>
      </c>
      <c r="G83" s="15" t="str">
        <f ca="1">VLOOKUP(B83,'ALL DATABASES'!$A$1:$T$2252,3,FALSE)</f>
        <v>Conference Paper</v>
      </c>
      <c r="H83" s="50" t="str">
        <f ca="1">VLOOKUP(B83,'ALL DATABASES'!$A$1:$T$2252,20,FALSE)</f>
        <v>ACM</v>
      </c>
    </row>
    <row r="84" spans="1:8" ht="12.75" x14ac:dyDescent="0.2">
      <c r="A84">
        <v>83</v>
      </c>
      <c r="B84" s="15" t="str">
        <f ca="1">IFERROR(__xludf.DUMMYFUNCTION("""COMPUTED_VALUE"""),"A Proposed Model-Driven Approach to Manage Architectural Technical Debt Life Cycle")</f>
        <v>A Proposed Model-Driven Approach to Manage Architectural Technical Debt Life Cycle</v>
      </c>
      <c r="C84" s="15" t="str">
        <f ca="1">VLOOKUP(B84,'ALL DATABASES'!$A$1:$T$2252,2,FALSE)</f>
        <v>Perez B,Correal D,Astudillo H</v>
      </c>
      <c r="D84" s="15">
        <f ca="1">VLOOKUP(B84,'ALL DATABASES'!$A$1:$T$2252,5,FALSE)</f>
        <v>2019</v>
      </c>
      <c r="E84" s="15">
        <f ca="1">VLOOKUP(B84,'ALL DATABASES'!$A$1:$T$2252,10,FALSE)</f>
        <v>2019</v>
      </c>
      <c r="F84" s="54" t="str">
        <f ca="1">VLOOKUP(B84,'ALL DATABASES'!$A$1:$T$2252,14,FALSE)</f>
        <v>https://www.scopus.com/inward/record.uri?eid=2-s2.0-85071146151&amp;doi=10.1109%2fTechDebt.2019.00025&amp;partnerID=40&amp;md5=a6bf5dc2c6baf5b49904d2b7fb3432d3;http://dx.doi.org/10.1109/TechDebt.2019.00025</v>
      </c>
      <c r="G84" s="15" t="str">
        <f ca="1">VLOOKUP(B84,'ALL DATABASES'!$A$1:$T$2252,3,FALSE)</f>
        <v>Conference Paper</v>
      </c>
      <c r="H84" s="50" t="str">
        <f ca="1">VLOOKUP(B84,'ALL DATABASES'!$A$1:$T$2252,20,FALSE)</f>
        <v>SCOPUS</v>
      </c>
    </row>
    <row r="85" spans="1:8" ht="12.75" x14ac:dyDescent="0.2">
      <c r="A85">
        <v>84</v>
      </c>
      <c r="B85" s="15" t="str">
        <f ca="1">IFERROR(__xludf.DUMMYFUNCTION("""COMPUTED_VALUE"""),"A Puzzle concerning Compositionality in Machines")</f>
        <v>A Puzzle concerning Compositionality in Machines</v>
      </c>
      <c r="C85" s="15" t="str">
        <f ca="1">VLOOKUP(B85,'ALL DATABASES'!$A$1:$T$2252,2,FALSE)</f>
        <v>Nefdt RM</v>
      </c>
      <c r="D85" s="15">
        <f ca="1">VLOOKUP(B85,'ALL DATABASES'!$A$1:$T$2252,5,FALSE)</f>
        <v>2020</v>
      </c>
      <c r="E85" s="15">
        <f ca="1">VLOOKUP(B85,'ALL DATABASES'!$A$1:$T$2252,10,FALSE)</f>
        <v>2020</v>
      </c>
      <c r="F85" s="54" t="str">
        <f ca="1">VLOOKUP(B85,'ALL DATABASES'!$A$1:$T$2252,14,FALSE)</f>
        <v>https://www.scopus.com/inward/record.uri?eid=2-s2.0-85079738831&amp;doi=10.1007%2fs11023-020-09519-6&amp;partnerID=40&amp;md5=63f43e272d732d100e4a5d83ec52f810;http://dx.doi.org/10.1007/s11023-020-09519-6</v>
      </c>
      <c r="G85" s="15" t="str">
        <f ca="1">VLOOKUP(B85,'ALL DATABASES'!$A$1:$T$2252,3,FALSE)</f>
        <v>Journal Article</v>
      </c>
      <c r="H85" s="50" t="str">
        <f ca="1">VLOOKUP(B85,'ALL DATABASES'!$A$1:$T$2252,20,FALSE)</f>
        <v>SCOPUS</v>
      </c>
    </row>
    <row r="86" spans="1:8" ht="12.75" x14ac:dyDescent="0.2">
      <c r="A86">
        <v>85</v>
      </c>
      <c r="B86" s="15" t="str">
        <f ca="1">IFERROR(__xludf.DUMMYFUNCTION("""COMPUTED_VALUE"""),"A qualitative study of Machine Learning practices and engineering challenges in Earth Observation")</f>
        <v>A qualitative study of Machine Learning practices and engineering challenges in Earth Observation</v>
      </c>
      <c r="C86" s="15" t="str">
        <f ca="1">VLOOKUP(B86,'ALL DATABASES'!$A$1:$T$2252,2,FALSE)</f>
        <v>Jentzsch S,Hochgeschwender N</v>
      </c>
      <c r="D86" s="15">
        <f ca="1">VLOOKUP(B86,'ALL DATABASES'!$A$1:$T$2252,5,FALSE)</f>
        <v>2021</v>
      </c>
      <c r="E86" s="15">
        <f ca="1">VLOOKUP(B86,'ALL DATABASES'!$A$1:$T$2252,10,FALSE)</f>
        <v>2021</v>
      </c>
      <c r="F86" s="54" t="str">
        <f ca="1">VLOOKUP(B86,'ALL DATABASES'!$A$1:$T$2252,14,FALSE)</f>
        <v>https://www.scopus.com/inward/record.uri?eid=2-s2.0-85111779360&amp;doi=10.1515%2fitit-2020-0045&amp;partnerID=40&amp;md5=7bd5e680aee015e6562ce010d11a8a07;http://dx.doi.org/10.1515/itit-2020-0045</v>
      </c>
      <c r="G86" s="15" t="str">
        <f ca="1">VLOOKUP(B86,'ALL DATABASES'!$A$1:$T$2252,3,FALSE)</f>
        <v>Journal Article</v>
      </c>
      <c r="H86" s="50" t="str">
        <f ca="1">VLOOKUP(B86,'ALL DATABASES'!$A$1:$T$2252,20,FALSE)</f>
        <v>SCOPUS</v>
      </c>
    </row>
    <row r="87" spans="1:8" ht="12.75" x14ac:dyDescent="0.2">
      <c r="A87">
        <v>86</v>
      </c>
      <c r="B87" s="15" t="str">
        <f ca="1">IFERROR(__xludf.DUMMYFUNCTION("""COMPUTED_VALUE"""),"A Quality Model for Actionable Analytics in Rapid Software Development")</f>
        <v>A Quality Model for Actionable Analytics in Rapid Software Development</v>
      </c>
      <c r="C87" s="15" t="str">
        <f ca="1">VLOOKUP(B87,'ALL DATABASES'!$A$1:$T$2252,2,FALSE)</f>
        <v>Martínez-Fernández S,Jedlitschka A,Guzmán L,Vollmer AM</v>
      </c>
      <c r="D87" s="15">
        <f ca="1">VLOOKUP(B87,'ALL DATABASES'!$A$1:$T$2252,5,FALSE)</f>
        <v>2018</v>
      </c>
      <c r="E87" s="55">
        <f ca="1">VLOOKUP(B87,'ALL DATABASES'!$A$1:$T$2252,10,FALSE)</f>
        <v>43313</v>
      </c>
      <c r="F87" s="54" t="str">
        <f ca="1">VLOOKUP(B87,'ALL DATABASES'!$A$1:$T$2252,14,FALSE)</f>
        <v>http://dx.doi.org/10.1109/SEAA.2018.00067</v>
      </c>
      <c r="G87" s="15" t="str">
        <f ca="1">VLOOKUP(B87,'ALL DATABASES'!$A$1:$T$2252,3,FALSE)</f>
        <v>Conference Paper</v>
      </c>
      <c r="H87" s="50" t="str">
        <f ca="1">VLOOKUP(B87,'ALL DATABASES'!$A$1:$T$2252,20,FALSE)</f>
        <v>IEEE</v>
      </c>
    </row>
    <row r="88" spans="1:8" ht="12.75" x14ac:dyDescent="0.2">
      <c r="A88">
        <v>87</v>
      </c>
      <c r="B88" s="15" t="str">
        <f ca="1">IFERROR(__xludf.DUMMYFUNCTION("""COMPUTED_VALUE"""),"A reference architecture for the operationalization of machine learning models in manufacturing")</f>
        <v>A reference architecture for the operationalization of machine learning models in manufacturing</v>
      </c>
      <c r="C88" s="15" t="str">
        <f ca="1">VLOOKUP(B88,'ALL DATABASES'!$A$1:$T$2252,2,FALSE)</f>
        <v>Raffin T,Reichenstein T,Werner J,Kühl A,Franke J</v>
      </c>
      <c r="D88" s="15">
        <f ca="1">VLOOKUP(B88,'ALL DATABASES'!$A$1:$T$2252,5,FALSE)</f>
        <v>2022</v>
      </c>
      <c r="E88" s="15">
        <f ca="1">VLOOKUP(B88,'ALL DATABASES'!$A$1:$T$2252,10,FALSE)</f>
        <v>2022</v>
      </c>
      <c r="F88" s="54" t="str">
        <f ca="1">VLOOKUP(B88,'ALL DATABASES'!$A$1:$T$2252,14,FALSE)</f>
        <v>https://www.sciencedirect.com/science/article/pii/S2212827122014974;http://dx.doi.org/10.1016/j.procir.2022.10.062</v>
      </c>
      <c r="G88" s="15" t="str">
        <f ca="1">VLOOKUP(B88,'ALL DATABASES'!$A$1:$T$2252,3,FALSE)</f>
        <v>Journal Article</v>
      </c>
      <c r="H88" s="50" t="str">
        <f ca="1">VLOOKUP(B88,'ALL DATABASES'!$A$1:$T$2252,20,FALSE)</f>
        <v>SCIENCEDIRECT</v>
      </c>
    </row>
    <row r="89" spans="1:8" ht="12.75" x14ac:dyDescent="0.2">
      <c r="A89">
        <v>88</v>
      </c>
      <c r="B89" s="15" t="str">
        <f ca="1">IFERROR(__xludf.DUMMYFUNCTION("""COMPUTED_VALUE"""),"A Replicated Study on Relationship Between Code Quality and Method Comments")</f>
        <v>A Replicated Study on Relationship Between Code Quality and Method Comments</v>
      </c>
      <c r="C89" s="15" t="str">
        <f ca="1">VLOOKUP(B89,'ALL DATABASES'!$A$1:$T$2252,2,FALSE)</f>
        <v>Yuto MiyakeSousuke AmasakiHirohisa AmanTomoyuki Yokogawa</v>
      </c>
      <c r="D89" s="15">
        <f ca="1">VLOOKUP(B89,'ALL DATABASES'!$A$1:$T$2252,5,FALSE)</f>
        <v>2017</v>
      </c>
      <c r="E89" s="15">
        <f ca="1">VLOOKUP(B89,'ALL DATABASES'!$A$1:$T$2252,10,FALSE)</f>
        <v>0</v>
      </c>
      <c r="F89" s="54" t="str">
        <f ca="1">VLOOKUP(B89,'ALL DATABASES'!$A$1:$T$2252,14,FALSE)</f>
        <v>http://link.springer.com/chapter/10.1007/978-3-319-51472-7_2</v>
      </c>
      <c r="G89" s="15" t="str">
        <f ca="1">VLOOKUP(B89,'ALL DATABASES'!$A$1:$T$2252,3,FALSE)</f>
        <v>Chapter</v>
      </c>
      <c r="H89" s="50" t="str">
        <f ca="1">VLOOKUP(B89,'ALL DATABASES'!$A$1:$T$2252,20,FALSE)</f>
        <v>SPRINGER</v>
      </c>
    </row>
    <row r="90" spans="1:8" ht="12.75" x14ac:dyDescent="0.2">
      <c r="A90">
        <v>89</v>
      </c>
      <c r="B90" s="15" t="str">
        <f ca="1">IFERROR(__xludf.DUMMYFUNCTION("""COMPUTED_VALUE"""),"A Review of Open Source Software Maintenance Effort Estimation")</f>
        <v>A Review of Open Source Software Maintenance Effort Estimation</v>
      </c>
      <c r="C90" s="15" t="str">
        <f ca="1">VLOOKUP(B90,'ALL DATABASES'!$A$1:$T$2252,2,FALSE)</f>
        <v>Miloudi C,Cheikhi L,Idri A</v>
      </c>
      <c r="D90" s="15">
        <f ca="1">VLOOKUP(B90,'ALL DATABASES'!$A$1:$T$2252,5,FALSE)</f>
        <v>2020</v>
      </c>
      <c r="E90" s="15">
        <f ca="1">VLOOKUP(B90,'ALL DATABASES'!$A$1:$T$2252,10,FALSE)</f>
        <v>2020</v>
      </c>
      <c r="F90" s="54" t="str">
        <f ca="1">VLOOKUP(B90,'ALL DATABASES'!$A$1:$T$2252,14,FALSE)</f>
        <v>https://doi.org/10.1145/3419604.3419809;http://dx.doi.org/10.1145/3419604.3419809</v>
      </c>
      <c r="G90" s="15" t="str">
        <f ca="1">VLOOKUP(B90,'ALL DATABASES'!$A$1:$T$2252,3,FALSE)</f>
        <v>Conference Paper</v>
      </c>
      <c r="H90" s="50" t="str">
        <f ca="1">VLOOKUP(B90,'ALL DATABASES'!$A$1:$T$2252,20,FALSE)</f>
        <v>ACM</v>
      </c>
    </row>
    <row r="91" spans="1:8" ht="12.75" x14ac:dyDescent="0.2">
      <c r="A91">
        <v>90</v>
      </c>
      <c r="B91" s="15" t="str">
        <f ca="1">IFERROR(__xludf.DUMMYFUNCTION("""COMPUTED_VALUE"""),"A Review on Hidden Debts in Machine Learning Systems")</f>
        <v>A Review on Hidden Debts in Machine Learning Systems</v>
      </c>
      <c r="C91" s="15" t="str">
        <f ca="1">VLOOKUP(B91,'ALL DATABASES'!$A$1:$T$2252,2,FALSE)</f>
        <v>Chaudhary DK,Srivastava S,Kumar V</v>
      </c>
      <c r="D91" s="15">
        <f ca="1">VLOOKUP(B91,'ALL DATABASES'!$A$1:$T$2252,5,FALSE)</f>
        <v>2018</v>
      </c>
      <c r="E91" s="55">
        <f ca="1">VLOOKUP(B91,'ALL DATABASES'!$A$1:$T$2252,10,FALSE)</f>
        <v>43313</v>
      </c>
      <c r="F91" s="54" t="str">
        <f ca="1">VLOOKUP(B91,'ALL DATABASES'!$A$1:$T$2252,14,FALSE)</f>
        <v>http://dx.doi.org/10.1109/ICGCIoT.2018.8753081</v>
      </c>
      <c r="G91" s="15" t="str">
        <f ca="1">VLOOKUP(B91,'ALL DATABASES'!$A$1:$T$2252,3,FALSE)</f>
        <v>Conference Paper</v>
      </c>
      <c r="H91" s="50" t="str">
        <f ca="1">VLOOKUP(B91,'ALL DATABASES'!$A$1:$T$2252,20,FALSE)</f>
        <v>IEEE</v>
      </c>
    </row>
    <row r="92" spans="1:8" ht="12.75" x14ac:dyDescent="0.2">
      <c r="A92">
        <v>91</v>
      </c>
      <c r="B92" s="15" t="str">
        <f ca="1">IFERROR(__xludf.DUMMYFUNCTION("""COMPUTED_VALUE"""),"A review on search-based tools and techniques to identify bad code smells in object-oriented systems")</f>
        <v>A review on search-based tools and techniques to identify bad code smells in object-oriented systems</v>
      </c>
      <c r="C92" s="15" t="str">
        <f ca="1">VLOOKUP(B92,'ALL DATABASES'!$A$1:$T$2252,2,FALSE)</f>
        <v>Kaur A,Dhiman G</v>
      </c>
      <c r="D92" s="15">
        <f ca="1">VLOOKUP(B92,'ALL DATABASES'!$A$1:$T$2252,5,FALSE)</f>
        <v>2019</v>
      </c>
      <c r="E92" s="15">
        <f ca="1">VLOOKUP(B92,'ALL DATABASES'!$A$1:$T$2252,10,FALSE)</f>
        <v>2019</v>
      </c>
      <c r="F92" s="54" t="str">
        <f ca="1">VLOOKUP(B92,'ALL DATABASES'!$A$1:$T$2252,14,FALSE)</f>
        <v>https://www.scopus.com/inward/record.uri?eid=2-s2.0-85053250705&amp;doi=10.1007%2f978-981-13-0761-4_86&amp;partnerID=40&amp;md5=83df076c0c8371cc0f82cc2139fc4ad1;http://dx.doi.org/10.1007/978-981-13-0761-4_86</v>
      </c>
      <c r="G92" s="15" t="str">
        <f ca="1">VLOOKUP(B92,'ALL DATABASES'!$A$1:$T$2252,3,FALSE)</f>
        <v>Journal Article</v>
      </c>
      <c r="H92" s="50" t="str">
        <f ca="1">VLOOKUP(B92,'ALL DATABASES'!$A$1:$T$2252,20,FALSE)</f>
        <v>SCOPUS</v>
      </c>
    </row>
    <row r="93" spans="1:8" ht="12.75" x14ac:dyDescent="0.2">
      <c r="A93">
        <v>92</v>
      </c>
      <c r="B93" s="15" t="str">
        <f ca="1">IFERROR(__xludf.DUMMYFUNCTION("""COMPUTED_VALUE"""),"A review-based comparative study of bad smell detection tools")</f>
        <v>A review-based comparative study of bad smell detection tools</v>
      </c>
      <c r="C93" s="15" t="str">
        <f ca="1">VLOOKUP(B93,'ALL DATABASES'!$A$1:$T$2252,2,FALSE)</f>
        <v>Fernandes E,Oliveira J,Vale G,Paiva T,Figueiredo E</v>
      </c>
      <c r="D93" s="15">
        <f ca="1">VLOOKUP(B93,'ALL DATABASES'!$A$1:$T$2252,5,FALSE)</f>
        <v>2016</v>
      </c>
      <c r="E93" s="15">
        <f ca="1">VLOOKUP(B93,'ALL DATABASES'!$A$1:$T$2252,10,FALSE)</f>
        <v>2016</v>
      </c>
      <c r="F93" s="54" t="str">
        <f ca="1">VLOOKUP(B93,'ALL DATABASES'!$A$1:$T$2252,14,FALSE)</f>
        <v>https://www.scopus.com/inward/record.uri?eid=2-s2.0-84978468668&amp;doi=10.1145%2f2915970.2915984&amp;partnerID=40&amp;md5=66656129f0a56049b884530f9336e2ed;http://dx.doi.org/10.1145/2915970.2915984</v>
      </c>
      <c r="G93" s="15" t="str">
        <f ca="1">VLOOKUP(B93,'ALL DATABASES'!$A$1:$T$2252,3,FALSE)</f>
        <v>Conference Paper</v>
      </c>
      <c r="H93" s="50" t="str">
        <f ca="1">VLOOKUP(B93,'ALL DATABASES'!$A$1:$T$2252,20,FALSE)</f>
        <v>SCOPUS</v>
      </c>
    </row>
    <row r="94" spans="1:8" ht="12.75" x14ac:dyDescent="0.2">
      <c r="A94">
        <v>93</v>
      </c>
      <c r="B94" s="15" t="str">
        <f ca="1">IFERROR(__xludf.DUMMYFUNCTION("""COMPUTED_VALUE"""),"A scaffolding approach to coreference resolution integrating statistical and rule-based models")</f>
        <v>A scaffolding approach to coreference resolution integrating statistical and rule-based models</v>
      </c>
      <c r="C94" s="15" t="str">
        <f ca="1">VLOOKUP(B94,'ALL DATABASES'!$A$1:$T$2252,2,FALSE)</f>
        <v>Lee H,Surdeanu M,Jurafsky D</v>
      </c>
      <c r="D94" s="15">
        <f ca="1">VLOOKUP(B94,'ALL DATABASES'!$A$1:$T$2252,5,FALSE)</f>
        <v>2017</v>
      </c>
      <c r="E94" s="15">
        <f ca="1">VLOOKUP(B94,'ALL DATABASES'!$A$1:$T$2252,10,FALSE)</f>
        <v>2017</v>
      </c>
      <c r="F94" s="54" t="str">
        <f ca="1">VLOOKUP(B94,'ALL DATABASES'!$A$1:$T$2252,14,FALSE)</f>
        <v>https://www.scopus.com/inward/record.uri?eid=2-s2.0-85015651775&amp;doi=10.1017%2fS1351324917000109&amp;partnerID=40&amp;md5=249ae62e1dad021e42fd1bacfa0876f0;http://dx.doi.org/10.1017/S1351324917000109</v>
      </c>
      <c r="G94" s="15" t="str">
        <f ca="1">VLOOKUP(B94,'ALL DATABASES'!$A$1:$T$2252,3,FALSE)</f>
        <v>Journal Article</v>
      </c>
      <c r="H94" s="50" t="str">
        <f ca="1">VLOOKUP(B94,'ALL DATABASES'!$A$1:$T$2252,20,FALSE)</f>
        <v>SCOPUS</v>
      </c>
    </row>
    <row r="95" spans="1:8" ht="12.75" x14ac:dyDescent="0.2">
      <c r="A95">
        <v>94</v>
      </c>
      <c r="B95" s="15" t="str">
        <f ca="1">IFERROR(__xludf.DUMMYFUNCTION("""COMPUTED_VALUE"""),"A Semiautomatic Approach to Identify Architectural Technical Debt from Heterogeneous Artifacts")</f>
        <v>A Semiautomatic Approach to Identify Architectural Technical Debt from Heterogeneous Artifacts</v>
      </c>
      <c r="C95" s="15" t="str">
        <f ca="1">VLOOKUP(B95,'ALL DATABASES'!$A$1:$T$2252,2,FALSE)</f>
        <v>Boris PÃ©rez</v>
      </c>
      <c r="D95" s="15">
        <f ca="1">VLOOKUP(B95,'ALL DATABASES'!$A$1:$T$2252,5,FALSE)</f>
        <v>2020</v>
      </c>
      <c r="E95" s="15">
        <f ca="1">VLOOKUP(B95,'ALL DATABASES'!$A$1:$T$2252,10,FALSE)</f>
        <v>0</v>
      </c>
      <c r="F95" s="54" t="str">
        <f ca="1">VLOOKUP(B95,'ALL DATABASES'!$A$1:$T$2252,14,FALSE)</f>
        <v>http://link.springer.com/chapter/10.1007/978-3-030-59155-7_1</v>
      </c>
      <c r="G95" s="15" t="str">
        <f ca="1">VLOOKUP(B95,'ALL DATABASES'!$A$1:$T$2252,3,FALSE)</f>
        <v>Chapter</v>
      </c>
      <c r="H95" s="50" t="str">
        <f ca="1">VLOOKUP(B95,'ALL DATABASES'!$A$1:$T$2252,20,FALSE)</f>
        <v>SPRINGER</v>
      </c>
    </row>
    <row r="96" spans="1:8" ht="12.75" x14ac:dyDescent="0.2">
      <c r="A96">
        <v>95</v>
      </c>
      <c r="B96" s="15" t="str">
        <f ca="1">IFERROR(__xludf.DUMMYFUNCTION("""COMPUTED_VALUE"""),"A Sequential Comparative Analysis of Software Change Proneness Prediction Using Machine Learning")</f>
        <v>A Sequential Comparative Analysis of Software Change Proneness Prediction Using Machine Learning</v>
      </c>
      <c r="C96" s="15" t="str">
        <f ca="1">VLOOKUP(B96,'ALL DATABASES'!$A$1:$T$2252,2,FALSE)</f>
        <v>Abbas R,Albalooshi FA</v>
      </c>
      <c r="D96" s="15">
        <f ca="1">VLOOKUP(B96,'ALL DATABASES'!$A$1:$T$2252,5,FALSE)</f>
        <v>2022</v>
      </c>
      <c r="E96" s="15" t="str">
        <f ca="1">VLOOKUP(B96,'ALL DATABASES'!$A$1:$T$2252,10,FALSE)</f>
        <v>JAN-MAR 2022</v>
      </c>
      <c r="F96" s="54" t="str">
        <f ca="1">VLOOKUP(B96,'ALL DATABASES'!$A$1:$T$2252,14,FALSE)</f>
        <v>http://dx.doi.org/10.4018/IJSI.297993</v>
      </c>
      <c r="G96" s="15" t="str">
        <f ca="1">VLOOKUP(B96,'ALL DATABASES'!$A$1:$T$2252,3,FALSE)</f>
        <v>Journal Article</v>
      </c>
      <c r="H96" s="50" t="str">
        <f ca="1">VLOOKUP(B96,'ALL DATABASES'!$A$1:$T$2252,20,FALSE)</f>
        <v>WoS</v>
      </c>
    </row>
    <row r="97" spans="1:8" ht="12.75" x14ac:dyDescent="0.2">
      <c r="A97">
        <v>96</v>
      </c>
      <c r="B97" s="15" t="str">
        <f ca="1">IFERROR(__xludf.DUMMYFUNCTION("""COMPUTED_VALUE"""),"A Severity-Based Classification Assessment of Code Smells in Kotlin and Java Application")</f>
        <v>A Severity-Based Classification Assessment of Code Smells in Kotlin and Java Application</v>
      </c>
      <c r="C97" s="15" t="str">
        <f ca="1">VLOOKUP(B97,'ALL DATABASES'!$A$1:$T$2252,2,FALSE)</f>
        <v>Aakanshi GuptaNidhi Kumari Chauhan</v>
      </c>
      <c r="D97" s="15">
        <f ca="1">VLOOKUP(B97,'ALL DATABASES'!$A$1:$T$2252,5,FALSE)</f>
        <v>2022</v>
      </c>
      <c r="E97" s="15">
        <f ca="1">VLOOKUP(B97,'ALL DATABASES'!$A$1:$T$2252,10,FALSE)</f>
        <v>0</v>
      </c>
      <c r="F97" s="54" t="str">
        <f ca="1">VLOOKUP(B97,'ALL DATABASES'!$A$1:$T$2252,14,FALSE)</f>
        <v>http://link.springer.com/article/10.1007/s13369-021-06077-6</v>
      </c>
      <c r="G97" s="15" t="str">
        <f ca="1">VLOOKUP(B97,'ALL DATABASES'!$A$1:$T$2252,3,FALSE)</f>
        <v>Article</v>
      </c>
      <c r="H97" s="50" t="str">
        <f ca="1">VLOOKUP(B97,'ALL DATABASES'!$A$1:$T$2252,20,FALSE)</f>
        <v>SPRINGER</v>
      </c>
    </row>
    <row r="98" spans="1:8" ht="12.75" x14ac:dyDescent="0.2">
      <c r="A98">
        <v>97</v>
      </c>
      <c r="B98" s="15" t="str">
        <f ca="1">IFERROR(__xludf.DUMMYFUNCTION("""COMPUTED_VALUE"""),"A software engineering perspective on building production-ready machine learning systems")</f>
        <v>A software engineering perspective on building production-ready machine learning systems</v>
      </c>
      <c r="C98" s="15" t="str">
        <f ca="1">VLOOKUP(B98,'ALL DATABASES'!$A$1:$T$2252,2,FALSE)</f>
        <v>Heck P,Schouten G,Cruz L</v>
      </c>
      <c r="D98" s="15">
        <f ca="1">VLOOKUP(B98,'ALL DATABASES'!$A$1:$T$2252,5,FALSE)</f>
        <v>2021</v>
      </c>
      <c r="E98" s="15">
        <f ca="1">VLOOKUP(B98,'ALL DATABASES'!$A$1:$T$2252,10,FALSE)</f>
        <v>2021</v>
      </c>
      <c r="F98" s="54" t="str">
        <f ca="1">VLOOKUP(B98,'ALL DATABASES'!$A$1:$T$2252,14,FALSE)</f>
        <v>https://www.scopus.com/inward/record.uri?eid=2-s2.0-85113229165&amp;doi=10.4018%2f978-1-7998-6985-6.ch002&amp;partnerID=40&amp;md5=0c2583157b8c5dc3f4a9a18b611d9b1d;http://dx.doi.org/10.4018/978-1-7998-6985-6.ch002</v>
      </c>
      <c r="G98" s="15" t="str">
        <f ca="1">VLOOKUP(B98,'ALL DATABASES'!$A$1:$T$2252,3,FALSE)</f>
        <v>Book</v>
      </c>
      <c r="H98" s="50" t="str">
        <f ca="1">VLOOKUP(B98,'ALL DATABASES'!$A$1:$T$2252,20,FALSE)</f>
        <v>SCOPUS</v>
      </c>
    </row>
    <row r="99" spans="1:8" ht="12.75" x14ac:dyDescent="0.2">
      <c r="A99">
        <v>98</v>
      </c>
      <c r="B99" s="15" t="str">
        <f ca="1">IFERROR(__xludf.DUMMYFUNCTION("""COMPUTED_VALUE"""),"A software engineering perspective on engineering machine learning systems: State of the art and challenges")</f>
        <v>A software engineering perspective on engineering machine learning systems: State of the art and challenges</v>
      </c>
      <c r="C99" s="15" t="str">
        <f ca="1">VLOOKUP(B99,'ALL DATABASES'!$A$1:$T$2252,2,FALSE)</f>
        <v>Giray G</v>
      </c>
      <c r="D99" s="15">
        <f ca="1">VLOOKUP(B99,'ALL DATABASES'!$A$1:$T$2252,5,FALSE)</f>
        <v>2021</v>
      </c>
      <c r="E99" s="15">
        <f ca="1">VLOOKUP(B99,'ALL DATABASES'!$A$1:$T$2252,10,FALSE)</f>
        <v>2021</v>
      </c>
      <c r="F99" s="54" t="str">
        <f ca="1">VLOOKUP(B99,'ALL DATABASES'!$A$1:$T$2252,14,FALSE)</f>
        <v>https://www.sciencedirect.com/science/article/pii/S016412122100128X;http://dx.doi.org/10.1016/j.jss.2021.111031</v>
      </c>
      <c r="G99" s="15" t="str">
        <f ca="1">VLOOKUP(B99,'ALL DATABASES'!$A$1:$T$2252,3,FALSE)</f>
        <v>Journal Article</v>
      </c>
      <c r="H99" s="50" t="str">
        <f ca="1">VLOOKUP(B99,'ALL DATABASES'!$A$1:$T$2252,20,FALSE)</f>
        <v>SCIENCEDIRECT</v>
      </c>
    </row>
    <row r="100" spans="1:8" ht="12.75" x14ac:dyDescent="0.2">
      <c r="A100">
        <v>99</v>
      </c>
      <c r="B100" s="15" t="str">
        <f ca="1">IFERROR(__xludf.DUMMYFUNCTION("""COMPUTED_VALUE"""),"A software quality framework for large-scale mission-critical systems engineering")</f>
        <v>A software quality framework for large-scale mission-critical systems engineering</v>
      </c>
      <c r="C100" s="15" t="str">
        <f ca="1">VLOOKUP(B100,'ALL DATABASES'!$A$1:$T$2252,2,FALSE)</f>
        <v>Carrozza G,Pietrantuono R,Russo S</v>
      </c>
      <c r="D100" s="15">
        <f ca="1">VLOOKUP(B100,'ALL DATABASES'!$A$1:$T$2252,5,FALSE)</f>
        <v>2018</v>
      </c>
      <c r="E100" s="15">
        <f ca="1">VLOOKUP(B100,'ALL DATABASES'!$A$1:$T$2252,10,FALSE)</f>
        <v>2018</v>
      </c>
      <c r="F100" s="54" t="str">
        <f ca="1">VLOOKUP(B100,'ALL DATABASES'!$A$1:$T$2252,14,FALSE)</f>
        <v>https://www.sciencedirect.com/science/article/pii/S0950584918300922;http://dx.doi.org/10.1016/j.infsof.2018.05.009</v>
      </c>
      <c r="G100" s="15" t="str">
        <f ca="1">VLOOKUP(B100,'ALL DATABASES'!$A$1:$T$2252,3,FALSE)</f>
        <v>Journal Article</v>
      </c>
      <c r="H100" s="50" t="str">
        <f ca="1">VLOOKUP(B100,'ALL DATABASES'!$A$1:$T$2252,20,FALSE)</f>
        <v>SCIENCEDIRECT</v>
      </c>
    </row>
    <row r="101" spans="1:8" ht="12.75" x14ac:dyDescent="0.2">
      <c r="A101">
        <v>100</v>
      </c>
      <c r="B101" s="15" t="str">
        <f ca="1">IFERROR(__xludf.DUMMYFUNCTION("""COMPUTED_VALUE"""),"A Study of Quality Metrics in Agile Software Development")</f>
        <v>A Study of Quality Metrics in Agile Software Development</v>
      </c>
      <c r="C101" s="15" t="str">
        <f ca="1">VLOOKUP(B101,'ALL DATABASES'!$A$1:$T$2252,2,FALSE)</f>
        <v>Krishna ChakravartyJagannath Singh</v>
      </c>
      <c r="D101" s="15">
        <f ca="1">VLOOKUP(B101,'ALL DATABASES'!$A$1:$T$2252,5,FALSE)</f>
        <v>2021</v>
      </c>
      <c r="E101" s="15">
        <f ca="1">VLOOKUP(B101,'ALL DATABASES'!$A$1:$T$2252,10,FALSE)</f>
        <v>0</v>
      </c>
      <c r="F101" s="54" t="str">
        <f ca="1">VLOOKUP(B101,'ALL DATABASES'!$A$1:$T$2252,14,FALSE)</f>
        <v>http://link.springer.com/chapter/10.1007/978-981-33-4859-2_26</v>
      </c>
      <c r="G101" s="15" t="str">
        <f ca="1">VLOOKUP(B101,'ALL DATABASES'!$A$1:$T$2252,3,FALSE)</f>
        <v>Chapter</v>
      </c>
      <c r="H101" s="50" t="str">
        <f ca="1">VLOOKUP(B101,'ALL DATABASES'!$A$1:$T$2252,20,FALSE)</f>
        <v>SPRINGER</v>
      </c>
    </row>
    <row r="102" spans="1:8" ht="12.75" x14ac:dyDescent="0.2">
      <c r="A102">
        <v>101</v>
      </c>
      <c r="B102" s="15" t="str">
        <f ca="1">IFERROR(__xludf.DUMMYFUNCTION("""COMPUTED_VALUE"""),"A Study of Vulnerability Identifiers in Code Comments: Source, Purpose, and Severity")</f>
        <v>A Study of Vulnerability Identifiers in Code Comments: Source, Purpose, and Severity</v>
      </c>
      <c r="C102" s="15" t="str">
        <f ca="1">VLOOKUP(B102,'ALL DATABASES'!$A$1:$T$2252,2,FALSE)</f>
        <v>Nugroho YS,Gunawan D,Putri DA,Islam S,Alhefdhi A</v>
      </c>
      <c r="D102" s="15">
        <f ca="1">VLOOKUP(B102,'ALL DATABASES'!$A$1:$T$2252,5,FALSE)</f>
        <v>2022</v>
      </c>
      <c r="E102" s="15">
        <f ca="1">VLOOKUP(B102,'ALL DATABASES'!$A$1:$T$2252,10,FALSE)</f>
        <v>2022</v>
      </c>
      <c r="F102" s="54" t="str">
        <f ca="1">VLOOKUP(B102,'ALL DATABASES'!$A$1:$T$2252,14,FALSE)</f>
        <v>https://www.scopus.com/inward/record.uri?eid=2-s2.0-85132017814&amp;doi=10.24138%2fjcomss-2021-0124&amp;partnerID=40&amp;md5=433ca07519e588d0f73779fdd74a311c;http://dx.doi.org/10.24138/jcomss-2021-0124</v>
      </c>
      <c r="G102" s="15" t="str">
        <f ca="1">VLOOKUP(B102,'ALL DATABASES'!$A$1:$T$2252,3,FALSE)</f>
        <v>Journal Article</v>
      </c>
      <c r="H102" s="50" t="str">
        <f ca="1">VLOOKUP(B102,'ALL DATABASES'!$A$1:$T$2252,20,FALSE)</f>
        <v>SCOPUS</v>
      </c>
    </row>
    <row r="103" spans="1:8" ht="12.75" x14ac:dyDescent="0.2">
      <c r="A103">
        <v>102</v>
      </c>
      <c r="B103" s="15" t="str">
        <f ca="1">IFERROR(__xludf.DUMMYFUNCTION("""COMPUTED_VALUE"""),"A Study on Architectural Smells Prediction")</f>
        <v>A Study on Architectural Smells Prediction</v>
      </c>
      <c r="C103" s="15" t="str">
        <f ca="1">VLOOKUP(B103,'ALL DATABASES'!$A$1:$T$2252,2,FALSE)</f>
        <v>Arcelli Fontana F,Avgeriou P,Pigazzini I,Roveda R</v>
      </c>
      <c r="D103" s="15">
        <f ca="1">VLOOKUP(B103,'ALL DATABASES'!$A$1:$T$2252,5,FALSE)</f>
        <v>2019</v>
      </c>
      <c r="E103" s="55">
        <f ca="1">VLOOKUP(B103,'ALL DATABASES'!$A$1:$T$2252,10,FALSE)</f>
        <v>43678</v>
      </c>
      <c r="F103" s="54" t="str">
        <f ca="1">VLOOKUP(B103,'ALL DATABASES'!$A$1:$T$2252,14,FALSE)</f>
        <v>http://dx.doi.org/10.1109/SEAA.2019.00057</v>
      </c>
      <c r="G103" s="15" t="str">
        <f ca="1">VLOOKUP(B103,'ALL DATABASES'!$A$1:$T$2252,3,FALSE)</f>
        <v>Conference Paper</v>
      </c>
      <c r="H103" s="50" t="str">
        <f ca="1">VLOOKUP(B103,'ALL DATABASES'!$A$1:$T$2252,20,FALSE)</f>
        <v>IEEE</v>
      </c>
    </row>
    <row r="104" spans="1:8" ht="12.75" x14ac:dyDescent="0.2">
      <c r="A104">
        <v>103</v>
      </c>
      <c r="B104" s="15" t="str">
        <f ca="1">IFERROR(__xludf.DUMMYFUNCTION("""COMPUTED_VALUE"""),"A study on correlations between architectural smells and design patterns")</f>
        <v>A study on correlations between architectural smells and design patterns</v>
      </c>
      <c r="C104" s="15" t="str">
        <f ca="1">VLOOKUP(B104,'ALL DATABASES'!$A$1:$T$2252,2,FALSE)</f>
        <v>Pigazzini I,Fontana FA,Walter B</v>
      </c>
      <c r="D104" s="15">
        <f ca="1">VLOOKUP(B104,'ALL DATABASES'!$A$1:$T$2252,5,FALSE)</f>
        <v>2021</v>
      </c>
      <c r="E104" s="15">
        <f ca="1">VLOOKUP(B104,'ALL DATABASES'!$A$1:$T$2252,10,FALSE)</f>
        <v>2021</v>
      </c>
      <c r="F104" s="54" t="str">
        <f ca="1">VLOOKUP(B104,'ALL DATABASES'!$A$1:$T$2252,14,FALSE)</f>
        <v>https://www.sciencedirect.com/science/article/pii/S0164121221000819;http://dx.doi.org/10.1016/j.jss.2021.110984</v>
      </c>
      <c r="G104" s="15" t="str">
        <f ca="1">VLOOKUP(B104,'ALL DATABASES'!$A$1:$T$2252,3,FALSE)</f>
        <v>Journal Article</v>
      </c>
      <c r="H104" s="50" t="str">
        <f ca="1">VLOOKUP(B104,'ALL DATABASES'!$A$1:$T$2252,20,FALSE)</f>
        <v>SCIENCEDIRECT</v>
      </c>
    </row>
    <row r="105" spans="1:8" ht="12.75" x14ac:dyDescent="0.2">
      <c r="A105">
        <v>104</v>
      </c>
      <c r="B105" s="15" t="str">
        <f ca="1">IFERROR(__xludf.DUMMYFUNCTION("""COMPUTED_VALUE"""),"A Study on Identification of Documentation and Requirement Technical Debt through Code Comment Analysis")</f>
        <v>A Study on Identification of Documentation and Requirement Technical Debt through Code Comment Analysis</v>
      </c>
      <c r="C105" s="15" t="str">
        <f ca="1">VLOOKUP(B105,'ALL DATABASES'!$A$1:$T$2252,2,FALSE)</f>
        <v>de O. Passos AF,de Freitas Farias MA,de Mendonça Neto MG,Spínola RO</v>
      </c>
      <c r="D105" s="15">
        <f ca="1">VLOOKUP(B105,'ALL DATABASES'!$A$1:$T$2252,5,FALSE)</f>
        <v>2018</v>
      </c>
      <c r="E105" s="15">
        <f ca="1">VLOOKUP(B105,'ALL DATABASES'!$A$1:$T$2252,10,FALSE)</f>
        <v>2018</v>
      </c>
      <c r="F105" s="54" t="str">
        <f ca="1">VLOOKUP(B105,'ALL DATABASES'!$A$1:$T$2252,14,FALSE)</f>
        <v>https://doi.org/10.1145/3275245.3275248;http://dx.doi.org/10.1145/3275245.3275248</v>
      </c>
      <c r="G105" s="15" t="str">
        <f ca="1">VLOOKUP(B105,'ALL DATABASES'!$A$1:$T$2252,3,FALSE)</f>
        <v>Conference Paper</v>
      </c>
      <c r="H105" s="50" t="str">
        <f ca="1">VLOOKUP(B105,'ALL DATABASES'!$A$1:$T$2252,20,FALSE)</f>
        <v>ACM</v>
      </c>
    </row>
    <row r="106" spans="1:8" ht="12.75" x14ac:dyDescent="0.2">
      <c r="A106">
        <v>105</v>
      </c>
      <c r="B106" s="15" t="str">
        <f ca="1">IFERROR(__xludf.DUMMYFUNCTION("""COMPUTED_VALUE"""),"A study on the most prominent areas of research in microservices")</f>
        <v>A study on the most prominent areas of research in microservices</v>
      </c>
      <c r="C106" s="15" t="str">
        <f ca="1">VLOOKUP(B106,'ALL DATABASES'!$A$1:$T$2252,2,FALSE)</f>
        <v>Hamzehloui MS,Sahibuddin S,Ashabi A</v>
      </c>
      <c r="D106" s="15">
        <f ca="1">VLOOKUP(B106,'ALL DATABASES'!$A$1:$T$2252,5,FALSE)</f>
        <v>2019</v>
      </c>
      <c r="E106" s="15">
        <f ca="1">VLOOKUP(B106,'ALL DATABASES'!$A$1:$T$2252,10,FALSE)</f>
        <v>2019</v>
      </c>
      <c r="F106" s="54" t="str">
        <f ca="1">VLOOKUP(B106,'ALL DATABASES'!$A$1:$T$2252,14,FALSE)</f>
        <v>https://www.scopus.com/inward/record.uri?eid=2-s2.0-85064995774&amp;doi=10.18178%2fijmlc.2019.9.2.793&amp;partnerID=40&amp;md5=89a96da26fda84674bd343ed90000e73;http://dx.doi.org/10.18178/ijmlc.2019.9.2.793</v>
      </c>
      <c r="G106" s="15" t="str">
        <f ca="1">VLOOKUP(B106,'ALL DATABASES'!$A$1:$T$2252,3,FALSE)</f>
        <v>Journal Article</v>
      </c>
      <c r="H106" s="50" t="str">
        <f ca="1">VLOOKUP(B106,'ALL DATABASES'!$A$1:$T$2252,20,FALSE)</f>
        <v>SCOPUS</v>
      </c>
    </row>
    <row r="107" spans="1:8" ht="12.75" x14ac:dyDescent="0.2">
      <c r="A107">
        <v>106</v>
      </c>
      <c r="B107" s="15" t="str">
        <f ca="1">IFERROR(__xludf.DUMMYFUNCTION("""COMPUTED_VALUE"""),"A success story in applying data science in practice")</f>
        <v>A success story in applying data science in practice</v>
      </c>
      <c r="C107" s="15" t="str">
        <f ca="1">VLOOKUP(B107,'ALL DATABASES'!$A$1:$T$2252,2,FALSE)</f>
        <v>Bener A,Turhan B,Tosun A,Caglayan B,Kocaguneli E</v>
      </c>
      <c r="D107" s="15">
        <f ca="1">VLOOKUP(B107,'ALL DATABASES'!$A$1:$T$2252,5,FALSE)</f>
        <v>2016</v>
      </c>
      <c r="E107" s="15">
        <f ca="1">VLOOKUP(B107,'ALL DATABASES'!$A$1:$T$2252,10,FALSE)</f>
        <v>2016</v>
      </c>
      <c r="F107" s="54" t="str">
        <f ca="1">VLOOKUP(B107,'ALL DATABASES'!$A$1:$T$2252,14,FALSE)</f>
        <v>https://www.sciencedirect.com/science/article/pii/B9780128042069000179;http://dx.doi.org/10.1016/B978-0-12-804206-9.00017-9</v>
      </c>
      <c r="G107" s="15" t="str">
        <f ca="1">VLOOKUP(B107,'ALL DATABASES'!$A$1:$T$2252,3,FALSE)</f>
        <v>Book Chapter</v>
      </c>
      <c r="H107" s="50" t="str">
        <f ca="1">VLOOKUP(B107,'ALL DATABASES'!$A$1:$T$2252,20,FALSE)</f>
        <v>SCIENCEDIRECT</v>
      </c>
    </row>
    <row r="108" spans="1:8" ht="12.75" x14ac:dyDescent="0.2">
      <c r="A108">
        <v>107</v>
      </c>
      <c r="B108" s="15" t="str">
        <f ca="1">IFERROR(__xludf.DUMMYFUNCTION("""COMPUTED_VALUE"""),"A survey and taxonomy of self-aware and self-adaptive cloud autoscaling systems")</f>
        <v>A survey and taxonomy of self-aware and self-adaptive cloud autoscaling systems</v>
      </c>
      <c r="C108" s="15" t="str">
        <f ca="1">VLOOKUP(B108,'ALL DATABASES'!$A$1:$T$2252,2,FALSE)</f>
        <v>Chen T,Bahsoon R,Yao X</v>
      </c>
      <c r="D108" s="15">
        <f ca="1">VLOOKUP(B108,'ALL DATABASES'!$A$1:$T$2252,5,FALSE)</f>
        <v>2018</v>
      </c>
      <c r="E108" s="15">
        <f ca="1">VLOOKUP(B108,'ALL DATABASES'!$A$1:$T$2252,10,FALSE)</f>
        <v>2018</v>
      </c>
      <c r="F108" s="54" t="str">
        <f ca="1">VLOOKUP(B108,'ALL DATABASES'!$A$1:$T$2252,14,FALSE)</f>
        <v>https://www.scopus.com/inward/record.uri?eid=2-s2.0-85047325550&amp;doi=10.1145%2f3190507&amp;partnerID=40&amp;md5=2fdd4ae61cb25dd5f7421228ce8cbc2c;http://dx.doi.org/10.1145/3190507</v>
      </c>
      <c r="G108" s="15" t="str">
        <f ca="1">VLOOKUP(B108,'ALL DATABASES'!$A$1:$T$2252,3,FALSE)</f>
        <v>Journal Article</v>
      </c>
      <c r="H108" s="50" t="str">
        <f ca="1">VLOOKUP(B108,'ALL DATABASES'!$A$1:$T$2252,20,FALSE)</f>
        <v>SCOPUS</v>
      </c>
    </row>
    <row r="109" spans="1:8" ht="12.75" x14ac:dyDescent="0.2">
      <c r="A109">
        <v>108</v>
      </c>
      <c r="B109" s="15" t="str">
        <f ca="1">IFERROR(__xludf.DUMMYFUNCTION("""COMPUTED_VALUE"""),"A Survey of Adaptive Multi-Agent Networks and Their Applications in Smart Cities")</f>
        <v>A Survey of Adaptive Multi-Agent Networks and Their Applications in Smart Cities</v>
      </c>
      <c r="C109" s="15" t="str">
        <f ca="1">VLOOKUP(B109,'ALL DATABASES'!$A$1:$T$2252,2,FALSE)</f>
        <v>Nezamoddini N,Gholami A</v>
      </c>
      <c r="D109" s="15">
        <f ca="1">VLOOKUP(B109,'ALL DATABASES'!$A$1:$T$2252,5,FALSE)</f>
        <v>2022</v>
      </c>
      <c r="E109" s="15">
        <f ca="1">VLOOKUP(B109,'ALL DATABASES'!$A$1:$T$2252,10,FALSE)</f>
        <v>2022</v>
      </c>
      <c r="F109" s="54" t="str">
        <f ca="1">VLOOKUP(B109,'ALL DATABASES'!$A$1:$T$2252,14,FALSE)</f>
        <v>https://www.scopus.com/inward/record.uri?eid=2-s2.0-85126778720&amp;doi=10.3390%2fsmartcities5010019&amp;partnerID=40&amp;md5=ad99304296a8cd15d699ce60c751b19a;http://dx.doi.org/10.3390/smartcities5010019</v>
      </c>
      <c r="G109" s="15" t="str">
        <f ca="1">VLOOKUP(B109,'ALL DATABASES'!$A$1:$T$2252,3,FALSE)</f>
        <v>Journal Article</v>
      </c>
      <c r="H109" s="50" t="str">
        <f ca="1">VLOOKUP(B109,'ALL DATABASES'!$A$1:$T$2252,20,FALSE)</f>
        <v>SCOPUS</v>
      </c>
    </row>
    <row r="110" spans="1:8" ht="12.75" x14ac:dyDescent="0.2">
      <c r="A110">
        <v>109</v>
      </c>
      <c r="B110" s="15" t="str">
        <f ca="1">IFERROR(__xludf.DUMMYFUNCTION("""COMPUTED_VALUE"""),"A Survey of Benchmarks for Graph-Processing Systems")</f>
        <v>A Survey of Benchmarks for Graph-Processing Systems</v>
      </c>
      <c r="C110" s="15" t="str">
        <f ca="1">VLOOKUP(B110,'ALL DATABASES'!$A$1:$T$2252,2,FALSE)</f>
        <v>Angela BonifatiGeorge FletcherJan HiddersAlexandru Iosup</v>
      </c>
      <c r="D110" s="15">
        <f ca="1">VLOOKUP(B110,'ALL DATABASES'!$A$1:$T$2252,5,FALSE)</f>
        <v>2018</v>
      </c>
      <c r="E110" s="15">
        <f ca="1">VLOOKUP(B110,'ALL DATABASES'!$A$1:$T$2252,10,FALSE)</f>
        <v>0</v>
      </c>
      <c r="F110" s="54" t="str">
        <f ca="1">VLOOKUP(B110,'ALL DATABASES'!$A$1:$T$2252,14,FALSE)</f>
        <v>http://link.springer.com/chapter/10.1007/978-3-319-96193-4_6</v>
      </c>
      <c r="G110" s="15" t="str">
        <f ca="1">VLOOKUP(B110,'ALL DATABASES'!$A$1:$T$2252,3,FALSE)</f>
        <v>Chapter</v>
      </c>
      <c r="H110" s="50" t="str">
        <f ca="1">VLOOKUP(B110,'ALL DATABASES'!$A$1:$T$2252,20,FALSE)</f>
        <v>SPRINGER</v>
      </c>
    </row>
    <row r="111" spans="1:8" ht="12.75" x14ac:dyDescent="0.2">
      <c r="A111">
        <v>110</v>
      </c>
      <c r="B111" s="15" t="str">
        <f ca="1">IFERROR(__xludf.DUMMYFUNCTION("""COMPUTED_VALUE"""),"A Survey of Current End-User Data Analytics Tool Support")</f>
        <v>A Survey of Current End-User Data Analytics Tool Support</v>
      </c>
      <c r="C111" s="15" t="str">
        <f ca="1">VLOOKUP(B111,'ALL DATABASES'!$A$1:$T$2252,2,FALSE)</f>
        <v>Khalajzadeh H,Abdelrazek M,Grundy J,Hosking J,He Q</v>
      </c>
      <c r="D111" s="15">
        <f ca="1">VLOOKUP(B111,'ALL DATABASES'!$A$1:$T$2252,5,FALSE)</f>
        <v>2018</v>
      </c>
      <c r="E111" s="55">
        <f ca="1">VLOOKUP(B111,'ALL DATABASES'!$A$1:$T$2252,10,FALSE)</f>
        <v>43282</v>
      </c>
      <c r="F111" s="54" t="str">
        <f ca="1">VLOOKUP(B111,'ALL DATABASES'!$A$1:$T$2252,14,FALSE)</f>
        <v>http://dx.doi.org/10.1109/BigDataCongress.2018.00013</v>
      </c>
      <c r="G111" s="15" t="str">
        <f ca="1">VLOOKUP(B111,'ALL DATABASES'!$A$1:$T$2252,3,FALSE)</f>
        <v>Conference Paper</v>
      </c>
      <c r="H111" s="50" t="str">
        <f ca="1">VLOOKUP(B111,'ALL DATABASES'!$A$1:$T$2252,20,FALSE)</f>
        <v>IEEE</v>
      </c>
    </row>
    <row r="112" spans="1:8" ht="12.75" x14ac:dyDescent="0.2">
      <c r="A112">
        <v>111</v>
      </c>
      <c r="B112" s="15" t="str">
        <f ca="1">IFERROR(__xludf.DUMMYFUNCTION("""COMPUTED_VALUE"""),"A survey of search-based refactoring for software maintenance")</f>
        <v>A survey of search-based refactoring for software maintenance</v>
      </c>
      <c r="C112" s="15" t="str">
        <f ca="1">VLOOKUP(B112,'ALL DATABASES'!$A$1:$T$2252,2,FALSE)</f>
        <v>Michael MohanDes Greer</v>
      </c>
      <c r="D112" s="15">
        <f ca="1">VLOOKUP(B112,'ALL DATABASES'!$A$1:$T$2252,5,FALSE)</f>
        <v>2018</v>
      </c>
      <c r="E112" s="15">
        <f ca="1">VLOOKUP(B112,'ALL DATABASES'!$A$1:$T$2252,10,FALSE)</f>
        <v>0</v>
      </c>
      <c r="F112" s="54" t="str">
        <f ca="1">VLOOKUP(B112,'ALL DATABASES'!$A$1:$T$2252,14,FALSE)</f>
        <v>http://link.springer.com/article/10.1186/s40411-018-0046-4</v>
      </c>
      <c r="G112" s="15" t="str">
        <f ca="1">VLOOKUP(B112,'ALL DATABASES'!$A$1:$T$2252,3,FALSE)</f>
        <v>Article</v>
      </c>
      <c r="H112" s="50" t="str">
        <f ca="1">VLOOKUP(B112,'ALL DATABASES'!$A$1:$T$2252,20,FALSE)</f>
        <v>SPRINGER</v>
      </c>
    </row>
    <row r="113" spans="1:8" ht="12.75" x14ac:dyDescent="0.2">
      <c r="A113">
        <v>112</v>
      </c>
      <c r="B113" s="15" t="str">
        <f ca="1">IFERROR(__xludf.DUMMYFUNCTION("""COMPUTED_VALUE"""),"A survey of self-admitted technical debt")</f>
        <v>A survey of self-admitted technical debt</v>
      </c>
      <c r="C113" s="15" t="str">
        <f ca="1">VLOOKUP(B113,'ALL DATABASES'!$A$1:$T$2252,2,FALSE)</f>
        <v>Sierra G,Shihab E,Kamei Y</v>
      </c>
      <c r="D113" s="15">
        <f ca="1">VLOOKUP(B113,'ALL DATABASES'!$A$1:$T$2252,5,FALSE)</f>
        <v>2019</v>
      </c>
      <c r="E113" s="15">
        <f ca="1">VLOOKUP(B113,'ALL DATABASES'!$A$1:$T$2252,10,FALSE)</f>
        <v>2019</v>
      </c>
      <c r="F113" s="54" t="str">
        <f ca="1">VLOOKUP(B113,'ALL DATABASES'!$A$1:$T$2252,14,FALSE)</f>
        <v>https://www.sciencedirect.com/science/article/pii/S0164121219300457;http://dx.doi.org/10.1016/j.jss.2019.02.056</v>
      </c>
      <c r="G113" s="15" t="str">
        <f ca="1">VLOOKUP(B113,'ALL DATABASES'!$A$1:$T$2252,3,FALSE)</f>
        <v>Journal Article</v>
      </c>
      <c r="H113" s="50" t="str">
        <f ca="1">VLOOKUP(B113,'ALL DATABASES'!$A$1:$T$2252,20,FALSE)</f>
        <v>SCIENCEDIRECT</v>
      </c>
    </row>
    <row r="114" spans="1:8" ht="12.75" x14ac:dyDescent="0.2">
      <c r="A114">
        <v>113</v>
      </c>
      <c r="B114" s="15" t="str">
        <f ca="1">IFERROR(__xludf.DUMMYFUNCTION("""COMPUTED_VALUE"""),"A survey of software architectural change detection and categorization techniques")</f>
        <v>A survey of software architectural change detection and categorization techniques</v>
      </c>
      <c r="C114" s="15" t="str">
        <f ca="1">VLOOKUP(B114,'ALL DATABASES'!$A$1:$T$2252,2,FALSE)</f>
        <v>Mondal AK,Schneider KA,Roy B,Roy CK</v>
      </c>
      <c r="D114" s="15">
        <f ca="1">VLOOKUP(B114,'ALL DATABASES'!$A$1:$T$2252,5,FALSE)</f>
        <v>2022</v>
      </c>
      <c r="E114" s="15">
        <f ca="1">VLOOKUP(B114,'ALL DATABASES'!$A$1:$T$2252,10,FALSE)</f>
        <v>2022</v>
      </c>
      <c r="F114" s="54" t="str">
        <f ca="1">VLOOKUP(B114,'ALL DATABASES'!$A$1:$T$2252,14,FALSE)</f>
        <v>https://www.scopus.com/inward/record.uri?eid=2-s2.0-85138322340&amp;doi=10.1016%2fj.jss.2022.111505&amp;partnerID=40&amp;md5=dee1d5a976361fa08e28cbf9d03dbdc6;http://dx.doi.org/10.1016/j.jss.2022.111505</v>
      </c>
      <c r="G114" s="15" t="str">
        <f ca="1">VLOOKUP(B114,'ALL DATABASES'!$A$1:$T$2252,3,FALSE)</f>
        <v>Journal Article</v>
      </c>
      <c r="H114" s="50" t="str">
        <f ca="1">VLOOKUP(B114,'ALL DATABASES'!$A$1:$T$2252,20,FALSE)</f>
        <v>SCOPUS</v>
      </c>
    </row>
    <row r="115" spans="1:8" ht="12.75" x14ac:dyDescent="0.2">
      <c r="A115">
        <v>114</v>
      </c>
      <c r="B115" s="15" t="str">
        <f ca="1">IFERROR(__xludf.DUMMYFUNCTION("""COMPUTED_VALUE"""),"A Survey of Software Quality for Machine Learning Applications")</f>
        <v>A Survey of Software Quality for Machine Learning Applications</v>
      </c>
      <c r="C115" s="15" t="str">
        <f ca="1">VLOOKUP(B115,'ALL DATABASES'!$A$1:$T$2252,2,FALSE)</f>
        <v>Masuda S,Ono K,Yasue T,Hosokawa N</v>
      </c>
      <c r="D115" s="15">
        <f ca="1">VLOOKUP(B115,'ALL DATABASES'!$A$1:$T$2252,5,FALSE)</f>
        <v>2018</v>
      </c>
      <c r="E115" s="55">
        <f ca="1">VLOOKUP(B115,'ALL DATABASES'!$A$1:$T$2252,10,FALSE)</f>
        <v>43191</v>
      </c>
      <c r="F115" s="54" t="str">
        <f ca="1">VLOOKUP(B115,'ALL DATABASES'!$A$1:$T$2252,14,FALSE)</f>
        <v>http://dx.doi.org/10.1109/ICSTW.2018.00061</v>
      </c>
      <c r="G115" s="15" t="str">
        <f ca="1">VLOOKUP(B115,'ALL DATABASES'!$A$1:$T$2252,3,FALSE)</f>
        <v>Conference Paper</v>
      </c>
      <c r="H115" s="50" t="str">
        <f ca="1">VLOOKUP(B115,'ALL DATABASES'!$A$1:$T$2252,20,FALSE)</f>
        <v>IEEE</v>
      </c>
    </row>
    <row r="116" spans="1:8" ht="12.75" x14ac:dyDescent="0.2">
      <c r="A116">
        <v>115</v>
      </c>
      <c r="B116" s="15" t="str">
        <f ca="1">IFERROR(__xludf.DUMMYFUNCTION("""COMPUTED_VALUE"""),"A Survey on Common Threats in npm and PyPi Registries")</f>
        <v>A Survey on Common Threats in npm and PyPi Registries</v>
      </c>
      <c r="C116" s="15" t="str">
        <f ca="1">VLOOKUP(B116,'ALL DATABASES'!$A$1:$T$2252,2,FALSE)</f>
        <v>Berkay KaplanJingyu Qian</v>
      </c>
      <c r="D116" s="15">
        <f ca="1">VLOOKUP(B116,'ALL DATABASES'!$A$1:$T$2252,5,FALSE)</f>
        <v>2021</v>
      </c>
      <c r="E116" s="15">
        <f ca="1">VLOOKUP(B116,'ALL DATABASES'!$A$1:$T$2252,10,FALSE)</f>
        <v>0</v>
      </c>
      <c r="F116" s="54" t="str">
        <f ca="1">VLOOKUP(B116,'ALL DATABASES'!$A$1:$T$2252,14,FALSE)</f>
        <v>http://link.springer.com/chapter/10.1007/978-3-030-87839-9_6</v>
      </c>
      <c r="G116" s="15" t="str">
        <f ca="1">VLOOKUP(B116,'ALL DATABASES'!$A$1:$T$2252,3,FALSE)</f>
        <v>Chapter</v>
      </c>
      <c r="H116" s="50" t="str">
        <f ca="1">VLOOKUP(B116,'ALL DATABASES'!$A$1:$T$2252,20,FALSE)</f>
        <v>SPRINGER</v>
      </c>
    </row>
    <row r="117" spans="1:8" ht="12.75" x14ac:dyDescent="0.2">
      <c r="A117">
        <v>116</v>
      </c>
      <c r="B117" s="15" t="str">
        <f ca="1">IFERROR(__xludf.DUMMYFUNCTION("""COMPUTED_VALUE"""),"A Survey on Deep Learning for Software Engineering")</f>
        <v>A Survey on Deep Learning for Software Engineering</v>
      </c>
      <c r="C117" s="15" t="str">
        <f ca="1">VLOOKUP(B117,'ALL DATABASES'!$A$1:$T$2252,2,FALSE)</f>
        <v>Yang Y,Xia X,Lo D,Grundy J</v>
      </c>
      <c r="D117" s="15">
        <f ca="1">VLOOKUP(B117,'ALL DATABASES'!$A$1:$T$2252,5,FALSE)</f>
        <v>2022</v>
      </c>
      <c r="E117" s="55">
        <f ca="1">VLOOKUP(B117,'ALL DATABASES'!$A$1:$T$2252,10,FALSE)</f>
        <v>44805</v>
      </c>
      <c r="F117" s="54" t="str">
        <f ca="1">VLOOKUP(B117,'ALL DATABASES'!$A$1:$T$2252,14,FALSE)</f>
        <v>https://doi.org/10.1145/3505243;http://dx.doi.org/10.1145/3505243</v>
      </c>
      <c r="G117" s="15" t="str">
        <f ca="1">VLOOKUP(B117,'ALL DATABASES'!$A$1:$T$2252,3,FALSE)</f>
        <v>Journal Article</v>
      </c>
      <c r="H117" s="50" t="str">
        <f ca="1">VLOOKUP(B117,'ALL DATABASES'!$A$1:$T$2252,20,FALSE)</f>
        <v>ACM</v>
      </c>
    </row>
    <row r="118" spans="1:8" ht="12.75" x14ac:dyDescent="0.2">
      <c r="A118">
        <v>117</v>
      </c>
      <c r="B118" s="15" t="str">
        <f ca="1">IFERROR(__xludf.DUMMYFUNCTION("""COMPUTED_VALUE"""),"A Survey on Design and Application Approaches in Women-Safety Systems")</f>
        <v>A Survey on Design and Application Approaches in Women-Safety Systems</v>
      </c>
      <c r="C118" s="15" t="str">
        <f ca="1">VLOOKUP(B118,'ALL DATABASES'!$A$1:$T$2252,2,FALSE)</f>
        <v>Ashok K,Gurulakshmi AB,Prakash MB,Poornima RM,Sneha NS,Gowtham V</v>
      </c>
      <c r="D118" s="15">
        <f ca="1">VLOOKUP(B118,'ALL DATABASES'!$A$1:$T$2252,5,FALSE)</f>
        <v>2022</v>
      </c>
      <c r="E118" s="15">
        <f ca="1">VLOOKUP(B118,'ALL DATABASES'!$A$1:$T$2252,10,FALSE)</f>
        <v>2022</v>
      </c>
      <c r="F118" s="54" t="str">
        <f ca="1">VLOOKUP(B118,'ALL DATABASES'!$A$1:$T$2252,14,FALSE)</f>
        <v>https://www.scopus.com/inward/record.uri?eid=2-s2.0-85133212644&amp;doi=10.1109%2fICACCS54159.2022.9784981&amp;partnerID=40&amp;md5=9ac32a170b9cfc0d8c93261883ebdf9c;http://dx.doi.org/10.1109/ICACCS54159.2022.9784981</v>
      </c>
      <c r="G118" s="15" t="str">
        <f ca="1">VLOOKUP(B118,'ALL DATABASES'!$A$1:$T$2252,3,FALSE)</f>
        <v>Conference Paper</v>
      </c>
      <c r="H118" s="50" t="str">
        <f ca="1">VLOOKUP(B118,'ALL DATABASES'!$A$1:$T$2252,20,FALSE)</f>
        <v>SCOPUS</v>
      </c>
    </row>
    <row r="119" spans="1:8" ht="12.75" x14ac:dyDescent="0.2">
      <c r="A119">
        <v>118</v>
      </c>
      <c r="B119" s="15" t="str">
        <f ca="1">IFERROR(__xludf.DUMMYFUNCTION("""COMPUTED_VALUE"""),"A survey on software smells")</f>
        <v>A survey on software smells</v>
      </c>
      <c r="C119" s="15" t="str">
        <f ca="1">VLOOKUP(B119,'ALL DATABASES'!$A$1:$T$2252,2,FALSE)</f>
        <v>Sharma T,Spinellis D</v>
      </c>
      <c r="D119" s="15">
        <f ca="1">VLOOKUP(B119,'ALL DATABASES'!$A$1:$T$2252,5,FALSE)</f>
        <v>2018</v>
      </c>
      <c r="E119" s="15">
        <f ca="1">VLOOKUP(B119,'ALL DATABASES'!$A$1:$T$2252,10,FALSE)</f>
        <v>2018</v>
      </c>
      <c r="F119" s="54" t="str">
        <f ca="1">VLOOKUP(B119,'ALL DATABASES'!$A$1:$T$2252,14,FALSE)</f>
        <v>https://www.sciencedirect.com/science/article/pii/S0164121217303114;http://dx.doi.org/10.1016/j.jss.2017.12.034</v>
      </c>
      <c r="G119" s="15" t="str">
        <f ca="1">VLOOKUP(B119,'ALL DATABASES'!$A$1:$T$2252,3,FALSE)</f>
        <v>Journal Article</v>
      </c>
      <c r="H119" s="50" t="str">
        <f ca="1">VLOOKUP(B119,'ALL DATABASES'!$A$1:$T$2252,20,FALSE)</f>
        <v>SCIENCEDIRECT</v>
      </c>
    </row>
    <row r="120" spans="1:8" ht="12.75" x14ac:dyDescent="0.2">
      <c r="A120">
        <v>119</v>
      </c>
      <c r="B120" s="15" t="str">
        <f ca="1">IFERROR(__xludf.DUMMYFUNCTION("""COMPUTED_VALUE"""),"A survey on software test automation return on investment, in organizations predominantly from Bengaluru, India")</f>
        <v>A survey on software test automation return on investment, in organizations predominantly from Bengaluru, India</v>
      </c>
      <c r="C120" s="15" t="str">
        <f ca="1">VLOOKUP(B120,'ALL DATABASES'!$A$1:$T$2252,2,FALSE)</f>
        <v>Reine De Reanzi S,Ranjit Jeba Thangaiah P</v>
      </c>
      <c r="D120" s="15">
        <f ca="1">VLOOKUP(B120,'ALL DATABASES'!$A$1:$T$2252,5,FALSE)</f>
        <v>2021</v>
      </c>
      <c r="E120" s="15">
        <f ca="1">VLOOKUP(B120,'ALL DATABASES'!$A$1:$T$2252,10,FALSE)</f>
        <v>2021</v>
      </c>
      <c r="F120" s="54" t="str">
        <f ca="1">VLOOKUP(B120,'ALL DATABASES'!$A$1:$T$2252,14,FALSE)</f>
        <v>https://www.scopus.com/inward/record.uri?eid=2-s2.0-85121707446&amp;doi=10.1177%2f18479790211062044&amp;partnerID=40&amp;md5=b785de8c083927f7e9836909f1e58fd5;http://dx.doi.org/10.1177/18479790211062044</v>
      </c>
      <c r="G120" s="15" t="str">
        <f ca="1">VLOOKUP(B120,'ALL DATABASES'!$A$1:$T$2252,3,FALSE)</f>
        <v>Journal Article</v>
      </c>
      <c r="H120" s="50" t="str">
        <f ca="1">VLOOKUP(B120,'ALL DATABASES'!$A$1:$T$2252,20,FALSE)</f>
        <v>SCOPUS</v>
      </c>
    </row>
    <row r="121" spans="1:8" ht="12.75" x14ac:dyDescent="0.2">
      <c r="A121">
        <v>120</v>
      </c>
      <c r="B121" s="15" t="str">
        <f ca="1">IFERROR(__xludf.DUMMYFUNCTION("""COMPUTED_VALUE"""),"A survey on software testability")</f>
        <v>A survey on software testability</v>
      </c>
      <c r="C121" s="15" t="str">
        <f ca="1">VLOOKUP(B121,'ALL DATABASES'!$A$1:$T$2252,2,FALSE)</f>
        <v>Garousi V,Felderer M,Kılıçaslan FN</v>
      </c>
      <c r="D121" s="15">
        <f ca="1">VLOOKUP(B121,'ALL DATABASES'!$A$1:$T$2252,5,FALSE)</f>
        <v>2019</v>
      </c>
      <c r="E121" s="15">
        <f ca="1">VLOOKUP(B121,'ALL DATABASES'!$A$1:$T$2252,10,FALSE)</f>
        <v>2019</v>
      </c>
      <c r="F121" s="54" t="str">
        <f ca="1">VLOOKUP(B121,'ALL DATABASES'!$A$1:$T$2252,14,FALSE)</f>
        <v>https://www.sciencedirect.com/science/article/pii/S0950584918302490;http://dx.doi.org/10.1016/j.infsof.2018.12.003</v>
      </c>
      <c r="G121" s="15" t="str">
        <f ca="1">VLOOKUP(B121,'ALL DATABASES'!$A$1:$T$2252,3,FALSE)</f>
        <v>Journal Article</v>
      </c>
      <c r="H121" s="50" t="str">
        <f ca="1">VLOOKUP(B121,'ALL DATABASES'!$A$1:$T$2252,20,FALSE)</f>
        <v>SCIENCEDIRECT</v>
      </c>
    </row>
    <row r="122" spans="1:8" ht="12.75" x14ac:dyDescent="0.2">
      <c r="A122">
        <v>121</v>
      </c>
      <c r="B122" s="15" t="str">
        <f ca="1">IFERROR(__xludf.DUMMYFUNCTION("""COMPUTED_VALUE"""),"A Survey-Based Empirical Evaluation of Bad Smells in LabVIEW Systems Models")</f>
        <v>A Survey-Based Empirical Evaluation of Bad Smells in LabVIEW Systems Models</v>
      </c>
      <c r="C122" s="15" t="str">
        <f ca="1">VLOOKUP(B122,'ALL DATABASES'!$A$1:$T$2252,2,FALSE)</f>
        <v>Zhao X,Gray J,Riché T</v>
      </c>
      <c r="D122" s="15">
        <f ca="1">VLOOKUP(B122,'ALL DATABASES'!$A$1:$T$2252,5,FALSE)</f>
        <v>2021</v>
      </c>
      <c r="E122" s="55">
        <f ca="1">VLOOKUP(B122,'ALL DATABASES'!$A$1:$T$2252,10,FALSE)</f>
        <v>44256</v>
      </c>
      <c r="F122" s="54" t="str">
        <f ca="1">VLOOKUP(B122,'ALL DATABASES'!$A$1:$T$2252,14,FALSE)</f>
        <v>http://dx.doi.org/10.1109/SANER50967.2021.00025</v>
      </c>
      <c r="G122" s="15" t="str">
        <f ca="1">VLOOKUP(B122,'ALL DATABASES'!$A$1:$T$2252,3,FALSE)</f>
        <v>Conference Paper</v>
      </c>
      <c r="H122" s="50" t="str">
        <f ca="1">VLOOKUP(B122,'ALL DATABASES'!$A$1:$T$2252,20,FALSE)</f>
        <v>IEEE</v>
      </c>
    </row>
    <row r="123" spans="1:8" ht="12.75" x14ac:dyDescent="0.2">
      <c r="A123">
        <v>122</v>
      </c>
      <c r="B123" s="15" t="str">
        <f ca="1">IFERROR(__xludf.DUMMYFUNCTION("""COMPUTED_VALUE"""),"A sustainable-development approach for self-adaptive cyber–physical system's life cycle: A systematic mapping study")</f>
        <v>A sustainable-development approach for self-adaptive cyber–physical system's life cycle: A systematic mapping study</v>
      </c>
      <c r="C123" s="15" t="str">
        <f ca="1">VLOOKUP(B123,'ALL DATABASES'!$A$1:$T$2252,2,FALSE)</f>
        <v>Restrepo L,Aguilar J,Toro M,Suescún E</v>
      </c>
      <c r="D123" s="15">
        <f ca="1">VLOOKUP(B123,'ALL DATABASES'!$A$1:$T$2252,5,FALSE)</f>
        <v>2021</v>
      </c>
      <c r="E123" s="15">
        <f ca="1">VLOOKUP(B123,'ALL DATABASES'!$A$1:$T$2252,10,FALSE)</f>
        <v>2021</v>
      </c>
      <c r="F123" s="54" t="str">
        <f ca="1">VLOOKUP(B123,'ALL DATABASES'!$A$1:$T$2252,14,FALSE)</f>
        <v>https://www.scopus.com/inward/record.uri?eid=2-s2.0-85107766571&amp;doi=10.1016%2fj.jss.2021.111010&amp;partnerID=40&amp;md5=d448645aacc3ff1b088bd1b3a1cb12db;http://dx.doi.org/10.1016/j.jss.2021.111010</v>
      </c>
      <c r="G123" s="15" t="str">
        <f ca="1">VLOOKUP(B123,'ALL DATABASES'!$A$1:$T$2252,3,FALSE)</f>
        <v>Journal Article</v>
      </c>
      <c r="H123" s="50" t="str">
        <f ca="1">VLOOKUP(B123,'ALL DATABASES'!$A$1:$T$2252,20,FALSE)</f>
        <v>SCOPUS</v>
      </c>
    </row>
    <row r="124" spans="1:8" ht="12.75" x14ac:dyDescent="0.2">
      <c r="A124">
        <v>123</v>
      </c>
      <c r="B124" s="15" t="str">
        <f ca="1">IFERROR(__xludf.DUMMYFUNCTION("""COMPUTED_VALUE"""),"A systematic literature review of modern software visualization")</f>
        <v>A systematic literature review of modern software visualization</v>
      </c>
      <c r="C124" s="15" t="str">
        <f ca="1">VLOOKUP(B124,'ALL DATABASES'!$A$1:$T$2252,2,FALSE)</f>
        <v>Noptanit ChotisarnLeonel MerinoXu ZhengSupaporn LonapalawongTianye ZhangMingliang XuWei Chen</v>
      </c>
      <c r="D124" s="15">
        <f ca="1">VLOOKUP(B124,'ALL DATABASES'!$A$1:$T$2252,5,FALSE)</f>
        <v>2020</v>
      </c>
      <c r="E124" s="15">
        <f ca="1">VLOOKUP(B124,'ALL DATABASES'!$A$1:$T$2252,10,FALSE)</f>
        <v>0</v>
      </c>
      <c r="F124" s="54" t="str">
        <f ca="1">VLOOKUP(B124,'ALL DATABASES'!$A$1:$T$2252,14,FALSE)</f>
        <v>http://link.springer.com/article/10.1007/s12650-020-00647-w</v>
      </c>
      <c r="G124" s="15" t="str">
        <f ca="1">VLOOKUP(B124,'ALL DATABASES'!$A$1:$T$2252,3,FALSE)</f>
        <v>Article</v>
      </c>
      <c r="H124" s="50" t="str">
        <f ca="1">VLOOKUP(B124,'ALL DATABASES'!$A$1:$T$2252,20,FALSE)</f>
        <v>SPRINGER</v>
      </c>
    </row>
    <row r="125" spans="1:8" ht="12.75" x14ac:dyDescent="0.2">
      <c r="A125">
        <v>124</v>
      </c>
      <c r="B125" s="15" t="str">
        <f ca="1">IFERROR(__xludf.DUMMYFUNCTION("""COMPUTED_VALUE"""),"A Systematic Literature Review of Technical Debt Prioritization")</f>
        <v>A Systematic Literature Review of Technical Debt Prioritization</v>
      </c>
      <c r="C125" s="15" t="str">
        <f ca="1">VLOOKUP(B125,'ALL DATABASES'!$A$1:$T$2252,2,FALSE)</f>
        <v>Alfayez R,Alwehaibi W,Winn R,Venson E,Boehm B</v>
      </c>
      <c r="D125" s="15">
        <f ca="1">VLOOKUP(B125,'ALL DATABASES'!$A$1:$T$2252,5,FALSE)</f>
        <v>2020</v>
      </c>
      <c r="E125" s="15">
        <f ca="1">VLOOKUP(B125,'ALL DATABASES'!$A$1:$T$2252,10,FALSE)</f>
        <v>2020</v>
      </c>
      <c r="F125" s="54" t="str">
        <f ca="1">VLOOKUP(B125,'ALL DATABASES'!$A$1:$T$2252,14,FALSE)</f>
        <v>https://doi.org/10.1145/3387906.3388630;http://dx.doi.org/10.1145/3387906.3388630</v>
      </c>
      <c r="G125" s="15" t="str">
        <f ca="1">VLOOKUP(B125,'ALL DATABASES'!$A$1:$T$2252,3,FALSE)</f>
        <v>Conference Paper</v>
      </c>
      <c r="H125" s="50" t="str">
        <f ca="1">VLOOKUP(B125,'ALL DATABASES'!$A$1:$T$2252,20,FALSE)</f>
        <v>ACM</v>
      </c>
    </row>
    <row r="126" spans="1:8" ht="12.75" x14ac:dyDescent="0.2">
      <c r="A126">
        <v>125</v>
      </c>
      <c r="B126" s="15" t="str">
        <f ca="1">IFERROR(__xludf.DUMMYFUNCTION("""COMPUTED_VALUE"""),"A Systematic Literature Review on Bad Smells-5 W's: Which, When, What, Who, Where")</f>
        <v>A Systematic Literature Review on Bad Smells-5 W's: Which, When, What, Who, Where</v>
      </c>
      <c r="C126" s="15" t="str">
        <f ca="1">VLOOKUP(B126,'ALL DATABASES'!$A$1:$T$2252,2,FALSE)</f>
        <v>Sobrinho EV,De Lucia A,Maia MA</v>
      </c>
      <c r="D126" s="15">
        <f ca="1">VLOOKUP(B126,'ALL DATABASES'!$A$1:$T$2252,5,FALSE)</f>
        <v>2021</v>
      </c>
      <c r="E126" s="15">
        <f ca="1">VLOOKUP(B126,'ALL DATABASES'!$A$1:$T$2252,10,FALSE)</f>
        <v>2021</v>
      </c>
      <c r="F126" s="54" t="str">
        <f ca="1">VLOOKUP(B126,'ALL DATABASES'!$A$1:$T$2252,14,FALSE)</f>
        <v>https://www.scopus.com/inward/record.uri?eid=2-s2.0-85056326860&amp;doi=10.1109%2fTSE.2018.2880977&amp;partnerID=40&amp;md5=3145ed3c974b5ddd75547497935ef7e4;http://dx.doi.org/10.1109/TSE.2018.2880977</v>
      </c>
      <c r="G126" s="15" t="str">
        <f ca="1">VLOOKUP(B126,'ALL DATABASES'!$A$1:$T$2252,3,FALSE)</f>
        <v>Journal Article</v>
      </c>
      <c r="H126" s="50" t="str">
        <f ca="1">VLOOKUP(B126,'ALL DATABASES'!$A$1:$T$2252,20,FALSE)</f>
        <v>SCOPUS</v>
      </c>
    </row>
    <row r="127" spans="1:8" ht="12.75" x14ac:dyDescent="0.2">
      <c r="A127">
        <v>126</v>
      </c>
      <c r="B127" s="15" t="str">
        <f ca="1">IFERROR(__xludf.DUMMYFUNCTION("""COMPUTED_VALUE"""),"A systematic literature review on benchmarks for evaluating debugging approaches")</f>
        <v>A systematic literature review on benchmarks for evaluating debugging approaches</v>
      </c>
      <c r="C127" s="15" t="str">
        <f ca="1">VLOOKUP(B127,'ALL DATABASES'!$A$1:$T$2252,2,FALSE)</f>
        <v>Hirsch T,Hofer B</v>
      </c>
      <c r="D127" s="15">
        <f ca="1">VLOOKUP(B127,'ALL DATABASES'!$A$1:$T$2252,5,FALSE)</f>
        <v>2022</v>
      </c>
      <c r="E127" s="15">
        <f ca="1">VLOOKUP(B127,'ALL DATABASES'!$A$1:$T$2252,10,FALSE)</f>
        <v>2022</v>
      </c>
      <c r="F127" s="54" t="str">
        <f ca="1">VLOOKUP(B127,'ALL DATABASES'!$A$1:$T$2252,14,FALSE)</f>
        <v>https://www.sciencedirect.com/science/article/pii/S0164121222001303;http://dx.doi.org/10.1016/j.jss.2022.111423</v>
      </c>
      <c r="G127" s="15" t="str">
        <f ca="1">VLOOKUP(B127,'ALL DATABASES'!$A$1:$T$2252,3,FALSE)</f>
        <v>Journal Article</v>
      </c>
      <c r="H127" s="50" t="str">
        <f ca="1">VLOOKUP(B127,'ALL DATABASES'!$A$1:$T$2252,20,FALSE)</f>
        <v>SCIENCEDIRECT</v>
      </c>
    </row>
    <row r="128" spans="1:8" ht="12.75" x14ac:dyDescent="0.2">
      <c r="A128">
        <v>127</v>
      </c>
      <c r="B128" s="15" t="str">
        <f ca="1">IFERROR(__xludf.DUMMYFUNCTION("""COMPUTED_VALUE"""),"A Systematic Literature Review on Empirical Analysis of the Relationship Between Code Smells and Software Quality Attributes")</f>
        <v>A Systematic Literature Review on Empirical Analysis of the Relationship Between Code Smells and Software Quality Attributes</v>
      </c>
      <c r="C128" s="15" t="str">
        <f ca="1">VLOOKUP(B128,'ALL DATABASES'!$A$1:$T$2252,2,FALSE)</f>
        <v>Amandeep Kaur</v>
      </c>
      <c r="D128" s="15">
        <f ca="1">VLOOKUP(B128,'ALL DATABASES'!$A$1:$T$2252,5,FALSE)</f>
        <v>2020</v>
      </c>
      <c r="E128" s="15">
        <f ca="1">VLOOKUP(B128,'ALL DATABASES'!$A$1:$T$2252,10,FALSE)</f>
        <v>0</v>
      </c>
      <c r="F128" s="54" t="str">
        <f ca="1">VLOOKUP(B128,'ALL DATABASES'!$A$1:$T$2252,14,FALSE)</f>
        <v>http://link.springer.com/article/10.1007/s11831-019-09348-6</v>
      </c>
      <c r="G128" s="15" t="str">
        <f ca="1">VLOOKUP(B128,'ALL DATABASES'!$A$1:$T$2252,3,FALSE)</f>
        <v>Article</v>
      </c>
      <c r="H128" s="50" t="str">
        <f ca="1">VLOOKUP(B128,'ALL DATABASES'!$A$1:$T$2252,20,FALSE)</f>
        <v>SPRINGER</v>
      </c>
    </row>
    <row r="129" spans="1:8" ht="12.75" x14ac:dyDescent="0.2">
      <c r="A129">
        <v>128</v>
      </c>
      <c r="B129" s="15" t="str">
        <f ca="1">IFERROR(__xludf.DUMMYFUNCTION("""COMPUTED_VALUE"""),"A Systematic Literature Review on Implementing Non-functional Requirements in Agile Software Development: Issues and Facilitating Practices")</f>
        <v>A Systematic Literature Review on Implementing Non-functional Requirements in Agile Software Development: Issues and Facilitating Practices</v>
      </c>
      <c r="C129" s="15" t="str">
        <f ca="1">VLOOKUP(B129,'ALL DATABASES'!$A$1:$T$2252,2,FALSE)</f>
        <v>Aleksander JarzÄ™bowiczPaweÅ‚ Weichbroth</v>
      </c>
      <c r="D129" s="15">
        <f ca="1">VLOOKUP(B129,'ALL DATABASES'!$A$1:$T$2252,5,FALSE)</f>
        <v>2021</v>
      </c>
      <c r="E129" s="15">
        <f ca="1">VLOOKUP(B129,'ALL DATABASES'!$A$1:$T$2252,10,FALSE)</f>
        <v>0</v>
      </c>
      <c r="F129" s="54" t="str">
        <f ca="1">VLOOKUP(B129,'ALL DATABASES'!$A$1:$T$2252,14,FALSE)</f>
        <v>http://link.springer.com/chapter/10.1007/978-3-030-67084-9_6</v>
      </c>
      <c r="G129" s="15" t="str">
        <f ca="1">VLOOKUP(B129,'ALL DATABASES'!$A$1:$T$2252,3,FALSE)</f>
        <v>Chapter</v>
      </c>
      <c r="H129" s="50" t="str">
        <f ca="1">VLOOKUP(B129,'ALL DATABASES'!$A$1:$T$2252,20,FALSE)</f>
        <v>SPRINGER</v>
      </c>
    </row>
    <row r="130" spans="1:8" ht="12.75" x14ac:dyDescent="0.2">
      <c r="A130">
        <v>129</v>
      </c>
      <c r="B130" s="15" t="str">
        <f ca="1">IFERROR(__xludf.DUMMYFUNCTION("""COMPUTED_VALUE"""),"A systematic literature review on quality criteria for agile requirements specifications")</f>
        <v>A systematic literature review on quality criteria for agile requirements specifications</v>
      </c>
      <c r="C130" s="15" t="str">
        <f ca="1">VLOOKUP(B130,'ALL DATABASES'!$A$1:$T$2252,2,FALSE)</f>
        <v>Petra HeckAndy Zaidman</v>
      </c>
      <c r="D130" s="15">
        <f ca="1">VLOOKUP(B130,'ALL DATABASES'!$A$1:$T$2252,5,FALSE)</f>
        <v>2018</v>
      </c>
      <c r="E130" s="15">
        <f ca="1">VLOOKUP(B130,'ALL DATABASES'!$A$1:$T$2252,10,FALSE)</f>
        <v>0</v>
      </c>
      <c r="F130" s="54" t="str">
        <f ca="1">VLOOKUP(B130,'ALL DATABASES'!$A$1:$T$2252,14,FALSE)</f>
        <v>http://link.springer.com/article/10.1007/s11219-016-9336-4</v>
      </c>
      <c r="G130" s="15" t="str">
        <f ca="1">VLOOKUP(B130,'ALL DATABASES'!$A$1:$T$2252,3,FALSE)</f>
        <v>Article</v>
      </c>
      <c r="H130" s="50" t="str">
        <f ca="1">VLOOKUP(B130,'ALL DATABASES'!$A$1:$T$2252,20,FALSE)</f>
        <v>SPRINGER</v>
      </c>
    </row>
    <row r="131" spans="1:8" ht="12.75" x14ac:dyDescent="0.2">
      <c r="A131">
        <v>130</v>
      </c>
      <c r="B131" s="15" t="str">
        <f ca="1">IFERROR(__xludf.DUMMYFUNCTION("""COMPUTED_VALUE"""),"A systematic literature review on requirement prioritization techniques and their empirical evaluation")</f>
        <v>A systematic literature review on requirement prioritization techniques and their empirical evaluation</v>
      </c>
      <c r="C131" s="15" t="str">
        <f ca="1">VLOOKUP(B131,'ALL DATABASES'!$A$1:$T$2252,2,FALSE)</f>
        <v>Bukhsh FA,Bukhsh ZA,Daneva M</v>
      </c>
      <c r="D131" s="15">
        <f ca="1">VLOOKUP(B131,'ALL DATABASES'!$A$1:$T$2252,5,FALSE)</f>
        <v>2020</v>
      </c>
      <c r="E131" s="15">
        <f ca="1">VLOOKUP(B131,'ALL DATABASES'!$A$1:$T$2252,10,FALSE)</f>
        <v>2020</v>
      </c>
      <c r="F131" s="54" t="str">
        <f ca="1">VLOOKUP(B131,'ALL DATABASES'!$A$1:$T$2252,14,FALSE)</f>
        <v>https://www.sciencedirect.com/science/article/pii/S0920548919300789;http://dx.doi.org/10.1016/j.csi.2019.103389</v>
      </c>
      <c r="G131" s="15" t="str">
        <f ca="1">VLOOKUP(B131,'ALL DATABASES'!$A$1:$T$2252,3,FALSE)</f>
        <v>Journal Article</v>
      </c>
      <c r="H131" s="50" t="str">
        <f ca="1">VLOOKUP(B131,'ALL DATABASES'!$A$1:$T$2252,20,FALSE)</f>
        <v>SCIENCEDIRECT</v>
      </c>
    </row>
    <row r="132" spans="1:8" ht="12.75" x14ac:dyDescent="0.2">
      <c r="A132">
        <v>131</v>
      </c>
      <c r="B132" s="15" t="str">
        <f ca="1">IFERROR(__xludf.DUMMYFUNCTION("""COMPUTED_VALUE"""),"A systematic literature review on software defect prediction using artificial intelligence: Datasets, Data Validation Methods, Approaches, and Tools")</f>
        <v>A systematic literature review on software defect prediction using artificial intelligence: Datasets, Data Validation Methods, Approaches, and Tools</v>
      </c>
      <c r="C132" s="15" t="str">
        <f ca="1">VLOOKUP(B132,'ALL DATABASES'!$A$1:$T$2252,2,FALSE)</f>
        <v>Pachouly J,Ahirrao S,Kotecha K,Selvachandran G,Abraham A</v>
      </c>
      <c r="D132" s="15">
        <f ca="1">VLOOKUP(B132,'ALL DATABASES'!$A$1:$T$2252,5,FALSE)</f>
        <v>2022</v>
      </c>
      <c r="E132" s="15">
        <f ca="1">VLOOKUP(B132,'ALL DATABASES'!$A$1:$T$2252,10,FALSE)</f>
        <v>2022</v>
      </c>
      <c r="F132" s="54" t="str">
        <f ca="1">VLOOKUP(B132,'ALL DATABASES'!$A$1:$T$2252,14,FALSE)</f>
        <v>https://www.sciencedirect.com/science/article/pii/S0952197622000616;http://dx.doi.org/10.1016/j.engappai.2022.104773</v>
      </c>
      <c r="G132" s="15" t="str">
        <f ca="1">VLOOKUP(B132,'ALL DATABASES'!$A$1:$T$2252,3,FALSE)</f>
        <v>Journal Article</v>
      </c>
      <c r="H132" s="50" t="str">
        <f ca="1">VLOOKUP(B132,'ALL DATABASES'!$A$1:$T$2252,20,FALSE)</f>
        <v>SCIENCEDIRECT</v>
      </c>
    </row>
    <row r="133" spans="1:8" ht="12.75" x14ac:dyDescent="0.2">
      <c r="A133">
        <v>132</v>
      </c>
      <c r="B133" s="15" t="str">
        <f ca="1">IFERROR(__xludf.DUMMYFUNCTION("""COMPUTED_VALUE"""),"A Systematic Literature Review on Software Maintenance for Cyber-Physical Systems")</f>
        <v>A Systematic Literature Review on Software Maintenance for Cyber-Physical Systems</v>
      </c>
      <c r="C133" s="15" t="str">
        <f ca="1">VLOOKUP(B133,'ALL DATABASES'!$A$1:$T$2252,2,FALSE)</f>
        <v>Khezami N,Kessentini M,Ferreira TN</v>
      </c>
      <c r="D133" s="15">
        <f ca="1">VLOOKUP(B133,'ALL DATABASES'!$A$1:$T$2252,5,FALSE)</f>
        <v>2021</v>
      </c>
      <c r="E133" s="15">
        <f ca="1">VLOOKUP(B133,'ALL DATABASES'!$A$1:$T$2252,10,FALSE)</f>
        <v>2021</v>
      </c>
      <c r="F133" s="54" t="str">
        <f ca="1">VLOOKUP(B133,'ALL DATABASES'!$A$1:$T$2252,14,FALSE)</f>
        <v>http://dx.doi.org/10.1109/ACCESS.2021.3126681</v>
      </c>
      <c r="G133" s="15" t="str">
        <f ca="1">VLOOKUP(B133,'ALL DATABASES'!$A$1:$T$2252,3,FALSE)</f>
        <v>Journal Article</v>
      </c>
      <c r="H133" s="50" t="str">
        <f ca="1">VLOOKUP(B133,'ALL DATABASES'!$A$1:$T$2252,20,FALSE)</f>
        <v>IEEE</v>
      </c>
    </row>
    <row r="134" spans="1:8" ht="12.75" x14ac:dyDescent="0.2">
      <c r="A134">
        <v>133</v>
      </c>
      <c r="B134" s="15" t="str">
        <f ca="1">IFERROR(__xludf.DUMMYFUNCTION("""COMPUTED_VALUE"""),"A systematic literature review on the detection of smells and their evolution in object-oriented and service-oriented systems")</f>
        <v>A systematic literature review on the detection of smells and their evolution in object-oriented and service-oriented systems</v>
      </c>
      <c r="C134" s="15" t="str">
        <f ca="1">VLOOKUP(B134,'ALL DATABASES'!$A$1:$T$2252,2,FALSE)</f>
        <v>Sabir F,Palma F,Rasool G,Guéhéneuc YG,Moha N</v>
      </c>
      <c r="D134" s="15">
        <f ca="1">VLOOKUP(B134,'ALL DATABASES'!$A$1:$T$2252,5,FALSE)</f>
        <v>2019</v>
      </c>
      <c r="E134" s="15">
        <f ca="1">VLOOKUP(B134,'ALL DATABASES'!$A$1:$T$2252,10,FALSE)</f>
        <v>2019</v>
      </c>
      <c r="F134" s="54" t="str">
        <f ca="1">VLOOKUP(B134,'ALL DATABASES'!$A$1:$T$2252,14,FALSE)</f>
        <v>https://www.scopus.com/inward/record.uri?eid=2-s2.0-85054360412&amp;doi=10.1002%2fspe.2639&amp;partnerID=40&amp;md5=f5da700d6e3092b8512328c2b1c4622c;http://dx.doi.org/10.1002/spe.2639</v>
      </c>
      <c r="G134" s="15" t="str">
        <f ca="1">VLOOKUP(B134,'ALL DATABASES'!$A$1:$T$2252,3,FALSE)</f>
        <v>Journal Article</v>
      </c>
      <c r="H134" s="50" t="str">
        <f ca="1">VLOOKUP(B134,'ALL DATABASES'!$A$1:$T$2252,20,FALSE)</f>
        <v>SCOPUS</v>
      </c>
    </row>
    <row r="135" spans="1:8" ht="12.75" x14ac:dyDescent="0.2">
      <c r="A135">
        <v>134</v>
      </c>
      <c r="B135" s="15" t="str">
        <f ca="1">IFERROR(__xludf.DUMMYFUNCTION("""COMPUTED_VALUE"""),"A Systematic Literature Review on Using Machine Learning Algorithms for Software Requirements Identification on Stack Overflow")</f>
        <v>A Systematic Literature Review on Using Machine Learning Algorithms for Software Requirements Identification on Stack Overflow</v>
      </c>
      <c r="C135" s="15" t="str">
        <f ca="1">VLOOKUP(B135,'ALL DATABASES'!$A$1:$T$2252,2,FALSE)</f>
        <v>Ahmad A,Feng C,Khan M,Khan A,Ullah A,Nazir S,Tahir A</v>
      </c>
      <c r="D135" s="15">
        <f ca="1">VLOOKUP(B135,'ALL DATABASES'!$A$1:$T$2252,5,FALSE)</f>
        <v>2020</v>
      </c>
      <c r="E135" s="15">
        <f ca="1">VLOOKUP(B135,'ALL DATABASES'!$A$1:$T$2252,10,FALSE)</f>
        <v>2020</v>
      </c>
      <c r="F135" s="54" t="str">
        <f ca="1">VLOOKUP(B135,'ALL DATABASES'!$A$1:$T$2252,14,FALSE)</f>
        <v>https://www.scopus.com/inward/record.uri?eid=2-s2.0-85089026459&amp;doi=10.1155%2f2020%2f8830683&amp;partnerID=40&amp;md5=e03293835a3c5c6a7fa7ff50fa182fad;http://dx.doi.org/10.1155/2020/8830683</v>
      </c>
      <c r="G135" s="15" t="str">
        <f ca="1">VLOOKUP(B135,'ALL DATABASES'!$A$1:$T$2252,3,FALSE)</f>
        <v>Journal Article</v>
      </c>
      <c r="H135" s="50" t="str">
        <f ca="1">VLOOKUP(B135,'ALL DATABASES'!$A$1:$T$2252,20,FALSE)</f>
        <v>SCOPUS</v>
      </c>
    </row>
    <row r="136" spans="1:8" ht="12.75" x14ac:dyDescent="0.2">
      <c r="A136">
        <v>135</v>
      </c>
      <c r="B136" s="15" t="str">
        <f ca="1">IFERROR(__xludf.DUMMYFUNCTION("""COMPUTED_VALUE"""),"A systematic literature review: Refactoring for disclosing code smells in object oriented software")</f>
        <v>A systematic literature review: Refactoring for disclosing code smells in object oriented software</v>
      </c>
      <c r="C136" s="15" t="str">
        <f ca="1">VLOOKUP(B136,'ALL DATABASES'!$A$1:$T$2252,2,FALSE)</f>
        <v>Singh S,Kaur S</v>
      </c>
      <c r="D136" s="15">
        <f ca="1">VLOOKUP(B136,'ALL DATABASES'!$A$1:$T$2252,5,FALSE)</f>
        <v>2018</v>
      </c>
      <c r="E136" s="15">
        <f ca="1">VLOOKUP(B136,'ALL DATABASES'!$A$1:$T$2252,10,FALSE)</f>
        <v>2018</v>
      </c>
      <c r="F136" s="54" t="str">
        <f ca="1">VLOOKUP(B136,'ALL DATABASES'!$A$1:$T$2252,14,FALSE)</f>
        <v>https://www.scopus.com/inward/record.uri?eid=2-s2.0-85015808258&amp;doi=10.1016%2fj.asej.2017.03.002&amp;partnerID=40&amp;md5=5c660ecb8b2ded05a6eade8de60650ca;http://dx.doi.org/10.1016/j.asej.2017.03.002</v>
      </c>
      <c r="G136" s="15" t="str">
        <f ca="1">VLOOKUP(B136,'ALL DATABASES'!$A$1:$T$2252,3,FALSE)</f>
        <v>Journal Article</v>
      </c>
      <c r="H136" s="50" t="str">
        <f ca="1">VLOOKUP(B136,'ALL DATABASES'!$A$1:$T$2252,20,FALSE)</f>
        <v>SCOPUS</v>
      </c>
    </row>
    <row r="137" spans="1:8" ht="12.75" x14ac:dyDescent="0.2">
      <c r="A137">
        <v>136</v>
      </c>
      <c r="B137" s="15" t="str">
        <f ca="1">IFERROR(__xludf.DUMMYFUNCTION("""COMPUTED_VALUE"""),"A Systematic Mapping of Quality Models for AI Systems, Software and Components")</f>
        <v>A Systematic Mapping of Quality Models for AI Systems, Software and Components</v>
      </c>
      <c r="C137" s="15" t="str">
        <f ca="1">VLOOKUP(B137,'ALL DATABASES'!$A$1:$T$2252,2,FALSE)</f>
        <v>Ali MA,Yap NK,Ghani AA,Zulzalil H,Admodisastro NI,Najafabadi AA</v>
      </c>
      <c r="D137" s="15">
        <f ca="1">VLOOKUP(B137,'ALL DATABASES'!$A$1:$T$2252,5,FALSE)</f>
        <v>2022</v>
      </c>
      <c r="E137" s="15">
        <f ca="1">VLOOKUP(B137,'ALL DATABASES'!$A$1:$T$2252,10,FALSE)</f>
        <v>2022</v>
      </c>
      <c r="F137" s="54" t="str">
        <f ca="1">VLOOKUP(B137,'ALL DATABASES'!$A$1:$T$2252,14,FALSE)</f>
        <v>https://www.scopus.com/inward/record.uri?eid=2-s2.0-85137790866&amp;doi=10.3390%2fapp12178700&amp;partnerID=40&amp;md5=fe8697202d4e7ca0e3253705da5e022c;http://dx.doi.org/10.3390/app12178700</v>
      </c>
      <c r="G137" s="15" t="str">
        <f ca="1">VLOOKUP(B137,'ALL DATABASES'!$A$1:$T$2252,3,FALSE)</f>
        <v>Journal Article</v>
      </c>
      <c r="H137" s="50" t="str">
        <f ca="1">VLOOKUP(B137,'ALL DATABASES'!$A$1:$T$2252,20,FALSE)</f>
        <v>SCOPUS</v>
      </c>
    </row>
    <row r="138" spans="1:8" ht="12.75" x14ac:dyDescent="0.2">
      <c r="A138">
        <v>137</v>
      </c>
      <c r="B138" s="15" t="str">
        <f ca="1">IFERROR(__xludf.DUMMYFUNCTION("""COMPUTED_VALUE"""),"A systematic mapping study addressing the reliability of mobile applications: The need to move beyond testing reliability")</f>
        <v>A systematic mapping study addressing the reliability of mobile applications: The need to move beyond testing reliability</v>
      </c>
      <c r="C138" s="15" t="str">
        <f ca="1">VLOOKUP(B138,'ALL DATABASES'!$A$1:$T$2252,2,FALSE)</f>
        <v>Wimalasooriya C,Licorish SA,da Costa DA,MacDonell SG</v>
      </c>
      <c r="D138" s="15">
        <f ca="1">VLOOKUP(B138,'ALL DATABASES'!$A$1:$T$2252,5,FALSE)</f>
        <v>2022</v>
      </c>
      <c r="E138" s="15">
        <f ca="1">VLOOKUP(B138,'ALL DATABASES'!$A$1:$T$2252,10,FALSE)</f>
        <v>2022</v>
      </c>
      <c r="F138" s="54" t="str">
        <f ca="1">VLOOKUP(B138,'ALL DATABASES'!$A$1:$T$2252,14,FALSE)</f>
        <v>https://www.sciencedirect.com/science/article/pii/S016412122100251X;http://dx.doi.org/10.1016/j.jss.2021.111166</v>
      </c>
      <c r="G138" s="15" t="str">
        <f ca="1">VLOOKUP(B138,'ALL DATABASES'!$A$1:$T$2252,3,FALSE)</f>
        <v>Journal Article</v>
      </c>
      <c r="H138" s="50" t="str">
        <f ca="1">VLOOKUP(B138,'ALL DATABASES'!$A$1:$T$2252,20,FALSE)</f>
        <v>SCIENCEDIRECT</v>
      </c>
    </row>
    <row r="139" spans="1:8" ht="12.75" x14ac:dyDescent="0.2">
      <c r="A139">
        <v>138</v>
      </c>
      <c r="B139" s="15" t="str">
        <f ca="1">IFERROR(__xludf.DUMMYFUNCTION("""COMPUTED_VALUE"""),"A Systematic Mapping Study on Analysis of Code Repositories")</f>
        <v>A Systematic Mapping Study on Analysis of Code Repositories</v>
      </c>
      <c r="C139" s="15" t="str">
        <f ca="1">VLOOKUP(B139,'ALL DATABASES'!$A$1:$T$2252,2,FALSE)</f>
        <v>Sayago-Heredia J,Pérez-Castillo R,Piattini M</v>
      </c>
      <c r="D139" s="15">
        <f ca="1">VLOOKUP(B139,'ALL DATABASES'!$A$1:$T$2252,5,FALSE)</f>
        <v>2021</v>
      </c>
      <c r="E139" s="15">
        <f ca="1">VLOOKUP(B139,'ALL DATABASES'!$A$1:$T$2252,10,FALSE)</f>
        <v>2021</v>
      </c>
      <c r="F139" s="54" t="str">
        <f ca="1">VLOOKUP(B139,'ALL DATABASES'!$A$1:$T$2252,14,FALSE)</f>
        <v>https://www.scopus.com/inward/record.uri?eid=2-s2.0-85112267816&amp;doi=10.15388%2f21-INFOR454&amp;partnerID=40&amp;md5=8bd149a1f3f0de62a234c35f84b10d05;http://dx.doi.org/10.15388/21-INFOR454</v>
      </c>
      <c r="G139" s="15" t="str">
        <f ca="1">VLOOKUP(B139,'ALL DATABASES'!$A$1:$T$2252,3,FALSE)</f>
        <v>Journal Article</v>
      </c>
      <c r="H139" s="50" t="str">
        <f ca="1">VLOOKUP(B139,'ALL DATABASES'!$A$1:$T$2252,20,FALSE)</f>
        <v>SCOPUS</v>
      </c>
    </row>
    <row r="140" spans="1:8" ht="12.75" x14ac:dyDescent="0.2">
      <c r="A140">
        <v>139</v>
      </c>
      <c r="B140" s="15" t="str">
        <f ca="1">IFERROR(__xludf.DUMMYFUNCTION("""COMPUTED_VALUE"""),"A systematic mapping study on architectural smells detection")</f>
        <v>A systematic mapping study on architectural smells detection</v>
      </c>
      <c r="C140" s="15" t="str">
        <f ca="1">VLOOKUP(B140,'ALL DATABASES'!$A$1:$T$2252,2,FALSE)</f>
        <v>Mumtaz H,Singh P,Blincoe K</v>
      </c>
      <c r="D140" s="15">
        <f ca="1">VLOOKUP(B140,'ALL DATABASES'!$A$1:$T$2252,5,FALSE)</f>
        <v>2021</v>
      </c>
      <c r="E140" s="15">
        <f ca="1">VLOOKUP(B140,'ALL DATABASES'!$A$1:$T$2252,10,FALSE)</f>
        <v>2021</v>
      </c>
      <c r="F140" s="54" t="str">
        <f ca="1">VLOOKUP(B140,'ALL DATABASES'!$A$1:$T$2252,14,FALSE)</f>
        <v>https://www.scopus.com/inward/record.uri?eid=2-s2.0-85098698807&amp;doi=10.1016%2fj.jss.2020.110885&amp;partnerID=40&amp;md5=79bcce91325598c5ba71753a900109f3;http://dx.doi.org/10.1016/j.jss.2020.110885</v>
      </c>
      <c r="G140" s="15" t="str">
        <f ca="1">VLOOKUP(B140,'ALL DATABASES'!$A$1:$T$2252,3,FALSE)</f>
        <v>Journal Article</v>
      </c>
      <c r="H140" s="50" t="str">
        <f ca="1">VLOOKUP(B140,'ALL DATABASES'!$A$1:$T$2252,20,FALSE)</f>
        <v>SCOPUS</v>
      </c>
    </row>
    <row r="141" spans="1:8" ht="12.75" x14ac:dyDescent="0.2">
      <c r="A141">
        <v>140</v>
      </c>
      <c r="B141" s="15" t="str">
        <f ca="1">IFERROR(__xludf.DUMMYFUNCTION("""COMPUTED_VALUE"""),"A Systematic Mapping Study on Mining Software Repositories")</f>
        <v>A Systematic Mapping Study on Mining Software Repositories</v>
      </c>
      <c r="C141" s="15" t="str">
        <f ca="1">VLOOKUP(B141,'ALL DATABASES'!$A$1:$T$2252,2,FALSE)</f>
        <v>de F. Farias MA,Novais R,Júnior MC,da Silva Carvalho LP,Mendonça M,Spínola RO</v>
      </c>
      <c r="D141" s="15">
        <f ca="1">VLOOKUP(B141,'ALL DATABASES'!$A$1:$T$2252,5,FALSE)</f>
        <v>2016</v>
      </c>
      <c r="E141" s="15">
        <f ca="1">VLOOKUP(B141,'ALL DATABASES'!$A$1:$T$2252,10,FALSE)</f>
        <v>2016</v>
      </c>
      <c r="F141" s="54" t="str">
        <f ca="1">VLOOKUP(B141,'ALL DATABASES'!$A$1:$T$2252,14,FALSE)</f>
        <v>https://doi.org/10.1145/2851613.2851786;http://dx.doi.org/10.1145/2851613.2851786</v>
      </c>
      <c r="G141" s="15" t="str">
        <f ca="1">VLOOKUP(B141,'ALL DATABASES'!$A$1:$T$2252,3,FALSE)</f>
        <v>Conference Paper</v>
      </c>
      <c r="H141" s="50" t="str">
        <f ca="1">VLOOKUP(B141,'ALL DATABASES'!$A$1:$T$2252,20,FALSE)</f>
        <v>ACM</v>
      </c>
    </row>
    <row r="142" spans="1:8" ht="12.75" x14ac:dyDescent="0.2">
      <c r="A142">
        <v>141</v>
      </c>
      <c r="B142" s="15" t="str">
        <f ca="1">IFERROR(__xludf.DUMMYFUNCTION("""COMPUTED_VALUE"""),"A Systematic Review of Machine Learning DevOps")</f>
        <v>A Systematic Review of Machine Learning DevOps</v>
      </c>
      <c r="C142" s="15" t="str">
        <f ca="1">VLOOKUP(B142,'ALL DATABASES'!$A$1:$T$2252,2,FALSE)</f>
        <v>Mboweni T,Masombuka T,Dongmo C</v>
      </c>
      <c r="D142" s="15">
        <f ca="1">VLOOKUP(B142,'ALL DATABASES'!$A$1:$T$2252,5,FALSE)</f>
        <v>2022</v>
      </c>
      <c r="E142" s="15">
        <f ca="1">VLOOKUP(B142,'ALL DATABASES'!$A$1:$T$2252,10,FALSE)</f>
        <v>2022</v>
      </c>
      <c r="F142" s="54" t="str">
        <f ca="1">VLOOKUP(B142,'ALL DATABASES'!$A$1:$T$2252,14,FALSE)</f>
        <v>https://www.scopus.com/inward/record.uri?eid=2-s2.0-85138929045&amp;doi=10.1109%2fICECET55527.2022.9872968&amp;partnerID=40&amp;md5=52ac5a1450f66dbb285066b96f28b923;http://dx.doi.org/10.1109/ICECET55527.2022.9872968</v>
      </c>
      <c r="G142" s="15" t="str">
        <f ca="1">VLOOKUP(B142,'ALL DATABASES'!$A$1:$T$2252,3,FALSE)</f>
        <v>Conference Paper</v>
      </c>
      <c r="H142" s="50" t="str">
        <f ca="1">VLOOKUP(B142,'ALL DATABASES'!$A$1:$T$2252,20,FALSE)</f>
        <v>SCOPUS</v>
      </c>
    </row>
    <row r="143" spans="1:8" ht="12.75" x14ac:dyDescent="0.2">
      <c r="A143">
        <v>142</v>
      </c>
      <c r="B143" s="15" t="str">
        <f ca="1">IFERROR(__xludf.DUMMYFUNCTION("""COMPUTED_VALUE"""),"A Systematic Review on Cloud Testing")</f>
        <v>A Systematic Review on Cloud Testing</v>
      </c>
      <c r="C143" s="15" t="str">
        <f ca="1">VLOOKUP(B143,'ALL DATABASES'!$A$1:$T$2252,2,FALSE)</f>
        <v>Bertolino A,Angelis G,Gallego M,García B,Gortázar F,Lonetti F,Marchetti E</v>
      </c>
      <c r="D143" s="15">
        <f ca="1">VLOOKUP(B143,'ALL DATABASES'!$A$1:$T$2252,5,FALSE)</f>
        <v>2019</v>
      </c>
      <c r="E143" s="55">
        <f ca="1">VLOOKUP(B143,'ALL DATABASES'!$A$1:$T$2252,10,FALSE)</f>
        <v>43709</v>
      </c>
      <c r="F143" s="54" t="str">
        <f ca="1">VLOOKUP(B143,'ALL DATABASES'!$A$1:$T$2252,14,FALSE)</f>
        <v>https://doi.org/10.1145/3331447;http://dx.doi.org/10.1145/3331447</v>
      </c>
      <c r="G143" s="15" t="str">
        <f ca="1">VLOOKUP(B143,'ALL DATABASES'!$A$1:$T$2252,3,FALSE)</f>
        <v>Journal Article</v>
      </c>
      <c r="H143" s="50" t="str">
        <f ca="1">VLOOKUP(B143,'ALL DATABASES'!$A$1:$T$2252,20,FALSE)</f>
        <v>ACM</v>
      </c>
    </row>
    <row r="144" spans="1:8" ht="12.75" x14ac:dyDescent="0.2">
      <c r="A144">
        <v>143</v>
      </c>
      <c r="B144" s="15" t="str">
        <f ca="1">IFERROR(__xludf.DUMMYFUNCTION("""COMPUTED_VALUE"""),"A Systems Perspective on Technical Debt")</f>
        <v>A Systems Perspective on Technical Debt</v>
      </c>
      <c r="C144" s="15" t="str">
        <f ca="1">VLOOKUP(B144,'ALL DATABASES'!$A$1:$T$2252,2,FALSE)</f>
        <v>Rosser LA,Norton JH</v>
      </c>
      <c r="D144" s="15">
        <f ca="1">VLOOKUP(B144,'ALL DATABASES'!$A$1:$T$2252,5,FALSE)</f>
        <v>2021</v>
      </c>
      <c r="E144" s="55">
        <f ca="1">VLOOKUP(B144,'ALL DATABASES'!$A$1:$T$2252,10,FALSE)</f>
        <v>44256</v>
      </c>
      <c r="F144" s="54" t="str">
        <f ca="1">VLOOKUP(B144,'ALL DATABASES'!$A$1:$T$2252,14,FALSE)</f>
        <v>http://dx.doi.org/10.1109/AERO50100.2021.9438359</v>
      </c>
      <c r="G144" s="15" t="str">
        <f ca="1">VLOOKUP(B144,'ALL DATABASES'!$A$1:$T$2252,3,FALSE)</f>
        <v>Conference Paper</v>
      </c>
      <c r="H144" s="50" t="str">
        <f ca="1">VLOOKUP(B144,'ALL DATABASES'!$A$1:$T$2252,20,FALSE)</f>
        <v>IEEE</v>
      </c>
    </row>
    <row r="145" spans="1:8" ht="12.75" x14ac:dyDescent="0.2">
      <c r="A145">
        <v>144</v>
      </c>
      <c r="B145" s="15" t="str">
        <f ca="1">IFERROR(__xludf.DUMMYFUNCTION("""COMPUTED_VALUE"""),"A Taxonomy of Metrics for Software Fault Prediction")</f>
        <v>A Taxonomy of Metrics for Software Fault Prediction</v>
      </c>
      <c r="C145" s="15" t="str">
        <f ca="1">VLOOKUP(B145,'ALL DATABASES'!$A$1:$T$2252,2,FALSE)</f>
        <v>Caulo M,Scanniello G</v>
      </c>
      <c r="D145" s="15">
        <f ca="1">VLOOKUP(B145,'ALL DATABASES'!$A$1:$T$2252,5,FALSE)</f>
        <v>2020</v>
      </c>
      <c r="E145" s="55">
        <f ca="1">VLOOKUP(B145,'ALL DATABASES'!$A$1:$T$2252,10,FALSE)</f>
        <v>44044</v>
      </c>
      <c r="F145" s="54" t="str">
        <f ca="1">VLOOKUP(B145,'ALL DATABASES'!$A$1:$T$2252,14,FALSE)</f>
        <v>http://dx.doi.org/10.1109/SEAA51224.2020.00075</v>
      </c>
      <c r="G145" s="15" t="str">
        <f ca="1">VLOOKUP(B145,'ALL DATABASES'!$A$1:$T$2252,3,FALSE)</f>
        <v>Conference Paper</v>
      </c>
      <c r="H145" s="50" t="str">
        <f ca="1">VLOOKUP(B145,'ALL DATABASES'!$A$1:$T$2252,20,FALSE)</f>
        <v>IEEE</v>
      </c>
    </row>
    <row r="146" spans="1:8" ht="12.75" x14ac:dyDescent="0.2">
      <c r="A146">
        <v>145</v>
      </c>
      <c r="B146" s="15" t="str">
        <f ca="1">IFERROR(__xludf.DUMMYFUNCTION("""COMPUTED_VALUE"""),"A Taxonomy of Software Engineering Challenges for Machine Learning Systems: An Empirical Investigation")</f>
        <v>A Taxonomy of Software Engineering Challenges for Machine Learning Systems: An Empirical Investigation</v>
      </c>
      <c r="C146" s="15" t="str">
        <f ca="1">VLOOKUP(B146,'ALL DATABASES'!$A$1:$T$2252,2,FALSE)</f>
        <v>Lucy Ellen LwakatareAiswarya RajJan BoschHelena HolmstrÃ¶m OlssonIvica Crnkovic</v>
      </c>
      <c r="D146" s="15">
        <f ca="1">VLOOKUP(B146,'ALL DATABASES'!$A$1:$T$2252,5,FALSE)</f>
        <v>2019</v>
      </c>
      <c r="E146" s="15">
        <f ca="1">VLOOKUP(B146,'ALL DATABASES'!$A$1:$T$2252,10,FALSE)</f>
        <v>0</v>
      </c>
      <c r="F146" s="54" t="str">
        <f ca="1">VLOOKUP(B146,'ALL DATABASES'!$A$1:$T$2252,14,FALSE)</f>
        <v>http://link.springer.com/chapter/10.1007/978-3-030-19034-7_14</v>
      </c>
      <c r="G146" s="15" t="str">
        <f ca="1">VLOOKUP(B146,'ALL DATABASES'!$A$1:$T$2252,3,FALSE)</f>
        <v>Chapter</v>
      </c>
      <c r="H146" s="50" t="str">
        <f ca="1">VLOOKUP(B146,'ALL DATABASES'!$A$1:$T$2252,20,FALSE)</f>
        <v>SPRINGER</v>
      </c>
    </row>
    <row r="147" spans="1:8" ht="12.75" x14ac:dyDescent="0.2">
      <c r="A147">
        <v>146</v>
      </c>
      <c r="B147" s="15" t="str">
        <f ca="1">IFERROR(__xludf.DUMMYFUNCTION("""COMPUTED_VALUE"""),"A Technique Based on Naming Patterns for Finding Candidates to Components from Source Code")</f>
        <v>A Technique Based on Naming Patterns for Finding Candidates to Components from Source Code</v>
      </c>
      <c r="C147" s="15" t="str">
        <f ca="1">VLOOKUP(B147,'ALL DATABASES'!$A$1:$T$2252,2,FALSE)</f>
        <v>Mendoza Del Carpio P,Dávila A</v>
      </c>
      <c r="D147" s="15">
        <f ca="1">VLOOKUP(B147,'ALL DATABASES'!$A$1:$T$2252,5,FALSE)</f>
        <v>2017</v>
      </c>
      <c r="E147" s="15">
        <f ca="1">VLOOKUP(B147,'ALL DATABASES'!$A$1:$T$2252,10,FALSE)</f>
        <v>2017</v>
      </c>
      <c r="F147" s="54" t="str">
        <f ca="1">VLOOKUP(B147,'ALL DATABASES'!$A$1:$T$2252,14,FALSE)</f>
        <v>https://www.scopus.com/inward/record.uri?eid=2-s2.0-85015151902&amp;doi=10.1109%2fTLA.2017.7867598&amp;partnerID=40&amp;md5=e5c76e09eb8933bbb37c337592a840a7;http://dx.doi.org/10.1109/TLA.2017.7867598</v>
      </c>
      <c r="G147" s="15" t="str">
        <f ca="1">VLOOKUP(B147,'ALL DATABASES'!$A$1:$T$2252,3,FALSE)</f>
        <v>Conference Paper</v>
      </c>
      <c r="H147" s="50" t="str">
        <f ca="1">VLOOKUP(B147,'ALL DATABASES'!$A$1:$T$2252,20,FALSE)</f>
        <v>SCOPUS</v>
      </c>
    </row>
    <row r="148" spans="1:8" ht="12.75" x14ac:dyDescent="0.2">
      <c r="A148">
        <v>147</v>
      </c>
      <c r="B148" s="15" t="str">
        <f ca="1">IFERROR(__xludf.DUMMYFUNCTION("""COMPUTED_VALUE"""),"A tertiary study on technical debt: Types, management strategies, research trends, and base information for practitioners")</f>
        <v>A tertiary study on technical debt: Types, management strategies, research trends, and base information for practitioners</v>
      </c>
      <c r="C148" s="15" t="str">
        <f ca="1">VLOOKUP(B148,'ALL DATABASES'!$A$1:$T$2252,2,FALSE)</f>
        <v>Rios N,Mendonça Neto MG,Spínola RO</v>
      </c>
      <c r="D148" s="15">
        <f ca="1">VLOOKUP(B148,'ALL DATABASES'!$A$1:$T$2252,5,FALSE)</f>
        <v>2018</v>
      </c>
      <c r="E148" s="15">
        <f ca="1">VLOOKUP(B148,'ALL DATABASES'!$A$1:$T$2252,10,FALSE)</f>
        <v>2018</v>
      </c>
      <c r="F148" s="54" t="str">
        <f ca="1">VLOOKUP(B148,'ALL DATABASES'!$A$1:$T$2252,14,FALSE)</f>
        <v>https://www.scopus.com/inward/record.uri?eid=2-s2.0-85048168263&amp;doi=10.1016%2fj.infsof.2018.05.010&amp;partnerID=40&amp;md5=710823121ee7e1f1408ff5f77ecc912b;http://dx.doi.org/10.1016/j.infsof.2018.05.010</v>
      </c>
      <c r="G148" s="15" t="str">
        <f ca="1">VLOOKUP(B148,'ALL DATABASES'!$A$1:$T$2252,3,FALSE)</f>
        <v>Journal Article</v>
      </c>
      <c r="H148" s="50" t="str">
        <f ca="1">VLOOKUP(B148,'ALL DATABASES'!$A$1:$T$2252,20,FALSE)</f>
        <v>SCOPUS</v>
      </c>
    </row>
    <row r="149" spans="1:8" ht="12.75" x14ac:dyDescent="0.2">
      <c r="A149">
        <v>148</v>
      </c>
      <c r="B149" s="15" t="str">
        <f ca="1">IFERROR(__xludf.DUMMYFUNCTION("""COMPUTED_VALUE"""),"AAL and ELE Platform Architecture")</f>
        <v>AAL and ELE Platform Architecture</v>
      </c>
      <c r="C149" s="15" t="str">
        <f ca="1">VLOOKUP(B149,'ALL DATABASES'!$A$1:$T$2252,2,FALSE)</f>
        <v>Goleva RI,Garcia NM,Mavromoustakis CX,Dobre C,Mastorakis G,Stainov R,Chorbev I,Trajkovik V</v>
      </c>
      <c r="D149" s="15">
        <f ca="1">VLOOKUP(B149,'ALL DATABASES'!$A$1:$T$2252,5,FALSE)</f>
        <v>2017</v>
      </c>
      <c r="E149" s="15">
        <f ca="1">VLOOKUP(B149,'ALL DATABASES'!$A$1:$T$2252,10,FALSE)</f>
        <v>2017</v>
      </c>
      <c r="F149" s="54" t="str">
        <f ca="1">VLOOKUP(B149,'ALL DATABASES'!$A$1:$T$2252,14,FALSE)</f>
        <v>https://www.scopus.com/inward/record.uri?eid=2-s2.0-85024370661&amp;doi=10.1016%2fB978-0-12-805195-5.00008-9&amp;partnerID=40&amp;md5=a2abf57e3e55b52dfd00d506f7b0d93a;http://dx.doi.org/10.1016/B978-0-12-805195-5.00008-9</v>
      </c>
      <c r="G149" s="15" t="str">
        <f ca="1">VLOOKUP(B149,'ALL DATABASES'!$A$1:$T$2252,3,FALSE)</f>
        <v>Book</v>
      </c>
      <c r="H149" s="50" t="str">
        <f ca="1">VLOOKUP(B149,'ALL DATABASES'!$A$1:$T$2252,20,FALSE)</f>
        <v>SCOPUS</v>
      </c>
    </row>
    <row r="150" spans="1:8" ht="12.75" x14ac:dyDescent="0.2">
      <c r="A150">
        <v>149</v>
      </c>
      <c r="B150" s="15" t="str">
        <f ca="1">IFERROR(__xludf.DUMMYFUNCTION("""COMPUTED_VALUE"""),"Abnormal detection technology of industrial control system based on transfer learning")</f>
        <v>Abnormal detection technology of industrial control system based on transfer learning</v>
      </c>
      <c r="C150" s="15" t="str">
        <f ca="1">VLOOKUP(B150,'ALL DATABASES'!$A$1:$T$2252,2,FALSE)</f>
        <v>Wang W,Wang C,Wang Z,Yuan M,Luo X,Kurths J,Gao Y</v>
      </c>
      <c r="D150" s="15">
        <f ca="1">VLOOKUP(B150,'ALL DATABASES'!$A$1:$T$2252,5,FALSE)</f>
        <v>2022</v>
      </c>
      <c r="E150" s="15">
        <f ca="1">VLOOKUP(B150,'ALL DATABASES'!$A$1:$T$2252,10,FALSE)</f>
        <v>2022</v>
      </c>
      <c r="F150" s="54" t="str">
        <f ca="1">VLOOKUP(B150,'ALL DATABASES'!$A$1:$T$2252,14,FALSE)</f>
        <v>https://www.scopus.com/inward/record.uri?eid=2-s2.0-85111809296&amp;doi=10.1016%2fj.amc.2021.126539&amp;partnerID=40&amp;md5=1f8edde4745d0e3326d461b07ef7e5f0;http://dx.doi.org/10.1016/j.amc.2021.126539</v>
      </c>
      <c r="G150" s="15" t="str">
        <f ca="1">VLOOKUP(B150,'ALL DATABASES'!$A$1:$T$2252,3,FALSE)</f>
        <v>Journal Article</v>
      </c>
      <c r="H150" s="50" t="str">
        <f ca="1">VLOOKUP(B150,'ALL DATABASES'!$A$1:$T$2252,20,FALSE)</f>
        <v>SCOPUS</v>
      </c>
    </row>
    <row r="151" spans="1:8" ht="12.75" x14ac:dyDescent="0.2">
      <c r="A151">
        <v>150</v>
      </c>
      <c r="B151" s="15" t="str">
        <f ca="1">IFERROR(__xludf.DUMMYFUNCTION("""COMPUTED_VALUE"""),"Accelerating Digital Transformation")</f>
        <v>Accelerating Digital Transformation</v>
      </c>
      <c r="C151" s="15" t="str">
        <f ca="1">VLOOKUP(B151,'ALL DATABASES'!$A$1:$T$2252,2,FALSE)</f>
        <v>Jan BoschJan CarlsonHelena HolmstrÃ¶m OlssonKristian SandahlMiroslaw Staron</v>
      </c>
      <c r="D151" s="15">
        <f ca="1">VLOOKUP(B151,'ALL DATABASES'!$A$1:$T$2252,5,FALSE)</f>
        <v>2022</v>
      </c>
      <c r="E151" s="15">
        <f ca="1">VLOOKUP(B151,'ALL DATABASES'!$A$1:$T$2252,10,FALSE)</f>
        <v>0</v>
      </c>
      <c r="F151" s="54" t="str">
        <f ca="1">VLOOKUP(B151,'ALL DATABASES'!$A$1:$T$2252,14,FALSE)</f>
        <v>http://link.springer.com/book/10.1007/978-3-031-10873-0</v>
      </c>
      <c r="G151" s="15" t="str">
        <f ca="1">VLOOKUP(B151,'ALL DATABASES'!$A$1:$T$2252,3,FALSE)</f>
        <v>Book</v>
      </c>
      <c r="H151" s="50" t="str">
        <f ca="1">VLOOKUP(B151,'ALL DATABASES'!$A$1:$T$2252,20,FALSE)</f>
        <v>SPRINGER</v>
      </c>
    </row>
    <row r="152" spans="1:8" ht="12.75" x14ac:dyDescent="0.2">
      <c r="A152">
        <v>151</v>
      </c>
      <c r="B152" s="15" t="str">
        <f ca="1">IFERROR(__xludf.DUMMYFUNCTION("""COMPUTED_VALUE"""),"Acceleration sensor technology for rail track asset condition monitoring")</f>
        <v>Acceleration sensor technology for rail track asset condition monitoring</v>
      </c>
      <c r="C152" s="15" t="str">
        <f ca="1">VLOOKUP(B152,'ALL DATABASES'!$A$1:$T$2252,2,FALSE)</f>
        <v>Känsälä K,Rantala S,Kauppila O,Leviäkangas P</v>
      </c>
      <c r="D152" s="15">
        <f ca="1">VLOOKUP(B152,'ALL DATABASES'!$A$1:$T$2252,5,FALSE)</f>
        <v>2018</v>
      </c>
      <c r="E152" s="15">
        <f ca="1">VLOOKUP(B152,'ALL DATABASES'!$A$1:$T$2252,10,FALSE)</f>
        <v>2018</v>
      </c>
      <c r="F152" s="54" t="str">
        <f ca="1">VLOOKUP(B152,'ALL DATABASES'!$A$1:$T$2252,14,FALSE)</f>
        <v>https://www.scopus.com/inward/record.uri?eid=2-s2.0-85042186206&amp;doi=10.1680%2fjmapl.17.00040&amp;partnerID=40&amp;md5=4a426a7fec4fc7a4b3d1200face6faf7;http://dx.doi.org/10.1680/jmapl.17.00040</v>
      </c>
      <c r="G152" s="15" t="str">
        <f ca="1">VLOOKUP(B152,'ALL DATABASES'!$A$1:$T$2252,3,FALSE)</f>
        <v>Journal Article</v>
      </c>
      <c r="H152" s="50" t="str">
        <f ca="1">VLOOKUP(B152,'ALL DATABASES'!$A$1:$T$2252,20,FALSE)</f>
        <v>SCOPUS</v>
      </c>
    </row>
    <row r="153" spans="1:8" ht="12.75" x14ac:dyDescent="0.2">
      <c r="A153">
        <v>152</v>
      </c>
      <c r="B153" s="15" t="str">
        <f ca="1">IFERROR(__xludf.DUMMYFUNCTION("""COMPUTED_VALUE"""),"Accurate Modeling of Performance Histories for Evolving Software Systems")</f>
        <v>Accurate Modeling of Performance Histories for Evolving Software Systems</v>
      </c>
      <c r="C153" s="15" t="str">
        <f ca="1">VLOOKUP(B153,'ALL DATABASES'!$A$1:$T$2252,2,FALSE)</f>
        <v>Muhlbauer S,Apel S,Siegmund N</v>
      </c>
      <c r="D153" s="15">
        <f ca="1">VLOOKUP(B153,'ALL DATABASES'!$A$1:$T$2252,5,FALSE)</f>
        <v>2019</v>
      </c>
      <c r="E153" s="15">
        <f ca="1">VLOOKUP(B153,'ALL DATABASES'!$A$1:$T$2252,10,FALSE)</f>
        <v>2019</v>
      </c>
      <c r="F153" s="54" t="str">
        <f ca="1">VLOOKUP(B153,'ALL DATABASES'!$A$1:$T$2252,14,FALSE)</f>
        <v>https://www.scopus.com/inward/record.uri?eid=2-s2.0-85078911241&amp;doi=10.1109%2fASE.2019.00065&amp;partnerID=40&amp;md5=ed17e5d010919355e0d572e5484ea7bb;http://dx.doi.org/10.1109/ASE.2019.00065</v>
      </c>
      <c r="G153" s="15" t="str">
        <f ca="1">VLOOKUP(B153,'ALL DATABASES'!$A$1:$T$2252,3,FALSE)</f>
        <v>Conference Paper</v>
      </c>
      <c r="H153" s="50" t="str">
        <f ca="1">VLOOKUP(B153,'ALL DATABASES'!$A$1:$T$2252,20,FALSE)</f>
        <v>SCOPUS</v>
      </c>
    </row>
    <row r="154" spans="1:8" ht="12.75" x14ac:dyDescent="0.2">
      <c r="A154">
        <v>153</v>
      </c>
      <c r="B154" s="15" t="str">
        <f ca="1">IFERROR(__xludf.DUMMYFUNCTION("""COMPUTED_VALUE"""),"ACM International Conference Proceeding Series")</f>
        <v>ACM International Conference Proceeding Series</v>
      </c>
      <c r="C154" s="15">
        <f ca="1">VLOOKUP(B154,'ALL DATABASES'!$A$1:$T$2252,2,FALSE)</f>
        <v>0</v>
      </c>
      <c r="D154" s="15">
        <f ca="1">VLOOKUP(B154,'ALL DATABASES'!$A$1:$T$2252,5,FALSE)</f>
        <v>2019</v>
      </c>
      <c r="E154" s="15">
        <f ca="1">VLOOKUP(B154,'ALL DATABASES'!$A$1:$T$2252,10,FALSE)</f>
        <v>2019</v>
      </c>
      <c r="F154" s="54" t="str">
        <f ca="1">VLOOKUP(B154,'ALL DATABASES'!$A$1:$T$2252,14,FALSE)</f>
        <v>https://www.scopus.com/inward/record.uri?eid=2-s2.0-85123043342&amp;partnerID=40&amp;md5=68470ed13b4aa7d6c28ef0e465cfb0f4</v>
      </c>
      <c r="G154" s="15" t="str">
        <f ca="1">VLOOKUP(B154,'ALL DATABASES'!$A$1:$T$2252,3,FALSE)</f>
        <v>Conference Paper</v>
      </c>
      <c r="H154" s="50" t="str">
        <f ca="1">VLOOKUP(B154,'ALL DATABASES'!$A$1:$T$2252,20,FALSE)</f>
        <v>SCOPUS</v>
      </c>
    </row>
    <row r="155" spans="1:8" ht="12.75" x14ac:dyDescent="0.2">
      <c r="A155">
        <v>154</v>
      </c>
      <c r="B155" s="15" t="str">
        <f ca="1">IFERROR(__xludf.DUMMYFUNCTION("""COMPUTED_VALUE"""),"Acon: A learning-based approach to deal with uncertainty in contextual requirements at runtime")</f>
        <v>Acon: A learning-based approach to deal with uncertainty in contextual requirements at runtime</v>
      </c>
      <c r="C155" s="15" t="str">
        <f ca="1">VLOOKUP(B155,'ALL DATABASES'!$A$1:$T$2252,2,FALSE)</f>
        <v>Knauss A,Damian D,Franch X,Rook A,Múller HA,Thomo A</v>
      </c>
      <c r="D155" s="15">
        <f ca="1">VLOOKUP(B155,'ALL DATABASES'!$A$1:$T$2252,5,FALSE)</f>
        <v>2016</v>
      </c>
      <c r="E155" s="15">
        <f ca="1">VLOOKUP(B155,'ALL DATABASES'!$A$1:$T$2252,10,FALSE)</f>
        <v>2016</v>
      </c>
      <c r="F155" s="54" t="str">
        <f ca="1">VLOOKUP(B155,'ALL DATABASES'!$A$1:$T$2252,14,FALSE)</f>
        <v>https://www.scopus.com/inward/record.uri?eid=2-s2.0-84949443224&amp;doi=10.1016%2fj.infsof.2015.10.001&amp;partnerID=40&amp;md5=5386a36ceb20ab1b93fbb827e474b62a;http://dx.doi.org/10.1016/j.infsof.2015.10.001</v>
      </c>
      <c r="G155" s="15" t="str">
        <f ca="1">VLOOKUP(B155,'ALL DATABASES'!$A$1:$T$2252,3,FALSE)</f>
        <v>Journal Article</v>
      </c>
      <c r="H155" s="50" t="str">
        <f ca="1">VLOOKUP(B155,'ALL DATABASES'!$A$1:$T$2252,20,FALSE)</f>
        <v>SCOPUS</v>
      </c>
    </row>
    <row r="156" spans="1:8" ht="12.75" x14ac:dyDescent="0.2">
      <c r="A156">
        <v>155</v>
      </c>
      <c r="B156" s="15" t="str">
        <f ca="1">IFERROR(__xludf.DUMMYFUNCTION("""COMPUTED_VALUE"""),"Acronyms")</f>
        <v>Acronyms</v>
      </c>
      <c r="C156" s="15">
        <f ca="1">VLOOKUP(B156,'ALL DATABASES'!$A$1:$T$2252,2,FALSE)</f>
        <v>0</v>
      </c>
      <c r="D156" s="15">
        <f ca="1">VLOOKUP(B156,'ALL DATABASES'!$A$1:$T$2252,5,FALSE)</f>
        <v>2020</v>
      </c>
      <c r="E156" s="15">
        <f ca="1">VLOOKUP(B156,'ALL DATABASES'!$A$1:$T$2252,10,FALSE)</f>
        <v>2020</v>
      </c>
      <c r="F156" s="54" t="str">
        <f ca="1">VLOOKUP(B156,'ALL DATABASES'!$A$1:$T$2252,14,FALSE)</f>
        <v>https://ieeexplore.ieee.org/document/9823032;http://dx.doi.org/10.1002/9781119513957.acron</v>
      </c>
      <c r="G156" s="15" t="str">
        <f ca="1">VLOOKUP(B156,'ALL DATABASES'!$A$1:$T$2252,3,FALSE)</f>
        <v>Book Chapter</v>
      </c>
      <c r="H156" s="50" t="str">
        <f ca="1">VLOOKUP(B156,'ALL DATABASES'!$A$1:$T$2252,20,FALSE)</f>
        <v>IEEE</v>
      </c>
    </row>
    <row r="157" spans="1:8" ht="12.75" x14ac:dyDescent="0.2">
      <c r="A157">
        <v>156</v>
      </c>
      <c r="B157" s="15" t="str">
        <f ca="1">IFERROR(__xludf.DUMMYFUNCTION("""COMPUTED_VALUE"""),"AdaBoost-based Refused Bequest Code Smell Detection with Synthetic Instances")</f>
        <v>AdaBoost-based Refused Bequest Code Smell Detection with Synthetic Instances</v>
      </c>
      <c r="C157" s="15" t="str">
        <f ca="1">VLOOKUP(B157,'ALL DATABASES'!$A$1:$T$2252,2,FALSE)</f>
        <v>Chen H,Ren Z,Qiao L,Zhou Z,Gao G,Ma Y,Jiang H</v>
      </c>
      <c r="D157" s="15">
        <f ca="1">VLOOKUP(B157,'ALL DATABASES'!$A$1:$T$2252,5,FALSE)</f>
        <v>2020</v>
      </c>
      <c r="E157" s="53">
        <f ca="1">VLOOKUP(B157,'ALL DATABASES'!$A$1:$T$2252,10,FALSE)</f>
        <v>44136</v>
      </c>
      <c r="F157" s="54" t="str">
        <f ca="1">VLOOKUP(B157,'ALL DATABASES'!$A$1:$T$2252,14,FALSE)</f>
        <v>http://dx.doi.org/10.1109/DSA51864.2020.00019</v>
      </c>
      <c r="G157" s="15" t="str">
        <f ca="1">VLOOKUP(B157,'ALL DATABASES'!$A$1:$T$2252,3,FALSE)</f>
        <v>Conference Paper</v>
      </c>
      <c r="H157" s="50" t="str">
        <f ca="1">VLOOKUP(B157,'ALL DATABASES'!$A$1:$T$2252,20,FALSE)</f>
        <v>IEEE</v>
      </c>
    </row>
    <row r="158" spans="1:8" ht="12.75" x14ac:dyDescent="0.2">
      <c r="A158">
        <v>157</v>
      </c>
      <c r="B158" s="15" t="str">
        <f ca="1">IFERROR(__xludf.DUMMYFUNCTION("""COMPUTED_VALUE"""),"Adapting God Class thresholds for software defect prediction: A case study")</f>
        <v>Adapting God Class thresholds for software defect prediction: A case study</v>
      </c>
      <c r="C158" s="15" t="str">
        <f ca="1">VLOOKUP(B158,'ALL DATABASES'!$A$1:$T$2252,2,FALSE)</f>
        <v>Gradišnik M,Beranic T,Karakatic S,Mauša G</v>
      </c>
      <c r="D158" s="15">
        <f ca="1">VLOOKUP(B158,'ALL DATABASES'!$A$1:$T$2252,5,FALSE)</f>
        <v>2019</v>
      </c>
      <c r="E158" s="15">
        <f ca="1">VLOOKUP(B158,'ALL DATABASES'!$A$1:$T$2252,10,FALSE)</f>
        <v>2019</v>
      </c>
      <c r="F158" s="54" t="str">
        <f ca="1">VLOOKUP(B158,'ALL DATABASES'!$A$1:$T$2252,14,FALSE)</f>
        <v>https://www.scopus.com/inward/record.uri?eid=2-s2.0-85070263786&amp;doi=10.23919%2fMIPRO.2019.08757009&amp;partnerID=40&amp;md5=d4b7f9ee8e229027939dd158c6a6fdb5;http://dx.doi.org/10.23919/MIPRO.2019.08757009</v>
      </c>
      <c r="G158" s="15" t="str">
        <f ca="1">VLOOKUP(B158,'ALL DATABASES'!$A$1:$T$2252,3,FALSE)</f>
        <v>Conference Paper</v>
      </c>
      <c r="H158" s="50" t="str">
        <f ca="1">VLOOKUP(B158,'ALL DATABASES'!$A$1:$T$2252,20,FALSE)</f>
        <v>SCOPUS</v>
      </c>
    </row>
    <row r="159" spans="1:8" ht="12.75" x14ac:dyDescent="0.2">
      <c r="A159">
        <v>158</v>
      </c>
      <c r="B159" s="15" t="str">
        <f ca="1">IFERROR(__xludf.DUMMYFUNCTION("""COMPUTED_VALUE"""),"Adapting Software Architectures to Machine Learning Challenges")</f>
        <v>Adapting Software Architectures to Machine Learning Challenges</v>
      </c>
      <c r="C159" s="15" t="str">
        <f ca="1">VLOOKUP(B159,'ALL DATABASES'!$A$1:$T$2252,2,FALSE)</f>
        <v>Serban A,Visser J</v>
      </c>
      <c r="D159" s="15">
        <f ca="1">VLOOKUP(B159,'ALL DATABASES'!$A$1:$T$2252,5,FALSE)</f>
        <v>2022</v>
      </c>
      <c r="E159" s="55">
        <f ca="1">VLOOKUP(B159,'ALL DATABASES'!$A$1:$T$2252,10,FALSE)</f>
        <v>44621</v>
      </c>
      <c r="F159" s="54" t="str">
        <f ca="1">VLOOKUP(B159,'ALL DATABASES'!$A$1:$T$2252,14,FALSE)</f>
        <v>http://dx.doi.org/10.1109/SANER53432.2022.00029</v>
      </c>
      <c r="G159" s="15" t="str">
        <f ca="1">VLOOKUP(B159,'ALL DATABASES'!$A$1:$T$2252,3,FALSE)</f>
        <v>Conference Paper</v>
      </c>
      <c r="H159" s="50" t="str">
        <f ca="1">VLOOKUP(B159,'ALL DATABASES'!$A$1:$T$2252,20,FALSE)</f>
        <v>IEEE</v>
      </c>
    </row>
    <row r="160" spans="1:8" ht="12.75" x14ac:dyDescent="0.2">
      <c r="A160">
        <v>159</v>
      </c>
      <c r="B160" s="15" t="str">
        <f ca="1">IFERROR(__xludf.DUMMYFUNCTION("""COMPUTED_VALUE"""),"Adapting square for quality assessment of artificial intelligence systems")</f>
        <v>Adapting square for quality assessment of artificial intelligence systems</v>
      </c>
      <c r="C160" s="15" t="str">
        <f ca="1">VLOOKUP(B160,'ALL DATABASES'!$A$1:$T$2252,2,FALSE)</f>
        <v>Kuwajima H,Ishikawa F</v>
      </c>
      <c r="D160" s="15">
        <f ca="1">VLOOKUP(B160,'ALL DATABASES'!$A$1:$T$2252,5,FALSE)</f>
        <v>2019</v>
      </c>
      <c r="E160" s="15">
        <f ca="1">VLOOKUP(B160,'ALL DATABASES'!$A$1:$T$2252,10,FALSE)</f>
        <v>2019</v>
      </c>
      <c r="F160" s="54" t="str">
        <f ca="1">VLOOKUP(B160,'ALL DATABASES'!$A$1:$T$2252,14,FALSE)</f>
        <v>https://www.scopus.com/inward/record.uri?eid=2-s2.0-85080861178&amp;doi=10.1109%2fISSREW.2019.00035&amp;partnerID=40&amp;md5=dc8eaabf2d5a6ec47bb4b44643a5c3fa;http://dx.doi.org/10.1109/ISSREW.2019.00035</v>
      </c>
      <c r="G160" s="15" t="str">
        <f ca="1">VLOOKUP(B160,'ALL DATABASES'!$A$1:$T$2252,3,FALSE)</f>
        <v>Conference Paper</v>
      </c>
      <c r="H160" s="50" t="str">
        <f ca="1">VLOOKUP(B160,'ALL DATABASES'!$A$1:$T$2252,20,FALSE)</f>
        <v>SCOPUS</v>
      </c>
    </row>
    <row r="161" spans="1:8" ht="12.75" x14ac:dyDescent="0.2">
      <c r="A161">
        <v>160</v>
      </c>
      <c r="B161" s="15" t="str">
        <f ca="1">IFERROR(__xludf.DUMMYFUNCTION("""COMPUTED_VALUE"""),"ADMINISTERING ARTIFICIAL INTELLIGENCE")</f>
        <v>ADMINISTERING ARTIFICIAL INTELLIGENCE</v>
      </c>
      <c r="C161" s="15" t="str">
        <f ca="1">VLOOKUP(B161,'ALL DATABASES'!$A$1:$T$2252,2,FALSE)</f>
        <v>Solow-Niederma A</v>
      </c>
      <c r="D161" s="15">
        <f ca="1">VLOOKUP(B161,'ALL DATABASES'!$A$1:$T$2252,5,FALSE)</f>
        <v>2020</v>
      </c>
      <c r="E161" s="15">
        <f ca="1">VLOOKUP(B161,'ALL DATABASES'!$A$1:$T$2252,10,FALSE)</f>
        <v>2020</v>
      </c>
      <c r="F161" s="54" t="str">
        <f ca="1">VLOOKUP(B161,'ALL DATABASES'!$A$1:$T$2252,14,FALSE)</f>
        <v>https://www.scopus.com/inward/record.uri?eid=2-s2.0-85096208082&amp;partnerID=40&amp;md5=9aadf7cfafe4bc00404f44bf0de4db4c</v>
      </c>
      <c r="G161" s="15" t="str">
        <f ca="1">VLOOKUP(B161,'ALL DATABASES'!$A$1:$T$2252,3,FALSE)</f>
        <v>Journal Article</v>
      </c>
      <c r="H161" s="50" t="str">
        <f ca="1">VLOOKUP(B161,'ALL DATABASES'!$A$1:$T$2252,20,FALSE)</f>
        <v>SCOPUS</v>
      </c>
    </row>
    <row r="162" spans="1:8" ht="12.75" x14ac:dyDescent="0.2">
      <c r="A162">
        <v>161</v>
      </c>
      <c r="B162" s="15" t="str">
        <f ca="1">IFERROR(__xludf.DUMMYFUNCTION("""COMPUTED_VALUE"""),"Adopting microservice architecture: A decision support model based on genetically evolved multi-layer FCM")</f>
        <v>Adopting microservice architecture: A decision support model based on genetically evolved multi-layer FCM</v>
      </c>
      <c r="C162" s="15" t="str">
        <f ca="1">VLOOKUP(B162,'ALL DATABASES'!$A$1:$T$2252,2,FALSE)</f>
        <v>Christoforou A,Andreou AS,Garriga M,Baresi L</v>
      </c>
      <c r="D162" s="15">
        <f ca="1">VLOOKUP(B162,'ALL DATABASES'!$A$1:$T$2252,5,FALSE)</f>
        <v>2022</v>
      </c>
      <c r="E162" s="15">
        <f ca="1">VLOOKUP(B162,'ALL DATABASES'!$A$1:$T$2252,10,FALSE)</f>
        <v>2022</v>
      </c>
      <c r="F162" s="54" t="str">
        <f ca="1">VLOOKUP(B162,'ALL DATABASES'!$A$1:$T$2252,14,FALSE)</f>
        <v>https://www.sciencedirect.com/science/article/pii/S1568494621009741;http://dx.doi.org/10.1016/j.asoc.2021.108066</v>
      </c>
      <c r="G162" s="15" t="str">
        <f ca="1">VLOOKUP(B162,'ALL DATABASES'!$A$1:$T$2252,3,FALSE)</f>
        <v>Journal Article</v>
      </c>
      <c r="H162" s="50" t="str">
        <f ca="1">VLOOKUP(B162,'ALL DATABASES'!$A$1:$T$2252,20,FALSE)</f>
        <v>SCIENCEDIRECT</v>
      </c>
    </row>
    <row r="163" spans="1:8" ht="12.75" x14ac:dyDescent="0.2">
      <c r="A163">
        <v>162</v>
      </c>
      <c r="B163" s="15" t="str">
        <f ca="1">IFERROR(__xludf.DUMMYFUNCTION("""COMPUTED_VALUE"""),"Adoption and Effects of Software Engineering Best Practices in Machine Learning")</f>
        <v>Adoption and Effects of Software Engineering Best Practices in Machine Learning</v>
      </c>
      <c r="C163" s="15" t="str">
        <f ca="1">VLOOKUP(B163,'ALL DATABASES'!$A$1:$T$2252,2,FALSE)</f>
        <v>Serban A,van der Blom K,Hoos H,Visser J</v>
      </c>
      <c r="D163" s="15">
        <f ca="1">VLOOKUP(B163,'ALL DATABASES'!$A$1:$T$2252,5,FALSE)</f>
        <v>2020</v>
      </c>
      <c r="E163" s="15">
        <f ca="1">VLOOKUP(B163,'ALL DATABASES'!$A$1:$T$2252,10,FALSE)</f>
        <v>2020</v>
      </c>
      <c r="F163" s="54" t="str">
        <f ca="1">VLOOKUP(B163,'ALL DATABASES'!$A$1:$T$2252,14,FALSE)</f>
        <v>https://doi.org/10.1145/3382494.3410681;http://dx.doi.org/10.1145/3382494.3410681</v>
      </c>
      <c r="G163" s="15" t="str">
        <f ca="1">VLOOKUP(B163,'ALL DATABASES'!$A$1:$T$2252,3,FALSE)</f>
        <v>Conference Paper</v>
      </c>
      <c r="H163" s="50" t="str">
        <f ca="1">VLOOKUP(B163,'ALL DATABASES'!$A$1:$T$2252,20,FALSE)</f>
        <v>ACM</v>
      </c>
    </row>
    <row r="164" spans="1:8" ht="12.75" x14ac:dyDescent="0.2">
      <c r="A164">
        <v>163</v>
      </c>
      <c r="B164" s="15" t="str">
        <f ca="1">IFERROR(__xludf.DUMMYFUNCTION("""COMPUTED_VALUE"""),"Advanced Information Systems Engineering")</f>
        <v>Advanced Information Systems Engineering</v>
      </c>
      <c r="C164" s="15" t="str">
        <f ca="1">VLOOKUP(B164,'ALL DATABASES'!$A$1:$T$2252,2,FALSE)</f>
        <v>Marcello La RosaShazia SadiqProf. Ernest Teniente</v>
      </c>
      <c r="D164" s="15">
        <f ca="1">VLOOKUP(B164,'ALL DATABASES'!$A$1:$T$2252,5,FALSE)</f>
        <v>2021</v>
      </c>
      <c r="E164" s="15">
        <f ca="1">VLOOKUP(B164,'ALL DATABASES'!$A$1:$T$2252,10,FALSE)</f>
        <v>0</v>
      </c>
      <c r="F164" s="54" t="str">
        <f ca="1">VLOOKUP(B164,'ALL DATABASES'!$A$1:$T$2252,14,FALSE)</f>
        <v>http://link.springer.com/book/10.1007/978-3-030-79382-1</v>
      </c>
      <c r="G164" s="15" t="str">
        <f ca="1">VLOOKUP(B164,'ALL DATABASES'!$A$1:$T$2252,3,FALSE)</f>
        <v>Book</v>
      </c>
      <c r="H164" s="50" t="str">
        <f ca="1">VLOOKUP(B164,'ALL DATABASES'!$A$1:$T$2252,20,FALSE)</f>
        <v>SPRINGER</v>
      </c>
    </row>
    <row r="165" spans="1:8" ht="12.75" x14ac:dyDescent="0.2">
      <c r="A165">
        <v>164</v>
      </c>
      <c r="B165" s="15" t="str">
        <f ca="1">IFERROR(__xludf.DUMMYFUNCTION("""COMPUTED_VALUE"""),"Advances and New Trends in Environmental Informatics")</f>
        <v>Advances and New Trends in Environmental Informatics</v>
      </c>
      <c r="C165" s="15" t="str">
        <f ca="1">VLOOKUP(B165,'ALL DATABASES'!$A$1:$T$2252,2,FALSE)</f>
        <v>Prof. Dr. Volker WohlgemuthProf. Dr. Stefan NaumannProf. Dr. Grit BehrensProf. Dr. Hans-Knud Arndt</v>
      </c>
      <c r="D165" s="15">
        <f ca="1">VLOOKUP(B165,'ALL DATABASES'!$A$1:$T$2252,5,FALSE)</f>
        <v>2022</v>
      </c>
      <c r="E165" s="15">
        <f ca="1">VLOOKUP(B165,'ALL DATABASES'!$A$1:$T$2252,10,FALSE)</f>
        <v>0</v>
      </c>
      <c r="F165" s="54" t="str">
        <f ca="1">VLOOKUP(B165,'ALL DATABASES'!$A$1:$T$2252,14,FALSE)</f>
        <v>http://link.springer.com/book/10.1007/978-3-030-88063-7</v>
      </c>
      <c r="G165" s="15" t="str">
        <f ca="1">VLOOKUP(B165,'ALL DATABASES'!$A$1:$T$2252,3,FALSE)</f>
        <v>Book</v>
      </c>
      <c r="H165" s="50" t="str">
        <f ca="1">VLOOKUP(B165,'ALL DATABASES'!$A$1:$T$2252,20,FALSE)</f>
        <v>SPRINGER</v>
      </c>
    </row>
    <row r="166" spans="1:8" ht="12.75" x14ac:dyDescent="0.2">
      <c r="A166">
        <v>165</v>
      </c>
      <c r="B166" s="15" t="str">
        <f ca="1">IFERROR(__xludf.DUMMYFUNCTION("""COMPUTED_VALUE"""),"Advances in Automation IV")</f>
        <v>Advances in Automation IV</v>
      </c>
      <c r="C166" s="15" t="str">
        <f ca="1">VLOOKUP(B166,'ALL DATABASES'!$A$1:$T$2252,2,FALSE)</f>
        <v>Andrey A. RadionovVadim R. Gasiyarov</v>
      </c>
      <c r="D166" s="15">
        <f ca="1">VLOOKUP(B166,'ALL DATABASES'!$A$1:$T$2252,5,FALSE)</f>
        <v>2023</v>
      </c>
      <c r="E166" s="15">
        <f ca="1">VLOOKUP(B166,'ALL DATABASES'!$A$1:$T$2252,10,FALSE)</f>
        <v>0</v>
      </c>
      <c r="F166" s="54" t="str">
        <f ca="1">VLOOKUP(B166,'ALL DATABASES'!$A$1:$T$2252,14,FALSE)</f>
        <v>http://link.springer.com/book/10.1007/978-3-031-22311-2</v>
      </c>
      <c r="G166" s="15" t="str">
        <f ca="1">VLOOKUP(B166,'ALL DATABASES'!$A$1:$T$2252,3,FALSE)</f>
        <v>Book</v>
      </c>
      <c r="H166" s="50" t="str">
        <f ca="1">VLOOKUP(B166,'ALL DATABASES'!$A$1:$T$2252,20,FALSE)</f>
        <v>SPRINGER</v>
      </c>
    </row>
    <row r="167" spans="1:8" ht="12.75" x14ac:dyDescent="0.2">
      <c r="A167">
        <v>166</v>
      </c>
      <c r="B167" s="15" t="str">
        <f ca="1">IFERROR(__xludf.DUMMYFUNCTION("""COMPUTED_VALUE"""),"Advances in Electrical and Computer Technologies")</f>
        <v>Advances in Electrical and Computer Technologies</v>
      </c>
      <c r="C167" s="15" t="str">
        <f ca="1">VLOOKUP(B167,'ALL DATABASES'!$A$1:$T$2252,2,FALSE)</f>
        <v>Thangaprakash SengodanM. MurugappanSanjay Misra</v>
      </c>
      <c r="D167" s="15">
        <f ca="1">VLOOKUP(B167,'ALL DATABASES'!$A$1:$T$2252,5,FALSE)</f>
        <v>2022</v>
      </c>
      <c r="E167" s="15">
        <f ca="1">VLOOKUP(B167,'ALL DATABASES'!$A$1:$T$2252,10,FALSE)</f>
        <v>0</v>
      </c>
      <c r="F167" s="54" t="str">
        <f ca="1">VLOOKUP(B167,'ALL DATABASES'!$A$1:$T$2252,14,FALSE)</f>
        <v>http://link.springer.com/book/10.1007/978-981-19-1111-8</v>
      </c>
      <c r="G167" s="15" t="str">
        <f ca="1">VLOOKUP(B167,'ALL DATABASES'!$A$1:$T$2252,3,FALSE)</f>
        <v>Book</v>
      </c>
      <c r="H167" s="50" t="str">
        <f ca="1">VLOOKUP(B167,'ALL DATABASES'!$A$1:$T$2252,20,FALSE)</f>
        <v>SPRINGER</v>
      </c>
    </row>
    <row r="168" spans="1:8" ht="12.75" x14ac:dyDescent="0.2">
      <c r="A168">
        <v>167</v>
      </c>
      <c r="B168" s="15" t="str">
        <f ca="1">IFERROR(__xludf.DUMMYFUNCTION("""COMPUTED_VALUE"""),"Advances in Software Engineering, Education, and e-Learning")</f>
        <v>Advances in Software Engineering, Education, and e-Learning</v>
      </c>
      <c r="C168" s="15" t="str">
        <f ca="1">VLOOKUP(B168,'ALL DATABASES'!$A$1:$T$2252,2,FALSE)</f>
        <v>Prof. Hamid R. ArabniaLeonidas DeligiannidisFernando G. TinettiQuoc-Nam Tran</v>
      </c>
      <c r="D168" s="15">
        <f ca="1">VLOOKUP(B168,'ALL DATABASES'!$A$1:$T$2252,5,FALSE)</f>
        <v>2021</v>
      </c>
      <c r="E168" s="15">
        <f ca="1">VLOOKUP(B168,'ALL DATABASES'!$A$1:$T$2252,10,FALSE)</f>
        <v>0</v>
      </c>
      <c r="F168" s="54" t="str">
        <f ca="1">VLOOKUP(B168,'ALL DATABASES'!$A$1:$T$2252,14,FALSE)</f>
        <v>http://link.springer.com/book/10.1007/978-3-030-70873-3</v>
      </c>
      <c r="G168" s="15" t="str">
        <f ca="1">VLOOKUP(B168,'ALL DATABASES'!$A$1:$T$2252,3,FALSE)</f>
        <v>Book</v>
      </c>
      <c r="H168" s="50" t="str">
        <f ca="1">VLOOKUP(B168,'ALL DATABASES'!$A$1:$T$2252,20,FALSE)</f>
        <v>SPRINGER</v>
      </c>
    </row>
    <row r="169" spans="1:8" ht="12.75" x14ac:dyDescent="0.2">
      <c r="A169">
        <v>168</v>
      </c>
      <c r="B169" s="15" t="str">
        <f ca="1">IFERROR(__xludf.DUMMYFUNCTION("""COMPUTED_VALUE"""),"Advances in System-Integrated Intelligence")</f>
        <v>Advances in System-Integrated Intelligence</v>
      </c>
      <c r="C169" s="15" t="str">
        <f ca="1">VLOOKUP(B169,'ALL DATABASES'!$A$1:$T$2252,2,FALSE)</f>
        <v>Maurizio ValleDirk LehmhusChristian GianoglioEdoardo RagusaLucia SeminaraStefan BosseAli IbrahimKlaus-Dieter Thoben</v>
      </c>
      <c r="D169" s="15">
        <f ca="1">VLOOKUP(B169,'ALL DATABASES'!$A$1:$T$2252,5,FALSE)</f>
        <v>2023</v>
      </c>
      <c r="E169" s="15">
        <f ca="1">VLOOKUP(B169,'ALL DATABASES'!$A$1:$T$2252,10,FALSE)</f>
        <v>0</v>
      </c>
      <c r="F169" s="54" t="str">
        <f ca="1">VLOOKUP(B169,'ALL DATABASES'!$A$1:$T$2252,14,FALSE)</f>
        <v>http://link.springer.com/book/10.1007/978-3-031-16281-7</v>
      </c>
      <c r="G169" s="15" t="str">
        <f ca="1">VLOOKUP(B169,'ALL DATABASES'!$A$1:$T$2252,3,FALSE)</f>
        <v>Book</v>
      </c>
      <c r="H169" s="50" t="str">
        <f ca="1">VLOOKUP(B169,'ALL DATABASES'!$A$1:$T$2252,20,FALSE)</f>
        <v>SPRINGER</v>
      </c>
    </row>
    <row r="170" spans="1:8" ht="12.75" x14ac:dyDescent="0.2">
      <c r="A170">
        <v>169</v>
      </c>
      <c r="B170" s="15" t="str">
        <f ca="1">IFERROR(__xludf.DUMMYFUNCTION("""COMPUTED_VALUE"""),"Adversarial machine learning-industry perspectives")</f>
        <v>Adversarial machine learning-industry perspectives</v>
      </c>
      <c r="C170" s="15" t="str">
        <f ca="1">VLOOKUP(B170,'ALL DATABASES'!$A$1:$T$2252,2,FALSE)</f>
        <v>Siva Kumar RS,Nystrom M,Lambert J,Marshall A,Goertzel M,Comissoneru A,Swann M,Xia S</v>
      </c>
      <c r="D170" s="15">
        <f ca="1">VLOOKUP(B170,'ALL DATABASES'!$A$1:$T$2252,5,FALSE)</f>
        <v>2020</v>
      </c>
      <c r="E170" s="15">
        <f ca="1">VLOOKUP(B170,'ALL DATABASES'!$A$1:$T$2252,10,FALSE)</f>
        <v>2020</v>
      </c>
      <c r="F170" s="54" t="str">
        <f ca="1">VLOOKUP(B170,'ALL DATABASES'!$A$1:$T$2252,14,FALSE)</f>
        <v>https://www.scopus.com/inward/record.uri?eid=2-s2.0-85099729767&amp;doi=10.1109%2fSPW50608.2020.00028&amp;partnerID=40&amp;md5=131f5e4b40359a78039d7de9b9f2a22d;http://dx.doi.org/10.1109/SPW50608.2020.00028</v>
      </c>
      <c r="G170" s="15" t="str">
        <f ca="1">VLOOKUP(B170,'ALL DATABASES'!$A$1:$T$2252,3,FALSE)</f>
        <v>Conference Paper</v>
      </c>
      <c r="H170" s="50" t="str">
        <f ca="1">VLOOKUP(B170,'ALL DATABASES'!$A$1:$T$2252,20,FALSE)</f>
        <v>SCOPUS</v>
      </c>
    </row>
    <row r="171" spans="1:8" ht="12.75" x14ac:dyDescent="0.2">
      <c r="A171">
        <v>170</v>
      </c>
      <c r="B171" s="15" t="str">
        <f ca="1">IFERROR(__xludf.DUMMYFUNCTION("""COMPUTED_VALUE"""),"Agile and Touchless Automation in the software industry")</f>
        <v>Agile and Touchless Automation in the software industry</v>
      </c>
      <c r="C171" s="15" t="str">
        <f ca="1">VLOOKUP(B171,'ALL DATABASES'!$A$1:$T$2252,2,FALSE)</f>
        <v>Sriraman G,Sehar S,E S</v>
      </c>
      <c r="D171" s="15">
        <f ca="1">VLOOKUP(B171,'ALL DATABASES'!$A$1:$T$2252,5,FALSE)</f>
        <v>2022</v>
      </c>
      <c r="E171" s="55">
        <f ca="1">VLOOKUP(B171,'ALL DATABASES'!$A$1:$T$2252,10,FALSE)</f>
        <v>44621</v>
      </c>
      <c r="F171" s="54" t="str">
        <f ca="1">VLOOKUP(B171,'ALL DATABASES'!$A$1:$T$2252,14,FALSE)</f>
        <v>http://dx.doi.org/10.1109/ICACCS54159.2022.9785260</v>
      </c>
      <c r="G171" s="15" t="str">
        <f ca="1">VLOOKUP(B171,'ALL DATABASES'!$A$1:$T$2252,3,FALSE)</f>
        <v>Conference Paper</v>
      </c>
      <c r="H171" s="50" t="str">
        <f ca="1">VLOOKUP(B171,'ALL DATABASES'!$A$1:$T$2252,20,FALSE)</f>
        <v>IEEE</v>
      </c>
    </row>
    <row r="172" spans="1:8" ht="12.75" x14ac:dyDescent="0.2">
      <c r="A172">
        <v>171</v>
      </c>
      <c r="B172" s="15" t="str">
        <f ca="1">IFERROR(__xludf.DUMMYFUNCTION("""COMPUTED_VALUE"""),"Agile big data analytics: AnalyticsOps for data science")</f>
        <v>Agile big data analytics: AnalyticsOps for data science</v>
      </c>
      <c r="C172" s="15" t="str">
        <f ca="1">VLOOKUP(B172,'ALL DATABASES'!$A$1:$T$2252,2,FALSE)</f>
        <v>Grady NW,Payne JA,Parker H</v>
      </c>
      <c r="D172" s="15">
        <f ca="1">VLOOKUP(B172,'ALL DATABASES'!$A$1:$T$2252,5,FALSE)</f>
        <v>2017</v>
      </c>
      <c r="E172" s="53">
        <f ca="1">VLOOKUP(B172,'ALL DATABASES'!$A$1:$T$2252,10,FALSE)</f>
        <v>43070</v>
      </c>
      <c r="F172" s="54" t="str">
        <f ca="1">VLOOKUP(B172,'ALL DATABASES'!$A$1:$T$2252,14,FALSE)</f>
        <v>http://dx.doi.org/10.1109/BigData.2017.8258187</v>
      </c>
      <c r="G172" s="15" t="str">
        <f ca="1">VLOOKUP(B172,'ALL DATABASES'!$A$1:$T$2252,3,FALSE)</f>
        <v>Conference Paper</v>
      </c>
      <c r="H172" s="50" t="str">
        <f ca="1">VLOOKUP(B172,'ALL DATABASES'!$A$1:$T$2252,20,FALSE)</f>
        <v>IEEE</v>
      </c>
    </row>
    <row r="173" spans="1:8" ht="12.75" x14ac:dyDescent="0.2">
      <c r="A173">
        <v>172</v>
      </c>
      <c r="B173" s="15" t="str">
        <f ca="1">IFERROR(__xludf.DUMMYFUNCTION("""COMPUTED_VALUE"""),"Agile Development Methodologies and Natural Language Processing: A Mapping Review")</f>
        <v>Agile Development Methodologies and Natural Language Processing: A Mapping Review</v>
      </c>
      <c r="C173" s="15" t="str">
        <f ca="1">VLOOKUP(B173,'ALL DATABASES'!$A$1:$T$2252,2,FALSE)</f>
        <v>Quintana MA,Palacio RR,Soto GB,González-López S</v>
      </c>
      <c r="D173" s="15">
        <f ca="1">VLOOKUP(B173,'ALL DATABASES'!$A$1:$T$2252,5,FALSE)</f>
        <v>2022</v>
      </c>
      <c r="E173" s="15">
        <f ca="1">VLOOKUP(B173,'ALL DATABASES'!$A$1:$T$2252,10,FALSE)</f>
        <v>2022</v>
      </c>
      <c r="F173" s="54" t="str">
        <f ca="1">VLOOKUP(B173,'ALL DATABASES'!$A$1:$T$2252,14,FALSE)</f>
        <v>https://www.scopus.com/inward/record.uri?eid=2-s2.0-85144734803&amp;doi=10.3390%2fcomputers11120179&amp;partnerID=40&amp;md5=8e7462afaf721f217f380c5e66ef3c0e;http://dx.doi.org/10.3390/computers11120179</v>
      </c>
      <c r="G173" s="15" t="str">
        <f ca="1">VLOOKUP(B173,'ALL DATABASES'!$A$1:$T$2252,3,FALSE)</f>
        <v>Journal Article</v>
      </c>
      <c r="H173" s="50" t="str">
        <f ca="1">VLOOKUP(B173,'ALL DATABASES'!$A$1:$T$2252,20,FALSE)</f>
        <v>SCOPUS</v>
      </c>
    </row>
    <row r="174" spans="1:8" ht="12.75" x14ac:dyDescent="0.2">
      <c r="A174">
        <v>173</v>
      </c>
      <c r="B174" s="15" t="str">
        <f ca="1">IFERROR(__xludf.DUMMYFUNCTION("""COMPUTED_VALUE"""),"Agile Effort Estimation: Have We Solved the Problem Yet? Insights From A Replication Study")</f>
        <v>Agile Effort Estimation: Have We Solved the Problem Yet? Insights From A Replication Study</v>
      </c>
      <c r="C174" s="15" t="str">
        <f ca="1">VLOOKUP(B174,'ALL DATABASES'!$A$1:$T$2252,2,FALSE)</f>
        <v>Tawosi V,Moussa R,Sarro F</v>
      </c>
      <c r="D174" s="15">
        <f ca="1">VLOOKUP(B174,'ALL DATABASES'!$A$1:$T$2252,5,FALSE)</f>
        <v>2022</v>
      </c>
      <c r="E174" s="15">
        <f ca="1">VLOOKUP(B174,'ALL DATABASES'!$A$1:$T$2252,10,FALSE)</f>
        <v>2022</v>
      </c>
      <c r="F174" s="54" t="str">
        <f ca="1">VLOOKUP(B174,'ALL DATABASES'!$A$1:$T$2252,14,FALSE)</f>
        <v>http://dx.doi.org/10.1109/TSE.2022.3228739</v>
      </c>
      <c r="G174" s="15" t="str">
        <f ca="1">VLOOKUP(B174,'ALL DATABASES'!$A$1:$T$2252,3,FALSE)</f>
        <v>Journal Article</v>
      </c>
      <c r="H174" s="50" t="str">
        <f ca="1">VLOOKUP(B174,'ALL DATABASES'!$A$1:$T$2252,20,FALSE)</f>
        <v>IEEE</v>
      </c>
    </row>
    <row r="175" spans="1:8" ht="12.75" x14ac:dyDescent="0.2">
      <c r="A175">
        <v>174</v>
      </c>
      <c r="B175" s="15" t="str">
        <f ca="1">IFERROR(__xludf.DUMMYFUNCTION("""COMPUTED_VALUE"""),"Agile Practices")</f>
        <v>Agile Practices</v>
      </c>
      <c r="C175" s="15" t="str">
        <f ca="1">VLOOKUP(B175,'ALL DATABASES'!$A$1:$T$2252,2,FALSE)</f>
        <v>Thor MyklebustTor StÃ¥lhane</v>
      </c>
      <c r="D175" s="15">
        <f ca="1">VLOOKUP(B175,'ALL DATABASES'!$A$1:$T$2252,5,FALSE)</f>
        <v>2021</v>
      </c>
      <c r="E175" s="15">
        <f ca="1">VLOOKUP(B175,'ALL DATABASES'!$A$1:$T$2252,10,FALSE)</f>
        <v>0</v>
      </c>
      <c r="F175" s="54" t="str">
        <f ca="1">VLOOKUP(B175,'ALL DATABASES'!$A$1:$T$2252,14,FALSE)</f>
        <v>http://link.springer.com/chapter/10.1007/978-3-030-86152-0_2</v>
      </c>
      <c r="G175" s="15" t="str">
        <f ca="1">VLOOKUP(B175,'ALL DATABASES'!$A$1:$T$2252,3,FALSE)</f>
        <v>Chapter</v>
      </c>
      <c r="H175" s="50" t="str">
        <f ca="1">VLOOKUP(B175,'ALL DATABASES'!$A$1:$T$2252,20,FALSE)</f>
        <v>SPRINGER</v>
      </c>
    </row>
    <row r="176" spans="1:8" ht="12.75" x14ac:dyDescent="0.2">
      <c r="A176">
        <v>175</v>
      </c>
      <c r="B176" s="15" t="str">
        <f ca="1">IFERROR(__xludf.DUMMYFUNCTION("""COMPUTED_VALUE"""),"Agile Processes in Software Engineering and Extreme Programming")</f>
        <v>Agile Processes in Software Engineering and Extreme Programming</v>
      </c>
      <c r="C176" s="15" t="str">
        <f ca="1">VLOOKUP(B176,'ALL DATABASES'!$A$1:$T$2252,2,FALSE)</f>
        <v>Dr. Viktoria StrayRashina HodaDr. Maria PaasivaaraDr. Philippe Kruchten</v>
      </c>
      <c r="D176" s="15">
        <f ca="1">VLOOKUP(B176,'ALL DATABASES'!$A$1:$T$2252,5,FALSE)</f>
        <v>2020</v>
      </c>
      <c r="E176" s="15">
        <f ca="1">VLOOKUP(B176,'ALL DATABASES'!$A$1:$T$2252,10,FALSE)</f>
        <v>0</v>
      </c>
      <c r="F176" s="54" t="str">
        <f ca="1">VLOOKUP(B176,'ALL DATABASES'!$A$1:$T$2252,14,FALSE)</f>
        <v>http://link.springer.com/book/10.1007/978-3-030-49392-9</v>
      </c>
      <c r="G176" s="15" t="str">
        <f ca="1">VLOOKUP(B176,'ALL DATABASES'!$A$1:$T$2252,3,FALSE)</f>
        <v>Book</v>
      </c>
      <c r="H176" s="50" t="str">
        <f ca="1">VLOOKUP(B176,'ALL DATABASES'!$A$1:$T$2252,20,FALSE)</f>
        <v>SPRINGER</v>
      </c>
    </row>
    <row r="177" spans="1:8" ht="12.75" x14ac:dyDescent="0.2">
      <c r="A177">
        <v>176</v>
      </c>
      <c r="B177" s="15" t="str">
        <f ca="1">IFERROR(__xludf.DUMMYFUNCTION("""COMPUTED_VALUE"""),"Agile Processes in Software Engineering and Extreme Programming â€“ Workshops")</f>
        <v>Agile Processes in Software Engineering and Extreme Programming â€“ Workshops</v>
      </c>
      <c r="C177" s="15" t="str">
        <f ca="1">VLOOKUP(B177,'ALL DATABASES'!$A$1:$T$2252,2,FALSE)</f>
        <v>Dr. Maria PaasivaaraDr. Philippe Kruchten</v>
      </c>
      <c r="D177" s="15">
        <f ca="1">VLOOKUP(B177,'ALL DATABASES'!$A$1:$T$2252,5,FALSE)</f>
        <v>2020</v>
      </c>
      <c r="E177" s="15">
        <f ca="1">VLOOKUP(B177,'ALL DATABASES'!$A$1:$T$2252,10,FALSE)</f>
        <v>0</v>
      </c>
      <c r="F177" s="54" t="str">
        <f ca="1">VLOOKUP(B177,'ALL DATABASES'!$A$1:$T$2252,14,FALSE)</f>
        <v>http://link.springer.com/book/10.1007/978-3-030-58858-8</v>
      </c>
      <c r="G177" s="15" t="str">
        <f ca="1">VLOOKUP(B177,'ALL DATABASES'!$A$1:$T$2252,3,FALSE)</f>
        <v>Book</v>
      </c>
      <c r="H177" s="50" t="str">
        <f ca="1">VLOOKUP(B177,'ALL DATABASES'!$A$1:$T$2252,20,FALSE)</f>
        <v>SPRINGER</v>
      </c>
    </row>
    <row r="178" spans="1:8" ht="12.75" x14ac:dyDescent="0.2">
      <c r="A178">
        <v>177</v>
      </c>
      <c r="B178" s="15" t="str">
        <f ca="1">IFERROR(__xludf.DUMMYFUNCTION("""COMPUTED_VALUE"""),"Agile Product and Project Management")</f>
        <v>Agile Product and Project Management</v>
      </c>
      <c r="C178" s="15" t="str">
        <f ca="1">VLOOKUP(B178,'ALL DATABASES'!$A$1:$T$2252,2,FALSE)</f>
        <v>Mariya Breyter</v>
      </c>
      <c r="D178" s="15">
        <f ca="1">VLOOKUP(B178,'ALL DATABASES'!$A$1:$T$2252,5,FALSE)</f>
        <v>2022</v>
      </c>
      <c r="E178" s="15">
        <f ca="1">VLOOKUP(B178,'ALL DATABASES'!$A$1:$T$2252,10,FALSE)</f>
        <v>0</v>
      </c>
      <c r="F178" s="54" t="str">
        <f ca="1">VLOOKUP(B178,'ALL DATABASES'!$A$1:$T$2252,14,FALSE)</f>
        <v>http://link.springer.com/book/10.1007/978-1-4842-8200-7</v>
      </c>
      <c r="G178" s="15" t="str">
        <f ca="1">VLOOKUP(B178,'ALL DATABASES'!$A$1:$T$2252,3,FALSE)</f>
        <v>Book</v>
      </c>
      <c r="H178" s="50" t="str">
        <f ca="1">VLOOKUP(B178,'ALL DATABASES'!$A$1:$T$2252,20,FALSE)</f>
        <v>SPRINGER</v>
      </c>
    </row>
    <row r="179" spans="1:8" ht="12.75" x14ac:dyDescent="0.2">
      <c r="A179">
        <v>178</v>
      </c>
      <c r="B179" s="15" t="str">
        <f ca="1">IFERROR(__xludf.DUMMYFUNCTION("""COMPUTED_VALUE"""),"Agile requirements prioritization in large-scale outsourced system projects: An empirical study")</f>
        <v>Agile requirements prioritization in large-scale outsourced system projects: An empirical study</v>
      </c>
      <c r="C179" s="15" t="str">
        <f ca="1">VLOOKUP(B179,'ALL DATABASES'!$A$1:$T$2252,2,FALSE)</f>
        <v>Daneva M,van der Veen E,Amrit C,Ghaisas S,Sikkel K,Kumar R,Ajmeri N,Ramteerthkar U,Wieringa R</v>
      </c>
      <c r="D179" s="15">
        <f ca="1">VLOOKUP(B179,'ALL DATABASES'!$A$1:$T$2252,5,FALSE)</f>
        <v>2013</v>
      </c>
      <c r="E179" s="15">
        <f ca="1">VLOOKUP(B179,'ALL DATABASES'!$A$1:$T$2252,10,FALSE)</f>
        <v>2013</v>
      </c>
      <c r="F179" s="54" t="str">
        <f ca="1">VLOOKUP(B179,'ALL DATABASES'!$A$1:$T$2252,14,FALSE)</f>
        <v>https://www.sciencedirect.com/science/article/pii/S0164121212003536;http://dx.doi.org/10.1016/j.jss.2012.12.046</v>
      </c>
      <c r="G179" s="15" t="str">
        <f ca="1">VLOOKUP(B179,'ALL DATABASES'!$A$1:$T$2252,3,FALSE)</f>
        <v>Journal Article</v>
      </c>
      <c r="H179" s="50" t="str">
        <f ca="1">VLOOKUP(B179,'ALL DATABASES'!$A$1:$T$2252,20,FALSE)</f>
        <v>SCIENCEDIRECT</v>
      </c>
    </row>
    <row r="180" spans="1:8" ht="12.75" x14ac:dyDescent="0.2">
      <c r="A180">
        <v>179</v>
      </c>
      <c r="B180" s="15" t="str">
        <f ca="1">IFERROR(__xludf.DUMMYFUNCTION("""COMPUTED_VALUE"""),"Agile Systems Engineering")</f>
        <v>Agile Systems Engineering</v>
      </c>
      <c r="C180" s="15" t="str">
        <f ca="1">VLOOKUP(B180,'ALL DATABASES'!$A$1:$T$2252,2,FALSE)</f>
        <v>Ebert C,Kirschke-Biller F</v>
      </c>
      <c r="D180" s="15">
        <f ca="1">VLOOKUP(B180,'ALL DATABASES'!$A$1:$T$2252,5,FALSE)</f>
        <v>2021</v>
      </c>
      <c r="E180" s="55">
        <f ca="1">VLOOKUP(B180,'ALL DATABASES'!$A$1:$T$2252,10,FALSE)</f>
        <v>44378</v>
      </c>
      <c r="F180" s="54" t="str">
        <f ca="1">VLOOKUP(B180,'ALL DATABASES'!$A$1:$T$2252,14,FALSE)</f>
        <v>http://dx.doi.org/10.1109/MS.2021.3071806</v>
      </c>
      <c r="G180" s="15" t="str">
        <f ca="1">VLOOKUP(B180,'ALL DATABASES'!$A$1:$T$2252,3,FALSE)</f>
        <v>Journal Article</v>
      </c>
      <c r="H180" s="50" t="str">
        <f ca="1">VLOOKUP(B180,'ALL DATABASES'!$A$1:$T$2252,20,FALSE)</f>
        <v>IEEE</v>
      </c>
    </row>
    <row r="181" spans="1:8" ht="12.75" x14ac:dyDescent="0.2">
      <c r="A181">
        <v>180</v>
      </c>
      <c r="B181" s="15" t="str">
        <f ca="1">IFERROR(__xludf.DUMMYFUNCTION("""COMPUTED_VALUE"""),"Agile4MLS—Leveraging Agile Practices for Developing Machine Learning-Enabled Systems: An Industrial Experience")</f>
        <v>Agile4MLS—Leveraging Agile Practices for Developing Machine Learning-Enabled Systems: An Industrial Experience</v>
      </c>
      <c r="C181" s="15" t="str">
        <f ca="1">VLOOKUP(B181,'ALL DATABASES'!$A$1:$T$2252,2,FALSE)</f>
        <v>Vaidhyanathan K,Chandran A,Muccini H,Roy R</v>
      </c>
      <c r="D181" s="15">
        <f ca="1">VLOOKUP(B181,'ALL DATABASES'!$A$1:$T$2252,5,FALSE)</f>
        <v>2022</v>
      </c>
      <c r="E181" s="53">
        <f ca="1">VLOOKUP(B181,'ALL DATABASES'!$A$1:$T$2252,10,FALSE)</f>
        <v>44866</v>
      </c>
      <c r="F181" s="54" t="str">
        <f ca="1">VLOOKUP(B181,'ALL DATABASES'!$A$1:$T$2252,14,FALSE)</f>
        <v>http://dx.doi.org/10.1109/MS.2022.3195432</v>
      </c>
      <c r="G181" s="15" t="str">
        <f ca="1">VLOOKUP(B181,'ALL DATABASES'!$A$1:$T$2252,3,FALSE)</f>
        <v>Journal Article</v>
      </c>
      <c r="H181" s="50" t="str">
        <f ca="1">VLOOKUP(B181,'ALL DATABASES'!$A$1:$T$2252,20,FALSE)</f>
        <v>IEEE</v>
      </c>
    </row>
    <row r="182" spans="1:8" ht="12.75" x14ac:dyDescent="0.2">
      <c r="A182">
        <v>181</v>
      </c>
      <c r="B182" s="15" t="str">
        <f ca="1">IFERROR(__xludf.DUMMYFUNCTION("""COMPUTED_VALUE"""),"AgilitÃ¤t in Unternehmen")</f>
        <v>AgilitÃ¤t in Unternehmen</v>
      </c>
      <c r="C182" s="15" t="str">
        <f ca="1">VLOOKUP(B182,'ALL DATABASES'!$A$1:$T$2252,2,FALSE)</f>
        <v>Prof. Dr. Mario A. PfannstielWerner SiedlProf. Dr. Peter F.-J. Steinhoff</v>
      </c>
      <c r="D182" s="15">
        <f ca="1">VLOOKUP(B182,'ALL DATABASES'!$A$1:$T$2252,5,FALSE)</f>
        <v>2021</v>
      </c>
      <c r="E182" s="15">
        <f ca="1">VLOOKUP(B182,'ALL DATABASES'!$A$1:$T$2252,10,FALSE)</f>
        <v>0</v>
      </c>
      <c r="F182" s="54" t="str">
        <f ca="1">VLOOKUP(B182,'ALL DATABASES'!$A$1:$T$2252,14,FALSE)</f>
        <v>http://link.springer.com/book/10.1007/978-3-658-31001-1</v>
      </c>
      <c r="G182" s="15" t="str">
        <f ca="1">VLOOKUP(B182,'ALL DATABASES'!$A$1:$T$2252,3,FALSE)</f>
        <v>Book</v>
      </c>
      <c r="H182" s="50" t="str">
        <f ca="1">VLOOKUP(B182,'ALL DATABASES'!$A$1:$T$2252,20,FALSE)</f>
        <v>SPRINGER</v>
      </c>
    </row>
    <row r="183" spans="1:8" ht="12.75" x14ac:dyDescent="0.2">
      <c r="A183">
        <v>182</v>
      </c>
      <c r="B183" s="15" t="str">
        <f ca="1">IFERROR(__xludf.DUMMYFUNCTION("""COMPUTED_VALUE"""),"AI and society: a virtue ethics approach")</f>
        <v>AI and society: a virtue ethics approach</v>
      </c>
      <c r="C183" s="15" t="str">
        <f ca="1">VLOOKUP(B183,'ALL DATABASES'!$A$1:$T$2252,2,FALSE)</f>
        <v>Farina M,Zhdanov P,Karimov A,Lavazza A</v>
      </c>
      <c r="D183" s="15">
        <f ca="1">VLOOKUP(B183,'ALL DATABASES'!$A$1:$T$2252,5,FALSE)</f>
        <v>2022</v>
      </c>
      <c r="E183" s="15">
        <f ca="1">VLOOKUP(B183,'ALL DATABASES'!$A$1:$T$2252,10,FALSE)</f>
        <v>2022</v>
      </c>
      <c r="F183" s="54" t="str">
        <f ca="1">VLOOKUP(B183,'ALL DATABASES'!$A$1:$T$2252,14,FALSE)</f>
        <v>https://www.scopus.com/inward/record.uri?eid=2-s2.0-85137877053&amp;doi=10.1007%2fs00146-022-01545-5&amp;partnerID=40&amp;md5=d8c22f1754387bc87f8704756d6dcd9e;http://dx.doi.org/10.1007/s00146-022-01545-5</v>
      </c>
      <c r="G183" s="15" t="str">
        <f ca="1">VLOOKUP(B183,'ALL DATABASES'!$A$1:$T$2252,3,FALSE)</f>
        <v>Journal Article</v>
      </c>
      <c r="H183" s="50" t="str">
        <f ca="1">VLOOKUP(B183,'ALL DATABASES'!$A$1:$T$2252,20,FALSE)</f>
        <v>SCOPUS</v>
      </c>
    </row>
    <row r="184" spans="1:8" ht="12.75" x14ac:dyDescent="0.2">
      <c r="A184">
        <v>183</v>
      </c>
      <c r="B184" s="15" t="str">
        <f ca="1">IFERROR(__xludf.DUMMYFUNCTION("""COMPUTED_VALUE"""),"AI Asset Management: a Case Study with the Asset Administration Shell (AAS)")</f>
        <v>AI Asset Management: a Case Study with the Asset Administration Shell (AAS)</v>
      </c>
      <c r="C184" s="15" t="str">
        <f ca="1">VLOOKUP(B184,'ALL DATABASES'!$A$1:$T$2252,2,FALSE)</f>
        <v>Rauh L,Reichardt M,Schotten HD</v>
      </c>
      <c r="D184" s="15">
        <f ca="1">VLOOKUP(B184,'ALL DATABASES'!$A$1:$T$2252,5,FALSE)</f>
        <v>2022</v>
      </c>
      <c r="E184" s="55">
        <f ca="1">VLOOKUP(B184,'ALL DATABASES'!$A$1:$T$2252,10,FALSE)</f>
        <v>44805</v>
      </c>
      <c r="F184" s="54" t="str">
        <f ca="1">VLOOKUP(B184,'ALL DATABASES'!$A$1:$T$2252,14,FALSE)</f>
        <v>http://dx.doi.org/10.1109/ETFA52439.2022.9921705</v>
      </c>
      <c r="G184" s="15" t="str">
        <f ca="1">VLOOKUP(B184,'ALL DATABASES'!$A$1:$T$2252,3,FALSE)</f>
        <v>Conference Paper</v>
      </c>
      <c r="H184" s="50" t="str">
        <f ca="1">VLOOKUP(B184,'ALL DATABASES'!$A$1:$T$2252,20,FALSE)</f>
        <v>IEEE</v>
      </c>
    </row>
    <row r="185" spans="1:8" ht="12.75" x14ac:dyDescent="0.2">
      <c r="A185">
        <v>184</v>
      </c>
      <c r="B185" s="15" t="str">
        <f ca="1">IFERROR(__xludf.DUMMYFUNCTION("""COMPUTED_VALUE"""),"AI deployment architecture: Multi-case study for key factor identification")</f>
        <v>AI deployment architecture: Multi-case study for key factor identification</v>
      </c>
      <c r="C185" s="15" t="str">
        <f ca="1">VLOOKUP(B185,'ALL DATABASES'!$A$1:$T$2252,2,FALSE)</f>
        <v>John MM,Olsson HH,Bosch J</v>
      </c>
      <c r="D185" s="15">
        <f ca="1">VLOOKUP(B185,'ALL DATABASES'!$A$1:$T$2252,5,FALSE)</f>
        <v>2020</v>
      </c>
      <c r="E185" s="15">
        <f ca="1">VLOOKUP(B185,'ALL DATABASES'!$A$1:$T$2252,10,FALSE)</f>
        <v>2020</v>
      </c>
      <c r="F185" s="54" t="str">
        <f ca="1">VLOOKUP(B185,'ALL DATABASES'!$A$1:$T$2252,14,FALSE)</f>
        <v>https://www.scopus.com/inward/record.uri?eid=2-s2.0-85102359323&amp;doi=10.1109%2fAPSEC51365.2020.00048&amp;partnerID=40&amp;md5=0853303162ddbab2b67c1f89f83f472d;http://dx.doi.org/10.1109/APSEC51365.2020.00048</v>
      </c>
      <c r="G185" s="15" t="str">
        <f ca="1">VLOOKUP(B185,'ALL DATABASES'!$A$1:$T$2252,3,FALSE)</f>
        <v>Conference Paper</v>
      </c>
      <c r="H185" s="50" t="str">
        <f ca="1">VLOOKUP(B185,'ALL DATABASES'!$A$1:$T$2252,20,FALSE)</f>
        <v>SCOPUS</v>
      </c>
    </row>
    <row r="186" spans="1:8" ht="12.75" x14ac:dyDescent="0.2">
      <c r="A186">
        <v>185</v>
      </c>
      <c r="B186" s="15" t="str">
        <f ca="1">IFERROR(__xludf.DUMMYFUNCTION("""COMPUTED_VALUE"""),"AI Engineering Research in Software Engineering Venues")</f>
        <v>AI Engineering Research in Software Engineering Venues</v>
      </c>
      <c r="C186" s="15" t="str">
        <f ca="1">VLOOKUP(B186,'ALL DATABASES'!$A$1:$T$2252,2,FALSE)</f>
        <v>Serebrenik A,Staron M,Cabot J,Penzenstadler B,Hochstein L,Carver JC</v>
      </c>
      <c r="D186" s="15">
        <f ca="1">VLOOKUP(B186,'ALL DATABASES'!$A$1:$T$2252,5,FALSE)</f>
        <v>2022</v>
      </c>
      <c r="E186" s="53">
        <f ca="1">VLOOKUP(B186,'ALL DATABASES'!$A$1:$T$2252,10,FALSE)</f>
        <v>44866</v>
      </c>
      <c r="F186" s="54" t="str">
        <f ca="1">VLOOKUP(B186,'ALL DATABASES'!$A$1:$T$2252,14,FALSE)</f>
        <v>http://dx.doi.org/10.1109/MS.2022.3196208</v>
      </c>
      <c r="G186" s="15" t="str">
        <f ca="1">VLOOKUP(B186,'ALL DATABASES'!$A$1:$T$2252,3,FALSE)</f>
        <v>Journal Article</v>
      </c>
      <c r="H186" s="50" t="str">
        <f ca="1">VLOOKUP(B186,'ALL DATABASES'!$A$1:$T$2252,20,FALSE)</f>
        <v>IEEE</v>
      </c>
    </row>
    <row r="187" spans="1:8" ht="12.75" x14ac:dyDescent="0.2">
      <c r="A187">
        <v>186</v>
      </c>
      <c r="B187" s="15" t="str">
        <f ca="1">IFERROR(__xludf.DUMMYFUNCTION("""COMPUTED_VALUE"""),"AI Engineering: Realizing the Potential of AI")</f>
        <v>AI Engineering: Realizing the Potential of AI</v>
      </c>
      <c r="C187" s="15" t="str">
        <f ca="1">VLOOKUP(B187,'ALL DATABASES'!$A$1:$T$2252,2,FALSE)</f>
        <v>Bosch J,Olsson HH,Brinne B,Crnkovic I</v>
      </c>
      <c r="D187" s="15">
        <f ca="1">VLOOKUP(B187,'ALL DATABASES'!$A$1:$T$2252,5,FALSE)</f>
        <v>2022</v>
      </c>
      <c r="E187" s="53">
        <f ca="1">VLOOKUP(B187,'ALL DATABASES'!$A$1:$T$2252,10,FALSE)</f>
        <v>44866</v>
      </c>
      <c r="F187" s="54" t="str">
        <f ca="1">VLOOKUP(B187,'ALL DATABASES'!$A$1:$T$2252,14,FALSE)</f>
        <v>http://dx.doi.org/10.1109/MS.2022.3199621</v>
      </c>
      <c r="G187" s="15" t="str">
        <f ca="1">VLOOKUP(B187,'ALL DATABASES'!$A$1:$T$2252,3,FALSE)</f>
        <v>Journal Article</v>
      </c>
      <c r="H187" s="50" t="str">
        <f ca="1">VLOOKUP(B187,'ALL DATABASES'!$A$1:$T$2252,20,FALSE)</f>
        <v>IEEE</v>
      </c>
    </row>
    <row r="188" spans="1:8" ht="12.75" x14ac:dyDescent="0.2">
      <c r="A188">
        <v>187</v>
      </c>
      <c r="B188" s="15" t="str">
        <f ca="1">IFERROR(__xludf.DUMMYFUNCTION("""COMPUTED_VALUE"""),"AI for next generation computing: Emerging trends and future directions")</f>
        <v>AI for next generation computing: Emerging trends and future directions</v>
      </c>
      <c r="C188" s="15" t="str">
        <f ca="1">VLOOKUP(B188,'ALL DATABASES'!$A$1:$T$2252,2,FALSE)</f>
        <v>Gill SS,Xu M,Ottaviani C,Patros P,Bahsoon R,Shaghaghi A,Golec M,Stankovski V,Wu H,Abraham A,Singh M,Mehta H,Ghosh SK,Baker T,Parlikad AK,Lutfiyya H,Kanhere SS,Sakellariou R,Dustdar S,Rana O,Brandic I,Uhlig S</v>
      </c>
      <c r="D188" s="15">
        <f ca="1">VLOOKUP(B188,'ALL DATABASES'!$A$1:$T$2252,5,FALSE)</f>
        <v>2022</v>
      </c>
      <c r="E188" s="15">
        <f ca="1">VLOOKUP(B188,'ALL DATABASES'!$A$1:$T$2252,10,FALSE)</f>
        <v>2022</v>
      </c>
      <c r="F188" s="54" t="str">
        <f ca="1">VLOOKUP(B188,'ALL DATABASES'!$A$1:$T$2252,14,FALSE)</f>
        <v>https://www.sciencedirect.com/science/article/pii/S254266052200018X;http://dx.doi.org/10.1016/j.iot.2022.100514</v>
      </c>
      <c r="G188" s="15" t="str">
        <f ca="1">VLOOKUP(B188,'ALL DATABASES'!$A$1:$T$2252,3,FALSE)</f>
        <v>Journal Article</v>
      </c>
      <c r="H188" s="50" t="str">
        <f ca="1">VLOOKUP(B188,'ALL DATABASES'!$A$1:$T$2252,20,FALSE)</f>
        <v>SCIENCEDIRECT</v>
      </c>
    </row>
    <row r="189" spans="1:8" ht="12.75" x14ac:dyDescent="0.2">
      <c r="A189">
        <v>188</v>
      </c>
      <c r="B189" s="15" t="str">
        <f ca="1">IFERROR(__xludf.DUMMYFUNCTION("""COMPUTED_VALUE"""),"AI Full Stack: Application Development")</f>
        <v>AI Full Stack: Application Development</v>
      </c>
      <c r="C189" s="15" t="str">
        <f ca="1">VLOOKUP(B189,'ALL DATABASES'!$A$1:$T$2252,2,FALSE)</f>
        <v>Barry Walsh</v>
      </c>
      <c r="D189" s="15">
        <f ca="1">VLOOKUP(B189,'ALL DATABASES'!$A$1:$T$2252,5,FALSE)</f>
        <v>2023</v>
      </c>
      <c r="E189" s="15">
        <f ca="1">VLOOKUP(B189,'ALL DATABASES'!$A$1:$T$2252,10,FALSE)</f>
        <v>0</v>
      </c>
      <c r="F189" s="54" t="str">
        <f ca="1">VLOOKUP(B189,'ALL DATABASES'!$A$1:$T$2252,14,FALSE)</f>
        <v>http://link.springer.com/chapter/10.1007/978-1-4842-8817-7_7</v>
      </c>
      <c r="G189" s="15" t="str">
        <f ca="1">VLOOKUP(B189,'ALL DATABASES'!$A$1:$T$2252,3,FALSE)</f>
        <v>Chapter</v>
      </c>
      <c r="H189" s="50" t="str">
        <f ca="1">VLOOKUP(B189,'ALL DATABASES'!$A$1:$T$2252,20,FALSE)</f>
        <v>SPRINGER</v>
      </c>
    </row>
    <row r="190" spans="1:8" ht="12.75" x14ac:dyDescent="0.2">
      <c r="A190">
        <v>189</v>
      </c>
      <c r="B190" s="15" t="str">
        <f ca="1">IFERROR(__xludf.DUMMYFUNCTION("""COMPUTED_VALUE"""),"AI lifecycle models need to be revised")</f>
        <v>AI lifecycle models need to be revised</v>
      </c>
      <c r="C190" s="15" t="str">
        <f ca="1">VLOOKUP(B190,'ALL DATABASES'!$A$1:$T$2252,2,FALSE)</f>
        <v>Mark HaakmanLuÃ­s CruzHennie HuijgensArie van Deursen</v>
      </c>
      <c r="D190" s="15">
        <f ca="1">VLOOKUP(B190,'ALL DATABASES'!$A$1:$T$2252,5,FALSE)</f>
        <v>2021</v>
      </c>
      <c r="E190" s="15">
        <f ca="1">VLOOKUP(B190,'ALL DATABASES'!$A$1:$T$2252,10,FALSE)</f>
        <v>0</v>
      </c>
      <c r="F190" s="54" t="str">
        <f ca="1">VLOOKUP(B190,'ALL DATABASES'!$A$1:$T$2252,14,FALSE)</f>
        <v>http://link.springer.com/article/10.1007/s10664-021-09993-1</v>
      </c>
      <c r="G190" s="15" t="str">
        <f ca="1">VLOOKUP(B190,'ALL DATABASES'!$A$1:$T$2252,3,FALSE)</f>
        <v>Article</v>
      </c>
      <c r="H190" s="50" t="str">
        <f ca="1">VLOOKUP(B190,'ALL DATABASES'!$A$1:$T$2252,20,FALSE)</f>
        <v>SPRINGER</v>
      </c>
    </row>
    <row r="191" spans="1:8" ht="12.75" x14ac:dyDescent="0.2">
      <c r="A191">
        <v>190</v>
      </c>
      <c r="B191" s="15" t="str">
        <f ca="1">IFERROR(__xludf.DUMMYFUNCTION("""COMPUTED_VALUE"""),"AI System Engineering—Key Challenges and Lessons Learned †")</f>
        <v>AI System Engineering—Key Challenges and Lessons Learned †</v>
      </c>
      <c r="C191" s="15" t="str">
        <f ca="1">VLOOKUP(B191,'ALL DATABASES'!$A$1:$T$2252,2,FALSE)</f>
        <v>Fischer L,Ehrlinger L,Geist V,Ramler R,Sobiezky F,Zellinger W,Brunner D,Kumar M,Moser B</v>
      </c>
      <c r="D191" s="15">
        <f ca="1">VLOOKUP(B191,'ALL DATABASES'!$A$1:$T$2252,5,FALSE)</f>
        <v>2021</v>
      </c>
      <c r="E191" s="15">
        <f ca="1">VLOOKUP(B191,'ALL DATABASES'!$A$1:$T$2252,10,FALSE)</f>
        <v>2021</v>
      </c>
      <c r="F191" s="54" t="str">
        <f ca="1">VLOOKUP(B191,'ALL DATABASES'!$A$1:$T$2252,14,FALSE)</f>
        <v>https://www.scopus.com/inward/record.uri?eid=2-s2.0-85103524094&amp;doi=10.3390%2fmake3010004&amp;partnerID=40&amp;md5=5f59ecb11b411871a7fcc5b9818a1e37;http://dx.doi.org/10.3390/make3010004</v>
      </c>
      <c r="G191" s="15" t="str">
        <f ca="1">VLOOKUP(B191,'ALL DATABASES'!$A$1:$T$2252,3,FALSE)</f>
        <v>Journal Article</v>
      </c>
      <c r="H191" s="50" t="str">
        <f ca="1">VLOOKUP(B191,'ALL DATABASES'!$A$1:$T$2252,20,FALSE)</f>
        <v>SCOPUS</v>
      </c>
    </row>
    <row r="192" spans="1:8" ht="12.75" x14ac:dyDescent="0.2">
      <c r="A192">
        <v>191</v>
      </c>
      <c r="B192" s="15" t="str">
        <f ca="1">IFERROR(__xludf.DUMMYFUNCTION("""COMPUTED_VALUE"""),"AI Total: Analyzing Security ML Models with Imperfect Data in Production")</f>
        <v>AI Total: Analyzing Security ML Models with Imperfect Data in Production</v>
      </c>
      <c r="C192" s="15" t="str">
        <f ca="1">VLOOKUP(B192,'ALL DATABASES'!$A$1:$T$2252,2,FALSE)</f>
        <v>Sopan A,Berlin K</v>
      </c>
      <c r="D192" s="15">
        <f ca="1">VLOOKUP(B192,'ALL DATABASES'!$A$1:$T$2252,5,FALSE)</f>
        <v>2021</v>
      </c>
      <c r="E192" s="15">
        <f ca="1">VLOOKUP(B192,'ALL DATABASES'!$A$1:$T$2252,10,FALSE)</f>
        <v>2021</v>
      </c>
      <c r="F192" s="54" t="str">
        <f ca="1">VLOOKUP(B192,'ALL DATABASES'!$A$1:$T$2252,14,FALSE)</f>
        <v>https://www.scopus.com/inward/record.uri?eid=2-s2.0-85123838162&amp;doi=10.1109%2fVizSec53666.2021.00006&amp;partnerID=40&amp;md5=c8a648eb6cc297caa631247a6f9422ee;http://dx.doi.org/10.1109/VizSec53666.2021.00006</v>
      </c>
      <c r="G192" s="15" t="str">
        <f ca="1">VLOOKUP(B192,'ALL DATABASES'!$A$1:$T$2252,3,FALSE)</f>
        <v>Conference Paper</v>
      </c>
      <c r="H192" s="50" t="str">
        <f ca="1">VLOOKUP(B192,'ALL DATABASES'!$A$1:$T$2252,20,FALSE)</f>
        <v>SCOPUS</v>
      </c>
    </row>
    <row r="193" spans="1:8" ht="12.75" x14ac:dyDescent="0.2">
      <c r="A193">
        <v>192</v>
      </c>
      <c r="B193" s="15" t="str">
        <f ca="1">IFERROR(__xludf.DUMMYFUNCTION("""COMPUTED_VALUE"""),"Aide-Mémoire: Improving a Project’s Collective Memory via Pull Request–Issue Links")</f>
        <v>Aide-Mémoire: Improving a Project’s Collective Memory via Pull Request–Issue Links</v>
      </c>
      <c r="C193" s="15" t="str">
        <f ca="1">VLOOKUP(B193,'ALL DATABASES'!$A$1:$T$2252,2,FALSE)</f>
        <v>Pârundefinedachi PP,White DR,Barr ET</v>
      </c>
      <c r="D193" s="15">
        <f ca="1">VLOOKUP(B193,'ALL DATABASES'!$A$1:$T$2252,5,FALSE)</f>
        <v>2022</v>
      </c>
      <c r="E193" s="55">
        <f ca="1">VLOOKUP(B193,'ALL DATABASES'!$A$1:$T$2252,10,FALSE)</f>
        <v>44713</v>
      </c>
      <c r="F193" s="54" t="str">
        <f ca="1">VLOOKUP(B193,'ALL DATABASES'!$A$1:$T$2252,14,FALSE)</f>
        <v>https://doi.org/10.1145/3542937;http://dx.doi.org/10.1145/3542937</v>
      </c>
      <c r="G193" s="15" t="str">
        <f ca="1">VLOOKUP(B193,'ALL DATABASES'!$A$1:$T$2252,3,FALSE)</f>
        <v>Journal Article</v>
      </c>
      <c r="H193" s="50" t="str">
        <f ca="1">VLOOKUP(B193,'ALL DATABASES'!$A$1:$T$2252,20,FALSE)</f>
        <v>ACM</v>
      </c>
    </row>
    <row r="194" spans="1:8" ht="12.75" x14ac:dyDescent="0.2">
      <c r="A194">
        <v>193</v>
      </c>
      <c r="B194" s="15" t="str">
        <f ca="1">IFERROR(__xludf.DUMMYFUNCTION("""COMPUTED_VALUE"""),"AIDEx - An Open-source Platform for Real-Time Forecasting Sepsis and A Case Study on Taking ML Algorithms to Production")</f>
        <v>AIDEx - An Open-source Platform for Real-Time Forecasting Sepsis and A Case Study on Taking ML Algorithms to Production</v>
      </c>
      <c r="C194" s="15" t="str">
        <f ca="1">VLOOKUP(B194,'ALL DATABASES'!$A$1:$T$2252,2,FALSE)</f>
        <v>Amrollahi F,Shashikumar SP,Kathiravelu P,Sharma A,Nemati S</v>
      </c>
      <c r="D194" s="15">
        <f ca="1">VLOOKUP(B194,'ALL DATABASES'!$A$1:$T$2252,5,FALSE)</f>
        <v>2020</v>
      </c>
      <c r="E194" s="55">
        <f ca="1">VLOOKUP(B194,'ALL DATABASES'!$A$1:$T$2252,10,FALSE)</f>
        <v>44013</v>
      </c>
      <c r="F194" s="54" t="str">
        <f ca="1">VLOOKUP(B194,'ALL DATABASES'!$A$1:$T$2252,14,FALSE)</f>
        <v>http://dx.doi.org/10.1109/EMBC44109.2020.9175947</v>
      </c>
      <c r="G194" s="15" t="str">
        <f ca="1">VLOOKUP(B194,'ALL DATABASES'!$A$1:$T$2252,3,FALSE)</f>
        <v>Conference Paper</v>
      </c>
      <c r="H194" s="50" t="str">
        <f ca="1">VLOOKUP(B194,'ALL DATABASES'!$A$1:$T$2252,20,FALSE)</f>
        <v>IEEE</v>
      </c>
    </row>
    <row r="195" spans="1:8" ht="12.75" x14ac:dyDescent="0.2">
      <c r="A195">
        <v>194</v>
      </c>
      <c r="B195" s="15" t="str">
        <f ca="1">IFERROR(__xludf.DUMMYFUNCTION("""COMPUTED_VALUE"""),"AIMMX: Artificial Intelligence Model Metadata Extractor")</f>
        <v>AIMMX: Artificial Intelligence Model Metadata Extractor</v>
      </c>
      <c r="C195" s="15" t="str">
        <f ca="1">VLOOKUP(B195,'ALL DATABASES'!$A$1:$T$2252,2,FALSE)</f>
        <v>Tsay J,Braz A,Hirzel M,Shinnar A,Mummert T</v>
      </c>
      <c r="D195" s="15">
        <f ca="1">VLOOKUP(B195,'ALL DATABASES'!$A$1:$T$2252,5,FALSE)</f>
        <v>2020</v>
      </c>
      <c r="E195" s="15">
        <f ca="1">VLOOKUP(B195,'ALL DATABASES'!$A$1:$T$2252,10,FALSE)</f>
        <v>2020</v>
      </c>
      <c r="F195" s="54" t="str">
        <f ca="1">VLOOKUP(B195,'ALL DATABASES'!$A$1:$T$2252,14,FALSE)</f>
        <v>https://doi.org/10.1145/3379597.3387448;http://dx.doi.org/10.1145/3379597.3387448</v>
      </c>
      <c r="G195" s="15" t="str">
        <f ca="1">VLOOKUP(B195,'ALL DATABASES'!$A$1:$T$2252,3,FALSE)</f>
        <v>Conference Paper</v>
      </c>
      <c r="H195" s="50" t="str">
        <f ca="1">VLOOKUP(B195,'ALL DATABASES'!$A$1:$T$2252,20,FALSE)</f>
        <v>ACM</v>
      </c>
    </row>
    <row r="196" spans="1:8" ht="12.75" x14ac:dyDescent="0.2">
      <c r="A196">
        <v>195</v>
      </c>
      <c r="B196" s="15" t="str">
        <f ca="1">IFERROR(__xludf.DUMMYFUNCTION("""COMPUTED_VALUE"""),"AIxIA 2021 â€“ Advances in Artificial Intelligence")</f>
        <v>AIxIA 2021 â€“ Advances in Artificial Intelligence</v>
      </c>
      <c r="C196" s="15" t="str">
        <f ca="1">VLOOKUP(B196,'ALL DATABASES'!$A$1:$T$2252,2,FALSE)</f>
        <v>Stefania BandiniFrancesca GaspariniViviana MascardiMatteo PalmonariGiuseppe Vizzari</v>
      </c>
      <c r="D196" s="15">
        <f ca="1">VLOOKUP(B196,'ALL DATABASES'!$A$1:$T$2252,5,FALSE)</f>
        <v>2022</v>
      </c>
      <c r="E196" s="15">
        <f ca="1">VLOOKUP(B196,'ALL DATABASES'!$A$1:$T$2252,10,FALSE)</f>
        <v>0</v>
      </c>
      <c r="F196" s="54" t="str">
        <f ca="1">VLOOKUP(B196,'ALL DATABASES'!$A$1:$T$2252,14,FALSE)</f>
        <v>http://link.springer.com/book/10.1007/978-3-031-08421-8</v>
      </c>
      <c r="G196" s="15" t="str">
        <f ca="1">VLOOKUP(B196,'ALL DATABASES'!$A$1:$T$2252,3,FALSE)</f>
        <v>Book</v>
      </c>
      <c r="H196" s="50" t="str">
        <f ca="1">VLOOKUP(B196,'ALL DATABASES'!$A$1:$T$2252,20,FALSE)</f>
        <v>SPRINGER</v>
      </c>
    </row>
    <row r="197" spans="1:8" ht="12.75" x14ac:dyDescent="0.2">
      <c r="A197">
        <v>196</v>
      </c>
      <c r="B197" s="15" t="str">
        <f ca="1">IFERROR(__xludf.DUMMYFUNCTION("""COMPUTED_VALUE"""),"Alexa, Is This a Historical Record?")</f>
        <v>Alexa, Is This a Historical Record?</v>
      </c>
      <c r="C197" s="15" t="str">
        <f ca="1">VLOOKUP(B197,'ALL DATABASES'!$A$1:$T$2252,2,FALSE)</f>
        <v>Venkata SK,Young P,Bell M,Green A</v>
      </c>
      <c r="D197" s="15">
        <f ca="1">VLOOKUP(B197,'ALL DATABASES'!$A$1:$T$2252,5,FALSE)</f>
        <v>2022</v>
      </c>
      <c r="E197" s="15">
        <f ca="1">VLOOKUP(B197,'ALL DATABASES'!$A$1:$T$2252,10,FALSE)</f>
        <v>2022</v>
      </c>
      <c r="F197" s="54" t="str">
        <f ca="1">VLOOKUP(B197,'ALL DATABASES'!$A$1:$T$2252,14,FALSE)</f>
        <v>https://www.scopus.com/inward/record.uri?eid=2-s2.0-85127828513&amp;doi=10.1145%2f3479008&amp;partnerID=40&amp;md5=7d5197acbbe6613fa26c33417326f668;http://dx.doi.org/10.1145/3479008</v>
      </c>
      <c r="G197" s="15" t="str">
        <f ca="1">VLOOKUP(B197,'ALL DATABASES'!$A$1:$T$2252,3,FALSE)</f>
        <v>Journal Article</v>
      </c>
      <c r="H197" s="50" t="str">
        <f ca="1">VLOOKUP(B197,'ALL DATABASES'!$A$1:$T$2252,20,FALSE)</f>
        <v>SCOPUS</v>
      </c>
    </row>
    <row r="198" spans="1:8" ht="12.75" x14ac:dyDescent="0.2">
      <c r="A198">
        <v>197</v>
      </c>
      <c r="B198" s="15" t="str">
        <f ca="1">IFERROR(__xludf.DUMMYFUNCTION("""COMPUTED_VALUE"""),"Algorithmic Impact Assessments and Accountability: The Co-Construction of Impacts")</f>
        <v>Algorithmic Impact Assessments and Accountability: The Co-Construction of Impacts</v>
      </c>
      <c r="C198" s="15" t="str">
        <f ca="1">VLOOKUP(B198,'ALL DATABASES'!$A$1:$T$2252,2,FALSE)</f>
        <v>Metcalf J,Moss E,Watkins EA,Singh R,Elish MC</v>
      </c>
      <c r="D198" s="15">
        <f ca="1">VLOOKUP(B198,'ALL DATABASES'!$A$1:$T$2252,5,FALSE)</f>
        <v>2021</v>
      </c>
      <c r="E198" s="15">
        <f ca="1">VLOOKUP(B198,'ALL DATABASES'!$A$1:$T$2252,10,FALSE)</f>
        <v>2021</v>
      </c>
      <c r="F198" s="54" t="str">
        <f ca="1">VLOOKUP(B198,'ALL DATABASES'!$A$1:$T$2252,14,FALSE)</f>
        <v>https://doi.org/10.1145/3442188.3445935;http://dx.doi.org/10.1145/3442188.3445935</v>
      </c>
      <c r="G198" s="15" t="str">
        <f ca="1">VLOOKUP(B198,'ALL DATABASES'!$A$1:$T$2252,3,FALSE)</f>
        <v>Conference Paper</v>
      </c>
      <c r="H198" s="50" t="str">
        <f ca="1">VLOOKUP(B198,'ALL DATABASES'!$A$1:$T$2252,20,FALSE)</f>
        <v>ACM</v>
      </c>
    </row>
    <row r="199" spans="1:8" ht="12.75" x14ac:dyDescent="0.2">
      <c r="A199">
        <v>198</v>
      </c>
      <c r="B199" s="15" t="str">
        <f ca="1">IFERROR(__xludf.DUMMYFUNCTION("""COMPUTED_VALUE"""),"Algorithmic Silence: A Call to Decomputerize")</f>
        <v>Algorithmic Silence: A Call to Decomputerize</v>
      </c>
      <c r="C199" s="15" t="str">
        <f ca="1">VLOOKUP(B199,'ALL DATABASES'!$A$1:$T$2252,2,FALSE)</f>
        <v>Penn J</v>
      </c>
      <c r="D199" s="15">
        <f ca="1">VLOOKUP(B199,'ALL DATABASES'!$A$1:$T$2252,5,FALSE)</f>
        <v>2021</v>
      </c>
      <c r="E199" s="53">
        <f ca="1">VLOOKUP(B199,'ALL DATABASES'!$A$1:$T$2252,10,FALSE)</f>
        <v>44531</v>
      </c>
      <c r="F199" s="54" t="str">
        <f ca="1">VLOOKUP(B199,'ALL DATABASES'!$A$1:$T$2252,14,FALSE)</f>
        <v>http://dx.doi.org/10.23919/JSC.2021.0023</v>
      </c>
      <c r="G199" s="15" t="str">
        <f ca="1">VLOOKUP(B199,'ALL DATABASES'!$A$1:$T$2252,3,FALSE)</f>
        <v>Journal Article</v>
      </c>
      <c r="H199" s="50" t="str">
        <f ca="1">VLOOKUP(B199,'ALL DATABASES'!$A$1:$T$2252,20,FALSE)</f>
        <v>IEEE</v>
      </c>
    </row>
    <row r="200" spans="1:8" ht="12.75" x14ac:dyDescent="0.2">
      <c r="A200">
        <v>199</v>
      </c>
      <c r="B200" s="15" t="str">
        <f ca="1">IFERROR(__xludf.DUMMYFUNCTION("""COMPUTED_VALUE"""),"All versus one: An empirical comparison on retrained and incremental machine learning for modeling performance of adaptable software")</f>
        <v>All versus one: An empirical comparison on retrained and incremental machine learning for modeling performance of adaptable software</v>
      </c>
      <c r="C200" s="15" t="str">
        <f ca="1">VLOOKUP(B200,'ALL DATABASES'!$A$1:$T$2252,2,FALSE)</f>
        <v>Chen T</v>
      </c>
      <c r="D200" s="15">
        <f ca="1">VLOOKUP(B200,'ALL DATABASES'!$A$1:$T$2252,5,FALSE)</f>
        <v>2019</v>
      </c>
      <c r="E200" s="15">
        <f ca="1">VLOOKUP(B200,'ALL DATABASES'!$A$1:$T$2252,10,FALSE)</f>
        <v>2019</v>
      </c>
      <c r="F200" s="54" t="str">
        <f ca="1">VLOOKUP(B200,'ALL DATABASES'!$A$1:$T$2252,14,FALSE)</f>
        <v>https://www.scopus.com/inward/record.uri?eid=2-s2.0-85071087966&amp;doi=10.1109%2fSEAMS.2019.00029&amp;partnerID=40&amp;md5=8e6b24a1794c18335509f5180553c690;http://dx.doi.org/10.1109/SEAMS.2019.00029</v>
      </c>
      <c r="G200" s="15" t="str">
        <f ca="1">VLOOKUP(B200,'ALL DATABASES'!$A$1:$T$2252,3,FALSE)</f>
        <v>Conference Paper</v>
      </c>
      <c r="H200" s="50" t="str">
        <f ca="1">VLOOKUP(B200,'ALL DATABASES'!$A$1:$T$2252,20,FALSE)</f>
        <v>SCOPUS</v>
      </c>
    </row>
    <row r="201" spans="1:8" ht="12.75" x14ac:dyDescent="0.2">
      <c r="A201">
        <v>200</v>
      </c>
      <c r="B201" s="15" t="str">
        <f ca="1">IFERROR(__xludf.DUMMYFUNCTION("""COMPUTED_VALUE"""),"AlphaSQL: Open Source Software Tool for Automatic Dependency Resolution, Parallelization and Validation for SQL and Data")</f>
        <v>AlphaSQL: Open Source Software Tool for Automatic Dependency Resolution, Parallelization and Validation for SQL and Data</v>
      </c>
      <c r="C201" s="15" t="str">
        <f ca="1">VLOOKUP(B201,'ALL DATABASES'!$A$1:$T$2252,2,FALSE)</f>
        <v>Matsui M,Sugisaki T,Okada K,Koshizuka N</v>
      </c>
      <c r="D201" s="15">
        <f ca="1">VLOOKUP(B201,'ALL DATABASES'!$A$1:$T$2252,5,FALSE)</f>
        <v>2022</v>
      </c>
      <c r="E201" s="15">
        <f ca="1">VLOOKUP(B201,'ALL DATABASES'!$A$1:$T$2252,10,FALSE)</f>
        <v>2022</v>
      </c>
      <c r="F201" s="54" t="str">
        <f ca="1">VLOOKUP(B201,'ALL DATABASES'!$A$1:$T$2252,14,FALSE)</f>
        <v>https://www.scopus.com/inward/record.uri?eid=2-s2.0-85134882117&amp;doi=10.1109%2fICDEW55742.2022.00010&amp;partnerID=40&amp;md5=ce6e09b887565f27864ec5d52fda846b;http://dx.doi.org/10.1109/ICDEW55742.2022.00010</v>
      </c>
      <c r="G201" s="15" t="str">
        <f ca="1">VLOOKUP(B201,'ALL DATABASES'!$A$1:$T$2252,3,FALSE)</f>
        <v>Conference Paper</v>
      </c>
      <c r="H201" s="50" t="str">
        <f ca="1">VLOOKUP(B201,'ALL DATABASES'!$A$1:$T$2252,20,FALSE)</f>
        <v>SCOPUS</v>
      </c>
    </row>
    <row r="202" spans="1:8" ht="12.75" x14ac:dyDescent="0.2">
      <c r="A202">
        <v>201</v>
      </c>
      <c r="B202" s="15" t="str">
        <f ca="1">IFERROR(__xludf.DUMMYFUNCTION("""COMPUTED_VALUE"""),"Ambiguous, Informal, and Unsound: Metaprogramming for Naturalness")</f>
        <v>Ambiguous, Informal, and Unsound: Metaprogramming for Naturalness</v>
      </c>
      <c r="C202" s="15" t="str">
        <f ca="1">VLOOKUP(B202,'ALL DATABASES'!$A$1:$T$2252,2,FALSE)</f>
        <v>Mattis T,Rein P,Hirschfeld R</v>
      </c>
      <c r="D202" s="15">
        <f ca="1">VLOOKUP(B202,'ALL DATABASES'!$A$1:$T$2252,5,FALSE)</f>
        <v>2019</v>
      </c>
      <c r="E202" s="15">
        <f ca="1">VLOOKUP(B202,'ALL DATABASES'!$A$1:$T$2252,10,FALSE)</f>
        <v>2019</v>
      </c>
      <c r="F202" s="54" t="str">
        <f ca="1">VLOOKUP(B202,'ALL DATABASES'!$A$1:$T$2252,14,FALSE)</f>
        <v>https://doi.org/10.1145/3358502.3361270;http://dx.doi.org/10.1145/3358502.3361270</v>
      </c>
      <c r="G202" s="15" t="str">
        <f ca="1">VLOOKUP(B202,'ALL DATABASES'!$A$1:$T$2252,3,FALSE)</f>
        <v>Conference Paper</v>
      </c>
      <c r="H202" s="50" t="str">
        <f ca="1">VLOOKUP(B202,'ALL DATABASES'!$A$1:$T$2252,20,FALSE)</f>
        <v>ACM</v>
      </c>
    </row>
    <row r="203" spans="1:8" ht="12.75" x14ac:dyDescent="0.2">
      <c r="A203">
        <v>202</v>
      </c>
      <c r="B203" s="15" t="str">
        <f ca="1">IFERROR(__xludf.DUMMYFUNCTION("""COMPUTED_VALUE"""),"An Agile Software Development Life Cycle Model for Machine Learning Application Development")</f>
        <v>An Agile Software Development Life Cycle Model for Machine Learning Application Development</v>
      </c>
      <c r="C203" s="15" t="str">
        <f ca="1">VLOOKUP(B203,'ALL DATABASES'!$A$1:$T$2252,2,FALSE)</f>
        <v>Ranawana R,Karunananda AS</v>
      </c>
      <c r="D203" s="15">
        <f ca="1">VLOOKUP(B203,'ALL DATABASES'!$A$1:$T$2252,5,FALSE)</f>
        <v>2021</v>
      </c>
      <c r="E203" s="53">
        <f ca="1">VLOOKUP(B203,'ALL DATABASES'!$A$1:$T$2252,10,FALSE)</f>
        <v>44531</v>
      </c>
      <c r="F203" s="54" t="str">
        <f ca="1">VLOOKUP(B203,'ALL DATABASES'!$A$1:$T$2252,14,FALSE)</f>
        <v>http://dx.doi.org/10.1109/SLAAI-ICAI54477.2021.9664736</v>
      </c>
      <c r="G203" s="15" t="str">
        <f ca="1">VLOOKUP(B203,'ALL DATABASES'!$A$1:$T$2252,3,FALSE)</f>
        <v>Conference Paper</v>
      </c>
      <c r="H203" s="50" t="str">
        <f ca="1">VLOOKUP(B203,'ALL DATABASES'!$A$1:$T$2252,20,FALSE)</f>
        <v>IEEE</v>
      </c>
    </row>
    <row r="204" spans="1:8" ht="12.75" x14ac:dyDescent="0.2">
      <c r="A204">
        <v>203</v>
      </c>
      <c r="B204" s="15" t="str">
        <f ca="1">IFERROR(__xludf.DUMMYFUNCTION("""COMPUTED_VALUE"""),"An Amplitudes-Perturbation Data Augmentation Method in Convolutional Neural Networks for EEG Decoding")</f>
        <v>An Amplitudes-Perturbation Data Augmentation Method in Convolutional Neural Networks for EEG Decoding</v>
      </c>
      <c r="C204" s="15" t="str">
        <f ca="1">VLOOKUP(B204,'ALL DATABASES'!$A$1:$T$2252,2,FALSE)</f>
        <v>Zhang XR,Lei MY,Li Y</v>
      </c>
      <c r="D204" s="15">
        <f ca="1">VLOOKUP(B204,'ALL DATABASES'!$A$1:$T$2252,5,FALSE)</f>
        <v>2018</v>
      </c>
      <c r="E204" s="15">
        <f ca="1">VLOOKUP(B204,'ALL DATABASES'!$A$1:$T$2252,10,FALSE)</f>
        <v>2018</v>
      </c>
      <c r="F204" s="54" t="str">
        <f ca="1">VLOOKUP(B204,'ALL DATABASES'!$A$1:$T$2252,14,FALSE)</f>
        <v>https://www.scopus.com/inward/record.uri?eid=2-s2.0-85060304273&amp;doi=10.1109%2fICCSS.2018.8572304&amp;partnerID=40&amp;md5=321d9814261515dcc8c381a05cb91445;http://dx.doi.org/10.1109/ICCSS.2018.8572304</v>
      </c>
      <c r="G204" s="15" t="str">
        <f ca="1">VLOOKUP(B204,'ALL DATABASES'!$A$1:$T$2252,3,FALSE)</f>
        <v>Conference Paper</v>
      </c>
      <c r="H204" s="50" t="str">
        <f ca="1">VLOOKUP(B204,'ALL DATABASES'!$A$1:$T$2252,20,FALSE)</f>
        <v>SCOPUS</v>
      </c>
    </row>
    <row r="205" spans="1:8" ht="12.75" x14ac:dyDescent="0.2">
      <c r="A205">
        <v>204</v>
      </c>
      <c r="B205" s="15" t="str">
        <f ca="1">IFERROR(__xludf.DUMMYFUNCTION("""COMPUTED_VALUE"""),"An Analysis of Automated Technical Debt Measurement")</f>
        <v>An Analysis of Automated Technical Debt Measurement</v>
      </c>
      <c r="C205" s="15" t="str">
        <f ca="1">VLOOKUP(B205,'ALL DATABASES'!$A$1:$T$2252,2,FALSE)</f>
        <v>Ilya KhomyakovZufar MakhmutovRuzilya MirgalimovaAlberto Sillitti</v>
      </c>
      <c r="D205" s="15">
        <f ca="1">VLOOKUP(B205,'ALL DATABASES'!$A$1:$T$2252,5,FALSE)</f>
        <v>2020</v>
      </c>
      <c r="E205" s="15">
        <f ca="1">VLOOKUP(B205,'ALL DATABASES'!$A$1:$T$2252,10,FALSE)</f>
        <v>0</v>
      </c>
      <c r="F205" s="54" t="str">
        <f ca="1">VLOOKUP(B205,'ALL DATABASES'!$A$1:$T$2252,14,FALSE)</f>
        <v>http://link.springer.com/chapter/10.1007/978-3-030-40783-4_12</v>
      </c>
      <c r="G205" s="15" t="str">
        <f ca="1">VLOOKUP(B205,'ALL DATABASES'!$A$1:$T$2252,3,FALSE)</f>
        <v>Chapter</v>
      </c>
      <c r="H205" s="50" t="str">
        <f ca="1">VLOOKUP(B205,'ALL DATABASES'!$A$1:$T$2252,20,FALSE)</f>
        <v>SPRINGER</v>
      </c>
    </row>
    <row r="206" spans="1:8" ht="12.75" x14ac:dyDescent="0.2">
      <c r="A206">
        <v>205</v>
      </c>
      <c r="B206" s="15" t="str">
        <f ca="1">IFERROR(__xludf.DUMMYFUNCTION("""COMPUTED_VALUE"""),"An approach to secure legacy software systems")</f>
        <v>An approach to secure legacy software systems</v>
      </c>
      <c r="C206" s="15" t="str">
        <f ca="1">VLOOKUP(B206,'ALL DATABASES'!$A$1:$T$2252,2,FALSE)</f>
        <v>Jasser S,Kelbert J</v>
      </c>
      <c r="D206" s="15">
        <f ca="1">VLOOKUP(B206,'ALL DATABASES'!$A$1:$T$2252,5,FALSE)</f>
        <v>2020</v>
      </c>
      <c r="E206" s="15">
        <f ca="1">VLOOKUP(B206,'ALL DATABASES'!$A$1:$T$2252,10,FALSE)</f>
        <v>2020</v>
      </c>
      <c r="F206" s="54" t="str">
        <f ca="1">VLOOKUP(B206,'ALL DATABASES'!$A$1:$T$2252,14,FALSE)</f>
        <v>https://www.scopus.com/inward/record.uri?eid=2-s2.0-85083034194&amp;partnerID=40&amp;md5=86a5daa17769e55130d3c7b5a473dbe9</v>
      </c>
      <c r="G206" s="15" t="str">
        <f ca="1">VLOOKUP(B206,'ALL DATABASES'!$A$1:$T$2252,3,FALSE)</f>
        <v>Conference Paper</v>
      </c>
      <c r="H206" s="50" t="str">
        <f ca="1">VLOOKUP(B206,'ALL DATABASES'!$A$1:$T$2252,20,FALSE)</f>
        <v>SCOPUS</v>
      </c>
    </row>
    <row r="207" spans="1:8" ht="12.75" x14ac:dyDescent="0.2">
      <c r="A207">
        <v>206</v>
      </c>
      <c r="B207" s="15" t="str">
        <f ca="1">IFERROR(__xludf.DUMMYFUNCTION("""COMPUTED_VALUE"""),"An architecture for agile machine learning in real-time applications")</f>
        <v>An architecture for agile machine learning in real-time applications</v>
      </c>
      <c r="C207" s="15" t="str">
        <f ca="1">VLOOKUP(B207,'ALL DATABASES'!$A$1:$T$2252,2,FALSE)</f>
        <v>Schleier-Smith J</v>
      </c>
      <c r="D207" s="15">
        <f ca="1">VLOOKUP(B207,'ALL DATABASES'!$A$1:$T$2252,5,FALSE)</f>
        <v>2015</v>
      </c>
      <c r="E207" s="15">
        <f ca="1">VLOOKUP(B207,'ALL DATABASES'!$A$1:$T$2252,10,FALSE)</f>
        <v>2015</v>
      </c>
      <c r="F207" s="54" t="str">
        <f ca="1">VLOOKUP(B207,'ALL DATABASES'!$A$1:$T$2252,14,FALSE)</f>
        <v>https://www.scopus.com/inward/record.uri?eid=2-s2.0-84954120914&amp;doi=10.1145%2f2783258.2788628&amp;partnerID=40&amp;md5=b43ba396032467f35be3fe986179b1d9;http://dx.doi.org/10.1145/2783258.2788628</v>
      </c>
      <c r="G207" s="15" t="str">
        <f ca="1">VLOOKUP(B207,'ALL DATABASES'!$A$1:$T$2252,3,FALSE)</f>
        <v>Conference Paper</v>
      </c>
      <c r="H207" s="50" t="str">
        <f ca="1">VLOOKUP(B207,'ALL DATABASES'!$A$1:$T$2252,20,FALSE)</f>
        <v>SCOPUS</v>
      </c>
    </row>
    <row r="208" spans="1:8" ht="12.75" x14ac:dyDescent="0.2">
      <c r="A208">
        <v>207</v>
      </c>
      <c r="B208" s="15" t="str">
        <f ca="1">IFERROR(__xludf.DUMMYFUNCTION("""COMPUTED_VALUE"""),"An automated extract method refactoring approach to correct the long method code smell")</f>
        <v>An automated extract method refactoring approach to correct the long method code smell</v>
      </c>
      <c r="C208" s="15" t="str">
        <f ca="1">VLOOKUP(B208,'ALL DATABASES'!$A$1:$T$2252,2,FALSE)</f>
        <v>Shahidi M,Ashtiani M,Zakeri-Nasrabadi M</v>
      </c>
      <c r="D208" s="15">
        <f ca="1">VLOOKUP(B208,'ALL DATABASES'!$A$1:$T$2252,5,FALSE)</f>
        <v>2022</v>
      </c>
      <c r="E208" s="15">
        <f ca="1">VLOOKUP(B208,'ALL DATABASES'!$A$1:$T$2252,10,FALSE)</f>
        <v>2022</v>
      </c>
      <c r="F208" s="54" t="str">
        <f ca="1">VLOOKUP(B208,'ALL DATABASES'!$A$1:$T$2252,14,FALSE)</f>
        <v>https://www.scopus.com/inward/record.uri?eid=2-s2.0-85123722465&amp;doi=10.1016%2fj.jss.2022.111221&amp;partnerID=40&amp;md5=4217939de66ecf1ec4cf865419c65124;http://dx.doi.org/10.1016/j.jss.2022.111221</v>
      </c>
      <c r="G208" s="15" t="str">
        <f ca="1">VLOOKUP(B208,'ALL DATABASES'!$A$1:$T$2252,3,FALSE)</f>
        <v>Journal Article</v>
      </c>
      <c r="H208" s="50" t="str">
        <f ca="1">VLOOKUP(B208,'ALL DATABASES'!$A$1:$T$2252,20,FALSE)</f>
        <v>SCOPUS</v>
      </c>
    </row>
    <row r="209" spans="1:8" ht="12.75" x14ac:dyDescent="0.2">
      <c r="A209">
        <v>208</v>
      </c>
      <c r="B209" s="15" t="str">
        <f ca="1">IFERROR(__xludf.DUMMYFUNCTION("""COMPUTED_VALUE"""),"An automatic software vulnerability classification framework using term frequency-inverse gravity moment and feature selection")</f>
        <v>An automatic software vulnerability classification framework using term frequency-inverse gravity moment and feature selection</v>
      </c>
      <c r="C209" s="15" t="str">
        <f ca="1">VLOOKUP(B209,'ALL DATABASES'!$A$1:$T$2252,2,FALSE)</f>
        <v>Chen J,Kudjo PK,Mensah S,Brown SA,Akorfu G</v>
      </c>
      <c r="D209" s="15">
        <f ca="1">VLOOKUP(B209,'ALL DATABASES'!$A$1:$T$2252,5,FALSE)</f>
        <v>2020</v>
      </c>
      <c r="E209" s="15">
        <f ca="1">VLOOKUP(B209,'ALL DATABASES'!$A$1:$T$2252,10,FALSE)</f>
        <v>2020</v>
      </c>
      <c r="F209" s="54" t="str">
        <f ca="1">VLOOKUP(B209,'ALL DATABASES'!$A$1:$T$2252,14,FALSE)</f>
        <v>https://www.sciencedirect.com/science/article/pii/S0164121220300947;http://dx.doi.org/10.1016/j.jss.2020.110616</v>
      </c>
      <c r="G209" s="15" t="str">
        <f ca="1">VLOOKUP(B209,'ALL DATABASES'!$A$1:$T$2252,3,FALSE)</f>
        <v>Journal Article</v>
      </c>
      <c r="H209" s="50" t="str">
        <f ca="1">VLOOKUP(B209,'ALL DATABASES'!$A$1:$T$2252,20,FALSE)</f>
        <v>SCIENCEDIRECT</v>
      </c>
    </row>
    <row r="210" spans="1:8" ht="12.75" x14ac:dyDescent="0.2">
      <c r="A210">
        <v>209</v>
      </c>
      <c r="B210" s="15" t="str">
        <f ca="1">IFERROR(__xludf.DUMMYFUNCTION("""COMPUTED_VALUE"""),"An Ecosystemic and Socio-Technical View on Software Maintenance and Evolution")</f>
        <v>An Ecosystemic and Socio-Technical View on Software Maintenance and Evolution</v>
      </c>
      <c r="C210" s="15" t="str">
        <f ca="1">VLOOKUP(B210,'ALL DATABASES'!$A$1:$T$2252,2,FALSE)</f>
        <v>Mens T</v>
      </c>
      <c r="D210" s="15">
        <f ca="1">VLOOKUP(B210,'ALL DATABASES'!$A$1:$T$2252,5,FALSE)</f>
        <v>2016</v>
      </c>
      <c r="E210" s="53">
        <f ca="1">VLOOKUP(B210,'ALL DATABASES'!$A$1:$T$2252,10,FALSE)</f>
        <v>42644</v>
      </c>
      <c r="F210" s="54" t="str">
        <f ca="1">VLOOKUP(B210,'ALL DATABASES'!$A$1:$T$2252,14,FALSE)</f>
        <v>http://dx.doi.org/10.1109/ICSME.2016.19</v>
      </c>
      <c r="G210" s="15" t="str">
        <f ca="1">VLOOKUP(B210,'ALL DATABASES'!$A$1:$T$2252,3,FALSE)</f>
        <v>Conference Paper</v>
      </c>
      <c r="H210" s="50" t="str">
        <f ca="1">VLOOKUP(B210,'ALL DATABASES'!$A$1:$T$2252,20,FALSE)</f>
        <v>IEEE</v>
      </c>
    </row>
    <row r="211" spans="1:8" ht="12.75" x14ac:dyDescent="0.2">
      <c r="A211">
        <v>210</v>
      </c>
      <c r="B211" s="15" t="str">
        <f ca="1">IFERROR(__xludf.DUMMYFUNCTION("""COMPUTED_VALUE"""),"An efficient and reliable technical debt management for cost estimation using summarization method")</f>
        <v>An efficient and reliable technical debt management for cost estimation using summarization method</v>
      </c>
      <c r="C211" s="15" t="str">
        <f ca="1">VLOOKUP(B211,'ALL DATABASES'!$A$1:$T$2252,2,FALSE)</f>
        <v>Ravikumar K,Gunasekaran G</v>
      </c>
      <c r="D211" s="15">
        <f ca="1">VLOOKUP(B211,'ALL DATABASES'!$A$1:$T$2252,5,FALSE)</f>
        <v>2018</v>
      </c>
      <c r="E211" s="15">
        <f ca="1">VLOOKUP(B211,'ALL DATABASES'!$A$1:$T$2252,10,FALSE)</f>
        <v>2018</v>
      </c>
      <c r="F211" s="54" t="str">
        <f ca="1">VLOOKUP(B211,'ALL DATABASES'!$A$1:$T$2252,14,FALSE)</f>
        <v>https://www.scopus.com/inward/record.uri?eid=2-s2.0-85075303052&amp;partnerID=40&amp;md5=9d1bd6760a36387d25b5159c3ca86abd</v>
      </c>
      <c r="G211" s="15" t="str">
        <f ca="1">VLOOKUP(B211,'ALL DATABASES'!$A$1:$T$2252,3,FALSE)</f>
        <v>Journal Article</v>
      </c>
      <c r="H211" s="50" t="str">
        <f ca="1">VLOOKUP(B211,'ALL DATABASES'!$A$1:$T$2252,20,FALSE)</f>
        <v>SCOPUS</v>
      </c>
    </row>
    <row r="212" spans="1:8" ht="12.75" x14ac:dyDescent="0.2">
      <c r="A212">
        <v>211</v>
      </c>
      <c r="B212" s="15" t="str">
        <f ca="1">IFERROR(__xludf.DUMMYFUNCTION("""COMPUTED_VALUE"""),"An Empirical Analysis of Backward Compatibility in Machine Learning Systems")</f>
        <v>An Empirical Analysis of Backward Compatibility in Machine Learning Systems</v>
      </c>
      <c r="C212" s="15" t="str">
        <f ca="1">VLOOKUP(B212,'ALL DATABASES'!$A$1:$T$2252,2,FALSE)</f>
        <v>Srivastava M,Nushi B,Kamar E,Shah S,Horvitz E</v>
      </c>
      <c r="D212" s="15">
        <f ca="1">VLOOKUP(B212,'ALL DATABASES'!$A$1:$T$2252,5,FALSE)</f>
        <v>2020</v>
      </c>
      <c r="E212" s="15">
        <f ca="1">VLOOKUP(B212,'ALL DATABASES'!$A$1:$T$2252,10,FALSE)</f>
        <v>2020</v>
      </c>
      <c r="F212" s="54" t="str">
        <f ca="1">VLOOKUP(B212,'ALL DATABASES'!$A$1:$T$2252,14,FALSE)</f>
        <v>https://www.scopus.com/inward/record.uri?eid=2-s2.0-85090415543&amp;doi=10.1145%2f3394486.3403379&amp;partnerID=40&amp;md5=c03835156d04ea2af102deec309a9c91;http://dx.doi.org/10.1145/3394486.3403379</v>
      </c>
      <c r="G212" s="15" t="str">
        <f ca="1">VLOOKUP(B212,'ALL DATABASES'!$A$1:$T$2252,3,FALSE)</f>
        <v>Conference Paper</v>
      </c>
      <c r="H212" s="50" t="str">
        <f ca="1">VLOOKUP(B212,'ALL DATABASES'!$A$1:$T$2252,20,FALSE)</f>
        <v>SCOPUS</v>
      </c>
    </row>
    <row r="213" spans="1:8" ht="12.75" x14ac:dyDescent="0.2">
      <c r="A213">
        <v>212</v>
      </c>
      <c r="B213" s="15" t="str">
        <f ca="1">IFERROR(__xludf.DUMMYFUNCTION("""COMPUTED_VALUE"""),"An empirical analysis of code smells using CRITIC-TOPSIS method")</f>
        <v>An empirical analysis of code smells using CRITIC-TOPSIS method</v>
      </c>
      <c r="C213" s="15" t="str">
        <f ca="1">VLOOKUP(B213,'ALL DATABASES'!$A$1:$T$2252,2,FALSE)</f>
        <v>Tandon S,Kumar V,Singh VB</v>
      </c>
      <c r="D213" s="15">
        <f ca="1">VLOOKUP(B213,'ALL DATABASES'!$A$1:$T$2252,5,FALSE)</f>
        <v>2022</v>
      </c>
      <c r="E213" s="15">
        <f ca="1">VLOOKUP(B213,'ALL DATABASES'!$A$1:$T$2252,10,FALSE)</f>
        <v>2022</v>
      </c>
      <c r="F213" s="54" t="str">
        <f ca="1">VLOOKUP(B213,'ALL DATABASES'!$A$1:$T$2252,14,FALSE)</f>
        <v>https://www.scopus.com/inward/record.uri?eid=2-s2.0-85127609471&amp;doi=10.1109%2fConfluence52989.2022.9734202&amp;partnerID=40&amp;md5=d03f2e99f1499d8ba8307513fee10213;http://dx.doi.org/10.1109/Confluence52989.2022.9734202</v>
      </c>
      <c r="G213" s="15" t="str">
        <f ca="1">VLOOKUP(B213,'ALL DATABASES'!$A$1:$T$2252,3,FALSE)</f>
        <v>Conference Paper</v>
      </c>
      <c r="H213" s="50" t="str">
        <f ca="1">VLOOKUP(B213,'ALL DATABASES'!$A$1:$T$2252,20,FALSE)</f>
        <v>SCOPUS</v>
      </c>
    </row>
    <row r="214" spans="1:8" ht="12.75" x14ac:dyDescent="0.2">
      <c r="A214">
        <v>213</v>
      </c>
      <c r="B214" s="15" t="str">
        <f ca="1">IFERROR(__xludf.DUMMYFUNCTION("""COMPUTED_VALUE"""),"An empirical evaluation of machine learning algorithms for identifying software requirements on stack overflow: Initial results")</f>
        <v>An empirical evaluation of machine learning algorithms for identifying software requirements on stack overflow: Initial results</v>
      </c>
      <c r="C214" s="15" t="str">
        <f ca="1">VLOOKUP(B214,'ALL DATABASES'!$A$1:$T$2252,2,FALSE)</f>
        <v>Ahmad A,Feng C,Tahir A,Khan A,Waqas M,Ahmad S,Ullah A</v>
      </c>
      <c r="D214" s="15">
        <f ca="1">VLOOKUP(B214,'ALL DATABASES'!$A$1:$T$2252,5,FALSE)</f>
        <v>2019</v>
      </c>
      <c r="E214" s="15">
        <f ca="1">VLOOKUP(B214,'ALL DATABASES'!$A$1:$T$2252,10,FALSE)</f>
        <v>2019</v>
      </c>
      <c r="F214" s="54" t="str">
        <f ca="1">VLOOKUP(B214,'ALL DATABASES'!$A$1:$T$2252,14,FALSE)</f>
        <v>https://www.scopus.com/inward/record.uri?eid=2-s2.0-85082878517&amp;doi=10.1109%2fICSESS47205.2019.9040720&amp;partnerID=40&amp;md5=6f81e672dbf9fdeb0dff187b83944786;http://dx.doi.org/10.1109/ICSESS47205.2019.9040720</v>
      </c>
      <c r="G214" s="15" t="str">
        <f ca="1">VLOOKUP(B214,'ALL DATABASES'!$A$1:$T$2252,3,FALSE)</f>
        <v>Conference Paper</v>
      </c>
      <c r="H214" s="50" t="str">
        <f ca="1">VLOOKUP(B214,'ALL DATABASES'!$A$1:$T$2252,20,FALSE)</f>
        <v>SCOPUS</v>
      </c>
    </row>
    <row r="215" spans="1:8" ht="12.75" x14ac:dyDescent="0.2">
      <c r="A215">
        <v>214</v>
      </c>
      <c r="B215" s="15" t="str">
        <f ca="1">IFERROR(__xludf.DUMMYFUNCTION("""COMPUTED_VALUE"""),"An Empirical Examination of the Relationship between Code Smells and Merge Conflicts")</f>
        <v>An Empirical Examination of the Relationship between Code Smells and Merge Conflicts</v>
      </c>
      <c r="C215" s="15" t="str">
        <f ca="1">VLOOKUP(B215,'ALL DATABASES'!$A$1:$T$2252,2,FALSE)</f>
        <v>Ahmed I,Brindescu C,Mannan UA,Jensen C,Sarma A</v>
      </c>
      <c r="D215" s="15">
        <f ca="1">VLOOKUP(B215,'ALL DATABASES'!$A$1:$T$2252,5,FALSE)</f>
        <v>2017</v>
      </c>
      <c r="E215" s="15">
        <f ca="1">VLOOKUP(B215,'ALL DATABASES'!$A$1:$T$2252,10,FALSE)</f>
        <v>2017</v>
      </c>
      <c r="F215" s="54" t="str">
        <f ca="1">VLOOKUP(B215,'ALL DATABASES'!$A$1:$T$2252,14,FALSE)</f>
        <v>https://doi.org/10.1109/ESEM.2017.12;http://dx.doi.org/10.1109/ESEM.2017.12</v>
      </c>
      <c r="G215" s="15" t="str">
        <f ca="1">VLOOKUP(B215,'ALL DATABASES'!$A$1:$T$2252,3,FALSE)</f>
        <v>Conference Paper</v>
      </c>
      <c r="H215" s="50" t="str">
        <f ca="1">VLOOKUP(B215,'ALL DATABASES'!$A$1:$T$2252,20,FALSE)</f>
        <v>ACM</v>
      </c>
    </row>
    <row r="216" spans="1:8" ht="12.75" x14ac:dyDescent="0.2">
      <c r="A216">
        <v>215</v>
      </c>
      <c r="B216" s="15" t="str">
        <f ca="1">IFERROR(__xludf.DUMMYFUNCTION("""COMPUTED_VALUE"""),"An Empirical Investigation of Agile Information Systems Development for Cybersecurity")</f>
        <v>An Empirical Investigation of Agile Information Systems Development for Cybersecurity</v>
      </c>
      <c r="C216" s="15" t="str">
        <f ca="1">VLOOKUP(B216,'ALL DATABASES'!$A$1:$T$2252,2,FALSE)</f>
        <v>Ardo AA,Bass JM,Gaber T</v>
      </c>
      <c r="D216" s="15">
        <f ca="1">VLOOKUP(B216,'ALL DATABASES'!$A$1:$T$2252,5,FALSE)</f>
        <v>2022</v>
      </c>
      <c r="E216" s="15">
        <f ca="1">VLOOKUP(B216,'ALL DATABASES'!$A$1:$T$2252,10,FALSE)</f>
        <v>2022</v>
      </c>
      <c r="F216" s="54" t="str">
        <f ca="1">VLOOKUP(B216,'ALL DATABASES'!$A$1:$T$2252,14,FALSE)</f>
        <v>https://www.scopus.com/inward/record.uri?eid=2-s2.0-85125253380&amp;doi=10.1007%2f978-3-030-95947-0_40&amp;partnerID=40&amp;md5=cea67de019236d3eb4b5bc679e072624;http://dx.doi.org/10.1007/978-3-030-95947-0_40</v>
      </c>
      <c r="G216" s="15" t="str">
        <f ca="1">VLOOKUP(B216,'ALL DATABASES'!$A$1:$T$2252,3,FALSE)</f>
        <v>Journal Article</v>
      </c>
      <c r="H216" s="50" t="str">
        <f ca="1">VLOOKUP(B216,'ALL DATABASES'!$A$1:$T$2252,20,FALSE)</f>
        <v>SCOPUS</v>
      </c>
    </row>
    <row r="217" spans="1:8" ht="12.75" x14ac:dyDescent="0.2">
      <c r="A217">
        <v>216</v>
      </c>
      <c r="B217" s="15" t="str">
        <f ca="1">IFERROR(__xludf.DUMMYFUNCTION("""COMPUTED_VALUE"""),"An Empirical Investigation on Business Analytics in Software and Systems Development Projects")</f>
        <v>An Empirical Investigation on Business Analytics in Software and Systems Development Projects</v>
      </c>
      <c r="C217" s="15" t="str">
        <f ca="1">VLOOKUP(B217,'ALL DATABASES'!$A$1:$T$2252,2,FALSE)</f>
        <v>Muhammad Ovais AhmadIftikhar AhmadNripendra P. RanaIqra Sadaf Khan</v>
      </c>
      <c r="D217" s="15">
        <f ca="1">VLOOKUP(B217,'ALL DATABASES'!$A$1:$T$2252,5,FALSE)</f>
        <v>2022</v>
      </c>
      <c r="E217" s="15">
        <f ca="1">VLOOKUP(B217,'ALL DATABASES'!$A$1:$T$2252,10,FALSE)</f>
        <v>0</v>
      </c>
      <c r="F217" s="54" t="str">
        <f ca="1">VLOOKUP(B217,'ALL DATABASES'!$A$1:$T$2252,14,FALSE)</f>
        <v>http://link.springer.com/article/10.1007/s10796-022-10253-w</v>
      </c>
      <c r="G217" s="15" t="str">
        <f ca="1">VLOOKUP(B217,'ALL DATABASES'!$A$1:$T$2252,3,FALSE)</f>
        <v>Article</v>
      </c>
      <c r="H217" s="50" t="str">
        <f ca="1">VLOOKUP(B217,'ALL DATABASES'!$A$1:$T$2252,20,FALSE)</f>
        <v>SPRINGER</v>
      </c>
    </row>
    <row r="218" spans="1:8" ht="12.75" x14ac:dyDescent="0.2">
      <c r="A218">
        <v>217</v>
      </c>
      <c r="B218" s="15" t="str">
        <f ca="1">IFERROR(__xludf.DUMMYFUNCTION("""COMPUTED_VALUE"""),"An empirical investigation on the relationship between design and architecture smells")</f>
        <v>An empirical investigation on the relationship between design and architecture smells</v>
      </c>
      <c r="C218" s="15" t="str">
        <f ca="1">VLOOKUP(B218,'ALL DATABASES'!$A$1:$T$2252,2,FALSE)</f>
        <v>Sharma T,Singh P,Spinellis D</v>
      </c>
      <c r="D218" s="15">
        <f ca="1">VLOOKUP(B218,'ALL DATABASES'!$A$1:$T$2252,5,FALSE)</f>
        <v>2020</v>
      </c>
      <c r="E218" s="15">
        <f ca="1">VLOOKUP(B218,'ALL DATABASES'!$A$1:$T$2252,10,FALSE)</f>
        <v>2020</v>
      </c>
      <c r="F218" s="54" t="str">
        <f ca="1">VLOOKUP(B218,'ALL DATABASES'!$A$1:$T$2252,14,FALSE)</f>
        <v>https://www.scopus.com/inward/record.uri?eid=2-s2.0-85089908139&amp;doi=10.1007%2fs10664-020-09847-2&amp;partnerID=40&amp;md5=0f29b8351d518306bf042abd9f0efba1;http://dx.doi.org/10.1007/s10664-020-09847-2</v>
      </c>
      <c r="G218" s="15" t="str">
        <f ca="1">VLOOKUP(B218,'ALL DATABASES'!$A$1:$T$2252,3,FALSE)</f>
        <v>Journal Article</v>
      </c>
      <c r="H218" s="50" t="str">
        <f ca="1">VLOOKUP(B218,'ALL DATABASES'!$A$1:$T$2252,20,FALSE)</f>
        <v>SCOPUS</v>
      </c>
    </row>
    <row r="219" spans="1:8" ht="12.75" x14ac:dyDescent="0.2">
      <c r="A219">
        <v>218</v>
      </c>
      <c r="B219" s="15" t="str">
        <f ca="1">IFERROR(__xludf.DUMMYFUNCTION("""COMPUTED_VALUE"""),"An empirical study of Android Wear user complaints")</f>
        <v>An empirical study of Android Wear user complaints</v>
      </c>
      <c r="C219" s="15" t="str">
        <f ca="1">VLOOKUP(B219,'ALL DATABASES'!$A$1:$T$2252,2,FALSE)</f>
        <v>Suhaib MujahidGiancarlo SierraRabe AbdalkareemEmad ShihabWeiyi Shang</v>
      </c>
      <c r="D219" s="15">
        <f ca="1">VLOOKUP(B219,'ALL DATABASES'!$A$1:$T$2252,5,FALSE)</f>
        <v>2018</v>
      </c>
      <c r="E219" s="15">
        <f ca="1">VLOOKUP(B219,'ALL DATABASES'!$A$1:$T$2252,10,FALSE)</f>
        <v>0</v>
      </c>
      <c r="F219" s="54" t="str">
        <f ca="1">VLOOKUP(B219,'ALL DATABASES'!$A$1:$T$2252,14,FALSE)</f>
        <v>http://link.springer.com/article/10.1007/s10664-018-9615-8</v>
      </c>
      <c r="G219" s="15" t="str">
        <f ca="1">VLOOKUP(B219,'ALL DATABASES'!$A$1:$T$2252,3,FALSE)</f>
        <v>Article</v>
      </c>
      <c r="H219" s="50" t="str">
        <f ca="1">VLOOKUP(B219,'ALL DATABASES'!$A$1:$T$2252,20,FALSE)</f>
        <v>SPRINGER</v>
      </c>
    </row>
    <row r="220" spans="1:8" ht="12.75" x14ac:dyDescent="0.2">
      <c r="A220">
        <v>219</v>
      </c>
      <c r="B220" s="15" t="str">
        <f ca="1">IFERROR(__xludf.DUMMYFUNCTION("""COMPUTED_VALUE"""),"An Empirical Study of Code Smells in Transformer-based Code Generation Techniques")</f>
        <v>An Empirical Study of Code Smells in Transformer-based Code Generation Techniques</v>
      </c>
      <c r="C220" s="15" t="str">
        <f ca="1">VLOOKUP(B220,'ALL DATABASES'!$A$1:$T$2252,2,FALSE)</f>
        <v>Siddiq ML,Majumder SH,Mim MR,Jajodia S,Santos JC</v>
      </c>
      <c r="D220" s="15">
        <f ca="1">VLOOKUP(B220,'ALL DATABASES'!$A$1:$T$2252,5,FALSE)</f>
        <v>2022</v>
      </c>
      <c r="E220" s="53">
        <f ca="1">VLOOKUP(B220,'ALL DATABASES'!$A$1:$T$2252,10,FALSE)</f>
        <v>44835</v>
      </c>
      <c r="F220" s="54" t="str">
        <f ca="1">VLOOKUP(B220,'ALL DATABASES'!$A$1:$T$2252,14,FALSE)</f>
        <v>http://dx.doi.org/10.1109/SCAM55253.2022.00014</v>
      </c>
      <c r="G220" s="15" t="str">
        <f ca="1">VLOOKUP(B220,'ALL DATABASES'!$A$1:$T$2252,3,FALSE)</f>
        <v>Conference Paper</v>
      </c>
      <c r="H220" s="50" t="str">
        <f ca="1">VLOOKUP(B220,'ALL DATABASES'!$A$1:$T$2252,20,FALSE)</f>
        <v>IEEE</v>
      </c>
    </row>
    <row r="221" spans="1:8" ht="12.75" x14ac:dyDescent="0.2">
      <c r="A221">
        <v>220</v>
      </c>
      <c r="B221" s="15" t="str">
        <f ca="1">IFERROR(__xludf.DUMMYFUNCTION("""COMPUTED_VALUE"""),"An empirical study of deep transfer learning-based program repair for Kotlin projects")</f>
        <v>An empirical study of deep transfer learning-based program repair for Kotlin projects</v>
      </c>
      <c r="C221" s="15" t="str">
        <f ca="1">VLOOKUP(B221,'ALL DATABASES'!$A$1:$T$2252,2,FALSE)</f>
        <v>Kim M,Kim Y,Jeong H,Heo J,Kim S,Chung H,Lee E</v>
      </c>
      <c r="D221" s="15">
        <f ca="1">VLOOKUP(B221,'ALL DATABASES'!$A$1:$T$2252,5,FALSE)</f>
        <v>2022</v>
      </c>
      <c r="E221" s="15">
        <f ca="1">VLOOKUP(B221,'ALL DATABASES'!$A$1:$T$2252,10,FALSE)</f>
        <v>2022</v>
      </c>
      <c r="F221" s="54" t="str">
        <f ca="1">VLOOKUP(B221,'ALL DATABASES'!$A$1:$T$2252,14,FALSE)</f>
        <v>https://www.scopus.com/inward/record.uri?eid=2-s2.0-85143077577&amp;doi=10.1145%2f3540250.3558967&amp;partnerID=40&amp;md5=b10423b7968eeb52f2424d3966d2e3c6;http://dx.doi.org/10.1145/3540250.3558967</v>
      </c>
      <c r="G221" s="15" t="str">
        <f ca="1">VLOOKUP(B221,'ALL DATABASES'!$A$1:$T$2252,3,FALSE)</f>
        <v>Conference Paper</v>
      </c>
      <c r="H221" s="50" t="str">
        <f ca="1">VLOOKUP(B221,'ALL DATABASES'!$A$1:$T$2252,20,FALSE)</f>
        <v>SCOPUS</v>
      </c>
    </row>
    <row r="222" spans="1:8" ht="12.75" x14ac:dyDescent="0.2">
      <c r="A222">
        <v>221</v>
      </c>
      <c r="B222" s="15" t="str">
        <f ca="1">IFERROR(__xludf.DUMMYFUNCTION("""COMPUTED_VALUE"""),"An Empirical Study of Gradient-based Explainability Techniques for Self-admitted Technical Debt Detection")</f>
        <v>An Empirical Study of Gradient-based Explainability Techniques for Self-admitted Technical Debt Detection</v>
      </c>
      <c r="C222" s="15" t="str">
        <f ca="1">VLOOKUP(B222,'ALL DATABASES'!$A$1:$T$2252,2,FALSE)</f>
        <v>Zhuang G,Qu Y,Li L,Dou X,Li M</v>
      </c>
      <c r="D222" s="15">
        <f ca="1">VLOOKUP(B222,'ALL DATABASES'!$A$1:$T$2252,5,FALSE)</f>
        <v>2022</v>
      </c>
      <c r="E222" s="15">
        <f ca="1">VLOOKUP(B222,'ALL DATABASES'!$A$1:$T$2252,10,FALSE)</f>
        <v>2022</v>
      </c>
      <c r="F222" s="54" t="str">
        <f ca="1">VLOOKUP(B222,'ALL DATABASES'!$A$1:$T$2252,14,FALSE)</f>
        <v>https://www.scopus.com/inward/record.uri?eid=2-s2.0-85133204295&amp;doi=10.53106%2f160792642022052303021&amp;partnerID=40&amp;md5=cf299fe5b610d06f963041f07a5afefb;http://dx.doi.org/10.53106/160792642022052303021</v>
      </c>
      <c r="G222" s="15" t="str">
        <f ca="1">VLOOKUP(B222,'ALL DATABASES'!$A$1:$T$2252,3,FALSE)</f>
        <v>Journal Article</v>
      </c>
      <c r="H222" s="50" t="str">
        <f ca="1">VLOOKUP(B222,'ALL DATABASES'!$A$1:$T$2252,20,FALSE)</f>
        <v>SCOPUS</v>
      </c>
    </row>
    <row r="223" spans="1:8" ht="12.75" x14ac:dyDescent="0.2">
      <c r="A223">
        <v>222</v>
      </c>
      <c r="B223" s="15" t="str">
        <f ca="1">IFERROR(__xludf.DUMMYFUNCTION("""COMPUTED_VALUE"""),"An Empirical Study of IR-based Bug Localization for Deep Learning-based Software")</f>
        <v>An Empirical Study of IR-based Bug Localization for Deep Learning-based Software</v>
      </c>
      <c r="C223" s="15" t="str">
        <f ca="1">VLOOKUP(B223,'ALL DATABASES'!$A$1:$T$2252,2,FALSE)</f>
        <v>Kim M,Kim Y,Lee E</v>
      </c>
      <c r="D223" s="15">
        <f ca="1">VLOOKUP(B223,'ALL DATABASES'!$A$1:$T$2252,5,FALSE)</f>
        <v>2022</v>
      </c>
      <c r="E223" s="15">
        <f ca="1">VLOOKUP(B223,'ALL DATABASES'!$A$1:$T$2252,10,FALSE)</f>
        <v>2022</v>
      </c>
      <c r="F223" s="54" t="str">
        <f ca="1">VLOOKUP(B223,'ALL DATABASES'!$A$1:$T$2252,14,FALSE)</f>
        <v>https://www.scopus.com/inward/record.uri?eid=2-s2.0-85133287701&amp;doi=10.1109%2fICST53961.2022.00024&amp;partnerID=40&amp;md5=e33a6bc1b5ab5fd6a473bf68ee6e214b;http://dx.doi.org/10.1109/ICST53961.2022.00024</v>
      </c>
      <c r="G223" s="15" t="str">
        <f ca="1">VLOOKUP(B223,'ALL DATABASES'!$A$1:$T$2252,3,FALSE)</f>
        <v>Conference Paper</v>
      </c>
      <c r="H223" s="50" t="str">
        <f ca="1">VLOOKUP(B223,'ALL DATABASES'!$A$1:$T$2252,20,FALSE)</f>
        <v>SCOPUS</v>
      </c>
    </row>
    <row r="224" spans="1:8" ht="12.75" x14ac:dyDescent="0.2">
      <c r="A224">
        <v>223</v>
      </c>
      <c r="B224" s="15" t="str">
        <f ca="1">IFERROR(__xludf.DUMMYFUNCTION("""COMPUTED_VALUE"""),"An empirical study of quick remedy commits")</f>
        <v>An empirical study of quick remedy commits</v>
      </c>
      <c r="C224" s="15" t="str">
        <f ca="1">VLOOKUP(B224,'ALL DATABASES'!$A$1:$T$2252,2,FALSE)</f>
        <v>Wen F,Nagy C,Lanza M,Bavota G</v>
      </c>
      <c r="D224" s="15">
        <f ca="1">VLOOKUP(B224,'ALL DATABASES'!$A$1:$T$2252,5,FALSE)</f>
        <v>2020</v>
      </c>
      <c r="E224" s="15">
        <f ca="1">VLOOKUP(B224,'ALL DATABASES'!$A$1:$T$2252,10,FALSE)</f>
        <v>2020</v>
      </c>
      <c r="F224" s="54" t="str">
        <f ca="1">VLOOKUP(B224,'ALL DATABASES'!$A$1:$T$2252,14,FALSE)</f>
        <v>https://www.scopus.com/inward/record.uri?eid=2-s2.0-85091937445&amp;doi=10.1145%2f3387904.3389266&amp;partnerID=40&amp;md5=7a8ca882dca784a107b4c148971c9ccd;http://dx.doi.org/10.1145/3387904.3389266</v>
      </c>
      <c r="G224" s="15" t="str">
        <f ca="1">VLOOKUP(B224,'ALL DATABASES'!$A$1:$T$2252,3,FALSE)</f>
        <v>Conference Paper</v>
      </c>
      <c r="H224" s="50" t="str">
        <f ca="1">VLOOKUP(B224,'ALL DATABASES'!$A$1:$T$2252,20,FALSE)</f>
        <v>SCOPUS</v>
      </c>
    </row>
    <row r="225" spans="1:8" ht="12.75" x14ac:dyDescent="0.2">
      <c r="A225">
        <v>224</v>
      </c>
      <c r="B225" s="15" t="str">
        <f ca="1">IFERROR(__xludf.DUMMYFUNCTION("""COMPUTED_VALUE"""),"An Empirical Study of Refactorings and Technical Debt in Machine Learning Systems")</f>
        <v>An Empirical Study of Refactorings and Technical Debt in Machine Learning Systems</v>
      </c>
      <c r="C225" s="15" t="str">
        <f ca="1">VLOOKUP(B225,'ALL DATABASES'!$A$1:$T$2252,2,FALSE)</f>
        <v>Tang Y,Khatchadourian R,Bagherzadeh M,Singh R,Stewart A,Raja A</v>
      </c>
      <c r="D225" s="15">
        <f ca="1">VLOOKUP(B225,'ALL DATABASES'!$A$1:$T$2252,5,FALSE)</f>
        <v>2021</v>
      </c>
      <c r="E225" s="15">
        <f ca="1">VLOOKUP(B225,'ALL DATABASES'!$A$1:$T$2252,10,FALSE)</f>
        <v>2021</v>
      </c>
      <c r="F225" s="54" t="str">
        <f ca="1">VLOOKUP(B225,'ALL DATABASES'!$A$1:$T$2252,14,FALSE)</f>
        <v>https://doi.org/10.1109/ICSE43902.2021.00033;http://dx.doi.org/10.1109/ICSE43902.2021.00033</v>
      </c>
      <c r="G225" s="15" t="str">
        <f ca="1">VLOOKUP(B225,'ALL DATABASES'!$A$1:$T$2252,3,FALSE)</f>
        <v>Conference Paper</v>
      </c>
      <c r="H225" s="50" t="str">
        <f ca="1">VLOOKUP(B225,'ALL DATABASES'!$A$1:$T$2252,20,FALSE)</f>
        <v>ACM</v>
      </c>
    </row>
    <row r="226" spans="1:8" ht="12.75" x14ac:dyDescent="0.2">
      <c r="A226">
        <v>225</v>
      </c>
      <c r="B226" s="15" t="str">
        <f ca="1">IFERROR(__xludf.DUMMYFUNCTION("""COMPUTED_VALUE"""),"An empirical study of security practices for microservices systems")</f>
        <v>An empirical study of security practices for microservices systems</v>
      </c>
      <c r="C226" s="15" t="str">
        <f ca="1">VLOOKUP(B226,'ALL DATABASES'!$A$1:$T$2252,2,FALSE)</f>
        <v>Rezaei Nasab A,Shahin M,Hoseyni Raviz SA,Liang P,Mashmool A,Lenarduzzi V</v>
      </c>
      <c r="D226" s="15">
        <f ca="1">VLOOKUP(B226,'ALL DATABASES'!$A$1:$T$2252,5,FALSE)</f>
        <v>2023</v>
      </c>
      <c r="E226" s="15">
        <f ca="1">VLOOKUP(B226,'ALL DATABASES'!$A$1:$T$2252,10,FALSE)</f>
        <v>2023</v>
      </c>
      <c r="F226" s="54" t="str">
        <f ca="1">VLOOKUP(B226,'ALL DATABASES'!$A$1:$T$2252,14,FALSE)</f>
        <v>https://www.sciencedirect.com/science/article/pii/S0164121222002394;http://dx.doi.org/10.1016/j.jss.2022.111563</v>
      </c>
      <c r="G226" s="15" t="str">
        <f ca="1">VLOOKUP(B226,'ALL DATABASES'!$A$1:$T$2252,3,FALSE)</f>
        <v>Journal Article</v>
      </c>
      <c r="H226" s="50" t="str">
        <f ca="1">VLOOKUP(B226,'ALL DATABASES'!$A$1:$T$2252,20,FALSE)</f>
        <v>SCIENCEDIRECT</v>
      </c>
    </row>
    <row r="227" spans="1:8" ht="12.75" x14ac:dyDescent="0.2">
      <c r="A227">
        <v>226</v>
      </c>
      <c r="B227" s="15" t="str">
        <f ca="1">IFERROR(__xludf.DUMMYFUNCTION("""COMPUTED_VALUE"""),"An empirical study on how project context impacts on code cloning")</f>
        <v>An empirical study on how project context impacts on code cloning</v>
      </c>
      <c r="C227" s="15" t="str">
        <f ca="1">VLOOKUP(B227,'ALL DATABASES'!$A$1:$T$2252,2,FALSE)</f>
        <v>Perez-Castillo R,Piattini M</v>
      </c>
      <c r="D227" s="15">
        <f ca="1">VLOOKUP(B227,'ALL DATABASES'!$A$1:$T$2252,5,FALSE)</f>
        <v>2018</v>
      </c>
      <c r="E227" s="15">
        <f ca="1">VLOOKUP(B227,'ALL DATABASES'!$A$1:$T$2252,10,FALSE)</f>
        <v>2018</v>
      </c>
      <c r="F227" s="54" t="str">
        <f ca="1">VLOOKUP(B227,'ALL DATABASES'!$A$1:$T$2252,14,FALSE)</f>
        <v>https://www.scopus.com/inward/record.uri?eid=2-s2.0-85058463945&amp;doi=10.1002%2fsmr.2115&amp;partnerID=40&amp;md5=a3dfe1fadc2b7a37ca9536733b49c84e;http://dx.doi.org/10.1002/smr.2115</v>
      </c>
      <c r="G227" s="15" t="str">
        <f ca="1">VLOOKUP(B227,'ALL DATABASES'!$A$1:$T$2252,3,FALSE)</f>
        <v>Journal Article</v>
      </c>
      <c r="H227" s="50" t="str">
        <f ca="1">VLOOKUP(B227,'ALL DATABASES'!$A$1:$T$2252,20,FALSE)</f>
        <v>SCOPUS</v>
      </c>
    </row>
    <row r="228" spans="1:8" ht="12.75" x14ac:dyDescent="0.2">
      <c r="A228">
        <v>227</v>
      </c>
      <c r="B228" s="15" t="str">
        <f ca="1">IFERROR(__xludf.DUMMYFUNCTION("""COMPUTED_VALUE"""),"An empirical study on self-admitted technical debt in Dockerfiles")</f>
        <v>An empirical study on self-admitted technical debt in Dockerfiles</v>
      </c>
      <c r="C228" s="15" t="str">
        <f ca="1">VLOOKUP(B228,'ALL DATABASES'!$A$1:$T$2252,2,FALSE)</f>
        <v>Azuma H,Matsumoto S,Kamei Y,Kusumoto S</v>
      </c>
      <c r="D228" s="15">
        <f ca="1">VLOOKUP(B228,'ALL DATABASES'!$A$1:$T$2252,5,FALSE)</f>
        <v>2022</v>
      </c>
      <c r="E228" s="15">
        <f ca="1">VLOOKUP(B228,'ALL DATABASES'!$A$1:$T$2252,10,FALSE)</f>
        <v>2022</v>
      </c>
      <c r="F228" s="54" t="str">
        <f ca="1">VLOOKUP(B228,'ALL DATABASES'!$A$1:$T$2252,14,FALSE)</f>
        <v>https://www.scopus.com/inward/record.uri?eid=2-s2.0-85124006010&amp;doi=10.1007%2fs10664-021-10081-7&amp;partnerID=40&amp;md5=d27f46fbd645e3b250241cfaa84d2245;http://dx.doi.org/10.1007/s10664-021-10081-7</v>
      </c>
      <c r="G228" s="15" t="str">
        <f ca="1">VLOOKUP(B228,'ALL DATABASES'!$A$1:$T$2252,3,FALSE)</f>
        <v>Journal Article</v>
      </c>
      <c r="H228" s="50" t="str">
        <f ca="1">VLOOKUP(B228,'ALL DATABASES'!$A$1:$T$2252,20,FALSE)</f>
        <v>SCOPUS</v>
      </c>
    </row>
    <row r="229" spans="1:8" ht="12.75" x14ac:dyDescent="0.2">
      <c r="A229">
        <v>228</v>
      </c>
      <c r="B229" s="15" t="str">
        <f ca="1">IFERROR(__xludf.DUMMYFUNCTION("""COMPUTED_VALUE"""),"An empirical study on self-admitted technical debt in modern code review")</f>
        <v>An empirical study on self-admitted technical debt in modern code review</v>
      </c>
      <c r="C229" s="15" t="str">
        <f ca="1">VLOOKUP(B229,'ALL DATABASES'!$A$1:$T$2252,2,FALSE)</f>
        <v>Kashiwa Y,Nishikawa R,Kamei Y,Kondo M,Shihab E,Sato R,Ubayashi N</v>
      </c>
      <c r="D229" s="15">
        <f ca="1">VLOOKUP(B229,'ALL DATABASES'!$A$1:$T$2252,5,FALSE)</f>
        <v>2022</v>
      </c>
      <c r="E229" s="15">
        <f ca="1">VLOOKUP(B229,'ALL DATABASES'!$A$1:$T$2252,10,FALSE)</f>
        <v>2022</v>
      </c>
      <c r="F229" s="54" t="str">
        <f ca="1">VLOOKUP(B229,'ALL DATABASES'!$A$1:$T$2252,14,FALSE)</f>
        <v>https://www.sciencedirect.com/science/article/pii/S0950584922000258;http://dx.doi.org/10.1016/j.infsof.2022.106855</v>
      </c>
      <c r="G229" s="15" t="str">
        <f ca="1">VLOOKUP(B229,'ALL DATABASES'!$A$1:$T$2252,3,FALSE)</f>
        <v>Journal Article</v>
      </c>
      <c r="H229" s="50" t="str">
        <f ca="1">VLOOKUP(B229,'ALL DATABASES'!$A$1:$T$2252,20,FALSE)</f>
        <v>SCIENCEDIRECT</v>
      </c>
    </row>
    <row r="230" spans="1:8" ht="12.75" x14ac:dyDescent="0.2">
      <c r="A230">
        <v>229</v>
      </c>
      <c r="B230" s="15" t="str">
        <f ca="1">IFERROR(__xludf.DUMMYFUNCTION("""COMPUTED_VALUE"""),"An empirical study on the co-occurrence between refactoring actions and Self-Admitted Technical Debt removal")</f>
        <v>An empirical study on the co-occurrence between refactoring actions and Self-Admitted Technical Debt removal</v>
      </c>
      <c r="C230" s="15" t="str">
        <f ca="1">VLOOKUP(B230,'ALL DATABASES'!$A$1:$T$2252,2,FALSE)</f>
        <v>Iammarino M,Zampetti F,Aversano L,Di Penta M</v>
      </c>
      <c r="D230" s="15">
        <f ca="1">VLOOKUP(B230,'ALL DATABASES'!$A$1:$T$2252,5,FALSE)</f>
        <v>2021</v>
      </c>
      <c r="E230" s="15">
        <f ca="1">VLOOKUP(B230,'ALL DATABASES'!$A$1:$T$2252,10,FALSE)</f>
        <v>2021</v>
      </c>
      <c r="F230" s="54" t="str">
        <f ca="1">VLOOKUP(B230,'ALL DATABASES'!$A$1:$T$2252,14,FALSE)</f>
        <v>https://www.scopus.com/inward/record.uri?eid=2-s2.0-85104701235&amp;doi=10.1016%2fj.jss.2021.110976&amp;partnerID=40&amp;md5=465d320d5df377851f8a956da06c8c8f;http://dx.doi.org/10.1016/j.jss.2021.110976</v>
      </c>
      <c r="G230" s="15" t="str">
        <f ca="1">VLOOKUP(B230,'ALL DATABASES'!$A$1:$T$2252,3,FALSE)</f>
        <v>Journal Article</v>
      </c>
      <c r="H230" s="50" t="str">
        <f ca="1">VLOOKUP(B230,'ALL DATABASES'!$A$1:$T$2252,20,FALSE)</f>
        <v>SCOPUS</v>
      </c>
    </row>
    <row r="231" spans="1:8" ht="12.75" x14ac:dyDescent="0.2">
      <c r="A231">
        <v>230</v>
      </c>
      <c r="B231" s="15" t="str">
        <f ca="1">IFERROR(__xludf.DUMMYFUNCTION("""COMPUTED_VALUE"""),"An empirical study on the effect of community smells on bug prediction")</f>
        <v>An empirical study on the effect of community smells on bug prediction</v>
      </c>
      <c r="C231" s="15" t="str">
        <f ca="1">VLOOKUP(B231,'ALL DATABASES'!$A$1:$T$2252,2,FALSE)</f>
        <v>Beyza EkenFrancis PalmaBaÅŸar AyÅŸeTosun AyÅŸe</v>
      </c>
      <c r="D231" s="15">
        <f ca="1">VLOOKUP(B231,'ALL DATABASES'!$A$1:$T$2252,5,FALSE)</f>
        <v>2021</v>
      </c>
      <c r="E231" s="15">
        <f ca="1">VLOOKUP(B231,'ALL DATABASES'!$A$1:$T$2252,10,FALSE)</f>
        <v>0</v>
      </c>
      <c r="F231" s="54" t="str">
        <f ca="1">VLOOKUP(B231,'ALL DATABASES'!$A$1:$T$2252,14,FALSE)</f>
        <v>http://link.springer.com/article/10.1007/s11219-020-09538-7</v>
      </c>
      <c r="G231" s="15" t="str">
        <f ca="1">VLOOKUP(B231,'ALL DATABASES'!$A$1:$T$2252,3,FALSE)</f>
        <v>Article</v>
      </c>
      <c r="H231" s="50" t="str">
        <f ca="1">VLOOKUP(B231,'ALL DATABASES'!$A$1:$T$2252,20,FALSE)</f>
        <v>SPRINGER</v>
      </c>
    </row>
    <row r="232" spans="1:8" ht="12.75" x14ac:dyDescent="0.2">
      <c r="A232">
        <v>231</v>
      </c>
      <c r="B232" s="15" t="str">
        <f ca="1">IFERROR(__xludf.DUMMYFUNCTION("""COMPUTED_VALUE"""),"An Empirical Study on the Impact of Refactoring on Quality Metrics in Android Applications")</f>
        <v>An Empirical Study on the Impact of Refactoring on Quality Metrics in Android Applications</v>
      </c>
      <c r="C232" s="15" t="str">
        <f ca="1">VLOOKUP(B232,'ALL DATABASES'!$A$1:$T$2252,2,FALSE)</f>
        <v>Hamdi O,Ouni A,AlOmar EA,Ó Cinnéide M,Mkaouer MW</v>
      </c>
      <c r="D232" s="15">
        <f ca="1">VLOOKUP(B232,'ALL DATABASES'!$A$1:$T$2252,5,FALSE)</f>
        <v>2021</v>
      </c>
      <c r="E232" s="55">
        <f ca="1">VLOOKUP(B232,'ALL DATABASES'!$A$1:$T$2252,10,FALSE)</f>
        <v>44317</v>
      </c>
      <c r="F232" s="54" t="str">
        <f ca="1">VLOOKUP(B232,'ALL DATABASES'!$A$1:$T$2252,14,FALSE)</f>
        <v>http://dx.doi.org/10.1109/MobileSoft52590.2021.00010</v>
      </c>
      <c r="G232" s="15" t="str">
        <f ca="1">VLOOKUP(B232,'ALL DATABASES'!$A$1:$T$2252,3,FALSE)</f>
        <v>Conference Paper</v>
      </c>
      <c r="H232" s="50" t="str">
        <f ca="1">VLOOKUP(B232,'ALL DATABASES'!$A$1:$T$2252,20,FALSE)</f>
        <v>IEEE</v>
      </c>
    </row>
    <row r="233" spans="1:8" ht="12.75" x14ac:dyDescent="0.2">
      <c r="A233">
        <v>232</v>
      </c>
      <c r="B233" s="15" t="str">
        <f ca="1">IFERROR(__xludf.DUMMYFUNCTION("""COMPUTED_VALUE"""),"An Empirical Study on the Removal of Self-Admitted Technical Debt")</f>
        <v>An Empirical Study on the Removal of Self-Admitted Technical Debt</v>
      </c>
      <c r="C233" s="15" t="str">
        <f ca="1">VLOOKUP(B233,'ALL DATABASES'!$A$1:$T$2252,2,FALSE)</f>
        <v>Da Maldonado ES,Abdalkareem R,Shihab E,Serebrenik A</v>
      </c>
      <c r="D233" s="15">
        <f ca="1">VLOOKUP(B233,'ALL DATABASES'!$A$1:$T$2252,5,FALSE)</f>
        <v>2017</v>
      </c>
      <c r="E233" s="15">
        <f ca="1">VLOOKUP(B233,'ALL DATABASES'!$A$1:$T$2252,10,FALSE)</f>
        <v>2017</v>
      </c>
      <c r="F233" s="54" t="str">
        <f ca="1">VLOOKUP(B233,'ALL DATABASES'!$A$1:$T$2252,14,FALSE)</f>
        <v>https://www.scopus.com/inward/record.uri?eid=2-s2.0-85040559968&amp;doi=10.1109%2fICSME.2017.8&amp;partnerID=40&amp;md5=87314b2704eb01c637755bc6b19462bc;http://dx.doi.org/10.1109/ICSME.2017.8</v>
      </c>
      <c r="G233" s="15" t="str">
        <f ca="1">VLOOKUP(B233,'ALL DATABASES'!$A$1:$T$2252,3,FALSE)</f>
        <v>Conference Paper</v>
      </c>
      <c r="H233" s="50" t="str">
        <f ca="1">VLOOKUP(B233,'ALL DATABASES'!$A$1:$T$2252,20,FALSE)</f>
        <v>SCOPUS</v>
      </c>
    </row>
    <row r="234" spans="1:8" ht="12.75" x14ac:dyDescent="0.2">
      <c r="A234">
        <v>233</v>
      </c>
      <c r="B234" s="15" t="str">
        <f ca="1">IFERROR(__xludf.DUMMYFUNCTION("""COMPUTED_VALUE"""),"An Experience Report on Technical Debt in Pull Requests: Challenges and Lessons Learned")</f>
        <v>An Experience Report on Technical Debt in Pull Requests: Challenges and Lessons Learned</v>
      </c>
      <c r="C234" s="15" t="str">
        <f ca="1">VLOOKUP(B234,'ALL DATABASES'!$A$1:$T$2252,2,FALSE)</f>
        <v>Karmakar S,Codabux Z,Vidoni M</v>
      </c>
      <c r="D234" s="15">
        <f ca="1">VLOOKUP(B234,'ALL DATABASES'!$A$1:$T$2252,5,FALSE)</f>
        <v>2022</v>
      </c>
      <c r="E234" s="15">
        <f ca="1">VLOOKUP(B234,'ALL DATABASES'!$A$1:$T$2252,10,FALSE)</f>
        <v>2022</v>
      </c>
      <c r="F234" s="54" t="str">
        <f ca="1">VLOOKUP(B234,'ALL DATABASES'!$A$1:$T$2252,14,FALSE)</f>
        <v>https://doi.org/10.1145/3544902.3546637;http://dx.doi.org/10.1145/3544902.3546637</v>
      </c>
      <c r="G234" s="15" t="str">
        <f ca="1">VLOOKUP(B234,'ALL DATABASES'!$A$1:$T$2252,3,FALSE)</f>
        <v>Conference Paper</v>
      </c>
      <c r="H234" s="50" t="str">
        <f ca="1">VLOOKUP(B234,'ALL DATABASES'!$A$1:$T$2252,20,FALSE)</f>
        <v>ACM</v>
      </c>
    </row>
    <row r="235" spans="1:8" ht="12.75" x14ac:dyDescent="0.2">
      <c r="A235">
        <v>234</v>
      </c>
      <c r="B235" s="15" t="str">
        <f ca="1">IFERROR(__xludf.DUMMYFUNCTION("""COMPUTED_VALUE"""),"An Exploratory Study on Architectural Knowledge in Issue Tracking Systems")</f>
        <v>An Exploratory Study on Architectural Knowledge in Issue Tracking Systems</v>
      </c>
      <c r="C235" s="15" t="str">
        <f ca="1">VLOOKUP(B235,'ALL DATABASES'!$A$1:$T$2252,2,FALSE)</f>
        <v>Mohamed SolimanMatthias GalsterParis Avgeriou</v>
      </c>
      <c r="D235" s="15">
        <f ca="1">VLOOKUP(B235,'ALL DATABASES'!$A$1:$T$2252,5,FALSE)</f>
        <v>2021</v>
      </c>
      <c r="E235" s="15">
        <f ca="1">VLOOKUP(B235,'ALL DATABASES'!$A$1:$T$2252,10,FALSE)</f>
        <v>0</v>
      </c>
      <c r="F235" s="54" t="str">
        <f ca="1">VLOOKUP(B235,'ALL DATABASES'!$A$1:$T$2252,14,FALSE)</f>
        <v>http://link.springer.com/chapter/10.1007/978-3-030-86044-8_8</v>
      </c>
      <c r="G235" s="15" t="str">
        <f ca="1">VLOOKUP(B235,'ALL DATABASES'!$A$1:$T$2252,3,FALSE)</f>
        <v>Chapter</v>
      </c>
      <c r="H235" s="50" t="str">
        <f ca="1">VLOOKUP(B235,'ALL DATABASES'!$A$1:$T$2252,20,FALSE)</f>
        <v>SPRINGER</v>
      </c>
    </row>
    <row r="236" spans="1:8" ht="12.75" x14ac:dyDescent="0.2">
      <c r="A236">
        <v>235</v>
      </c>
      <c r="B236" s="15" t="str">
        <f ca="1">IFERROR(__xludf.DUMMYFUNCTION("""COMPUTED_VALUE"""),"An Exploratory Study on Self-Admitted Technical Debt")</f>
        <v>An Exploratory Study on Self-Admitted Technical Debt</v>
      </c>
      <c r="C236" s="15" t="str">
        <f ca="1">VLOOKUP(B236,'ALL DATABASES'!$A$1:$T$2252,2,FALSE)</f>
        <v>Potdar A,Shihab E</v>
      </c>
      <c r="D236" s="15">
        <f ca="1">VLOOKUP(B236,'ALL DATABASES'!$A$1:$T$2252,5,FALSE)</f>
        <v>2014</v>
      </c>
      <c r="E236" s="55">
        <f ca="1">VLOOKUP(B236,'ALL DATABASES'!$A$1:$T$2252,10,FALSE)</f>
        <v>41883</v>
      </c>
      <c r="F236" s="54" t="str">
        <f ca="1">VLOOKUP(B236,'ALL DATABASES'!$A$1:$T$2252,14,FALSE)</f>
        <v>http://dx.doi.org/10.1109/ICSME.2014.31</v>
      </c>
      <c r="G236" s="15" t="str">
        <f ca="1">VLOOKUP(B236,'ALL DATABASES'!$A$1:$T$2252,3,FALSE)</f>
        <v>Conference Paper</v>
      </c>
      <c r="H236" s="50" t="str">
        <f ca="1">VLOOKUP(B236,'ALL DATABASES'!$A$1:$T$2252,20,FALSE)</f>
        <v>IEEE</v>
      </c>
    </row>
    <row r="237" spans="1:8" ht="12.75" x14ac:dyDescent="0.2">
      <c r="A237">
        <v>236</v>
      </c>
      <c r="B237" s="15" t="str">
        <f ca="1">IFERROR(__xludf.DUMMYFUNCTION("""COMPUTED_VALUE"""),"An exploratory study on the identification and evaluation of bad smell agglomerations")</f>
        <v>An exploratory study on the identification and evaluation of bad smell agglomerations</v>
      </c>
      <c r="C237" s="15" t="str">
        <f ca="1">VLOOKUP(B237,'ALL DATABASES'!$A$1:$T$2252,2,FALSE)</f>
        <v>Santana A,Cruz D,Figueiredo E</v>
      </c>
      <c r="D237" s="15">
        <f ca="1">VLOOKUP(B237,'ALL DATABASES'!$A$1:$T$2252,5,FALSE)</f>
        <v>2021</v>
      </c>
      <c r="E237" s="15">
        <f ca="1">VLOOKUP(B237,'ALL DATABASES'!$A$1:$T$2252,10,FALSE)</f>
        <v>2021</v>
      </c>
      <c r="F237" s="54" t="str">
        <f ca="1">VLOOKUP(B237,'ALL DATABASES'!$A$1:$T$2252,14,FALSE)</f>
        <v>https://www.scopus.com/inward/record.uri?eid=2-s2.0-85104962334&amp;doi=10.1145%2f3412841.3442003&amp;partnerID=40&amp;md5=4192ef558506abaff3ff57accf6c54f2;http://dx.doi.org/10.1145/3412841.3442003</v>
      </c>
      <c r="G237" s="15" t="str">
        <f ca="1">VLOOKUP(B237,'ALL DATABASES'!$A$1:$T$2252,3,FALSE)</f>
        <v>Conference Paper</v>
      </c>
      <c r="H237" s="50" t="str">
        <f ca="1">VLOOKUP(B237,'ALL DATABASES'!$A$1:$T$2252,20,FALSE)</f>
        <v>SCOPUS</v>
      </c>
    </row>
    <row r="238" spans="1:8" ht="12.75" x14ac:dyDescent="0.2">
      <c r="A238">
        <v>237</v>
      </c>
      <c r="B238" s="15" t="str">
        <f ca="1">IFERROR(__xludf.DUMMYFUNCTION("""COMPUTED_VALUE"""),"An Exploratory Study on the Influence of Developers in Technical Debt")</f>
        <v>An Exploratory Study on the Influence of Developers in Technical Debt</v>
      </c>
      <c r="C238" s="15" t="str">
        <f ca="1">VLOOKUP(B238,'ALL DATABASES'!$A$1:$T$2252,2,FALSE)</f>
        <v>Alfayez R,Behnamghader P,Srisopha K,Boehm B</v>
      </c>
      <c r="D238" s="15">
        <f ca="1">VLOOKUP(B238,'ALL DATABASES'!$A$1:$T$2252,5,FALSE)</f>
        <v>2018</v>
      </c>
      <c r="E238" s="15">
        <f ca="1">VLOOKUP(B238,'ALL DATABASES'!$A$1:$T$2252,10,FALSE)</f>
        <v>2018</v>
      </c>
      <c r="F238" s="54" t="str">
        <f ca="1">VLOOKUP(B238,'ALL DATABASES'!$A$1:$T$2252,14,FALSE)</f>
        <v>https://doi.org/10.1145/3194164.3194165;http://dx.doi.org/10.1145/3194164.3194165</v>
      </c>
      <c r="G238" s="15" t="str">
        <f ca="1">VLOOKUP(B238,'ALL DATABASES'!$A$1:$T$2252,3,FALSE)</f>
        <v>Conference Paper</v>
      </c>
      <c r="H238" s="50" t="str">
        <f ca="1">VLOOKUP(B238,'ALL DATABASES'!$A$1:$T$2252,20,FALSE)</f>
        <v>ACM</v>
      </c>
    </row>
    <row r="239" spans="1:8" ht="12.75" x14ac:dyDescent="0.2">
      <c r="A239">
        <v>238</v>
      </c>
      <c r="B239" s="15" t="str">
        <f ca="1">IFERROR(__xludf.DUMMYFUNCTION("""COMPUTED_VALUE"""),"An exploratory study on the introduction and removal of different types of technical debt in deep learning frameworks")</f>
        <v>An exploratory study on the introduction and removal of different types of technical debt in deep learning frameworks</v>
      </c>
      <c r="C239" s="15" t="str">
        <f ca="1">VLOOKUP(B239,'ALL DATABASES'!$A$1:$T$2252,2,FALSE)</f>
        <v>Jiakun LiuQiao HuangXin XiaEmad ShihabDavid LoShanping Li</v>
      </c>
      <c r="D239" s="15">
        <f ca="1">VLOOKUP(B239,'ALL DATABASES'!$A$1:$T$2252,5,FALSE)</f>
        <v>2021</v>
      </c>
      <c r="E239" s="15">
        <f ca="1">VLOOKUP(B239,'ALL DATABASES'!$A$1:$T$2252,10,FALSE)</f>
        <v>0</v>
      </c>
      <c r="F239" s="54" t="str">
        <f ca="1">VLOOKUP(B239,'ALL DATABASES'!$A$1:$T$2252,14,FALSE)</f>
        <v>http://link.springer.com/article/10.1007/s10664-020-09917-5</v>
      </c>
      <c r="G239" s="15" t="str">
        <f ca="1">VLOOKUP(B239,'ALL DATABASES'!$A$1:$T$2252,3,FALSE)</f>
        <v>Article</v>
      </c>
      <c r="H239" s="50" t="str">
        <f ca="1">VLOOKUP(B239,'ALL DATABASES'!$A$1:$T$2252,20,FALSE)</f>
        <v>SPRINGER</v>
      </c>
    </row>
    <row r="240" spans="1:8" ht="12.75" x14ac:dyDescent="0.2">
      <c r="A240">
        <v>239</v>
      </c>
      <c r="B240" s="15" t="str">
        <f ca="1">IFERROR(__xludf.DUMMYFUNCTION("""COMPUTED_VALUE"""),"An Exploratory Study on the Relationship between Changes and Refactoring")</f>
        <v>An Exploratory Study on the Relationship between Changes and Refactoring</v>
      </c>
      <c r="C240" s="15" t="str">
        <f ca="1">VLOOKUP(B240,'ALL DATABASES'!$A$1:$T$2252,2,FALSE)</f>
        <v>Palomba F,Zaidman A,Oliveto R,De Lucia A</v>
      </c>
      <c r="D240" s="15">
        <f ca="1">VLOOKUP(B240,'ALL DATABASES'!$A$1:$T$2252,5,FALSE)</f>
        <v>2017</v>
      </c>
      <c r="E240" s="15">
        <f ca="1">VLOOKUP(B240,'ALL DATABASES'!$A$1:$T$2252,10,FALSE)</f>
        <v>2017</v>
      </c>
      <c r="F240" s="54" t="str">
        <f ca="1">VLOOKUP(B240,'ALL DATABASES'!$A$1:$T$2252,14,FALSE)</f>
        <v>https://doi.org/10.1109/ICPC.2017.38;http://dx.doi.org/10.1109/ICPC.2017.38</v>
      </c>
      <c r="G240" s="15" t="str">
        <f ca="1">VLOOKUP(B240,'ALL DATABASES'!$A$1:$T$2252,3,FALSE)</f>
        <v>Conference Paper</v>
      </c>
      <c r="H240" s="50" t="str">
        <f ca="1">VLOOKUP(B240,'ALL DATABASES'!$A$1:$T$2252,20,FALSE)</f>
        <v>ACM</v>
      </c>
    </row>
    <row r="241" spans="1:8" ht="12.75" x14ac:dyDescent="0.2">
      <c r="A241">
        <v>240</v>
      </c>
      <c r="B241" s="15" t="str">
        <f ca="1">IFERROR(__xludf.DUMMYFUNCTION("""COMPUTED_VALUE"""),"An exploratory study on the relationship of smells and design issues with software vulnerabilities")</f>
        <v>An exploratory study on the relationship of smells and design issues with software vulnerabilities</v>
      </c>
      <c r="C241" s="15" t="str">
        <f ca="1">VLOOKUP(B241,'ALL DATABASES'!$A$1:$T$2252,2,FALSE)</f>
        <v>Oishwee SJ,Codabux Z,Stakhanova N</v>
      </c>
      <c r="D241" s="15">
        <f ca="1">VLOOKUP(B241,'ALL DATABASES'!$A$1:$T$2252,5,FALSE)</f>
        <v>2022</v>
      </c>
      <c r="E241" s="15">
        <f ca="1">VLOOKUP(B241,'ALL DATABASES'!$A$1:$T$2252,10,FALSE)</f>
        <v>2022</v>
      </c>
      <c r="F241" s="54" t="str">
        <f ca="1">VLOOKUP(B241,'ALL DATABASES'!$A$1:$T$2252,14,FALSE)</f>
        <v>https://www.scopus.com/inward/record.uri?eid=2-s2.0-85143129520&amp;doi=10.1145%2f3549035.3561182&amp;partnerID=40&amp;md5=1788a77586625ba6676d4d45a694b27d;http://dx.doi.org/10.1145/3549035.3561182</v>
      </c>
      <c r="G241" s="15" t="str">
        <f ca="1">VLOOKUP(B241,'ALL DATABASES'!$A$1:$T$2252,3,FALSE)</f>
        <v>Conference Paper</v>
      </c>
      <c r="H241" s="50" t="str">
        <f ca="1">VLOOKUP(B241,'ALL DATABASES'!$A$1:$T$2252,20,FALSE)</f>
        <v>SCOPUS</v>
      </c>
    </row>
    <row r="242" spans="1:8" ht="12.75" x14ac:dyDescent="0.2">
      <c r="A242">
        <v>241</v>
      </c>
      <c r="B242" s="15" t="str">
        <f ca="1">IFERROR(__xludf.DUMMYFUNCTION("""COMPUTED_VALUE"""),"An Extended Reality Approach for Creating Immersive Software Project Workspaces")</f>
        <v>An Extended Reality Approach for Creating Immersive Software Project Workspaces</v>
      </c>
      <c r="C242" s="15" t="str">
        <f ca="1">VLOOKUP(B242,'ALL DATABASES'!$A$1:$T$2252,2,FALSE)</f>
        <v>Sharma VS,Mehra R,Kaulgud V,Podder S</v>
      </c>
      <c r="D242" s="15">
        <f ca="1">VLOOKUP(B242,'ALL DATABASES'!$A$1:$T$2252,5,FALSE)</f>
        <v>2019</v>
      </c>
      <c r="E242" s="15">
        <f ca="1">VLOOKUP(B242,'ALL DATABASES'!$A$1:$T$2252,10,FALSE)</f>
        <v>2019</v>
      </c>
      <c r="F242" s="54" t="str">
        <f ca="1">VLOOKUP(B242,'ALL DATABASES'!$A$1:$T$2252,14,FALSE)</f>
        <v>https://doi.org/10.1109/CHASE.2019.00013;http://dx.doi.org/10.1109/CHASE.2019.00013</v>
      </c>
      <c r="G242" s="15" t="str">
        <f ca="1">VLOOKUP(B242,'ALL DATABASES'!$A$1:$T$2252,3,FALSE)</f>
        <v>Conference Paper</v>
      </c>
      <c r="H242" s="50" t="str">
        <f ca="1">VLOOKUP(B242,'ALL DATABASES'!$A$1:$T$2252,20,FALSE)</f>
        <v>ACM</v>
      </c>
    </row>
    <row r="243" spans="1:8" ht="12.75" x14ac:dyDescent="0.2">
      <c r="A243">
        <v>242</v>
      </c>
      <c r="B243" s="15" t="str">
        <f ca="1">IFERROR(__xludf.DUMMYFUNCTION("""COMPUTED_VALUE"""),"An extended study on applicability and performance of homogeneous cross-project defect prediction approaches under homogeneous cross-company effort estimation situation")</f>
        <v>An extended study on applicability and performance of homogeneous cross-project defect prediction approaches under homogeneous cross-company effort estimation situation</v>
      </c>
      <c r="C243" s="15" t="str">
        <f ca="1">VLOOKUP(B243,'ALL DATABASES'!$A$1:$T$2252,2,FALSE)</f>
        <v>Amasaki S,Aman H,Yokogawa T</v>
      </c>
      <c r="D243" s="15">
        <f ca="1">VLOOKUP(B243,'ALL DATABASES'!$A$1:$T$2252,5,FALSE)</f>
        <v>2022</v>
      </c>
      <c r="E243" s="15">
        <f ca="1">VLOOKUP(B243,'ALL DATABASES'!$A$1:$T$2252,10,FALSE)</f>
        <v>2022</v>
      </c>
      <c r="F243" s="54" t="str">
        <f ca="1">VLOOKUP(B243,'ALL DATABASES'!$A$1:$T$2252,14,FALSE)</f>
        <v>https://www.scopus.com/inward/record.uri?eid=2-s2.0-85123756783&amp;doi=10.1007%2fs10664-021-10103-4&amp;partnerID=40&amp;md5=5e8365fd313b1a1216d95a2ee5e12f65;http://dx.doi.org/10.1007/s10664-021-10103-4</v>
      </c>
      <c r="G243" s="15" t="str">
        <f ca="1">VLOOKUP(B243,'ALL DATABASES'!$A$1:$T$2252,3,FALSE)</f>
        <v>Journal Article</v>
      </c>
      <c r="H243" s="50" t="str">
        <f ca="1">VLOOKUP(B243,'ALL DATABASES'!$A$1:$T$2252,20,FALSE)</f>
        <v>SCOPUS</v>
      </c>
    </row>
    <row r="244" spans="1:8" ht="12.75" x14ac:dyDescent="0.2">
      <c r="A244">
        <v>243</v>
      </c>
      <c r="B244" s="15" t="str">
        <f ca="1">IFERROR(__xludf.DUMMYFUNCTION("""COMPUTED_VALUE"""),"An extensive study on smell-aware bug localization")</f>
        <v>An extensive study on smell-aware bug localization</v>
      </c>
      <c r="C244" s="15" t="str">
        <f ca="1">VLOOKUP(B244,'ALL DATABASES'!$A$1:$T$2252,2,FALSE)</f>
        <v>Takahashi A,Sae-Lim N,Hayashi S,Saeki M</v>
      </c>
      <c r="D244" s="15">
        <f ca="1">VLOOKUP(B244,'ALL DATABASES'!$A$1:$T$2252,5,FALSE)</f>
        <v>2021</v>
      </c>
      <c r="E244" s="15">
        <f ca="1">VLOOKUP(B244,'ALL DATABASES'!$A$1:$T$2252,10,FALSE)</f>
        <v>2021</v>
      </c>
      <c r="F244" s="54" t="str">
        <f ca="1">VLOOKUP(B244,'ALL DATABASES'!$A$1:$T$2252,14,FALSE)</f>
        <v>https://www.scopus.com/inward/record.uri?eid=2-s2.0-85107653377&amp;doi=10.1016%2fj.jss.2021.110986&amp;partnerID=40&amp;md5=1d4f23a24b8e2a94ef969e4d1bc63859;http://dx.doi.org/10.1016/j.jss.2021.110986</v>
      </c>
      <c r="G244" s="15" t="str">
        <f ca="1">VLOOKUP(B244,'ALL DATABASES'!$A$1:$T$2252,3,FALSE)</f>
        <v>Journal Article</v>
      </c>
      <c r="H244" s="50" t="str">
        <f ca="1">VLOOKUP(B244,'ALL DATABASES'!$A$1:$T$2252,20,FALSE)</f>
        <v>SCOPUS</v>
      </c>
    </row>
    <row r="245" spans="1:8" ht="12.75" x14ac:dyDescent="0.2">
      <c r="A245">
        <v>244</v>
      </c>
      <c r="B245" s="15" t="str">
        <f ca="1">IFERROR(__xludf.DUMMYFUNCTION("""COMPUTED_VALUE"""),"An industrial case study on an architectural assumption documentation framework")</f>
        <v>An industrial case study on an architectural assumption documentation framework</v>
      </c>
      <c r="C245" s="15" t="str">
        <f ca="1">VLOOKUP(B245,'ALL DATABASES'!$A$1:$T$2252,2,FALSE)</f>
        <v>Yang C,Liang P,Avgeriou P,Eliasson U,Heldal R,Pelliccione P,Bi T</v>
      </c>
      <c r="D245" s="15">
        <f ca="1">VLOOKUP(B245,'ALL DATABASES'!$A$1:$T$2252,5,FALSE)</f>
        <v>2017</v>
      </c>
      <c r="E245" s="15">
        <f ca="1">VLOOKUP(B245,'ALL DATABASES'!$A$1:$T$2252,10,FALSE)</f>
        <v>2017</v>
      </c>
      <c r="F245" s="54" t="str">
        <f ca="1">VLOOKUP(B245,'ALL DATABASES'!$A$1:$T$2252,14,FALSE)</f>
        <v>https://www.sciencedirect.com/science/article/pii/S0164121217301966;http://dx.doi.org/10.1016/j.jss.2017.09.007</v>
      </c>
      <c r="G245" s="15" t="str">
        <f ca="1">VLOOKUP(B245,'ALL DATABASES'!$A$1:$T$2252,3,FALSE)</f>
        <v>Journal Article</v>
      </c>
      <c r="H245" s="50" t="str">
        <f ca="1">VLOOKUP(B245,'ALL DATABASES'!$A$1:$T$2252,20,FALSE)</f>
        <v>SCIENCEDIRECT</v>
      </c>
    </row>
    <row r="246" spans="1:8" ht="12.75" x14ac:dyDescent="0.2">
      <c r="A246">
        <v>245</v>
      </c>
      <c r="B246" s="15" t="str">
        <f ca="1">IFERROR(__xludf.DUMMYFUNCTION("""COMPUTED_VALUE"""),"An industrial study on the risk of software changes")</f>
        <v>An industrial study on the risk of software changes</v>
      </c>
      <c r="C246" s="15" t="str">
        <f ca="1">VLOOKUP(B246,'ALL DATABASES'!$A$1:$T$2252,2,FALSE)</f>
        <v>Shihab E,Hassan AE,Adams B,Jiang ZM</v>
      </c>
      <c r="D246" s="15">
        <f ca="1">VLOOKUP(B246,'ALL DATABASES'!$A$1:$T$2252,5,FALSE)</f>
        <v>2012</v>
      </c>
      <c r="E246" s="15">
        <f ca="1">VLOOKUP(B246,'ALL DATABASES'!$A$1:$T$2252,10,FALSE)</f>
        <v>2012</v>
      </c>
      <c r="F246" s="54" t="str">
        <f ca="1">VLOOKUP(B246,'ALL DATABASES'!$A$1:$T$2252,14,FALSE)</f>
        <v>https://www.scopus.com/inward/record.uri?eid=2-s2.0-84871276203&amp;doi=10.1145%2f2393596.2393670&amp;partnerID=40&amp;md5=3d7818dbab2d05f44d6ad581bbfddebf;http://dx.doi.org/10.1145/2393596.2393670</v>
      </c>
      <c r="G246" s="15" t="str">
        <f ca="1">VLOOKUP(B246,'ALL DATABASES'!$A$1:$T$2252,3,FALSE)</f>
        <v>Conference Paper</v>
      </c>
      <c r="H246" s="50" t="str">
        <f ca="1">VLOOKUP(B246,'ALL DATABASES'!$A$1:$T$2252,20,FALSE)</f>
        <v>SCOPUS</v>
      </c>
    </row>
    <row r="247" spans="1:8" ht="12.75" x14ac:dyDescent="0.2">
      <c r="A247">
        <v>246</v>
      </c>
      <c r="B247" s="15" t="str">
        <f ca="1">IFERROR(__xludf.DUMMYFUNCTION("""COMPUTED_VALUE"""),"An Investigation ofÂ Entropy andÂ Refactoring inÂ Software Evolution")</f>
        <v>An Investigation ofÂ Entropy andÂ Refactoring inÂ Software Evolution</v>
      </c>
      <c r="C247" s="15" t="str">
        <f ca="1">VLOOKUP(B247,'ALL DATABASES'!$A$1:$T$2252,2,FALSE)</f>
        <v>Daniel KeenanDes GreerDavid Cutting</v>
      </c>
      <c r="D247" s="15">
        <f ca="1">VLOOKUP(B247,'ALL DATABASES'!$A$1:$T$2252,5,FALSE)</f>
        <v>2022</v>
      </c>
      <c r="E247" s="15">
        <f ca="1">VLOOKUP(B247,'ALL DATABASES'!$A$1:$T$2252,10,FALSE)</f>
        <v>0</v>
      </c>
      <c r="F247" s="54" t="str">
        <f ca="1">VLOOKUP(B247,'ALL DATABASES'!$A$1:$T$2252,14,FALSE)</f>
        <v>http://link.springer.com/chapter/10.1007/978-3-031-21388-5_20</v>
      </c>
      <c r="G247" s="15" t="str">
        <f ca="1">VLOOKUP(B247,'ALL DATABASES'!$A$1:$T$2252,3,FALSE)</f>
        <v>Chapter</v>
      </c>
      <c r="H247" s="50" t="str">
        <f ca="1">VLOOKUP(B247,'ALL DATABASES'!$A$1:$T$2252,20,FALSE)</f>
        <v>SPRINGER</v>
      </c>
    </row>
    <row r="248" spans="1:8" ht="12.75" x14ac:dyDescent="0.2">
      <c r="A248">
        <v>247</v>
      </c>
      <c r="B248" s="15" t="str">
        <f ca="1">IFERROR(__xludf.DUMMYFUNCTION("""COMPUTED_VALUE"""),"An Online Developer Profiling Tool Based on Analysis of GitLab Repositories")</f>
        <v>An Online Developer Profiling Tool Based on Analysis of GitLab Repositories</v>
      </c>
      <c r="C248" s="15" t="str">
        <f ca="1">VLOOKUP(B248,'ALL DATABASES'!$A$1:$T$2252,2,FALSE)</f>
        <v>Wang J,Meng X,Wang H,Sun H</v>
      </c>
      <c r="D248" s="15">
        <f ca="1">VLOOKUP(B248,'ALL DATABASES'!$A$1:$T$2252,5,FALSE)</f>
        <v>2019</v>
      </c>
      <c r="E248" s="15">
        <f ca="1">VLOOKUP(B248,'ALL DATABASES'!$A$1:$T$2252,10,FALSE)</f>
        <v>2019</v>
      </c>
      <c r="F248" s="54" t="str">
        <f ca="1">VLOOKUP(B248,'ALL DATABASES'!$A$1:$T$2252,14,FALSE)</f>
        <v>https://www.scopus.com/inward/record.uri?eid=2-s2.0-85076222064&amp;doi=10.1007%2f978-981-15-1377-0_32&amp;partnerID=40&amp;md5=26cc99b4c728022bb9757ce8339fde8d;http://dx.doi.org/10.1007/978-981-15-1377-0_32</v>
      </c>
      <c r="G248" s="15" t="str">
        <f ca="1">VLOOKUP(B248,'ALL DATABASES'!$A$1:$T$2252,3,FALSE)</f>
        <v>Journal Article</v>
      </c>
      <c r="H248" s="50" t="str">
        <f ca="1">VLOOKUP(B248,'ALL DATABASES'!$A$1:$T$2252,20,FALSE)</f>
        <v>SCOPUS</v>
      </c>
    </row>
    <row r="249" spans="1:8" ht="12.75" x14ac:dyDescent="0.2">
      <c r="A249">
        <v>248</v>
      </c>
      <c r="B249" s="15" t="str">
        <f ca="1">IFERROR(__xludf.DUMMYFUNCTION("""COMPUTED_VALUE"""),"Analysis and Prioritization of Design Metrics")</f>
        <v>Analysis and Prioritization of Design Metrics</v>
      </c>
      <c r="C249" s="15" t="str">
        <f ca="1">VLOOKUP(B249,'ALL DATABASES'!$A$1:$T$2252,2,FALSE)</f>
        <v>Garg R,Singh RK</v>
      </c>
      <c r="D249" s="15">
        <f ca="1">VLOOKUP(B249,'ALL DATABASES'!$A$1:$T$2252,5,FALSE)</f>
        <v>2020</v>
      </c>
      <c r="E249" s="15">
        <f ca="1">VLOOKUP(B249,'ALL DATABASES'!$A$1:$T$2252,10,FALSE)</f>
        <v>2020</v>
      </c>
      <c r="F249" s="54" t="str">
        <f ca="1">VLOOKUP(B249,'ALL DATABASES'!$A$1:$T$2252,14,FALSE)</f>
        <v>https://www.sciencedirect.com/science/article/pii/S1877050920308267;http://dx.doi.org/10.1016/j.procs.2020.03.360</v>
      </c>
      <c r="G249" s="15" t="str">
        <f ca="1">VLOOKUP(B249,'ALL DATABASES'!$A$1:$T$2252,3,FALSE)</f>
        <v>Journal Article</v>
      </c>
      <c r="H249" s="50" t="str">
        <f ca="1">VLOOKUP(B249,'ALL DATABASES'!$A$1:$T$2252,20,FALSE)</f>
        <v>SCIENCEDIRECT</v>
      </c>
    </row>
    <row r="250" spans="1:8" ht="12.75" x14ac:dyDescent="0.2">
      <c r="A250">
        <v>249</v>
      </c>
      <c r="B250" s="15" t="str">
        <f ca="1">IFERROR(__xludf.DUMMYFUNCTION("""COMPUTED_VALUE"""),"Analysis of a many-objective optimization approach for identifying microservices from legacy systems")</f>
        <v>Analysis of a many-objective optimization approach for identifying microservices from legacy systems</v>
      </c>
      <c r="C250" s="15" t="str">
        <f ca="1">VLOOKUP(B250,'ALL DATABASES'!$A$1:$T$2252,2,FALSE)</f>
        <v>Wesley K. G. AssunÃ§Ã£oThelma Elita ColanziLuiz CarvalhoAlessandro GarciaJuliana Alves PereiraMaria Julia de LimaCarlos Lucena</v>
      </c>
      <c r="D250" s="15">
        <f ca="1">VLOOKUP(B250,'ALL DATABASES'!$A$1:$T$2252,5,FALSE)</f>
        <v>2022</v>
      </c>
      <c r="E250" s="15">
        <f ca="1">VLOOKUP(B250,'ALL DATABASES'!$A$1:$T$2252,10,FALSE)</f>
        <v>0</v>
      </c>
      <c r="F250" s="54" t="str">
        <f ca="1">VLOOKUP(B250,'ALL DATABASES'!$A$1:$T$2252,14,FALSE)</f>
        <v>http://link.springer.com/article/10.1007/s10664-021-10049-7</v>
      </c>
      <c r="G250" s="15" t="str">
        <f ca="1">VLOOKUP(B250,'ALL DATABASES'!$A$1:$T$2252,3,FALSE)</f>
        <v>Article</v>
      </c>
      <c r="H250" s="50" t="str">
        <f ca="1">VLOOKUP(B250,'ALL DATABASES'!$A$1:$T$2252,20,FALSE)</f>
        <v>SPRINGER</v>
      </c>
    </row>
    <row r="251" spans="1:8" ht="12.75" x14ac:dyDescent="0.2">
      <c r="A251">
        <v>250</v>
      </c>
      <c r="B251" s="15" t="str">
        <f ca="1">IFERROR(__xludf.DUMMYFUNCTION("""COMPUTED_VALUE"""),"Analysis of Intelligent Machines using Deep learning and Natural Language Processing")</f>
        <v>Analysis of Intelligent Machines using Deep learning and Natural Language Processing</v>
      </c>
      <c r="C251" s="15" t="str">
        <f ca="1">VLOOKUP(B251,'ALL DATABASES'!$A$1:$T$2252,2,FALSE)</f>
        <v>Kounte MR,Tripathy PK,Pramod P,Bajpai H</v>
      </c>
      <c r="D251" s="15">
        <f ca="1">VLOOKUP(B251,'ALL DATABASES'!$A$1:$T$2252,5,FALSE)</f>
        <v>2020</v>
      </c>
      <c r="E251" s="15">
        <f ca="1">VLOOKUP(B251,'ALL DATABASES'!$A$1:$T$2252,10,FALSE)</f>
        <v>2020</v>
      </c>
      <c r="F251" s="54" t="str">
        <f ca="1">VLOOKUP(B251,'ALL DATABASES'!$A$1:$T$2252,14,FALSE)</f>
        <v>https://www.scopus.com/inward/record.uri?eid=2-s2.0-85089994347&amp;doi=10.1109%2fICOEI48184.2020.9142886&amp;partnerID=40&amp;md5=8c216c6ca9b924188acefe4dceab0709;http://dx.doi.org/10.1109/ICOEI48184.2020.9142886</v>
      </c>
      <c r="G251" s="15" t="str">
        <f ca="1">VLOOKUP(B251,'ALL DATABASES'!$A$1:$T$2252,3,FALSE)</f>
        <v>Conference Paper</v>
      </c>
      <c r="H251" s="50" t="str">
        <f ca="1">VLOOKUP(B251,'ALL DATABASES'!$A$1:$T$2252,20,FALSE)</f>
        <v>SCOPUS</v>
      </c>
    </row>
    <row r="252" spans="1:8" ht="12.75" x14ac:dyDescent="0.2">
      <c r="A252">
        <v>251</v>
      </c>
      <c r="B252" s="15" t="str">
        <f ca="1">IFERROR(__xludf.DUMMYFUNCTION("""COMPUTED_VALUE"""),"Analysis of Tree-Family Machine Learning Techniques for Risk Prediction in Software Requirements")</f>
        <v>Analysis of Tree-Family Machine Learning Techniques for Risk Prediction in Software Requirements</v>
      </c>
      <c r="C252" s="15" t="str">
        <f ca="1">VLOOKUP(B252,'ALL DATABASES'!$A$1:$T$2252,2,FALSE)</f>
        <v>Khan B,Naseem R,Alam I,Khan I,Alasmary H,Rahman T</v>
      </c>
      <c r="D252" s="15">
        <f ca="1">VLOOKUP(B252,'ALL DATABASES'!$A$1:$T$2252,5,FALSE)</f>
        <v>2022</v>
      </c>
      <c r="E252" s="15">
        <f ca="1">VLOOKUP(B252,'ALL DATABASES'!$A$1:$T$2252,10,FALSE)</f>
        <v>2022</v>
      </c>
      <c r="F252" s="54" t="str">
        <f ca="1">VLOOKUP(B252,'ALL DATABASES'!$A$1:$T$2252,14,FALSE)</f>
        <v>https://www.scopus.com/inward/record.uri?eid=2-s2.0-85139215662&amp;doi=10.1109%2fACCESS.2022.3206382&amp;partnerID=40&amp;md5=f8deba300522a5711553a896b6fe4009;http://dx.doi.org/10.1109/ACCESS.2022.3206382</v>
      </c>
      <c r="G252" s="15" t="str">
        <f ca="1">VLOOKUP(B252,'ALL DATABASES'!$A$1:$T$2252,3,FALSE)</f>
        <v>Journal Article</v>
      </c>
      <c r="H252" s="50" t="str">
        <f ca="1">VLOOKUP(B252,'ALL DATABASES'!$A$1:$T$2252,20,FALSE)</f>
        <v>SCOPUS</v>
      </c>
    </row>
    <row r="253" spans="1:8" ht="12.75" x14ac:dyDescent="0.2">
      <c r="A253">
        <v>252</v>
      </c>
      <c r="B253" s="15" t="str">
        <f ca="1">IFERROR(__xludf.DUMMYFUNCTION("""COMPUTED_VALUE"""),"Analytical Product Release Planning")</f>
        <v>Analytical Product Release Planning</v>
      </c>
      <c r="C253" s="15" t="str">
        <f ca="1">VLOOKUP(B253,'ALL DATABASES'!$A$1:$T$2252,2,FALSE)</f>
        <v>Nayebi M,Ruhe G</v>
      </c>
      <c r="D253" s="15">
        <f ca="1">VLOOKUP(B253,'ALL DATABASES'!$A$1:$T$2252,5,FALSE)</f>
        <v>2015</v>
      </c>
      <c r="E253" s="15">
        <f ca="1">VLOOKUP(B253,'ALL DATABASES'!$A$1:$T$2252,10,FALSE)</f>
        <v>2015</v>
      </c>
      <c r="F253" s="54" t="str">
        <f ca="1">VLOOKUP(B253,'ALL DATABASES'!$A$1:$T$2252,14,FALSE)</f>
        <v>https://www.scopus.com/inward/record.uri?eid=2-s2.0-84944128754&amp;doi=10.1016%2fB978-0-12-411519-4.00019-7&amp;partnerID=40&amp;md5=9b8d4010380d27f42aef6ed21682e4b1;http://dx.doi.org/10.1016/B978-0-12-411519-4.00019-7</v>
      </c>
      <c r="G253" s="15" t="str">
        <f ca="1">VLOOKUP(B253,'ALL DATABASES'!$A$1:$T$2252,3,FALSE)</f>
        <v>Book</v>
      </c>
      <c r="H253" s="50" t="str">
        <f ca="1">VLOOKUP(B253,'ALL DATABASES'!$A$1:$T$2252,20,FALSE)</f>
        <v>SCOPUS</v>
      </c>
    </row>
    <row r="254" spans="1:8" ht="12.75" x14ac:dyDescent="0.2">
      <c r="A254">
        <v>253</v>
      </c>
      <c r="B254" s="15" t="str">
        <f ca="1">IFERROR(__xludf.DUMMYFUNCTION("""COMPUTED_VALUE"""),"analyzeR: A SonarQube plugin for analyzing object-oriented R Packages")</f>
        <v>analyzeR: A SonarQube plugin for analyzing object-oriented R Packages</v>
      </c>
      <c r="C254" s="15" t="str">
        <f ca="1">VLOOKUP(B254,'ALL DATABASES'!$A$1:$T$2252,2,FALSE)</f>
        <v>Chandramouli P,Codabux Z,Vidoni M</v>
      </c>
      <c r="D254" s="15">
        <f ca="1">VLOOKUP(B254,'ALL DATABASES'!$A$1:$T$2252,5,FALSE)</f>
        <v>2022</v>
      </c>
      <c r="E254" s="15">
        <f ca="1">VLOOKUP(B254,'ALL DATABASES'!$A$1:$T$2252,10,FALSE)</f>
        <v>2022</v>
      </c>
      <c r="F254" s="54" t="str">
        <f ca="1">VLOOKUP(B254,'ALL DATABASES'!$A$1:$T$2252,14,FALSE)</f>
        <v>https://www.scopus.com/inward/record.uri?eid=2-s2.0-85131438314&amp;doi=10.1016%2fj.softx.2022.101113&amp;partnerID=40&amp;md5=3743d4c140bc0b123ee54ada82f7f857;http://dx.doi.org/10.1016/j.softx.2022.101113</v>
      </c>
      <c r="G254" s="15" t="str">
        <f ca="1">VLOOKUP(B254,'ALL DATABASES'!$A$1:$T$2252,3,FALSE)</f>
        <v>Journal Article</v>
      </c>
      <c r="H254" s="50" t="str">
        <f ca="1">VLOOKUP(B254,'ALL DATABASES'!$A$1:$T$2252,20,FALSE)</f>
        <v>SCOPUS</v>
      </c>
    </row>
    <row r="255" spans="1:8" ht="12.75" x14ac:dyDescent="0.2">
      <c r="A255">
        <v>254</v>
      </c>
      <c r="B255" s="15" t="str">
        <f ca="1">IFERROR(__xludf.DUMMYFUNCTION("""COMPUTED_VALUE"""),"Analyzing the Impact of Refactoring on Bad Smells")</f>
        <v>Analyzing the Impact of Refactoring on Bad Smells</v>
      </c>
      <c r="C255" s="15" t="str">
        <f ca="1">VLOOKUP(B255,'ALL DATABASES'!$A$1:$T$2252,2,FALSE)</f>
        <v>Tavares C,Bigonha M,Figueiredo E</v>
      </c>
      <c r="D255" s="15">
        <f ca="1">VLOOKUP(B255,'ALL DATABASES'!$A$1:$T$2252,5,FALSE)</f>
        <v>2020</v>
      </c>
      <c r="E255" s="15">
        <f ca="1">VLOOKUP(B255,'ALL DATABASES'!$A$1:$T$2252,10,FALSE)</f>
        <v>2020</v>
      </c>
      <c r="F255" s="54" t="str">
        <f ca="1">VLOOKUP(B255,'ALL DATABASES'!$A$1:$T$2252,14,FALSE)</f>
        <v>https://www.scopus.com/inward/record.uri?eid=2-s2.0-85099357131&amp;doi=10.1145%2f3422392.3422408&amp;partnerID=40&amp;md5=1671dddabb530b925d585c39cb56ac24;http://dx.doi.org/10.1145/3422392.3422408</v>
      </c>
      <c r="G255" s="15" t="str">
        <f ca="1">VLOOKUP(B255,'ALL DATABASES'!$A$1:$T$2252,3,FALSE)</f>
        <v>Conference Paper</v>
      </c>
      <c r="H255" s="50" t="str">
        <f ca="1">VLOOKUP(B255,'ALL DATABASES'!$A$1:$T$2252,20,FALSE)</f>
        <v>SCOPUS</v>
      </c>
    </row>
    <row r="256" spans="1:8" ht="12.75" x14ac:dyDescent="0.2">
      <c r="A256">
        <v>255</v>
      </c>
      <c r="B256" s="15" t="str">
        <f ca="1">IFERROR(__xludf.DUMMYFUNCTION("""COMPUTED_VALUE"""),"Analyzing the Relationship between Community and Design Smells in Open-Source Software Projects: An Empirical Study")</f>
        <v>Analyzing the Relationship between Community and Design Smells in Open-Source Software Projects: An Empirical Study</v>
      </c>
      <c r="C256" s="15" t="str">
        <f ca="1">VLOOKUP(B256,'ALL DATABASES'!$A$1:$T$2252,2,FALSE)</f>
        <v>Mumtaz H,Singh P,Blincoe K</v>
      </c>
      <c r="D256" s="15">
        <f ca="1">VLOOKUP(B256,'ALL DATABASES'!$A$1:$T$2252,5,FALSE)</f>
        <v>2022</v>
      </c>
      <c r="E256" s="15">
        <f ca="1">VLOOKUP(B256,'ALL DATABASES'!$A$1:$T$2252,10,FALSE)</f>
        <v>2022</v>
      </c>
      <c r="F256" s="54" t="str">
        <f ca="1">VLOOKUP(B256,'ALL DATABASES'!$A$1:$T$2252,14,FALSE)</f>
        <v>https://www.scopus.com/inward/record.uri?eid=2-s2.0-85139866098&amp;doi=10.1145%2f3544902.3546249&amp;partnerID=40&amp;md5=309fc549aa1c9db1d05b461fff95f0c4;http://dx.doi.org/10.1145/3544902.3546249</v>
      </c>
      <c r="G256" s="15" t="str">
        <f ca="1">VLOOKUP(B256,'ALL DATABASES'!$A$1:$T$2252,3,FALSE)</f>
        <v>Conference Paper</v>
      </c>
      <c r="H256" s="50" t="str">
        <f ca="1">VLOOKUP(B256,'ALL DATABASES'!$A$1:$T$2252,20,FALSE)</f>
        <v>SCOPUS</v>
      </c>
    </row>
    <row r="257" spans="1:8" ht="12.75" x14ac:dyDescent="0.2">
      <c r="A257">
        <v>256</v>
      </c>
      <c r="B257" s="15" t="str">
        <f ca="1">IFERROR(__xludf.DUMMYFUNCTION("""COMPUTED_VALUE"""),"Analyzing Uncertainty in Release Planning: A Method and Experiment for Fixed-Date Release Cycles")</f>
        <v>Analyzing Uncertainty in Release Planning: A Method and Experiment for Fixed-Date Release Cycles</v>
      </c>
      <c r="C257" s="15" t="str">
        <f ca="1">VLOOKUP(B257,'ALL DATABASES'!$A$1:$T$2252,2,FALSE)</f>
        <v>Oni O,Letier E</v>
      </c>
      <c r="D257" s="15">
        <f ca="1">VLOOKUP(B257,'ALL DATABASES'!$A$1:$T$2252,5,FALSE)</f>
        <v>2022</v>
      </c>
      <c r="E257" s="15">
        <f ca="1">VLOOKUP(B257,'ALL DATABASES'!$A$1:$T$2252,10,FALSE)</f>
        <v>2022</v>
      </c>
      <c r="F257" s="54" t="str">
        <f ca="1">VLOOKUP(B257,'ALL DATABASES'!$A$1:$T$2252,14,FALSE)</f>
        <v>https://www.scopus.com/inward/record.uri?eid=2-s2.0-85130736612&amp;doi=10.1145%2f3490487&amp;partnerID=40&amp;md5=daec68db4ef0fa69ebb519aa3c85d1ae;http://dx.doi.org/10.1145/3490487</v>
      </c>
      <c r="G257" s="15" t="str">
        <f ca="1">VLOOKUP(B257,'ALL DATABASES'!$A$1:$T$2252,3,FALSE)</f>
        <v>Journal Article</v>
      </c>
      <c r="H257" s="50" t="str">
        <f ca="1">VLOOKUP(B257,'ALL DATABASES'!$A$1:$T$2252,20,FALSE)</f>
        <v>SCOPUS</v>
      </c>
    </row>
    <row r="258" spans="1:8" ht="12.75" x14ac:dyDescent="0.2">
      <c r="A258">
        <v>257</v>
      </c>
      <c r="B258" s="15" t="str">
        <f ca="1">IFERROR(__xludf.DUMMYFUNCTION("""COMPUTED_VALUE"""),"Anatomy of Functionality Deletion: An Exploratory Study on Mobile Apps")</f>
        <v>Anatomy of Functionality Deletion: An Exploratory Study on Mobile Apps</v>
      </c>
      <c r="C258" s="15" t="str">
        <f ca="1">VLOOKUP(B258,'ALL DATABASES'!$A$1:$T$2252,2,FALSE)</f>
        <v>Nayebi M,Kuznetsov K,Chen P,Zeller A,Ruhe G</v>
      </c>
      <c r="D258" s="15">
        <f ca="1">VLOOKUP(B258,'ALL DATABASES'!$A$1:$T$2252,5,FALSE)</f>
        <v>2018</v>
      </c>
      <c r="E258" s="15">
        <f ca="1">VLOOKUP(B258,'ALL DATABASES'!$A$1:$T$2252,10,FALSE)</f>
        <v>2018</v>
      </c>
      <c r="F258" s="54" t="str">
        <f ca="1">VLOOKUP(B258,'ALL DATABASES'!$A$1:$T$2252,14,FALSE)</f>
        <v>https://doi.org/10.1145/3196398.3196410;http://dx.doi.org/10.1145/3196398.3196410</v>
      </c>
      <c r="G258" s="15" t="str">
        <f ca="1">VLOOKUP(B258,'ALL DATABASES'!$A$1:$T$2252,3,FALSE)</f>
        <v>Conference Paper</v>
      </c>
      <c r="H258" s="50" t="str">
        <f ca="1">VLOOKUP(B258,'ALL DATABASES'!$A$1:$T$2252,20,FALSE)</f>
        <v>ACM</v>
      </c>
    </row>
    <row r="259" spans="1:8" ht="12.75" x14ac:dyDescent="0.2">
      <c r="A259">
        <v>258</v>
      </c>
      <c r="B259" s="15" t="str">
        <f ca="1">IFERROR(__xludf.DUMMYFUNCTION("""COMPUTED_VALUE"""),"Anchors: High-precision model-agnostic explanations")</f>
        <v>Anchors: High-precision model-agnostic explanations</v>
      </c>
      <c r="C259" s="15" t="str">
        <f ca="1">VLOOKUP(B259,'ALL DATABASES'!$A$1:$T$2252,2,FALSE)</f>
        <v>Ribeiro MT,Singh S,Guestrin C</v>
      </c>
      <c r="D259" s="15">
        <f ca="1">VLOOKUP(B259,'ALL DATABASES'!$A$1:$T$2252,5,FALSE)</f>
        <v>2018</v>
      </c>
      <c r="E259" s="15">
        <f ca="1">VLOOKUP(B259,'ALL DATABASES'!$A$1:$T$2252,10,FALSE)</f>
        <v>2018</v>
      </c>
      <c r="F259" s="54" t="str">
        <f ca="1">VLOOKUP(B259,'ALL DATABASES'!$A$1:$T$2252,14,FALSE)</f>
        <v>https://www.scopus.com/inward/record.uri?eid=2-s2.0-85055776066&amp;partnerID=40&amp;md5=048d0c1b42d42d95c277869704fdf551</v>
      </c>
      <c r="G259" s="15" t="str">
        <f ca="1">VLOOKUP(B259,'ALL DATABASES'!$A$1:$T$2252,3,FALSE)</f>
        <v>Conference Paper</v>
      </c>
      <c r="H259" s="50" t="str">
        <f ca="1">VLOOKUP(B259,'ALL DATABASES'!$A$1:$T$2252,20,FALSE)</f>
        <v>SCOPUS</v>
      </c>
    </row>
    <row r="260" spans="1:8" ht="12.75" x14ac:dyDescent="0.2">
      <c r="A260">
        <v>259</v>
      </c>
      <c r="B260" s="15" t="str">
        <f ca="1">IFERROR(__xludf.DUMMYFUNCTION("""COMPUTED_VALUE"""),"Android code smells: From introduction to refactoring")</f>
        <v>Android code smells: From introduction to refactoring</v>
      </c>
      <c r="C260" s="15" t="str">
        <f ca="1">VLOOKUP(B260,'ALL DATABASES'!$A$1:$T$2252,2,FALSE)</f>
        <v>Habchi S,Moha N,Rouvoy R</v>
      </c>
      <c r="D260" s="15">
        <f ca="1">VLOOKUP(B260,'ALL DATABASES'!$A$1:$T$2252,5,FALSE)</f>
        <v>2021</v>
      </c>
      <c r="E260" s="15">
        <f ca="1">VLOOKUP(B260,'ALL DATABASES'!$A$1:$T$2252,10,FALSE)</f>
        <v>2021</v>
      </c>
      <c r="F260" s="54" t="str">
        <f ca="1">VLOOKUP(B260,'ALL DATABASES'!$A$1:$T$2252,14,FALSE)</f>
        <v>https://www.sciencedirect.com/science/article/pii/S0164121221000613;http://dx.doi.org/10.1016/j.jss.2021.110964</v>
      </c>
      <c r="G260" s="15" t="str">
        <f ca="1">VLOOKUP(B260,'ALL DATABASES'!$A$1:$T$2252,3,FALSE)</f>
        <v>Journal Article</v>
      </c>
      <c r="H260" s="50" t="str">
        <f ca="1">VLOOKUP(B260,'ALL DATABASES'!$A$1:$T$2252,20,FALSE)</f>
        <v>SCIENCEDIRECT</v>
      </c>
    </row>
    <row r="261" spans="1:8" ht="12.75" x14ac:dyDescent="0.2">
      <c r="A261">
        <v>260</v>
      </c>
      <c r="B261" s="15" t="str">
        <f ca="1">IFERROR(__xludf.DUMMYFUNCTION("""COMPUTED_VALUE"""),"Android Smells Detection Using ML Algorithms with Static Code Metrics")</f>
        <v>Android Smells Detection Using ML Algorithms with Static Code Metrics</v>
      </c>
      <c r="C261" s="15" t="str">
        <f ca="1">VLOOKUP(B261,'ALL DATABASES'!$A$1:$T$2252,2,FALSE)</f>
        <v>Aakanshi GuptaBharti SuriVishal Bhat</v>
      </c>
      <c r="D261" s="15">
        <f ca="1">VLOOKUP(B261,'ALL DATABASES'!$A$1:$T$2252,5,FALSE)</f>
        <v>2020</v>
      </c>
      <c r="E261" s="15">
        <f ca="1">VLOOKUP(B261,'ALL DATABASES'!$A$1:$T$2252,10,FALSE)</f>
        <v>0</v>
      </c>
      <c r="F261" s="54" t="str">
        <f ca="1">VLOOKUP(B261,'ALL DATABASES'!$A$1:$T$2252,14,FALSE)</f>
        <v>http://link.springer.com/chapter/10.1007/978-981-15-5827-6_6</v>
      </c>
      <c r="G261" s="15" t="str">
        <f ca="1">VLOOKUP(B261,'ALL DATABASES'!$A$1:$T$2252,3,FALSE)</f>
        <v>Chapter</v>
      </c>
      <c r="H261" s="50" t="str">
        <f ca="1">VLOOKUP(B261,'ALL DATABASES'!$A$1:$T$2252,20,FALSE)</f>
        <v>SPRINGER</v>
      </c>
    </row>
    <row r="262" spans="1:8" ht="12.75" x14ac:dyDescent="0.2">
      <c r="A262">
        <v>261</v>
      </c>
      <c r="B262" s="15" t="str">
        <f ca="1">IFERROR(__xludf.DUMMYFUNCTION("""COMPUTED_VALUE"""),"Answers to Review Questions")</f>
        <v>Answers to Review Questions</v>
      </c>
      <c r="C262" s="15" t="str">
        <f ca="1">VLOOKUP(B262,'ALL DATABASES'!$A$1:$T$2252,2,FALSE)</f>
        <v>Sullivan D</v>
      </c>
      <c r="D262" s="15">
        <f ca="1">VLOOKUP(B262,'ALL DATABASES'!$A$1:$T$2252,5,FALSE)</f>
        <v>2020</v>
      </c>
      <c r="E262" s="15">
        <f ca="1">VLOOKUP(B262,'ALL DATABASES'!$A$1:$T$2252,10,FALSE)</f>
        <v>2020</v>
      </c>
      <c r="F262" s="54" t="str">
        <f ca="1">VLOOKUP(B262,'ALL DATABASES'!$A$1:$T$2252,14,FALSE)</f>
        <v>https://ieeexplore.ieee.org/document/9822652;http://dx.doi.org/10.1002/9781119602477.bapp</v>
      </c>
      <c r="G262" s="15" t="str">
        <f ca="1">VLOOKUP(B262,'ALL DATABASES'!$A$1:$T$2252,3,FALSE)</f>
        <v>Book Chapter</v>
      </c>
      <c r="H262" s="50" t="str">
        <f ca="1">VLOOKUP(B262,'ALL DATABASES'!$A$1:$T$2252,20,FALSE)</f>
        <v>IEEE</v>
      </c>
    </row>
    <row r="263" spans="1:8" ht="12.75" x14ac:dyDescent="0.2">
      <c r="A263">
        <v>262</v>
      </c>
      <c r="B263" s="15" t="str">
        <f ca="1">IFERROR(__xludf.DUMMYFUNCTION("""COMPUTED_VALUE"""),"Anti-pattern and code smell false positives: Preliminary conceptualisation and classification")</f>
        <v>Anti-pattern and code smell false positives: Preliminary conceptualisation and classification</v>
      </c>
      <c r="C263" s="15" t="str">
        <f ca="1">VLOOKUP(B263,'ALL DATABASES'!$A$1:$T$2252,2,FALSE)</f>
        <v>Fontana FA,Dietrich J,Walter B,Yamashita A,Zanoni M</v>
      </c>
      <c r="D263" s="15">
        <f ca="1">VLOOKUP(B263,'ALL DATABASES'!$A$1:$T$2252,5,FALSE)</f>
        <v>2016</v>
      </c>
      <c r="E263" s="15">
        <f ca="1">VLOOKUP(B263,'ALL DATABASES'!$A$1:$T$2252,10,FALSE)</f>
        <v>2016</v>
      </c>
      <c r="F263" s="54" t="str">
        <f ca="1">VLOOKUP(B263,'ALL DATABASES'!$A$1:$T$2252,14,FALSE)</f>
        <v>https://www.scopus.com/inward/record.uri?eid=2-s2.0-84991000274&amp;doi=10.1109%2fSANER.2016.84&amp;partnerID=40&amp;md5=ba372f42bf0c3a1b468fbfa8760e6a84;http://dx.doi.org/10.1109/SANER.2016.84</v>
      </c>
      <c r="G263" s="15" t="str">
        <f ca="1">VLOOKUP(B263,'ALL DATABASES'!$A$1:$T$2252,3,FALSE)</f>
        <v>Conference Paper</v>
      </c>
      <c r="H263" s="50" t="str">
        <f ca="1">VLOOKUP(B263,'ALL DATABASES'!$A$1:$T$2252,20,FALSE)</f>
        <v>SCOPUS</v>
      </c>
    </row>
    <row r="264" spans="1:8" ht="12.75" x14ac:dyDescent="0.2">
      <c r="A264">
        <v>263</v>
      </c>
      <c r="B264" s="15" t="str">
        <f ca="1">IFERROR(__xludf.DUMMYFUNCTION("""COMPUTED_VALUE"""),"Apache Software Foundation Incubator Project Sustainability Dataset")</f>
        <v>Apache Software Foundation Incubator Project Sustainability Dataset</v>
      </c>
      <c r="C264" s="15" t="str">
        <f ca="1">VLOOKUP(B264,'ALL DATABASES'!$A$1:$T$2252,2,FALSE)</f>
        <v>Yin L,Zhang Z,Xuan Q,Filkov V</v>
      </c>
      <c r="D264" s="15">
        <f ca="1">VLOOKUP(B264,'ALL DATABASES'!$A$1:$T$2252,5,FALSE)</f>
        <v>2021</v>
      </c>
      <c r="E264" s="55">
        <f ca="1">VLOOKUP(B264,'ALL DATABASES'!$A$1:$T$2252,10,FALSE)</f>
        <v>44317</v>
      </c>
      <c r="F264" s="54" t="str">
        <f ca="1">VLOOKUP(B264,'ALL DATABASES'!$A$1:$T$2252,14,FALSE)</f>
        <v>http://dx.doi.org/10.1109/MSR52588.2021.00081</v>
      </c>
      <c r="G264" s="15" t="str">
        <f ca="1">VLOOKUP(B264,'ALL DATABASES'!$A$1:$T$2252,3,FALSE)</f>
        <v>Conference Paper</v>
      </c>
      <c r="H264" s="50" t="str">
        <f ca="1">VLOOKUP(B264,'ALL DATABASES'!$A$1:$T$2252,20,FALSE)</f>
        <v>IEEE</v>
      </c>
    </row>
    <row r="265" spans="1:8" ht="12.75" x14ac:dyDescent="0.2">
      <c r="A265">
        <v>264</v>
      </c>
      <c r="B265" s="15" t="str">
        <f ca="1">IFERROR(__xludf.DUMMYFUNCTION("""COMPUTED_VALUE"""),"Applications of MLOps in the Cognitive Cloud Continuum")</f>
        <v>Applications of MLOps in the Cognitive Cloud Continuum</v>
      </c>
      <c r="C265" s="15" t="str">
        <f ca="1">VLOOKUP(B265,'ALL DATABASES'!$A$1:$T$2252,2,FALSE)</f>
        <v>Moreschini S</v>
      </c>
      <c r="D265" s="15">
        <f ca="1">VLOOKUP(B265,'ALL DATABASES'!$A$1:$T$2252,5,FALSE)</f>
        <v>2022</v>
      </c>
      <c r="E265" s="15">
        <f ca="1">VLOOKUP(B265,'ALL DATABASES'!$A$1:$T$2252,10,FALSE)</f>
        <v>2022</v>
      </c>
      <c r="F265" s="54" t="str">
        <f ca="1">VLOOKUP(B265,'ALL DATABASES'!$A$1:$T$2252,14,FALSE)</f>
        <v>https://www.scopus.com/inward/record.uri?eid=2-s2.0-85142688414&amp;doi=10.1007%2f978-3-031-21388-5_51&amp;partnerID=40&amp;md5=56790ac98ea4f9733cca41a00bfca010;http://dx.doi.org/10.1007/978-3-031-21388-5_51</v>
      </c>
      <c r="G265" s="15" t="str">
        <f ca="1">VLOOKUP(B265,'ALL DATABASES'!$A$1:$T$2252,3,FALSE)</f>
        <v>Journal Article</v>
      </c>
      <c r="H265" s="50" t="str">
        <f ca="1">VLOOKUP(B265,'ALL DATABASES'!$A$1:$T$2252,20,FALSE)</f>
        <v>SCOPUS</v>
      </c>
    </row>
    <row r="266" spans="1:8" ht="12.75" x14ac:dyDescent="0.2">
      <c r="A266">
        <v>265</v>
      </c>
      <c r="B266" s="15" t="str">
        <f ca="1">IFERROR(__xludf.DUMMYFUNCTION("""COMPUTED_VALUE"""),"Applied Data Science in Tourism")</f>
        <v>Applied Data Science in Tourism</v>
      </c>
      <c r="C266" s="15" t="str">
        <f ca="1">VLOOKUP(B266,'ALL DATABASES'!$A$1:$T$2252,2,FALSE)</f>
        <v>Prof. Dr. Roman Egger</v>
      </c>
      <c r="D266" s="15">
        <f ca="1">VLOOKUP(B266,'ALL DATABASES'!$A$1:$T$2252,5,FALSE)</f>
        <v>2022</v>
      </c>
      <c r="E266" s="15">
        <f ca="1">VLOOKUP(B266,'ALL DATABASES'!$A$1:$T$2252,10,FALSE)</f>
        <v>0</v>
      </c>
      <c r="F266" s="54" t="str">
        <f ca="1">VLOOKUP(B266,'ALL DATABASES'!$A$1:$T$2252,14,FALSE)</f>
        <v>http://link.springer.com/book/10.1007/978-3-030-88389-8</v>
      </c>
      <c r="G266" s="15" t="str">
        <f ca="1">VLOOKUP(B266,'ALL DATABASES'!$A$1:$T$2252,3,FALSE)</f>
        <v>Book</v>
      </c>
      <c r="H266" s="50" t="str">
        <f ca="1">VLOOKUP(B266,'ALL DATABASES'!$A$1:$T$2252,20,FALSE)</f>
        <v>SPRINGER</v>
      </c>
    </row>
    <row r="267" spans="1:8" ht="12.75" x14ac:dyDescent="0.2">
      <c r="A267">
        <v>266</v>
      </c>
      <c r="B267" s="15" t="str">
        <f ca="1">IFERROR(__xludf.DUMMYFUNCTION("""COMPUTED_VALUE"""),"Applied Intelligent Data Analysis to Government Data Related to Criminal Incident: A Systematic Review")</f>
        <v>Applied Intelligent Data Analysis to Government Data Related to Criminal Incident: A Systematic Review</v>
      </c>
      <c r="C267" s="15" t="str">
        <f ca="1">VLOOKUP(B267,'ALL DATABASES'!$A$1:$T$2252,2,FALSE)</f>
        <v>Henrique de Jesus Prado K,Santos Souza L,Dias de Jesus Junior I,Colaço Júnior M</v>
      </c>
      <c r="D267" s="15">
        <f ca="1">VLOOKUP(B267,'ALL DATABASES'!$A$1:$T$2252,5,FALSE)</f>
        <v>2020</v>
      </c>
      <c r="E267" s="15">
        <f ca="1">VLOOKUP(B267,'ALL DATABASES'!$A$1:$T$2252,10,FALSE)</f>
        <v>2020</v>
      </c>
      <c r="F267" s="54" t="str">
        <f ca="1">VLOOKUP(B267,'ALL DATABASES'!$A$1:$T$2252,14,FALSE)</f>
        <v>https://www.scopus.com/inward/record.uri?eid=2-s2.0-85078457936&amp;doi=10.1080%2f19361610.2020.1716511&amp;partnerID=40&amp;md5=74aa5b09d807a4c4775813f724515caf;http://dx.doi.org/10.1080/19361610.2020.1716511</v>
      </c>
      <c r="G267" s="15" t="str">
        <f ca="1">VLOOKUP(B267,'ALL DATABASES'!$A$1:$T$2252,3,FALSE)</f>
        <v>Journal Article</v>
      </c>
      <c r="H267" s="50" t="str">
        <f ca="1">VLOOKUP(B267,'ALL DATABASES'!$A$1:$T$2252,20,FALSE)</f>
        <v>SCOPUS</v>
      </c>
    </row>
    <row r="268" spans="1:8" ht="12.75" x14ac:dyDescent="0.2">
      <c r="A268">
        <v>267</v>
      </c>
      <c r="B268" s="15" t="str">
        <f ca="1">IFERROR(__xludf.DUMMYFUNCTION("""COMPUTED_VALUE"""),"Applying AI in Practice: Key Challenges and Lessons Learned")</f>
        <v>Applying AI in Practice: Key Challenges and Lessons Learned</v>
      </c>
      <c r="C268" s="15" t="str">
        <f ca="1">VLOOKUP(B268,'ALL DATABASES'!$A$1:$T$2252,2,FALSE)</f>
        <v>Fischer L,Ehrlinger L,Geist V,Ramler R,Sobieczky F,Zellinger W,Moser B</v>
      </c>
      <c r="D268" s="15">
        <f ca="1">VLOOKUP(B268,'ALL DATABASES'!$A$1:$T$2252,5,FALSE)</f>
        <v>2020</v>
      </c>
      <c r="E268" s="15">
        <f ca="1">VLOOKUP(B268,'ALL DATABASES'!$A$1:$T$2252,10,FALSE)</f>
        <v>2020</v>
      </c>
      <c r="F268" s="54" t="str">
        <f ca="1">VLOOKUP(B268,'ALL DATABASES'!$A$1:$T$2252,14,FALSE)</f>
        <v>https://www.scopus.com/inward/record.uri?eid=2-s2.0-85090177992&amp;doi=10.1007%2f978-3-030-57321-8_25&amp;partnerID=40&amp;md5=91084d2ddcf15d354de3a3f429b02b0d;http://dx.doi.org/10.1007/978-3-030-57321-8_25</v>
      </c>
      <c r="G268" s="15" t="str">
        <f ca="1">VLOOKUP(B268,'ALL DATABASES'!$A$1:$T$2252,3,FALSE)</f>
        <v>Journal Article</v>
      </c>
      <c r="H268" s="50" t="str">
        <f ca="1">VLOOKUP(B268,'ALL DATABASES'!$A$1:$T$2252,20,FALSE)</f>
        <v>SCOPUS</v>
      </c>
    </row>
    <row r="269" spans="1:8" ht="12.75" x14ac:dyDescent="0.2">
      <c r="A269">
        <v>268</v>
      </c>
      <c r="B269" s="15" t="str">
        <f ca="1">IFERROR(__xludf.DUMMYFUNCTION("""COMPUTED_VALUE"""),"Applying Bayesian Analysis Guidelines to Empirical Software Engineering Data: The Case of Programming Languages and Code Quality")</f>
        <v>Applying Bayesian Analysis Guidelines to Empirical Software Engineering Data: The Case of Programming Languages and Code Quality</v>
      </c>
      <c r="C269" s="15" t="str">
        <f ca="1">VLOOKUP(B269,'ALL DATABASES'!$A$1:$T$2252,2,FALSE)</f>
        <v>Furia CA,Torkar R,Feldt R</v>
      </c>
      <c r="D269" s="15">
        <f ca="1">VLOOKUP(B269,'ALL DATABASES'!$A$1:$T$2252,5,FALSE)</f>
        <v>2022</v>
      </c>
      <c r="E269" s="15">
        <f ca="1">VLOOKUP(B269,'ALL DATABASES'!$A$1:$T$2252,10,FALSE)</f>
        <v>2022</v>
      </c>
      <c r="F269" s="54" t="str">
        <f ca="1">VLOOKUP(B269,'ALL DATABASES'!$A$1:$T$2252,14,FALSE)</f>
        <v>https://www.scopus.com/inward/record.uri?eid=2-s2.0-85130710474&amp;doi=10.1145%2f3490953&amp;partnerID=40&amp;md5=f51af049efd96e1b1de161be45f7c130;http://dx.doi.org/10.1145/3490953</v>
      </c>
      <c r="G269" s="15" t="str">
        <f ca="1">VLOOKUP(B269,'ALL DATABASES'!$A$1:$T$2252,3,FALSE)</f>
        <v>Journal Article</v>
      </c>
      <c r="H269" s="50" t="str">
        <f ca="1">VLOOKUP(B269,'ALL DATABASES'!$A$1:$T$2252,20,FALSE)</f>
        <v>SCOPUS</v>
      </c>
    </row>
    <row r="270" spans="1:8" ht="12.75" x14ac:dyDescent="0.2">
      <c r="A270">
        <v>269</v>
      </c>
      <c r="B270" s="15" t="str">
        <f ca="1">IFERROR(__xludf.DUMMYFUNCTION("""COMPUTED_VALUE"""),"Applying Machine Learning in Self-adaptive Systems")</f>
        <v>Applying Machine Learning in Self-adaptive Systems</v>
      </c>
      <c r="C270" s="15" t="str">
        <f ca="1">VLOOKUP(B270,'ALL DATABASES'!$A$1:$T$2252,2,FALSE)</f>
        <v>Gheibi O,Weyns D,Quin F</v>
      </c>
      <c r="D270" s="15">
        <f ca="1">VLOOKUP(B270,'ALL DATABASES'!$A$1:$T$2252,5,FALSE)</f>
        <v>2021</v>
      </c>
      <c r="E270" s="15">
        <f ca="1">VLOOKUP(B270,'ALL DATABASES'!$A$1:$T$2252,10,FALSE)</f>
        <v>2021</v>
      </c>
      <c r="F270" s="54" t="str">
        <f ca="1">VLOOKUP(B270,'ALL DATABASES'!$A$1:$T$2252,14,FALSE)</f>
        <v>https://www.scopus.com/inward/record.uri?eid=2-s2.0-85113807787&amp;doi=10.1145%2f3469440&amp;partnerID=40&amp;md5=ac2ec772179d5bb925bf67779e557769;http://dx.doi.org/10.1145/3469440</v>
      </c>
      <c r="G270" s="15" t="str">
        <f ca="1">VLOOKUP(B270,'ALL DATABASES'!$A$1:$T$2252,3,FALSE)</f>
        <v>Journal Article</v>
      </c>
      <c r="H270" s="50" t="str">
        <f ca="1">VLOOKUP(B270,'ALL DATABASES'!$A$1:$T$2252,20,FALSE)</f>
        <v>SCOPUS</v>
      </c>
    </row>
    <row r="271" spans="1:8" ht="12.75" x14ac:dyDescent="0.2">
      <c r="A271">
        <v>270</v>
      </c>
      <c r="B271" s="15" t="str">
        <f ca="1">IFERROR(__xludf.DUMMYFUNCTION("""COMPUTED_VALUE"""),"Applying Machine Learning in Self-Adaptive Systems: A Systematic Literature Review")</f>
        <v>Applying Machine Learning in Self-Adaptive Systems: A Systematic Literature Review</v>
      </c>
      <c r="C271" s="15" t="str">
        <f ca="1">VLOOKUP(B271,'ALL DATABASES'!$A$1:$T$2252,2,FALSE)</f>
        <v>Gheibi O,Weyns D,Quin F</v>
      </c>
      <c r="D271" s="15">
        <f ca="1">VLOOKUP(B271,'ALL DATABASES'!$A$1:$T$2252,5,FALSE)</f>
        <v>2021</v>
      </c>
      <c r="E271" s="55">
        <f ca="1">VLOOKUP(B271,'ALL DATABASES'!$A$1:$T$2252,10,FALSE)</f>
        <v>44409</v>
      </c>
      <c r="F271" s="54" t="str">
        <f ca="1">VLOOKUP(B271,'ALL DATABASES'!$A$1:$T$2252,14,FALSE)</f>
        <v>https://doi.org/10.1145/3469440;http://dx.doi.org/10.1145/3469440</v>
      </c>
      <c r="G271" s="15" t="str">
        <f ca="1">VLOOKUP(B271,'ALL DATABASES'!$A$1:$T$2252,3,FALSE)</f>
        <v>Journal Article</v>
      </c>
      <c r="H271" s="50" t="str">
        <f ca="1">VLOOKUP(B271,'ALL DATABASES'!$A$1:$T$2252,20,FALSE)</f>
        <v>ACM</v>
      </c>
    </row>
    <row r="272" spans="1:8" ht="12.75" x14ac:dyDescent="0.2">
      <c r="A272">
        <v>271</v>
      </c>
      <c r="B272" s="15" t="str">
        <f ca="1">IFERROR(__xludf.DUMMYFUNCTION("""COMPUTED_VALUE"""),"Applying Machine Learning in Technical Debt Management: Future Opportunities and Challenges")</f>
        <v>Applying Machine Learning in Technical Debt Management: Future Opportunities and Challenges</v>
      </c>
      <c r="C272" s="15" t="str">
        <f ca="1">VLOOKUP(B272,'ALL DATABASES'!$A$1:$T$2252,2,FALSE)</f>
        <v>Angeliki-Agathi TsintziraElvira-Maria ArvanitouApostolos AmpatzoglouAlexander Chatzigeorgiou</v>
      </c>
      <c r="D272" s="15">
        <f ca="1">VLOOKUP(B272,'ALL DATABASES'!$A$1:$T$2252,5,FALSE)</f>
        <v>2020</v>
      </c>
      <c r="E272" s="15">
        <f ca="1">VLOOKUP(B272,'ALL DATABASES'!$A$1:$T$2252,10,FALSE)</f>
        <v>0</v>
      </c>
      <c r="F272" s="54" t="str">
        <f ca="1">VLOOKUP(B272,'ALL DATABASES'!$A$1:$T$2252,14,FALSE)</f>
        <v>http://link.springer.com/chapter/10.1007/978-3-030-58793-2_5</v>
      </c>
      <c r="G272" s="15" t="str">
        <f ca="1">VLOOKUP(B272,'ALL DATABASES'!$A$1:$T$2252,3,FALSE)</f>
        <v>Chapter</v>
      </c>
      <c r="H272" s="50" t="str">
        <f ca="1">VLOOKUP(B272,'ALL DATABASES'!$A$1:$T$2252,20,FALSE)</f>
        <v>SPRINGER</v>
      </c>
    </row>
    <row r="273" spans="1:8" ht="12.75" x14ac:dyDescent="0.2">
      <c r="A273">
        <v>272</v>
      </c>
      <c r="B273" s="15" t="str">
        <f ca="1">IFERROR(__xludf.DUMMYFUNCTION("""COMPUTED_VALUE"""),"Applying Social Network Analysis Techniques to Architectural Smell Prediction")</f>
        <v>Applying Social Network Analysis Techniques to Architectural Smell Prediction</v>
      </c>
      <c r="C273" s="15" t="str">
        <f ca="1">VLOOKUP(B273,'ALL DATABASES'!$A$1:$T$2252,2,FALSE)</f>
        <v>Tommasel A</v>
      </c>
      <c r="D273" s="15">
        <f ca="1">VLOOKUP(B273,'ALL DATABASES'!$A$1:$T$2252,5,FALSE)</f>
        <v>2019</v>
      </c>
      <c r="E273" s="55">
        <f ca="1">VLOOKUP(B273,'ALL DATABASES'!$A$1:$T$2252,10,FALSE)</f>
        <v>43525</v>
      </c>
      <c r="F273" s="54" t="str">
        <f ca="1">VLOOKUP(B273,'ALL DATABASES'!$A$1:$T$2252,14,FALSE)</f>
        <v>http://dx.doi.org/10.1109/ICSA-C.2019.00053</v>
      </c>
      <c r="G273" s="15" t="str">
        <f ca="1">VLOOKUP(B273,'ALL DATABASES'!$A$1:$T$2252,3,FALSE)</f>
        <v>Conference Paper</v>
      </c>
      <c r="H273" s="50" t="str">
        <f ca="1">VLOOKUP(B273,'ALL DATABASES'!$A$1:$T$2252,20,FALSE)</f>
        <v>IEEE</v>
      </c>
    </row>
    <row r="274" spans="1:8" ht="12.75" x14ac:dyDescent="0.2">
      <c r="A274">
        <v>273</v>
      </c>
      <c r="B274" s="15" t="str">
        <f ca="1">IFERROR(__xludf.DUMMYFUNCTION("""COMPUTED_VALUE"""),"Applying Software Design Metrics to Developer Story: A Supervised Machine Learning Analysis")</f>
        <v>Applying Software Design Metrics to Developer Story: A Supervised Machine Learning Analysis</v>
      </c>
      <c r="C274" s="15" t="str">
        <f ca="1">VLOOKUP(B274,'ALL DATABASES'!$A$1:$T$2252,2,FALSE)</f>
        <v>Algarni A,Magel K</v>
      </c>
      <c r="D274" s="15">
        <f ca="1">VLOOKUP(B274,'ALL DATABASES'!$A$1:$T$2252,5,FALSE)</f>
        <v>2019</v>
      </c>
      <c r="E274" s="53">
        <f ca="1">VLOOKUP(B274,'ALL DATABASES'!$A$1:$T$2252,10,FALSE)</f>
        <v>43800</v>
      </c>
      <c r="F274" s="54" t="str">
        <f ca="1">VLOOKUP(B274,'ALL DATABASES'!$A$1:$T$2252,14,FALSE)</f>
        <v>http://dx.doi.org/10.1109/CogMI48466.2019.00030</v>
      </c>
      <c r="G274" s="15" t="str">
        <f ca="1">VLOOKUP(B274,'ALL DATABASES'!$A$1:$T$2252,3,FALSE)</f>
        <v>Conference Paper</v>
      </c>
      <c r="H274" s="50" t="str">
        <f ca="1">VLOOKUP(B274,'ALL DATABASES'!$A$1:$T$2252,20,FALSE)</f>
        <v>IEEE</v>
      </c>
    </row>
    <row r="275" spans="1:8" ht="12.75" x14ac:dyDescent="0.2">
      <c r="A275">
        <v>274</v>
      </c>
      <c r="B275" s="15" t="str">
        <f ca="1">IFERROR(__xludf.DUMMYFUNCTION("""COMPUTED_VALUE"""),"ARCADE: An Extensible Workbench for Architecture Recovery, Change, and Decay Evaluation")</f>
        <v>ARCADE: An Extensible Workbench for Architecture Recovery, Change, and Decay Evaluation</v>
      </c>
      <c r="C275" s="15" t="str">
        <f ca="1">VLOOKUP(B275,'ALL DATABASES'!$A$1:$T$2252,2,FALSE)</f>
        <v>Schmitt Laser M,Medvidovic N,Le DM,Garcia J</v>
      </c>
      <c r="D275" s="15">
        <f ca="1">VLOOKUP(B275,'ALL DATABASES'!$A$1:$T$2252,5,FALSE)</f>
        <v>2020</v>
      </c>
      <c r="E275" s="15">
        <f ca="1">VLOOKUP(B275,'ALL DATABASES'!$A$1:$T$2252,10,FALSE)</f>
        <v>2020</v>
      </c>
      <c r="F275" s="54" t="str">
        <f ca="1">VLOOKUP(B275,'ALL DATABASES'!$A$1:$T$2252,14,FALSE)</f>
        <v>https://doi.org/10.1145/3368089.3417941;http://dx.doi.org/10.1145/3368089.3417941</v>
      </c>
      <c r="G275" s="15" t="str">
        <f ca="1">VLOOKUP(B275,'ALL DATABASES'!$A$1:$T$2252,3,FALSE)</f>
        <v>Conference Paper</v>
      </c>
      <c r="H275" s="50" t="str">
        <f ca="1">VLOOKUP(B275,'ALL DATABASES'!$A$1:$T$2252,20,FALSE)</f>
        <v>ACM</v>
      </c>
    </row>
    <row r="276" spans="1:8" ht="12.75" x14ac:dyDescent="0.2">
      <c r="A276">
        <v>275</v>
      </c>
      <c r="B276" s="15" t="str">
        <f ca="1">IFERROR(__xludf.DUMMYFUNCTION("""COMPUTED_VALUE"""),"Arcan: A Tool for Architectural Smells Detection")</f>
        <v>Arcan: A Tool for Architectural Smells Detection</v>
      </c>
      <c r="C276" s="15" t="str">
        <f ca="1">VLOOKUP(B276,'ALL DATABASES'!$A$1:$T$2252,2,FALSE)</f>
        <v>Fontana FA,Pigazzini I,Roveda R,Tamburri D,Zanoni M,Di Nitto E</v>
      </c>
      <c r="D276" s="15">
        <f ca="1">VLOOKUP(B276,'ALL DATABASES'!$A$1:$T$2252,5,FALSE)</f>
        <v>2017</v>
      </c>
      <c r="E276" s="55">
        <f ca="1">VLOOKUP(B276,'ALL DATABASES'!$A$1:$T$2252,10,FALSE)</f>
        <v>42826</v>
      </c>
      <c r="F276" s="54" t="str">
        <f ca="1">VLOOKUP(B276,'ALL DATABASES'!$A$1:$T$2252,14,FALSE)</f>
        <v>http://dx.doi.org/10.1109/ICSAW.2017.16</v>
      </c>
      <c r="G276" s="15" t="str">
        <f ca="1">VLOOKUP(B276,'ALL DATABASES'!$A$1:$T$2252,3,FALSE)</f>
        <v>Conference Paper</v>
      </c>
      <c r="H276" s="50" t="str">
        <f ca="1">VLOOKUP(B276,'ALL DATABASES'!$A$1:$T$2252,20,FALSE)</f>
        <v>IEEE</v>
      </c>
    </row>
    <row r="277" spans="1:8" ht="12.75" x14ac:dyDescent="0.2">
      <c r="A277">
        <v>276</v>
      </c>
      <c r="B277" s="15" t="str">
        <f ca="1">IFERROR(__xludf.DUMMYFUNCTION("""COMPUTED_VALUE"""),"Archetypes of delay: An analysis of online developer conversations on delayed work items in IBM Jazz")</f>
        <v>Archetypes of delay: An analysis of online developer conversations on delayed work items in IBM Jazz</v>
      </c>
      <c r="C277" s="15" t="str">
        <f ca="1">VLOOKUP(B277,'ALL DATABASES'!$A$1:$T$2252,2,FALSE)</f>
        <v>Salaou AD,Damian D,Lassenius C,Voda D,Gançarski P</v>
      </c>
      <c r="D277" s="15">
        <f ca="1">VLOOKUP(B277,'ALL DATABASES'!$A$1:$T$2252,5,FALSE)</f>
        <v>2021</v>
      </c>
      <c r="E277" s="15">
        <f ca="1">VLOOKUP(B277,'ALL DATABASES'!$A$1:$T$2252,10,FALSE)</f>
        <v>2021</v>
      </c>
      <c r="F277" s="54" t="str">
        <f ca="1">VLOOKUP(B277,'ALL DATABASES'!$A$1:$T$2252,14,FALSE)</f>
        <v>https://www.sciencedirect.com/science/article/pii/S0950584920301907;http://dx.doi.org/10.1016/j.infsof.2020.106435</v>
      </c>
      <c r="G277" s="15" t="str">
        <f ca="1">VLOOKUP(B277,'ALL DATABASES'!$A$1:$T$2252,3,FALSE)</f>
        <v>Journal Article</v>
      </c>
      <c r="H277" s="50" t="str">
        <f ca="1">VLOOKUP(B277,'ALL DATABASES'!$A$1:$T$2252,20,FALSE)</f>
        <v>SCIENCEDIRECT</v>
      </c>
    </row>
    <row r="278" spans="1:8" ht="12.75" x14ac:dyDescent="0.2">
      <c r="A278">
        <v>277</v>
      </c>
      <c r="B278" s="15" t="str">
        <f ca="1">IFERROR(__xludf.DUMMYFUNCTION("""COMPUTED_VALUE"""),"Architecting AI Deployment: A Systematic Review of State-of-the-Art and State-of-Practice Literature")</f>
        <v>Architecting AI Deployment: A Systematic Review of State-of-the-Art and State-of-Practice Literature</v>
      </c>
      <c r="C278" s="15" t="str">
        <f ca="1">VLOOKUP(B278,'ALL DATABASES'!$A$1:$T$2252,2,FALSE)</f>
        <v>John MM,Holmström Olsson H,Bosch J</v>
      </c>
      <c r="D278" s="15">
        <f ca="1">VLOOKUP(B278,'ALL DATABASES'!$A$1:$T$2252,5,FALSE)</f>
        <v>2021</v>
      </c>
      <c r="E278" s="15">
        <f ca="1">VLOOKUP(B278,'ALL DATABASES'!$A$1:$T$2252,10,FALSE)</f>
        <v>2021</v>
      </c>
      <c r="F278" s="54" t="str">
        <f ca="1">VLOOKUP(B278,'ALL DATABASES'!$A$1:$T$2252,14,FALSE)</f>
        <v>https://www.scopus.com/inward/record.uri?eid=2-s2.0-85101368139&amp;doi=10.1007%2f978-3-030-67292-8_2&amp;partnerID=40&amp;md5=1755610e8f350838212c69c596954cf2;http://dx.doi.org/10.1007/978-3-030-67292-8_2</v>
      </c>
      <c r="G278" s="15" t="str">
        <f ca="1">VLOOKUP(B278,'ALL DATABASES'!$A$1:$T$2252,3,FALSE)</f>
        <v>Journal Article</v>
      </c>
      <c r="H278" s="50" t="str">
        <f ca="1">VLOOKUP(B278,'ALL DATABASES'!$A$1:$T$2252,20,FALSE)</f>
        <v>SCOPUS</v>
      </c>
    </row>
    <row r="279" spans="1:8" ht="12.75" x14ac:dyDescent="0.2">
      <c r="A279">
        <v>278</v>
      </c>
      <c r="B279" s="15" t="str">
        <f ca="1">IFERROR(__xludf.DUMMYFUNCTION("""COMPUTED_VALUE"""),"Architecting the Digital Transformation")</f>
        <v>Architecting the Digital Transformation</v>
      </c>
      <c r="C279" s="15" t="str">
        <f ca="1">VLOOKUP(B279,'ALL DATABASES'!$A$1:$T$2252,2,FALSE)</f>
        <v>Prof. Alfred ZimmermannProf. Dr. Rainer SchmidtProf. Dr. Lakhmi C. Jain</v>
      </c>
      <c r="D279" s="15">
        <f ca="1">VLOOKUP(B279,'ALL DATABASES'!$A$1:$T$2252,5,FALSE)</f>
        <v>2021</v>
      </c>
      <c r="E279" s="15">
        <f ca="1">VLOOKUP(B279,'ALL DATABASES'!$A$1:$T$2252,10,FALSE)</f>
        <v>0</v>
      </c>
      <c r="F279" s="54" t="str">
        <f ca="1">VLOOKUP(B279,'ALL DATABASES'!$A$1:$T$2252,14,FALSE)</f>
        <v>http://link.springer.com/book/10.1007/978-3-030-49640-1</v>
      </c>
      <c r="G279" s="15" t="str">
        <f ca="1">VLOOKUP(B279,'ALL DATABASES'!$A$1:$T$2252,3,FALSE)</f>
        <v>Book</v>
      </c>
      <c r="H279" s="50" t="str">
        <f ca="1">VLOOKUP(B279,'ALL DATABASES'!$A$1:$T$2252,20,FALSE)</f>
        <v>SPRINGER</v>
      </c>
    </row>
    <row r="280" spans="1:8" ht="12.75" x14ac:dyDescent="0.2">
      <c r="A280">
        <v>279</v>
      </c>
      <c r="B280" s="15" t="str">
        <f ca="1">IFERROR(__xludf.DUMMYFUNCTION("""COMPUTED_VALUE"""),"Architectural Decay as Predictor of Issue- and Change-Proneness")</f>
        <v>Architectural Decay as Predictor of Issue- and Change-Proneness</v>
      </c>
      <c r="C280" s="15" t="str">
        <f ca="1">VLOOKUP(B280,'ALL DATABASES'!$A$1:$T$2252,2,FALSE)</f>
        <v>Le DM,Karthik S,Laser MS,Medvidovic N</v>
      </c>
      <c r="D280" s="15">
        <f ca="1">VLOOKUP(B280,'ALL DATABASES'!$A$1:$T$2252,5,FALSE)</f>
        <v>2021</v>
      </c>
      <c r="E280" s="55">
        <f ca="1">VLOOKUP(B280,'ALL DATABASES'!$A$1:$T$2252,10,FALSE)</f>
        <v>44256</v>
      </c>
      <c r="F280" s="54" t="str">
        <f ca="1">VLOOKUP(B280,'ALL DATABASES'!$A$1:$T$2252,14,FALSE)</f>
        <v>http://dx.doi.org/10.1109/ICSA51549.2021.00017</v>
      </c>
      <c r="G280" s="15" t="str">
        <f ca="1">VLOOKUP(B280,'ALL DATABASES'!$A$1:$T$2252,3,FALSE)</f>
        <v>Conference Paper</v>
      </c>
      <c r="H280" s="50" t="str">
        <f ca="1">VLOOKUP(B280,'ALL DATABASES'!$A$1:$T$2252,20,FALSE)</f>
        <v>IEEE</v>
      </c>
    </row>
    <row r="281" spans="1:8" ht="12.75" x14ac:dyDescent="0.2">
      <c r="A281">
        <v>280</v>
      </c>
      <c r="B281" s="15" t="str">
        <f ca="1">IFERROR(__xludf.DUMMYFUNCTION("""COMPUTED_VALUE"""),"Architectural Design Criteria for Evolvable Data-Intensive Machine Learning Platforms")</f>
        <v>Architectural Design Criteria for Evolvable Data-Intensive Machine Learning Platforms</v>
      </c>
      <c r="C281" s="15" t="str">
        <f ca="1">VLOOKUP(B281,'ALL DATABASES'!$A$1:$T$2252,2,FALSE)</f>
        <v>Zarza G,López Murphy JJ</v>
      </c>
      <c r="D281" s="15">
        <f ca="1">VLOOKUP(B281,'ALL DATABASES'!$A$1:$T$2252,5,FALSE)</f>
        <v>2020</v>
      </c>
      <c r="E281" s="15">
        <f ca="1">VLOOKUP(B281,'ALL DATABASES'!$A$1:$T$2252,10,FALSE)</f>
        <v>2020</v>
      </c>
      <c r="F281" s="54" t="str">
        <f ca="1">VLOOKUP(B281,'ALL DATABASES'!$A$1:$T$2252,14,FALSE)</f>
        <v>https://www.scopus.com/inward/record.uri?eid=2-s2.0-85096587413&amp;doi=10.1007%2f978-3-030-61218-4_5&amp;partnerID=40&amp;md5=c0d7726a063307802b86d128a0f4e489;http://dx.doi.org/10.1007/978-3-030-61218-4_5</v>
      </c>
      <c r="G281" s="15" t="str">
        <f ca="1">VLOOKUP(B281,'ALL DATABASES'!$A$1:$T$2252,3,FALSE)</f>
        <v>Journal Article</v>
      </c>
      <c r="H281" s="50" t="str">
        <f ca="1">VLOOKUP(B281,'ALL DATABASES'!$A$1:$T$2252,20,FALSE)</f>
        <v>SCOPUS</v>
      </c>
    </row>
    <row r="282" spans="1:8" ht="12.75" x14ac:dyDescent="0.2">
      <c r="A282">
        <v>281</v>
      </c>
      <c r="B282" s="15" t="str">
        <f ca="1">IFERROR(__xludf.DUMMYFUNCTION("""COMPUTED_VALUE"""),"Architectural Design Decisions for Machine Learning Deployment")</f>
        <v>Architectural Design Decisions for Machine Learning Deployment</v>
      </c>
      <c r="C282" s="15" t="str">
        <f ca="1">VLOOKUP(B282,'ALL DATABASES'!$A$1:$T$2252,2,FALSE)</f>
        <v>Warnett SJ,Zdun U</v>
      </c>
      <c r="D282" s="15">
        <f ca="1">VLOOKUP(B282,'ALL DATABASES'!$A$1:$T$2252,5,FALSE)</f>
        <v>2022</v>
      </c>
      <c r="E282" s="55">
        <f ca="1">VLOOKUP(B282,'ALL DATABASES'!$A$1:$T$2252,10,FALSE)</f>
        <v>44621</v>
      </c>
      <c r="F282" s="54" t="str">
        <f ca="1">VLOOKUP(B282,'ALL DATABASES'!$A$1:$T$2252,14,FALSE)</f>
        <v>http://dx.doi.org/10.1109/ICSA53651.2022.00017</v>
      </c>
      <c r="G282" s="15" t="str">
        <f ca="1">VLOOKUP(B282,'ALL DATABASES'!$A$1:$T$2252,3,FALSE)</f>
        <v>Conference Paper</v>
      </c>
      <c r="H282" s="50" t="str">
        <f ca="1">VLOOKUP(B282,'ALL DATABASES'!$A$1:$T$2252,20,FALSE)</f>
        <v>IEEE</v>
      </c>
    </row>
    <row r="283" spans="1:8" ht="12.75" x14ac:dyDescent="0.2">
      <c r="A283">
        <v>282</v>
      </c>
      <c r="B283" s="15" t="str">
        <f ca="1">IFERROR(__xludf.DUMMYFUNCTION("""COMPUTED_VALUE"""),"Architectural Design Decisions for the Machine Learning Workflow")</f>
        <v>Architectural Design Decisions for the Machine Learning Workflow</v>
      </c>
      <c r="C283" s="15" t="str">
        <f ca="1">VLOOKUP(B283,'ALL DATABASES'!$A$1:$T$2252,2,FALSE)</f>
        <v>Warnett SJ,Zdun U</v>
      </c>
      <c r="D283" s="15">
        <f ca="1">VLOOKUP(B283,'ALL DATABASES'!$A$1:$T$2252,5,FALSE)</f>
        <v>2022</v>
      </c>
      <c r="E283" s="55">
        <f ca="1">VLOOKUP(B283,'ALL DATABASES'!$A$1:$T$2252,10,FALSE)</f>
        <v>44621</v>
      </c>
      <c r="F283" s="54" t="str">
        <f ca="1">VLOOKUP(B283,'ALL DATABASES'!$A$1:$T$2252,14,FALSE)</f>
        <v>http://dx.doi.org/10.1109/MC.2021.3134800</v>
      </c>
      <c r="G283" s="15" t="str">
        <f ca="1">VLOOKUP(B283,'ALL DATABASES'!$A$1:$T$2252,3,FALSE)</f>
        <v>Journal Article</v>
      </c>
      <c r="H283" s="50" t="str">
        <f ca="1">VLOOKUP(B283,'ALL DATABASES'!$A$1:$T$2252,20,FALSE)</f>
        <v>IEEE</v>
      </c>
    </row>
    <row r="284" spans="1:8" ht="12.75" x14ac:dyDescent="0.2">
      <c r="A284">
        <v>283</v>
      </c>
      <c r="B284" s="15" t="str">
        <f ca="1">IFERROR(__xludf.DUMMYFUNCTION("""COMPUTED_VALUE"""),"Architectural design decisions that incur technical debt — An industrial case study")</f>
        <v>Architectural design decisions that incur technical debt — An industrial case study</v>
      </c>
      <c r="C284" s="15" t="str">
        <f ca="1">VLOOKUP(B284,'ALL DATABASES'!$A$1:$T$2252,2,FALSE)</f>
        <v>Soliman M,Avgeriou P,Li Y</v>
      </c>
      <c r="D284" s="15">
        <f ca="1">VLOOKUP(B284,'ALL DATABASES'!$A$1:$T$2252,5,FALSE)</f>
        <v>2021</v>
      </c>
      <c r="E284" s="15">
        <f ca="1">VLOOKUP(B284,'ALL DATABASES'!$A$1:$T$2252,10,FALSE)</f>
        <v>2021</v>
      </c>
      <c r="F284" s="54" t="str">
        <f ca="1">VLOOKUP(B284,'ALL DATABASES'!$A$1:$T$2252,14,FALSE)</f>
        <v>https://www.scopus.com/inward/record.uri?eid=2-s2.0-85109165765&amp;doi=10.1016%2fj.infsof.2021.106669&amp;partnerID=40&amp;md5=001e083353bc73d6d036bf61af0c72f4;http://dx.doi.org/10.1016/j.infsof.2021.106669</v>
      </c>
      <c r="G284" s="15" t="str">
        <f ca="1">VLOOKUP(B284,'ALL DATABASES'!$A$1:$T$2252,3,FALSE)</f>
        <v>Journal Article</v>
      </c>
      <c r="H284" s="50" t="str">
        <f ca="1">VLOOKUP(B284,'ALL DATABASES'!$A$1:$T$2252,20,FALSE)</f>
        <v>SCOPUS</v>
      </c>
    </row>
    <row r="285" spans="1:8" ht="12.75" x14ac:dyDescent="0.2">
      <c r="A285">
        <v>284</v>
      </c>
      <c r="B285" s="15" t="str">
        <f ca="1">IFERROR(__xludf.DUMMYFUNCTION("""COMPUTED_VALUE"""),"Architectural Smells Detected by Tools: A Catalogue Proposal")</f>
        <v>Architectural Smells Detected by Tools: A Catalogue Proposal</v>
      </c>
      <c r="C285" s="15" t="str">
        <f ca="1">VLOOKUP(B285,'ALL DATABASES'!$A$1:$T$2252,2,FALSE)</f>
        <v>Azadi U,Fontana FA,Taibi D</v>
      </c>
      <c r="D285" s="15">
        <f ca="1">VLOOKUP(B285,'ALL DATABASES'!$A$1:$T$2252,5,FALSE)</f>
        <v>2019</v>
      </c>
      <c r="E285" s="15">
        <f ca="1">VLOOKUP(B285,'ALL DATABASES'!$A$1:$T$2252,10,FALSE)</f>
        <v>2019</v>
      </c>
      <c r="F285" s="54" t="str">
        <f ca="1">VLOOKUP(B285,'ALL DATABASES'!$A$1:$T$2252,14,FALSE)</f>
        <v>https://doi.org/10.1109/TechDebt.2019.00027;http://dx.doi.org/10.1109/TechDebt.2019.00027</v>
      </c>
      <c r="G285" s="15" t="str">
        <f ca="1">VLOOKUP(B285,'ALL DATABASES'!$A$1:$T$2252,3,FALSE)</f>
        <v>Conference Paper</v>
      </c>
      <c r="H285" s="50" t="str">
        <f ca="1">VLOOKUP(B285,'ALL DATABASES'!$A$1:$T$2252,20,FALSE)</f>
        <v>ACM</v>
      </c>
    </row>
    <row r="286" spans="1:8" ht="12.75" x14ac:dyDescent="0.2">
      <c r="A286">
        <v>285</v>
      </c>
      <c r="B286" s="15" t="str">
        <f ca="1">IFERROR(__xludf.DUMMYFUNCTION("""COMPUTED_VALUE"""),"Architectural technical debt of multiagent systems development platforms")</f>
        <v>Architectural technical debt of multiagent systems development platforms</v>
      </c>
      <c r="C286" s="15" t="str">
        <f ca="1">VLOOKUP(B286,'ALL DATABASES'!$A$1:$T$2252,2,FALSE)</f>
        <v>Pigazzini I,Briola D,Fontana FA</v>
      </c>
      <c r="D286" s="15">
        <f ca="1">VLOOKUP(B286,'ALL DATABASES'!$A$1:$T$2252,5,FALSE)</f>
        <v>2021</v>
      </c>
      <c r="E286" s="15">
        <f ca="1">VLOOKUP(B286,'ALL DATABASES'!$A$1:$T$2252,10,FALSE)</f>
        <v>2021</v>
      </c>
      <c r="F286" s="54" t="str">
        <f ca="1">VLOOKUP(B286,'ALL DATABASES'!$A$1:$T$2252,14,FALSE)</f>
        <v>https://www.scopus.com/inward/record.uri?eid=2-s2.0-85116898427&amp;partnerID=40&amp;md5=040f1845b6770ddecad9feac2bc6ea4b</v>
      </c>
      <c r="G286" s="15" t="str">
        <f ca="1">VLOOKUP(B286,'ALL DATABASES'!$A$1:$T$2252,3,FALSE)</f>
        <v>Conference Paper</v>
      </c>
      <c r="H286" s="50" t="str">
        <f ca="1">VLOOKUP(B286,'ALL DATABASES'!$A$1:$T$2252,20,FALSE)</f>
        <v>SCOPUS</v>
      </c>
    </row>
    <row r="287" spans="1:8" ht="12.75" x14ac:dyDescent="0.2">
      <c r="A287">
        <v>286</v>
      </c>
      <c r="B287" s="15" t="str">
        <f ca="1">IFERROR(__xludf.DUMMYFUNCTION("""COMPUTED_VALUE"""),"Architecture Anti-Patterns: Automatically Detectable Violations of Design Principles")</f>
        <v>Architecture Anti-Patterns: Automatically Detectable Violations of Design Principles</v>
      </c>
      <c r="C287" s="15" t="str">
        <f ca="1">VLOOKUP(B287,'ALL DATABASES'!$A$1:$T$2252,2,FALSE)</f>
        <v>Mo R,Cai Y,Kazman R,Xiao L,Feng Q</v>
      </c>
      <c r="D287" s="15">
        <f ca="1">VLOOKUP(B287,'ALL DATABASES'!$A$1:$T$2252,5,FALSE)</f>
        <v>2021</v>
      </c>
      <c r="E287" s="55">
        <f ca="1">VLOOKUP(B287,'ALL DATABASES'!$A$1:$T$2252,10,FALSE)</f>
        <v>44317</v>
      </c>
      <c r="F287" s="54" t="str">
        <f ca="1">VLOOKUP(B287,'ALL DATABASES'!$A$1:$T$2252,14,FALSE)</f>
        <v>http://dx.doi.org/10.1109/TSE.2019.2910856</v>
      </c>
      <c r="G287" s="15" t="str">
        <f ca="1">VLOOKUP(B287,'ALL DATABASES'!$A$1:$T$2252,3,FALSE)</f>
        <v>Journal Article</v>
      </c>
      <c r="H287" s="50" t="str">
        <f ca="1">VLOOKUP(B287,'ALL DATABASES'!$A$1:$T$2252,20,FALSE)</f>
        <v>IEEE</v>
      </c>
    </row>
    <row r="288" spans="1:8" ht="12.75" x14ac:dyDescent="0.2">
      <c r="A288">
        <v>287</v>
      </c>
      <c r="B288" s="15" t="str">
        <f ca="1">IFERROR(__xludf.DUMMYFUNCTION("""COMPUTED_VALUE"""),"Architecture consistency: State of the practice, challenges and requirements")</f>
        <v>Architecture consistency: State of the practice, challenges and requirements</v>
      </c>
      <c r="C288" s="15" t="str">
        <f ca="1">VLOOKUP(B288,'ALL DATABASES'!$A$1:$T$2252,2,FALSE)</f>
        <v>Nour AliSean BakerRoss Oâ€™CrowleySebastian HeroldJim Buckley</v>
      </c>
      <c r="D288" s="15">
        <f ca="1">VLOOKUP(B288,'ALL DATABASES'!$A$1:$T$2252,5,FALSE)</f>
        <v>2018</v>
      </c>
      <c r="E288" s="15">
        <f ca="1">VLOOKUP(B288,'ALL DATABASES'!$A$1:$T$2252,10,FALSE)</f>
        <v>0</v>
      </c>
      <c r="F288" s="54" t="str">
        <f ca="1">VLOOKUP(B288,'ALL DATABASES'!$A$1:$T$2252,14,FALSE)</f>
        <v>http://link.springer.com/article/10.1007/s10664-017-9515-3</v>
      </c>
      <c r="G288" s="15" t="str">
        <f ca="1">VLOOKUP(B288,'ALL DATABASES'!$A$1:$T$2252,3,FALSE)</f>
        <v>Article</v>
      </c>
      <c r="H288" s="50" t="str">
        <f ca="1">VLOOKUP(B288,'ALL DATABASES'!$A$1:$T$2252,20,FALSE)</f>
        <v>SPRINGER</v>
      </c>
    </row>
    <row r="289" spans="1:8" ht="12.75" x14ac:dyDescent="0.2">
      <c r="A289">
        <v>288</v>
      </c>
      <c r="B289" s="15" t="str">
        <f ca="1">IFERROR(__xludf.DUMMYFUNCTION("""COMPUTED_VALUE"""),"ArduCode: Predictive Framework for Automation Engineering")</f>
        <v>ArduCode: Predictive Framework for Automation Engineering</v>
      </c>
      <c r="C289" s="15" t="str">
        <f ca="1">VLOOKUP(B289,'ALL DATABASES'!$A$1:$T$2252,2,FALSE)</f>
        <v>Canedo A,Goyal P,Huang D,Pandey A,Quiros G</v>
      </c>
      <c r="D289" s="15">
        <f ca="1">VLOOKUP(B289,'ALL DATABASES'!$A$1:$T$2252,5,FALSE)</f>
        <v>2021</v>
      </c>
      <c r="E289" s="55">
        <f ca="1">VLOOKUP(B289,'ALL DATABASES'!$A$1:$T$2252,10,FALSE)</f>
        <v>44378</v>
      </c>
      <c r="F289" s="54" t="str">
        <f ca="1">VLOOKUP(B289,'ALL DATABASES'!$A$1:$T$2252,14,FALSE)</f>
        <v>http://dx.doi.org/10.1109/TASE.2020.3008055</v>
      </c>
      <c r="G289" s="15" t="str">
        <f ca="1">VLOOKUP(B289,'ALL DATABASES'!$A$1:$T$2252,3,FALSE)</f>
        <v>Journal Article</v>
      </c>
      <c r="H289" s="50" t="str">
        <f ca="1">VLOOKUP(B289,'ALL DATABASES'!$A$1:$T$2252,20,FALSE)</f>
        <v>IEEE</v>
      </c>
    </row>
    <row r="290" spans="1:8" ht="12.75" x14ac:dyDescent="0.2">
      <c r="A290">
        <v>289</v>
      </c>
      <c r="B290" s="15" t="str">
        <f ca="1">IFERROR(__xludf.DUMMYFUNCTION("""COMPUTED_VALUE"""),"Are architectural smells independent from code smells? An empirical study")</f>
        <v>Are architectural smells independent from code smells? An empirical study</v>
      </c>
      <c r="C290" s="15" t="str">
        <f ca="1">VLOOKUP(B290,'ALL DATABASES'!$A$1:$T$2252,2,FALSE)</f>
        <v>Arcelli Fontana F,Lenarduzzi V,Roveda R,Taibi D</v>
      </c>
      <c r="D290" s="15">
        <f ca="1">VLOOKUP(B290,'ALL DATABASES'!$A$1:$T$2252,5,FALSE)</f>
        <v>2019</v>
      </c>
      <c r="E290" s="15">
        <f ca="1">VLOOKUP(B290,'ALL DATABASES'!$A$1:$T$2252,10,FALSE)</f>
        <v>2019</v>
      </c>
      <c r="F290" s="54" t="str">
        <f ca="1">VLOOKUP(B290,'ALL DATABASES'!$A$1:$T$2252,14,FALSE)</f>
        <v>https://www.sciencedirect.com/science/article/pii/S0164121219301013;http://dx.doi.org/10.1016/j.jss.2019.04.066</v>
      </c>
      <c r="G290" s="15" t="str">
        <f ca="1">VLOOKUP(B290,'ALL DATABASES'!$A$1:$T$2252,3,FALSE)</f>
        <v>Journal Article</v>
      </c>
      <c r="H290" s="50" t="str">
        <f ca="1">VLOOKUP(B290,'ALL DATABASES'!$A$1:$T$2252,20,FALSE)</f>
        <v>SCIENCEDIRECT</v>
      </c>
    </row>
    <row r="291" spans="1:8" ht="12.75" x14ac:dyDescent="0.2">
      <c r="A291">
        <v>290</v>
      </c>
      <c r="B291" s="15" t="str">
        <f ca="1">IFERROR(__xludf.DUMMYFUNCTION("""COMPUTED_VALUE"""),"Are Code Smells the Root Cause of Faults? A Continuous Experimentation Approach")</f>
        <v>Are Code Smells the Root Cause of Faults? A Continuous Experimentation Approach</v>
      </c>
      <c r="C291" s="15" t="str">
        <f ca="1">VLOOKUP(B291,'ALL DATABASES'!$A$1:$T$2252,2,FALSE)</f>
        <v>Pellegrini L,Lenarduzzi V</v>
      </c>
      <c r="D291" s="15">
        <f ca="1">VLOOKUP(B291,'ALL DATABASES'!$A$1:$T$2252,5,FALSE)</f>
        <v>2018</v>
      </c>
      <c r="E291" s="15">
        <f ca="1">VLOOKUP(B291,'ALL DATABASES'!$A$1:$T$2252,10,FALSE)</f>
        <v>2018</v>
      </c>
      <c r="F291" s="54" t="str">
        <f ca="1">VLOOKUP(B291,'ALL DATABASES'!$A$1:$T$2252,14,FALSE)</f>
        <v>https://doi.org/10.1145/3234152.3234153;http://dx.doi.org/10.1145/3234152.3234153</v>
      </c>
      <c r="G291" s="15" t="str">
        <f ca="1">VLOOKUP(B291,'ALL DATABASES'!$A$1:$T$2252,3,FALSE)</f>
        <v>Conference Paper</v>
      </c>
      <c r="H291" s="50" t="str">
        <f ca="1">VLOOKUP(B291,'ALL DATABASES'!$A$1:$T$2252,20,FALSE)</f>
        <v>ACM</v>
      </c>
    </row>
    <row r="292" spans="1:8" ht="12.75" x14ac:dyDescent="0.2">
      <c r="A292">
        <v>291</v>
      </c>
      <c r="B292" s="15" t="str">
        <f ca="1">IFERROR(__xludf.DUMMYFUNCTION("""COMPUTED_VALUE"""),"Are key-foreign key joins safe to avoid when learning high-capacity classifiers?")</f>
        <v>Are key-foreign key joins safe to avoid when learning high-capacity classifiers?</v>
      </c>
      <c r="C292" s="15" t="str">
        <f ca="1">VLOOKUP(B292,'ALL DATABASES'!$A$1:$T$2252,2,FALSE)</f>
        <v>Shah V,Kumar A,Zhu X</v>
      </c>
      <c r="D292" s="15">
        <f ca="1">VLOOKUP(B292,'ALL DATABASES'!$A$1:$T$2252,5,FALSE)</f>
        <v>2017</v>
      </c>
      <c r="E292" s="15">
        <f ca="1">VLOOKUP(B292,'ALL DATABASES'!$A$1:$T$2252,10,FALSE)</f>
        <v>2017</v>
      </c>
      <c r="F292" s="54" t="str">
        <f ca="1">VLOOKUP(B292,'ALL DATABASES'!$A$1:$T$2252,14,FALSE)</f>
        <v>https://www.scopus.com/inward/record.uri?eid=2-s2.0-85049422618&amp;doi=10.14778%2f3157794.3157804&amp;partnerID=40&amp;md5=57f4ef15de69da4d16c276b1eb7715b4;http://dx.doi.org/10.14778/3157794.3157804</v>
      </c>
      <c r="G292" s="15" t="str">
        <f ca="1">VLOOKUP(B292,'ALL DATABASES'!$A$1:$T$2252,3,FALSE)</f>
        <v>Conference Paper</v>
      </c>
      <c r="H292" s="50" t="str">
        <f ca="1">VLOOKUP(B292,'ALL DATABASES'!$A$1:$T$2252,20,FALSE)</f>
        <v>SCOPUS</v>
      </c>
    </row>
    <row r="293" spans="1:8" ht="12.75" x14ac:dyDescent="0.2">
      <c r="A293">
        <v>292</v>
      </c>
      <c r="B293" s="15" t="str">
        <f ca="1">IFERROR(__xludf.DUMMYFUNCTION("""COMPUTED_VALUE"""),"Are machine programming systems using right source-code measures to select code repositories?")</f>
        <v>Are machine programming systems using right source-code measures to select code repositories?</v>
      </c>
      <c r="C293" s="15" t="str">
        <f ca="1">VLOOKUP(B293,'ALL DATABASES'!$A$1:$T$2252,2,FALSE)</f>
        <v>Hasabnis N</v>
      </c>
      <c r="D293" s="15">
        <f ca="1">VLOOKUP(B293,'ALL DATABASES'!$A$1:$T$2252,5,FALSE)</f>
        <v>2022</v>
      </c>
      <c r="E293" s="15">
        <f ca="1">VLOOKUP(B293,'ALL DATABASES'!$A$1:$T$2252,10,FALSE)</f>
        <v>2022</v>
      </c>
      <c r="F293" s="54" t="str">
        <f ca="1">VLOOKUP(B293,'ALL DATABASES'!$A$1:$T$2252,14,FALSE)</f>
        <v>https://www.scopus.com/inward/record.uri?eid=2-s2.0-85143196742&amp;doi=10.1145%2f3549034.3561176&amp;partnerID=40&amp;md5=01ede058d4a352799db0aba344a26716;http://dx.doi.org/10.1145/3549034.3561176</v>
      </c>
      <c r="G293" s="15" t="str">
        <f ca="1">VLOOKUP(B293,'ALL DATABASES'!$A$1:$T$2252,3,FALSE)</f>
        <v>Conference Paper</v>
      </c>
      <c r="H293" s="50" t="str">
        <f ca="1">VLOOKUP(B293,'ALL DATABASES'!$A$1:$T$2252,20,FALSE)</f>
        <v>SCOPUS</v>
      </c>
    </row>
    <row r="294" spans="1:8" ht="12.75" x14ac:dyDescent="0.2">
      <c r="A294">
        <v>293</v>
      </c>
      <c r="B294" s="15" t="str">
        <f ca="1">IFERROR(__xludf.DUMMYFUNCTION("""COMPUTED_VALUE"""),"Are SonarQube Rules Inducing Bugs?")</f>
        <v>Are SonarQube Rules Inducing Bugs?</v>
      </c>
      <c r="C294" s="15" t="str">
        <f ca="1">VLOOKUP(B294,'ALL DATABASES'!$A$1:$T$2252,2,FALSE)</f>
        <v>Lenarduzzi V,Lomio F,Huttunen H,Taibi D</v>
      </c>
      <c r="D294" s="15">
        <f ca="1">VLOOKUP(B294,'ALL DATABASES'!$A$1:$T$2252,5,FALSE)</f>
        <v>2020</v>
      </c>
      <c r="E294" s="15">
        <f ca="1">VLOOKUP(B294,'ALL DATABASES'!$A$1:$T$2252,10,FALSE)</f>
        <v>2020</v>
      </c>
      <c r="F294" s="54" t="str">
        <f ca="1">VLOOKUP(B294,'ALL DATABASES'!$A$1:$T$2252,14,FALSE)</f>
        <v>https://www.scopus.com/inward/record.uri?eid=2-s2.0-85083565109&amp;doi=10.1109%2fSANER48275.2020.9054821&amp;partnerID=40&amp;md5=b02e9d84c6eb93fb5ccd9db67d59ae6b;http://dx.doi.org/10.1109/SANER48275.2020.9054821</v>
      </c>
      <c r="G294" s="15" t="str">
        <f ca="1">VLOOKUP(B294,'ALL DATABASES'!$A$1:$T$2252,3,FALSE)</f>
        <v>Conference Paper</v>
      </c>
      <c r="H294" s="50" t="str">
        <f ca="1">VLOOKUP(B294,'ALL DATABASES'!$A$1:$T$2252,20,FALSE)</f>
        <v>SCOPUS</v>
      </c>
    </row>
    <row r="295" spans="1:8" ht="12.75" x14ac:dyDescent="0.2">
      <c r="A295">
        <v>294</v>
      </c>
      <c r="B295" s="15" t="str">
        <f ca="1">IFERROR(__xludf.DUMMYFUNCTION("""COMPUTED_VALUE"""),"Are We Building on the Rock? On the Importance of Data Preprocessing for Code Summarization")</f>
        <v>Are We Building on the Rock? On the Importance of Data Preprocessing for Code Summarization</v>
      </c>
      <c r="C295" s="15" t="str">
        <f ca="1">VLOOKUP(B295,'ALL DATABASES'!$A$1:$T$2252,2,FALSE)</f>
        <v>Shi L,Mu F,Chen X,Wang S,Wang J,Yang Y,Li G,Xia X,Wang Q</v>
      </c>
      <c r="D295" s="15">
        <f ca="1">VLOOKUP(B295,'ALL DATABASES'!$A$1:$T$2252,5,FALSE)</f>
        <v>2022</v>
      </c>
      <c r="E295" s="15">
        <f ca="1">VLOOKUP(B295,'ALL DATABASES'!$A$1:$T$2252,10,FALSE)</f>
        <v>2022</v>
      </c>
      <c r="F295" s="54" t="str">
        <f ca="1">VLOOKUP(B295,'ALL DATABASES'!$A$1:$T$2252,14,FALSE)</f>
        <v>https://doi.org/10.1145/3540250.3549145;http://dx.doi.org/10.1145/3540250.3549145</v>
      </c>
      <c r="G295" s="15" t="str">
        <f ca="1">VLOOKUP(B295,'ALL DATABASES'!$A$1:$T$2252,3,FALSE)</f>
        <v>Conference Paper</v>
      </c>
      <c r="H295" s="50" t="str">
        <f ca="1">VLOOKUP(B295,'ALL DATABASES'!$A$1:$T$2252,20,FALSE)</f>
        <v>ACM</v>
      </c>
    </row>
    <row r="296" spans="1:8" ht="12.75" x14ac:dyDescent="0.2">
      <c r="A296">
        <v>295</v>
      </c>
      <c r="B296" s="15" t="str">
        <f ca="1">IFERROR(__xludf.DUMMYFUNCTION("""COMPUTED_VALUE"""),"Are you smelling it? Investigating how similar developers detect code smells")</f>
        <v>Are you smelling it? Investigating how similar developers detect code smells</v>
      </c>
      <c r="C296" s="15" t="str">
        <f ca="1">VLOOKUP(B296,'ALL DATABASES'!$A$1:$T$2252,2,FALSE)</f>
        <v>Hozano M,Garcia A,Fonseca B,Costa E</v>
      </c>
      <c r="D296" s="15">
        <f ca="1">VLOOKUP(B296,'ALL DATABASES'!$A$1:$T$2252,5,FALSE)</f>
        <v>2018</v>
      </c>
      <c r="E296" s="15">
        <f ca="1">VLOOKUP(B296,'ALL DATABASES'!$A$1:$T$2252,10,FALSE)</f>
        <v>2018</v>
      </c>
      <c r="F296" s="54" t="str">
        <f ca="1">VLOOKUP(B296,'ALL DATABASES'!$A$1:$T$2252,14,FALSE)</f>
        <v>https://www.scopus.com/inward/record.uri?eid=2-s2.0-85029407321&amp;doi=10.1016%2fj.infsof.2017.09.002&amp;partnerID=40&amp;md5=23f8be5aca5b325a3bf15eff80767dcb;http://dx.doi.org/10.1016/j.infsof.2017.09.002</v>
      </c>
      <c r="G296" s="15" t="str">
        <f ca="1">VLOOKUP(B296,'ALL DATABASES'!$A$1:$T$2252,3,FALSE)</f>
        <v>Journal Article</v>
      </c>
      <c r="H296" s="50" t="str">
        <f ca="1">VLOOKUP(B296,'ALL DATABASES'!$A$1:$T$2252,20,FALSE)</f>
        <v>SCOPUS</v>
      </c>
    </row>
    <row r="297" spans="1:8" ht="12.75" x14ac:dyDescent="0.2">
      <c r="A297">
        <v>296</v>
      </c>
      <c r="B297" s="15" t="str">
        <f ca="1">IFERROR(__xludf.DUMMYFUNCTION("""COMPUTED_VALUE"""),"ARES '22: Proceedings of the 17th International Conference on Availability, Reliability and Security")</f>
        <v>ARES '22: Proceedings of the 17th International Conference on Availability, Reliability and Security</v>
      </c>
      <c r="C297" s="15">
        <f ca="1">VLOOKUP(B297,'ALL DATABASES'!$A$1:$T$2252,2,FALSE)</f>
        <v>0</v>
      </c>
      <c r="D297" s="15">
        <f ca="1">VLOOKUP(B297,'ALL DATABASES'!$A$1:$T$2252,5,FALSE)</f>
        <v>2022</v>
      </c>
      <c r="E297" s="15">
        <f ca="1">VLOOKUP(B297,'ALL DATABASES'!$A$1:$T$2252,10,FALSE)</f>
        <v>2022</v>
      </c>
      <c r="F297" s="15">
        <f ca="1">VLOOKUP(B297,'ALL DATABASES'!$A$1:$T$2252,14,FALSE)</f>
        <v>0</v>
      </c>
      <c r="G297" s="15" t="str">
        <f ca="1">VLOOKUP(B297,'ALL DATABASES'!$A$1:$T$2252,3,FALSE)</f>
        <v>Book</v>
      </c>
      <c r="H297" s="50" t="str">
        <f ca="1">VLOOKUP(B297,'ALL DATABASES'!$A$1:$T$2252,20,FALSE)</f>
        <v>ACM</v>
      </c>
    </row>
    <row r="298" spans="1:8" ht="12.75" x14ac:dyDescent="0.2">
      <c r="A298">
        <v>297</v>
      </c>
      <c r="B298" s="15" t="str">
        <f ca="1">IFERROR(__xludf.DUMMYFUNCTION("""COMPUTED_VALUE"""),"Armament, Arms Control and Artificial Intelligence")</f>
        <v>Armament, Arms Control and Artificial Intelligence</v>
      </c>
      <c r="C298" s="15" t="str">
        <f ca="1">VLOOKUP(B298,'ALL DATABASES'!$A$1:$T$2252,2,FALSE)</f>
        <v>Thomas ReinholdNiklas SchÃ¶rnig</v>
      </c>
      <c r="D298" s="15">
        <f ca="1">VLOOKUP(B298,'ALL DATABASES'!$A$1:$T$2252,5,FALSE)</f>
        <v>2022</v>
      </c>
      <c r="E298" s="15">
        <f ca="1">VLOOKUP(B298,'ALL DATABASES'!$A$1:$T$2252,10,FALSE)</f>
        <v>0</v>
      </c>
      <c r="F298" s="54" t="str">
        <f ca="1">VLOOKUP(B298,'ALL DATABASES'!$A$1:$T$2252,14,FALSE)</f>
        <v>http://link.springer.com/book/10.1007/978-3-031-11043-6</v>
      </c>
      <c r="G298" s="15" t="str">
        <f ca="1">VLOOKUP(B298,'ALL DATABASES'!$A$1:$T$2252,3,FALSE)</f>
        <v>Book</v>
      </c>
      <c r="H298" s="50" t="str">
        <f ca="1">VLOOKUP(B298,'ALL DATABASES'!$A$1:$T$2252,20,FALSE)</f>
        <v>SPRINGER</v>
      </c>
    </row>
    <row r="299" spans="1:8" ht="12.75" x14ac:dyDescent="0.2">
      <c r="A299">
        <v>298</v>
      </c>
      <c r="B299" s="15" t="str">
        <f ca="1">IFERROR(__xludf.DUMMYFUNCTION("""COMPUTED_VALUE"""),"Artifact and reference models for generative machine learning frameworks and build systems")</f>
        <v>Artifact and reference models for generative machine learning frameworks and build systems</v>
      </c>
      <c r="C299" s="15" t="str">
        <f ca="1">VLOOKUP(B299,'ALL DATABASES'!$A$1:$T$2252,2,FALSE)</f>
        <v>Atouani A,Kirchhof JC,Kusmenko E,Rumpe B</v>
      </c>
      <c r="D299" s="15">
        <f ca="1">VLOOKUP(B299,'ALL DATABASES'!$A$1:$T$2252,5,FALSE)</f>
        <v>2021</v>
      </c>
      <c r="E299" s="15">
        <f ca="1">VLOOKUP(B299,'ALL DATABASES'!$A$1:$T$2252,10,FALSE)</f>
        <v>2021</v>
      </c>
      <c r="F299" s="54" t="str">
        <f ca="1">VLOOKUP(B299,'ALL DATABASES'!$A$1:$T$2252,14,FALSE)</f>
        <v>https://www.scopus.com/inward/record.uri?eid=2-s2.0-85120851738&amp;doi=10.1145%2f3486609.3487199&amp;partnerID=40&amp;md5=27f2355ad1f01d8ae15538d7647a3068;http://dx.doi.org/10.1145/3486609.3487199</v>
      </c>
      <c r="G299" s="15" t="str">
        <f ca="1">VLOOKUP(B299,'ALL DATABASES'!$A$1:$T$2252,3,FALSE)</f>
        <v>Conference Paper</v>
      </c>
      <c r="H299" s="50" t="str">
        <f ca="1">VLOOKUP(B299,'ALL DATABASES'!$A$1:$T$2252,20,FALSE)</f>
        <v>SCOPUS</v>
      </c>
    </row>
    <row r="300" spans="1:8" ht="12.75" x14ac:dyDescent="0.2">
      <c r="A300">
        <v>299</v>
      </c>
      <c r="B300" s="15" t="str">
        <f ca="1">IFERROR(__xludf.DUMMYFUNCTION("""COMPUTED_VALUE"""),"Artificial Intelligence and Deep Learning Applications for Automotive Manufacturing")</f>
        <v>Artificial Intelligence and Deep Learning Applications for Automotive Manufacturing</v>
      </c>
      <c r="C300" s="15" t="str">
        <f ca="1">VLOOKUP(B300,'ALL DATABASES'!$A$1:$T$2252,2,FALSE)</f>
        <v>Luckow A,Kennedy K,Ziolkowski M,Djerekarov E,Cook M,Duffy E,Schleiss M,Vorster B,Weill E,Kulshrestha A,Smith MC</v>
      </c>
      <c r="D300" s="15">
        <f ca="1">VLOOKUP(B300,'ALL DATABASES'!$A$1:$T$2252,5,FALSE)</f>
        <v>2018</v>
      </c>
      <c r="E300" s="53">
        <f ca="1">VLOOKUP(B300,'ALL DATABASES'!$A$1:$T$2252,10,FALSE)</f>
        <v>43435</v>
      </c>
      <c r="F300" s="54" t="str">
        <f ca="1">VLOOKUP(B300,'ALL DATABASES'!$A$1:$T$2252,14,FALSE)</f>
        <v>http://dx.doi.org/10.1109/BigData.2018.8622357</v>
      </c>
      <c r="G300" s="15" t="str">
        <f ca="1">VLOOKUP(B300,'ALL DATABASES'!$A$1:$T$2252,3,FALSE)</f>
        <v>Conference Paper</v>
      </c>
      <c r="H300" s="50" t="str">
        <f ca="1">VLOOKUP(B300,'ALL DATABASES'!$A$1:$T$2252,20,FALSE)</f>
        <v>IEEE</v>
      </c>
    </row>
    <row r="301" spans="1:8" ht="12.75" x14ac:dyDescent="0.2">
      <c r="A301">
        <v>300</v>
      </c>
      <c r="B301" s="15" t="str">
        <f ca="1">IFERROR(__xludf.DUMMYFUNCTION("""COMPUTED_VALUE"""),"Artificial Intelligence Ecosystem, Techniques, and Use Cases")</f>
        <v>Artificial Intelligence Ecosystem, Techniques, and Use Cases</v>
      </c>
      <c r="C301" s="15" t="str">
        <f ca="1">VLOOKUP(B301,'ALL DATABASES'!$A$1:$T$2252,2,FALSE)</f>
        <v>Haesik Kim</v>
      </c>
      <c r="D301" s="15">
        <f ca="1">VLOOKUP(B301,'ALL DATABASES'!$A$1:$T$2252,5,FALSE)</f>
        <v>2022</v>
      </c>
      <c r="E301" s="15">
        <f ca="1">VLOOKUP(B301,'ALL DATABASES'!$A$1:$T$2252,10,FALSE)</f>
        <v>0</v>
      </c>
      <c r="F301" s="54" t="str">
        <f ca="1">VLOOKUP(B301,'ALL DATABASES'!$A$1:$T$2252,14,FALSE)</f>
        <v>http://link.springer.com/chapter/10.1007/978-3-030-95041-5_2</v>
      </c>
      <c r="G301" s="15" t="str">
        <f ca="1">VLOOKUP(B301,'ALL DATABASES'!$A$1:$T$2252,3,FALSE)</f>
        <v>Chapter</v>
      </c>
      <c r="H301" s="50" t="str">
        <f ca="1">VLOOKUP(B301,'ALL DATABASES'!$A$1:$T$2252,20,FALSE)</f>
        <v>SPRINGER</v>
      </c>
    </row>
    <row r="302" spans="1:8" ht="12.75" x14ac:dyDescent="0.2">
      <c r="A302">
        <v>301</v>
      </c>
      <c r="B302" s="15" t="str">
        <f ca="1">IFERROR(__xludf.DUMMYFUNCTION("""COMPUTED_VALUE"""),"Artificial Intelligence for 6G")</f>
        <v>Artificial Intelligence for 6G</v>
      </c>
      <c r="C302" s="15" t="str">
        <f ca="1">VLOOKUP(B302,'ALL DATABASES'!$A$1:$T$2252,2,FALSE)</f>
        <v>Dr. Haesik Kim</v>
      </c>
      <c r="D302" s="15">
        <f ca="1">VLOOKUP(B302,'ALL DATABASES'!$A$1:$T$2252,5,FALSE)</f>
        <v>2022</v>
      </c>
      <c r="E302" s="15">
        <f ca="1">VLOOKUP(B302,'ALL DATABASES'!$A$1:$T$2252,10,FALSE)</f>
        <v>0</v>
      </c>
      <c r="F302" s="54" t="str">
        <f ca="1">VLOOKUP(B302,'ALL DATABASES'!$A$1:$T$2252,14,FALSE)</f>
        <v>http://link.springer.com/book/10.1007/978-3-030-95041-5</v>
      </c>
      <c r="G302" s="15" t="str">
        <f ca="1">VLOOKUP(B302,'ALL DATABASES'!$A$1:$T$2252,3,FALSE)</f>
        <v>Book</v>
      </c>
      <c r="H302" s="50" t="str">
        <f ca="1">VLOOKUP(B302,'ALL DATABASES'!$A$1:$T$2252,20,FALSE)</f>
        <v>SPRINGER</v>
      </c>
    </row>
    <row r="303" spans="1:8" ht="12.75" x14ac:dyDescent="0.2">
      <c r="A303">
        <v>302</v>
      </c>
      <c r="B303" s="15" t="str">
        <f ca="1">IFERROR(__xludf.DUMMYFUNCTION("""COMPUTED_VALUE"""),"Artificial Intelligence for Healthcare in Africa")</f>
        <v>Artificial Intelligence for Healthcare in Africa</v>
      </c>
      <c r="C303" s="15" t="str">
        <f ca="1">VLOOKUP(B303,'ALL DATABASES'!$A$1:$T$2252,2,FALSE)</f>
        <v>Owoyemi A,Owoyemi J,Osiyemi A,Boyd A</v>
      </c>
      <c r="D303" s="15">
        <f ca="1">VLOOKUP(B303,'ALL DATABASES'!$A$1:$T$2252,5,FALSE)</f>
        <v>2020</v>
      </c>
      <c r="E303" s="15">
        <f ca="1">VLOOKUP(B303,'ALL DATABASES'!$A$1:$T$2252,10,FALSE)</f>
        <v>2020</v>
      </c>
      <c r="F303" s="54" t="str">
        <f ca="1">VLOOKUP(B303,'ALL DATABASES'!$A$1:$T$2252,14,FALSE)</f>
        <v>https://www.scopus.com/inward/record.uri?eid=2-s2.0-85107656276&amp;doi=10.3389%2ffdgth.2020.00006&amp;partnerID=40&amp;md5=f5f9b176b6b4749f42ec0333ec53be7e;http://dx.doi.org/10.3389/fdgth.2020.00006</v>
      </c>
      <c r="G303" s="15" t="str">
        <f ca="1">VLOOKUP(B303,'ALL DATABASES'!$A$1:$T$2252,3,FALSE)</f>
        <v>Journal Article</v>
      </c>
      <c r="H303" s="50" t="str">
        <f ca="1">VLOOKUP(B303,'ALL DATABASES'!$A$1:$T$2252,20,FALSE)</f>
        <v>SCOPUS</v>
      </c>
    </row>
    <row r="304" spans="1:8" ht="12.75" x14ac:dyDescent="0.2">
      <c r="A304">
        <v>303</v>
      </c>
      <c r="B304" s="15" t="str">
        <f ca="1">IFERROR(__xludf.DUMMYFUNCTION("""COMPUTED_VALUE"""),"Artificial Intelligence in Pathology: From Prototype to Product")</f>
        <v>Artificial Intelligence in Pathology: From Prototype to Product</v>
      </c>
      <c r="C304" s="15" t="str">
        <f ca="1">VLOOKUP(B304,'ALL DATABASES'!$A$1:$T$2252,2,FALSE)</f>
        <v>Homeyer A,Lotz J,Schwen LO,Weiss N,Romberg D,Höfener H,Zerbe N,Hufnagl P</v>
      </c>
      <c r="D304" s="15">
        <f ca="1">VLOOKUP(B304,'ALL DATABASES'!$A$1:$T$2252,5,FALSE)</f>
        <v>2021</v>
      </c>
      <c r="E304" s="15">
        <f ca="1">VLOOKUP(B304,'ALL DATABASES'!$A$1:$T$2252,10,FALSE)</f>
        <v>2021</v>
      </c>
      <c r="F304" s="54" t="str">
        <f ca="1">VLOOKUP(B304,'ALL DATABASES'!$A$1:$T$2252,14,FALSE)</f>
        <v>https://www.sciencedirect.com/science/article/pii/S2153353922001353;http://dx.doi.org/10.4103/jpi.jpi_84_20</v>
      </c>
      <c r="G304" s="15" t="str">
        <f ca="1">VLOOKUP(B304,'ALL DATABASES'!$A$1:$T$2252,3,FALSE)</f>
        <v>Journal Article</v>
      </c>
      <c r="H304" s="50" t="str">
        <f ca="1">VLOOKUP(B304,'ALL DATABASES'!$A$1:$T$2252,20,FALSE)</f>
        <v>SCIENCEDIRECT</v>
      </c>
    </row>
    <row r="305" spans="1:8" ht="12.75" x14ac:dyDescent="0.2">
      <c r="A305">
        <v>304</v>
      </c>
      <c r="B305" s="15" t="str">
        <f ca="1">IFERROR(__xludf.DUMMYFUNCTION("""COMPUTED_VALUE"""),"Artificial Intelligence in Pharmacovigilance: An Introduction to Terms, Concepts, Applications, and Limitations")</f>
        <v>Artificial Intelligence in Pharmacovigilance: An Introduction to Terms, Concepts, Applications, and Limitations</v>
      </c>
      <c r="C305" s="15" t="str">
        <f ca="1">VLOOKUP(B305,'ALL DATABASES'!$A$1:$T$2252,2,FALSE)</f>
        <v>Jeffrey K. Aronson</v>
      </c>
      <c r="D305" s="15">
        <f ca="1">VLOOKUP(B305,'ALL DATABASES'!$A$1:$T$2252,5,FALSE)</f>
        <v>2022</v>
      </c>
      <c r="E305" s="15">
        <f ca="1">VLOOKUP(B305,'ALL DATABASES'!$A$1:$T$2252,10,FALSE)</f>
        <v>0</v>
      </c>
      <c r="F305" s="54" t="str">
        <f ca="1">VLOOKUP(B305,'ALL DATABASES'!$A$1:$T$2252,14,FALSE)</f>
        <v>http://link.springer.com/article/10.1007/s40264-022-01156-5</v>
      </c>
      <c r="G305" s="15" t="str">
        <f ca="1">VLOOKUP(B305,'ALL DATABASES'!$A$1:$T$2252,3,FALSE)</f>
        <v>Article</v>
      </c>
      <c r="H305" s="50" t="str">
        <f ca="1">VLOOKUP(B305,'ALL DATABASES'!$A$1:$T$2252,20,FALSE)</f>
        <v>SPRINGER</v>
      </c>
    </row>
    <row r="306" spans="1:8" ht="12.75" x14ac:dyDescent="0.2">
      <c r="A306">
        <v>305</v>
      </c>
      <c r="B306" s="15" t="str">
        <f ca="1">IFERROR(__xludf.DUMMYFUNCTION("""COMPUTED_VALUE"""),"Artificial Intelligence Meets Software Engineering in Computing Education")</f>
        <v>Artificial Intelligence Meets Software Engineering in Computing Education</v>
      </c>
      <c r="C306" s="15" t="str">
        <f ca="1">VLOOKUP(B306,'ALL DATABASES'!$A$1:$T$2252,2,FALSE)</f>
        <v>Kalles D</v>
      </c>
      <c r="D306" s="15">
        <f ca="1">VLOOKUP(B306,'ALL DATABASES'!$A$1:$T$2252,5,FALSE)</f>
        <v>2016</v>
      </c>
      <c r="E306" s="15">
        <f ca="1">VLOOKUP(B306,'ALL DATABASES'!$A$1:$T$2252,10,FALSE)</f>
        <v>2016</v>
      </c>
      <c r="F306" s="54" t="str">
        <f ca="1">VLOOKUP(B306,'ALL DATABASES'!$A$1:$T$2252,14,FALSE)</f>
        <v>https://doi.org/10.1145/2903220.2903223;http://dx.doi.org/10.1145/2903220.2903223</v>
      </c>
      <c r="G306" s="15" t="str">
        <f ca="1">VLOOKUP(B306,'ALL DATABASES'!$A$1:$T$2252,3,FALSE)</f>
        <v>Conference Paper</v>
      </c>
      <c r="H306" s="50" t="str">
        <f ca="1">VLOOKUP(B306,'ALL DATABASES'!$A$1:$T$2252,20,FALSE)</f>
        <v>ACM</v>
      </c>
    </row>
    <row r="307" spans="1:8" ht="12.75" x14ac:dyDescent="0.2">
      <c r="A307">
        <v>306</v>
      </c>
      <c r="B307" s="15" t="str">
        <f ca="1">IFERROR(__xludf.DUMMYFUNCTION("""COMPUTED_VALUE"""),"Artificial Intelligence Meets Software Engineering in the Classroom")</f>
        <v>Artificial Intelligence Meets Software Engineering in the Classroom</v>
      </c>
      <c r="C307" s="15" t="str">
        <f ca="1">VLOOKUP(B307,'ALL DATABASES'!$A$1:$T$2252,2,FALSE)</f>
        <v>Diosan L,Motogna S</v>
      </c>
      <c r="D307" s="15">
        <f ca="1">VLOOKUP(B307,'ALL DATABASES'!$A$1:$T$2252,5,FALSE)</f>
        <v>2019</v>
      </c>
      <c r="E307" s="15">
        <f ca="1">VLOOKUP(B307,'ALL DATABASES'!$A$1:$T$2252,10,FALSE)</f>
        <v>2019</v>
      </c>
      <c r="F307" s="54" t="str">
        <f ca="1">VLOOKUP(B307,'ALL DATABASES'!$A$1:$T$2252,14,FALSE)</f>
        <v>https://doi.org/10.1145/3340435.3342718;http://dx.doi.org/10.1145/3340435.3342718</v>
      </c>
      <c r="G307" s="15" t="str">
        <f ca="1">VLOOKUP(B307,'ALL DATABASES'!$A$1:$T$2252,3,FALSE)</f>
        <v>Conference Paper</v>
      </c>
      <c r="H307" s="50" t="str">
        <f ca="1">VLOOKUP(B307,'ALL DATABASES'!$A$1:$T$2252,20,FALSE)</f>
        <v>ACM</v>
      </c>
    </row>
    <row r="308" spans="1:8" ht="12.75" x14ac:dyDescent="0.2">
      <c r="A308">
        <v>307</v>
      </c>
      <c r="B308" s="15" t="str">
        <f ca="1">IFERROR(__xludf.DUMMYFUNCTION("""COMPUTED_VALUE"""),"Artificial Intelligence XXXIX")</f>
        <v>Artificial Intelligence XXXIX</v>
      </c>
      <c r="C308" s="15" t="str">
        <f ca="1">VLOOKUP(B308,'ALL DATABASES'!$A$1:$T$2252,2,FALSE)</f>
        <v>Max BramerFrederic Stahl</v>
      </c>
      <c r="D308" s="15">
        <f ca="1">VLOOKUP(B308,'ALL DATABASES'!$A$1:$T$2252,5,FALSE)</f>
        <v>2022</v>
      </c>
      <c r="E308" s="15">
        <f ca="1">VLOOKUP(B308,'ALL DATABASES'!$A$1:$T$2252,10,FALSE)</f>
        <v>0</v>
      </c>
      <c r="F308" s="54" t="str">
        <f ca="1">VLOOKUP(B308,'ALL DATABASES'!$A$1:$T$2252,14,FALSE)</f>
        <v>http://link.springer.com/book/10.1007/978-3-031-21441-7</v>
      </c>
      <c r="G308" s="15" t="str">
        <f ca="1">VLOOKUP(B308,'ALL DATABASES'!$A$1:$T$2252,3,FALSE)</f>
        <v>Book</v>
      </c>
      <c r="H308" s="50" t="str">
        <f ca="1">VLOOKUP(B308,'ALL DATABASES'!$A$1:$T$2252,20,FALSE)</f>
        <v>SPRINGER</v>
      </c>
    </row>
    <row r="309" spans="1:8" ht="12.75" x14ac:dyDescent="0.2">
      <c r="A309">
        <v>308</v>
      </c>
      <c r="B309" s="15" t="str">
        <f ca="1">IFERROR(__xludf.DUMMYFUNCTION("""COMPUTED_VALUE"""),"Artificial intelligence-enabled enterprise information systems")</f>
        <v>Artificial intelligence-enabled enterprise information systems</v>
      </c>
      <c r="C309" s="15" t="str">
        <f ca="1">VLOOKUP(B309,'ALL DATABASES'!$A$1:$T$2252,2,FALSE)</f>
        <v>Zdravković M,Panetto H</v>
      </c>
      <c r="D309" s="15">
        <f ca="1">VLOOKUP(B309,'ALL DATABASES'!$A$1:$T$2252,5,FALSE)</f>
        <v>2022</v>
      </c>
      <c r="E309" s="15">
        <f ca="1">VLOOKUP(B309,'ALL DATABASES'!$A$1:$T$2252,10,FALSE)</f>
        <v>2022</v>
      </c>
      <c r="F309" s="54" t="str">
        <f ca="1">VLOOKUP(B309,'ALL DATABASES'!$A$1:$T$2252,14,FALSE)</f>
        <v>https://www.scopus.com/inward/record.uri?eid=2-s2.0-85129589031&amp;doi=10.1080%2f17517575.2021.1973570&amp;partnerID=40&amp;md5=7623b2d60f5b16aa1d32b4fc8e3dbe7b;http://dx.doi.org/10.1080/17517575.2021.1973570</v>
      </c>
      <c r="G309" s="15" t="str">
        <f ca="1">VLOOKUP(B309,'ALL DATABASES'!$A$1:$T$2252,3,FALSE)</f>
        <v>Journal Article</v>
      </c>
      <c r="H309" s="50" t="str">
        <f ca="1">VLOOKUP(B309,'ALL DATABASES'!$A$1:$T$2252,20,FALSE)</f>
        <v>SCOPUS</v>
      </c>
    </row>
    <row r="310" spans="1:8" ht="12.75" x14ac:dyDescent="0.2">
      <c r="A310">
        <v>309</v>
      </c>
      <c r="B310" s="15" t="str">
        <f ca="1">IFERROR(__xludf.DUMMYFUNCTION("""COMPUTED_VALUE"""),"Artificial intelligence, cyber-threats and Industry 4.0: challenges and opportunities")</f>
        <v>Artificial intelligence, cyber-threats and Industry 4.0: challenges and opportunities</v>
      </c>
      <c r="C310" s="15" t="str">
        <f ca="1">VLOOKUP(B310,'ALL DATABASES'!$A$1:$T$2252,2,FALSE)</f>
        <v>Bécue A,Praça I,Gama J</v>
      </c>
      <c r="D310" s="15">
        <f ca="1">VLOOKUP(B310,'ALL DATABASES'!$A$1:$T$2252,5,FALSE)</f>
        <v>2021</v>
      </c>
      <c r="E310" s="15">
        <f ca="1">VLOOKUP(B310,'ALL DATABASES'!$A$1:$T$2252,10,FALSE)</f>
        <v>2021</v>
      </c>
      <c r="F310" s="54" t="str">
        <f ca="1">VLOOKUP(B310,'ALL DATABASES'!$A$1:$T$2252,14,FALSE)</f>
        <v>https://www.scopus.com/inward/record.uri?eid=2-s2.0-85100941930&amp;doi=10.1007%2fs10462-020-09942-2&amp;partnerID=40&amp;md5=7830d08c29f6505be6357f6ef3a80856;http://dx.doi.org/10.1007/s10462-020-09942-2</v>
      </c>
      <c r="G310" s="15" t="str">
        <f ca="1">VLOOKUP(B310,'ALL DATABASES'!$A$1:$T$2252,3,FALSE)</f>
        <v>Journal Article</v>
      </c>
      <c r="H310" s="50" t="str">
        <f ca="1">VLOOKUP(B310,'ALL DATABASES'!$A$1:$T$2252,20,FALSE)</f>
        <v>SCOPUS</v>
      </c>
    </row>
    <row r="311" spans="1:8" ht="12.75" x14ac:dyDescent="0.2">
      <c r="A311">
        <v>310</v>
      </c>
      <c r="B311" s="15" t="str">
        <f ca="1">IFERROR(__xludf.DUMMYFUNCTION("""COMPUTED_VALUE"""),"Artificial Neural Networks and Machine Learning â€“ ICANN 2022")</f>
        <v>Artificial Neural Networks and Machine Learning â€“ ICANN 2022</v>
      </c>
      <c r="C311" s="15" t="str">
        <f ca="1">VLOOKUP(B311,'ALL DATABASES'!$A$1:$T$2252,2,FALSE)</f>
        <v>Elias PimenidisPlamen AngelovChrisina JayneAntonios PapaleonidasMehmet Aydin</v>
      </c>
      <c r="D311" s="15">
        <f ca="1">VLOOKUP(B311,'ALL DATABASES'!$A$1:$T$2252,5,FALSE)</f>
        <v>2022</v>
      </c>
      <c r="E311" s="15">
        <f ca="1">VLOOKUP(B311,'ALL DATABASES'!$A$1:$T$2252,10,FALSE)</f>
        <v>0</v>
      </c>
      <c r="F311" s="54" t="str">
        <f ca="1">VLOOKUP(B311,'ALL DATABASES'!$A$1:$T$2252,14,FALSE)</f>
        <v>http://link.springer.com/book/10.1007/978-3-031-15919-0</v>
      </c>
      <c r="G311" s="15" t="str">
        <f ca="1">VLOOKUP(B311,'ALL DATABASES'!$A$1:$T$2252,3,FALSE)</f>
        <v>Book</v>
      </c>
      <c r="H311" s="50" t="str">
        <f ca="1">VLOOKUP(B311,'ALL DATABASES'!$A$1:$T$2252,20,FALSE)</f>
        <v>SPRINGER</v>
      </c>
    </row>
    <row r="312" spans="1:8" ht="12.75" x14ac:dyDescent="0.2">
      <c r="A312">
        <v>311</v>
      </c>
      <c r="B312" s="15" t="str">
        <f ca="1">IFERROR(__xludf.DUMMYFUNCTION("""COMPUTED_VALUE"""),"ASE '22: Proceedings of the 37th IEEE/ACM International Conference on Automated Software Engineering")</f>
        <v>ASE '22: Proceedings of the 37th IEEE/ACM International Conference on Automated Software Engineering</v>
      </c>
      <c r="C312" s="15">
        <f ca="1">VLOOKUP(B312,'ALL DATABASES'!$A$1:$T$2252,2,FALSE)</f>
        <v>0</v>
      </c>
      <c r="D312" s="15">
        <f ca="1">VLOOKUP(B312,'ALL DATABASES'!$A$1:$T$2252,5,FALSE)</f>
        <v>2022</v>
      </c>
      <c r="E312" s="15">
        <f ca="1">VLOOKUP(B312,'ALL DATABASES'!$A$1:$T$2252,10,FALSE)</f>
        <v>2022</v>
      </c>
      <c r="F312" s="15">
        <f ca="1">VLOOKUP(B312,'ALL DATABASES'!$A$1:$T$2252,14,FALSE)</f>
        <v>0</v>
      </c>
      <c r="G312" s="15" t="str">
        <f ca="1">VLOOKUP(B312,'ALL DATABASES'!$A$1:$T$2252,3,FALSE)</f>
        <v>Book</v>
      </c>
      <c r="H312" s="50" t="str">
        <f ca="1">VLOOKUP(B312,'ALL DATABASES'!$A$1:$T$2252,20,FALSE)</f>
        <v>ACM</v>
      </c>
    </row>
    <row r="313" spans="1:8" ht="12.75" x14ac:dyDescent="0.2">
      <c r="A313">
        <v>312</v>
      </c>
      <c r="B313" s="15" t="str">
        <f ca="1">IFERROR(__xludf.DUMMYFUNCTION("""COMPUTED_VALUE"""),"Asking about Technical Debt: Characteristics and Automatic Identification of Technical Debt Questions on Stack Overflow")</f>
        <v>Asking about Technical Debt: Characteristics and Automatic Identification of Technical Debt Questions on Stack Overflow</v>
      </c>
      <c r="C313" s="15" t="str">
        <f ca="1">VLOOKUP(B313,'ALL DATABASES'!$A$1:$T$2252,2,FALSE)</f>
        <v>Kozanidis N,Verdecchia R,Guzman E</v>
      </c>
      <c r="D313" s="15">
        <f ca="1">VLOOKUP(B313,'ALL DATABASES'!$A$1:$T$2252,5,FALSE)</f>
        <v>2022</v>
      </c>
      <c r="E313" s="15">
        <f ca="1">VLOOKUP(B313,'ALL DATABASES'!$A$1:$T$2252,10,FALSE)</f>
        <v>2022</v>
      </c>
      <c r="F313" s="54" t="str">
        <f ca="1">VLOOKUP(B313,'ALL DATABASES'!$A$1:$T$2252,14,FALSE)</f>
        <v>https://doi.org/10.1145/3544902.3546245;http://dx.doi.org/10.1145/3544902.3546245</v>
      </c>
      <c r="G313" s="15" t="str">
        <f ca="1">VLOOKUP(B313,'ALL DATABASES'!$A$1:$T$2252,3,FALSE)</f>
        <v>Conference Paper</v>
      </c>
      <c r="H313" s="50" t="str">
        <f ca="1">VLOOKUP(B313,'ALL DATABASES'!$A$1:$T$2252,20,FALSE)</f>
        <v>ACM</v>
      </c>
    </row>
    <row r="314" spans="1:8" ht="12.75" x14ac:dyDescent="0.2">
      <c r="A314">
        <v>313</v>
      </c>
      <c r="B314" s="15" t="str">
        <f ca="1">IFERROR(__xludf.DUMMYFUNCTION("""COMPUTED_VALUE"""),"Assessing Methods and Tools to Improve Reporting, Increase Transparency, and Reduce Failures in Machine Learning Applications in Health Care")</f>
        <v>Assessing Methods and Tools to Improve Reporting, Increase Transparency, and Reduce Failures in Machine Learning Applications in Health Care</v>
      </c>
      <c r="C314" s="15" t="str">
        <f ca="1">VLOOKUP(B314,'ALL DATABASES'!$A$1:$T$2252,2,FALSE)</f>
        <v>Garbin C,Marques O</v>
      </c>
      <c r="D314" s="15">
        <f ca="1">VLOOKUP(B314,'ALL DATABASES'!$A$1:$T$2252,5,FALSE)</f>
        <v>2022</v>
      </c>
      <c r="E314" s="15">
        <f ca="1">VLOOKUP(B314,'ALL DATABASES'!$A$1:$T$2252,10,FALSE)</f>
        <v>2022</v>
      </c>
      <c r="F314" s="54" t="str">
        <f ca="1">VLOOKUP(B314,'ALL DATABASES'!$A$1:$T$2252,14,FALSE)</f>
        <v>https://www.scopus.com/inward/record.uri?eid=2-s2.0-85130079716&amp;doi=10.1148%2fryai.210127&amp;partnerID=40&amp;md5=d5d22d7e66045d130c3277d01e953a8a;http://dx.doi.org/10.1148/ryai.210127</v>
      </c>
      <c r="G314" s="15" t="str">
        <f ca="1">VLOOKUP(B314,'ALL DATABASES'!$A$1:$T$2252,3,FALSE)</f>
        <v>Journal Article</v>
      </c>
      <c r="H314" s="50" t="str">
        <f ca="1">VLOOKUP(B314,'ALL DATABASES'!$A$1:$T$2252,20,FALSE)</f>
        <v>SCOPUS</v>
      </c>
    </row>
    <row r="315" spans="1:8" ht="12.75" x14ac:dyDescent="0.2">
      <c r="A315">
        <v>314</v>
      </c>
      <c r="B315" s="15" t="str">
        <f ca="1">IFERROR(__xludf.DUMMYFUNCTION("""COMPUTED_VALUE"""),"Assessing Self-Adaptation Strategies Using Cost-Benefit Analysis")</f>
        <v>Assessing Self-Adaptation Strategies Using Cost-Benefit Analysis</v>
      </c>
      <c r="C315" s="15" t="str">
        <f ca="1">VLOOKUP(B315,'ALL DATABASES'!$A$1:$T$2252,2,FALSE)</f>
        <v>Gerostathopoulos I,Raibulet C,Alberts E</v>
      </c>
      <c r="D315" s="15">
        <f ca="1">VLOOKUP(B315,'ALL DATABASES'!$A$1:$T$2252,5,FALSE)</f>
        <v>2022</v>
      </c>
      <c r="E315" s="55">
        <f ca="1">VLOOKUP(B315,'ALL DATABASES'!$A$1:$T$2252,10,FALSE)</f>
        <v>44621</v>
      </c>
      <c r="F315" s="54" t="str">
        <f ca="1">VLOOKUP(B315,'ALL DATABASES'!$A$1:$T$2252,14,FALSE)</f>
        <v>http://dx.doi.org/10.1109/ICSA-C54293.2022.00023</v>
      </c>
      <c r="G315" s="15" t="str">
        <f ca="1">VLOOKUP(B315,'ALL DATABASES'!$A$1:$T$2252,3,FALSE)</f>
        <v>Conference Paper</v>
      </c>
      <c r="H315" s="50" t="str">
        <f ca="1">VLOOKUP(B315,'ALL DATABASES'!$A$1:$T$2252,20,FALSE)</f>
        <v>IEEE</v>
      </c>
    </row>
    <row r="316" spans="1:8" ht="12.75" x14ac:dyDescent="0.2">
      <c r="A316">
        <v>315</v>
      </c>
      <c r="B316" s="15" t="str">
        <f ca="1">IFERROR(__xludf.DUMMYFUNCTION("""COMPUTED_VALUE"""),"Assessing technical debt in automated tests with codescene")</f>
        <v>Assessing technical debt in automated tests with codescene</v>
      </c>
      <c r="C316" s="15" t="str">
        <f ca="1">VLOOKUP(B316,'ALL DATABASES'!$A$1:$T$2252,2,FALSE)</f>
        <v>Tornhill A</v>
      </c>
      <c r="D316" s="15">
        <f ca="1">VLOOKUP(B316,'ALL DATABASES'!$A$1:$T$2252,5,FALSE)</f>
        <v>2018</v>
      </c>
      <c r="E316" s="15">
        <f ca="1">VLOOKUP(B316,'ALL DATABASES'!$A$1:$T$2252,10,FALSE)</f>
        <v>2018</v>
      </c>
      <c r="F316" s="54" t="str">
        <f ca="1">VLOOKUP(B316,'ALL DATABASES'!$A$1:$T$2252,14,FALSE)</f>
        <v>https://www.scopus.com/inward/record.uri?eid=2-s2.0-85050969959&amp;doi=10.1109%2fICSTW.2018.00039&amp;partnerID=40&amp;md5=14265fd8be7c272ad271e9c8f8990221;http://dx.doi.org/10.1109/ICSTW.2018.00039</v>
      </c>
      <c r="G316" s="15" t="str">
        <f ca="1">VLOOKUP(B316,'ALL DATABASES'!$A$1:$T$2252,3,FALSE)</f>
        <v>Conference Paper</v>
      </c>
      <c r="H316" s="50" t="str">
        <f ca="1">VLOOKUP(B316,'ALL DATABASES'!$A$1:$T$2252,20,FALSE)</f>
        <v>SCOPUS</v>
      </c>
    </row>
    <row r="317" spans="1:8" ht="12.75" x14ac:dyDescent="0.2">
      <c r="A317">
        <v>316</v>
      </c>
      <c r="B317" s="15" t="str">
        <f ca="1">IFERROR(__xludf.DUMMYFUNCTION("""COMPUTED_VALUE"""),"Assessing the Effectiveness of Static Analysis through Defect Correlation Analysis")</f>
        <v>Assessing the Effectiveness of Static Analysis through Defect Correlation Analysis</v>
      </c>
      <c r="C317" s="15" t="str">
        <f ca="1">VLOOKUP(B317,'ALL DATABASES'!$A$1:$T$2252,2,FALSE)</f>
        <v>Venkatasubramanyam RD,Gupta S,Uppili U</v>
      </c>
      <c r="D317" s="15">
        <f ca="1">VLOOKUP(B317,'ALL DATABASES'!$A$1:$T$2252,5,FALSE)</f>
        <v>2015</v>
      </c>
      <c r="E317" s="55">
        <f ca="1">VLOOKUP(B317,'ALL DATABASES'!$A$1:$T$2252,10,FALSE)</f>
        <v>42186</v>
      </c>
      <c r="F317" s="54" t="str">
        <f ca="1">VLOOKUP(B317,'ALL DATABASES'!$A$1:$T$2252,14,FALSE)</f>
        <v>http://dx.doi.org/10.1109/ICGSE.2015.18</v>
      </c>
      <c r="G317" s="15" t="str">
        <f ca="1">VLOOKUP(B317,'ALL DATABASES'!$A$1:$T$2252,3,FALSE)</f>
        <v>Conference Paper</v>
      </c>
      <c r="H317" s="50" t="str">
        <f ca="1">VLOOKUP(B317,'ALL DATABASES'!$A$1:$T$2252,20,FALSE)</f>
        <v>IEEE</v>
      </c>
    </row>
    <row r="318" spans="1:8" ht="12.75" x14ac:dyDescent="0.2">
      <c r="A318">
        <v>317</v>
      </c>
      <c r="B318" s="15" t="str">
        <f ca="1">IFERROR(__xludf.DUMMYFUNCTION("""COMPUTED_VALUE"""),"Assessing the Impact of Code Samples Evolution on Developers' Questions")</f>
        <v>Assessing the Impact of Code Samples Evolution on Developers' Questions</v>
      </c>
      <c r="C318" s="15" t="str">
        <f ca="1">VLOOKUP(B318,'ALL DATABASES'!$A$1:$T$2252,2,FALSE)</f>
        <v>Menezes G,Braga W,Fontão A,Hora A,Cafeo B</v>
      </c>
      <c r="D318" s="15">
        <f ca="1">VLOOKUP(B318,'ALL DATABASES'!$A$1:$T$2252,5,FALSE)</f>
        <v>2022</v>
      </c>
      <c r="E318" s="15">
        <f ca="1">VLOOKUP(B318,'ALL DATABASES'!$A$1:$T$2252,10,FALSE)</f>
        <v>2022</v>
      </c>
      <c r="F318" s="54" t="str">
        <f ca="1">VLOOKUP(B318,'ALL DATABASES'!$A$1:$T$2252,14,FALSE)</f>
        <v>https://www.scopus.com/inward/record.uri?eid=2-s2.0-85139132343&amp;doi=10.1145%2f3555228.3555250&amp;partnerID=40&amp;md5=b1d72504567443cd4c6e5fb61825895e;http://dx.doi.org/10.1145/3555228.3555250</v>
      </c>
      <c r="G318" s="15" t="str">
        <f ca="1">VLOOKUP(B318,'ALL DATABASES'!$A$1:$T$2252,3,FALSE)</f>
        <v>Conference Paper</v>
      </c>
      <c r="H318" s="50" t="str">
        <f ca="1">VLOOKUP(B318,'ALL DATABASES'!$A$1:$T$2252,20,FALSE)</f>
        <v>SCOPUS</v>
      </c>
    </row>
    <row r="319" spans="1:8" ht="12.75" x14ac:dyDescent="0.2">
      <c r="A319">
        <v>318</v>
      </c>
      <c r="B319" s="15" t="str">
        <f ca="1">IFERROR(__xludf.DUMMYFUNCTION("""COMPUTED_VALUE"""),"Assessing the linguistic quality of REST APIs for IoT applications")</f>
        <v>Assessing the linguistic quality of REST APIs for IoT applications</v>
      </c>
      <c r="C319" s="15" t="str">
        <f ca="1">VLOOKUP(B319,'ALL DATABASES'!$A$1:$T$2252,2,FALSE)</f>
        <v>Palma F,Olsson T,Wingkvist A,Gonzalez-Huerta J</v>
      </c>
      <c r="D319" s="15">
        <f ca="1">VLOOKUP(B319,'ALL DATABASES'!$A$1:$T$2252,5,FALSE)</f>
        <v>2022</v>
      </c>
      <c r="E319" s="15">
        <f ca="1">VLOOKUP(B319,'ALL DATABASES'!$A$1:$T$2252,10,FALSE)</f>
        <v>2022</v>
      </c>
      <c r="F319" s="54" t="str">
        <f ca="1">VLOOKUP(B319,'ALL DATABASES'!$A$1:$T$2252,14,FALSE)</f>
        <v>https://www.sciencedirect.com/science/article/pii/S0164121222000954;http://dx.doi.org/10.1016/j.jss.2022.111369</v>
      </c>
      <c r="G319" s="15" t="str">
        <f ca="1">VLOOKUP(B319,'ALL DATABASES'!$A$1:$T$2252,3,FALSE)</f>
        <v>Journal Article</v>
      </c>
      <c r="H319" s="50" t="str">
        <f ca="1">VLOOKUP(B319,'ALL DATABASES'!$A$1:$T$2252,20,FALSE)</f>
        <v>SCIENCEDIRECT</v>
      </c>
    </row>
    <row r="320" spans="1:8" ht="12.75" x14ac:dyDescent="0.2">
      <c r="A320">
        <v>319</v>
      </c>
      <c r="B320" s="15" t="str">
        <f ca="1">IFERROR(__xludf.DUMMYFUNCTION("""COMPUTED_VALUE"""),"Assessing the Quality of Computational Notebooks for a Frictionless Transition from Exploration to Production")</f>
        <v>Assessing the Quality of Computational Notebooks for a Frictionless Transition from Exploration to Production</v>
      </c>
      <c r="C320" s="15" t="str">
        <f ca="1">VLOOKUP(B320,'ALL DATABASES'!$A$1:$T$2252,2,FALSE)</f>
        <v>Quaranta L</v>
      </c>
      <c r="D320" s="15">
        <f ca="1">VLOOKUP(B320,'ALL DATABASES'!$A$1:$T$2252,5,FALSE)</f>
        <v>2022</v>
      </c>
      <c r="E320" s="15">
        <f ca="1">VLOOKUP(B320,'ALL DATABASES'!$A$1:$T$2252,10,FALSE)</f>
        <v>2022</v>
      </c>
      <c r="F320" s="54" t="str">
        <f ca="1">VLOOKUP(B320,'ALL DATABASES'!$A$1:$T$2252,14,FALSE)</f>
        <v>https://doi.org/10.1145/3510454.3517055;http://dx.doi.org/10.1145/3510454.3517055</v>
      </c>
      <c r="G320" s="15" t="str">
        <f ca="1">VLOOKUP(B320,'ALL DATABASES'!$A$1:$T$2252,3,FALSE)</f>
        <v>Conference Paper</v>
      </c>
      <c r="H320" s="50" t="str">
        <f ca="1">VLOOKUP(B320,'ALL DATABASES'!$A$1:$T$2252,20,FALSE)</f>
        <v>ACM</v>
      </c>
    </row>
    <row r="321" spans="1:8" ht="12.75" x14ac:dyDescent="0.2">
      <c r="A321">
        <v>320</v>
      </c>
      <c r="B321" s="15" t="str">
        <f ca="1">IFERROR(__xludf.DUMMYFUNCTION("""COMPUTED_VALUE"""),"Assessment of Configuration Stability and Variability in Collections of Self-Adaptive Systems")</f>
        <v>Assessment of Configuration Stability and Variability in Collections of Self-Adaptive Systems</v>
      </c>
      <c r="C321" s="15" t="str">
        <f ca="1">VLOOKUP(B321,'ALL DATABASES'!$A$1:$T$2252,2,FALSE)</f>
        <v>Tomforde S,Goller M</v>
      </c>
      <c r="D321" s="15">
        <f ca="1">VLOOKUP(B321,'ALL DATABASES'!$A$1:$T$2252,5,FALSE)</f>
        <v>2021</v>
      </c>
      <c r="E321" s="15">
        <f ca="1">VLOOKUP(B321,'ALL DATABASES'!$A$1:$T$2252,10,FALSE)</f>
        <v>2021</v>
      </c>
      <c r="F321" s="54" t="str">
        <f ca="1">VLOOKUP(B321,'ALL DATABASES'!$A$1:$T$2252,14,FALSE)</f>
        <v>https://www.scopus.com/inward/record.uri?eid=2-s2.0-85123431746&amp;doi=10.1109%2fACSOS-C52956.2021.00038&amp;partnerID=40&amp;md5=f7fda58b9f6586ec5d122899e6cedbae;http://dx.doi.org/10.1109/ACSOS-C52956.2021.00038</v>
      </c>
      <c r="G321" s="15" t="str">
        <f ca="1">VLOOKUP(B321,'ALL DATABASES'!$A$1:$T$2252,3,FALSE)</f>
        <v>Conference Paper</v>
      </c>
      <c r="H321" s="50" t="str">
        <f ca="1">VLOOKUP(B321,'ALL DATABASES'!$A$1:$T$2252,20,FALSE)</f>
        <v>SCOPUS</v>
      </c>
    </row>
    <row r="322" spans="1:8" ht="12.75" x14ac:dyDescent="0.2">
      <c r="A322">
        <v>321</v>
      </c>
      <c r="B322" s="15" t="str">
        <f ca="1">IFERROR(__xludf.DUMMYFUNCTION("""COMPUTED_VALUE"""),"Assurance and Sustainability")</f>
        <v>Assurance and Sustainability</v>
      </c>
      <c r="C322" s="15" t="str">
        <f ca="1">VLOOKUP(B322,'ALL DATABASES'!$A$1:$T$2252,2,FALSE)</f>
        <v>Anderson R</v>
      </c>
      <c r="D322" s="15">
        <f ca="1">VLOOKUP(B322,'ALL DATABASES'!$A$1:$T$2252,5,FALSE)</f>
        <v>2020</v>
      </c>
      <c r="E322" s="15">
        <f ca="1">VLOOKUP(B322,'ALL DATABASES'!$A$1:$T$2252,10,FALSE)</f>
        <v>2020</v>
      </c>
      <c r="F322" s="54" t="str">
        <f ca="1">VLOOKUP(B322,'ALL DATABASES'!$A$1:$T$2252,14,FALSE)</f>
        <v>https://ieeexplore.ieee.org/document/9823192;http://dx.doi.org/10.1002/9781119644682.ch28</v>
      </c>
      <c r="G322" s="15" t="str">
        <f ca="1">VLOOKUP(B322,'ALL DATABASES'!$A$1:$T$2252,3,FALSE)</f>
        <v>Book Chapter</v>
      </c>
      <c r="H322" s="50" t="str">
        <f ca="1">VLOOKUP(B322,'ALL DATABASES'!$A$1:$T$2252,20,FALSE)</f>
        <v>IEEE</v>
      </c>
    </row>
    <row r="323" spans="1:8" ht="12.75" x14ac:dyDescent="0.2">
      <c r="A323">
        <v>322</v>
      </c>
      <c r="B323" s="15" t="str">
        <f ca="1">IFERROR(__xludf.DUMMYFUNCTION("""COMPUTED_VALUE"""),"Augmenting commit classification by using fine-grained source code changes and a pre-trained deep neural language model")</f>
        <v>Augmenting commit classification by using fine-grained source code changes and a pre-trained deep neural language model</v>
      </c>
      <c r="C323" s="15" t="str">
        <f ca="1">VLOOKUP(B323,'ALL DATABASES'!$A$1:$T$2252,2,FALSE)</f>
        <v>Ghadhab L,Jenhani I,Mkaouer MW,Ben Messaoud M</v>
      </c>
      <c r="D323" s="15">
        <f ca="1">VLOOKUP(B323,'ALL DATABASES'!$A$1:$T$2252,5,FALSE)</f>
        <v>2021</v>
      </c>
      <c r="E323" s="15">
        <f ca="1">VLOOKUP(B323,'ALL DATABASES'!$A$1:$T$2252,10,FALSE)</f>
        <v>2021</v>
      </c>
      <c r="F323" s="54" t="str">
        <f ca="1">VLOOKUP(B323,'ALL DATABASES'!$A$1:$T$2252,14,FALSE)</f>
        <v>https://www.sciencedirect.com/science/article/pii/S0950584921000495;http://dx.doi.org/10.1016/j.infsof.2021.106566</v>
      </c>
      <c r="G323" s="15" t="str">
        <f ca="1">VLOOKUP(B323,'ALL DATABASES'!$A$1:$T$2252,3,FALSE)</f>
        <v>Journal Article</v>
      </c>
      <c r="H323" s="50" t="str">
        <f ca="1">VLOOKUP(B323,'ALL DATABASES'!$A$1:$T$2252,20,FALSE)</f>
        <v>SCIENCEDIRECT</v>
      </c>
    </row>
    <row r="324" spans="1:8" ht="12.75" x14ac:dyDescent="0.2">
      <c r="A324">
        <v>323</v>
      </c>
      <c r="B324" s="15" t="str">
        <f ca="1">IFERROR(__xludf.DUMMYFUNCTION("""COMPUTED_VALUE"""),"Auto-Generated Code Detector - A Preprocessor to Enhance Security, Quality, Maintenance and Accurate Productivity Calculation of Code")</f>
        <v>Auto-Generated Code Detector - A Preprocessor to Enhance Security, Quality, Maintenance and Accurate Productivity Calculation of Code</v>
      </c>
      <c r="C324" s="15" t="str">
        <f ca="1">VLOOKUP(B324,'ALL DATABASES'!$A$1:$T$2252,2,FALSE)</f>
        <v>Parihar R,Kar P,Kumar S</v>
      </c>
      <c r="D324" s="15">
        <f ca="1">VLOOKUP(B324,'ALL DATABASES'!$A$1:$T$2252,5,FALSE)</f>
        <v>2021</v>
      </c>
      <c r="E324" s="15">
        <f ca="1">VLOOKUP(B324,'ALL DATABASES'!$A$1:$T$2252,10,FALSE)</f>
        <v>2021</v>
      </c>
      <c r="F324" s="54" t="str">
        <f ca="1">VLOOKUP(B324,'ALL DATABASES'!$A$1:$T$2252,14,FALSE)</f>
        <v>https://www.scopus.com/inward/record.uri?eid=2-s2.0-85125305120&amp;doi=10.1109%2fICCC54389.2021.9674263&amp;partnerID=40&amp;md5=2574ac649ab5d0971955cc5c7b7bcecf;http://dx.doi.org/10.1109/ICCC54389.2021.9674263</v>
      </c>
      <c r="G324" s="15" t="str">
        <f ca="1">VLOOKUP(B324,'ALL DATABASES'!$A$1:$T$2252,3,FALSE)</f>
        <v>Conference Paper</v>
      </c>
      <c r="H324" s="50" t="str">
        <f ca="1">VLOOKUP(B324,'ALL DATABASES'!$A$1:$T$2252,20,FALSE)</f>
        <v>SCOPUS</v>
      </c>
    </row>
    <row r="325" spans="1:8" ht="12.75" x14ac:dyDescent="0.2">
      <c r="A325">
        <v>324</v>
      </c>
      <c r="B325" s="15" t="str">
        <f ca="1">IFERROR(__xludf.DUMMYFUNCTION("""COMPUTED_VALUE"""),"Automated Code Review Comment Classification to Improve Modern Code Reviews")</f>
        <v>Automated Code Review Comment Classification to Improve Modern Code Reviews</v>
      </c>
      <c r="C325" s="15" t="str">
        <f ca="1">VLOOKUP(B325,'ALL DATABASES'!$A$1:$T$2252,2,FALSE)</f>
        <v>Ochodek M,Staron M,Meding W,Söder O</v>
      </c>
      <c r="D325" s="15">
        <f ca="1">VLOOKUP(B325,'ALL DATABASES'!$A$1:$T$2252,5,FALSE)</f>
        <v>2022</v>
      </c>
      <c r="E325" s="15">
        <f ca="1">VLOOKUP(B325,'ALL DATABASES'!$A$1:$T$2252,10,FALSE)</f>
        <v>2022</v>
      </c>
      <c r="F325" s="54" t="str">
        <f ca="1">VLOOKUP(B325,'ALL DATABASES'!$A$1:$T$2252,14,FALSE)</f>
        <v>https://www.scopus.com/inward/record.uri?eid=2-s2.0-85128925243&amp;doi=10.1007%2f978-3-031-04115-0_3&amp;partnerID=40&amp;md5=7cebbd7dddbf4281addae297ccc02fa3;http://dx.doi.org/10.1007/978-3-031-04115-0_3</v>
      </c>
      <c r="G325" s="15" t="str">
        <f ca="1">VLOOKUP(B325,'ALL DATABASES'!$A$1:$T$2252,3,FALSE)</f>
        <v>Journal Article</v>
      </c>
      <c r="H325" s="50" t="str">
        <f ca="1">VLOOKUP(B325,'ALL DATABASES'!$A$1:$T$2252,20,FALSE)</f>
        <v>SCOPUS</v>
      </c>
    </row>
    <row r="326" spans="1:8" ht="12.75" x14ac:dyDescent="0.2">
      <c r="A326">
        <v>325</v>
      </c>
      <c r="B326" s="15" t="str">
        <f ca="1">IFERROR(__xludf.DUMMYFUNCTION("""COMPUTED_VALUE"""),"Automated Comment Update: How Far are We?")</f>
        <v>Automated Comment Update: How Far are We?</v>
      </c>
      <c r="C326" s="15" t="str">
        <f ca="1">VLOOKUP(B326,'ALL DATABASES'!$A$1:$T$2252,2,FALSE)</f>
        <v>Lin B,Wang S,Liu K,Mao X,Bissyande TF</v>
      </c>
      <c r="D326" s="15">
        <f ca="1">VLOOKUP(B326,'ALL DATABASES'!$A$1:$T$2252,5,FALSE)</f>
        <v>2021</v>
      </c>
      <c r="E326" s="15">
        <f ca="1">VLOOKUP(B326,'ALL DATABASES'!$A$1:$T$2252,10,FALSE)</f>
        <v>2021</v>
      </c>
      <c r="F326" s="54" t="str">
        <f ca="1">VLOOKUP(B326,'ALL DATABASES'!$A$1:$T$2252,14,FALSE)</f>
        <v>https://www.scopus.com/inward/record.uri?eid=2-s2.0-85113231448&amp;doi=10.1109%2fICPC52881.2021.00013&amp;partnerID=40&amp;md5=20346bedd01823c0775782424717eece;http://dx.doi.org/10.1109/ICPC52881.2021.00013</v>
      </c>
      <c r="G326" s="15" t="str">
        <f ca="1">VLOOKUP(B326,'ALL DATABASES'!$A$1:$T$2252,3,FALSE)</f>
        <v>Conference Paper</v>
      </c>
      <c r="H326" s="50" t="str">
        <f ca="1">VLOOKUP(B326,'ALL DATABASES'!$A$1:$T$2252,20,FALSE)</f>
        <v>SCOPUS</v>
      </c>
    </row>
    <row r="327" spans="1:8" ht="12.75" x14ac:dyDescent="0.2">
      <c r="A327">
        <v>326</v>
      </c>
      <c r="B327" s="15" t="str">
        <f ca="1">IFERROR(__xludf.DUMMYFUNCTION("""COMPUTED_VALUE"""),"Automated Detection of Drift in Deep Learning Based Classifiers Performance Using Network Embeddings")</f>
        <v>Automated Detection of Drift in Deep Learning Based Classifiers Performance Using Network Embeddings</v>
      </c>
      <c r="C327" s="15" t="str">
        <f ca="1">VLOOKUP(B327,'ALL DATABASES'!$A$1:$T$2252,2,FALSE)</f>
        <v>Dube P,Farchi E</v>
      </c>
      <c r="D327" s="15">
        <f ca="1">VLOOKUP(B327,'ALL DATABASES'!$A$1:$T$2252,5,FALSE)</f>
        <v>2020</v>
      </c>
      <c r="E327" s="15">
        <f ca="1">VLOOKUP(B327,'ALL DATABASES'!$A$1:$T$2252,10,FALSE)</f>
        <v>2020</v>
      </c>
      <c r="F327" s="54" t="str">
        <f ca="1">VLOOKUP(B327,'ALL DATABASES'!$A$1:$T$2252,14,FALSE)</f>
        <v>https://www.scopus.com/inward/record.uri?eid=2-s2.0-85097430483&amp;doi=10.1007%2f978-3-030-62144-5_8&amp;partnerID=40&amp;md5=057effcab39470d07e01b230e2511b35;http://dx.doi.org/10.1007/978-3-030-62144-5_8</v>
      </c>
      <c r="G327" s="15" t="str">
        <f ca="1">VLOOKUP(B327,'ALL DATABASES'!$A$1:$T$2252,3,FALSE)</f>
        <v>Journal Article</v>
      </c>
      <c r="H327" s="50" t="str">
        <f ca="1">VLOOKUP(B327,'ALL DATABASES'!$A$1:$T$2252,20,FALSE)</f>
        <v>SCOPUS</v>
      </c>
    </row>
    <row r="328" spans="1:8" ht="12.75" x14ac:dyDescent="0.2">
      <c r="A328">
        <v>327</v>
      </c>
      <c r="B328" s="15" t="str">
        <f ca="1">IFERROR(__xludf.DUMMYFUNCTION("""COMPUTED_VALUE"""),"Automated Detection of Software Performance Antipatterns in Java-Based Applications")</f>
        <v>Automated Detection of Software Performance Antipatterns in Java-Based Applications</v>
      </c>
      <c r="C328" s="15" t="str">
        <f ca="1">VLOOKUP(B328,'ALL DATABASES'!$A$1:$T$2252,2,FALSE)</f>
        <v>Trubiani C,Pinciroli R,Biaggi A,Fontana FA</v>
      </c>
      <c r="D328" s="15">
        <f ca="1">VLOOKUP(B328,'ALL DATABASES'!$A$1:$T$2252,5,FALSE)</f>
        <v>2023</v>
      </c>
      <c r="E328" s="15">
        <f ca="1">VLOOKUP(B328,'ALL DATABASES'!$A$1:$T$2252,10,FALSE)</f>
        <v>2023</v>
      </c>
      <c r="F328" s="54" t="str">
        <f ca="1">VLOOKUP(B328,'ALL DATABASES'!$A$1:$T$2252,14,FALSE)</f>
        <v>http://dx.doi.org/10.1109/TSE.2023.3234321</v>
      </c>
      <c r="G328" s="15" t="str">
        <f ca="1">VLOOKUP(B328,'ALL DATABASES'!$A$1:$T$2252,3,FALSE)</f>
        <v>Journal Article</v>
      </c>
      <c r="H328" s="50" t="str">
        <f ca="1">VLOOKUP(B328,'ALL DATABASES'!$A$1:$T$2252,20,FALSE)</f>
        <v>IEEE</v>
      </c>
    </row>
    <row r="329" spans="1:8" ht="12.75" x14ac:dyDescent="0.2">
      <c r="A329">
        <v>328</v>
      </c>
      <c r="B329" s="15" t="str">
        <f ca="1">IFERROR(__xludf.DUMMYFUNCTION("""COMPUTED_VALUE"""),"Automated end-to-end management of the modeling lifecycle in deep learning")</f>
        <v>Automated end-to-end management of the modeling lifecycle in deep learning</v>
      </c>
      <c r="C329" s="15" t="str">
        <f ca="1">VLOOKUP(B329,'ALL DATABASES'!$A$1:$T$2252,2,FALSE)</f>
        <v>Gharibi G,Walunj V,Nekadi R,Marri R,Lee Y</v>
      </c>
      <c r="D329" s="15">
        <f ca="1">VLOOKUP(B329,'ALL DATABASES'!$A$1:$T$2252,5,FALSE)</f>
        <v>2021</v>
      </c>
      <c r="E329" s="15">
        <f ca="1">VLOOKUP(B329,'ALL DATABASES'!$A$1:$T$2252,10,FALSE)</f>
        <v>2021</v>
      </c>
      <c r="F329" s="54" t="str">
        <f ca="1">VLOOKUP(B329,'ALL DATABASES'!$A$1:$T$2252,14,FALSE)</f>
        <v>https://www.scopus.com/inward/record.uri?eid=2-s2.0-85101321601&amp;doi=10.1007%2fs10664-020-09894-9&amp;partnerID=40&amp;md5=e08470aa6b9653a16a05ff82f96fc8ff;http://dx.doi.org/10.1007/s10664-020-09894-9</v>
      </c>
      <c r="G329" s="15" t="str">
        <f ca="1">VLOOKUP(B329,'ALL DATABASES'!$A$1:$T$2252,3,FALSE)</f>
        <v>Journal Article</v>
      </c>
      <c r="H329" s="50" t="str">
        <f ca="1">VLOOKUP(B329,'ALL DATABASES'!$A$1:$T$2252,20,FALSE)</f>
        <v>SCOPUS</v>
      </c>
    </row>
    <row r="330" spans="1:8" ht="12.75" x14ac:dyDescent="0.2">
      <c r="A330">
        <v>329</v>
      </c>
      <c r="B330" s="15" t="str">
        <f ca="1">IFERROR(__xludf.DUMMYFUNCTION("""COMPUTED_VALUE"""),"Automated Generation of Optimized Code Implementing SVM models on GPUs")</f>
        <v>Automated Generation of Optimized Code Implementing SVM models on GPUs</v>
      </c>
      <c r="C330" s="15" t="str">
        <f ca="1">VLOOKUP(B330,'ALL DATABASES'!$A$1:$T$2252,2,FALSE)</f>
        <v>Castro OJ,Vega IF</v>
      </c>
      <c r="D330" s="15">
        <f ca="1">VLOOKUP(B330,'ALL DATABASES'!$A$1:$T$2252,5,FALSE)</f>
        <v>2021</v>
      </c>
      <c r="E330" s="55">
        <f ca="1">VLOOKUP(B330,'ALL DATABASES'!$A$1:$T$2252,10,FALSE)</f>
        <v>44256</v>
      </c>
      <c r="F330" s="54" t="str">
        <f ca="1">VLOOKUP(B330,'ALL DATABASES'!$A$1:$T$2252,14,FALSE)</f>
        <v>http://dx.doi.org/10.1109/TLA.2021.9447690</v>
      </c>
      <c r="G330" s="15" t="str">
        <f ca="1">VLOOKUP(B330,'ALL DATABASES'!$A$1:$T$2252,3,FALSE)</f>
        <v>Journal Article</v>
      </c>
      <c r="H330" s="50" t="str">
        <f ca="1">VLOOKUP(B330,'ALL DATABASES'!$A$1:$T$2252,20,FALSE)</f>
        <v>IEEE</v>
      </c>
    </row>
    <row r="331" spans="1:8" ht="12.75" x14ac:dyDescent="0.2">
      <c r="A331">
        <v>330</v>
      </c>
      <c r="B331" s="15" t="str">
        <f ca="1">IFERROR(__xludf.DUMMYFUNCTION("""COMPUTED_VALUE"""),"Automated Identification of On-hold Self-admitted Technical Debt")</f>
        <v>Automated Identification of On-hold Self-admitted Technical Debt</v>
      </c>
      <c r="C331" s="15" t="str">
        <f ca="1">VLOOKUP(B331,'ALL DATABASES'!$A$1:$T$2252,2,FALSE)</f>
        <v>Maipradit R,Lin B,Nagy C,Bavota G,Lanza M,Hata H,Matsumoto K</v>
      </c>
      <c r="D331" s="15">
        <f ca="1">VLOOKUP(B331,'ALL DATABASES'!$A$1:$T$2252,5,FALSE)</f>
        <v>2020</v>
      </c>
      <c r="E331" s="55">
        <f ca="1">VLOOKUP(B331,'ALL DATABASES'!$A$1:$T$2252,10,FALSE)</f>
        <v>44075</v>
      </c>
      <c r="F331" s="54" t="str">
        <f ca="1">VLOOKUP(B331,'ALL DATABASES'!$A$1:$T$2252,14,FALSE)</f>
        <v>http://dx.doi.org/10.1109/SCAM51674.2020.00011</v>
      </c>
      <c r="G331" s="15" t="str">
        <f ca="1">VLOOKUP(B331,'ALL DATABASES'!$A$1:$T$2252,3,FALSE)</f>
        <v>Conference Paper</v>
      </c>
      <c r="H331" s="50" t="str">
        <f ca="1">VLOOKUP(B331,'ALL DATABASES'!$A$1:$T$2252,20,FALSE)</f>
        <v>IEEE</v>
      </c>
    </row>
    <row r="332" spans="1:8" ht="12.75" x14ac:dyDescent="0.2">
      <c r="A332">
        <v>331</v>
      </c>
      <c r="B332" s="15" t="str">
        <f ca="1">IFERROR(__xludf.DUMMYFUNCTION("""COMPUTED_VALUE"""),"Automated identification of security discussions in microservices systems: Industrial surveys and experiments")</f>
        <v>Automated identification of security discussions in microservices systems: Industrial surveys and experiments</v>
      </c>
      <c r="C332" s="15" t="str">
        <f ca="1">VLOOKUP(B332,'ALL DATABASES'!$A$1:$T$2252,2,FALSE)</f>
        <v>Rezaei Nasab A,Shahin M,Liang P,Basiri ME,Hoseyni Raviz SA,Khalajzadeh H,Waseem M,Naseri A</v>
      </c>
      <c r="D332" s="15">
        <f ca="1">VLOOKUP(B332,'ALL DATABASES'!$A$1:$T$2252,5,FALSE)</f>
        <v>2021</v>
      </c>
      <c r="E332" s="15">
        <f ca="1">VLOOKUP(B332,'ALL DATABASES'!$A$1:$T$2252,10,FALSE)</f>
        <v>2021</v>
      </c>
      <c r="F332" s="54" t="str">
        <f ca="1">VLOOKUP(B332,'ALL DATABASES'!$A$1:$T$2252,14,FALSE)</f>
        <v>https://www.scopus.com/inward/record.uri?eid=2-s2.0-85111230657&amp;doi=10.1016%2fj.jss.2021.111046&amp;partnerID=40&amp;md5=208ffc6b7b432ceee6d6017e974e86e9;http://dx.doi.org/10.1016/j.jss.2021.111046</v>
      </c>
      <c r="G332" s="15" t="str">
        <f ca="1">VLOOKUP(B332,'ALL DATABASES'!$A$1:$T$2252,3,FALSE)</f>
        <v>Journal Article</v>
      </c>
      <c r="H332" s="50" t="str">
        <f ca="1">VLOOKUP(B332,'ALL DATABASES'!$A$1:$T$2252,20,FALSE)</f>
        <v>SCOPUS</v>
      </c>
    </row>
    <row r="333" spans="1:8" ht="12.75" x14ac:dyDescent="0.2">
      <c r="A333">
        <v>332</v>
      </c>
      <c r="B333" s="15" t="str">
        <f ca="1">IFERROR(__xludf.DUMMYFUNCTION("""COMPUTED_VALUE"""),"Automated Software Measurement Strategies Elaboration Using Unsupervised Learning Data Analysis")</f>
        <v>Automated Software Measurement Strategies Elaboration Using Unsupervised Learning Data Analysis</v>
      </c>
      <c r="C333" s="15" t="str">
        <f ca="1">VLOOKUP(B333,'ALL DATABASES'!$A$1:$T$2252,2,FALSE)</f>
        <v>Sarah A. DahabStephane Maag</v>
      </c>
      <c r="D333" s="15">
        <f ca="1">VLOOKUP(B333,'ALL DATABASES'!$A$1:$T$2252,5,FALSE)</f>
        <v>2020</v>
      </c>
      <c r="E333" s="15">
        <f ca="1">VLOOKUP(B333,'ALL DATABASES'!$A$1:$T$2252,10,FALSE)</f>
        <v>0</v>
      </c>
      <c r="F333" s="54" t="str">
        <f ca="1">VLOOKUP(B333,'ALL DATABASES'!$A$1:$T$2252,14,FALSE)</f>
        <v>http://link.springer.com/chapter/10.1007/978-3-030-40223-5_17</v>
      </c>
      <c r="G333" s="15" t="str">
        <f ca="1">VLOOKUP(B333,'ALL DATABASES'!$A$1:$T$2252,3,FALSE)</f>
        <v>Chapter</v>
      </c>
      <c r="H333" s="50" t="str">
        <f ca="1">VLOOKUP(B333,'ALL DATABASES'!$A$1:$T$2252,20,FALSE)</f>
        <v>SPRINGER</v>
      </c>
    </row>
    <row r="334" spans="1:8" ht="12.75" x14ac:dyDescent="0.2">
      <c r="A334">
        <v>333</v>
      </c>
      <c r="B334" s="15" t="str">
        <f ca="1">IFERROR(__xludf.DUMMYFUNCTION("""COMPUTED_VALUE"""),"Automatic Classifying Self-Admitted Technical Debt Using N-Gram IDF")</f>
        <v>Automatic Classifying Self-Admitted Technical Debt Using N-Gram IDF</v>
      </c>
      <c r="C334" s="15" t="str">
        <f ca="1">VLOOKUP(B334,'ALL DATABASES'!$A$1:$T$2252,2,FALSE)</f>
        <v>Wattanakriengkrai S,Srisermphoak N,Sintoplertchaikul S,Choetkiertikul M,Ragkhitwetsagul C,Sunetnanta T,Hata H,Matsumoto K</v>
      </c>
      <c r="D334" s="15">
        <f ca="1">VLOOKUP(B334,'ALL DATABASES'!$A$1:$T$2252,5,FALSE)</f>
        <v>2019</v>
      </c>
      <c r="E334" s="53">
        <f ca="1">VLOOKUP(B334,'ALL DATABASES'!$A$1:$T$2252,10,FALSE)</f>
        <v>43800</v>
      </c>
      <c r="F334" s="54" t="str">
        <f ca="1">VLOOKUP(B334,'ALL DATABASES'!$A$1:$T$2252,14,FALSE)</f>
        <v>http://dx.doi.org/10.1109/APSEC48747.2019.00050</v>
      </c>
      <c r="G334" s="15" t="str">
        <f ca="1">VLOOKUP(B334,'ALL DATABASES'!$A$1:$T$2252,3,FALSE)</f>
        <v>Conference Paper</v>
      </c>
      <c r="H334" s="50" t="str">
        <f ca="1">VLOOKUP(B334,'ALL DATABASES'!$A$1:$T$2252,20,FALSE)</f>
        <v>IEEE</v>
      </c>
    </row>
    <row r="335" spans="1:8" ht="12.75" x14ac:dyDescent="0.2">
      <c r="A335">
        <v>334</v>
      </c>
      <c r="B335" s="15" t="str">
        <f ca="1">IFERROR(__xludf.DUMMYFUNCTION("""COMPUTED_VALUE"""),"Automatic clustering constraints derivation from object-oriented software using weighted complex network with graph theory analysis")</f>
        <v>Automatic clustering constraints derivation from object-oriented software using weighted complex network with graph theory analysis</v>
      </c>
      <c r="C335" s="15" t="str">
        <f ca="1">VLOOKUP(B335,'ALL DATABASES'!$A$1:$T$2252,2,FALSE)</f>
        <v>Chong CY,Lee SP</v>
      </c>
      <c r="D335" s="15">
        <f ca="1">VLOOKUP(B335,'ALL DATABASES'!$A$1:$T$2252,5,FALSE)</f>
        <v>2017</v>
      </c>
      <c r="E335" s="15">
        <f ca="1">VLOOKUP(B335,'ALL DATABASES'!$A$1:$T$2252,10,FALSE)</f>
        <v>2017</v>
      </c>
      <c r="F335" s="54" t="str">
        <f ca="1">VLOOKUP(B335,'ALL DATABASES'!$A$1:$T$2252,14,FALSE)</f>
        <v>https://www.sciencedirect.com/science/article/pii/S0164121217301772;http://dx.doi.org/10.1016/j.jss.2017.08.017</v>
      </c>
      <c r="G335" s="15" t="str">
        <f ca="1">VLOOKUP(B335,'ALL DATABASES'!$A$1:$T$2252,3,FALSE)</f>
        <v>Journal Article</v>
      </c>
      <c r="H335" s="50" t="str">
        <f ca="1">VLOOKUP(B335,'ALL DATABASES'!$A$1:$T$2252,20,FALSE)</f>
        <v>SCIENCEDIRECT</v>
      </c>
    </row>
    <row r="336" spans="1:8" ht="12.75" x14ac:dyDescent="0.2">
      <c r="A336">
        <v>335</v>
      </c>
      <c r="B336" s="15" t="str">
        <f ca="1">IFERROR(__xludf.DUMMYFUNCTION("""COMPUTED_VALUE"""),"Automatic Detection and Analysis of Technical Debts in Peer-Review Documentation of R Packages")</f>
        <v>Automatic Detection and Analysis of Technical Debts in Peer-Review Documentation of R Packages</v>
      </c>
      <c r="C336" s="15" t="str">
        <f ca="1">VLOOKUP(B336,'ALL DATABASES'!$A$1:$T$2252,2,FALSE)</f>
        <v>Khan JY,Uddin G</v>
      </c>
      <c r="D336" s="15">
        <f ca="1">VLOOKUP(B336,'ALL DATABASES'!$A$1:$T$2252,5,FALSE)</f>
        <v>2022</v>
      </c>
      <c r="E336" s="55">
        <f ca="1">VLOOKUP(B336,'ALL DATABASES'!$A$1:$T$2252,10,FALSE)</f>
        <v>44621</v>
      </c>
      <c r="F336" s="54" t="str">
        <f ca="1">VLOOKUP(B336,'ALL DATABASES'!$A$1:$T$2252,14,FALSE)</f>
        <v>http://dx.doi.org/10.1109/SANER53432.2022.00094</v>
      </c>
      <c r="G336" s="15" t="str">
        <f ca="1">VLOOKUP(B336,'ALL DATABASES'!$A$1:$T$2252,3,FALSE)</f>
        <v>Conference Paper</v>
      </c>
      <c r="H336" s="50" t="str">
        <f ca="1">VLOOKUP(B336,'ALL DATABASES'!$A$1:$T$2252,20,FALSE)</f>
        <v>IEEE</v>
      </c>
    </row>
    <row r="337" spans="1:8" ht="12.75" x14ac:dyDescent="0.2">
      <c r="A337">
        <v>336</v>
      </c>
      <c r="B337" s="15" t="str">
        <f ca="1">IFERROR(__xludf.DUMMYFUNCTION("""COMPUTED_VALUE"""),"Automatic detection of architectural bad smells through semantic representation of code")</f>
        <v>Automatic detection of architectural bad smells through semantic representation of code</v>
      </c>
      <c r="C337" s="15" t="str">
        <f ca="1">VLOOKUP(B337,'ALL DATABASES'!$A$1:$T$2252,2,FALSE)</f>
        <v>Pigazzini I</v>
      </c>
      <c r="D337" s="15">
        <f ca="1">VLOOKUP(B337,'ALL DATABASES'!$A$1:$T$2252,5,FALSE)</f>
        <v>2019</v>
      </c>
      <c r="E337" s="15">
        <f ca="1">VLOOKUP(B337,'ALL DATABASES'!$A$1:$T$2252,10,FALSE)</f>
        <v>2019</v>
      </c>
      <c r="F337" s="54" t="str">
        <f ca="1">VLOOKUP(B337,'ALL DATABASES'!$A$1:$T$2252,14,FALSE)</f>
        <v>https://www.scopus.com/inward/record.uri?eid=2-s2.0-85081967635&amp;doi=10.1145%2f3344948.3344951&amp;partnerID=40&amp;md5=5a48b9bc34d6094cf05bed35c263ad19;http://dx.doi.org/10.1145/3344948.3344951</v>
      </c>
      <c r="G337" s="15" t="str">
        <f ca="1">VLOOKUP(B337,'ALL DATABASES'!$A$1:$T$2252,3,FALSE)</f>
        <v>Conference Paper</v>
      </c>
      <c r="H337" s="50" t="str">
        <f ca="1">VLOOKUP(B337,'ALL DATABASES'!$A$1:$T$2252,20,FALSE)</f>
        <v>SCOPUS</v>
      </c>
    </row>
    <row r="338" spans="1:8" ht="12.75" x14ac:dyDescent="0.2">
      <c r="A338">
        <v>337</v>
      </c>
      <c r="B338" s="15" t="str">
        <f ca="1">IFERROR(__xludf.DUMMYFUNCTION("""COMPUTED_VALUE"""),"Automatic extraction of product line architecture and feature models from UML class diagram variants")</f>
        <v>Automatic extraction of product line architecture and feature models from UML class diagram variants</v>
      </c>
      <c r="C338" s="15" t="str">
        <f ca="1">VLOOKUP(B338,'ALL DATABASES'!$A$1:$T$2252,2,FALSE)</f>
        <v>Assunção WK,Vergilio SR,Lopez-Herrejon RE</v>
      </c>
      <c r="D338" s="15">
        <f ca="1">VLOOKUP(B338,'ALL DATABASES'!$A$1:$T$2252,5,FALSE)</f>
        <v>2020</v>
      </c>
      <c r="E338" s="15">
        <f ca="1">VLOOKUP(B338,'ALL DATABASES'!$A$1:$T$2252,10,FALSE)</f>
        <v>2020</v>
      </c>
      <c r="F338" s="54" t="str">
        <f ca="1">VLOOKUP(B338,'ALL DATABASES'!$A$1:$T$2252,14,FALSE)</f>
        <v>https://www.sciencedirect.com/science/article/pii/S0950584919302058;http://dx.doi.org/10.1016/j.infsof.2019.106198</v>
      </c>
      <c r="G338" s="15" t="str">
        <f ca="1">VLOOKUP(B338,'ALL DATABASES'!$A$1:$T$2252,3,FALSE)</f>
        <v>Journal Article</v>
      </c>
      <c r="H338" s="50" t="str">
        <f ca="1">VLOOKUP(B338,'ALL DATABASES'!$A$1:$T$2252,20,FALSE)</f>
        <v>SCIENCEDIRECT</v>
      </c>
    </row>
    <row r="339" spans="1:8" ht="12.75" x14ac:dyDescent="0.2">
      <c r="A339">
        <v>338</v>
      </c>
      <c r="B339" s="15" t="str">
        <f ca="1">IFERROR(__xludf.DUMMYFUNCTION("""COMPUTED_VALUE"""),"Automatic identification of architecture smell discussions from stack overflow")</f>
        <v>Automatic identification of architecture smell discussions from stack overflow</v>
      </c>
      <c r="C339" s="15" t="str">
        <f ca="1">VLOOKUP(B339,'ALL DATABASES'!$A$1:$T$2252,2,FALSE)</f>
        <v>Tian F,Lu F,Liang P,Babar MA</v>
      </c>
      <c r="D339" s="15">
        <f ca="1">VLOOKUP(B339,'ALL DATABASES'!$A$1:$T$2252,5,FALSE)</f>
        <v>2020</v>
      </c>
      <c r="E339" s="15">
        <f ca="1">VLOOKUP(B339,'ALL DATABASES'!$A$1:$T$2252,10,FALSE)</f>
        <v>2020</v>
      </c>
      <c r="F339" s="54" t="str">
        <f ca="1">VLOOKUP(B339,'ALL DATABASES'!$A$1:$T$2252,14,FALSE)</f>
        <v>https://www.scopus.com/inward/record.uri?eid=2-s2.0-85090507319&amp;doi=10.18293%2fSEKE2020-084&amp;partnerID=40&amp;md5=23ffd13ecb661a485d23117a4e4a8c80;http://dx.doi.org/10.18293/SEKE2020-084</v>
      </c>
      <c r="G339" s="15" t="str">
        <f ca="1">VLOOKUP(B339,'ALL DATABASES'!$A$1:$T$2252,3,FALSE)</f>
        <v>Conference Paper</v>
      </c>
      <c r="H339" s="50" t="str">
        <f ca="1">VLOOKUP(B339,'ALL DATABASES'!$A$1:$T$2252,20,FALSE)</f>
        <v>SCOPUS</v>
      </c>
    </row>
    <row r="340" spans="1:8" ht="12.75" x14ac:dyDescent="0.2">
      <c r="A340">
        <v>339</v>
      </c>
      <c r="B340" s="15" t="str">
        <f ca="1">IFERROR(__xludf.DUMMYFUNCTION("""COMPUTED_VALUE"""),"Automatic Identification of High-Impact Bug Report by Product and Test Code Quality")</f>
        <v>Automatic Identification of High-Impact Bug Report by Product and Test Code Quality</v>
      </c>
      <c r="C340" s="15" t="str">
        <f ca="1">VLOOKUP(B340,'ALL DATABASES'!$A$1:$T$2252,2,FALSE)</f>
        <v>Ding J,Fan G,Yu H,Huang Z</v>
      </c>
      <c r="D340" s="15">
        <f ca="1">VLOOKUP(B340,'ALL DATABASES'!$A$1:$T$2252,5,FALSE)</f>
        <v>2022</v>
      </c>
      <c r="E340" s="15">
        <f ca="1">VLOOKUP(B340,'ALL DATABASES'!$A$1:$T$2252,10,FALSE)</f>
        <v>2022</v>
      </c>
      <c r="F340" s="54" t="str">
        <f ca="1">VLOOKUP(B340,'ALL DATABASES'!$A$1:$T$2252,14,FALSE)</f>
        <v>https://www.scopus.com/inward/record.uri?eid=2-s2.0-85133877682&amp;doi=10.1142%2fS021819402250036X&amp;partnerID=40&amp;md5=e4bb8c9eedf8a89d47d6d2c367c02f4f;http://dx.doi.org/10.1142/S021819402250036X</v>
      </c>
      <c r="G340" s="15" t="str">
        <f ca="1">VLOOKUP(B340,'ALL DATABASES'!$A$1:$T$2252,3,FALSE)</f>
        <v>Journal Article</v>
      </c>
      <c r="H340" s="50" t="str">
        <f ca="1">VLOOKUP(B340,'ALL DATABASES'!$A$1:$T$2252,20,FALSE)</f>
        <v>SCOPUS</v>
      </c>
    </row>
    <row r="341" spans="1:8" ht="12.75" x14ac:dyDescent="0.2">
      <c r="A341">
        <v>340</v>
      </c>
      <c r="B341" s="15" t="str">
        <f ca="1">IFERROR(__xludf.DUMMYFUNCTION("""COMPUTED_VALUE"""),"Automatically Authoring Regression Tests for Machine-Learning Based Systems")</f>
        <v>Automatically Authoring Regression Tests for Machine-Learning Based Systems</v>
      </c>
      <c r="C341" s="15" t="str">
        <f ca="1">VLOOKUP(B341,'ALL DATABASES'!$A$1:$T$2252,2,FALSE)</f>
        <v>Zhu J,Long T,Memon A</v>
      </c>
      <c r="D341" s="15">
        <f ca="1">VLOOKUP(B341,'ALL DATABASES'!$A$1:$T$2252,5,FALSE)</f>
        <v>2021</v>
      </c>
      <c r="E341" s="15">
        <f ca="1">VLOOKUP(B341,'ALL DATABASES'!$A$1:$T$2252,10,FALSE)</f>
        <v>2021</v>
      </c>
      <c r="F341" s="54" t="str">
        <f ca="1">VLOOKUP(B341,'ALL DATABASES'!$A$1:$T$2252,14,FALSE)</f>
        <v>https://www.scopus.com/inward/record.uri?eid=2-s2.0-85115706103&amp;doi=10.1109%2fICSE-SEIP52600.2021.00049&amp;partnerID=40&amp;md5=1da4f8d366b90f2be0662d4fcc36661b;http://dx.doi.org/10.1109/ICSE-SEIP52600.2021.00049</v>
      </c>
      <c r="G341" s="15" t="str">
        <f ca="1">VLOOKUP(B341,'ALL DATABASES'!$A$1:$T$2252,3,FALSE)</f>
        <v>Conference Paper</v>
      </c>
      <c r="H341" s="50" t="str">
        <f ca="1">VLOOKUP(B341,'ALL DATABASES'!$A$1:$T$2252,20,FALSE)</f>
        <v>SCOPUS</v>
      </c>
    </row>
    <row r="342" spans="1:8" ht="12.75" x14ac:dyDescent="0.2">
      <c r="A342">
        <v>341</v>
      </c>
      <c r="B342" s="15" t="str">
        <f ca="1">IFERROR(__xludf.DUMMYFUNCTION("""COMPUTED_VALUE"""),"Automatically Debugging AutoML Pipelines Using Maro: ML Automated Remediation Oracle")</f>
        <v>Automatically Debugging AutoML Pipelines Using Maro: ML Automated Remediation Oracle</v>
      </c>
      <c r="C342" s="15" t="str">
        <f ca="1">VLOOKUP(B342,'ALL DATABASES'!$A$1:$T$2252,2,FALSE)</f>
        <v>Dolby J,Tsay J,Hirzel M</v>
      </c>
      <c r="D342" s="15">
        <f ca="1">VLOOKUP(B342,'ALL DATABASES'!$A$1:$T$2252,5,FALSE)</f>
        <v>2022</v>
      </c>
      <c r="E342" s="15">
        <f ca="1">VLOOKUP(B342,'ALL DATABASES'!$A$1:$T$2252,10,FALSE)</f>
        <v>2022</v>
      </c>
      <c r="F342" s="54" t="str">
        <f ca="1">VLOOKUP(B342,'ALL DATABASES'!$A$1:$T$2252,14,FALSE)</f>
        <v>https://doi.org/10.1145/3520312.3534868;http://dx.doi.org/10.1145/3520312.3534868</v>
      </c>
      <c r="G342" s="15" t="str">
        <f ca="1">VLOOKUP(B342,'ALL DATABASES'!$A$1:$T$2252,3,FALSE)</f>
        <v>Conference Paper</v>
      </c>
      <c r="H342" s="50" t="str">
        <f ca="1">VLOOKUP(B342,'ALL DATABASES'!$A$1:$T$2252,20,FALSE)</f>
        <v>ACM</v>
      </c>
    </row>
    <row r="343" spans="1:8" ht="12.75" x14ac:dyDescent="0.2">
      <c r="A343">
        <v>342</v>
      </c>
      <c r="B343" s="15" t="str">
        <f ca="1">IFERROR(__xludf.DUMMYFUNCTION("""COMPUTED_VALUE"""),"Automatically Learning Patterns for Self-Admitted Technical Debt Removal")</f>
        <v>Automatically Learning Patterns for Self-Admitted Technical Debt Removal</v>
      </c>
      <c r="C343" s="15" t="str">
        <f ca="1">VLOOKUP(B343,'ALL DATABASES'!$A$1:$T$2252,2,FALSE)</f>
        <v>Zampetti F,Serebrenik A,Di Penta M</v>
      </c>
      <c r="D343" s="15">
        <f ca="1">VLOOKUP(B343,'ALL DATABASES'!$A$1:$T$2252,5,FALSE)</f>
        <v>2020</v>
      </c>
      <c r="E343" s="55">
        <f ca="1">VLOOKUP(B343,'ALL DATABASES'!$A$1:$T$2252,10,FALSE)</f>
        <v>43862</v>
      </c>
      <c r="F343" s="54" t="str">
        <f ca="1">VLOOKUP(B343,'ALL DATABASES'!$A$1:$T$2252,14,FALSE)</f>
        <v>http://dx.doi.org/10.1109/SANER48275.2020.9054868</v>
      </c>
      <c r="G343" s="15" t="str">
        <f ca="1">VLOOKUP(B343,'ALL DATABASES'!$A$1:$T$2252,3,FALSE)</f>
        <v>Conference Paper</v>
      </c>
      <c r="H343" s="50" t="str">
        <f ca="1">VLOOKUP(B343,'ALL DATABASES'!$A$1:$T$2252,20,FALSE)</f>
        <v>IEEE</v>
      </c>
    </row>
    <row r="344" spans="1:8" ht="12.75" x14ac:dyDescent="0.2">
      <c r="A344">
        <v>343</v>
      </c>
      <c r="B344" s="15" t="str">
        <f ca="1">IFERROR(__xludf.DUMMYFUNCTION("""COMPUTED_VALUE"""),"Automating Change-Level Self-Admitted Technical Debt Determination")</f>
        <v>Automating Change-Level Self-Admitted Technical Debt Determination</v>
      </c>
      <c r="C344" s="15" t="str">
        <f ca="1">VLOOKUP(B344,'ALL DATABASES'!$A$1:$T$2252,2,FALSE)</f>
        <v>Yan M,Xia X,Shihab E,Lo D,Yin J,Yang X</v>
      </c>
      <c r="D344" s="15">
        <f ca="1">VLOOKUP(B344,'ALL DATABASES'!$A$1:$T$2252,5,FALSE)</f>
        <v>2019</v>
      </c>
      <c r="E344" s="53">
        <f ca="1">VLOOKUP(B344,'ALL DATABASES'!$A$1:$T$2252,10,FALSE)</f>
        <v>43800</v>
      </c>
      <c r="F344" s="54" t="str">
        <f ca="1">VLOOKUP(B344,'ALL DATABASES'!$A$1:$T$2252,14,FALSE)</f>
        <v>http://dx.doi.org/10.1109/TSE.2018.2831232</v>
      </c>
      <c r="G344" s="15" t="str">
        <f ca="1">VLOOKUP(B344,'ALL DATABASES'!$A$1:$T$2252,3,FALSE)</f>
        <v>Journal Article</v>
      </c>
      <c r="H344" s="50" t="str">
        <f ca="1">VLOOKUP(B344,'ALL DATABASES'!$A$1:$T$2252,20,FALSE)</f>
        <v>IEEE</v>
      </c>
    </row>
    <row r="345" spans="1:8" ht="12.75" x14ac:dyDescent="0.2">
      <c r="A345">
        <v>344</v>
      </c>
      <c r="B345" s="15" t="str">
        <f ca="1">IFERROR(__xludf.DUMMYFUNCTION("""COMPUTED_VALUE"""),"Automating the Removal of Obsolete TODO Comments")</f>
        <v>Automating the Removal of Obsolete TODO Comments</v>
      </c>
      <c r="C345" s="15" t="str">
        <f ca="1">VLOOKUP(B345,'ALL DATABASES'!$A$1:$T$2252,2,FALSE)</f>
        <v>Gao Z,Xia X,Lo D,Grundy J,Zimmermann T</v>
      </c>
      <c r="D345" s="15">
        <f ca="1">VLOOKUP(B345,'ALL DATABASES'!$A$1:$T$2252,5,FALSE)</f>
        <v>2021</v>
      </c>
      <c r="E345" s="15">
        <f ca="1">VLOOKUP(B345,'ALL DATABASES'!$A$1:$T$2252,10,FALSE)</f>
        <v>2021</v>
      </c>
      <c r="F345" s="54" t="str">
        <f ca="1">VLOOKUP(B345,'ALL DATABASES'!$A$1:$T$2252,14,FALSE)</f>
        <v>https://doi.org/10.1145/3468264.3468553;http://dx.doi.org/10.1145/3468264.3468553</v>
      </c>
      <c r="G345" s="15" t="str">
        <f ca="1">VLOOKUP(B345,'ALL DATABASES'!$A$1:$T$2252,3,FALSE)</f>
        <v>Conference Paper</v>
      </c>
      <c r="H345" s="50" t="str">
        <f ca="1">VLOOKUP(B345,'ALL DATABASES'!$A$1:$T$2252,20,FALSE)</f>
        <v>ACM</v>
      </c>
    </row>
    <row r="346" spans="1:8" ht="12.75" x14ac:dyDescent="0.2">
      <c r="A346">
        <v>345</v>
      </c>
      <c r="B346" s="15" t="str">
        <f ca="1">IFERROR(__xludf.DUMMYFUNCTION("""COMPUTED_VALUE"""),"Automation and artificial intelligence in software engineering: Experiences, challenges, and opportunities")</f>
        <v>Automation and artificial intelligence in software engineering: Experiences, challenges, and opportunities</v>
      </c>
      <c r="C346" s="15" t="str">
        <f ca="1">VLOOKUP(B346,'ALL DATABASES'!$A$1:$T$2252,2,FALSE)</f>
        <v>Latinovic M,Pammer-Schindler V</v>
      </c>
      <c r="D346" s="15">
        <f ca="1">VLOOKUP(B346,'ALL DATABASES'!$A$1:$T$2252,5,FALSE)</f>
        <v>2021</v>
      </c>
      <c r="E346" s="15">
        <f ca="1">VLOOKUP(B346,'ALL DATABASES'!$A$1:$T$2252,10,FALSE)</f>
        <v>2021</v>
      </c>
      <c r="F346" s="54" t="str">
        <f ca="1">VLOOKUP(B346,'ALL DATABASES'!$A$1:$T$2252,14,FALSE)</f>
        <v>https://www.scopus.com/inward/record.uri?eid=2-s2.0-85108363730&amp;partnerID=40&amp;md5=b59261f87494715ad245ea9a7431b02c</v>
      </c>
      <c r="G346" s="15" t="str">
        <f ca="1">VLOOKUP(B346,'ALL DATABASES'!$A$1:$T$2252,3,FALSE)</f>
        <v>Conference Paper</v>
      </c>
      <c r="H346" s="50" t="str">
        <f ca="1">VLOOKUP(B346,'ALL DATABASES'!$A$1:$T$2252,20,FALSE)</f>
        <v>SCOPUS</v>
      </c>
    </row>
    <row r="347" spans="1:8" ht="12.75" x14ac:dyDescent="0.2">
      <c r="A347">
        <v>346</v>
      </c>
      <c r="B347" s="15" t="str">
        <f ca="1">IFERROR(__xludf.DUMMYFUNCTION("""COMPUTED_VALUE"""),"Autonomic rejuvenation of cloud applications as a countermeasure to software anomalies")</f>
        <v>Autonomic rejuvenation of cloud applications as a countermeasure to software anomalies</v>
      </c>
      <c r="C347" s="15" t="str">
        <f ca="1">VLOOKUP(B347,'ALL DATABASES'!$A$1:$T$2252,2,FALSE)</f>
        <v>Di Sanzo P,Avresky DR,Pellegrini A</v>
      </c>
      <c r="D347" s="15">
        <f ca="1">VLOOKUP(B347,'ALL DATABASES'!$A$1:$T$2252,5,FALSE)</f>
        <v>2021</v>
      </c>
      <c r="E347" s="15">
        <f ca="1">VLOOKUP(B347,'ALL DATABASES'!$A$1:$T$2252,10,FALSE)</f>
        <v>2021</v>
      </c>
      <c r="F347" s="54" t="str">
        <f ca="1">VLOOKUP(B347,'ALL DATABASES'!$A$1:$T$2252,14,FALSE)</f>
        <v>https://www.scopus.com/inward/record.uri?eid=2-s2.0-85092325634&amp;doi=10.1002%2fspe.2908&amp;partnerID=40&amp;md5=1a51724d241ac77820dd5996e6211400;http://dx.doi.org/10.1002/spe.2908</v>
      </c>
      <c r="G347" s="15" t="str">
        <f ca="1">VLOOKUP(B347,'ALL DATABASES'!$A$1:$T$2252,3,FALSE)</f>
        <v>Journal Article</v>
      </c>
      <c r="H347" s="50" t="str">
        <f ca="1">VLOOKUP(B347,'ALL DATABASES'!$A$1:$T$2252,20,FALSE)</f>
        <v>SCOPUS</v>
      </c>
    </row>
    <row r="348" spans="1:8" ht="12.75" x14ac:dyDescent="0.2">
      <c r="A348">
        <v>347</v>
      </c>
      <c r="B348" s="15" t="str">
        <f ca="1">IFERROR(__xludf.DUMMYFUNCTION("""COMPUTED_VALUE"""),"Autonomous Vehicles: State of the Art, Future Trends, and Challenges")</f>
        <v>Autonomous Vehicles: State of the Art, Future Trends, and Challenges</v>
      </c>
      <c r="C348" s="15" t="str">
        <f ca="1">VLOOKUP(B348,'ALL DATABASES'!$A$1:$T$2252,2,FALSE)</f>
        <v>Piergiuseppe MallozziPatrizio PelliccioneAlessia KnaussChristian BergerNassar Mohammadiha</v>
      </c>
      <c r="D348" s="15">
        <f ca="1">VLOOKUP(B348,'ALL DATABASES'!$A$1:$T$2252,5,FALSE)</f>
        <v>2019</v>
      </c>
      <c r="E348" s="15">
        <f ca="1">VLOOKUP(B348,'ALL DATABASES'!$A$1:$T$2252,10,FALSE)</f>
        <v>0</v>
      </c>
      <c r="F348" s="54" t="str">
        <f ca="1">VLOOKUP(B348,'ALL DATABASES'!$A$1:$T$2252,14,FALSE)</f>
        <v>http://link.springer.com/chapter/10.1007/978-3-030-12157-0_16</v>
      </c>
      <c r="G348" s="15" t="str">
        <f ca="1">VLOOKUP(B348,'ALL DATABASES'!$A$1:$T$2252,3,FALSE)</f>
        <v>Chapter</v>
      </c>
      <c r="H348" s="50" t="str">
        <f ca="1">VLOOKUP(B348,'ALL DATABASES'!$A$1:$T$2252,20,FALSE)</f>
        <v>SPRINGER</v>
      </c>
    </row>
    <row r="349" spans="1:8" ht="12.75" x14ac:dyDescent="0.2">
      <c r="A349">
        <v>348</v>
      </c>
      <c r="B349" s="15" t="str">
        <f ca="1">IFERROR(__xludf.DUMMYFUNCTION("""COMPUTED_VALUE"""),"Available and Fault Tolerant IoT System: Applying Quality Engineering Method")</f>
        <v>Available and Fault Tolerant IoT System: Applying Quality Engineering Method</v>
      </c>
      <c r="C349" s="15" t="str">
        <f ca="1">VLOOKUP(B349,'ALL DATABASES'!$A$1:$T$2252,2,FALSE)</f>
        <v>Arakaki R,Hayashi VT,Ruggiero WV</v>
      </c>
      <c r="D349" s="15">
        <f ca="1">VLOOKUP(B349,'ALL DATABASES'!$A$1:$T$2252,5,FALSE)</f>
        <v>2020</v>
      </c>
      <c r="E349" s="55">
        <f ca="1">VLOOKUP(B349,'ALL DATABASES'!$A$1:$T$2252,10,FALSE)</f>
        <v>43983</v>
      </c>
      <c r="F349" s="54" t="str">
        <f ca="1">VLOOKUP(B349,'ALL DATABASES'!$A$1:$T$2252,14,FALSE)</f>
        <v>http://dx.doi.org/10.1109/ICECCE49384.2020.9179341</v>
      </c>
      <c r="G349" s="15" t="str">
        <f ca="1">VLOOKUP(B349,'ALL DATABASES'!$A$1:$T$2252,3,FALSE)</f>
        <v>Conference Paper</v>
      </c>
      <c r="H349" s="50" t="str">
        <f ca="1">VLOOKUP(B349,'ALL DATABASES'!$A$1:$T$2252,20,FALSE)</f>
        <v>IEEE</v>
      </c>
    </row>
    <row r="350" spans="1:8" ht="12.75" x14ac:dyDescent="0.2">
      <c r="A350">
        <v>349</v>
      </c>
      <c r="B350" s="15" t="str">
        <f ca="1">IFERROR(__xludf.DUMMYFUNCTION("""COMPUTED_VALUE"""),"Back to Basics - Redefining Quality Measurement for Hybrid Software Development Organizations")</f>
        <v>Back to Basics - Redefining Quality Measurement for Hybrid Software Development Organizations</v>
      </c>
      <c r="C350" s="15" t="str">
        <f ca="1">VLOOKUP(B350,'ALL DATABASES'!$A$1:$T$2252,2,FALSE)</f>
        <v>Pradhan S,Nanniyur V</v>
      </c>
      <c r="D350" s="15">
        <f ca="1">VLOOKUP(B350,'ALL DATABASES'!$A$1:$T$2252,5,FALSE)</f>
        <v>2019</v>
      </c>
      <c r="E350" s="53">
        <f ca="1">VLOOKUP(B350,'ALL DATABASES'!$A$1:$T$2252,10,FALSE)</f>
        <v>43739</v>
      </c>
      <c r="F350" s="54" t="str">
        <f ca="1">VLOOKUP(B350,'ALL DATABASES'!$A$1:$T$2252,14,FALSE)</f>
        <v>http://dx.doi.org/10.1109/ISSRE.2019.00047</v>
      </c>
      <c r="G350" s="15" t="str">
        <f ca="1">VLOOKUP(B350,'ALL DATABASES'!$A$1:$T$2252,3,FALSE)</f>
        <v>Conference Paper</v>
      </c>
      <c r="H350" s="50" t="str">
        <f ca="1">VLOOKUP(B350,'ALL DATABASES'!$A$1:$T$2252,20,FALSE)</f>
        <v>IEEE</v>
      </c>
    </row>
    <row r="351" spans="1:8" ht="12.75" x14ac:dyDescent="0.2">
      <c r="A351">
        <v>350</v>
      </c>
      <c r="B351" s="15" t="str">
        <f ca="1">IFERROR(__xludf.DUMMYFUNCTION("""COMPUTED_VALUE"""),"Backdoor attacks against learning systems")</f>
        <v>Backdoor attacks against learning systems</v>
      </c>
      <c r="C351" s="15" t="str">
        <f ca="1">VLOOKUP(B351,'ALL DATABASES'!$A$1:$T$2252,2,FALSE)</f>
        <v>Ji Y,Zhang X,Wang T</v>
      </c>
      <c r="D351" s="15">
        <f ca="1">VLOOKUP(B351,'ALL DATABASES'!$A$1:$T$2252,5,FALSE)</f>
        <v>2017</v>
      </c>
      <c r="E351" s="15">
        <f ca="1">VLOOKUP(B351,'ALL DATABASES'!$A$1:$T$2252,10,FALSE)</f>
        <v>2017</v>
      </c>
      <c r="F351" s="54" t="str">
        <f ca="1">VLOOKUP(B351,'ALL DATABASES'!$A$1:$T$2252,14,FALSE)</f>
        <v>https://www.scopus.com/inward/record.uri?eid=2-s2.0-85046538470&amp;doi=10.1109%2fCNS.2017.8228656&amp;partnerID=40&amp;md5=410698b1599618c640c36c579761578e;http://dx.doi.org/10.1109/CNS.2017.8228656</v>
      </c>
      <c r="G351" s="15" t="str">
        <f ca="1">VLOOKUP(B351,'ALL DATABASES'!$A$1:$T$2252,3,FALSE)</f>
        <v>Conference Paper</v>
      </c>
      <c r="H351" s="50" t="str">
        <f ca="1">VLOOKUP(B351,'ALL DATABASES'!$A$1:$T$2252,20,FALSE)</f>
        <v>SCOPUS</v>
      </c>
    </row>
    <row r="352" spans="1:8" ht="12.75" x14ac:dyDescent="0.2">
      <c r="A352">
        <v>351</v>
      </c>
      <c r="B352" s="15" t="str">
        <f ca="1">IFERROR(__xludf.DUMMYFUNCTION("""COMPUTED_VALUE"""),"Backports: Change Types, Challenges and Strategies")</f>
        <v>Backports: Change Types, Challenges and Strategies</v>
      </c>
      <c r="C352" s="15" t="str">
        <f ca="1">VLOOKUP(B352,'ALL DATABASES'!$A$1:$T$2252,2,FALSE)</f>
        <v>Chakroborti D,Schneider KA,Roy CK</v>
      </c>
      <c r="D352" s="15">
        <f ca="1">VLOOKUP(B352,'ALL DATABASES'!$A$1:$T$2252,5,FALSE)</f>
        <v>2022</v>
      </c>
      <c r="E352" s="15">
        <f ca="1">VLOOKUP(B352,'ALL DATABASES'!$A$1:$T$2252,10,FALSE)</f>
        <v>2022</v>
      </c>
      <c r="F352" s="54" t="str">
        <f ca="1">VLOOKUP(B352,'ALL DATABASES'!$A$1:$T$2252,14,FALSE)</f>
        <v>https://www.scopus.com/inward/record.uri?eid=2-s2.0-85133199215&amp;doi=10.1145%2f3524610.3527920&amp;partnerID=40&amp;md5=84721a129c81e53aaef1e0fec395a65e;http://dx.doi.org/10.1145/3524610.3527920</v>
      </c>
      <c r="G352" s="15" t="str">
        <f ca="1">VLOOKUP(B352,'ALL DATABASES'!$A$1:$T$2252,3,FALSE)</f>
        <v>Conference Paper</v>
      </c>
      <c r="H352" s="50" t="str">
        <f ca="1">VLOOKUP(B352,'ALL DATABASES'!$A$1:$T$2252,20,FALSE)</f>
        <v>SCOPUS</v>
      </c>
    </row>
    <row r="353" spans="1:8" ht="12.75" x14ac:dyDescent="0.2">
      <c r="A353">
        <v>352</v>
      </c>
      <c r="B353" s="15" t="str">
        <f ca="1">IFERROR(__xludf.DUMMYFUNCTION("""COMPUTED_VALUE"""),"Bad Smell Detection Using Machine Learning Techniques: A Systematic Literature Review")</f>
        <v>Bad Smell Detection Using Machine Learning Techniques: A Systematic Literature Review</v>
      </c>
      <c r="C353" s="15" t="str">
        <f ca="1">VLOOKUP(B353,'ALL DATABASES'!$A$1:$T$2252,2,FALSE)</f>
        <v>Al-Shaaby A,Aljamaan H,Alshayeb M</v>
      </c>
      <c r="D353" s="15">
        <f ca="1">VLOOKUP(B353,'ALL DATABASES'!$A$1:$T$2252,5,FALSE)</f>
        <v>2020</v>
      </c>
      <c r="E353" s="15">
        <f ca="1">VLOOKUP(B353,'ALL DATABASES'!$A$1:$T$2252,10,FALSE)</f>
        <v>2020</v>
      </c>
      <c r="F353" s="54" t="str">
        <f ca="1">VLOOKUP(B353,'ALL DATABASES'!$A$1:$T$2252,14,FALSE)</f>
        <v>https://www.scopus.com/inward/record.uri?eid=2-s2.0-85077525154&amp;doi=10.1007%2fs13369-019-04311-w&amp;partnerID=40&amp;md5=06c8c3007723dae56b5cf5c617175ccc;http://dx.doi.org/10.1007/s13369-019-04311-w</v>
      </c>
      <c r="G353" s="15" t="str">
        <f ca="1">VLOOKUP(B353,'ALL DATABASES'!$A$1:$T$2252,3,FALSE)</f>
        <v>Journal Article</v>
      </c>
      <c r="H353" s="50" t="str">
        <f ca="1">VLOOKUP(B353,'ALL DATABASES'!$A$1:$T$2252,20,FALSE)</f>
        <v>SCOPUS</v>
      </c>
    </row>
    <row r="354" spans="1:8" ht="12.75" x14ac:dyDescent="0.2">
      <c r="A354">
        <v>353</v>
      </c>
      <c r="B354" s="15" t="str">
        <f ca="1">IFERROR(__xludf.DUMMYFUNCTION("""COMPUTED_VALUE"""),"Bad smells of gang of four design patterns: A decade systematic literature review")</f>
        <v>Bad smells of gang of four design patterns: A decade systematic literature review</v>
      </c>
      <c r="C354" s="15" t="str">
        <f ca="1">VLOOKUP(B354,'ALL DATABASES'!$A$1:$T$2252,2,FALSE)</f>
        <v>Almadi SH,Hooshyar D,Ahmad RB</v>
      </c>
      <c r="D354" s="15">
        <f ca="1">VLOOKUP(B354,'ALL DATABASES'!$A$1:$T$2252,5,FALSE)</f>
        <v>2021</v>
      </c>
      <c r="E354" s="15">
        <f ca="1">VLOOKUP(B354,'ALL DATABASES'!$A$1:$T$2252,10,FALSE)</f>
        <v>2021</v>
      </c>
      <c r="F354" s="54" t="str">
        <f ca="1">VLOOKUP(B354,'ALL DATABASES'!$A$1:$T$2252,14,FALSE)</f>
        <v>https://www.scopus.com/inward/record.uri?eid=2-s2.0-85115170584&amp;doi=10.3390%2fsu131810256&amp;partnerID=40&amp;md5=4fb2fc036cbe512bcde25df6c544d84e;http://dx.doi.org/10.3390/su131810256</v>
      </c>
      <c r="G354" s="15" t="str">
        <f ca="1">VLOOKUP(B354,'ALL DATABASES'!$A$1:$T$2252,3,FALSE)</f>
        <v>Journal Article</v>
      </c>
      <c r="H354" s="50" t="str">
        <f ca="1">VLOOKUP(B354,'ALL DATABASES'!$A$1:$T$2252,20,FALSE)</f>
        <v>SCOPUS</v>
      </c>
    </row>
    <row r="355" spans="1:8" ht="12.75" x14ac:dyDescent="0.2">
      <c r="A355">
        <v>354</v>
      </c>
      <c r="B355" s="15" t="str">
        <f ca="1">IFERROR(__xludf.DUMMYFUNCTION("""COMPUTED_VALUE"""),"Banking 4.0")</f>
        <v>Banking 4.0</v>
      </c>
      <c r="C355" s="15" t="str">
        <f ca="1">VLOOKUP(B355,'ALL DATABASES'!$A$1:$T$2252,2,FALSE)</f>
        <v>Mohan Bhatia</v>
      </c>
      <c r="D355" s="15">
        <f ca="1">VLOOKUP(B355,'ALL DATABASES'!$A$1:$T$2252,5,FALSE)</f>
        <v>2022</v>
      </c>
      <c r="E355" s="15">
        <f ca="1">VLOOKUP(B355,'ALL DATABASES'!$A$1:$T$2252,10,FALSE)</f>
        <v>0</v>
      </c>
      <c r="F355" s="54" t="str">
        <f ca="1">VLOOKUP(B355,'ALL DATABASES'!$A$1:$T$2252,14,FALSE)</f>
        <v>http://link.springer.com/book/10.1007/978-981-16-6069-6</v>
      </c>
      <c r="G355" s="15" t="str">
        <f ca="1">VLOOKUP(B355,'ALL DATABASES'!$A$1:$T$2252,3,FALSE)</f>
        <v>Book</v>
      </c>
      <c r="H355" s="50" t="str">
        <f ca="1">VLOOKUP(B355,'ALL DATABASES'!$A$1:$T$2252,20,FALSE)</f>
        <v>SPRINGER</v>
      </c>
    </row>
    <row r="356" spans="1:8" ht="12.75" x14ac:dyDescent="0.2">
      <c r="A356">
        <v>355</v>
      </c>
      <c r="B356" s="15" t="str">
        <f ca="1">IFERROR(__xludf.DUMMYFUNCTION("""COMPUTED_VALUE"""),"Banking AI as a Service")</f>
        <v>Banking AI as a Service</v>
      </c>
      <c r="C356" s="15" t="str">
        <f ca="1">VLOOKUP(B356,'ALL DATABASES'!$A$1:$T$2252,2,FALSE)</f>
        <v>Mohan Bhatia</v>
      </c>
      <c r="D356" s="15">
        <f ca="1">VLOOKUP(B356,'ALL DATABASES'!$A$1:$T$2252,5,FALSE)</f>
        <v>2022</v>
      </c>
      <c r="E356" s="15">
        <f ca="1">VLOOKUP(B356,'ALL DATABASES'!$A$1:$T$2252,10,FALSE)</f>
        <v>0</v>
      </c>
      <c r="F356" s="54" t="str">
        <f ca="1">VLOOKUP(B356,'ALL DATABASES'!$A$1:$T$2252,14,FALSE)</f>
        <v>http://link.springer.com/chapter/10.1007/978-981-16-6069-6_12</v>
      </c>
      <c r="G356" s="15" t="str">
        <f ca="1">VLOOKUP(B356,'ALL DATABASES'!$A$1:$T$2252,3,FALSE)</f>
        <v>Chapter</v>
      </c>
      <c r="H356" s="50" t="str">
        <f ca="1">VLOOKUP(B356,'ALL DATABASES'!$A$1:$T$2252,20,FALSE)</f>
        <v>SPRINGER</v>
      </c>
    </row>
    <row r="357" spans="1:8" ht="12.75" x14ac:dyDescent="0.2">
      <c r="A357">
        <v>356</v>
      </c>
      <c r="B357" s="15" t="str">
        <f ca="1">IFERROR(__xludf.DUMMYFUNCTION("""COMPUTED_VALUE"""),"Banking and Bookkeeping")</f>
        <v>Banking and Bookkeeping</v>
      </c>
      <c r="C357" s="15" t="str">
        <f ca="1">VLOOKUP(B357,'ALL DATABASES'!$A$1:$T$2252,2,FALSE)</f>
        <v>Anderson R</v>
      </c>
      <c r="D357" s="15">
        <f ca="1">VLOOKUP(B357,'ALL DATABASES'!$A$1:$T$2252,5,FALSE)</f>
        <v>2020</v>
      </c>
      <c r="E357" s="15">
        <f ca="1">VLOOKUP(B357,'ALL DATABASES'!$A$1:$T$2252,10,FALSE)</f>
        <v>2020</v>
      </c>
      <c r="F357" s="54" t="str">
        <f ca="1">VLOOKUP(B357,'ALL DATABASES'!$A$1:$T$2252,14,FALSE)</f>
        <v>https://ieeexplore.ieee.org/document/9821971;http://dx.doi.org/10.1002/9781119644682.ch12</v>
      </c>
      <c r="G357" s="15" t="str">
        <f ca="1">VLOOKUP(B357,'ALL DATABASES'!$A$1:$T$2252,3,FALSE)</f>
        <v>Book Chapter</v>
      </c>
      <c r="H357" s="50" t="str">
        <f ca="1">VLOOKUP(B357,'ALL DATABASES'!$A$1:$T$2252,20,FALSE)</f>
        <v>IEEE</v>
      </c>
    </row>
    <row r="358" spans="1:8" ht="12.75" x14ac:dyDescent="0.2">
      <c r="A358">
        <v>357</v>
      </c>
      <c r="B358" s="15" t="str">
        <f ca="1">IFERROR(__xludf.DUMMYFUNCTION("""COMPUTED_VALUE"""),"Bayesian Stress Testing of Models in a Classification Hierarchy")</f>
        <v>Bayesian Stress Testing of Models in a Classification Hierarchy</v>
      </c>
      <c r="C358" s="15" t="str">
        <f ca="1">VLOOKUP(B358,'ALL DATABASES'!$A$1:$T$2252,2,FALSE)</f>
        <v>Awwad B,Hasan S,Kelly K</v>
      </c>
      <c r="D358" s="15">
        <f ca="1">VLOOKUP(B358,'ALL DATABASES'!$A$1:$T$2252,5,FALSE)</f>
        <v>2020</v>
      </c>
      <c r="E358" s="15">
        <f ca="1">VLOOKUP(B358,'ALL DATABASES'!$A$1:$T$2252,10,FALSE)</f>
        <v>2020</v>
      </c>
      <c r="F358" s="54" t="str">
        <f ca="1">VLOOKUP(B358,'ALL DATABASES'!$A$1:$T$2252,14,FALSE)</f>
        <v>https://www.scopus.com/inward/record.uri?eid=2-s2.0-85093832705&amp;doi=10.1109%2fIJCNN48605.2020.9207356&amp;partnerID=40&amp;md5=49ec179bf6889688add0b6da0c0e6f58;http://dx.doi.org/10.1109/IJCNN48605.2020.9207356</v>
      </c>
      <c r="G358" s="15" t="str">
        <f ca="1">VLOOKUP(B358,'ALL DATABASES'!$A$1:$T$2252,3,FALSE)</f>
        <v>Conference Paper</v>
      </c>
      <c r="H358" s="50" t="str">
        <f ca="1">VLOOKUP(B358,'ALL DATABASES'!$A$1:$T$2252,20,FALSE)</f>
        <v>SCOPUS</v>
      </c>
    </row>
    <row r="359" spans="1:8" ht="12.75" x14ac:dyDescent="0.2">
      <c r="A359">
        <v>358</v>
      </c>
      <c r="B359" s="15" t="str">
        <f ca="1">IFERROR(__xludf.DUMMYFUNCTION("""COMPUTED_VALUE"""),"Become ITILÂ® 4 Foundation Certified in 7 Days")</f>
        <v>Become ITILÂ® 4 Foundation Certified in 7 Days</v>
      </c>
      <c r="C359" s="15" t="str">
        <f ca="1">VLOOKUP(B359,'ALL DATABASES'!$A$1:$T$2252,2,FALSE)</f>
        <v>Abhinav Krishna Kaiser</v>
      </c>
      <c r="D359" s="15">
        <f ca="1">VLOOKUP(B359,'ALL DATABASES'!$A$1:$T$2252,5,FALSE)</f>
        <v>2021</v>
      </c>
      <c r="E359" s="15">
        <f ca="1">VLOOKUP(B359,'ALL DATABASES'!$A$1:$T$2252,10,FALSE)</f>
        <v>0</v>
      </c>
      <c r="F359" s="54" t="str">
        <f ca="1">VLOOKUP(B359,'ALL DATABASES'!$A$1:$T$2252,14,FALSE)</f>
        <v>http://link.springer.com/book/10.1007/978-1-4842-6361-7</v>
      </c>
      <c r="G359" s="15" t="str">
        <f ca="1">VLOOKUP(B359,'ALL DATABASES'!$A$1:$T$2252,3,FALSE)</f>
        <v>Book</v>
      </c>
      <c r="H359" s="50" t="str">
        <f ca="1">VLOOKUP(B359,'ALL DATABASES'!$A$1:$T$2252,20,FALSE)</f>
        <v>SPRINGER</v>
      </c>
    </row>
    <row r="360" spans="1:8" ht="12.75" x14ac:dyDescent="0.2">
      <c r="A360">
        <v>359</v>
      </c>
      <c r="B360" s="15" t="str">
        <f ca="1">IFERROR(__xludf.DUMMYFUNCTION("""COMPUTED_VALUE"""),"Beginning Apache Spark 3")</f>
        <v>Beginning Apache Spark 3</v>
      </c>
      <c r="C360" s="15" t="str">
        <f ca="1">VLOOKUP(B360,'ALL DATABASES'!$A$1:$T$2252,2,FALSE)</f>
        <v>Hien Luu</v>
      </c>
      <c r="D360" s="15">
        <f ca="1">VLOOKUP(B360,'ALL DATABASES'!$A$1:$T$2252,5,FALSE)</f>
        <v>2021</v>
      </c>
      <c r="E360" s="15">
        <f ca="1">VLOOKUP(B360,'ALL DATABASES'!$A$1:$T$2252,10,FALSE)</f>
        <v>0</v>
      </c>
      <c r="F360" s="54" t="str">
        <f ca="1">VLOOKUP(B360,'ALL DATABASES'!$A$1:$T$2252,14,FALSE)</f>
        <v>http://link.springer.com/book/10.1007/978-1-4842-7383-8</v>
      </c>
      <c r="G360" s="15" t="str">
        <f ca="1">VLOOKUP(B360,'ALL DATABASES'!$A$1:$T$2252,3,FALSE)</f>
        <v>Book</v>
      </c>
      <c r="H360" s="50" t="str">
        <f ca="1">VLOOKUP(B360,'ALL DATABASES'!$A$1:$T$2252,20,FALSE)</f>
        <v>SPRINGER</v>
      </c>
    </row>
    <row r="361" spans="1:8" ht="12.75" x14ac:dyDescent="0.2">
      <c r="A361">
        <v>360</v>
      </c>
      <c r="B361" s="15" t="str">
        <f ca="1">IFERROR(__xludf.DUMMYFUNCTION("""COMPUTED_VALUE"""),"Beginning Cloud Native Development with MicroProfile, Jakarta EE, and Kubernetes")</f>
        <v>Beginning Cloud Native Development with MicroProfile, Jakarta EE, and Kubernetes</v>
      </c>
      <c r="C361" s="15" t="str">
        <f ca="1">VLOOKUP(B361,'ALL DATABASES'!$A$1:$T$2252,2,FALSE)</f>
        <v>Tarun Telang</v>
      </c>
      <c r="D361" s="15">
        <f ca="1">VLOOKUP(B361,'ALL DATABASES'!$A$1:$T$2252,5,FALSE)</f>
        <v>2023</v>
      </c>
      <c r="E361" s="15">
        <f ca="1">VLOOKUP(B361,'ALL DATABASES'!$A$1:$T$2252,10,FALSE)</f>
        <v>0</v>
      </c>
      <c r="F361" s="54" t="str">
        <f ca="1">VLOOKUP(B361,'ALL DATABASES'!$A$1:$T$2252,14,FALSE)</f>
        <v>http://link.springer.com/book/10.1007/978-1-4842-8832-0</v>
      </c>
      <c r="G361" s="15" t="str">
        <f ca="1">VLOOKUP(B361,'ALL DATABASES'!$A$1:$T$2252,3,FALSE)</f>
        <v>Book</v>
      </c>
      <c r="H361" s="50" t="str">
        <f ca="1">VLOOKUP(B361,'ALL DATABASES'!$A$1:$T$2252,20,FALSE)</f>
        <v>SPRINGER</v>
      </c>
    </row>
    <row r="362" spans="1:8" ht="12.75" x14ac:dyDescent="0.2">
      <c r="A362">
        <v>361</v>
      </c>
      <c r="B362" s="15" t="str">
        <f ca="1">IFERROR(__xludf.DUMMYFUNCTION("""COMPUTED_VALUE"""),"Behavior-based test smells refactoring : Toward an automatic approach to refactoring Eager Test and Lazy Test smells")</f>
        <v>Behavior-based test smells refactoring : Toward an automatic approach to refactoring Eager Test and Lazy Test smells</v>
      </c>
      <c r="C362" s="15" t="str">
        <f ca="1">VLOOKUP(B362,'ALL DATABASES'!$A$1:$T$2252,2,FALSE)</f>
        <v>Pizzini A</v>
      </c>
      <c r="D362" s="15">
        <f ca="1">VLOOKUP(B362,'ALL DATABASES'!$A$1:$T$2252,5,FALSE)</f>
        <v>2022</v>
      </c>
      <c r="E362" s="15">
        <f ca="1">VLOOKUP(B362,'ALL DATABASES'!$A$1:$T$2252,10,FALSE)</f>
        <v>2022</v>
      </c>
      <c r="F362" s="54" t="str">
        <f ca="1">VLOOKUP(B362,'ALL DATABASES'!$A$1:$T$2252,14,FALSE)</f>
        <v>https://www.scopus.com/inward/record.uri?eid=2-s2.0-85132434050&amp;doi=10.1109%2fICSE-Companion55297.2022.9793823&amp;partnerID=40&amp;md5=c6a0344b1e5ab02c263e4e5140c2d432;http://dx.doi.org/10.1109/ICSE-Companion55297.2022.9793823</v>
      </c>
      <c r="G362" s="15" t="str">
        <f ca="1">VLOOKUP(B362,'ALL DATABASES'!$A$1:$T$2252,3,FALSE)</f>
        <v>Conference Paper</v>
      </c>
      <c r="H362" s="50" t="str">
        <f ca="1">VLOOKUP(B362,'ALL DATABASES'!$A$1:$T$2252,20,FALSE)</f>
        <v>SCOPUS</v>
      </c>
    </row>
    <row r="363" spans="1:8" ht="12.75" x14ac:dyDescent="0.2">
      <c r="A363">
        <v>362</v>
      </c>
      <c r="B363" s="15" t="str">
        <f ca="1">IFERROR(__xludf.DUMMYFUNCTION("""COMPUTED_VALUE"""),"Behind the scenes: On the relationship between developer experience and refactoring")</f>
        <v>Behind the scenes: On the relationship between developer experience and refactoring</v>
      </c>
      <c r="C363" s="15" t="str">
        <f ca="1">VLOOKUP(B363,'ALL DATABASES'!$A$1:$T$2252,2,FALSE)</f>
        <v>Alomar EA,Peruma A,Mkaouer MW,Newman CD,Ouni A</v>
      </c>
      <c r="D363" s="15">
        <f ca="1">VLOOKUP(B363,'ALL DATABASES'!$A$1:$T$2252,5,FALSE)</f>
        <v>2021</v>
      </c>
      <c r="E363" s="15">
        <f ca="1">VLOOKUP(B363,'ALL DATABASES'!$A$1:$T$2252,10,FALSE)</f>
        <v>2021</v>
      </c>
      <c r="F363" s="54" t="str">
        <f ca="1">VLOOKUP(B363,'ALL DATABASES'!$A$1:$T$2252,14,FALSE)</f>
        <v>https://www.scopus.com/inward/record.uri?eid=2-s2.0-85118239166&amp;doi=10.1002%2fsmr.2395&amp;partnerID=40&amp;md5=9de955604d3db3070dcb8e03e1eeaa85;http://dx.doi.org/10.1002/smr.2395</v>
      </c>
      <c r="G363" s="15" t="str">
        <f ca="1">VLOOKUP(B363,'ALL DATABASES'!$A$1:$T$2252,3,FALSE)</f>
        <v>Journal Article</v>
      </c>
      <c r="H363" s="50" t="str">
        <f ca="1">VLOOKUP(B363,'ALL DATABASES'!$A$1:$T$2252,20,FALSE)</f>
        <v>SCOPUS</v>
      </c>
    </row>
    <row r="364" spans="1:8" ht="12.75" x14ac:dyDescent="0.2">
      <c r="A364">
        <v>363</v>
      </c>
      <c r="B364" s="15" t="str">
        <f ca="1">IFERROR(__xludf.DUMMYFUNCTION("""COMPUTED_VALUE"""),"Benefitting from the Grey Literature in Software Engineering Research")</f>
        <v>Benefitting from the Grey Literature in Software Engineering Research</v>
      </c>
      <c r="C364" s="15" t="str">
        <f ca="1">VLOOKUP(B364,'ALL DATABASES'!$A$1:$T$2252,2,FALSE)</f>
        <v>Vahid GarousiMichael FeldererMika V. MÃ¤ntylÃ¤Austen Rainer</v>
      </c>
      <c r="D364" s="15">
        <f ca="1">VLOOKUP(B364,'ALL DATABASES'!$A$1:$T$2252,5,FALSE)</f>
        <v>2020</v>
      </c>
      <c r="E364" s="15">
        <f ca="1">VLOOKUP(B364,'ALL DATABASES'!$A$1:$T$2252,10,FALSE)</f>
        <v>0</v>
      </c>
      <c r="F364" s="54" t="str">
        <f ca="1">VLOOKUP(B364,'ALL DATABASES'!$A$1:$T$2252,14,FALSE)</f>
        <v>http://link.springer.com/chapter/10.1007/978-3-030-32489-6_14</v>
      </c>
      <c r="G364" s="15" t="str">
        <f ca="1">VLOOKUP(B364,'ALL DATABASES'!$A$1:$T$2252,3,FALSE)</f>
        <v>Chapter</v>
      </c>
      <c r="H364" s="50" t="str">
        <f ca="1">VLOOKUP(B364,'ALL DATABASES'!$A$1:$T$2252,20,FALSE)</f>
        <v>SPRINGER</v>
      </c>
    </row>
    <row r="365" spans="1:8" ht="12.75" x14ac:dyDescent="0.2">
      <c r="A365">
        <v>364</v>
      </c>
      <c r="B365" s="15" t="str">
        <f ca="1">IFERROR(__xludf.DUMMYFUNCTION("""COMPUTED_VALUE"""),"BESMER: An approach for bad smells summarization in systems models")</f>
        <v>BESMER: An approach for bad smells summarization in systems models</v>
      </c>
      <c r="C365" s="15" t="str">
        <f ca="1">VLOOKUP(B365,'ALL DATABASES'!$A$1:$T$2252,2,FALSE)</f>
        <v>Zhao X,Gray J</v>
      </c>
      <c r="D365" s="15">
        <f ca="1">VLOOKUP(B365,'ALL DATABASES'!$A$1:$T$2252,5,FALSE)</f>
        <v>2019</v>
      </c>
      <c r="E365" s="15">
        <f ca="1">VLOOKUP(B365,'ALL DATABASES'!$A$1:$T$2252,10,FALSE)</f>
        <v>2019</v>
      </c>
      <c r="F365" s="54" t="str">
        <f ca="1">VLOOKUP(B365,'ALL DATABASES'!$A$1:$T$2252,14,FALSE)</f>
        <v>https://www.scopus.com/inward/record.uri?eid=2-s2.0-85075945842&amp;doi=10.1109%2fMODELS-C.2019.00047&amp;partnerID=40&amp;md5=83cafd09cf7d406df4e10484612a43e4;http://dx.doi.org/10.1109/MODELS-C.2019.00047</v>
      </c>
      <c r="G365" s="15" t="str">
        <f ca="1">VLOOKUP(B365,'ALL DATABASES'!$A$1:$T$2252,3,FALSE)</f>
        <v>Conference Paper</v>
      </c>
      <c r="H365" s="50" t="str">
        <f ca="1">VLOOKUP(B365,'ALL DATABASES'!$A$1:$T$2252,20,FALSE)</f>
        <v>SCOPUS</v>
      </c>
    </row>
    <row r="366" spans="1:8" ht="12.75" x14ac:dyDescent="0.2">
      <c r="A366">
        <v>365</v>
      </c>
      <c r="B366" s="15" t="str">
        <f ca="1">IFERROR(__xludf.DUMMYFUNCTION("""COMPUTED_VALUE"""),"Better Data Labelling With EMBLEM (and how that Impacts Defect Prediction)")</f>
        <v>Better Data Labelling With EMBLEM (and how that Impacts Defect Prediction)</v>
      </c>
      <c r="C366" s="15" t="str">
        <f ca="1">VLOOKUP(B366,'ALL DATABASES'!$A$1:$T$2252,2,FALSE)</f>
        <v>Tu H,Yu Z,Menzies T</v>
      </c>
      <c r="D366" s="15">
        <f ca="1">VLOOKUP(B366,'ALL DATABASES'!$A$1:$T$2252,5,FALSE)</f>
        <v>2022</v>
      </c>
      <c r="E366" s="55">
        <f ca="1">VLOOKUP(B366,'ALL DATABASES'!$A$1:$T$2252,10,FALSE)</f>
        <v>44562</v>
      </c>
      <c r="F366" s="54" t="str">
        <f ca="1">VLOOKUP(B366,'ALL DATABASES'!$A$1:$T$2252,14,FALSE)</f>
        <v>http://dx.doi.org/10.1109/TSE.2020.2986415</v>
      </c>
      <c r="G366" s="15" t="str">
        <f ca="1">VLOOKUP(B366,'ALL DATABASES'!$A$1:$T$2252,3,FALSE)</f>
        <v>Journal Article</v>
      </c>
      <c r="H366" s="50" t="str">
        <f ca="1">VLOOKUP(B366,'ALL DATABASES'!$A$1:$T$2252,20,FALSE)</f>
        <v>IEEE</v>
      </c>
    </row>
    <row r="367" spans="1:8" ht="12.75" x14ac:dyDescent="0.2">
      <c r="A367">
        <v>366</v>
      </c>
      <c r="B367" s="15" t="str">
        <f ca="1">IFERROR(__xludf.DUMMYFUNCTION("""COMPUTED_VALUE"""),"Beware the evolving 'intelligent' web service! an integration architecture tactic to guard AI-first components")</f>
        <v>Beware the evolving 'intelligent' web service! an integration architecture tactic to guard AI-first components</v>
      </c>
      <c r="C367" s="15" t="str">
        <f ca="1">VLOOKUP(B367,'ALL DATABASES'!$A$1:$T$2252,2,FALSE)</f>
        <v>Cummaudo A,Barnett S,Vasa R,Grundy J,Abdelrazek M</v>
      </c>
      <c r="D367" s="15">
        <f ca="1">VLOOKUP(B367,'ALL DATABASES'!$A$1:$T$2252,5,FALSE)</f>
        <v>2020</v>
      </c>
      <c r="E367" s="15">
        <f ca="1">VLOOKUP(B367,'ALL DATABASES'!$A$1:$T$2252,10,FALSE)</f>
        <v>2020</v>
      </c>
      <c r="F367" s="54" t="str">
        <f ca="1">VLOOKUP(B367,'ALL DATABASES'!$A$1:$T$2252,14,FALSE)</f>
        <v>https://www.scopus.com/inward/record.uri?eid=2-s2.0-85095508614&amp;doi=10.1145%2f3368089.3409688&amp;partnerID=40&amp;md5=1a789e8c27a01344f0c422a4b1ff6f53;http://dx.doi.org/10.1145/3368089.3409688</v>
      </c>
      <c r="G367" s="15" t="str">
        <f ca="1">VLOOKUP(B367,'ALL DATABASES'!$A$1:$T$2252,3,FALSE)</f>
        <v>Conference Paper</v>
      </c>
      <c r="H367" s="50" t="str">
        <f ca="1">VLOOKUP(B367,'ALL DATABASES'!$A$1:$T$2252,20,FALSE)</f>
        <v>SCOPUS</v>
      </c>
    </row>
    <row r="368" spans="1:8" ht="12.75" x14ac:dyDescent="0.2">
      <c r="A368">
        <v>367</v>
      </c>
      <c r="B368" s="15" t="str">
        <f ca="1">IFERROR(__xludf.DUMMYFUNCTION("""COMPUTED_VALUE"""),"Beyond Hard and Soft OR: operational research from a software engineering perspective")</f>
        <v>Beyond Hard and Soft OR: operational research from a software engineering perspective</v>
      </c>
      <c r="C368" s="15" t="str">
        <f ca="1">VLOOKUP(B368,'ALL DATABASES'!$A$1:$T$2252,2,FALSE)</f>
        <v>Vidoni M</v>
      </c>
      <c r="D368" s="15">
        <f ca="1">VLOOKUP(B368,'ALL DATABASES'!$A$1:$T$2252,5,FALSE)</f>
        <v>2022</v>
      </c>
      <c r="E368" s="15">
        <f ca="1">VLOOKUP(B368,'ALL DATABASES'!$A$1:$T$2252,10,FALSE)</f>
        <v>2022</v>
      </c>
      <c r="F368" s="54" t="str">
        <f ca="1">VLOOKUP(B368,'ALL DATABASES'!$A$1:$T$2252,14,FALSE)</f>
        <v>https://www.scopus.com/inward/record.uri?eid=2-s2.0-85101476335&amp;doi=10.1080%2f01605682.2020.1865848&amp;partnerID=40&amp;md5=3cc10e6956c3732df5ec17d90661da5c;http://dx.doi.org/10.1080/01605682.2020.1865848</v>
      </c>
      <c r="G368" s="15" t="str">
        <f ca="1">VLOOKUP(B368,'ALL DATABASES'!$A$1:$T$2252,3,FALSE)</f>
        <v>Journal Article</v>
      </c>
      <c r="H368" s="50" t="str">
        <f ca="1">VLOOKUP(B368,'ALL DATABASES'!$A$1:$T$2252,20,FALSE)</f>
        <v>SCOPUS</v>
      </c>
    </row>
    <row r="369" spans="1:8" ht="12.75" x14ac:dyDescent="0.2">
      <c r="A369">
        <v>368</v>
      </c>
      <c r="B369" s="15" t="str">
        <f ca="1">IFERROR(__xludf.DUMMYFUNCTION("""COMPUTED_VALUE"""),"Beyond Smart and Connected Governments")</f>
        <v>Beyond Smart and Connected Governments</v>
      </c>
      <c r="C369" s="15" t="str">
        <f ca="1">VLOOKUP(B369,'ALL DATABASES'!$A$1:$T$2252,2,FALSE)</f>
        <v>J. Ramon Gil-GarciaTheresa A. PardoMila Gasco-Hernandez</v>
      </c>
      <c r="D369" s="15">
        <f ca="1">VLOOKUP(B369,'ALL DATABASES'!$A$1:$T$2252,5,FALSE)</f>
        <v>2020</v>
      </c>
      <c r="E369" s="15">
        <f ca="1">VLOOKUP(B369,'ALL DATABASES'!$A$1:$T$2252,10,FALSE)</f>
        <v>0</v>
      </c>
      <c r="F369" s="54" t="str">
        <f ca="1">VLOOKUP(B369,'ALL DATABASES'!$A$1:$T$2252,14,FALSE)</f>
        <v>http://link.springer.com/book/10.1007/978-3-030-37464-8</v>
      </c>
      <c r="G369" s="15" t="str">
        <f ca="1">VLOOKUP(B369,'ALL DATABASES'!$A$1:$T$2252,3,FALSE)</f>
        <v>Book</v>
      </c>
      <c r="H369" s="50" t="str">
        <f ca="1">VLOOKUP(B369,'ALL DATABASES'!$A$1:$T$2252,20,FALSE)</f>
        <v>SPRINGER</v>
      </c>
    </row>
    <row r="370" spans="1:8" ht="12.75" x14ac:dyDescent="0.2">
      <c r="A370">
        <v>369</v>
      </c>
      <c r="B370" s="15" t="str">
        <f ca="1">IFERROR(__xludf.DUMMYFUNCTION("""COMPUTED_VALUE"""),"Beyond Technical Aspects: How Do Community Smells Influence the Intensity of Code Smells?")</f>
        <v>Beyond Technical Aspects: How Do Community Smells Influence the Intensity of Code Smells?</v>
      </c>
      <c r="C370" s="15" t="str">
        <f ca="1">VLOOKUP(B370,'ALL DATABASES'!$A$1:$T$2252,2,FALSE)</f>
        <v>Palomba F,Andrew Tamburri D,Arcelli Fontana F,Oliveto R,Zaidman A,Serebrenik A</v>
      </c>
      <c r="D370" s="15">
        <f ca="1">VLOOKUP(B370,'ALL DATABASES'!$A$1:$T$2252,5,FALSE)</f>
        <v>2021</v>
      </c>
      <c r="E370" s="55">
        <f ca="1">VLOOKUP(B370,'ALL DATABASES'!$A$1:$T$2252,10,FALSE)</f>
        <v>44197</v>
      </c>
      <c r="F370" s="54" t="str">
        <f ca="1">VLOOKUP(B370,'ALL DATABASES'!$A$1:$T$2252,14,FALSE)</f>
        <v>http://dx.doi.org/10.1109/TSE.2018.2883603</v>
      </c>
      <c r="G370" s="15" t="str">
        <f ca="1">VLOOKUP(B370,'ALL DATABASES'!$A$1:$T$2252,3,FALSE)</f>
        <v>Journal Article</v>
      </c>
      <c r="H370" s="50" t="str">
        <f ca="1">VLOOKUP(B370,'ALL DATABASES'!$A$1:$T$2252,20,FALSE)</f>
        <v>IEEE</v>
      </c>
    </row>
    <row r="371" spans="1:8" ht="12.75" x14ac:dyDescent="0.2">
      <c r="A371">
        <v>370</v>
      </c>
      <c r="B371" s="15" t="str">
        <f ca="1">IFERROR(__xludf.DUMMYFUNCTION("""COMPUTED_VALUE"""),"Beyond the Code: Mining Self-Admitted Technical Debt in Issue Tracker Systems")</f>
        <v>Beyond the Code: Mining Self-Admitted Technical Debt in Issue Tracker Systems</v>
      </c>
      <c r="C371" s="15" t="str">
        <f ca="1">VLOOKUP(B371,'ALL DATABASES'!$A$1:$T$2252,2,FALSE)</f>
        <v>Xavier L,Ferreira F,Brito R,Valente MT</v>
      </c>
      <c r="D371" s="15">
        <f ca="1">VLOOKUP(B371,'ALL DATABASES'!$A$1:$T$2252,5,FALSE)</f>
        <v>2020</v>
      </c>
      <c r="E371" s="15">
        <f ca="1">VLOOKUP(B371,'ALL DATABASES'!$A$1:$T$2252,10,FALSE)</f>
        <v>2020</v>
      </c>
      <c r="F371" s="54" t="str">
        <f ca="1">VLOOKUP(B371,'ALL DATABASES'!$A$1:$T$2252,14,FALSE)</f>
        <v>https://doi.org/10.1145/3379597.3387459;http://dx.doi.org/10.1145/3379597.3387459</v>
      </c>
      <c r="G371" s="15" t="str">
        <f ca="1">VLOOKUP(B371,'ALL DATABASES'!$A$1:$T$2252,3,FALSE)</f>
        <v>Conference Paper</v>
      </c>
      <c r="H371" s="50" t="str">
        <f ca="1">VLOOKUP(B371,'ALL DATABASES'!$A$1:$T$2252,20,FALSE)</f>
        <v>ACM</v>
      </c>
    </row>
    <row r="372" spans="1:8" ht="12.75" x14ac:dyDescent="0.2">
      <c r="A372">
        <v>371</v>
      </c>
      <c r="B372" s="15" t="str">
        <f ca="1">IFERROR(__xludf.DUMMYFUNCTION("""COMPUTED_VALUE"""),"Bibliography")</f>
        <v>Bibliography</v>
      </c>
      <c r="C372" s="15" t="str">
        <f ca="1">VLOOKUP(B372,'ALL DATABASES'!$A$1:$T$2252,2,FALSE)</f>
        <v>Anderson R</v>
      </c>
      <c r="D372" s="15">
        <f ca="1">VLOOKUP(B372,'ALL DATABASES'!$A$1:$T$2252,5,FALSE)</f>
        <v>2020</v>
      </c>
      <c r="E372" s="15">
        <f ca="1">VLOOKUP(B372,'ALL DATABASES'!$A$1:$T$2252,10,FALSE)</f>
        <v>2020</v>
      </c>
      <c r="F372" s="54" t="str">
        <f ca="1">VLOOKUP(B372,'ALL DATABASES'!$A$1:$T$2252,14,FALSE)</f>
        <v>https://ieeexplore.ieee.org/document/9821663;http://dx.doi.org/10.1002/9781119644682.biblio</v>
      </c>
      <c r="G372" s="15" t="str">
        <f ca="1">VLOOKUP(B372,'ALL DATABASES'!$A$1:$T$2252,3,FALSE)</f>
        <v>Book Chapter</v>
      </c>
      <c r="H372" s="50" t="str">
        <f ca="1">VLOOKUP(B372,'ALL DATABASES'!$A$1:$T$2252,20,FALSE)</f>
        <v>IEEE</v>
      </c>
    </row>
    <row r="373" spans="1:8" ht="12.75" x14ac:dyDescent="0.2">
      <c r="A373">
        <v>372</v>
      </c>
      <c r="B373" s="15" t="str">
        <f ca="1">IFERROR(__xludf.DUMMYFUNCTION("""COMPUTED_VALUE"""),"BiDaML in Practice: Collaborative Modeling of Big Data Analytics Application Requirements")</f>
        <v>BiDaML in Practice: Collaborative Modeling of Big Data Analytics Application Requirements</v>
      </c>
      <c r="C373" s="15" t="str">
        <f ca="1">VLOOKUP(B373,'ALL DATABASES'!$A$1:$T$2252,2,FALSE)</f>
        <v>Khalajzadeh H,Simmons AJ,Verma T,Abdelrazek M,Grundy J,Hosking J,He Q,Ratnakanthan P,Zia A,Law M</v>
      </c>
      <c r="D373" s="15">
        <f ca="1">VLOOKUP(B373,'ALL DATABASES'!$A$1:$T$2252,5,FALSE)</f>
        <v>2021</v>
      </c>
      <c r="E373" s="15">
        <f ca="1">VLOOKUP(B373,'ALL DATABASES'!$A$1:$T$2252,10,FALSE)</f>
        <v>2021</v>
      </c>
      <c r="F373" s="54" t="str">
        <f ca="1">VLOOKUP(B373,'ALL DATABASES'!$A$1:$T$2252,14,FALSE)</f>
        <v>https://www.scopus.com/inward/record.uri?eid=2-s2.0-85103296998&amp;doi=10.1007%2f978-3-030-70006-5_5&amp;partnerID=40&amp;md5=56b6dc1ba648e4b4ab2b3fe83883ebc3;http://dx.doi.org/10.1007/978-3-030-70006-5_5</v>
      </c>
      <c r="G373" s="15" t="str">
        <f ca="1">VLOOKUP(B373,'ALL DATABASES'!$A$1:$T$2252,3,FALSE)</f>
        <v>Journal Article</v>
      </c>
      <c r="H373" s="50" t="str">
        <f ca="1">VLOOKUP(B373,'ALL DATABASES'!$A$1:$T$2252,20,FALSE)</f>
        <v>SCOPUS</v>
      </c>
    </row>
    <row r="374" spans="1:8" ht="12.75" x14ac:dyDescent="0.2">
      <c r="A374">
        <v>373</v>
      </c>
      <c r="B374" s="15" t="str">
        <f ca="1">IFERROR(__xludf.DUMMYFUNCTION("""COMPUTED_VALUE"""),"BiDaML: A Suite of Visual Languages for Supporting End-User Data Analytics")</f>
        <v>BiDaML: A Suite of Visual Languages for Supporting End-User Data Analytics</v>
      </c>
      <c r="C374" s="15" t="str">
        <f ca="1">VLOOKUP(B374,'ALL DATABASES'!$A$1:$T$2252,2,FALSE)</f>
        <v>Khalajzadeh H,Abdelrazek M,Grundy J,Hosking J,He Q</v>
      </c>
      <c r="D374" s="15">
        <f ca="1">VLOOKUP(B374,'ALL DATABASES'!$A$1:$T$2252,5,FALSE)</f>
        <v>2019</v>
      </c>
      <c r="E374" s="15">
        <f ca="1">VLOOKUP(B374,'ALL DATABASES'!$A$1:$T$2252,10,FALSE)</f>
        <v>2019</v>
      </c>
      <c r="F374" s="54" t="str">
        <f ca="1">VLOOKUP(B374,'ALL DATABASES'!$A$1:$T$2252,14,FALSE)</f>
        <v>https://www.scopus.com/inward/record.uri?eid=2-s2.0-85072781929&amp;doi=10.1109%2fBigDataCongress.2019.00025&amp;partnerID=40&amp;md5=d55f5a5347b43aa35291b1b926b0f294;http://dx.doi.org/10.1109/BigDataCongress.2019.00025</v>
      </c>
      <c r="G374" s="15" t="str">
        <f ca="1">VLOOKUP(B374,'ALL DATABASES'!$A$1:$T$2252,3,FALSE)</f>
        <v>Conference Paper</v>
      </c>
      <c r="H374" s="50" t="str">
        <f ca="1">VLOOKUP(B374,'ALL DATABASES'!$A$1:$T$2252,20,FALSE)</f>
        <v>SCOPUS</v>
      </c>
    </row>
    <row r="375" spans="1:8" ht="12.75" x14ac:dyDescent="0.2">
      <c r="A375">
        <v>374</v>
      </c>
      <c r="B375" s="15" t="str">
        <f ca="1">IFERROR(__xludf.DUMMYFUNCTION("""COMPUTED_VALUE"""),"Big Code != Big Vocabulary: Open-Vocabulary Models for Source Code")</f>
        <v>Big Code != Big Vocabulary: Open-Vocabulary Models for Source Code</v>
      </c>
      <c r="C375" s="15" t="str">
        <f ca="1">VLOOKUP(B375,'ALL DATABASES'!$A$1:$T$2252,2,FALSE)</f>
        <v>Karampatsis RM,Babii H,Robbes R,Sutton C,Janes A</v>
      </c>
      <c r="D375" s="15">
        <f ca="1">VLOOKUP(B375,'ALL DATABASES'!$A$1:$T$2252,5,FALSE)</f>
        <v>2020</v>
      </c>
      <c r="E375" s="15">
        <f ca="1">VLOOKUP(B375,'ALL DATABASES'!$A$1:$T$2252,10,FALSE)</f>
        <v>2020</v>
      </c>
      <c r="F375" s="54" t="str">
        <f ca="1">VLOOKUP(B375,'ALL DATABASES'!$A$1:$T$2252,14,FALSE)</f>
        <v>https://doi.org/10.1145/3377811.3380342;http://dx.doi.org/10.1145/3377811.3380342</v>
      </c>
      <c r="G375" s="15" t="str">
        <f ca="1">VLOOKUP(B375,'ALL DATABASES'!$A$1:$T$2252,3,FALSE)</f>
        <v>Conference Paper</v>
      </c>
      <c r="H375" s="50" t="str">
        <f ca="1">VLOOKUP(B375,'ALL DATABASES'!$A$1:$T$2252,20,FALSE)</f>
        <v>ACM</v>
      </c>
    </row>
    <row r="376" spans="1:8" ht="12.75" x14ac:dyDescent="0.2">
      <c r="A376">
        <v>375</v>
      </c>
      <c r="B376" s="15" t="str">
        <f ca="1">IFERROR(__xludf.DUMMYFUNCTION("""COMPUTED_VALUE"""),"Big Data Analytics")</f>
        <v>Big Data Analytics</v>
      </c>
      <c r="C376" s="15" t="str">
        <f ca="1">VLOOKUP(B376,'ALL DATABASES'!$A$1:$T$2252,2,FALSE)</f>
        <v>Dr. Sara D'OnofrioProf. Dr. Andreas Meier</v>
      </c>
      <c r="D376" s="15">
        <f ca="1">VLOOKUP(B376,'ALL DATABASES'!$A$1:$T$2252,5,FALSE)</f>
        <v>2021</v>
      </c>
      <c r="E376" s="15">
        <f ca="1">VLOOKUP(B376,'ALL DATABASES'!$A$1:$T$2252,10,FALSE)</f>
        <v>0</v>
      </c>
      <c r="F376" s="54" t="str">
        <f ca="1">VLOOKUP(B376,'ALL DATABASES'!$A$1:$T$2252,14,FALSE)</f>
        <v>http://link.springer.com/book/10.1007/978-3-658-32236-6</v>
      </c>
      <c r="G376" s="15" t="str">
        <f ca="1">VLOOKUP(B376,'ALL DATABASES'!$A$1:$T$2252,3,FALSE)</f>
        <v>Book</v>
      </c>
      <c r="H376" s="50" t="str">
        <f ca="1">VLOOKUP(B376,'ALL DATABASES'!$A$1:$T$2252,20,FALSE)</f>
        <v>SPRINGER</v>
      </c>
    </row>
    <row r="377" spans="1:8" ht="12.75" x14ac:dyDescent="0.2">
      <c r="A377">
        <v>376</v>
      </c>
      <c r="B377" s="15" t="str">
        <f ca="1">IFERROR(__xludf.DUMMYFUNCTION("""COMPUTED_VALUE"""),"Big Data analytics in Agile software development: A systematic mapping study")</f>
        <v>Big Data analytics in Agile software development: A systematic mapping study</v>
      </c>
      <c r="C377" s="15" t="str">
        <f ca="1">VLOOKUP(B377,'ALL DATABASES'!$A$1:$T$2252,2,FALSE)</f>
        <v>Biesialska K,Franch X,Muntés-Mulero V</v>
      </c>
      <c r="D377" s="15">
        <f ca="1">VLOOKUP(B377,'ALL DATABASES'!$A$1:$T$2252,5,FALSE)</f>
        <v>2021</v>
      </c>
      <c r="E377" s="15">
        <f ca="1">VLOOKUP(B377,'ALL DATABASES'!$A$1:$T$2252,10,FALSE)</f>
        <v>2021</v>
      </c>
      <c r="F377" s="54" t="str">
        <f ca="1">VLOOKUP(B377,'ALL DATABASES'!$A$1:$T$2252,14,FALSE)</f>
        <v>https://www.sciencedirect.com/science/article/pii/S0950584920301981;http://dx.doi.org/10.1016/j.infsof.2020.106448</v>
      </c>
      <c r="G377" s="15" t="str">
        <f ca="1">VLOOKUP(B377,'ALL DATABASES'!$A$1:$T$2252,3,FALSE)</f>
        <v>Journal Article</v>
      </c>
      <c r="H377" s="50" t="str">
        <f ca="1">VLOOKUP(B377,'ALL DATABASES'!$A$1:$T$2252,20,FALSE)</f>
        <v>SCIENCEDIRECT</v>
      </c>
    </row>
    <row r="378" spans="1:8" ht="12.75" x14ac:dyDescent="0.2">
      <c r="A378">
        <v>377</v>
      </c>
      <c r="B378" s="15" t="str">
        <f ca="1">IFERROR(__xludf.DUMMYFUNCTION("""COMPUTED_VALUE"""),"Big Data Semantics")</f>
        <v>Big Data Semantics</v>
      </c>
      <c r="C378" s="15" t="str">
        <f ca="1">VLOOKUP(B378,'ALL DATABASES'!$A$1:$T$2252,2,FALSE)</f>
        <v>Ceravolo P,Azzini A,Angelini M,Catarci T,Cudré-Mauroux P,Damiani E,Mazak A,Van Keulen M,Jarrar M,Santucci G,Sattler KU,Scannapieco M,Wimmer M,Wrembel R,Zaraket F</v>
      </c>
      <c r="D378" s="15">
        <f ca="1">VLOOKUP(B378,'ALL DATABASES'!$A$1:$T$2252,5,FALSE)</f>
        <v>2018</v>
      </c>
      <c r="E378" s="15">
        <f ca="1">VLOOKUP(B378,'ALL DATABASES'!$A$1:$T$2252,10,FALSE)</f>
        <v>2018</v>
      </c>
      <c r="F378" s="54" t="str">
        <f ca="1">VLOOKUP(B378,'ALL DATABASES'!$A$1:$T$2252,14,FALSE)</f>
        <v>https://www.scopus.com/inward/record.uri?eid=2-s2.0-85048500823&amp;doi=10.1007%2fs13740-018-0086-2&amp;partnerID=40&amp;md5=384d40e6b2ccb7b40f3745f3a7e7881f;http://dx.doi.org/10.1007/s13740-018-0086-2</v>
      </c>
      <c r="G378" s="15" t="str">
        <f ca="1">VLOOKUP(B378,'ALL DATABASES'!$A$1:$T$2252,3,FALSE)</f>
        <v>Journal Article</v>
      </c>
      <c r="H378" s="50" t="str">
        <f ca="1">VLOOKUP(B378,'ALL DATABASES'!$A$1:$T$2252,20,FALSE)</f>
        <v>SCOPUS</v>
      </c>
    </row>
    <row r="379" spans="1:8" ht="12.75" x14ac:dyDescent="0.2">
      <c r="A379">
        <v>378</v>
      </c>
      <c r="B379" s="15" t="str">
        <f ca="1">IFERROR(__xludf.DUMMYFUNCTION("""COMPUTED_VALUE"""),"Big Data, Cloud Computing, and Data Science Engineering")</f>
        <v>Big Data, Cloud Computing, and Data Science Engineering</v>
      </c>
      <c r="C379" s="15" t="str">
        <f ca="1">VLOOKUP(B379,'ALL DATABASES'!$A$1:$T$2252,2,FALSE)</f>
        <v>Prof. Dr. Roger Lee</v>
      </c>
      <c r="D379" s="15">
        <f ca="1">VLOOKUP(B379,'ALL DATABASES'!$A$1:$T$2252,5,FALSE)</f>
        <v>2020</v>
      </c>
      <c r="E379" s="15">
        <f ca="1">VLOOKUP(B379,'ALL DATABASES'!$A$1:$T$2252,10,FALSE)</f>
        <v>0</v>
      </c>
      <c r="F379" s="54" t="str">
        <f ca="1">VLOOKUP(B379,'ALL DATABASES'!$A$1:$T$2252,14,FALSE)</f>
        <v>http://link.springer.com/book/10.1007/978-3-030-24405-7</v>
      </c>
      <c r="G379" s="15" t="str">
        <f ca="1">VLOOKUP(B379,'ALL DATABASES'!$A$1:$T$2252,3,FALSE)</f>
        <v>Book</v>
      </c>
      <c r="H379" s="50" t="str">
        <f ca="1">VLOOKUP(B379,'ALL DATABASES'!$A$1:$T$2252,20,FALSE)</f>
        <v>SPRINGER</v>
      </c>
    </row>
    <row r="380" spans="1:8" ht="12.75" x14ac:dyDescent="0.2">
      <c r="A380">
        <v>379</v>
      </c>
      <c r="B380" s="15" t="str">
        <f ca="1">IFERROR(__xludf.DUMMYFUNCTION("""COMPUTED_VALUE"""),"Bioinformatics and Biomedical Engineering")</f>
        <v>Bioinformatics and Biomedical Engineering</v>
      </c>
      <c r="C380" s="15" t="str">
        <f ca="1">VLOOKUP(B380,'ALL DATABASES'!$A$1:$T$2252,2,FALSE)</f>
        <v>Ignacio RojasProf. Olga ValenzuelaProf. Fernando RojasAssoc. Prof. Luis Javier HerreraFrancisco OrtuÃ±o</v>
      </c>
      <c r="D380" s="15">
        <f ca="1">VLOOKUP(B380,'ALL DATABASES'!$A$1:$T$2252,5,FALSE)</f>
        <v>2022</v>
      </c>
      <c r="E380" s="15">
        <f ca="1">VLOOKUP(B380,'ALL DATABASES'!$A$1:$T$2252,10,FALSE)</f>
        <v>0</v>
      </c>
      <c r="F380" s="54" t="str">
        <f ca="1">VLOOKUP(B380,'ALL DATABASES'!$A$1:$T$2252,14,FALSE)</f>
        <v>http://link.springer.com/book/10.1007/978-3-031-07704-3</v>
      </c>
      <c r="G380" s="15" t="str">
        <f ca="1">VLOOKUP(B380,'ALL DATABASES'!$A$1:$T$2252,3,FALSE)</f>
        <v>Book</v>
      </c>
      <c r="H380" s="50" t="str">
        <f ca="1">VLOOKUP(B380,'ALL DATABASES'!$A$1:$T$2252,20,FALSE)</f>
        <v>SPRINGER</v>
      </c>
    </row>
    <row r="381" spans="1:8" ht="12.75" x14ac:dyDescent="0.2">
      <c r="A381">
        <v>380</v>
      </c>
      <c r="B381" s="15" t="str">
        <f ca="1">IFERROR(__xludf.DUMMYFUNCTION("""COMPUTED_VALUE"""),"Biomedical image classification made easier thanks to transfer and semi-supervised learning")</f>
        <v>Biomedical image classification made easier thanks to transfer and semi-supervised learning</v>
      </c>
      <c r="C381" s="15" t="str">
        <f ca="1">VLOOKUP(B381,'ALL DATABASES'!$A$1:$T$2252,2,FALSE)</f>
        <v>Inés A,Domínguez C,Heras J,Mata E,Pascual V</v>
      </c>
      <c r="D381" s="15">
        <f ca="1">VLOOKUP(B381,'ALL DATABASES'!$A$1:$T$2252,5,FALSE)</f>
        <v>2021</v>
      </c>
      <c r="E381" s="15">
        <f ca="1">VLOOKUP(B381,'ALL DATABASES'!$A$1:$T$2252,10,FALSE)</f>
        <v>2021</v>
      </c>
      <c r="F381" s="54" t="str">
        <f ca="1">VLOOKUP(B381,'ALL DATABASES'!$A$1:$T$2252,14,FALSE)</f>
        <v>https://www.scopus.com/inward/record.uri?eid=2-s2.0-85092453671&amp;doi=10.1016%2fj.cmpb.2020.105782&amp;partnerID=40&amp;md5=c872a54fce7931bff642bdf878096143;http://dx.doi.org/10.1016/j.cmpb.2020.105782</v>
      </c>
      <c r="G381" s="15" t="str">
        <f ca="1">VLOOKUP(B381,'ALL DATABASES'!$A$1:$T$2252,3,FALSE)</f>
        <v>Journal Article</v>
      </c>
      <c r="H381" s="50" t="str">
        <f ca="1">VLOOKUP(B381,'ALL DATABASES'!$A$1:$T$2252,20,FALSE)</f>
        <v>SCOPUS</v>
      </c>
    </row>
    <row r="382" spans="1:8" ht="12.75" x14ac:dyDescent="0.2">
      <c r="A382">
        <v>381</v>
      </c>
      <c r="B382" s="15" t="str">
        <f ca="1">IFERROR(__xludf.DUMMYFUNCTION("""COMPUTED_VALUE"""),"Biometric Measurement in Software Engineering")</f>
        <v>Biometric Measurement in Software Engineering</v>
      </c>
      <c r="C382" s="15" t="str">
        <f ca="1">VLOOKUP(B382,'ALL DATABASES'!$A$1:$T$2252,2,FALSE)</f>
        <v>Fabian FagerholmThomas Fritz</v>
      </c>
      <c r="D382" s="15">
        <f ca="1">VLOOKUP(B382,'ALL DATABASES'!$A$1:$T$2252,5,FALSE)</f>
        <v>2020</v>
      </c>
      <c r="E382" s="15">
        <f ca="1">VLOOKUP(B382,'ALL DATABASES'!$A$1:$T$2252,10,FALSE)</f>
        <v>0</v>
      </c>
      <c r="F382" s="54" t="str">
        <f ca="1">VLOOKUP(B382,'ALL DATABASES'!$A$1:$T$2252,14,FALSE)</f>
        <v>http://link.springer.com/chapter/10.1007/978-3-030-32489-6_6</v>
      </c>
      <c r="G382" s="15" t="str">
        <f ca="1">VLOOKUP(B382,'ALL DATABASES'!$A$1:$T$2252,3,FALSE)</f>
        <v>Chapter</v>
      </c>
      <c r="H382" s="50" t="str">
        <f ca="1">VLOOKUP(B382,'ALL DATABASES'!$A$1:$T$2252,20,FALSE)</f>
        <v>SPRINGER</v>
      </c>
    </row>
    <row r="383" spans="1:8" ht="12.75" x14ac:dyDescent="0.2">
      <c r="A383">
        <v>382</v>
      </c>
      <c r="B383" s="15" t="str">
        <f ca="1">IFERROR(__xludf.DUMMYFUNCTION("""COMPUTED_VALUE"""),"Blockchain and Applications, 4th International Congress")</f>
        <v>Blockchain and Applications, 4th International Congress</v>
      </c>
      <c r="C383" s="15" t="str">
        <f ca="1">VLOOKUP(B383,'ALL DATABASES'!$A$1:$T$2252,2,FALSE)</f>
        <v>Javier PrietoFrancisco Luis BenÃ­tez MartÃ­nezStefano FerrettiDavid Arroyo GuardeÃ±oPedro TomÃ¡s Nevado-Batalla</v>
      </c>
      <c r="D383" s="15">
        <f ca="1">VLOOKUP(B383,'ALL DATABASES'!$A$1:$T$2252,5,FALSE)</f>
        <v>2023</v>
      </c>
      <c r="E383" s="15">
        <f ca="1">VLOOKUP(B383,'ALL DATABASES'!$A$1:$T$2252,10,FALSE)</f>
        <v>0</v>
      </c>
      <c r="F383" s="54" t="str">
        <f ca="1">VLOOKUP(B383,'ALL DATABASES'!$A$1:$T$2252,14,FALSE)</f>
        <v>http://link.springer.com/book/10.1007/978-3-031-21229-1</v>
      </c>
      <c r="G383" s="15" t="str">
        <f ca="1">VLOOKUP(B383,'ALL DATABASES'!$A$1:$T$2252,3,FALSE)</f>
        <v>Book</v>
      </c>
      <c r="H383" s="50" t="str">
        <f ca="1">VLOOKUP(B383,'ALL DATABASES'!$A$1:$T$2252,20,FALSE)</f>
        <v>SPRINGER</v>
      </c>
    </row>
    <row r="384" spans="1:8" ht="12.75" x14ac:dyDescent="0.2">
      <c r="A384">
        <v>383</v>
      </c>
      <c r="B384" s="15" t="str">
        <f ca="1">IFERROR(__xludf.DUMMYFUNCTION("""COMPUTED_VALUE"""),"Blockchain and the Public Sector")</f>
        <v>Blockchain and the Public Sector</v>
      </c>
      <c r="C384" s="15" t="str">
        <f ca="1">VLOOKUP(B384,'ALL DATABASES'!$A$1:$T$2252,2,FALSE)</f>
        <v>Christopher G. ReddickManuel Pedro RodrÃ­guez-BolÃ­varHans Jochen Scholl</v>
      </c>
      <c r="D384" s="15">
        <f ca="1">VLOOKUP(B384,'ALL DATABASES'!$A$1:$T$2252,5,FALSE)</f>
        <v>2021</v>
      </c>
      <c r="E384" s="15">
        <f ca="1">VLOOKUP(B384,'ALL DATABASES'!$A$1:$T$2252,10,FALSE)</f>
        <v>0</v>
      </c>
      <c r="F384" s="54" t="str">
        <f ca="1">VLOOKUP(B384,'ALL DATABASES'!$A$1:$T$2252,14,FALSE)</f>
        <v>http://link.springer.com/book/10.1007/978-3-030-55746-1</v>
      </c>
      <c r="G384" s="15" t="str">
        <f ca="1">VLOOKUP(B384,'ALL DATABASES'!$A$1:$T$2252,3,FALSE)</f>
        <v>Book</v>
      </c>
      <c r="H384" s="50" t="str">
        <f ca="1">VLOOKUP(B384,'ALL DATABASES'!$A$1:$T$2252,20,FALSE)</f>
        <v>SPRINGER</v>
      </c>
    </row>
    <row r="385" spans="1:8" ht="12.75" x14ac:dyDescent="0.2">
      <c r="A385">
        <v>384</v>
      </c>
      <c r="B385" s="15" t="str">
        <f ca="1">IFERROR(__xludf.DUMMYFUNCTION("""COMPUTED_VALUE"""),"Bots in Software Engineering")</f>
        <v>Bots in Software Engineering</v>
      </c>
      <c r="C385" s="15" t="str">
        <f ca="1">VLOOKUP(B385,'ALL DATABASES'!$A$1:$T$2252,2,FALSE)</f>
        <v>Penzenstadler B,Abrahão S,Staron M,Serebrenik A,Carver JC,Hochstein L</v>
      </c>
      <c r="D385" s="15">
        <f ca="1">VLOOKUP(B385,'ALL DATABASES'!$A$1:$T$2252,5,FALSE)</f>
        <v>2022</v>
      </c>
      <c r="E385" s="55">
        <f ca="1">VLOOKUP(B385,'ALL DATABASES'!$A$1:$T$2252,10,FALSE)</f>
        <v>44805</v>
      </c>
      <c r="F385" s="54" t="str">
        <f ca="1">VLOOKUP(B385,'ALL DATABASES'!$A$1:$T$2252,14,FALSE)</f>
        <v>http://dx.doi.org/10.1109/MS.2022.3180906</v>
      </c>
      <c r="G385" s="15" t="str">
        <f ca="1">VLOOKUP(B385,'ALL DATABASES'!$A$1:$T$2252,3,FALSE)</f>
        <v>Journal Article</v>
      </c>
      <c r="H385" s="50" t="str">
        <f ca="1">VLOOKUP(B385,'ALL DATABASES'!$A$1:$T$2252,20,FALSE)</f>
        <v>IEEE</v>
      </c>
    </row>
    <row r="386" spans="1:8" ht="12.75" x14ac:dyDescent="0.2">
      <c r="A386">
        <v>385</v>
      </c>
      <c r="B386" s="15" t="str">
        <f ca="1">IFERROR(__xludf.DUMMYFUNCTION("""COMPUTED_VALUE"""),"Breaking the vicious circle: A case study on why AI for software analytics and business intelligence does not take off in practice")</f>
        <v>Breaking the vicious circle: A case study on why AI for software analytics and business intelligence does not take off in practice</v>
      </c>
      <c r="C386" s="15" t="str">
        <f ca="1">VLOOKUP(B386,'ALL DATABASES'!$A$1:$T$2252,2,FALSE)</f>
        <v>Figalist I,Elsner C,Bosch J,Olsson HH</v>
      </c>
      <c r="D386" s="15">
        <f ca="1">VLOOKUP(B386,'ALL DATABASES'!$A$1:$T$2252,5,FALSE)</f>
        <v>2022</v>
      </c>
      <c r="E386" s="15">
        <f ca="1">VLOOKUP(B386,'ALL DATABASES'!$A$1:$T$2252,10,FALSE)</f>
        <v>2022</v>
      </c>
      <c r="F386" s="54" t="str">
        <f ca="1">VLOOKUP(B386,'ALL DATABASES'!$A$1:$T$2252,14,FALSE)</f>
        <v>https://www.scopus.com/inward/record.uri?eid=2-s2.0-85119991290&amp;doi=10.1016%2fj.jss.2021.111135&amp;partnerID=40&amp;md5=89a7ed2b6b11a2e95db84791e2ba8bdc;http://dx.doi.org/10.1016/j.jss.2021.111135</v>
      </c>
      <c r="G386" s="15" t="str">
        <f ca="1">VLOOKUP(B386,'ALL DATABASES'!$A$1:$T$2252,3,FALSE)</f>
        <v>Journal Article</v>
      </c>
      <c r="H386" s="50" t="str">
        <f ca="1">VLOOKUP(B386,'ALL DATABASES'!$A$1:$T$2252,20,FALSE)</f>
        <v>SCOPUS</v>
      </c>
    </row>
    <row r="387" spans="1:8" ht="12.75" x14ac:dyDescent="0.2">
      <c r="A387">
        <v>386</v>
      </c>
      <c r="B387" s="15" t="str">
        <f ca="1">IFERROR(__xludf.DUMMYFUNCTION("""COMPUTED_VALUE"""),"Breaking the Vicious Circle: Why AI for software analytics and business intelligence does not take off in practice")</f>
        <v>Breaking the Vicious Circle: Why AI for software analytics and business intelligence does not take off in practice</v>
      </c>
      <c r="C387" s="15" t="str">
        <f ca="1">VLOOKUP(B387,'ALL DATABASES'!$A$1:$T$2252,2,FALSE)</f>
        <v>Figalist I,Elsner C,Bosch J,Olsson HH</v>
      </c>
      <c r="D387" s="15">
        <f ca="1">VLOOKUP(B387,'ALL DATABASES'!$A$1:$T$2252,5,FALSE)</f>
        <v>2020</v>
      </c>
      <c r="E387" s="15">
        <f ca="1">VLOOKUP(B387,'ALL DATABASES'!$A$1:$T$2252,10,FALSE)</f>
        <v>2020</v>
      </c>
      <c r="F387" s="54" t="str">
        <f ca="1">VLOOKUP(B387,'ALL DATABASES'!$A$1:$T$2252,14,FALSE)</f>
        <v>https://www.scopus.com/inward/record.uri?eid=2-s2.0-85096588430&amp;doi=10.1109%2fSEAA51224.2020.00013&amp;partnerID=40&amp;md5=91a0c66839f3e09a22ce76289f2c3d55;http://dx.doi.org/10.1109/SEAA51224.2020.00013</v>
      </c>
      <c r="G387" s="15" t="str">
        <f ca="1">VLOOKUP(B387,'ALL DATABASES'!$A$1:$T$2252,3,FALSE)</f>
        <v>Conference Paper</v>
      </c>
      <c r="H387" s="50" t="str">
        <f ca="1">VLOOKUP(B387,'ALL DATABASES'!$A$1:$T$2252,20,FALSE)</f>
        <v>SCOPUS</v>
      </c>
    </row>
    <row r="388" spans="1:8" ht="12.75" x14ac:dyDescent="0.2">
      <c r="A388">
        <v>387</v>
      </c>
      <c r="B388" s="15" t="str">
        <f ca="1">IFERROR(__xludf.DUMMYFUNCTION("""COMPUTED_VALUE"""),"Breezing My Way as a Solution Architect: A Retrospective on Skill Development and Use")</f>
        <v>Breezing My Way as a Solution Architect: A Retrospective on Skill Development and Use</v>
      </c>
      <c r="C388" s="15" t="str">
        <f ca="1">VLOOKUP(B388,'ALL DATABASES'!$A$1:$T$2252,2,FALSE)</f>
        <v>Krishnamurthy R</v>
      </c>
      <c r="D388" s="15">
        <f ca="1">VLOOKUP(B388,'ALL DATABASES'!$A$1:$T$2252,5,FALSE)</f>
        <v>2017</v>
      </c>
      <c r="E388" s="55">
        <f ca="1">VLOOKUP(B388,'ALL DATABASES'!$A$1:$T$2252,10,FALSE)</f>
        <v>42856</v>
      </c>
      <c r="F388" s="54" t="str">
        <f ca="1">VLOOKUP(B388,'ALL DATABASES'!$A$1:$T$2252,14,FALSE)</f>
        <v>http://dx.doi.org/10.1109/MS.2017.83</v>
      </c>
      <c r="G388" s="15" t="str">
        <f ca="1">VLOOKUP(B388,'ALL DATABASES'!$A$1:$T$2252,3,FALSE)</f>
        <v>Journal Article</v>
      </c>
      <c r="H388" s="50" t="str">
        <f ca="1">VLOOKUP(B388,'ALL DATABASES'!$A$1:$T$2252,20,FALSE)</f>
        <v>IEEE</v>
      </c>
    </row>
    <row r="389" spans="1:8" ht="12.75" x14ac:dyDescent="0.2">
      <c r="A389">
        <v>388</v>
      </c>
      <c r="B389" s="15" t="str">
        <f ca="1">IFERROR(__xludf.DUMMYFUNCTION("""COMPUTED_VALUE"""),"Bridging the Gap Between Java and Python in Mobile Software Development to Enable MLOps")</f>
        <v>Bridging the Gap Between Java and Python in Mobile Software Development to Enable MLOps</v>
      </c>
      <c r="C389" s="15" t="str">
        <f ca="1">VLOOKUP(B389,'ALL DATABASES'!$A$1:$T$2252,2,FALSE)</f>
        <v>Dautov R,Husom EJ,Gonidis F,Papatzelos S,Malamas N</v>
      </c>
      <c r="D389" s="15">
        <f ca="1">VLOOKUP(B389,'ALL DATABASES'!$A$1:$T$2252,5,FALSE)</f>
        <v>2022</v>
      </c>
      <c r="E389" s="15">
        <f ca="1">VLOOKUP(B389,'ALL DATABASES'!$A$1:$T$2252,10,FALSE)</f>
        <v>2022</v>
      </c>
      <c r="F389" s="54" t="str">
        <f ca="1">VLOOKUP(B389,'ALL DATABASES'!$A$1:$T$2252,14,FALSE)</f>
        <v>https://www.scopus.com/inward/record.uri?eid=2-s2.0-85142676326&amp;doi=10.1109%2fWiMob55322.2022.9941679&amp;partnerID=40&amp;md5=ffeebd57cd963a1cd94ec48e1e7c56b7;http://dx.doi.org/10.1109/WiMob55322.2022.9941679</v>
      </c>
      <c r="G389" s="15" t="str">
        <f ca="1">VLOOKUP(B389,'ALL DATABASES'!$A$1:$T$2252,3,FALSE)</f>
        <v>Conference Paper</v>
      </c>
      <c r="H389" s="50" t="str">
        <f ca="1">VLOOKUP(B389,'ALL DATABASES'!$A$1:$T$2252,20,FALSE)</f>
        <v>SCOPUS</v>
      </c>
    </row>
    <row r="390" spans="1:8" ht="12.75" x14ac:dyDescent="0.2">
      <c r="A390">
        <v>389</v>
      </c>
      <c r="B390" s="15" t="str">
        <f ca="1">IFERROR(__xludf.DUMMYFUNCTION("""COMPUTED_VALUE"""),"Bridging the gap between ML solutions and their business requirements using feature interactions")</f>
        <v>Bridging the gap between ML solutions and their business requirements using feature interactions</v>
      </c>
      <c r="C390" s="15" t="str">
        <f ca="1">VLOOKUP(B390,'ALL DATABASES'!$A$1:$T$2252,2,FALSE)</f>
        <v>Barash G,Farchi E,Jayaraman I,Raz O,Tzoref-Brill R,Zalmanovici M</v>
      </c>
      <c r="D390" s="15">
        <f ca="1">VLOOKUP(B390,'ALL DATABASES'!$A$1:$T$2252,5,FALSE)</f>
        <v>2019</v>
      </c>
      <c r="E390" s="15">
        <f ca="1">VLOOKUP(B390,'ALL DATABASES'!$A$1:$T$2252,10,FALSE)</f>
        <v>2019</v>
      </c>
      <c r="F390" s="54" t="str">
        <f ca="1">VLOOKUP(B390,'ALL DATABASES'!$A$1:$T$2252,14,FALSE)</f>
        <v>https://www.scopus.com/inward/record.uri?eid=2-s2.0-85071939298&amp;doi=10.1145%2f3338906.3340442&amp;partnerID=40&amp;md5=d0d611ca989e40d9cc00d308c1d892fe;http://dx.doi.org/10.1145/3338906.3340442</v>
      </c>
      <c r="G390" s="15" t="str">
        <f ca="1">VLOOKUP(B390,'ALL DATABASES'!$A$1:$T$2252,3,FALSE)</f>
        <v>Conference Paper</v>
      </c>
      <c r="H390" s="50" t="str">
        <f ca="1">VLOOKUP(B390,'ALL DATABASES'!$A$1:$T$2252,20,FALSE)</f>
        <v>SCOPUS</v>
      </c>
    </row>
    <row r="391" spans="1:8" ht="12.75" x14ac:dyDescent="0.2">
      <c r="A391">
        <v>390</v>
      </c>
      <c r="B391" s="15" t="str">
        <f ca="1">IFERROR(__xludf.DUMMYFUNCTION("""COMPUTED_VALUE"""),"Bridging the Gap Between Research and Production with CODE")</f>
        <v>Bridging the Gap Between Research and Production with CODE</v>
      </c>
      <c r="C391" s="15" t="str">
        <f ca="1">VLOOKUP(B391,'ALL DATABASES'!$A$1:$T$2252,2,FALSE)</f>
        <v>Yiping JinDittaya WanvariePhu T. V. Le</v>
      </c>
      <c r="D391" s="15">
        <f ca="1">VLOOKUP(B391,'ALL DATABASES'!$A$1:$T$2252,5,FALSE)</f>
        <v>2019</v>
      </c>
      <c r="E391" s="15">
        <f ca="1">VLOOKUP(B391,'ALL DATABASES'!$A$1:$T$2252,10,FALSE)</f>
        <v>0</v>
      </c>
      <c r="F391" s="54" t="str">
        <f ca="1">VLOOKUP(B391,'ALL DATABASES'!$A$1:$T$2252,14,FALSE)</f>
        <v>http://link.springer.com/chapter/10.1007/978-3-030-16142-2_22</v>
      </c>
      <c r="G391" s="15" t="str">
        <f ca="1">VLOOKUP(B391,'ALL DATABASES'!$A$1:$T$2252,3,FALSE)</f>
        <v>Chapter</v>
      </c>
      <c r="H391" s="50" t="str">
        <f ca="1">VLOOKUP(B391,'ALL DATABASES'!$A$1:$T$2252,20,FALSE)</f>
        <v>SPRINGER</v>
      </c>
    </row>
    <row r="392" spans="1:8" ht="12.75" x14ac:dyDescent="0.2">
      <c r="A392">
        <v>391</v>
      </c>
      <c r="B392" s="15" t="str">
        <f ca="1">IFERROR(__xludf.DUMMYFUNCTION("""COMPUTED_VALUE"""),"Bringing Green Software to Computer Science Curriculum: Perspectives from Researchers and Educators")</f>
        <v>Bringing Green Software to Computer Science Curriculum: Perspectives from Researchers and Educators</v>
      </c>
      <c r="C392" s="15" t="str">
        <f ca="1">VLOOKUP(B392,'ALL DATABASES'!$A$1:$T$2252,2,FALSE)</f>
        <v>Saraiva J,Zong Z,Pereira R</v>
      </c>
      <c r="D392" s="15">
        <f ca="1">VLOOKUP(B392,'ALL DATABASES'!$A$1:$T$2252,5,FALSE)</f>
        <v>2021</v>
      </c>
      <c r="E392" s="15">
        <f ca="1">VLOOKUP(B392,'ALL DATABASES'!$A$1:$T$2252,10,FALSE)</f>
        <v>2021</v>
      </c>
      <c r="F392" s="54" t="str">
        <f ca="1">VLOOKUP(B392,'ALL DATABASES'!$A$1:$T$2252,14,FALSE)</f>
        <v>https://doi.org/10.1145/3430665.3456386;http://dx.doi.org/10.1145/3430665.3456386</v>
      </c>
      <c r="G392" s="15" t="str">
        <f ca="1">VLOOKUP(B392,'ALL DATABASES'!$A$1:$T$2252,3,FALSE)</f>
        <v>Conference Paper</v>
      </c>
      <c r="H392" s="50" t="str">
        <f ca="1">VLOOKUP(B392,'ALL DATABASES'!$A$1:$T$2252,20,FALSE)</f>
        <v>ACM</v>
      </c>
    </row>
    <row r="393" spans="1:8" ht="12.75" x14ac:dyDescent="0.2">
      <c r="A393">
        <v>392</v>
      </c>
      <c r="B393" s="15" t="str">
        <f ca="1">IFERROR(__xludf.DUMMYFUNCTION("""COMPUTED_VALUE"""),"Bug Classification Depend Upon Refactoring Area of Code")</f>
        <v>Bug Classification Depend Upon Refactoring Area of Code</v>
      </c>
      <c r="C393" s="15" t="str">
        <f ca="1">VLOOKUP(B393,'ALL DATABASES'!$A$1:$T$2252,2,FALSE)</f>
        <v>Singh S,Jalal M,Kaur S</v>
      </c>
      <c r="D393" s="15">
        <f ca="1">VLOOKUP(B393,'ALL DATABASES'!$A$1:$T$2252,5,FALSE)</f>
        <v>2023</v>
      </c>
      <c r="E393" s="15">
        <f ca="1">VLOOKUP(B393,'ALL DATABASES'!$A$1:$T$2252,10,FALSE)</f>
        <v>2023</v>
      </c>
      <c r="F393" s="54" t="str">
        <f ca="1">VLOOKUP(B393,'ALL DATABASES'!$A$1:$T$2252,14,FALSE)</f>
        <v>https://www.scopus.com/inward/record.uri?eid=2-s2.0-85145750026&amp;doi=10.1007%2fs40031-022-00836-1&amp;partnerID=40&amp;md5=c3c27b4e2e6e93adc2285c0b4897029b;http://dx.doi.org/10.1007/s40031-022-00836-1</v>
      </c>
      <c r="G393" s="15" t="str">
        <f ca="1">VLOOKUP(B393,'ALL DATABASES'!$A$1:$T$2252,3,FALSE)</f>
        <v>Journal Article</v>
      </c>
      <c r="H393" s="50" t="str">
        <f ca="1">VLOOKUP(B393,'ALL DATABASES'!$A$1:$T$2252,20,FALSE)</f>
        <v>SCOPUS</v>
      </c>
    </row>
    <row r="394" spans="1:8" ht="12.75" x14ac:dyDescent="0.2">
      <c r="A394">
        <v>393</v>
      </c>
      <c r="B394" s="15" t="str">
        <f ca="1">IFERROR(__xludf.DUMMYFUNCTION("""COMPUTED_VALUE"""),"Building a Backend-as-a-Service Platform in Kubernetes")</f>
        <v>Building a Backend-as-a-Service Platform in Kubernetes</v>
      </c>
      <c r="C394" s="15" t="str">
        <f ca="1">VLOOKUP(B394,'ALL DATABASES'!$A$1:$T$2252,2,FALSE)</f>
        <v>Navaneeth V,Krithik Vasan B,Mageshwar S,Mercy W</v>
      </c>
      <c r="D394" s="15">
        <f ca="1">VLOOKUP(B394,'ALL DATABASES'!$A$1:$T$2252,5,FALSE)</f>
        <v>2022</v>
      </c>
      <c r="E394" s="53">
        <f ca="1">VLOOKUP(B394,'ALL DATABASES'!$A$1:$T$2252,10,FALSE)</f>
        <v>44835</v>
      </c>
      <c r="F394" s="54" t="str">
        <f ca="1">VLOOKUP(B394,'ALL DATABASES'!$A$1:$T$2252,14,FALSE)</f>
        <v>http://dx.doi.org/10.1109/ICOSEC54921.2022.9951895</v>
      </c>
      <c r="G394" s="15" t="str">
        <f ca="1">VLOOKUP(B394,'ALL DATABASES'!$A$1:$T$2252,3,FALSE)</f>
        <v>Conference Paper</v>
      </c>
      <c r="H394" s="50" t="str">
        <f ca="1">VLOOKUP(B394,'ALL DATABASES'!$A$1:$T$2252,20,FALSE)</f>
        <v>IEEE</v>
      </c>
    </row>
    <row r="395" spans="1:8" ht="12.75" x14ac:dyDescent="0.2">
      <c r="A395">
        <v>394</v>
      </c>
      <c r="B395" s="15" t="str">
        <f ca="1">IFERROR(__xludf.DUMMYFUNCTION("""COMPUTED_VALUE"""),"Building an organizational digital twin")</f>
        <v>Building an organizational digital twin</v>
      </c>
      <c r="C395" s="15" t="str">
        <f ca="1">VLOOKUP(B395,'ALL DATABASES'!$A$1:$T$2252,2,FALSE)</f>
        <v>Parmar R,Leiponen A,Thomas LD</v>
      </c>
      <c r="D395" s="15">
        <f ca="1">VLOOKUP(B395,'ALL DATABASES'!$A$1:$T$2252,5,FALSE)</f>
        <v>2020</v>
      </c>
      <c r="E395" s="15">
        <f ca="1">VLOOKUP(B395,'ALL DATABASES'!$A$1:$T$2252,10,FALSE)</f>
        <v>2020</v>
      </c>
      <c r="F395" s="54" t="str">
        <f ca="1">VLOOKUP(B395,'ALL DATABASES'!$A$1:$T$2252,14,FALSE)</f>
        <v>https://www.scopus.com/inward/record.uri?eid=2-s2.0-85089572287&amp;doi=10.1016%2fj.bushor.2020.08.001&amp;partnerID=40&amp;md5=d90e7f7b16669350bf9cb4325f9efc26;http://dx.doi.org/10.1016/j.bushor.2020.08.001</v>
      </c>
      <c r="G395" s="15" t="str">
        <f ca="1">VLOOKUP(B395,'ALL DATABASES'!$A$1:$T$2252,3,FALSE)</f>
        <v>Journal Article</v>
      </c>
      <c r="H395" s="50" t="str">
        <f ca="1">VLOOKUP(B395,'ALL DATABASES'!$A$1:$T$2252,20,FALSE)</f>
        <v>SCOPUS</v>
      </c>
    </row>
    <row r="396" spans="1:8" ht="12.75" x14ac:dyDescent="0.2">
      <c r="A396">
        <v>395</v>
      </c>
      <c r="B396" s="15" t="str">
        <f ca="1">IFERROR(__xludf.DUMMYFUNCTION("""COMPUTED_VALUE"""),"Building Empirical Support for Automated Code Smell Detection")</f>
        <v>Building Empirical Support for Automated Code Smell Detection</v>
      </c>
      <c r="C396" s="15" t="str">
        <f ca="1">VLOOKUP(B396,'ALL DATABASES'!$A$1:$T$2252,2,FALSE)</f>
        <v>Schumacher J,Zazworka N,Shull F,Seaman C,Shaw M</v>
      </c>
      <c r="D396" s="15">
        <f ca="1">VLOOKUP(B396,'ALL DATABASES'!$A$1:$T$2252,5,FALSE)</f>
        <v>2010</v>
      </c>
      <c r="E396" s="15">
        <f ca="1">VLOOKUP(B396,'ALL DATABASES'!$A$1:$T$2252,10,FALSE)</f>
        <v>2010</v>
      </c>
      <c r="F396" s="54" t="str">
        <f ca="1">VLOOKUP(B396,'ALL DATABASES'!$A$1:$T$2252,14,FALSE)</f>
        <v>https://doi.org/10.1145/1852786.1852797;http://dx.doi.org/10.1145/1852786.1852797</v>
      </c>
      <c r="G396" s="15" t="str">
        <f ca="1">VLOOKUP(B396,'ALL DATABASES'!$A$1:$T$2252,3,FALSE)</f>
        <v>Conference Paper</v>
      </c>
      <c r="H396" s="50" t="str">
        <f ca="1">VLOOKUP(B396,'ALL DATABASES'!$A$1:$T$2252,20,FALSE)</f>
        <v>ACM</v>
      </c>
    </row>
    <row r="397" spans="1:8" ht="12.75" x14ac:dyDescent="0.2">
      <c r="A397">
        <v>396</v>
      </c>
      <c r="B397" s="15" t="str">
        <f ca="1">IFERROR(__xludf.DUMMYFUNCTION("""COMPUTED_VALUE"""),"Building the Snowflake Data Cloud")</f>
        <v>Building the Snowflake Data Cloud</v>
      </c>
      <c r="C397" s="15" t="str">
        <f ca="1">VLOOKUP(B397,'ALL DATABASES'!$A$1:$T$2252,2,FALSE)</f>
        <v>Andrew Carruthers</v>
      </c>
      <c r="D397" s="15">
        <f ca="1">VLOOKUP(B397,'ALL DATABASES'!$A$1:$T$2252,5,FALSE)</f>
        <v>2022</v>
      </c>
      <c r="E397" s="15">
        <f ca="1">VLOOKUP(B397,'ALL DATABASES'!$A$1:$T$2252,10,FALSE)</f>
        <v>0</v>
      </c>
      <c r="F397" s="54" t="str">
        <f ca="1">VLOOKUP(B397,'ALL DATABASES'!$A$1:$T$2252,14,FALSE)</f>
        <v>http://link.springer.com/book/10.1007/978-1-4842-8593-0</v>
      </c>
      <c r="G397" s="15" t="str">
        <f ca="1">VLOOKUP(B397,'ALL DATABASES'!$A$1:$T$2252,3,FALSE)</f>
        <v>Book</v>
      </c>
      <c r="H397" s="50" t="str">
        <f ca="1">VLOOKUP(B397,'ALL DATABASES'!$A$1:$T$2252,20,FALSE)</f>
        <v>SPRINGER</v>
      </c>
    </row>
    <row r="398" spans="1:8" ht="12.75" x14ac:dyDescent="0.2">
      <c r="A398">
        <v>397</v>
      </c>
      <c r="B398" s="15" t="str">
        <f ca="1">IFERROR(__xludf.DUMMYFUNCTION("""COMPUTED_VALUE"""),"Building theÂ MSR Tool Kaiaulu: Design Principles andÂ Experiences")</f>
        <v>Building theÂ MSR Tool Kaiaulu: Design Principles andÂ Experiences</v>
      </c>
      <c r="C398" s="15" t="str">
        <f ca="1">VLOOKUP(B398,'ALL DATABASES'!$A$1:$T$2252,2,FALSE)</f>
        <v>Carlos ParadisRick Kazman</v>
      </c>
      <c r="D398" s="15">
        <f ca="1">VLOOKUP(B398,'ALL DATABASES'!$A$1:$T$2252,5,FALSE)</f>
        <v>2022</v>
      </c>
      <c r="E398" s="15">
        <f ca="1">VLOOKUP(B398,'ALL DATABASES'!$A$1:$T$2252,10,FALSE)</f>
        <v>0</v>
      </c>
      <c r="F398" s="54" t="str">
        <f ca="1">VLOOKUP(B398,'ALL DATABASES'!$A$1:$T$2252,14,FALSE)</f>
        <v>http://link.springer.com/chapter/10.1007/978-3-031-15116-3_6</v>
      </c>
      <c r="G398" s="15" t="str">
        <f ca="1">VLOOKUP(B398,'ALL DATABASES'!$A$1:$T$2252,3,FALSE)</f>
        <v>Chapter</v>
      </c>
      <c r="H398" s="50" t="str">
        <f ca="1">VLOOKUP(B398,'ALL DATABASES'!$A$1:$T$2252,20,FALSE)</f>
        <v>SPRINGER</v>
      </c>
    </row>
    <row r="399" spans="1:8" ht="12.75" x14ac:dyDescent="0.2">
      <c r="A399">
        <v>398</v>
      </c>
      <c r="B399" s="15" t="str">
        <f ca="1">IFERROR(__xludf.DUMMYFUNCTION("""COMPUTED_VALUE"""),"Building Uncertainty Models on Top of Black-Box Predictive APIs")</f>
        <v>Building Uncertainty Models on Top of Black-Box Predictive APIs</v>
      </c>
      <c r="C399" s="15" t="str">
        <f ca="1">VLOOKUP(B399,'ALL DATABASES'!$A$1:$T$2252,2,FALSE)</f>
        <v>Brando A,Torres D,Rodriguez-Serrano JA,Vitria J</v>
      </c>
      <c r="D399" s="15">
        <f ca="1">VLOOKUP(B399,'ALL DATABASES'!$A$1:$T$2252,5,FALSE)</f>
        <v>2020</v>
      </c>
      <c r="E399" s="15">
        <f ca="1">VLOOKUP(B399,'ALL DATABASES'!$A$1:$T$2252,10,FALSE)</f>
        <v>2020</v>
      </c>
      <c r="F399" s="54" t="str">
        <f ca="1">VLOOKUP(B399,'ALL DATABASES'!$A$1:$T$2252,14,FALSE)</f>
        <v>https://www.scopus.com/inward/record.uri?eid=2-s2.0-85088861187&amp;doi=10.1109%2fACCESS.2020.3006711&amp;partnerID=40&amp;md5=9ea2c26302aefb28b429868eac48f273;http://dx.doi.org/10.1109/ACCESS.2020.3006711</v>
      </c>
      <c r="G399" s="15" t="str">
        <f ca="1">VLOOKUP(B399,'ALL DATABASES'!$A$1:$T$2252,3,FALSE)</f>
        <v>Journal Article</v>
      </c>
      <c r="H399" s="50" t="str">
        <f ca="1">VLOOKUP(B399,'ALL DATABASES'!$A$1:$T$2252,20,FALSE)</f>
        <v>SCOPUS</v>
      </c>
    </row>
    <row r="400" spans="1:8" ht="12.75" x14ac:dyDescent="0.2">
      <c r="A400">
        <v>399</v>
      </c>
      <c r="B400" s="15" t="str">
        <f ca="1">IFERROR(__xludf.DUMMYFUNCTION("""COMPUTED_VALUE"""),"Burnout in software engineering: A systematic mapping study")</f>
        <v>Burnout in software engineering: A systematic mapping study</v>
      </c>
      <c r="C400" s="15" t="str">
        <f ca="1">VLOOKUP(B400,'ALL DATABASES'!$A$1:$T$2252,2,FALSE)</f>
        <v>Tulili TR,Capiluppi A,Rastogi A</v>
      </c>
      <c r="D400" s="15">
        <f ca="1">VLOOKUP(B400,'ALL DATABASES'!$A$1:$T$2252,5,FALSE)</f>
        <v>2023</v>
      </c>
      <c r="E400" s="15">
        <f ca="1">VLOOKUP(B400,'ALL DATABASES'!$A$1:$T$2252,10,FALSE)</f>
        <v>2023</v>
      </c>
      <c r="F400" s="54" t="str">
        <f ca="1">VLOOKUP(B400,'ALL DATABASES'!$A$1:$T$2252,14,FALSE)</f>
        <v>https://www.sciencedirect.com/science/article/pii/S0950584922002257;http://dx.doi.org/10.1016/j.infsof.2022.107116</v>
      </c>
      <c r="G400" s="15" t="str">
        <f ca="1">VLOOKUP(B400,'ALL DATABASES'!$A$1:$T$2252,3,FALSE)</f>
        <v>Journal Article</v>
      </c>
      <c r="H400" s="50" t="str">
        <f ca="1">VLOOKUP(B400,'ALL DATABASES'!$A$1:$T$2252,20,FALSE)</f>
        <v>SCIENCEDIRECT</v>
      </c>
    </row>
    <row r="401" spans="1:8" ht="12.75" x14ac:dyDescent="0.2">
      <c r="A401">
        <v>400</v>
      </c>
      <c r="B401" s="15" t="str">
        <f ca="1">IFERROR(__xludf.DUMMYFUNCTION("""COMPUTED_VALUE"""),"Bus Factor in Practice")</f>
        <v>Bus Factor in Practice</v>
      </c>
      <c r="C401" s="15" t="str">
        <f ca="1">VLOOKUP(B401,'ALL DATABASES'!$A$1:$T$2252,2,FALSE)</f>
        <v>Jabrayilzade E,Evtikhiev M,Tüzün E,Kovalenko V</v>
      </c>
      <c r="D401" s="15">
        <f ca="1">VLOOKUP(B401,'ALL DATABASES'!$A$1:$T$2252,5,FALSE)</f>
        <v>2022</v>
      </c>
      <c r="E401" s="15">
        <f ca="1">VLOOKUP(B401,'ALL DATABASES'!$A$1:$T$2252,10,FALSE)</f>
        <v>2022</v>
      </c>
      <c r="F401" s="54" t="str">
        <f ca="1">VLOOKUP(B401,'ALL DATABASES'!$A$1:$T$2252,14,FALSE)</f>
        <v>https://doi.org/10.1145/3510457.3513082;http://dx.doi.org/10.1145/3510457.3513082</v>
      </c>
      <c r="G401" s="15" t="str">
        <f ca="1">VLOOKUP(B401,'ALL DATABASES'!$A$1:$T$2252,3,FALSE)</f>
        <v>Conference Paper</v>
      </c>
      <c r="H401" s="50" t="str">
        <f ca="1">VLOOKUP(B401,'ALL DATABASES'!$A$1:$T$2252,20,FALSE)</f>
        <v>ACM</v>
      </c>
    </row>
    <row r="402" spans="1:8" ht="12.75" x14ac:dyDescent="0.2">
      <c r="A402">
        <v>401</v>
      </c>
      <c r="B402" s="15" t="str">
        <f ca="1">IFERROR(__xludf.DUMMYFUNCTION("""COMPUTED_VALUE"""),"Business applications of predictive modeling at scale")</f>
        <v>Business applications of predictive modeling at scale</v>
      </c>
      <c r="C402" s="15" t="str">
        <f ca="1">VLOOKUP(B402,'ALL DATABASES'!$A$1:$T$2252,2,FALSE)</f>
        <v>Zhu Q,Guo S,Ogilvie P,Liu Y</v>
      </c>
      <c r="D402" s="15">
        <f ca="1">VLOOKUP(B402,'ALL DATABASES'!$A$1:$T$2252,5,FALSE)</f>
        <v>2016</v>
      </c>
      <c r="E402" s="15">
        <f ca="1">VLOOKUP(B402,'ALL DATABASES'!$A$1:$T$2252,10,FALSE)</f>
        <v>2016</v>
      </c>
      <c r="F402" s="54" t="str">
        <f ca="1">VLOOKUP(B402,'ALL DATABASES'!$A$1:$T$2252,14,FALSE)</f>
        <v>https://www.scopus.com/inward/record.uri?eid=2-s2.0-84985021331&amp;doi=10.1145%2f2939672.2945388&amp;partnerID=40&amp;md5=c72fda8d1d66dc2a09daed6c9e63682b;http://dx.doi.org/10.1145/2939672.2945388</v>
      </c>
      <c r="G402" s="15" t="str">
        <f ca="1">VLOOKUP(B402,'ALL DATABASES'!$A$1:$T$2252,3,FALSE)</f>
        <v>Conference Paper</v>
      </c>
      <c r="H402" s="50" t="str">
        <f ca="1">VLOOKUP(B402,'ALL DATABASES'!$A$1:$T$2252,20,FALSE)</f>
        <v>SCOPUS</v>
      </c>
    </row>
    <row r="403" spans="1:8" ht="12.75" x14ac:dyDescent="0.2">
      <c r="A403">
        <v>402</v>
      </c>
      <c r="B403" s="15" t="str">
        <f ca="1">IFERROR(__xludf.DUMMYFUNCTION("""COMPUTED_VALUE"""),"Business Information Systems")</f>
        <v>Business Information Systems</v>
      </c>
      <c r="C403" s="15" t="str">
        <f ca="1">VLOOKUP(B403,'ALL DATABASES'!$A$1:$T$2252,2,FALSE)</f>
        <v>Prof. Witold AbramowiczGary Klein</v>
      </c>
      <c r="D403" s="15">
        <f ca="1">VLOOKUP(B403,'ALL DATABASES'!$A$1:$T$2252,5,FALSE)</f>
        <v>2020</v>
      </c>
      <c r="E403" s="15">
        <f ca="1">VLOOKUP(B403,'ALL DATABASES'!$A$1:$T$2252,10,FALSE)</f>
        <v>0</v>
      </c>
      <c r="F403" s="54" t="str">
        <f ca="1">VLOOKUP(B403,'ALL DATABASES'!$A$1:$T$2252,14,FALSE)</f>
        <v>http://link.springer.com/book/10.1007/978-3-030-53337-3</v>
      </c>
      <c r="G403" s="15" t="str">
        <f ca="1">VLOOKUP(B403,'ALL DATABASES'!$A$1:$T$2252,3,FALSE)</f>
        <v>Book</v>
      </c>
      <c r="H403" s="50" t="str">
        <f ca="1">VLOOKUP(B403,'ALL DATABASES'!$A$1:$T$2252,20,FALSE)</f>
        <v>SPRINGER</v>
      </c>
    </row>
    <row r="404" spans="1:8" ht="12.75" x14ac:dyDescent="0.2">
      <c r="A404">
        <v>403</v>
      </c>
      <c r="B404" s="15" t="str">
        <f ca="1">IFERROR(__xludf.DUMMYFUNCTION("""COMPUTED_VALUE"""),"Business Intelligence")</f>
        <v>Business Intelligence</v>
      </c>
      <c r="C404" s="15" t="str">
        <f ca="1">VLOOKUP(B404,'ALL DATABASES'!$A$1:$T$2252,2,FALSE)</f>
        <v>Rimvydas Skyrius</v>
      </c>
      <c r="D404" s="15">
        <f ca="1">VLOOKUP(B404,'ALL DATABASES'!$A$1:$T$2252,5,FALSE)</f>
        <v>2021</v>
      </c>
      <c r="E404" s="15">
        <f ca="1">VLOOKUP(B404,'ALL DATABASES'!$A$1:$T$2252,10,FALSE)</f>
        <v>0</v>
      </c>
      <c r="F404" s="54" t="str">
        <f ca="1">VLOOKUP(B404,'ALL DATABASES'!$A$1:$T$2252,14,FALSE)</f>
        <v>http://link.springer.com/book/10.1007/978-3-030-67032-0</v>
      </c>
      <c r="G404" s="15" t="str">
        <f ca="1">VLOOKUP(B404,'ALL DATABASES'!$A$1:$T$2252,3,FALSE)</f>
        <v>Book</v>
      </c>
      <c r="H404" s="50" t="str">
        <f ca="1">VLOOKUP(B404,'ALL DATABASES'!$A$1:$T$2252,20,FALSE)</f>
        <v>SPRINGER</v>
      </c>
    </row>
    <row r="405" spans="1:8" ht="12.75" x14ac:dyDescent="0.2">
      <c r="A405">
        <v>404</v>
      </c>
      <c r="B405" s="15" t="str">
        <f ca="1">IFERROR(__xludf.DUMMYFUNCTION("""COMPUTED_VALUE"""),"Business Modeling and Software Design")</f>
        <v>Business Modeling and Software Design</v>
      </c>
      <c r="C405" s="15" t="str">
        <f ca="1">VLOOKUP(B405,'ALL DATABASES'!$A$1:$T$2252,2,FALSE)</f>
        <v>Dr. Boris Shishkov</v>
      </c>
      <c r="D405" s="15">
        <f ca="1">VLOOKUP(B405,'ALL DATABASES'!$A$1:$T$2252,5,FALSE)</f>
        <v>2021</v>
      </c>
      <c r="E405" s="15">
        <f ca="1">VLOOKUP(B405,'ALL DATABASES'!$A$1:$T$2252,10,FALSE)</f>
        <v>0</v>
      </c>
      <c r="F405" s="54" t="str">
        <f ca="1">VLOOKUP(B405,'ALL DATABASES'!$A$1:$T$2252,14,FALSE)</f>
        <v>http://link.springer.com/book/10.1007/978-3-030-79976-2</v>
      </c>
      <c r="G405" s="15" t="str">
        <f ca="1">VLOOKUP(B405,'ALL DATABASES'!$A$1:$T$2252,3,FALSE)</f>
        <v>Book</v>
      </c>
      <c r="H405" s="50" t="str">
        <f ca="1">VLOOKUP(B405,'ALL DATABASES'!$A$1:$T$2252,20,FALSE)</f>
        <v>SPRINGER</v>
      </c>
    </row>
    <row r="406" spans="1:8" ht="12.75" x14ac:dyDescent="0.2">
      <c r="A406">
        <v>405</v>
      </c>
      <c r="B406" s="15" t="str">
        <f ca="1">IFERROR(__xludf.DUMMYFUNCTION("""COMPUTED_VALUE"""),"Business Models for the Circular Economy")</f>
        <v>Business Models for the Circular Economy</v>
      </c>
      <c r="C406" s="15" t="str">
        <f ca="1">VLOOKUP(B406,'ALL DATABASES'!$A$1:$T$2252,2,FALSE)</f>
        <v>Viktor ProkopJan StejskalJens HorbachWolfgang Gerstlberger</v>
      </c>
      <c r="D406" s="15">
        <f ca="1">VLOOKUP(B406,'ALL DATABASES'!$A$1:$T$2252,5,FALSE)</f>
        <v>2022</v>
      </c>
      <c r="E406" s="15">
        <f ca="1">VLOOKUP(B406,'ALL DATABASES'!$A$1:$T$2252,10,FALSE)</f>
        <v>0</v>
      </c>
      <c r="F406" s="54" t="str">
        <f ca="1">VLOOKUP(B406,'ALL DATABASES'!$A$1:$T$2252,14,FALSE)</f>
        <v>http://link.springer.com/book/10.1007/978-3-031-08313-6</v>
      </c>
      <c r="G406" s="15" t="str">
        <f ca="1">VLOOKUP(B406,'ALL DATABASES'!$A$1:$T$2252,3,FALSE)</f>
        <v>Book</v>
      </c>
      <c r="H406" s="50" t="str">
        <f ca="1">VLOOKUP(B406,'ALL DATABASES'!$A$1:$T$2252,20,FALSE)</f>
        <v>SPRINGER</v>
      </c>
    </row>
    <row r="407" spans="1:8" ht="12.75" x14ac:dyDescent="0.2">
      <c r="A407">
        <v>406</v>
      </c>
      <c r="B407" s="15" t="str">
        <f ca="1">IFERROR(__xludf.DUMMYFUNCTION("""COMPUTED_VALUE"""),"Business Process Management: Blockchain and Robotic Process Automation Forum")</f>
        <v>Business Process Management: Blockchain and Robotic Process Automation Forum</v>
      </c>
      <c r="C407" s="15" t="str">
        <f ca="1">VLOOKUP(B407,'ALL DATABASES'!$A$1:$T$2252,2,FALSE)</f>
        <v>Dr. JosÃ© GonzÃ¡lez EnrÃ­quezProf. SÃ¸ren DeboisProf. Dr. Peter FettkeDr. Pierluigi PlebaniInge van de WeerdProf. Dr. Ingo Weber</v>
      </c>
      <c r="D407" s="15">
        <f ca="1">VLOOKUP(B407,'ALL DATABASES'!$A$1:$T$2252,5,FALSE)</f>
        <v>2021</v>
      </c>
      <c r="E407" s="15">
        <f ca="1">VLOOKUP(B407,'ALL DATABASES'!$A$1:$T$2252,10,FALSE)</f>
        <v>0</v>
      </c>
      <c r="F407" s="54" t="str">
        <f ca="1">VLOOKUP(B407,'ALL DATABASES'!$A$1:$T$2252,14,FALSE)</f>
        <v>http://link.springer.com/book/10.1007/978-3-030-85867-4</v>
      </c>
      <c r="G407" s="15" t="str">
        <f ca="1">VLOOKUP(B407,'ALL DATABASES'!$A$1:$T$2252,3,FALSE)</f>
        <v>Book</v>
      </c>
      <c r="H407" s="50" t="str">
        <f ca="1">VLOOKUP(B407,'ALL DATABASES'!$A$1:$T$2252,20,FALSE)</f>
        <v>SPRINGER</v>
      </c>
    </row>
    <row r="408" spans="1:8" ht="12.75" x14ac:dyDescent="0.2">
      <c r="A408">
        <v>407</v>
      </c>
      <c r="B408" s="15" t="str">
        <f ca="1">IFERROR(__xludf.DUMMYFUNCTION("""COMPUTED_VALUE"""),"CALAIS - A Component Analysis Learning Algorithm for Inner Source Development")</f>
        <v>CALAIS - A Component Analysis Learning Algorithm for Inner Source Development</v>
      </c>
      <c r="C408" s="15" t="str">
        <f ca="1">VLOOKUP(B408,'ALL DATABASES'!$A$1:$T$2252,2,FALSE)</f>
        <v>Kenny R,Fallon E,Fallon S,Jacob P,Usher D</v>
      </c>
      <c r="D408" s="15">
        <f ca="1">VLOOKUP(B408,'ALL DATABASES'!$A$1:$T$2252,5,FALSE)</f>
        <v>2017</v>
      </c>
      <c r="E408" s="55">
        <f ca="1">VLOOKUP(B408,'ALL DATABASES'!$A$1:$T$2252,10,FALSE)</f>
        <v>42826</v>
      </c>
      <c r="F408" s="54" t="str">
        <f ca="1">VLOOKUP(B408,'ALL DATABASES'!$A$1:$T$2252,14,FALSE)</f>
        <v>http://dx.doi.org/10.1109/UKSim.2017.28</v>
      </c>
      <c r="G408" s="15" t="str">
        <f ca="1">VLOOKUP(B408,'ALL DATABASES'!$A$1:$T$2252,3,FALSE)</f>
        <v>Conference Paper</v>
      </c>
      <c r="H408" s="50" t="str">
        <f ca="1">VLOOKUP(B408,'ALL DATABASES'!$A$1:$T$2252,20,FALSE)</f>
        <v>IEEE</v>
      </c>
    </row>
    <row r="409" spans="1:8" ht="12.75" x14ac:dyDescent="0.2">
      <c r="A409">
        <v>408</v>
      </c>
      <c r="B409" s="15" t="str">
        <f ca="1">IFERROR(__xludf.DUMMYFUNCTION("""COMPUTED_VALUE"""),"Can ai close the design-code abstraction gap?")</f>
        <v>Can ai close the design-code abstraction gap?</v>
      </c>
      <c r="C409" s="15" t="str">
        <f ca="1">VLOOKUP(B409,'ALL DATABASES'!$A$1:$T$2252,2,FALSE)</f>
        <v>Ivers J,Ozkaya I,Nord RL</v>
      </c>
      <c r="D409" s="15">
        <f ca="1">VLOOKUP(B409,'ALL DATABASES'!$A$1:$T$2252,5,FALSE)</f>
        <v>2019</v>
      </c>
      <c r="E409" s="15">
        <f ca="1">VLOOKUP(B409,'ALL DATABASES'!$A$1:$T$2252,10,FALSE)</f>
        <v>2019</v>
      </c>
      <c r="F409" s="54" t="str">
        <f ca="1">VLOOKUP(B409,'ALL DATABASES'!$A$1:$T$2252,14,FALSE)</f>
        <v>https://www.scopus.com/inward/record.uri?eid=2-s2.0-85079266062&amp;doi=10.1109%2fASEW.2019.00041&amp;partnerID=40&amp;md5=000515e6207cd935696e69d1d84fb8fb;http://dx.doi.org/10.1109/ASEW.2019.00041</v>
      </c>
      <c r="G409" s="15" t="str">
        <f ca="1">VLOOKUP(B409,'ALL DATABASES'!$A$1:$T$2252,3,FALSE)</f>
        <v>Conference Paper</v>
      </c>
      <c r="H409" s="50" t="str">
        <f ca="1">VLOOKUP(B409,'ALL DATABASES'!$A$1:$T$2252,20,FALSE)</f>
        <v>SCOPUS</v>
      </c>
    </row>
    <row r="410" spans="1:8" ht="12.75" x14ac:dyDescent="0.2">
      <c r="A410">
        <v>409</v>
      </c>
      <c r="B410" s="15" t="str">
        <f ca="1">IFERROR(__xludf.DUMMYFUNCTION("""COMPUTED_VALUE"""),"Can i solve it? identifying apis required to complete OSS tasks")</f>
        <v>Can i solve it? identifying apis required to complete OSS tasks</v>
      </c>
      <c r="C410" s="15" t="str">
        <f ca="1">VLOOKUP(B410,'ALL DATABASES'!$A$1:$T$2252,2,FALSE)</f>
        <v>Santos F,Wiese I,Trinkenreich B,Steinmacher I,Sarma A,Gerosa MA</v>
      </c>
      <c r="D410" s="15">
        <f ca="1">VLOOKUP(B410,'ALL DATABASES'!$A$1:$T$2252,5,FALSE)</f>
        <v>2021</v>
      </c>
      <c r="E410" s="15">
        <f ca="1">VLOOKUP(B410,'ALL DATABASES'!$A$1:$T$2252,10,FALSE)</f>
        <v>2021</v>
      </c>
      <c r="F410" s="54" t="str">
        <f ca="1">VLOOKUP(B410,'ALL DATABASES'!$A$1:$T$2252,14,FALSE)</f>
        <v>https://www.scopus.com/inward/record.uri?eid=2-s2.0-85113614854&amp;doi=10.1109%2fMSR52588.2021.00047&amp;partnerID=40&amp;md5=b0f86906236d73ca080cfad3137970b8;http://dx.doi.org/10.1109/MSR52588.2021.00047</v>
      </c>
      <c r="G410" s="15" t="str">
        <f ca="1">VLOOKUP(B410,'ALL DATABASES'!$A$1:$T$2252,3,FALSE)</f>
        <v>Conference Paper</v>
      </c>
      <c r="H410" s="50" t="str">
        <f ca="1">VLOOKUP(B410,'ALL DATABASES'!$A$1:$T$2252,20,FALSE)</f>
        <v>SCOPUS</v>
      </c>
    </row>
    <row r="411" spans="1:8" ht="12.75" x14ac:dyDescent="0.2">
      <c r="A411">
        <v>410</v>
      </c>
      <c r="B411" s="15" t="str">
        <f ca="1">IFERROR(__xludf.DUMMYFUNCTION("""COMPUTED_VALUE"""),"Can Refactoring Be Self-Affirmed? An Exploratory Study on How Developers Document Their Refactoring Activities in Commit Messages")</f>
        <v>Can Refactoring Be Self-Affirmed? An Exploratory Study on How Developers Document Their Refactoring Activities in Commit Messages</v>
      </c>
      <c r="C411" s="15" t="str">
        <f ca="1">VLOOKUP(B411,'ALL DATABASES'!$A$1:$T$2252,2,FALSE)</f>
        <v>AlOmar E,Mkaouer MW,Ouni A</v>
      </c>
      <c r="D411" s="15">
        <f ca="1">VLOOKUP(B411,'ALL DATABASES'!$A$1:$T$2252,5,FALSE)</f>
        <v>2019</v>
      </c>
      <c r="E411" s="55">
        <f ca="1">VLOOKUP(B411,'ALL DATABASES'!$A$1:$T$2252,10,FALSE)</f>
        <v>43586</v>
      </c>
      <c r="F411" s="54" t="str">
        <f ca="1">VLOOKUP(B411,'ALL DATABASES'!$A$1:$T$2252,14,FALSE)</f>
        <v>http://dx.doi.org/10.1109/IWoR.2019.00017</v>
      </c>
      <c r="G411" s="15" t="str">
        <f ca="1">VLOOKUP(B411,'ALL DATABASES'!$A$1:$T$2252,3,FALSE)</f>
        <v>Conference Paper</v>
      </c>
      <c r="H411" s="50" t="str">
        <f ca="1">VLOOKUP(B411,'ALL DATABASES'!$A$1:$T$2252,20,FALSE)</f>
        <v>IEEE</v>
      </c>
    </row>
    <row r="412" spans="1:8" ht="12.75" x14ac:dyDescent="0.2">
      <c r="A412">
        <v>411</v>
      </c>
      <c r="B412" s="15" t="str">
        <f ca="1">IFERROR(__xludf.DUMMYFUNCTION("""COMPUTED_VALUE"""),"Can Source Code Analysis Indicate Programming Skills? A Survey with Developers")</f>
        <v>Can Source Code Analysis Indicate Programming Skills? A Survey with Developers</v>
      </c>
      <c r="C412" s="15" t="str">
        <f ca="1">VLOOKUP(B412,'ALL DATABASES'!$A$1:$T$2252,2,FALSE)</f>
        <v>Oliveira J,Souza M,Flauzino M,Durelli R,Figueiredo E</v>
      </c>
      <c r="D412" s="15">
        <f ca="1">VLOOKUP(B412,'ALL DATABASES'!$A$1:$T$2252,5,FALSE)</f>
        <v>2022</v>
      </c>
      <c r="E412" s="15">
        <f ca="1">VLOOKUP(B412,'ALL DATABASES'!$A$1:$T$2252,10,FALSE)</f>
        <v>2022</v>
      </c>
      <c r="F412" s="54" t="str">
        <f ca="1">VLOOKUP(B412,'ALL DATABASES'!$A$1:$T$2252,14,FALSE)</f>
        <v>https://www.scopus.com/inward/record.uri?eid=2-s2.0-85137987405&amp;doi=10.1007%2f978-3-031-14179-9_11&amp;partnerID=40&amp;md5=3310f3bcde2403572c5a9cfda7ee46d0;http://dx.doi.org/10.1007/978-3-031-14179-9_11</v>
      </c>
      <c r="G412" s="15" t="str">
        <f ca="1">VLOOKUP(B412,'ALL DATABASES'!$A$1:$T$2252,3,FALSE)</f>
        <v>Journal Article</v>
      </c>
      <c r="H412" s="50" t="str">
        <f ca="1">VLOOKUP(B412,'ALL DATABASES'!$A$1:$T$2252,20,FALSE)</f>
        <v>SCOPUS</v>
      </c>
    </row>
    <row r="413" spans="1:8" ht="12.75" x14ac:dyDescent="0.2">
      <c r="A413">
        <v>412</v>
      </c>
      <c r="B413" s="15" t="str">
        <f ca="1">IFERROR(__xludf.DUMMYFUNCTION("""COMPUTED_VALUE"""),"Can static analysis tools find more defects?: A qualitative study of design rule violations found by code review")</f>
        <v>Can static analysis tools find more defects?: A qualitative study of design rule violations found by code review</v>
      </c>
      <c r="C413" s="15" t="str">
        <f ca="1">VLOOKUP(B413,'ALL DATABASES'!$A$1:$T$2252,2,FALSE)</f>
        <v>Mehrpour S,LaToza TD</v>
      </c>
      <c r="D413" s="15">
        <f ca="1">VLOOKUP(B413,'ALL DATABASES'!$A$1:$T$2252,5,FALSE)</f>
        <v>2023</v>
      </c>
      <c r="E413" s="15">
        <f ca="1">VLOOKUP(B413,'ALL DATABASES'!$A$1:$T$2252,10,FALSE)</f>
        <v>2023</v>
      </c>
      <c r="F413" s="54" t="str">
        <f ca="1">VLOOKUP(B413,'ALL DATABASES'!$A$1:$T$2252,14,FALSE)</f>
        <v>https://www.scopus.com/inward/record.uri?eid=2-s2.0-85141711105&amp;doi=10.1007%2fs10664-022-10232-4&amp;partnerID=40&amp;md5=33688bd6b7dc703c2f4e84423900cb6b;http://dx.doi.org/10.1007/s10664-022-10232-4</v>
      </c>
      <c r="G413" s="15" t="str">
        <f ca="1">VLOOKUP(B413,'ALL DATABASES'!$A$1:$T$2252,3,FALSE)</f>
        <v>Journal Article</v>
      </c>
      <c r="H413" s="50" t="str">
        <f ca="1">VLOOKUP(B413,'ALL DATABASES'!$A$1:$T$2252,20,FALSE)</f>
        <v>SCOPUS</v>
      </c>
    </row>
    <row r="414" spans="1:8" ht="12.75" x14ac:dyDescent="0.2">
      <c r="A414">
        <v>413</v>
      </c>
      <c r="B414" s="15" t="str">
        <f ca="1">IFERROR(__xludf.DUMMYFUNCTION("""COMPUTED_VALUE"""),"Can We Really Achieve Software Quality?")</f>
        <v>Can We Really Achieve Software Quality?</v>
      </c>
      <c r="C414" s="15" t="str">
        <f ca="1">VLOOKUP(B414,'ALL DATABASES'!$A$1:$T$2252,2,FALSE)</f>
        <v>Ozkaya I</v>
      </c>
      <c r="D414" s="15">
        <f ca="1">VLOOKUP(B414,'ALL DATABASES'!$A$1:$T$2252,5,FALSE)</f>
        <v>2021</v>
      </c>
      <c r="E414" s="55">
        <f ca="1">VLOOKUP(B414,'ALL DATABASES'!$A$1:$T$2252,10,FALSE)</f>
        <v>44317</v>
      </c>
      <c r="F414" s="54" t="str">
        <f ca="1">VLOOKUP(B414,'ALL DATABASES'!$A$1:$T$2252,14,FALSE)</f>
        <v>http://dx.doi.org/10.1109/MS.2021.3060552</v>
      </c>
      <c r="G414" s="15" t="str">
        <f ca="1">VLOOKUP(B414,'ALL DATABASES'!$A$1:$T$2252,3,FALSE)</f>
        <v>Journal Article</v>
      </c>
      <c r="H414" s="50" t="str">
        <f ca="1">VLOOKUP(B414,'ALL DATABASES'!$A$1:$T$2252,20,FALSE)</f>
        <v>IEEE</v>
      </c>
    </row>
    <row r="415" spans="1:8" ht="12.75" x14ac:dyDescent="0.2">
      <c r="A415">
        <v>414</v>
      </c>
      <c r="B415" s="15" t="str">
        <f ca="1">IFERROR(__xludf.DUMMYFUNCTION("""COMPUTED_VALUE"""),"Can we trust tests to automate dependency updates? A case study of Java Projects")</f>
        <v>Can we trust tests to automate dependency updates? A case study of Java Projects</v>
      </c>
      <c r="C415" s="15" t="str">
        <f ca="1">VLOOKUP(B415,'ALL DATABASES'!$A$1:$T$2252,2,FALSE)</f>
        <v>Hejderup J,Gousios G</v>
      </c>
      <c r="D415" s="15">
        <f ca="1">VLOOKUP(B415,'ALL DATABASES'!$A$1:$T$2252,5,FALSE)</f>
        <v>2022</v>
      </c>
      <c r="E415" s="15">
        <f ca="1">VLOOKUP(B415,'ALL DATABASES'!$A$1:$T$2252,10,FALSE)</f>
        <v>2022</v>
      </c>
      <c r="F415" s="54" t="str">
        <f ca="1">VLOOKUP(B415,'ALL DATABASES'!$A$1:$T$2252,14,FALSE)</f>
        <v>https://www.sciencedirect.com/science/article/pii/S0164121221001941;http://dx.doi.org/10.1016/j.jss.2021.111097</v>
      </c>
      <c r="G415" s="15" t="str">
        <f ca="1">VLOOKUP(B415,'ALL DATABASES'!$A$1:$T$2252,3,FALSE)</f>
        <v>Journal Article</v>
      </c>
      <c r="H415" s="50" t="str">
        <f ca="1">VLOOKUP(B415,'ALL DATABASES'!$A$1:$T$2252,20,FALSE)</f>
        <v>SCIENCEDIRECT</v>
      </c>
    </row>
    <row r="416" spans="1:8" ht="12.75" x14ac:dyDescent="0.2">
      <c r="A416">
        <v>415</v>
      </c>
      <c r="B416" s="15" t="str">
        <f ca="1">IFERROR(__xludf.DUMMYFUNCTION("""COMPUTED_VALUE"""),"Cardea: An Open Automated Machine Learning Framework for Electronic Health Records")</f>
        <v>Cardea: An Open Automated Machine Learning Framework for Electronic Health Records</v>
      </c>
      <c r="C416" s="15" t="str">
        <f ca="1">VLOOKUP(B416,'ALL DATABASES'!$A$1:$T$2252,2,FALSE)</f>
        <v>Alnegheimish S,Alrashed N,Aleissa F,Althobaiti S,Liu D,Alsaleh M,Veeramachaneni K</v>
      </c>
      <c r="D416" s="15">
        <f ca="1">VLOOKUP(B416,'ALL DATABASES'!$A$1:$T$2252,5,FALSE)</f>
        <v>2020</v>
      </c>
      <c r="E416" s="53">
        <f ca="1">VLOOKUP(B416,'ALL DATABASES'!$A$1:$T$2252,10,FALSE)</f>
        <v>44105</v>
      </c>
      <c r="F416" s="54" t="str">
        <f ca="1">VLOOKUP(B416,'ALL DATABASES'!$A$1:$T$2252,14,FALSE)</f>
        <v>http://dx.doi.org/10.1109/DSAA49011.2020.00068</v>
      </c>
      <c r="G416" s="15" t="str">
        <f ca="1">VLOOKUP(B416,'ALL DATABASES'!$A$1:$T$2252,3,FALSE)</f>
        <v>Conference Paper</v>
      </c>
      <c r="H416" s="50" t="str">
        <f ca="1">VLOOKUP(B416,'ALL DATABASES'!$A$1:$T$2252,20,FALSE)</f>
        <v>IEEE</v>
      </c>
    </row>
    <row r="417" spans="1:8" ht="12.75" x14ac:dyDescent="0.2">
      <c r="A417">
        <v>416</v>
      </c>
      <c r="B417" s="15" t="str">
        <f ca="1">IFERROR(__xludf.DUMMYFUNCTION("""COMPUTED_VALUE"""),"Care and Feeding of Your Warehouse")</f>
        <v>Care and Feeding of Your Warehouse</v>
      </c>
      <c r="C417" s="15" t="str">
        <f ca="1">VLOOKUP(B417,'ALL DATABASES'!$A$1:$T$2252,2,FALSE)</f>
        <v>Mark Mucchetti</v>
      </c>
      <c r="D417" s="15">
        <f ca="1">VLOOKUP(B417,'ALL DATABASES'!$A$1:$T$2252,5,FALSE)</f>
        <v>2020</v>
      </c>
      <c r="E417" s="15">
        <f ca="1">VLOOKUP(B417,'ALL DATABASES'!$A$1:$T$2252,10,FALSE)</f>
        <v>0</v>
      </c>
      <c r="F417" s="54" t="str">
        <f ca="1">VLOOKUP(B417,'ALL DATABASES'!$A$1:$T$2252,14,FALSE)</f>
        <v>http://link.springer.com/chapter/10.1007/978-1-4842-6186-6_8</v>
      </c>
      <c r="G417" s="15" t="str">
        <f ca="1">VLOOKUP(B417,'ALL DATABASES'!$A$1:$T$2252,3,FALSE)</f>
        <v>Chapter</v>
      </c>
      <c r="H417" s="50" t="str">
        <f ca="1">VLOOKUP(B417,'ALL DATABASES'!$A$1:$T$2252,20,FALSE)</f>
        <v>SPRINGER</v>
      </c>
    </row>
    <row r="418" spans="1:8" ht="12.75" x14ac:dyDescent="0.2">
      <c r="A418">
        <v>417</v>
      </c>
      <c r="B418" s="15" t="str">
        <f ca="1">IFERROR(__xludf.DUMMYFUNCTION("""COMPUTED_VALUE"""),"Categorization of Dissertation using Machine Learning Techniques")</f>
        <v>Categorization of Dissertation using Machine Learning Techniques</v>
      </c>
      <c r="C418" s="15" t="str">
        <f ca="1">VLOOKUP(B418,'ALL DATABASES'!$A$1:$T$2252,2,FALSE)</f>
        <v>Kumar L,Jain M</v>
      </c>
      <c r="D418" s="15">
        <f ca="1">VLOOKUP(B418,'ALL DATABASES'!$A$1:$T$2252,5,FALSE)</f>
        <v>2020</v>
      </c>
      <c r="E418" s="15">
        <f ca="1">VLOOKUP(B418,'ALL DATABASES'!$A$1:$T$2252,10,FALSE)</f>
        <v>2020</v>
      </c>
      <c r="F418" s="54" t="str">
        <f ca="1">VLOOKUP(B418,'ALL DATABASES'!$A$1:$T$2252,14,FALSE)</f>
        <v>https://www.scopus.com/inward/record.uri?eid=2-s2.0-85095611801&amp;doi=10.1109%2fICONC345789.2020.9117485&amp;partnerID=40&amp;md5=02ee1e9e849c70a11bf100bfca39e590;http://dx.doi.org/10.1109/ICONC345789.2020.9117485</v>
      </c>
      <c r="G418" s="15" t="str">
        <f ca="1">VLOOKUP(B418,'ALL DATABASES'!$A$1:$T$2252,3,FALSE)</f>
        <v>Conference Paper</v>
      </c>
      <c r="H418" s="50" t="str">
        <f ca="1">VLOOKUP(B418,'ALL DATABASES'!$A$1:$T$2252,20,FALSE)</f>
        <v>SCOPUS</v>
      </c>
    </row>
    <row r="419" spans="1:8" ht="12.75" x14ac:dyDescent="0.2">
      <c r="A419">
        <v>418</v>
      </c>
      <c r="B419" s="15" t="str">
        <f ca="1">IFERROR(__xludf.DUMMYFUNCTION("""COMPUTED_VALUE"""),"Categorizing and Predicting Invalid Vulnerabilities on Common Vulnerabilities and Exposures")</f>
        <v>Categorizing and Predicting Invalid Vulnerabilities on Common Vulnerabilities and Exposures</v>
      </c>
      <c r="C419" s="15" t="str">
        <f ca="1">VLOOKUP(B419,'ALL DATABASES'!$A$1:$T$2252,2,FALSE)</f>
        <v>Chen Q,Bao L,Li L,Xia X,Cai L</v>
      </c>
      <c r="D419" s="15">
        <f ca="1">VLOOKUP(B419,'ALL DATABASES'!$A$1:$T$2252,5,FALSE)</f>
        <v>2018</v>
      </c>
      <c r="E419" s="15">
        <f ca="1">VLOOKUP(B419,'ALL DATABASES'!$A$1:$T$2252,10,FALSE)</f>
        <v>2018</v>
      </c>
      <c r="F419" s="54" t="str">
        <f ca="1">VLOOKUP(B419,'ALL DATABASES'!$A$1:$T$2252,14,FALSE)</f>
        <v>https://www.scopus.com/inward/record.uri?eid=2-s2.0-85066781873&amp;doi=10.1109%2fAPSEC.2018.00049&amp;partnerID=40&amp;md5=84a850623f59387322cab3f4d7430dac;http://dx.doi.org/10.1109/APSEC.2018.00049</v>
      </c>
      <c r="G419" s="15" t="str">
        <f ca="1">VLOOKUP(B419,'ALL DATABASES'!$A$1:$T$2252,3,FALSE)</f>
        <v>Conference Paper</v>
      </c>
      <c r="H419" s="50" t="str">
        <f ca="1">VLOOKUP(B419,'ALL DATABASES'!$A$1:$T$2252,20,FALSE)</f>
        <v>SCOPUS</v>
      </c>
    </row>
    <row r="420" spans="1:8" ht="12.75" x14ac:dyDescent="0.2">
      <c r="A420">
        <v>419</v>
      </c>
      <c r="B420" s="15" t="str">
        <f ca="1">IFERROR(__xludf.DUMMYFUNCTION("""COMPUTED_VALUE"""),"Categorizing Code Review Comments Using Machine Learning")</f>
        <v>Categorizing Code Review Comments Using Machine Learning</v>
      </c>
      <c r="C420" s="15" t="str">
        <f ca="1">VLOOKUP(B420,'ALL DATABASES'!$A$1:$T$2252,2,FALSE)</f>
        <v>Arafat Y,Sumbul S,Shamma H</v>
      </c>
      <c r="D420" s="15">
        <f ca="1">VLOOKUP(B420,'ALL DATABASES'!$A$1:$T$2252,5,FALSE)</f>
        <v>2022</v>
      </c>
      <c r="E420" s="15">
        <f ca="1">VLOOKUP(B420,'ALL DATABASES'!$A$1:$T$2252,10,FALSE)</f>
        <v>2022</v>
      </c>
      <c r="F420" s="54" t="str">
        <f ca="1">VLOOKUP(B420,'ALL DATABASES'!$A$1:$T$2252,14,FALSE)</f>
        <v>https://www.scopus.com/inward/record.uri?eid=2-s2.0-85119001557&amp;doi=10.1007%2f978-981-16-2102-4_18&amp;partnerID=40&amp;md5=e51eeb954228c26f5fba46011638644a;http://dx.doi.org/10.1007/978-981-16-2102-4_18</v>
      </c>
      <c r="G420" s="15" t="str">
        <f ca="1">VLOOKUP(B420,'ALL DATABASES'!$A$1:$T$2252,3,FALSE)</f>
        <v>Journal Article</v>
      </c>
      <c r="H420" s="50" t="str">
        <f ca="1">VLOOKUP(B420,'ALL DATABASES'!$A$1:$T$2252,20,FALSE)</f>
        <v>SCOPUS</v>
      </c>
    </row>
    <row r="421" spans="1:8" ht="12.75" x14ac:dyDescent="0.2">
      <c r="A421">
        <v>420</v>
      </c>
      <c r="B421" s="15" t="str">
        <f ca="1">IFERROR(__xludf.DUMMYFUNCTION("""COMPUTED_VALUE"""),"Chaff from the Wheat: Characterizing and Determining Valid Bug Reports")</f>
        <v>Chaff from the Wheat: Characterizing and Determining Valid Bug Reports</v>
      </c>
      <c r="C421" s="15" t="str">
        <f ca="1">VLOOKUP(B421,'ALL DATABASES'!$A$1:$T$2252,2,FALSE)</f>
        <v>Fan Y,Xia X,Lo D,Hassan AE</v>
      </c>
      <c r="D421" s="15">
        <f ca="1">VLOOKUP(B421,'ALL DATABASES'!$A$1:$T$2252,5,FALSE)</f>
        <v>2020</v>
      </c>
      <c r="E421" s="15">
        <f ca="1">VLOOKUP(B421,'ALL DATABASES'!$A$1:$T$2252,10,FALSE)</f>
        <v>2020</v>
      </c>
      <c r="F421" s="54" t="str">
        <f ca="1">VLOOKUP(B421,'ALL DATABASES'!$A$1:$T$2252,14,FALSE)</f>
        <v>https://www.scopus.com/inward/record.uri?eid=2-s2.0-85051376098&amp;doi=10.1109%2fTSE.2018.2864217&amp;partnerID=40&amp;md5=a3523e1e2bc2dc31efb5d92f98a36d08;http://dx.doi.org/10.1109/TSE.2018.2864217</v>
      </c>
      <c r="G421" s="15" t="str">
        <f ca="1">VLOOKUP(B421,'ALL DATABASES'!$A$1:$T$2252,3,FALSE)</f>
        <v>Journal Article</v>
      </c>
      <c r="H421" s="50" t="str">
        <f ca="1">VLOOKUP(B421,'ALL DATABASES'!$A$1:$T$2252,20,FALSE)</f>
        <v>SCOPUS</v>
      </c>
    </row>
    <row r="422" spans="1:8" ht="12.75" x14ac:dyDescent="0.2">
      <c r="A422">
        <v>421</v>
      </c>
      <c r="B422" s="15" t="str">
        <f ca="1">IFERROR(__xludf.DUMMYFUNCTION("""COMPUTED_VALUE"""),"Challenges and opportunities for software change request repositories: A systematic mapping study")</f>
        <v>Challenges and opportunities for software change request repositories: A systematic mapping study</v>
      </c>
      <c r="C422" s="15" t="str">
        <f ca="1">VLOOKUP(B422,'ALL DATABASES'!$A$1:$T$2252,2,FALSE)</f>
        <v>Cavalcanti YC,Da Mota Silveira Neto PA,Machado IC,Vale TF,De Almeida ES,Meira SR</v>
      </c>
      <c r="D422" s="15">
        <f ca="1">VLOOKUP(B422,'ALL DATABASES'!$A$1:$T$2252,5,FALSE)</f>
        <v>2014</v>
      </c>
      <c r="E422" s="15">
        <f ca="1">VLOOKUP(B422,'ALL DATABASES'!$A$1:$T$2252,10,FALSE)</f>
        <v>2014</v>
      </c>
      <c r="F422" s="54" t="str">
        <f ca="1">VLOOKUP(B422,'ALL DATABASES'!$A$1:$T$2252,14,FALSE)</f>
        <v>https://www.scopus.com/inward/record.uri?eid=2-s2.0-84904626790&amp;doi=10.1002%2fsmr.1639&amp;partnerID=40&amp;md5=669ee13b2e7dc7b4bb3b934501674ad7;http://dx.doi.org/10.1002/smr.1639</v>
      </c>
      <c r="G422" s="15" t="str">
        <f ca="1">VLOOKUP(B422,'ALL DATABASES'!$A$1:$T$2252,3,FALSE)</f>
        <v>Journal Article</v>
      </c>
      <c r="H422" s="50" t="str">
        <f ca="1">VLOOKUP(B422,'ALL DATABASES'!$A$1:$T$2252,20,FALSE)</f>
        <v>SCOPUS</v>
      </c>
    </row>
    <row r="423" spans="1:8" ht="12.75" x14ac:dyDescent="0.2">
      <c r="A423">
        <v>422</v>
      </c>
      <c r="B423" s="15" t="str">
        <f ca="1">IFERROR(__xludf.DUMMYFUNCTION("""COMPUTED_VALUE"""),"Challenges and Strategies for Undertaking Continuous Experimentation to Embedded Systems: Industry and Research Perspectives")</f>
        <v>Challenges and Strategies for Undertaking Continuous Experimentation to Embedded Systems: Industry and Research Perspectives</v>
      </c>
      <c r="C423" s="15" t="str">
        <f ca="1">VLOOKUP(B423,'ALL DATABASES'!$A$1:$T$2252,2,FALSE)</f>
        <v>David Issa MattosJan BoschHelena HolmstrÃ¶m Olsson</v>
      </c>
      <c r="D423" s="15">
        <f ca="1">VLOOKUP(B423,'ALL DATABASES'!$A$1:$T$2252,5,FALSE)</f>
        <v>2018</v>
      </c>
      <c r="E423" s="15">
        <f ca="1">VLOOKUP(B423,'ALL DATABASES'!$A$1:$T$2252,10,FALSE)</f>
        <v>0</v>
      </c>
      <c r="F423" s="54" t="str">
        <f ca="1">VLOOKUP(B423,'ALL DATABASES'!$A$1:$T$2252,14,FALSE)</f>
        <v>http://link.springer.com/chapter/10.1007/978-3-319-91602-6_20</v>
      </c>
      <c r="G423" s="15" t="str">
        <f ca="1">VLOOKUP(B423,'ALL DATABASES'!$A$1:$T$2252,3,FALSE)</f>
        <v>Chapter</v>
      </c>
      <c r="H423" s="50" t="str">
        <f ca="1">VLOOKUP(B423,'ALL DATABASES'!$A$1:$T$2252,20,FALSE)</f>
        <v>SPRINGER</v>
      </c>
    </row>
    <row r="424" spans="1:8" ht="12.75" x14ac:dyDescent="0.2">
      <c r="A424">
        <v>423</v>
      </c>
      <c r="B424" s="15" t="str">
        <f ca="1">IFERROR(__xludf.DUMMYFUNCTION("""COMPUTED_VALUE"""),"Challenges Classification in Search-Based Refactoring")</f>
        <v>Challenges Classification in Search-Based Refactoring</v>
      </c>
      <c r="C424" s="15" t="str">
        <f ca="1">VLOOKUP(B424,'ALL DATABASES'!$A$1:$T$2252,2,FALSE)</f>
        <v>Shafiei N,Keyvanpour MR</v>
      </c>
      <c r="D424" s="15">
        <f ca="1">VLOOKUP(B424,'ALL DATABASES'!$A$1:$T$2252,5,FALSE)</f>
        <v>2020</v>
      </c>
      <c r="E424" s="15">
        <f ca="1">VLOOKUP(B424,'ALL DATABASES'!$A$1:$T$2252,10,FALSE)</f>
        <v>2020</v>
      </c>
      <c r="F424" s="54" t="str">
        <f ca="1">VLOOKUP(B424,'ALL DATABASES'!$A$1:$T$2252,14,FALSE)</f>
        <v>https://www.scopus.com/inward/record.uri?eid=2-s2.0-85089179553&amp;doi=10.1109%2fICWR49608.2020.9122271&amp;partnerID=40&amp;md5=2442c0ca34498882123cecd68803985c;http://dx.doi.org/10.1109/ICWR49608.2020.9122271</v>
      </c>
      <c r="G424" s="15" t="str">
        <f ca="1">VLOOKUP(B424,'ALL DATABASES'!$A$1:$T$2252,3,FALSE)</f>
        <v>Conference Paper</v>
      </c>
      <c r="H424" s="50" t="str">
        <f ca="1">VLOOKUP(B424,'ALL DATABASES'!$A$1:$T$2252,20,FALSE)</f>
        <v>SCOPUS</v>
      </c>
    </row>
    <row r="425" spans="1:8" ht="12.75" x14ac:dyDescent="0.2">
      <c r="A425">
        <v>424</v>
      </c>
      <c r="B425" s="15" t="str">
        <f ca="1">IFERROR(__xludf.DUMMYFUNCTION("""COMPUTED_VALUE"""),"Challenges Faced by Industries and Their Potential Solutions in Deploying Machine Learning Applications")</f>
        <v>Challenges Faced by Industries and Their Potential Solutions in Deploying Machine Learning Applications</v>
      </c>
      <c r="C425" s="15" t="str">
        <f ca="1">VLOOKUP(B425,'ALL DATABASES'!$A$1:$T$2252,2,FALSE)</f>
        <v>Shukla RM,Cartlidge J</v>
      </c>
      <c r="D425" s="15">
        <f ca="1">VLOOKUP(B425,'ALL DATABASES'!$A$1:$T$2252,5,FALSE)</f>
        <v>2022</v>
      </c>
      <c r="E425" s="55">
        <f ca="1">VLOOKUP(B425,'ALL DATABASES'!$A$1:$T$2252,10,FALSE)</f>
        <v>44562</v>
      </c>
      <c r="F425" s="54" t="str">
        <f ca="1">VLOOKUP(B425,'ALL DATABASES'!$A$1:$T$2252,14,FALSE)</f>
        <v>http://dx.doi.org/10.1109/CCWC54503.2022.9720900</v>
      </c>
      <c r="G425" s="15" t="str">
        <f ca="1">VLOOKUP(B425,'ALL DATABASES'!$A$1:$T$2252,3,FALSE)</f>
        <v>Conference Paper</v>
      </c>
      <c r="H425" s="50" t="str">
        <f ca="1">VLOOKUP(B425,'ALL DATABASES'!$A$1:$T$2252,20,FALSE)</f>
        <v>IEEE</v>
      </c>
    </row>
    <row r="426" spans="1:8" ht="12.75" x14ac:dyDescent="0.2">
      <c r="A426">
        <v>425</v>
      </c>
      <c r="B426" s="15" t="str">
        <f ca="1">IFERROR(__xludf.DUMMYFUNCTION("""COMPUTED_VALUE"""),"Challenges in applying Machine Learning Operations (MLOps) in energy consumption forecasting; [Desafios para Aplicação de MLOps na Previsão do Consumo Energético]")</f>
        <v>Challenges in applying Machine Learning Operations (MLOps) in energy consumption forecasting; [Desafios para Aplicação de MLOps na Previsão do Consumo Energético]</v>
      </c>
      <c r="C426" s="15" t="str">
        <f ca="1">VLOOKUP(B426,'ALL DATABASES'!$A$1:$T$2252,2,FALSE)</f>
        <v>Fujii TY,Ruggiero WV,do Amaral HL,Hayashi VT,Arakaki R,Khalil KA</v>
      </c>
      <c r="D426" s="15">
        <f ca="1">VLOOKUP(B426,'ALL DATABASES'!$A$1:$T$2252,5,FALSE)</f>
        <v>2021</v>
      </c>
      <c r="E426" s="15">
        <f ca="1">VLOOKUP(B426,'ALL DATABASES'!$A$1:$T$2252,10,FALSE)</f>
        <v>2021</v>
      </c>
      <c r="F426" s="54" t="str">
        <f ca="1">VLOOKUP(B426,'ALL DATABASES'!$A$1:$T$2252,14,FALSE)</f>
        <v>https://www.scopus.com/inward/record.uri?eid=2-s2.0-85115870987&amp;doi=10.1109%2fINDUSCON51756.2021.9529843&amp;partnerID=40&amp;md5=e4fac09ccf2456adaa5032fe72649e8d;http://dx.doi.org/10.1109/INDUSCON51756.2021.9529843</v>
      </c>
      <c r="G426" s="15" t="str">
        <f ca="1">VLOOKUP(B426,'ALL DATABASES'!$A$1:$T$2252,3,FALSE)</f>
        <v>Conference Paper</v>
      </c>
      <c r="H426" s="50" t="str">
        <f ca="1">VLOOKUP(B426,'ALL DATABASES'!$A$1:$T$2252,20,FALSE)</f>
        <v>SCOPUS</v>
      </c>
    </row>
    <row r="427" spans="1:8" ht="12.75" x14ac:dyDescent="0.2">
      <c r="A427">
        <v>426</v>
      </c>
      <c r="B427" s="15" t="str">
        <f ca="1">IFERROR(__xludf.DUMMYFUNCTION("""COMPUTED_VALUE"""),"Challenges in Explaining Source Code Quality Assessment")</f>
        <v>Challenges in Explaining Source Code Quality Assessment</v>
      </c>
      <c r="C427" s="15" t="str">
        <f ca="1">VLOOKUP(B427,'ALL DATABASES'!$A$1:$T$2252,2,FALSE)</f>
        <v>Ludwig J,Cline D</v>
      </c>
      <c r="D427" s="15">
        <f ca="1">VLOOKUP(B427,'ALL DATABASES'!$A$1:$T$2252,5,FALSE)</f>
        <v>2022</v>
      </c>
      <c r="E427" s="55">
        <f ca="1">VLOOKUP(B427,'ALL DATABASES'!$A$1:$T$2252,10,FALSE)</f>
        <v>44621</v>
      </c>
      <c r="F427" s="54" t="str">
        <f ca="1">VLOOKUP(B427,'ALL DATABASES'!$A$1:$T$2252,14,FALSE)</f>
        <v>http://dx.doi.org/10.1109/AERO53065.2022.9843840</v>
      </c>
      <c r="G427" s="15" t="str">
        <f ca="1">VLOOKUP(B427,'ALL DATABASES'!$A$1:$T$2252,3,FALSE)</f>
        <v>Conference Paper</v>
      </c>
      <c r="H427" s="50" t="str">
        <f ca="1">VLOOKUP(B427,'ALL DATABASES'!$A$1:$T$2252,20,FALSE)</f>
        <v>IEEE</v>
      </c>
    </row>
    <row r="428" spans="1:8" ht="12.75" x14ac:dyDescent="0.2">
      <c r="A428">
        <v>427</v>
      </c>
      <c r="B428" s="15" t="str">
        <f ca="1">IFERROR(__xludf.DUMMYFUNCTION("""COMPUTED_VALUE"""),"Challenges in Migrating Imperative Deep Learning Programs to Graph Execution: An Empirical Study")</f>
        <v>Challenges in Migrating Imperative Deep Learning Programs to Graph Execution: An Empirical Study</v>
      </c>
      <c r="C428" s="15" t="str">
        <f ca="1">VLOOKUP(B428,'ALL DATABASES'!$A$1:$T$2252,2,FALSE)</f>
        <v>Velez TC,Khatchadourian R,Bagherzadeh M,Raja A</v>
      </c>
      <c r="D428" s="15">
        <f ca="1">VLOOKUP(B428,'ALL DATABASES'!$A$1:$T$2252,5,FALSE)</f>
        <v>2022</v>
      </c>
      <c r="E428" s="15">
        <f ca="1">VLOOKUP(B428,'ALL DATABASES'!$A$1:$T$2252,10,FALSE)</f>
        <v>2022</v>
      </c>
      <c r="F428" s="54" t="str">
        <f ca="1">VLOOKUP(B428,'ALL DATABASES'!$A$1:$T$2252,14,FALSE)</f>
        <v>https://www.scopus.com/inward/record.uri?eid=2-s2.0-85134015186&amp;doi=10.1145%2f3524842.3528455&amp;partnerID=40&amp;md5=f99b22ed26c0adaeced649d417ab6848;http://dx.doi.org/10.1145/3524842.3528455</v>
      </c>
      <c r="G428" s="15" t="str">
        <f ca="1">VLOOKUP(B428,'ALL DATABASES'!$A$1:$T$2252,3,FALSE)</f>
        <v>Conference Paper</v>
      </c>
      <c r="H428" s="50" t="str">
        <f ca="1">VLOOKUP(B428,'ALL DATABASES'!$A$1:$T$2252,20,FALSE)</f>
        <v>SCOPUS</v>
      </c>
    </row>
    <row r="429" spans="1:8" ht="12.75" x14ac:dyDescent="0.2">
      <c r="A429">
        <v>428</v>
      </c>
      <c r="B429" s="15" t="str">
        <f ca="1">IFERROR(__xludf.DUMMYFUNCTION("""COMPUTED_VALUE"""),"Challenges in the deployment and operation of machine learning in practice")</f>
        <v>Challenges in the deployment and operation of machine learning in practice</v>
      </c>
      <c r="C429" s="15" t="str">
        <f ca="1">VLOOKUP(B429,'ALL DATABASES'!$A$1:$T$2252,2,FALSE)</f>
        <v>Baier L,Jöhren F,Seebacher S</v>
      </c>
      <c r="D429" s="15">
        <f ca="1">VLOOKUP(B429,'ALL DATABASES'!$A$1:$T$2252,5,FALSE)</f>
        <v>2020</v>
      </c>
      <c r="E429" s="15">
        <f ca="1">VLOOKUP(B429,'ALL DATABASES'!$A$1:$T$2252,10,FALSE)</f>
        <v>2020</v>
      </c>
      <c r="F429" s="54" t="str">
        <f ca="1">VLOOKUP(B429,'ALL DATABASES'!$A$1:$T$2252,14,FALSE)</f>
        <v>https://www.scopus.com/inward/record.uri?eid=2-s2.0-85087106418&amp;partnerID=40&amp;md5=c049d9f5b1da9bd02f2b43af04474747</v>
      </c>
      <c r="G429" s="15" t="str">
        <f ca="1">VLOOKUP(B429,'ALL DATABASES'!$A$1:$T$2252,3,FALSE)</f>
        <v>Conference Paper</v>
      </c>
      <c r="H429" s="50" t="str">
        <f ca="1">VLOOKUP(B429,'ALL DATABASES'!$A$1:$T$2252,20,FALSE)</f>
        <v>SCOPUS</v>
      </c>
    </row>
    <row r="430" spans="1:8" ht="12.75" x14ac:dyDescent="0.2">
      <c r="A430">
        <v>429</v>
      </c>
      <c r="B430" s="15" t="str">
        <f ca="1">IFERROR(__xludf.DUMMYFUNCTION("""COMPUTED_VALUE"""),"Challenges of Complex Software Development for Emerging Technologies in Automotive Industry: Bridging the Gap of Knowledge between the Industry Practitioners")</f>
        <v>Challenges of Complex Software Development for Emerging Technologies in Automotive Industry: Bridging the Gap of Knowledge between the Industry Practitioners</v>
      </c>
      <c r="C430" s="15" t="str">
        <f ca="1">VLOOKUP(B430,'ALL DATABASES'!$A$1:$T$2252,2,FALSE)</f>
        <v>Abdul Hamid UZ,Irimescu DS,Zaman MT</v>
      </c>
      <c r="D430" s="15">
        <f ca="1">VLOOKUP(B430,'ALL DATABASES'!$A$1:$T$2252,5,FALSE)</f>
        <v>2022</v>
      </c>
      <c r="E430" s="15">
        <f ca="1">VLOOKUP(B430,'ALL DATABASES'!$A$1:$T$2252,10,FALSE)</f>
        <v>2022</v>
      </c>
      <c r="F430" s="54" t="str">
        <f ca="1">VLOOKUP(B430,'ALL DATABASES'!$A$1:$T$2252,14,FALSE)</f>
        <v>https://www.scopus.com/inward/record.uri?eid=2-s2.0-85128067243&amp;doi=10.4271%2f2022-01-0109&amp;partnerID=40&amp;md5=4db7822e205f435db6a5d96d164cbbef;http://dx.doi.org/10.4271/2022-01-0109</v>
      </c>
      <c r="G430" s="15" t="str">
        <f ca="1">VLOOKUP(B430,'ALL DATABASES'!$A$1:$T$2252,3,FALSE)</f>
        <v>Conference Paper</v>
      </c>
      <c r="H430" s="50" t="str">
        <f ca="1">VLOOKUP(B430,'ALL DATABASES'!$A$1:$T$2252,20,FALSE)</f>
        <v>SCOPUS</v>
      </c>
    </row>
    <row r="431" spans="1:8" s="71" customFormat="1" ht="12.75" x14ac:dyDescent="0.2">
      <c r="A431">
        <v>430</v>
      </c>
      <c r="B431" s="68" t="str">
        <f ca="1">IFERROR(__xludf.DUMMYFUNCTION("""COMPUTED_VALUE"""),"Challenges of Software Requirements Quality Assurance and Validation: A Systematic Literature Review")</f>
        <v>Challenges of Software Requirements Quality Assurance and Validation: A Systematic Literature Review</v>
      </c>
      <c r="C431" s="68" t="str">
        <f ca="1">VLOOKUP(B431,'ALL DATABASES'!$A$1:$T$2252,2,FALSE)</f>
        <v>Atoum I,Baklizi MK,Alsmadi I,Otoom AA,Alhersh T,Ababneh J,Almalki J,Alshahrani SM</v>
      </c>
      <c r="D431" s="68">
        <f ca="1">VLOOKUP(B431,'ALL DATABASES'!$A$1:$T$2252,5,FALSE)</f>
        <v>2021</v>
      </c>
      <c r="E431" s="68">
        <f ca="1">VLOOKUP(B431,'ALL DATABASES'!$A$1:$T$2252,10,FALSE)</f>
        <v>2021</v>
      </c>
      <c r="F431" s="69" t="str">
        <f ca="1">VLOOKUP(B431,'ALL DATABASES'!$A$1:$T$2252,14,FALSE)</f>
        <v>https://www.scopus.com/inward/record.uri?eid=2-s2.0-85117224711&amp;doi=10.1109%2fACCESS.2021.3117989&amp;partnerID=40&amp;md5=b0289930b94ea07486813c1cd5d909e5;http://dx.doi.org/10.1109/ACCESS.2021.3117989</v>
      </c>
      <c r="G431" s="68" t="str">
        <f ca="1">VLOOKUP(B431,'ALL DATABASES'!$A$1:$T$2252,3,FALSE)</f>
        <v>Journal Article</v>
      </c>
      <c r="H431" s="70" t="str">
        <f ca="1">VLOOKUP(B431,'ALL DATABASES'!$A$1:$T$2252,20,FALSE)</f>
        <v>SCOPUS</v>
      </c>
    </row>
    <row r="432" spans="1:8" ht="12.75" x14ac:dyDescent="0.2">
      <c r="A432">
        <v>431</v>
      </c>
      <c r="B432" s="15" t="str">
        <f ca="1">IFERROR(__xludf.DUMMYFUNCTION("""COMPUTED_VALUE"""),"Change impact analysis: A systematic mapping study")</f>
        <v>Change impact analysis: A systematic mapping study</v>
      </c>
      <c r="C432" s="15" t="str">
        <f ca="1">VLOOKUP(B432,'ALL DATABASES'!$A$1:$T$2252,2,FALSE)</f>
        <v>Kretsou M,Arvanitou EM,Ampatzoglou A,Deligiannis I,Gerogiannis VC</v>
      </c>
      <c r="D432" s="15">
        <f ca="1">VLOOKUP(B432,'ALL DATABASES'!$A$1:$T$2252,5,FALSE)</f>
        <v>2021</v>
      </c>
      <c r="E432" s="15">
        <f ca="1">VLOOKUP(B432,'ALL DATABASES'!$A$1:$T$2252,10,FALSE)</f>
        <v>2021</v>
      </c>
      <c r="F432" s="54" t="str">
        <f ca="1">VLOOKUP(B432,'ALL DATABASES'!$A$1:$T$2252,14,FALSE)</f>
        <v>https://www.sciencedirect.com/science/article/pii/S016412122030282X;http://dx.doi.org/10.1016/j.jss.2020.110892</v>
      </c>
      <c r="G432" s="15" t="str">
        <f ca="1">VLOOKUP(B432,'ALL DATABASES'!$A$1:$T$2252,3,FALSE)</f>
        <v>Journal Article</v>
      </c>
      <c r="H432" s="50" t="str">
        <f ca="1">VLOOKUP(B432,'ALL DATABASES'!$A$1:$T$2252,20,FALSE)</f>
        <v>SCIENCEDIRECT</v>
      </c>
    </row>
    <row r="433" spans="1:8" ht="12.75" x14ac:dyDescent="0.2">
      <c r="A433">
        <v>432</v>
      </c>
      <c r="B433" s="15" t="str">
        <f ca="1">IFERROR(__xludf.DUMMYFUNCTION("""COMPUTED_VALUE"""),"Change prediction through coding rules violations")</f>
        <v>Change prediction through coding rules violations</v>
      </c>
      <c r="C433" s="15" t="str">
        <f ca="1">VLOOKUP(B433,'ALL DATABASES'!$A$1:$T$2252,2,FALSE)</f>
        <v>Tollin I,Fontana FA,Zanoni M,Roveda R</v>
      </c>
      <c r="D433" s="15">
        <f ca="1">VLOOKUP(B433,'ALL DATABASES'!$A$1:$T$2252,5,FALSE)</f>
        <v>2017</v>
      </c>
      <c r="E433" s="15">
        <f ca="1">VLOOKUP(B433,'ALL DATABASES'!$A$1:$T$2252,10,FALSE)</f>
        <v>2017</v>
      </c>
      <c r="F433" s="54" t="str">
        <f ca="1">VLOOKUP(B433,'ALL DATABASES'!$A$1:$T$2252,14,FALSE)</f>
        <v>https://www.scopus.com/inward/record.uri?eid=2-s2.0-85025438293&amp;doi=10.1145%2f3084226.3084282&amp;partnerID=40&amp;md5=a13a37742187b19da2199c036aa492eb;http://dx.doi.org/10.1145/3084226.3084282</v>
      </c>
      <c r="G433" s="15" t="str">
        <f ca="1">VLOOKUP(B433,'ALL DATABASES'!$A$1:$T$2252,3,FALSE)</f>
        <v>Conference Paper</v>
      </c>
      <c r="H433" s="50" t="str">
        <f ca="1">VLOOKUP(B433,'ALL DATABASES'!$A$1:$T$2252,20,FALSE)</f>
        <v>SCOPUS</v>
      </c>
    </row>
    <row r="434" spans="1:8" ht="12.75" x14ac:dyDescent="0.2">
      <c r="A434">
        <v>433</v>
      </c>
      <c r="B434" s="15" t="str">
        <f ca="1">IFERROR(__xludf.DUMMYFUNCTION("""COMPUTED_VALUE"""),"Changeset-Based Topic Modeling of Software Repositories")</f>
        <v>Changeset-Based Topic Modeling of Software Repositories</v>
      </c>
      <c r="C434" s="15" t="str">
        <f ca="1">VLOOKUP(B434,'ALL DATABASES'!$A$1:$T$2252,2,FALSE)</f>
        <v>Corley CS,Damevski K,Kraft NA</v>
      </c>
      <c r="D434" s="15">
        <f ca="1">VLOOKUP(B434,'ALL DATABASES'!$A$1:$T$2252,5,FALSE)</f>
        <v>2020</v>
      </c>
      <c r="E434" s="53">
        <f ca="1">VLOOKUP(B434,'ALL DATABASES'!$A$1:$T$2252,10,FALSE)</f>
        <v>44105</v>
      </c>
      <c r="F434" s="54" t="str">
        <f ca="1">VLOOKUP(B434,'ALL DATABASES'!$A$1:$T$2252,14,FALSE)</f>
        <v>http://dx.doi.org/10.1109/TSE.2018.2874960</v>
      </c>
      <c r="G434" s="15" t="str">
        <f ca="1">VLOOKUP(B434,'ALL DATABASES'!$A$1:$T$2252,3,FALSE)</f>
        <v>Journal Article</v>
      </c>
      <c r="H434" s="50" t="str">
        <f ca="1">VLOOKUP(B434,'ALL DATABASES'!$A$1:$T$2252,20,FALSE)</f>
        <v>IEEE</v>
      </c>
    </row>
    <row r="435" spans="1:8" ht="12.75" x14ac:dyDescent="0.2">
      <c r="A435">
        <v>434</v>
      </c>
      <c r="B435" s="15" t="str">
        <f ca="1">IFERROR(__xludf.DUMMYFUNCTION("""COMPUTED_VALUE"""),"Chapter 11 - Managing Trade-offs in Self-Adaptive Software Architectures: A Systematic Mapping Study")</f>
        <v>Chapter 11 - Managing Trade-offs in Self-Adaptive Software Architectures: A Systematic Mapping Study</v>
      </c>
      <c r="C435" s="15" t="str">
        <f ca="1">VLOOKUP(B435,'ALL DATABASES'!$A$1:$T$2252,2,FALSE)</f>
        <v>Salama M,Bahsoon R,Bencomo N</v>
      </c>
      <c r="D435" s="15">
        <f ca="1">VLOOKUP(B435,'ALL DATABASES'!$A$1:$T$2252,5,FALSE)</f>
        <v>2017</v>
      </c>
      <c r="E435" s="15">
        <f ca="1">VLOOKUP(B435,'ALL DATABASES'!$A$1:$T$2252,10,FALSE)</f>
        <v>2017</v>
      </c>
      <c r="F435" s="54" t="str">
        <f ca="1">VLOOKUP(B435,'ALL DATABASES'!$A$1:$T$2252,14,FALSE)</f>
        <v>https://www.sciencedirect.com/science/article/pii/B9780128028551000113;http://dx.doi.org/10.1016/B978-0-12-802855-1.00011-3</v>
      </c>
      <c r="G435" s="15" t="str">
        <f ca="1">VLOOKUP(B435,'ALL DATABASES'!$A$1:$T$2252,3,FALSE)</f>
        <v>Book Chapter</v>
      </c>
      <c r="H435" s="50" t="str">
        <f ca="1">VLOOKUP(B435,'ALL DATABASES'!$A$1:$T$2252,20,FALSE)</f>
        <v>SCIENCEDIRECT</v>
      </c>
    </row>
    <row r="436" spans="1:8" ht="12.75" x14ac:dyDescent="0.2">
      <c r="A436">
        <v>435</v>
      </c>
      <c r="B436" s="15" t="str">
        <f ca="1">IFERROR(__xludf.DUMMYFUNCTION("""COMPUTED_VALUE"""),"Chapter 12 - Introduction to Testing")</f>
        <v>Chapter 12 - Introduction to Testing</v>
      </c>
      <c r="C436" s="15" t="str">
        <f ca="1">VLOOKUP(B436,'ALL DATABASES'!$A$1:$T$2252,2,FALSE)</f>
        <v>Ridge E</v>
      </c>
      <c r="D436" s="15">
        <f ca="1">VLOOKUP(B436,'ALL DATABASES'!$A$1:$T$2252,5,FALSE)</f>
        <v>2015</v>
      </c>
      <c r="E436" s="15">
        <f ca="1">VLOOKUP(B436,'ALL DATABASES'!$A$1:$T$2252,10,FALSE)</f>
        <v>2015</v>
      </c>
      <c r="F436" s="54" t="str">
        <f ca="1">VLOOKUP(B436,'ALL DATABASES'!$A$1:$T$2252,14,FALSE)</f>
        <v>https://www.sciencedirect.com/science/article/pii/B9780128002186000126;http://dx.doi.org/10.1016/B978-0-12-800218-6.00012-6</v>
      </c>
      <c r="G436" s="15" t="str">
        <f ca="1">VLOOKUP(B436,'ALL DATABASES'!$A$1:$T$2252,3,FALSE)</f>
        <v>Book Chapter</v>
      </c>
      <c r="H436" s="50" t="str">
        <f ca="1">VLOOKUP(B436,'ALL DATABASES'!$A$1:$T$2252,20,FALSE)</f>
        <v>SCIENCEDIRECT</v>
      </c>
    </row>
    <row r="437" spans="1:8" ht="12.75" x14ac:dyDescent="0.2">
      <c r="A437">
        <v>436</v>
      </c>
      <c r="B437" s="15" t="str">
        <f ca="1">IFERROR(__xludf.DUMMYFUNCTION("""COMPUTED_VALUE"""),"Chapter 13 - Influences of architectural and implementation choices on CyberInfrastructure quality—a case study")</f>
        <v>Chapter 13 - Influences of architectural and implementation choices on CyberInfrastructure quality—a case study</v>
      </c>
      <c r="C437" s="15" t="str">
        <f ca="1">VLOOKUP(B437,'ALL DATABASES'!$A$1:$T$2252,2,FALSE)</f>
        <v>Farcas E,Menarini M,Farcas C,Griswold WG,Patrick K,Krueger I,Demchak B,Raab F,Yan Y,Ziftci C</v>
      </c>
      <c r="D437" s="15">
        <f ca="1">VLOOKUP(B437,'ALL DATABASES'!$A$1:$T$2252,5,FALSE)</f>
        <v>2016</v>
      </c>
      <c r="E437" s="15">
        <f ca="1">VLOOKUP(B437,'ALL DATABASES'!$A$1:$T$2252,10,FALSE)</f>
        <v>2016</v>
      </c>
      <c r="F437" s="54" t="str">
        <f ca="1">VLOOKUP(B437,'ALL DATABASES'!$A$1:$T$2252,14,FALSE)</f>
        <v>https://www.sciencedirect.com/science/article/pii/B9780128023013000132;http://dx.doi.org/10.1016/B978-0-12-802301-3.00013-2</v>
      </c>
      <c r="G437" s="15" t="str">
        <f ca="1">VLOOKUP(B437,'ALL DATABASES'!$A$1:$T$2252,3,FALSE)</f>
        <v>Book Chapter</v>
      </c>
      <c r="H437" s="50" t="str">
        <f ca="1">VLOOKUP(B437,'ALL DATABASES'!$A$1:$T$2252,20,FALSE)</f>
        <v>SCIENCEDIRECT</v>
      </c>
    </row>
    <row r="438" spans="1:8" ht="12.75" x14ac:dyDescent="0.2">
      <c r="A438">
        <v>437</v>
      </c>
      <c r="B438" s="15" t="str">
        <f ca="1">IFERROR(__xludf.DUMMYFUNCTION("""COMPUTED_VALUE"""),"Chapter 16 - People")</f>
        <v>Chapter 16 - People</v>
      </c>
      <c r="C438" s="15" t="str">
        <f ca="1">VLOOKUP(B438,'ALL DATABASES'!$A$1:$T$2252,2,FALSE)</f>
        <v>Ridge E</v>
      </c>
      <c r="D438" s="15">
        <f ca="1">VLOOKUP(B438,'ALL DATABASES'!$A$1:$T$2252,5,FALSE)</f>
        <v>2015</v>
      </c>
      <c r="E438" s="15">
        <f ca="1">VLOOKUP(B438,'ALL DATABASES'!$A$1:$T$2252,10,FALSE)</f>
        <v>2015</v>
      </c>
      <c r="F438" s="54" t="str">
        <f ca="1">VLOOKUP(B438,'ALL DATABASES'!$A$1:$T$2252,14,FALSE)</f>
        <v>https://www.sciencedirect.com/science/article/pii/B9780128002186000163;http://dx.doi.org/10.1016/B978-0-12-800218-6.00016-3</v>
      </c>
      <c r="G438" s="15" t="str">
        <f ca="1">VLOOKUP(B438,'ALL DATABASES'!$A$1:$T$2252,3,FALSE)</f>
        <v>Book Chapter</v>
      </c>
      <c r="H438" s="50" t="str">
        <f ca="1">VLOOKUP(B438,'ALL DATABASES'!$A$1:$T$2252,20,FALSE)</f>
        <v>SCIENCEDIRECT</v>
      </c>
    </row>
    <row r="439" spans="1:8" ht="12.75" x14ac:dyDescent="0.2">
      <c r="A439">
        <v>438</v>
      </c>
      <c r="B439" s="15" t="str">
        <f ca="1">IFERROR(__xludf.DUMMYFUNCTION("""COMPUTED_VALUE"""),"Chapter 19 - Analytical Product Release Planning")</f>
        <v>Chapter 19 - Analytical Product Release Planning</v>
      </c>
      <c r="C439" s="15" t="str">
        <f ca="1">VLOOKUP(B439,'ALL DATABASES'!$A$1:$T$2252,2,FALSE)</f>
        <v>Nayebi M,Ruhe G</v>
      </c>
      <c r="D439" s="15">
        <f ca="1">VLOOKUP(B439,'ALL DATABASES'!$A$1:$T$2252,5,FALSE)</f>
        <v>2015</v>
      </c>
      <c r="E439" s="15">
        <f ca="1">VLOOKUP(B439,'ALL DATABASES'!$A$1:$T$2252,10,FALSE)</f>
        <v>2015</v>
      </c>
      <c r="F439" s="54" t="str">
        <f ca="1">VLOOKUP(B439,'ALL DATABASES'!$A$1:$T$2252,14,FALSE)</f>
        <v>https://www.sciencedirect.com/science/article/pii/B9780124115194000197;http://dx.doi.org/10.1016/B978-0-12-411519-4.00019-7</v>
      </c>
      <c r="G439" s="15" t="str">
        <f ca="1">VLOOKUP(B439,'ALL DATABASES'!$A$1:$T$2252,3,FALSE)</f>
        <v>Book Chapter</v>
      </c>
      <c r="H439" s="50" t="str">
        <f ca="1">VLOOKUP(B439,'ALL DATABASES'!$A$1:$T$2252,20,FALSE)</f>
        <v>SCIENCEDIRECT</v>
      </c>
    </row>
    <row r="440" spans="1:8" ht="12.75" x14ac:dyDescent="0.2">
      <c r="A440">
        <v>439</v>
      </c>
      <c r="B440" s="15" t="str">
        <f ca="1">IFERROR(__xludf.DUMMYFUNCTION("""COMPUTED_VALUE"""),"Chapter 4 - The Ten Steps Process")</f>
        <v>Chapter 4 - The Ten Steps Process</v>
      </c>
      <c r="C440" s="15" t="str">
        <f ca="1">VLOOKUP(B440,'ALL DATABASES'!$A$1:$T$2252,2,FALSE)</f>
        <v>McGilvray D</v>
      </c>
      <c r="D440" s="15">
        <f ca="1">VLOOKUP(B440,'ALL DATABASES'!$A$1:$T$2252,5,FALSE)</f>
        <v>2021</v>
      </c>
      <c r="E440" s="15">
        <f ca="1">VLOOKUP(B440,'ALL DATABASES'!$A$1:$T$2252,10,FALSE)</f>
        <v>2021</v>
      </c>
      <c r="F440" s="54" t="str">
        <f ca="1">VLOOKUP(B440,'ALL DATABASES'!$A$1:$T$2252,14,FALSE)</f>
        <v>https://www.sciencedirect.com/science/article/pii/B9780128180150000062;http://dx.doi.org/10.1016/B978-0-12-818015-0.00006-2</v>
      </c>
      <c r="G440" s="15" t="str">
        <f ca="1">VLOOKUP(B440,'ALL DATABASES'!$A$1:$T$2252,3,FALSE)</f>
        <v>Book Chapter</v>
      </c>
      <c r="H440" s="50" t="str">
        <f ca="1">VLOOKUP(B440,'ALL DATABASES'!$A$1:$T$2252,20,FALSE)</f>
        <v>SCIENCEDIRECT</v>
      </c>
    </row>
    <row r="441" spans="1:8" ht="12.75" x14ac:dyDescent="0.2">
      <c r="A441">
        <v>440</v>
      </c>
      <c r="B441" s="15" t="str">
        <f ca="1">IFERROR(__xludf.DUMMYFUNCTION("""COMPUTED_VALUE"""),"Characterizing and identifying reverted commits")</f>
        <v>Characterizing and identifying reverted commits</v>
      </c>
      <c r="C441" s="15" t="str">
        <f ca="1">VLOOKUP(B441,'ALL DATABASES'!$A$1:$T$2252,2,FALSE)</f>
        <v>Yan M,Xia X,Lo D,Hassan AE,Li S</v>
      </c>
      <c r="D441" s="15">
        <f ca="1">VLOOKUP(B441,'ALL DATABASES'!$A$1:$T$2252,5,FALSE)</f>
        <v>2019</v>
      </c>
      <c r="E441" s="15">
        <f ca="1">VLOOKUP(B441,'ALL DATABASES'!$A$1:$T$2252,10,FALSE)</f>
        <v>2019</v>
      </c>
      <c r="F441" s="54" t="str">
        <f ca="1">VLOOKUP(B441,'ALL DATABASES'!$A$1:$T$2252,14,FALSE)</f>
        <v>https://www.scopus.com/inward/record.uri?eid=2-s2.0-85062728420&amp;doi=10.1007%2fs10664-019-09688-8&amp;partnerID=40&amp;md5=cef3bfaa22528f155edd9d07f11a437d;http://dx.doi.org/10.1007/s10664-019-09688-8</v>
      </c>
      <c r="G441" s="15" t="str">
        <f ca="1">VLOOKUP(B441,'ALL DATABASES'!$A$1:$T$2252,3,FALSE)</f>
        <v>Journal Article</v>
      </c>
      <c r="H441" s="50" t="str">
        <f ca="1">VLOOKUP(B441,'ALL DATABASES'!$A$1:$T$2252,20,FALSE)</f>
        <v>SCOPUS</v>
      </c>
    </row>
    <row r="442" spans="1:8" ht="12.75" x14ac:dyDescent="0.2">
      <c r="A442">
        <v>441</v>
      </c>
      <c r="B442" s="15" t="str">
        <f ca="1">IFERROR(__xludf.DUMMYFUNCTION("""COMPUTED_VALUE"""),"Characterizing and Mitigating Self-Admitted Technical Debt in Build Systems")</f>
        <v>Characterizing and Mitigating Self-Admitted Technical Debt in Build Systems</v>
      </c>
      <c r="C442" s="15" t="str">
        <f ca="1">VLOOKUP(B442,'ALL DATABASES'!$A$1:$T$2252,2,FALSE)</f>
        <v>Xiao T,Wang D,McIntosh S,Hata H,Kula RG,Ishio T,Matsumoto K</v>
      </c>
      <c r="D442" s="15">
        <f ca="1">VLOOKUP(B442,'ALL DATABASES'!$A$1:$T$2252,5,FALSE)</f>
        <v>2022</v>
      </c>
      <c r="E442" s="53">
        <f ca="1">VLOOKUP(B442,'ALL DATABASES'!$A$1:$T$2252,10,FALSE)</f>
        <v>44835</v>
      </c>
      <c r="F442" s="54" t="str">
        <f ca="1">VLOOKUP(B442,'ALL DATABASES'!$A$1:$T$2252,14,FALSE)</f>
        <v>http://dx.doi.org/10.1109/TSE.2021.3115772</v>
      </c>
      <c r="G442" s="15" t="str">
        <f ca="1">VLOOKUP(B442,'ALL DATABASES'!$A$1:$T$2252,3,FALSE)</f>
        <v>Journal Article</v>
      </c>
      <c r="H442" s="50" t="str">
        <f ca="1">VLOOKUP(B442,'ALL DATABASES'!$A$1:$T$2252,20,FALSE)</f>
        <v>IEEE</v>
      </c>
    </row>
    <row r="443" spans="1:8" ht="12.75" x14ac:dyDescent="0.2">
      <c r="A443">
        <v>442</v>
      </c>
      <c r="B443" s="15" t="str">
        <f ca="1">IFERROR(__xludf.DUMMYFUNCTION("""COMPUTED_VALUE"""),"Characterizing Technical Debt and Antipatterns in AI-Based Systems: A Systematic Mapping Study")</f>
        <v>Characterizing Technical Debt and Antipatterns in AI-Based Systems: A Systematic Mapping Study</v>
      </c>
      <c r="C443" s="15" t="str">
        <f ca="1">VLOOKUP(B443,'ALL DATABASES'!$A$1:$T$2252,2,FALSE)</f>
        <v>Bogner J,Verdecchia R,Gerostathopoulos I</v>
      </c>
      <c r="D443" s="15">
        <f ca="1">VLOOKUP(B443,'ALL DATABASES'!$A$1:$T$2252,5,FALSE)</f>
        <v>2021</v>
      </c>
      <c r="E443" s="55">
        <f ca="1">VLOOKUP(B443,'ALL DATABASES'!$A$1:$T$2252,10,FALSE)</f>
        <v>44317</v>
      </c>
      <c r="F443" s="54" t="str">
        <f ca="1">VLOOKUP(B443,'ALL DATABASES'!$A$1:$T$2252,14,FALSE)</f>
        <v>http://dx.doi.org/10.1109/TechDebt52882.2021.00016</v>
      </c>
      <c r="G443" s="15" t="str">
        <f ca="1">VLOOKUP(B443,'ALL DATABASES'!$A$1:$T$2252,3,FALSE)</f>
        <v>Conference Paper</v>
      </c>
      <c r="H443" s="50" t="str">
        <f ca="1">VLOOKUP(B443,'ALL DATABASES'!$A$1:$T$2252,20,FALSE)</f>
        <v>IEEE</v>
      </c>
    </row>
    <row r="444" spans="1:8" ht="12.75" x14ac:dyDescent="0.2">
      <c r="A444">
        <v>443</v>
      </c>
      <c r="B444" s="15" t="str">
        <f ca="1">IFERROR(__xludf.DUMMYFUNCTION("""COMPUTED_VALUE"""),"CHI '21: Proceedings of the 2021 CHI Conference on Human Factors in Computing Systems")</f>
        <v>CHI '21: Proceedings of the 2021 CHI Conference on Human Factors in Computing Systems</v>
      </c>
      <c r="C444" s="15">
        <f ca="1">VLOOKUP(B444,'ALL DATABASES'!$A$1:$T$2252,2,FALSE)</f>
        <v>0</v>
      </c>
      <c r="D444" s="15">
        <f ca="1">VLOOKUP(B444,'ALL DATABASES'!$A$1:$T$2252,5,FALSE)</f>
        <v>2021</v>
      </c>
      <c r="E444" s="15">
        <f ca="1">VLOOKUP(B444,'ALL DATABASES'!$A$1:$T$2252,10,FALSE)</f>
        <v>2021</v>
      </c>
      <c r="F444" s="15">
        <f ca="1">VLOOKUP(B444,'ALL DATABASES'!$A$1:$T$2252,14,FALSE)</f>
        <v>0</v>
      </c>
      <c r="G444" s="15" t="str">
        <f ca="1">VLOOKUP(B444,'ALL DATABASES'!$A$1:$T$2252,3,FALSE)</f>
        <v>Book</v>
      </c>
      <c r="H444" s="50" t="str">
        <f ca="1">VLOOKUP(B444,'ALL DATABASES'!$A$1:$T$2252,20,FALSE)</f>
        <v>ACM</v>
      </c>
    </row>
    <row r="445" spans="1:8" ht="12.75" x14ac:dyDescent="0.2">
      <c r="A445">
        <v>444</v>
      </c>
      <c r="B445" s="15" t="str">
        <f ca="1">IFERROR(__xludf.DUMMYFUNCTION("""COMPUTED_VALUE"""),"City, Society, and Digital Transformation")</f>
        <v>City, Society, and Digital Transformation</v>
      </c>
      <c r="C445" s="15" t="str">
        <f ca="1">VLOOKUP(B445,'ALL DATABASES'!$A$1:$T$2252,2,FALSE)</f>
        <v>Robin QiuWai Kin Victor ChanWeiwei ChenYouakim BadrCanrong Zhang</v>
      </c>
      <c r="D445" s="15">
        <f ca="1">VLOOKUP(B445,'ALL DATABASES'!$A$1:$T$2252,5,FALSE)</f>
        <v>2022</v>
      </c>
      <c r="E445" s="15">
        <f ca="1">VLOOKUP(B445,'ALL DATABASES'!$A$1:$T$2252,10,FALSE)</f>
        <v>0</v>
      </c>
      <c r="F445" s="54" t="str">
        <f ca="1">VLOOKUP(B445,'ALL DATABASES'!$A$1:$T$2252,14,FALSE)</f>
        <v>http://link.springer.com/book/10.1007/978-3-031-15644-1</v>
      </c>
      <c r="G445" s="15" t="str">
        <f ca="1">VLOOKUP(B445,'ALL DATABASES'!$A$1:$T$2252,3,FALSE)</f>
        <v>Book</v>
      </c>
      <c r="H445" s="50" t="str">
        <f ca="1">VLOOKUP(B445,'ALL DATABASES'!$A$1:$T$2252,20,FALSE)</f>
        <v>SPRINGER</v>
      </c>
    </row>
    <row r="446" spans="1:8" ht="12.75" x14ac:dyDescent="0.2">
      <c r="A446">
        <v>445</v>
      </c>
      <c r="B446" s="15" t="str">
        <f ca="1">IFERROR(__xludf.DUMMYFUNCTION("""COMPUTED_VALUE"""),"Class Change Prediction by Incorporating Community Smell: An Empirical Study")</f>
        <v>Class Change Prediction by Incorporating Community Smell: An Empirical Study</v>
      </c>
      <c r="C446" s="15" t="str">
        <f ca="1">VLOOKUP(B446,'ALL DATABASES'!$A$1:$T$2252,2,FALSE)</f>
        <v>Dou Q,Chen J,Gao J,Huang Z</v>
      </c>
      <c r="D446" s="15">
        <f ca="1">VLOOKUP(B446,'ALL DATABASES'!$A$1:$T$2252,5,FALSE)</f>
        <v>2022</v>
      </c>
      <c r="E446" s="15">
        <f ca="1">VLOOKUP(B446,'ALL DATABASES'!$A$1:$T$2252,10,FALSE)</f>
        <v>2022</v>
      </c>
      <c r="F446" s="54" t="str">
        <f ca="1">VLOOKUP(B446,'ALL DATABASES'!$A$1:$T$2252,14,FALSE)</f>
        <v>https://www.scopus.com/inward/record.uri?eid=2-s2.0-85139632016&amp;doi=10.1142%2fS0218194022500528&amp;partnerID=40&amp;md5=78a61bc2bc8a02f231d385a13f5a5a0e;http://dx.doi.org/10.1142/S0218194022500528</v>
      </c>
      <c r="G446" s="15" t="str">
        <f ca="1">VLOOKUP(B446,'ALL DATABASES'!$A$1:$T$2252,3,FALSE)</f>
        <v>Journal Article</v>
      </c>
      <c r="H446" s="50" t="str">
        <f ca="1">VLOOKUP(B446,'ALL DATABASES'!$A$1:$T$2252,20,FALSE)</f>
        <v>SCOPUS</v>
      </c>
    </row>
    <row r="447" spans="1:8" ht="12.75" x14ac:dyDescent="0.2">
      <c r="A447">
        <v>446</v>
      </c>
      <c r="B447" s="15" t="str">
        <f ca="1">IFERROR(__xludf.DUMMYFUNCTION("""COMPUTED_VALUE"""),"Classification of mathematics question using natural language processing and text mining")</f>
        <v>Classification of mathematics question using natural language processing and text mining</v>
      </c>
      <c r="C447" s="15" t="str">
        <f ca="1">VLOOKUP(B447,'ALL DATABASES'!$A$1:$T$2252,2,FALSE)</f>
        <v>Sadik J,Wijaya AE,Wibowo A</v>
      </c>
      <c r="D447" s="15">
        <f ca="1">VLOOKUP(B447,'ALL DATABASES'!$A$1:$T$2252,5,FALSE)</f>
        <v>2020</v>
      </c>
      <c r="E447" s="15">
        <f ca="1">VLOOKUP(B447,'ALL DATABASES'!$A$1:$T$2252,10,FALSE)</f>
        <v>2020</v>
      </c>
      <c r="F447" s="54" t="str">
        <f ca="1">VLOOKUP(B447,'ALL DATABASES'!$A$1:$T$2252,14,FALSE)</f>
        <v>https://www.scopus.com/inward/record.uri?eid=2-s2.0-85082448866&amp;doi=10.24507%2ficicel.14.05.423&amp;partnerID=40&amp;md5=9d3a3fc6034424833899d0a5e186adae;http://dx.doi.org/10.24507/icicel.14.05.423</v>
      </c>
      <c r="G447" s="15" t="str">
        <f ca="1">VLOOKUP(B447,'ALL DATABASES'!$A$1:$T$2252,3,FALSE)</f>
        <v>Journal Article</v>
      </c>
      <c r="H447" s="50" t="str">
        <f ca="1">VLOOKUP(B447,'ALL DATABASES'!$A$1:$T$2252,20,FALSE)</f>
        <v>SCOPUS</v>
      </c>
    </row>
    <row r="448" spans="1:8" ht="12.75" x14ac:dyDescent="0.2">
      <c r="A448">
        <v>447</v>
      </c>
      <c r="B448" s="15" t="str">
        <f ca="1">IFERROR(__xludf.DUMMYFUNCTION("""COMPUTED_VALUE"""),"Classification of Student Graduation by Naïve Bayes Method by Comparing between Random Oversampling and Feature Selections of Information Gain and Forward Selection")</f>
        <v>Classification of Student Graduation by Naïve Bayes Method by Comparing between Random Oversampling and Feature Selections of Information Gain and Forward Selection</v>
      </c>
      <c r="C448" s="15" t="str">
        <f ca="1">VLOOKUP(B448,'ALL DATABASES'!$A$1:$T$2252,2,FALSE)</f>
        <v>Fahrudy D,‘uyun S</v>
      </c>
      <c r="D448" s="15">
        <f ca="1">VLOOKUP(B448,'ALL DATABASES'!$A$1:$T$2252,5,FALSE)</f>
        <v>2022</v>
      </c>
      <c r="E448" s="15">
        <f ca="1">VLOOKUP(B448,'ALL DATABASES'!$A$1:$T$2252,10,FALSE)</f>
        <v>2022</v>
      </c>
      <c r="F448" s="54" t="str">
        <f ca="1">VLOOKUP(B448,'ALL DATABASES'!$A$1:$T$2252,14,FALSE)</f>
        <v>https://www.scopus.com/inward/record.uri?eid=2-s2.0-85145953212&amp;doi=10.30630%2fjoiv.6.4.982&amp;partnerID=40&amp;md5=200d0cc812ef636961a286a488f7df5a;http://dx.doi.org/10.30630/joiv.6.4.982</v>
      </c>
      <c r="G448" s="15" t="str">
        <f ca="1">VLOOKUP(B448,'ALL DATABASES'!$A$1:$T$2252,3,FALSE)</f>
        <v>Journal Article</v>
      </c>
      <c r="H448" s="50" t="str">
        <f ca="1">VLOOKUP(B448,'ALL DATABASES'!$A$1:$T$2252,20,FALSE)</f>
        <v>SCOPUS</v>
      </c>
    </row>
    <row r="449" spans="1:8" ht="12.75" x14ac:dyDescent="0.2">
      <c r="A449">
        <v>448</v>
      </c>
      <c r="B449" s="15" t="str">
        <f ca="1">IFERROR(__xludf.DUMMYFUNCTION("""COMPUTED_VALUE"""),"Classification of Technical Debts in Software Development Using Text Analytics")</f>
        <v>Classification of Technical Debts in Software Development Using Text Analytics</v>
      </c>
      <c r="C449" s="15" t="str">
        <f ca="1">VLOOKUP(B449,'ALL DATABASES'!$A$1:$T$2252,2,FALSE)</f>
        <v>Rajalakshmi V,Sendhilkumar S,Mahalakshmi GS</v>
      </c>
      <c r="D449" s="15">
        <f ca="1">VLOOKUP(B449,'ALL DATABASES'!$A$1:$T$2252,5,FALSE)</f>
        <v>2021</v>
      </c>
      <c r="E449" s="15">
        <f ca="1">VLOOKUP(B449,'ALL DATABASES'!$A$1:$T$2252,10,FALSE)</f>
        <v>2021</v>
      </c>
      <c r="F449" s="54" t="str">
        <f ca="1">VLOOKUP(B449,'ALL DATABASES'!$A$1:$T$2252,14,FALSE)</f>
        <v>https://www.scopus.com/inward/record.uri?eid=2-s2.0-85097843589&amp;doi=10.1007%2f978-3-030-49795-8_31&amp;partnerID=40&amp;md5=601568d9f1b5bda19f7cebe1bee3c2f8;http://dx.doi.org/10.1007/978-3-030-49795-8_31</v>
      </c>
      <c r="G449" s="15" t="str">
        <f ca="1">VLOOKUP(B449,'ALL DATABASES'!$A$1:$T$2252,3,FALSE)</f>
        <v>Journal Article</v>
      </c>
      <c r="H449" s="50" t="str">
        <f ca="1">VLOOKUP(B449,'ALL DATABASES'!$A$1:$T$2252,20,FALSE)</f>
        <v>SCOPUS</v>
      </c>
    </row>
    <row r="450" spans="1:8" ht="12.75" x14ac:dyDescent="0.2">
      <c r="A450">
        <v>449</v>
      </c>
      <c r="B450" s="15" t="str">
        <f ca="1">IFERROR(__xludf.DUMMYFUNCTION("""COMPUTED_VALUE"""),"Classifying Code Comments in Java Mobile Applications")</f>
        <v>Classifying Code Comments in Java Mobile Applications</v>
      </c>
      <c r="C450" s="15" t="str">
        <f ca="1">VLOOKUP(B450,'ALL DATABASES'!$A$1:$T$2252,2,FALSE)</f>
        <v>Pascarella L</v>
      </c>
      <c r="D450" s="15">
        <f ca="1">VLOOKUP(B450,'ALL DATABASES'!$A$1:$T$2252,5,FALSE)</f>
        <v>2018</v>
      </c>
      <c r="E450" s="15">
        <f ca="1">VLOOKUP(B450,'ALL DATABASES'!$A$1:$T$2252,10,FALSE)</f>
        <v>2018</v>
      </c>
      <c r="F450" s="54" t="str">
        <f ca="1">VLOOKUP(B450,'ALL DATABASES'!$A$1:$T$2252,14,FALSE)</f>
        <v>https://doi.org/10.1145/3197231.3198444;http://dx.doi.org/10.1145/3197231.3198444</v>
      </c>
      <c r="G450" s="15" t="str">
        <f ca="1">VLOOKUP(B450,'ALL DATABASES'!$A$1:$T$2252,3,FALSE)</f>
        <v>Conference Paper</v>
      </c>
      <c r="H450" s="50" t="str">
        <f ca="1">VLOOKUP(B450,'ALL DATABASES'!$A$1:$T$2252,20,FALSE)</f>
        <v>ACM</v>
      </c>
    </row>
    <row r="451" spans="1:8" ht="12.75" x14ac:dyDescent="0.2">
      <c r="A451">
        <v>450</v>
      </c>
      <c r="B451" s="15" t="str">
        <f ca="1">IFERROR(__xludf.DUMMYFUNCTION("""COMPUTED_VALUE"""),"Classifying Issues into Custom Labels in GitBot")</f>
        <v>Classifying Issues into Custom Labels in GitBot</v>
      </c>
      <c r="C451" s="15" t="str">
        <f ca="1">VLOOKUP(B451,'ALL DATABASES'!$A$1:$T$2252,2,FALSE)</f>
        <v>Park D,Cho H,Lee S</v>
      </c>
      <c r="D451" s="15">
        <f ca="1">VLOOKUP(B451,'ALL DATABASES'!$A$1:$T$2252,5,FALSE)</f>
        <v>2022</v>
      </c>
      <c r="E451" s="15">
        <f ca="1">VLOOKUP(B451,'ALL DATABASES'!$A$1:$T$2252,10,FALSE)</f>
        <v>2022</v>
      </c>
      <c r="F451" s="54" t="str">
        <f ca="1">VLOOKUP(B451,'ALL DATABASES'!$A$1:$T$2252,14,FALSE)</f>
        <v>https://www.scopus.com/inward/record.uri?eid=2-s2.0-85135091651&amp;doi=10.1145%2f3528228.3528404&amp;partnerID=40&amp;md5=610513b0ee0578d8cf88054fd74bfd26;http://dx.doi.org/10.1145/3528228.3528404</v>
      </c>
      <c r="G451" s="15" t="str">
        <f ca="1">VLOOKUP(B451,'ALL DATABASES'!$A$1:$T$2252,3,FALSE)</f>
        <v>Conference Paper</v>
      </c>
      <c r="H451" s="50" t="str">
        <f ca="1">VLOOKUP(B451,'ALL DATABASES'!$A$1:$T$2252,20,FALSE)</f>
        <v>SCOPUS</v>
      </c>
    </row>
    <row r="452" spans="1:8" ht="12.75" x14ac:dyDescent="0.2">
      <c r="A452">
        <v>451</v>
      </c>
      <c r="B452" s="15" t="str">
        <f ca="1">IFERROR(__xludf.DUMMYFUNCTION("""COMPUTED_VALUE"""),"Classifying Model-View-Controller Software Applications Using Self-Organizing Maps")</f>
        <v>Classifying Model-View-Controller Software Applications Using Self-Organizing Maps</v>
      </c>
      <c r="C452" s="15" t="str">
        <f ca="1">VLOOKUP(B452,'ALL DATABASES'!$A$1:$T$2252,2,FALSE)</f>
        <v>Guaman D,Delgado S,Perez J</v>
      </c>
      <c r="D452" s="15">
        <f ca="1">VLOOKUP(B452,'ALL DATABASES'!$A$1:$T$2252,5,FALSE)</f>
        <v>2021</v>
      </c>
      <c r="E452" s="15">
        <f ca="1">VLOOKUP(B452,'ALL DATABASES'!$A$1:$T$2252,10,FALSE)</f>
        <v>2021</v>
      </c>
      <c r="F452" s="54" t="str">
        <f ca="1">VLOOKUP(B452,'ALL DATABASES'!$A$1:$T$2252,14,FALSE)</f>
        <v>https://www.scopus.com/inward/record.uri?eid=2-s2.0-85103148325&amp;doi=10.1109%2fACCESS.2021.3066348&amp;partnerID=40&amp;md5=5c33c615d26804f810a0df3870ace47e;http://dx.doi.org/10.1109/ACCESS.2021.3066348</v>
      </c>
      <c r="G452" s="15" t="str">
        <f ca="1">VLOOKUP(B452,'ALL DATABASES'!$A$1:$T$2252,3,FALSE)</f>
        <v>Journal Article</v>
      </c>
      <c r="H452" s="50" t="str">
        <f ca="1">VLOOKUP(B452,'ALL DATABASES'!$A$1:$T$2252,20,FALSE)</f>
        <v>SCOPUS</v>
      </c>
    </row>
    <row r="453" spans="1:8" ht="12.75" x14ac:dyDescent="0.2">
      <c r="A453">
        <v>452</v>
      </c>
      <c r="B453" s="15" t="str">
        <f ca="1">IFERROR(__xludf.DUMMYFUNCTION("""COMPUTED_VALUE"""),"ClassSum: a deep learning model for class-level code summarization")</f>
        <v>ClassSum: a deep learning model for class-level code summarization</v>
      </c>
      <c r="C453" s="15" t="str">
        <f ca="1">VLOOKUP(B453,'ALL DATABASES'!$A$1:$T$2252,2,FALSE)</f>
        <v>Li M,Yu H,Fan G,Zhou Z,Huang J</v>
      </c>
      <c r="D453" s="15">
        <f ca="1">VLOOKUP(B453,'ALL DATABASES'!$A$1:$T$2252,5,FALSE)</f>
        <v>2022</v>
      </c>
      <c r="E453" s="15">
        <f ca="1">VLOOKUP(B453,'ALL DATABASES'!$A$1:$T$2252,10,FALSE)</f>
        <v>2022</v>
      </c>
      <c r="F453" s="54" t="str">
        <f ca="1">VLOOKUP(B453,'ALL DATABASES'!$A$1:$T$2252,14,FALSE)</f>
        <v>https://www.scopus.com/inward/record.uri?eid=2-s2.0-85139548360&amp;doi=10.1007%2fs00521-022-07877-z&amp;partnerID=40&amp;md5=47a63c70a0c87e77eb2c6c16544d405d;http://dx.doi.org/10.1007/s00521-022-07877-z</v>
      </c>
      <c r="G453" s="15" t="str">
        <f ca="1">VLOOKUP(B453,'ALL DATABASES'!$A$1:$T$2252,3,FALSE)</f>
        <v>Journal Article</v>
      </c>
      <c r="H453" s="50" t="str">
        <f ca="1">VLOOKUP(B453,'ALL DATABASES'!$A$1:$T$2252,20,FALSE)</f>
        <v>SCOPUS</v>
      </c>
    </row>
    <row r="454" spans="1:8" ht="12.75" x14ac:dyDescent="0.2">
      <c r="A454">
        <v>453</v>
      </c>
      <c r="B454" s="15" t="str">
        <f ca="1">IFERROR(__xludf.DUMMYFUNCTION("""COMPUTED_VALUE"""),"Clean Code Tutoring: Makings of a Foundation")</f>
        <v>Clean Code Tutoring: Makings of a Foundation</v>
      </c>
      <c r="C454" s="15" t="str">
        <f ca="1">VLOOKUP(B454,'ALL DATABASES'!$A$1:$T$2252,2,FALSE)</f>
        <v>Luburić N,Vidaković D,Slivka J,Prokić S,Grujić KG,Kovačević A,Sladić G</v>
      </c>
      <c r="D454" s="15">
        <f ca="1">VLOOKUP(B454,'ALL DATABASES'!$A$1:$T$2252,5,FALSE)</f>
        <v>2022</v>
      </c>
      <c r="E454" s="15">
        <f ca="1">VLOOKUP(B454,'ALL DATABASES'!$A$1:$T$2252,10,FALSE)</f>
        <v>2022</v>
      </c>
      <c r="F454" s="54" t="str">
        <f ca="1">VLOOKUP(B454,'ALL DATABASES'!$A$1:$T$2252,14,FALSE)</f>
        <v>https://www.scopus.com/inward/record.uri?eid=2-s2.0-85136171774&amp;doi=10.5220%2f0010800900003182&amp;partnerID=40&amp;md5=ebcae109f6d28a22e099817431223138;http://dx.doi.org/10.5220/0010800900003182</v>
      </c>
      <c r="G454" s="15" t="str">
        <f ca="1">VLOOKUP(B454,'ALL DATABASES'!$A$1:$T$2252,3,FALSE)</f>
        <v>Conference Paper</v>
      </c>
      <c r="H454" s="50" t="str">
        <f ca="1">VLOOKUP(B454,'ALL DATABASES'!$A$1:$T$2252,20,FALSE)</f>
        <v>SCOPUS</v>
      </c>
    </row>
    <row r="455" spans="1:8" ht="12.75" x14ac:dyDescent="0.2">
      <c r="A455">
        <v>454</v>
      </c>
      <c r="B455" s="15" t="str">
        <f ca="1">IFERROR(__xludf.DUMMYFUNCTION("""COMPUTED_VALUE"""),"Clinical artificial intelligence quality improvement: towards continual monitoring and updating of AI algorithms in healthcare")</f>
        <v>Clinical artificial intelligence quality improvement: towards continual monitoring and updating of AI algorithms in healthcare</v>
      </c>
      <c r="C455" s="15" t="str">
        <f ca="1">VLOOKUP(B455,'ALL DATABASES'!$A$1:$T$2252,2,FALSE)</f>
        <v>Feng J,Phillips RV,Malenica I,Bishara A,Hubbard AE,Celi LA,Pirracchio R</v>
      </c>
      <c r="D455" s="15">
        <f ca="1">VLOOKUP(B455,'ALL DATABASES'!$A$1:$T$2252,5,FALSE)</f>
        <v>2022</v>
      </c>
      <c r="E455" s="15">
        <f ca="1">VLOOKUP(B455,'ALL DATABASES'!$A$1:$T$2252,10,FALSE)</f>
        <v>2022</v>
      </c>
      <c r="F455" s="54" t="str">
        <f ca="1">VLOOKUP(B455,'ALL DATABASES'!$A$1:$T$2252,14,FALSE)</f>
        <v>https://www.scopus.com/inward/record.uri?eid=2-s2.0-85131510401&amp;doi=10.1038%2fs41746-022-00611-y&amp;partnerID=40&amp;md5=09f7394d60d732fda84bd5dc1c8a133e;http://dx.doi.org/10.1038/s41746-022-00611-y</v>
      </c>
      <c r="G455" s="15" t="str">
        <f ca="1">VLOOKUP(B455,'ALL DATABASES'!$A$1:$T$2252,3,FALSE)</f>
        <v>Journal Article</v>
      </c>
      <c r="H455" s="50" t="str">
        <f ca="1">VLOOKUP(B455,'ALL DATABASES'!$A$1:$T$2252,20,FALSE)</f>
        <v>SCOPUS</v>
      </c>
    </row>
    <row r="456" spans="1:8" ht="12.75" x14ac:dyDescent="0.2">
      <c r="A456">
        <v>455</v>
      </c>
      <c r="B456" s="15" t="str">
        <f ca="1">IFERROR(__xludf.DUMMYFUNCTION("""COMPUTED_VALUE"""),"Clinical deployment environments: Five pillars of translational machine learning for health")</f>
        <v>Clinical deployment environments: Five pillars of translational machine learning for health</v>
      </c>
      <c r="C456" s="15" t="str">
        <f ca="1">VLOOKUP(B456,'ALL DATABASES'!$A$1:$T$2252,2,FALSE)</f>
        <v>Harris S,Bonnici T,Keen T,Lilaonitkul W,White MJ,Swanepoel N</v>
      </c>
      <c r="D456" s="15">
        <f ca="1">VLOOKUP(B456,'ALL DATABASES'!$A$1:$T$2252,5,FALSE)</f>
        <v>2022</v>
      </c>
      <c r="E456" s="15">
        <f ca="1">VLOOKUP(B456,'ALL DATABASES'!$A$1:$T$2252,10,FALSE)</f>
        <v>2022</v>
      </c>
      <c r="F456" s="54" t="str">
        <f ca="1">VLOOKUP(B456,'ALL DATABASES'!$A$1:$T$2252,14,FALSE)</f>
        <v>https://www.scopus.com/inward/record.uri?eid=2-s2.0-85137825739&amp;doi=10.3389%2ffdgth.2022.939292&amp;partnerID=40&amp;md5=19debbf63d58827dc80975cfcbb37474;http://dx.doi.org/10.3389/fdgth.2022.939292</v>
      </c>
      <c r="G456" s="15" t="str">
        <f ca="1">VLOOKUP(B456,'ALL DATABASES'!$A$1:$T$2252,3,FALSE)</f>
        <v>Journal Article</v>
      </c>
      <c r="H456" s="50" t="str">
        <f ca="1">VLOOKUP(B456,'ALL DATABASES'!$A$1:$T$2252,20,FALSE)</f>
        <v>SCOPUS</v>
      </c>
    </row>
    <row r="457" spans="1:8" ht="12.75" x14ac:dyDescent="0.2">
      <c r="A457">
        <v>456</v>
      </c>
      <c r="B457" s="15" t="str">
        <f ca="1">IFERROR(__xludf.DUMMYFUNCTION("""COMPUTED_VALUE"""),"Clones in deep learning code: what, where, and why?")</f>
        <v>Clones in deep learning code: what, where, and why?</v>
      </c>
      <c r="C457" s="15" t="str">
        <f ca="1">VLOOKUP(B457,'ALL DATABASES'!$A$1:$T$2252,2,FALSE)</f>
        <v>Hadhemi JebnounMd Saidur RahmanFoutse KhomhBiruk Asmare Muse</v>
      </c>
      <c r="D457" s="15">
        <f ca="1">VLOOKUP(B457,'ALL DATABASES'!$A$1:$T$2252,5,FALSE)</f>
        <v>2022</v>
      </c>
      <c r="E457" s="15">
        <f ca="1">VLOOKUP(B457,'ALL DATABASES'!$A$1:$T$2252,10,FALSE)</f>
        <v>0</v>
      </c>
      <c r="F457" s="54" t="str">
        <f ca="1">VLOOKUP(B457,'ALL DATABASES'!$A$1:$T$2252,14,FALSE)</f>
        <v>http://link.springer.com/article/10.1007/s10664-021-10099-x</v>
      </c>
      <c r="G457" s="15" t="str">
        <f ca="1">VLOOKUP(B457,'ALL DATABASES'!$A$1:$T$2252,3,FALSE)</f>
        <v>Article</v>
      </c>
      <c r="H457" s="50" t="str">
        <f ca="1">VLOOKUP(B457,'ALL DATABASES'!$A$1:$T$2252,20,FALSE)</f>
        <v>SPRINGER</v>
      </c>
    </row>
    <row r="458" spans="1:8" ht="12.75" x14ac:dyDescent="0.2">
      <c r="A458">
        <v>457</v>
      </c>
      <c r="B458" s="15" t="str">
        <f ca="1">IFERROR(__xludf.DUMMYFUNCTION("""COMPUTED_VALUE"""),"Closing Remarks")</f>
        <v>Closing Remarks</v>
      </c>
      <c r="C458" s="15" t="str">
        <f ca="1">VLOOKUP(B458,'ALL DATABASES'!$A$1:$T$2252,2,FALSE)</f>
        <v>Luiz AndrÃ© BarrosoUrs HÃ¶lzleParthasarathy Ranganathan</v>
      </c>
      <c r="D458" s="15">
        <f ca="1">VLOOKUP(B458,'ALL DATABASES'!$A$1:$T$2252,5,FALSE)</f>
        <v>2019</v>
      </c>
      <c r="E458" s="15">
        <f ca="1">VLOOKUP(B458,'ALL DATABASES'!$A$1:$T$2252,10,FALSE)</f>
        <v>0</v>
      </c>
      <c r="F458" s="54" t="str">
        <f ca="1">VLOOKUP(B458,'ALL DATABASES'!$A$1:$T$2252,14,FALSE)</f>
        <v>http://link.springer.com/chapter/10.1007/978-3-031-01761-2_8</v>
      </c>
      <c r="G458" s="15" t="str">
        <f ca="1">VLOOKUP(B458,'ALL DATABASES'!$A$1:$T$2252,3,FALSE)</f>
        <v>Chapter</v>
      </c>
      <c r="H458" s="50" t="str">
        <f ca="1">VLOOKUP(B458,'ALL DATABASES'!$A$1:$T$2252,20,FALSE)</f>
        <v>SPRINGER</v>
      </c>
    </row>
    <row r="459" spans="1:8" ht="12.75" x14ac:dyDescent="0.2">
      <c r="A459">
        <v>458</v>
      </c>
      <c r="B459" s="15" t="str">
        <f ca="1">IFERROR(__xludf.DUMMYFUNCTION("""COMPUTED_VALUE"""),"Closing the AI Accountability Gap: Defining an End-to-End Framework for Internal Algorithmic Auditing")</f>
        <v>Closing the AI Accountability Gap: Defining an End-to-End Framework for Internal Algorithmic Auditing</v>
      </c>
      <c r="C459" s="15" t="str">
        <f ca="1">VLOOKUP(B459,'ALL DATABASES'!$A$1:$T$2252,2,FALSE)</f>
        <v>Raji ID,Smart A,White RN,Mitchell M,Gebru T,Hutchinson B,Smith-Loud J,Theron D,Barnes P</v>
      </c>
      <c r="D459" s="15">
        <f ca="1">VLOOKUP(B459,'ALL DATABASES'!$A$1:$T$2252,5,FALSE)</f>
        <v>2020</v>
      </c>
      <c r="E459" s="15">
        <f ca="1">VLOOKUP(B459,'ALL DATABASES'!$A$1:$T$2252,10,FALSE)</f>
        <v>2020</v>
      </c>
      <c r="F459" s="54" t="str">
        <f ca="1">VLOOKUP(B459,'ALL DATABASES'!$A$1:$T$2252,14,FALSE)</f>
        <v>https://doi.org/10.1145/3351095.3372873;http://dx.doi.org/10.1145/3351095.3372873</v>
      </c>
      <c r="G459" s="15" t="str">
        <f ca="1">VLOOKUP(B459,'ALL DATABASES'!$A$1:$T$2252,3,FALSE)</f>
        <v>Conference Paper</v>
      </c>
      <c r="H459" s="50" t="str">
        <f ca="1">VLOOKUP(B459,'ALL DATABASES'!$A$1:$T$2252,20,FALSE)</f>
        <v>ACM</v>
      </c>
    </row>
    <row r="460" spans="1:8" ht="12.75" x14ac:dyDescent="0.2">
      <c r="A460">
        <v>459</v>
      </c>
      <c r="B460" s="15" t="str">
        <f ca="1">IFERROR(__xludf.DUMMYFUNCTION("""COMPUTED_VALUE"""),"Cloud Attack Vectors")</f>
        <v>Cloud Attack Vectors</v>
      </c>
      <c r="C460" s="15" t="str">
        <f ca="1">VLOOKUP(B460,'ALL DATABASES'!$A$1:$T$2252,2,FALSE)</f>
        <v>Morey J. HaberBrian ChappellChristopher Hills</v>
      </c>
      <c r="D460" s="15">
        <f ca="1">VLOOKUP(B460,'ALL DATABASES'!$A$1:$T$2252,5,FALSE)</f>
        <v>2022</v>
      </c>
      <c r="E460" s="15">
        <f ca="1">VLOOKUP(B460,'ALL DATABASES'!$A$1:$T$2252,10,FALSE)</f>
        <v>0</v>
      </c>
      <c r="F460" s="54" t="str">
        <f ca="1">VLOOKUP(B460,'ALL DATABASES'!$A$1:$T$2252,14,FALSE)</f>
        <v>http://link.springer.com/book/10.1007/978-1-4842-8236-6</v>
      </c>
      <c r="G460" s="15" t="str">
        <f ca="1">VLOOKUP(B460,'ALL DATABASES'!$A$1:$T$2252,3,FALSE)</f>
        <v>Book</v>
      </c>
      <c r="H460" s="50" t="str">
        <f ca="1">VLOOKUP(B460,'ALL DATABASES'!$A$1:$T$2252,20,FALSE)</f>
        <v>SPRINGER</v>
      </c>
    </row>
    <row r="461" spans="1:8" ht="12.75" x14ac:dyDescent="0.2">
      <c r="A461">
        <v>460</v>
      </c>
      <c r="B461" s="15" t="str">
        <f ca="1">IFERROR(__xludf.DUMMYFUNCTION("""COMPUTED_VALUE"""),"Cloud Computing Basics")</f>
        <v>Cloud Computing Basics</v>
      </c>
      <c r="C461" s="15" t="str">
        <f ca="1">VLOOKUP(B461,'ALL DATABASES'!$A$1:$T$2252,2,FALSE)</f>
        <v>Anders Lisdorf</v>
      </c>
      <c r="D461" s="15">
        <f ca="1">VLOOKUP(B461,'ALL DATABASES'!$A$1:$T$2252,5,FALSE)</f>
        <v>2021</v>
      </c>
      <c r="E461" s="15">
        <f ca="1">VLOOKUP(B461,'ALL DATABASES'!$A$1:$T$2252,10,FALSE)</f>
        <v>0</v>
      </c>
      <c r="F461" s="54" t="str">
        <f ca="1">VLOOKUP(B461,'ALL DATABASES'!$A$1:$T$2252,14,FALSE)</f>
        <v>http://link.springer.com/book/10.1007/978-1-4842-6921-3</v>
      </c>
      <c r="G461" s="15" t="str">
        <f ca="1">VLOOKUP(B461,'ALL DATABASES'!$A$1:$T$2252,3,FALSE)</f>
        <v>Book</v>
      </c>
      <c r="H461" s="50" t="str">
        <f ca="1">VLOOKUP(B461,'ALL DATABASES'!$A$1:$T$2252,20,FALSE)</f>
        <v>SPRINGER</v>
      </c>
    </row>
    <row r="462" spans="1:8" ht="12.75" x14ac:dyDescent="0.2">
      <c r="A462">
        <v>461</v>
      </c>
      <c r="B462" s="15" t="str">
        <f ca="1">IFERROR(__xludf.DUMMYFUNCTION("""COMPUTED_VALUE"""),"Cloud Computing Primer")</f>
        <v>Cloud Computing Primer</v>
      </c>
      <c r="C462" s="15" t="str">
        <f ca="1">VLOOKUP(B462,'ALL DATABASES'!$A$1:$T$2252,2,FALSE)</f>
        <v>Taras Gleb</v>
      </c>
      <c r="D462" s="15">
        <f ca="1">VLOOKUP(B462,'ALL DATABASES'!$A$1:$T$2252,5,FALSE)</f>
        <v>2021</v>
      </c>
      <c r="E462" s="15">
        <f ca="1">VLOOKUP(B462,'ALL DATABASES'!$A$1:$T$2252,10,FALSE)</f>
        <v>0</v>
      </c>
      <c r="F462" s="54" t="str">
        <f ca="1">VLOOKUP(B462,'ALL DATABASES'!$A$1:$T$2252,14,FALSE)</f>
        <v>http://link.springer.com/chapter/10.1007/978-1-4842-7252-7_1</v>
      </c>
      <c r="G462" s="15" t="str">
        <f ca="1">VLOOKUP(B462,'ALL DATABASES'!$A$1:$T$2252,3,FALSE)</f>
        <v>Chapter</v>
      </c>
      <c r="H462" s="50" t="str">
        <f ca="1">VLOOKUP(B462,'ALL DATABASES'!$A$1:$T$2252,20,FALSE)</f>
        <v>SPRINGER</v>
      </c>
    </row>
    <row r="463" spans="1:8" ht="12.75" x14ac:dyDescent="0.2">
      <c r="A463">
        <v>462</v>
      </c>
      <c r="B463" s="15" t="str">
        <f ca="1">IFERROR(__xludf.DUMMYFUNCTION("""COMPUTED_VALUE"""),"Cloud Migration Fundamentals")</f>
        <v>Cloud Migration Fundamentals</v>
      </c>
      <c r="C463" s="15" t="str">
        <f ca="1">VLOOKUP(B463,'ALL DATABASES'!$A$1:$T$2252,2,FALSE)</f>
        <v>Taras Gleb</v>
      </c>
      <c r="D463" s="15">
        <f ca="1">VLOOKUP(B463,'ALL DATABASES'!$A$1:$T$2252,5,FALSE)</f>
        <v>2021</v>
      </c>
      <c r="E463" s="15">
        <f ca="1">VLOOKUP(B463,'ALL DATABASES'!$A$1:$T$2252,10,FALSE)</f>
        <v>0</v>
      </c>
      <c r="F463" s="54" t="str">
        <f ca="1">VLOOKUP(B463,'ALL DATABASES'!$A$1:$T$2252,14,FALSE)</f>
        <v>http://link.springer.com/chapter/10.1007/978-1-4842-7252-7_2</v>
      </c>
      <c r="G463" s="15" t="str">
        <f ca="1">VLOOKUP(B463,'ALL DATABASES'!$A$1:$T$2252,3,FALSE)</f>
        <v>Chapter</v>
      </c>
      <c r="H463" s="50" t="str">
        <f ca="1">VLOOKUP(B463,'ALL DATABASES'!$A$1:$T$2252,20,FALSE)</f>
        <v>SPRINGER</v>
      </c>
    </row>
    <row r="464" spans="1:8" ht="12.75" x14ac:dyDescent="0.2">
      <c r="A464">
        <v>463</v>
      </c>
      <c r="B464" s="15" t="str">
        <f ca="1">IFERROR(__xludf.DUMMYFUNCTION("""COMPUTED_VALUE"""),"Cloud Native Architecture and Design")</f>
        <v>Cloud Native Architecture and Design</v>
      </c>
      <c r="C464" s="15" t="str">
        <f ca="1">VLOOKUP(B464,'ALL DATABASES'!$A$1:$T$2252,2,FALSE)</f>
        <v>Shivakumar R Goniwada</v>
      </c>
      <c r="D464" s="15">
        <f ca="1">VLOOKUP(B464,'ALL DATABASES'!$A$1:$T$2252,5,FALSE)</f>
        <v>2022</v>
      </c>
      <c r="E464" s="15">
        <f ca="1">VLOOKUP(B464,'ALL DATABASES'!$A$1:$T$2252,10,FALSE)</f>
        <v>0</v>
      </c>
      <c r="F464" s="54" t="str">
        <f ca="1">VLOOKUP(B464,'ALL DATABASES'!$A$1:$T$2252,14,FALSE)</f>
        <v>http://link.springer.com/book/10.1007/978-1-4842-7226-8</v>
      </c>
      <c r="G464" s="15" t="str">
        <f ca="1">VLOOKUP(B464,'ALL DATABASES'!$A$1:$T$2252,3,FALSE)</f>
        <v>Book</v>
      </c>
      <c r="H464" s="50" t="str">
        <f ca="1">VLOOKUP(B464,'ALL DATABASES'!$A$1:$T$2252,20,FALSE)</f>
        <v>SPRINGER</v>
      </c>
    </row>
    <row r="465" spans="1:8" ht="12.75" x14ac:dyDescent="0.2">
      <c r="A465">
        <v>464</v>
      </c>
      <c r="B465" s="15" t="str">
        <f ca="1">IFERROR(__xludf.DUMMYFUNCTION("""COMPUTED_VALUE"""),"Cloud-Based Support for Global Software Engineering: Potentials, Risks, and Gaps")</f>
        <v>Cloud-Based Support for Global Software Engineering: Potentials, Risks, and Gaps</v>
      </c>
      <c r="C465" s="15" t="str">
        <f ca="1">VLOOKUP(B465,'ALL DATABASES'!$A$1:$T$2252,2,FALSE)</f>
        <v>Al-qadhi M,Keung J</v>
      </c>
      <c r="D465" s="15">
        <f ca="1">VLOOKUP(B465,'ALL DATABASES'!$A$1:$T$2252,5,FALSE)</f>
        <v>2014</v>
      </c>
      <c r="E465" s="15">
        <f ca="1">VLOOKUP(B465,'ALL DATABASES'!$A$1:$T$2252,10,FALSE)</f>
        <v>2014</v>
      </c>
      <c r="F465" s="54" t="str">
        <f ca="1">VLOOKUP(B465,'ALL DATABASES'!$A$1:$T$2252,14,FALSE)</f>
        <v>https://doi.org/10.1145/2666581.2666583;http://dx.doi.org/10.1145/2666581.2666583</v>
      </c>
      <c r="G465" s="15" t="str">
        <f ca="1">VLOOKUP(B465,'ALL DATABASES'!$A$1:$T$2252,3,FALSE)</f>
        <v>Conference Paper</v>
      </c>
      <c r="H465" s="50" t="str">
        <f ca="1">VLOOKUP(B465,'ALL DATABASES'!$A$1:$T$2252,20,FALSE)</f>
        <v>ACM</v>
      </c>
    </row>
    <row r="466" spans="1:8" ht="12.75" x14ac:dyDescent="0.2">
      <c r="A466">
        <v>465</v>
      </c>
      <c r="B466" s="15" t="str">
        <f ca="1">IFERROR(__xludf.DUMMYFUNCTION("""COMPUTED_VALUE"""),"CMS: A continuous machine-learning and serving platform for industrial big data")</f>
        <v>CMS: A continuous machine-learning and serving platform for industrial big data</v>
      </c>
      <c r="C466" s="15" t="str">
        <f ca="1">VLOOKUP(B466,'ALL DATABASES'!$A$1:$T$2252,2,FALSE)</f>
        <v>Li K,Gui N</v>
      </c>
      <c r="D466" s="15">
        <f ca="1">VLOOKUP(B466,'ALL DATABASES'!$A$1:$T$2252,5,FALSE)</f>
        <v>2020</v>
      </c>
      <c r="E466" s="15">
        <f ca="1">VLOOKUP(B466,'ALL DATABASES'!$A$1:$T$2252,10,FALSE)</f>
        <v>2020</v>
      </c>
      <c r="F466" s="54" t="str">
        <f ca="1">VLOOKUP(B466,'ALL DATABASES'!$A$1:$T$2252,14,FALSE)</f>
        <v>https://www.scopus.com/inward/record.uri?eid=2-s2.0-85088130233&amp;doi=10.3390%2ffi12060102&amp;partnerID=40&amp;md5=7ceb14c14338aef0c67037b4c2731289;http://dx.doi.org/10.3390/fi12060102</v>
      </c>
      <c r="G466" s="15" t="str">
        <f ca="1">VLOOKUP(B466,'ALL DATABASES'!$A$1:$T$2252,3,FALSE)</f>
        <v>Journal Article</v>
      </c>
      <c r="H466" s="50" t="str">
        <f ca="1">VLOOKUP(B466,'ALL DATABASES'!$A$1:$T$2252,20,FALSE)</f>
        <v>SCOPUS</v>
      </c>
    </row>
    <row r="467" spans="1:8" ht="12.75" x14ac:dyDescent="0.2">
      <c r="A467">
        <v>466</v>
      </c>
      <c r="B467" s="15" t="str">
        <f ca="1">IFERROR(__xludf.DUMMYFUNCTION("""COMPUTED_VALUE"""),"Code anomalies flock together")</f>
        <v>Code anomalies flock together</v>
      </c>
      <c r="C467" s="15" t="str">
        <f ca="1">VLOOKUP(B467,'ALL DATABASES'!$A$1:$T$2252,2,FALSE)</f>
        <v>Oizumi W,Garcia A,Da Silva Sousa L,Cafeo B,Zhao Y</v>
      </c>
      <c r="D467" s="15">
        <f ca="1">VLOOKUP(B467,'ALL DATABASES'!$A$1:$T$2252,5,FALSE)</f>
        <v>2016</v>
      </c>
      <c r="E467" s="15">
        <f ca="1">VLOOKUP(B467,'ALL DATABASES'!$A$1:$T$2252,10,FALSE)</f>
        <v>2016</v>
      </c>
      <c r="F467" s="54" t="str">
        <f ca="1">VLOOKUP(B467,'ALL DATABASES'!$A$1:$T$2252,14,FALSE)</f>
        <v>https://www.scopus.com/inward/record.uri?eid=2-s2.0-84971476736&amp;doi=10.1145%2f2884781.2884868&amp;partnerID=40&amp;md5=03e5793c8326bf6cab19f855de7d35af;http://dx.doi.org/10.1145/2884781.2884868</v>
      </c>
      <c r="G467" s="15" t="str">
        <f ca="1">VLOOKUP(B467,'ALL DATABASES'!$A$1:$T$2252,3,FALSE)</f>
        <v>Conference Paper</v>
      </c>
      <c r="H467" s="50" t="str">
        <f ca="1">VLOOKUP(B467,'ALL DATABASES'!$A$1:$T$2252,20,FALSE)</f>
        <v>SCOPUS</v>
      </c>
    </row>
    <row r="468" spans="1:8" ht="12.75" x14ac:dyDescent="0.2">
      <c r="A468">
        <v>467</v>
      </c>
      <c r="B468" s="15" t="str">
        <f ca="1">IFERROR(__xludf.DUMMYFUNCTION("""COMPUTED_VALUE"""),"Code Clone Analysis")</f>
        <v>Code Clone Analysis</v>
      </c>
      <c r="C468" s="15" t="str">
        <f ca="1">VLOOKUP(B468,'ALL DATABASES'!$A$1:$T$2252,2,FALSE)</f>
        <v>Dr. Katsuro InoueChanchal K. Roy</v>
      </c>
      <c r="D468" s="15">
        <f ca="1">VLOOKUP(B468,'ALL DATABASES'!$A$1:$T$2252,5,FALSE)</f>
        <v>2021</v>
      </c>
      <c r="E468" s="15">
        <f ca="1">VLOOKUP(B468,'ALL DATABASES'!$A$1:$T$2252,10,FALSE)</f>
        <v>0</v>
      </c>
      <c r="F468" s="54" t="str">
        <f ca="1">VLOOKUP(B468,'ALL DATABASES'!$A$1:$T$2252,14,FALSE)</f>
        <v>http://link.springer.com/book/10.1007/978-981-16-1927-4</v>
      </c>
      <c r="G468" s="15" t="str">
        <f ca="1">VLOOKUP(B468,'ALL DATABASES'!$A$1:$T$2252,3,FALSE)</f>
        <v>Book</v>
      </c>
      <c r="H468" s="50" t="str">
        <f ca="1">VLOOKUP(B468,'ALL DATABASES'!$A$1:$T$2252,20,FALSE)</f>
        <v>SPRINGER</v>
      </c>
    </row>
    <row r="469" spans="1:8" ht="12.75" x14ac:dyDescent="0.2">
      <c r="A469">
        <v>468</v>
      </c>
      <c r="B469" s="15" t="str">
        <f ca="1">IFERROR(__xludf.DUMMYFUNCTION("""COMPUTED_VALUE"""),"Code Drones")</f>
        <v>Code Drones</v>
      </c>
      <c r="C469" s="15" t="str">
        <f ca="1">VLOOKUP(B469,'ALL DATABASES'!$A$1:$T$2252,2,FALSE)</f>
        <v>Acharya MP,Parnin C,Kraft NA,Dagnino A,Qu X</v>
      </c>
      <c r="D469" s="15">
        <f ca="1">VLOOKUP(B469,'ALL DATABASES'!$A$1:$T$2252,5,FALSE)</f>
        <v>2016</v>
      </c>
      <c r="E469" s="15">
        <f ca="1">VLOOKUP(B469,'ALL DATABASES'!$A$1:$T$2252,10,FALSE)</f>
        <v>2016</v>
      </c>
      <c r="F469" s="54" t="str">
        <f ca="1">VLOOKUP(B469,'ALL DATABASES'!$A$1:$T$2252,14,FALSE)</f>
        <v>https://doi.org/10.1145/2889160.2889211;http://dx.doi.org/10.1145/2889160.2889211</v>
      </c>
      <c r="G469" s="15" t="str">
        <f ca="1">VLOOKUP(B469,'ALL DATABASES'!$A$1:$T$2252,3,FALSE)</f>
        <v>Conference Paper</v>
      </c>
      <c r="H469" s="50" t="str">
        <f ca="1">VLOOKUP(B469,'ALL DATABASES'!$A$1:$T$2252,20,FALSE)</f>
        <v>ACM</v>
      </c>
    </row>
    <row r="470" spans="1:8" ht="12.75" x14ac:dyDescent="0.2">
      <c r="A470">
        <v>469</v>
      </c>
      <c r="B470" s="15" t="str">
        <f ca="1">IFERROR(__xludf.DUMMYFUNCTION("""COMPUTED_VALUE"""),"Code Duplication and Reuse in Jupyter Notebooks")</f>
        <v>Code Duplication and Reuse in Jupyter Notebooks</v>
      </c>
      <c r="C470" s="15" t="str">
        <f ca="1">VLOOKUP(B470,'ALL DATABASES'!$A$1:$T$2252,2,FALSE)</f>
        <v>Koenzen AP,Ernst NA,Storey MA</v>
      </c>
      <c r="D470" s="15">
        <f ca="1">VLOOKUP(B470,'ALL DATABASES'!$A$1:$T$2252,5,FALSE)</f>
        <v>2020</v>
      </c>
      <c r="E470" s="55">
        <f ca="1">VLOOKUP(B470,'ALL DATABASES'!$A$1:$T$2252,10,FALSE)</f>
        <v>44044</v>
      </c>
      <c r="F470" s="54" t="str">
        <f ca="1">VLOOKUP(B470,'ALL DATABASES'!$A$1:$T$2252,14,FALSE)</f>
        <v>http://dx.doi.org/10.1109/VL/HCC50065.2020.9127202</v>
      </c>
      <c r="G470" s="15" t="str">
        <f ca="1">VLOOKUP(B470,'ALL DATABASES'!$A$1:$T$2252,3,FALSE)</f>
        <v>Conference Paper</v>
      </c>
      <c r="H470" s="50" t="str">
        <f ca="1">VLOOKUP(B470,'ALL DATABASES'!$A$1:$T$2252,20,FALSE)</f>
        <v>IEEE</v>
      </c>
    </row>
    <row r="471" spans="1:8" ht="12.75" x14ac:dyDescent="0.2">
      <c r="A471">
        <v>470</v>
      </c>
      <c r="B471" s="15" t="str">
        <f ca="1">IFERROR(__xludf.DUMMYFUNCTION("""COMPUTED_VALUE"""),"Code Mining")</f>
        <v>Code Mining</v>
      </c>
      <c r="C471" s="15" t="str">
        <f ca="1">VLOOKUP(B471,'ALL DATABASES'!$A$1:$T$2252,2,FALSE)</f>
        <v>Sudipta Mukherjee</v>
      </c>
      <c r="D471" s="15">
        <f ca="1">VLOOKUP(B471,'ALL DATABASES'!$A$1:$T$2252,5,FALSE)</f>
        <v>2016</v>
      </c>
      <c r="E471" s="15">
        <f ca="1">VLOOKUP(B471,'ALL DATABASES'!$A$1:$T$2252,10,FALSE)</f>
        <v>0</v>
      </c>
      <c r="F471" s="54" t="str">
        <f ca="1">VLOOKUP(B471,'ALL DATABASES'!$A$1:$T$2252,14,FALSE)</f>
        <v>http://link.springer.com/chapter/10.1007/978-1-4842-1925-6_5</v>
      </c>
      <c r="G471" s="15" t="str">
        <f ca="1">VLOOKUP(B471,'ALL DATABASES'!$A$1:$T$2252,3,FALSE)</f>
        <v>Chapter</v>
      </c>
      <c r="H471" s="50" t="str">
        <f ca="1">VLOOKUP(B471,'ALL DATABASES'!$A$1:$T$2252,20,FALSE)</f>
        <v>SPRINGER</v>
      </c>
    </row>
    <row r="472" spans="1:8" ht="12.75" x14ac:dyDescent="0.2">
      <c r="A472">
        <v>471</v>
      </c>
      <c r="B472" s="15" t="str">
        <f ca="1">IFERROR(__xludf.DUMMYFUNCTION("""COMPUTED_VALUE"""),"Code Quality Prediction Under Super Extreme Class Imbalance")</f>
        <v>Code Quality Prediction Under Super Extreme Class Imbalance</v>
      </c>
      <c r="C472" s="15" t="str">
        <f ca="1">VLOOKUP(B472,'ALL DATABASES'!$A$1:$T$2252,2,FALSE)</f>
        <v>Lee N,Abreu R,Nagappan N</v>
      </c>
      <c r="D472" s="15">
        <f ca="1">VLOOKUP(B472,'ALL DATABASES'!$A$1:$T$2252,5,FALSE)</f>
        <v>2022</v>
      </c>
      <c r="E472" s="53">
        <f ca="1">VLOOKUP(B472,'ALL DATABASES'!$A$1:$T$2252,10,FALSE)</f>
        <v>44835</v>
      </c>
      <c r="F472" s="54" t="str">
        <f ca="1">VLOOKUP(B472,'ALL DATABASES'!$A$1:$T$2252,14,FALSE)</f>
        <v>http://dx.doi.org/10.1109/ISSREW55968.2022.00047</v>
      </c>
      <c r="G472" s="15" t="str">
        <f ca="1">VLOOKUP(B472,'ALL DATABASES'!$A$1:$T$2252,3,FALSE)</f>
        <v>Conference Paper</v>
      </c>
      <c r="H472" s="50" t="str">
        <f ca="1">VLOOKUP(B472,'ALL DATABASES'!$A$1:$T$2252,20,FALSE)</f>
        <v>IEEE</v>
      </c>
    </row>
    <row r="473" spans="1:8" ht="12.75" x14ac:dyDescent="0.2">
      <c r="A473">
        <v>472</v>
      </c>
      <c r="B473" s="15" t="str">
        <f ca="1">IFERROR(__xludf.DUMMYFUNCTION("""COMPUTED_VALUE"""),"Code Review Practices for Refactoring Changes: An Empirical Study on OpenStack")</f>
        <v>Code Review Practices for Refactoring Changes: An Empirical Study on OpenStack</v>
      </c>
      <c r="C473" s="15" t="str">
        <f ca="1">VLOOKUP(B473,'ALL DATABASES'!$A$1:$T$2252,2,FALSE)</f>
        <v>AlOmar EA,Chouchen M,Mkaouer MW,Ouni A</v>
      </c>
      <c r="D473" s="15">
        <f ca="1">VLOOKUP(B473,'ALL DATABASES'!$A$1:$T$2252,5,FALSE)</f>
        <v>2022</v>
      </c>
      <c r="E473" s="15">
        <f ca="1">VLOOKUP(B473,'ALL DATABASES'!$A$1:$T$2252,10,FALSE)</f>
        <v>2022</v>
      </c>
      <c r="F473" s="54" t="str">
        <f ca="1">VLOOKUP(B473,'ALL DATABASES'!$A$1:$T$2252,14,FALSE)</f>
        <v>https://doi.org/10.1145/3524842.3527932;http://dx.doi.org/10.1145/3524842.3527932</v>
      </c>
      <c r="G473" s="15" t="str">
        <f ca="1">VLOOKUP(B473,'ALL DATABASES'!$A$1:$T$2252,3,FALSE)</f>
        <v>Conference Paper</v>
      </c>
      <c r="H473" s="50" t="str">
        <f ca="1">VLOOKUP(B473,'ALL DATABASES'!$A$1:$T$2252,20,FALSE)</f>
        <v>ACM</v>
      </c>
    </row>
    <row r="474" spans="1:8" ht="12.75" x14ac:dyDescent="0.2">
      <c r="A474">
        <v>473</v>
      </c>
      <c r="B474" s="15" t="str">
        <f ca="1">IFERROR(__xludf.DUMMYFUNCTION("""COMPUTED_VALUE"""),"Code smell detection and identification in imbalanced environments")</f>
        <v>Code smell detection and identification in imbalanced environments</v>
      </c>
      <c r="C474" s="15" t="str">
        <f ca="1">VLOOKUP(B474,'ALL DATABASES'!$A$1:$T$2252,2,FALSE)</f>
        <v>Boutaib S,Bechikh S,Palomba F,Elarbi M,Makhlouf M,Said LB</v>
      </c>
      <c r="D474" s="15">
        <f ca="1">VLOOKUP(B474,'ALL DATABASES'!$A$1:$T$2252,5,FALSE)</f>
        <v>2021</v>
      </c>
      <c r="E474" s="15">
        <f ca="1">VLOOKUP(B474,'ALL DATABASES'!$A$1:$T$2252,10,FALSE)</f>
        <v>2021</v>
      </c>
      <c r="F474" s="54" t="str">
        <f ca="1">VLOOKUP(B474,'ALL DATABASES'!$A$1:$T$2252,14,FALSE)</f>
        <v>https://www.sciencedirect.com/science/article/pii/S0957417420308356;http://dx.doi.org/10.1016/j.eswa.2020.114076</v>
      </c>
      <c r="G474" s="15" t="str">
        <f ca="1">VLOOKUP(B474,'ALL DATABASES'!$A$1:$T$2252,3,FALSE)</f>
        <v>Journal Article</v>
      </c>
      <c r="H474" s="50" t="str">
        <f ca="1">VLOOKUP(B474,'ALL DATABASES'!$A$1:$T$2252,20,FALSE)</f>
        <v>SCIENCEDIRECT</v>
      </c>
    </row>
    <row r="475" spans="1:8" ht="12.75" x14ac:dyDescent="0.2">
      <c r="A475">
        <v>474</v>
      </c>
      <c r="B475" s="15" t="str">
        <f ca="1">IFERROR(__xludf.DUMMYFUNCTION("""COMPUTED_VALUE"""),"Code Smell Detection Based on Multi-dimensional Software Data and Complex Networks")</f>
        <v>Code Smell Detection Based on Multi-dimensional Software Data and Complex Networks</v>
      </c>
      <c r="C475" s="15" t="str">
        <f ca="1">VLOOKUP(B475,'ALL DATABASES'!$A$1:$T$2252,2,FALSE)</f>
        <v>Heng TongCheng ZhangFutian Wang</v>
      </c>
      <c r="D475" s="15">
        <f ca="1">VLOOKUP(B475,'ALL DATABASES'!$A$1:$T$2252,5,FALSE)</f>
        <v>2020</v>
      </c>
      <c r="E475" s="15">
        <f ca="1">VLOOKUP(B475,'ALL DATABASES'!$A$1:$T$2252,10,FALSE)</f>
        <v>0</v>
      </c>
      <c r="F475" s="54" t="str">
        <f ca="1">VLOOKUP(B475,'ALL DATABASES'!$A$1:$T$2252,14,FALSE)</f>
        <v>http://link.springer.com/chapter/10.1007/978-981-15-7984-4_37</v>
      </c>
      <c r="G475" s="15" t="str">
        <f ca="1">VLOOKUP(B475,'ALL DATABASES'!$A$1:$T$2252,3,FALSE)</f>
        <v>Chapter</v>
      </c>
      <c r="H475" s="50" t="str">
        <f ca="1">VLOOKUP(B475,'ALL DATABASES'!$A$1:$T$2252,20,FALSE)</f>
        <v>SPRINGER</v>
      </c>
    </row>
    <row r="476" spans="1:8" ht="12.75" x14ac:dyDescent="0.2">
      <c r="A476">
        <v>475</v>
      </c>
      <c r="B476" s="15" t="str">
        <f ca="1">IFERROR(__xludf.DUMMYFUNCTION("""COMPUTED_VALUE"""),"Code smell detection by deep direct-learning and transfer-learning")</f>
        <v>Code smell detection by deep direct-learning and transfer-learning</v>
      </c>
      <c r="C476" s="15" t="str">
        <f ca="1">VLOOKUP(B476,'ALL DATABASES'!$A$1:$T$2252,2,FALSE)</f>
        <v>Sharma T,Efstathiou V,Louridas P,Spinellis D</v>
      </c>
      <c r="D476" s="15">
        <f ca="1">VLOOKUP(B476,'ALL DATABASES'!$A$1:$T$2252,5,FALSE)</f>
        <v>2021</v>
      </c>
      <c r="E476" s="15">
        <f ca="1">VLOOKUP(B476,'ALL DATABASES'!$A$1:$T$2252,10,FALSE)</f>
        <v>2021</v>
      </c>
      <c r="F476" s="54" t="str">
        <f ca="1">VLOOKUP(B476,'ALL DATABASES'!$A$1:$T$2252,14,FALSE)</f>
        <v>https://www.sciencedirect.com/science/article/pii/S0164121221000339;http://dx.doi.org/10.1016/j.jss.2021.110936</v>
      </c>
      <c r="G476" s="15" t="str">
        <f ca="1">VLOOKUP(B476,'ALL DATABASES'!$A$1:$T$2252,3,FALSE)</f>
        <v>Journal Article</v>
      </c>
      <c r="H476" s="50" t="str">
        <f ca="1">VLOOKUP(B476,'ALL DATABASES'!$A$1:$T$2252,20,FALSE)</f>
        <v>SCIENCEDIRECT</v>
      </c>
    </row>
    <row r="477" spans="1:8" ht="12.75" x14ac:dyDescent="0.2">
      <c r="A477">
        <v>476</v>
      </c>
      <c r="B477" s="15" t="str">
        <f ca="1">IFERROR(__xludf.DUMMYFUNCTION("""COMPUTED_VALUE"""),"Code smell detection: Towards a machine learning-based approach")</f>
        <v>Code smell detection: Towards a machine learning-based approach</v>
      </c>
      <c r="C477" s="15" t="str">
        <f ca="1">VLOOKUP(B477,'ALL DATABASES'!$A$1:$T$2252,2,FALSE)</f>
        <v>Fontana FA,Zanoni M,Marino A,Mäntylä MV</v>
      </c>
      <c r="D477" s="15">
        <f ca="1">VLOOKUP(B477,'ALL DATABASES'!$A$1:$T$2252,5,FALSE)</f>
        <v>2013</v>
      </c>
      <c r="E477" s="15">
        <f ca="1">VLOOKUP(B477,'ALL DATABASES'!$A$1:$T$2252,10,FALSE)</f>
        <v>2013</v>
      </c>
      <c r="F477" s="54" t="str">
        <f ca="1">VLOOKUP(B477,'ALL DATABASES'!$A$1:$T$2252,14,FALSE)</f>
        <v>https://www.scopus.com/inward/record.uri?eid=2-s2.0-84891688656&amp;doi=10.1109%2fICSM.2013.56&amp;partnerID=40&amp;md5=1580015a515cb7c8d67933935648c03a;http://dx.doi.org/10.1109/ICSM.2013.56</v>
      </c>
      <c r="G477" s="15" t="str">
        <f ca="1">VLOOKUP(B477,'ALL DATABASES'!$A$1:$T$2252,3,FALSE)</f>
        <v>Conference Paper</v>
      </c>
      <c r="H477" s="50" t="str">
        <f ca="1">VLOOKUP(B477,'ALL DATABASES'!$A$1:$T$2252,20,FALSE)</f>
        <v>SCOPUS</v>
      </c>
    </row>
    <row r="478" spans="1:8" ht="12.75" x14ac:dyDescent="0.2">
      <c r="A478">
        <v>477</v>
      </c>
      <c r="B478" s="15" t="str">
        <f ca="1">IFERROR(__xludf.DUMMYFUNCTION("""COMPUTED_VALUE"""),"Code smell severity classification using machine learning techniques")</f>
        <v>Code smell severity classification using machine learning techniques</v>
      </c>
      <c r="C478" s="15" t="str">
        <f ca="1">VLOOKUP(B478,'ALL DATABASES'!$A$1:$T$2252,2,FALSE)</f>
        <v>Arcelli Fontana F,Zanoni M</v>
      </c>
      <c r="D478" s="15">
        <f ca="1">VLOOKUP(B478,'ALL DATABASES'!$A$1:$T$2252,5,FALSE)</f>
        <v>2017</v>
      </c>
      <c r="E478" s="15">
        <f ca="1">VLOOKUP(B478,'ALL DATABASES'!$A$1:$T$2252,10,FALSE)</f>
        <v>2017</v>
      </c>
      <c r="F478" s="54" t="str">
        <f ca="1">VLOOKUP(B478,'ALL DATABASES'!$A$1:$T$2252,14,FALSE)</f>
        <v>https://www.scopus.com/inward/record.uri?eid=2-s2.0-85018955129&amp;doi=10.1016%2fj.knosys.2017.04.014&amp;partnerID=40&amp;md5=ddd40ba8ea4c21f038d1933c04f4d698;http://dx.doi.org/10.1016/j.knosys.2017.04.014</v>
      </c>
      <c r="G478" s="15" t="str">
        <f ca="1">VLOOKUP(B478,'ALL DATABASES'!$A$1:$T$2252,3,FALSE)</f>
        <v>Journal Article</v>
      </c>
      <c r="H478" s="50" t="str">
        <f ca="1">VLOOKUP(B478,'ALL DATABASES'!$A$1:$T$2252,20,FALSE)</f>
        <v>SCOPUS</v>
      </c>
    </row>
    <row r="479" spans="1:8" ht="12.75" x14ac:dyDescent="0.2">
      <c r="A479">
        <v>478</v>
      </c>
      <c r="B479" s="15" t="str">
        <f ca="1">IFERROR(__xludf.DUMMYFUNCTION("""COMPUTED_VALUE"""),"Code Smells Analysis Mechanisms, Detection Issues, and Effect on Software Maintainability")</f>
        <v>Code Smells Analysis Mechanisms, Detection Issues, and Effect on Software Maintainability</v>
      </c>
      <c r="C479" s="15" t="str">
        <f ca="1">VLOOKUP(B479,'ALL DATABASES'!$A$1:$T$2252,2,FALSE)</f>
        <v>Lafi M,Botros JW,Kafaween H,Al-Dasoqi AB,Al-Tamimi A</v>
      </c>
      <c r="D479" s="15">
        <f ca="1">VLOOKUP(B479,'ALL DATABASES'!$A$1:$T$2252,5,FALSE)</f>
        <v>2019</v>
      </c>
      <c r="E479" s="55">
        <f ca="1">VLOOKUP(B479,'ALL DATABASES'!$A$1:$T$2252,10,FALSE)</f>
        <v>43556</v>
      </c>
      <c r="F479" s="54" t="str">
        <f ca="1">VLOOKUP(B479,'ALL DATABASES'!$A$1:$T$2252,14,FALSE)</f>
        <v>http://dx.doi.org/10.1109/JEEIT.2019.8717457</v>
      </c>
      <c r="G479" s="15" t="str">
        <f ca="1">VLOOKUP(B479,'ALL DATABASES'!$A$1:$T$2252,3,FALSE)</f>
        <v>Conference Paper</v>
      </c>
      <c r="H479" s="50" t="str">
        <f ca="1">VLOOKUP(B479,'ALL DATABASES'!$A$1:$T$2252,20,FALSE)</f>
        <v>IEEE</v>
      </c>
    </row>
    <row r="480" spans="1:8" ht="12.75" x14ac:dyDescent="0.2">
      <c r="A480">
        <v>479</v>
      </c>
      <c r="B480" s="15" t="str">
        <f ca="1">IFERROR(__xludf.DUMMYFUNCTION("""COMPUTED_VALUE"""),"Code smells and refactoring: A tertiary systematic review of challenges and observations")</f>
        <v>Code smells and refactoring: A tertiary systematic review of challenges and observations</v>
      </c>
      <c r="C480" s="15" t="str">
        <f ca="1">VLOOKUP(B480,'ALL DATABASES'!$A$1:$T$2252,2,FALSE)</f>
        <v>Lacerda G,Petrillo F,Pimenta M,Guéhéneuc YG</v>
      </c>
      <c r="D480" s="15">
        <f ca="1">VLOOKUP(B480,'ALL DATABASES'!$A$1:$T$2252,5,FALSE)</f>
        <v>2020</v>
      </c>
      <c r="E480" s="15">
        <f ca="1">VLOOKUP(B480,'ALL DATABASES'!$A$1:$T$2252,10,FALSE)</f>
        <v>2020</v>
      </c>
      <c r="F480" s="54" t="str">
        <f ca="1">VLOOKUP(B480,'ALL DATABASES'!$A$1:$T$2252,14,FALSE)</f>
        <v>https://www.sciencedirect.com/science/article/pii/S0164121220300881;http://dx.doi.org/10.1016/j.jss.2020.110610</v>
      </c>
      <c r="G480" s="15" t="str">
        <f ca="1">VLOOKUP(B480,'ALL DATABASES'!$A$1:$T$2252,3,FALSE)</f>
        <v>Journal Article</v>
      </c>
      <c r="H480" s="50" t="str">
        <f ca="1">VLOOKUP(B480,'ALL DATABASES'!$A$1:$T$2252,20,FALSE)</f>
        <v>SCIENCEDIRECT</v>
      </c>
    </row>
    <row r="481" spans="1:8" ht="12.75" x14ac:dyDescent="0.2">
      <c r="A481">
        <v>480</v>
      </c>
      <c r="B481" s="15" t="str">
        <f ca="1">IFERROR(__xludf.DUMMYFUNCTION("""COMPUTED_VALUE"""),"Code smells and their collocations: A large-scale experiment on open-source systems")</f>
        <v>Code smells and their collocations: A large-scale experiment on open-source systems</v>
      </c>
      <c r="C481" s="15" t="str">
        <f ca="1">VLOOKUP(B481,'ALL DATABASES'!$A$1:$T$2252,2,FALSE)</f>
        <v>Walter B,Fontana FA,Ferme V</v>
      </c>
      <c r="D481" s="15">
        <f ca="1">VLOOKUP(B481,'ALL DATABASES'!$A$1:$T$2252,5,FALSE)</f>
        <v>2018</v>
      </c>
      <c r="E481" s="15">
        <f ca="1">VLOOKUP(B481,'ALL DATABASES'!$A$1:$T$2252,10,FALSE)</f>
        <v>2018</v>
      </c>
      <c r="F481" s="54" t="str">
        <f ca="1">VLOOKUP(B481,'ALL DATABASES'!$A$1:$T$2252,14,FALSE)</f>
        <v>https://www.sciencedirect.com/science/article/pii/S0164121218301109;http://dx.doi.org/10.1016/j.jss.2018.05.057</v>
      </c>
      <c r="G481" s="15" t="str">
        <f ca="1">VLOOKUP(B481,'ALL DATABASES'!$A$1:$T$2252,3,FALSE)</f>
        <v>Journal Article</v>
      </c>
      <c r="H481" s="50" t="str">
        <f ca="1">VLOOKUP(B481,'ALL DATABASES'!$A$1:$T$2252,20,FALSE)</f>
        <v>SCIENCEDIRECT</v>
      </c>
    </row>
    <row r="482" spans="1:8" ht="12.75" x14ac:dyDescent="0.2">
      <c r="A482">
        <v>481</v>
      </c>
      <c r="B482" s="15" t="str">
        <f ca="1">IFERROR(__xludf.DUMMYFUNCTION("""COMPUTED_VALUE"""),"Code Smells Detection and Visualization: A Systematic Literature Review")</f>
        <v>Code Smells Detection and Visualization: A Systematic Literature Review</v>
      </c>
      <c r="C482" s="15" t="str">
        <f ca="1">VLOOKUP(B482,'ALL DATABASES'!$A$1:$T$2252,2,FALSE)</f>
        <v>JosÃ© Pereira dos ReisFernando Brito e AbreuGlauco de Figueiredo CarneiroCraig Anslow</v>
      </c>
      <c r="D482" s="15">
        <f ca="1">VLOOKUP(B482,'ALL DATABASES'!$A$1:$T$2252,5,FALSE)</f>
        <v>2022</v>
      </c>
      <c r="E482" s="15">
        <f ca="1">VLOOKUP(B482,'ALL DATABASES'!$A$1:$T$2252,10,FALSE)</f>
        <v>0</v>
      </c>
      <c r="F482" s="54" t="str">
        <f ca="1">VLOOKUP(B482,'ALL DATABASES'!$A$1:$T$2252,14,FALSE)</f>
        <v>http://link.springer.com/article/10.1007/s11831-021-09566-x</v>
      </c>
      <c r="G482" s="15" t="str">
        <f ca="1">VLOOKUP(B482,'ALL DATABASES'!$A$1:$T$2252,3,FALSE)</f>
        <v>Article</v>
      </c>
      <c r="H482" s="50" t="str">
        <f ca="1">VLOOKUP(B482,'ALL DATABASES'!$A$1:$T$2252,20,FALSE)</f>
        <v>SPRINGER</v>
      </c>
    </row>
    <row r="483" spans="1:8" ht="12.75" x14ac:dyDescent="0.2">
      <c r="A483">
        <v>482</v>
      </c>
      <c r="B483" s="15" t="str">
        <f ca="1">IFERROR(__xludf.DUMMYFUNCTION("""COMPUTED_VALUE"""),"Code Smells for Machine Learning Applications")</f>
        <v>Code Smells for Machine Learning Applications</v>
      </c>
      <c r="C483" s="15" t="str">
        <f ca="1">VLOOKUP(B483,'ALL DATABASES'!$A$1:$T$2252,2,FALSE)</f>
        <v>Zhang H,Cruz L,van Deursen A</v>
      </c>
      <c r="D483" s="15">
        <f ca="1">VLOOKUP(B483,'ALL DATABASES'!$A$1:$T$2252,5,FALSE)</f>
        <v>2022</v>
      </c>
      <c r="E483" s="15">
        <f ca="1">VLOOKUP(B483,'ALL DATABASES'!$A$1:$T$2252,10,FALSE)</f>
        <v>2022</v>
      </c>
      <c r="F483" s="54" t="str">
        <f ca="1">VLOOKUP(B483,'ALL DATABASES'!$A$1:$T$2252,14,FALSE)</f>
        <v>https://doi.org/10.1145/3522664.3528620;http://dx.doi.org/10.1145/3522664.3528620</v>
      </c>
      <c r="G483" s="15" t="str">
        <f ca="1">VLOOKUP(B483,'ALL DATABASES'!$A$1:$T$2252,3,FALSE)</f>
        <v>Conference Paper</v>
      </c>
      <c r="H483" s="50" t="str">
        <f ca="1">VLOOKUP(B483,'ALL DATABASES'!$A$1:$T$2252,20,FALSE)</f>
        <v>ACM</v>
      </c>
    </row>
    <row r="484" spans="1:8" ht="12.75" x14ac:dyDescent="0.2">
      <c r="A484">
        <v>483</v>
      </c>
      <c r="B484" s="15" t="str">
        <f ca="1">IFERROR(__xludf.DUMMYFUNCTION("""COMPUTED_VALUE"""),"Code smells: A Synthetic Narrative Review")</f>
        <v>Code smells: A Synthetic Narrative Review</v>
      </c>
      <c r="C484" s="15" t="str">
        <f ca="1">VLOOKUP(B484,'ALL DATABASES'!$A$1:$T$2252,2,FALSE)</f>
        <v>Kokol P,Kokol M,Zagoranski S</v>
      </c>
      <c r="D484" s="15">
        <f ca="1">VLOOKUP(B484,'ALL DATABASES'!$A$1:$T$2252,5,FALSE)</f>
        <v>2020</v>
      </c>
      <c r="E484" s="15">
        <f ca="1">VLOOKUP(B484,'ALL DATABASES'!$A$1:$T$2252,10,FALSE)</f>
        <v>2020</v>
      </c>
      <c r="F484" s="54" t="str">
        <f ca="1">VLOOKUP(B484,'ALL DATABASES'!$A$1:$T$2252,14,FALSE)</f>
        <v>https://www.scopus.com/inward/record.uri?eid=2-s2.0-85099505282&amp;partnerID=40&amp;md5=4f38fe9eaaab4c7a623c4c2129a8237c</v>
      </c>
      <c r="G484" s="15" t="str">
        <f ca="1">VLOOKUP(B484,'ALL DATABASES'!$A$1:$T$2252,3,FALSE)</f>
        <v>Journal Article</v>
      </c>
      <c r="H484" s="50" t="str">
        <f ca="1">VLOOKUP(B484,'ALL DATABASES'!$A$1:$T$2252,20,FALSE)</f>
        <v>SCOPUS</v>
      </c>
    </row>
    <row r="485" spans="1:8" ht="12.75" x14ac:dyDescent="0.2">
      <c r="A485">
        <v>484</v>
      </c>
      <c r="B485" s="15" t="str">
        <f ca="1">IFERROR(__xludf.DUMMYFUNCTION("""COMPUTED_VALUE"""),"CODE-MVP: Learning to Represent Source Code from Multiple Views with Contrastive Pre-Training")</f>
        <v>CODE-MVP: Learning to Represent Source Code from Multiple Views with Contrastive Pre-Training</v>
      </c>
      <c r="C485" s="15" t="str">
        <f ca="1">VLOOKUP(B485,'ALL DATABASES'!$A$1:$T$2252,2,FALSE)</f>
        <v>Wang X,Wang Y,Wan Y,Wang J,Zhou P,Li L,Wu H,Liu J</v>
      </c>
      <c r="D485" s="15">
        <f ca="1">VLOOKUP(B485,'ALL DATABASES'!$A$1:$T$2252,5,FALSE)</f>
        <v>2022</v>
      </c>
      <c r="E485" s="15">
        <f ca="1">VLOOKUP(B485,'ALL DATABASES'!$A$1:$T$2252,10,FALSE)</f>
        <v>2022</v>
      </c>
      <c r="F485" s="54" t="str">
        <f ca="1">VLOOKUP(B485,'ALL DATABASES'!$A$1:$T$2252,14,FALSE)</f>
        <v>https://www.scopus.com/inward/record.uri?eid=2-s2.0-85135499146&amp;partnerID=40&amp;md5=ce9546da3091cf7f7fac3b2be289837c</v>
      </c>
      <c r="G485" s="15" t="str">
        <f ca="1">VLOOKUP(B485,'ALL DATABASES'!$A$1:$T$2252,3,FALSE)</f>
        <v>Conference Paper</v>
      </c>
      <c r="H485" s="50" t="str">
        <f ca="1">VLOOKUP(B485,'ALL DATABASES'!$A$1:$T$2252,20,FALSE)</f>
        <v>SCOPUS</v>
      </c>
    </row>
    <row r="486" spans="1:8" ht="12.75" x14ac:dyDescent="0.2">
      <c r="A486">
        <v>485</v>
      </c>
      <c r="B486" s="15" t="str">
        <f ca="1">IFERROR(__xludf.DUMMYFUNCTION("""COMPUTED_VALUE"""),"Code-quality evaluation scheme for assessment of student contributions to programming projects")</f>
        <v>Code-quality evaluation scheme for assessment of student contributions to programming projects</v>
      </c>
      <c r="C486" s="15" t="str">
        <f ca="1">VLOOKUP(B486,'ALL DATABASES'!$A$1:$T$2252,2,FALSE)</f>
        <v>Chen HM,Nguyen BA,Dow CR</v>
      </c>
      <c r="D486" s="15">
        <f ca="1">VLOOKUP(B486,'ALL DATABASES'!$A$1:$T$2252,5,FALSE)</f>
        <v>2022</v>
      </c>
      <c r="E486" s="15">
        <f ca="1">VLOOKUP(B486,'ALL DATABASES'!$A$1:$T$2252,10,FALSE)</f>
        <v>2022</v>
      </c>
      <c r="F486" s="54" t="str">
        <f ca="1">VLOOKUP(B486,'ALL DATABASES'!$A$1:$T$2252,14,FALSE)</f>
        <v>https://www.sciencedirect.com/science/article/pii/S0164121222000358;http://dx.doi.org/10.1016/j.jss.2022.111273</v>
      </c>
      <c r="G486" s="15" t="str">
        <f ca="1">VLOOKUP(B486,'ALL DATABASES'!$A$1:$T$2252,3,FALSE)</f>
        <v>Journal Article</v>
      </c>
      <c r="H486" s="50" t="str">
        <f ca="1">VLOOKUP(B486,'ALL DATABASES'!$A$1:$T$2252,20,FALSE)</f>
        <v>SCIENCEDIRECT</v>
      </c>
    </row>
    <row r="487" spans="1:8" ht="12.75" x14ac:dyDescent="0.2">
      <c r="A487">
        <v>486</v>
      </c>
      <c r="B487" s="15" t="str">
        <f ca="1">IFERROR(__xludf.DUMMYFUNCTION("""COMPUTED_VALUE"""),"Code, quality, and process metrics in graduated and retired ASFI projects")</f>
        <v>Code, quality, and process metrics in graduated and retired ASFI projects</v>
      </c>
      <c r="C487" s="15" t="str">
        <f ca="1">VLOOKUP(B487,'ALL DATABASES'!$A$1:$T$2252,2,FALSE)</f>
        <v>Stanciulescu S,Yin L,Filkov V</v>
      </c>
      <c r="D487" s="15">
        <f ca="1">VLOOKUP(B487,'ALL DATABASES'!$A$1:$T$2252,5,FALSE)</f>
        <v>2022</v>
      </c>
      <c r="E487" s="15">
        <f ca="1">VLOOKUP(B487,'ALL DATABASES'!$A$1:$T$2252,10,FALSE)</f>
        <v>2022</v>
      </c>
      <c r="F487" s="54" t="str">
        <f ca="1">VLOOKUP(B487,'ALL DATABASES'!$A$1:$T$2252,14,FALSE)</f>
        <v>https://www.scopus.com/inward/record.uri?eid=2-s2.0-85143060620&amp;doi=10.1145%2f3540250.3549132&amp;partnerID=40&amp;md5=b770784d1e8725eee04282384db54881;http://dx.doi.org/10.1145/3540250.3549132</v>
      </c>
      <c r="G487" s="15" t="str">
        <f ca="1">VLOOKUP(B487,'ALL DATABASES'!$A$1:$T$2252,3,FALSE)</f>
        <v>Conference Paper</v>
      </c>
      <c r="H487" s="50" t="str">
        <f ca="1">VLOOKUP(B487,'ALL DATABASES'!$A$1:$T$2252,20,FALSE)</f>
        <v>SCOPUS</v>
      </c>
    </row>
    <row r="488" spans="1:8" ht="12.75" x14ac:dyDescent="0.2">
      <c r="A488">
        <v>487</v>
      </c>
      <c r="B488" s="15" t="str">
        <f ca="1">IFERROR(__xludf.DUMMYFUNCTION("""COMPUTED_VALUE"""),"CodeBots: From Domain Model to Executable Architecture")</f>
        <v>CodeBots: From Domain Model to Executable Architecture</v>
      </c>
      <c r="C488" s="15" t="str">
        <f ca="1">VLOOKUP(B488,'ALL DATABASES'!$A$1:$T$2252,2,FALSE)</f>
        <v>Doug RosenbergBarry BoehmMatt StephensCharles SuscheckShobha Rani DhalipathiBo Wang</v>
      </c>
      <c r="D488" s="15">
        <f ca="1">VLOOKUP(B488,'ALL DATABASES'!$A$1:$T$2252,5,FALSE)</f>
        <v>2020</v>
      </c>
      <c r="E488" s="15">
        <f ca="1">VLOOKUP(B488,'ALL DATABASES'!$A$1:$T$2252,10,FALSE)</f>
        <v>0</v>
      </c>
      <c r="F488" s="54" t="str">
        <f ca="1">VLOOKUP(B488,'ALL DATABASES'!$A$1:$T$2252,14,FALSE)</f>
        <v>http://link.springer.com/chapter/10.1007/978-3-030-30701-1_3</v>
      </c>
      <c r="G488" s="15" t="str">
        <f ca="1">VLOOKUP(B488,'ALL DATABASES'!$A$1:$T$2252,3,FALSE)</f>
        <v>Chapter</v>
      </c>
      <c r="H488" s="50" t="str">
        <f ca="1">VLOOKUP(B488,'ALL DATABASES'!$A$1:$T$2252,20,FALSE)</f>
        <v>SPRINGER</v>
      </c>
    </row>
    <row r="489" spans="1:8" ht="12.75" x14ac:dyDescent="0.2">
      <c r="A489">
        <v>488</v>
      </c>
      <c r="B489" s="15" t="str">
        <f ca="1">IFERROR(__xludf.DUMMYFUNCTION("""COMPUTED_VALUE"""),"CodePanorama: A Language Agnostic Tool for Visual Code Inspection")</f>
        <v>CodePanorama: A Language Agnostic Tool for Visual Code Inspection</v>
      </c>
      <c r="C489" s="15" t="str">
        <f ca="1">VLOOKUP(B489,'ALL DATABASES'!$A$1:$T$2252,2,FALSE)</f>
        <v>Etter M,Mehta F</v>
      </c>
      <c r="D489" s="15">
        <f ca="1">VLOOKUP(B489,'ALL DATABASES'!$A$1:$T$2252,5,FALSE)</f>
        <v>2022</v>
      </c>
      <c r="E489" s="15">
        <f ca="1">VLOOKUP(B489,'ALL DATABASES'!$A$1:$T$2252,10,FALSE)</f>
        <v>2022</v>
      </c>
      <c r="F489" s="54" t="str">
        <f ca="1">VLOOKUP(B489,'ALL DATABASES'!$A$1:$T$2252,14,FALSE)</f>
        <v>https://doi.org/10.1145/3524610.3527874;http://dx.doi.org/10.1145/3524610.3527874</v>
      </c>
      <c r="G489" s="15" t="str">
        <f ca="1">VLOOKUP(B489,'ALL DATABASES'!$A$1:$T$2252,3,FALSE)</f>
        <v>Conference Paper</v>
      </c>
      <c r="H489" s="50" t="str">
        <f ca="1">VLOOKUP(B489,'ALL DATABASES'!$A$1:$T$2252,20,FALSE)</f>
        <v>ACM</v>
      </c>
    </row>
    <row r="490" spans="1:8" ht="12.75" x14ac:dyDescent="0.2">
      <c r="A490">
        <v>489</v>
      </c>
      <c r="B490" s="15" t="str">
        <f ca="1">IFERROR(__xludf.DUMMYFUNCTION("""COMPUTED_VALUE"""),"Collaboration Challenges in Building ML-Enabled Systems: Communication, Documentation, Engineering, and Process")</f>
        <v>Collaboration Challenges in Building ML-Enabled Systems: Communication, Documentation, Engineering, and Process</v>
      </c>
      <c r="C490" s="15" t="str">
        <f ca="1">VLOOKUP(B490,'ALL DATABASES'!$A$1:$T$2252,2,FALSE)</f>
        <v>Nahar N,Zhou S,Lewis G,Kastner C</v>
      </c>
      <c r="D490" s="15">
        <f ca="1">VLOOKUP(B490,'ALL DATABASES'!$A$1:$T$2252,5,FALSE)</f>
        <v>2022</v>
      </c>
      <c r="E490" s="15">
        <f ca="1">VLOOKUP(B490,'ALL DATABASES'!$A$1:$T$2252,10,FALSE)</f>
        <v>2022</v>
      </c>
      <c r="F490" s="54" t="str">
        <f ca="1">VLOOKUP(B490,'ALL DATABASES'!$A$1:$T$2252,14,FALSE)</f>
        <v>https://www.scopus.com/inward/record.uri?eid=2-s2.0-85132607290&amp;doi=10.1145%2f3510003.3510209&amp;partnerID=40&amp;md5=3676e6f20f4bf446710a797ff34465e5;http://dx.doi.org/10.1145/3510003.3510209</v>
      </c>
      <c r="G490" s="15" t="str">
        <f ca="1">VLOOKUP(B490,'ALL DATABASES'!$A$1:$T$2252,3,FALSE)</f>
        <v>Conference Paper</v>
      </c>
      <c r="H490" s="50" t="str">
        <f ca="1">VLOOKUP(B490,'ALL DATABASES'!$A$1:$T$2252,20,FALSE)</f>
        <v>SCOPUS</v>
      </c>
    </row>
    <row r="491" spans="1:8" ht="12.75" x14ac:dyDescent="0.2">
      <c r="A491">
        <v>490</v>
      </c>
      <c r="B491" s="15" t="str">
        <f ca="1">IFERROR(__xludf.DUMMYFUNCTION("""COMPUTED_VALUE"""),"Collaboration Technologies and Social Computing")</f>
        <v>Collaboration Technologies and Social Computing</v>
      </c>
      <c r="C491" s="15" t="str">
        <f ca="1">VLOOKUP(B491,'ALL DATABASES'!$A$1:$T$2252,2,FALSE)</f>
        <v>Lung-Hsiang WongYugo HayashiCesar A. CollazosClaudio AlvarezGustavo ZuritaNelson Baloian</v>
      </c>
      <c r="D491" s="15">
        <f ca="1">VLOOKUP(B491,'ALL DATABASES'!$A$1:$T$2252,5,FALSE)</f>
        <v>2022</v>
      </c>
      <c r="E491" s="15">
        <f ca="1">VLOOKUP(B491,'ALL DATABASES'!$A$1:$T$2252,10,FALSE)</f>
        <v>0</v>
      </c>
      <c r="F491" s="54" t="str">
        <f ca="1">VLOOKUP(B491,'ALL DATABASES'!$A$1:$T$2252,14,FALSE)</f>
        <v>http://link.springer.com/book/10.1007/978-3-031-20218-6</v>
      </c>
      <c r="G491" s="15" t="str">
        <f ca="1">VLOOKUP(B491,'ALL DATABASES'!$A$1:$T$2252,3,FALSE)</f>
        <v>Book</v>
      </c>
      <c r="H491" s="50" t="str">
        <f ca="1">VLOOKUP(B491,'ALL DATABASES'!$A$1:$T$2252,20,FALSE)</f>
        <v>SPRINGER</v>
      </c>
    </row>
    <row r="492" spans="1:8" ht="12.75" x14ac:dyDescent="0.2">
      <c r="A492">
        <v>491</v>
      </c>
      <c r="B492" s="15" t="str">
        <f ca="1">IFERROR(__xludf.DUMMYFUNCTION("""COMPUTED_VALUE"""),"Collaborative Networks and Digital Transformation")</f>
        <v>Collaborative Networks and Digital Transformation</v>
      </c>
      <c r="C492" s="15" t="str">
        <f ca="1">VLOOKUP(B492,'ALL DATABASES'!$A$1:$T$2252,2,FALSE)</f>
        <v>Luis M. Camarinha-MatosHamideh AfsarmaneshDario Antonelli</v>
      </c>
      <c r="D492" s="15">
        <f ca="1">VLOOKUP(B492,'ALL DATABASES'!$A$1:$T$2252,5,FALSE)</f>
        <v>2019</v>
      </c>
      <c r="E492" s="15">
        <f ca="1">VLOOKUP(B492,'ALL DATABASES'!$A$1:$T$2252,10,FALSE)</f>
        <v>0</v>
      </c>
      <c r="F492" s="54" t="str">
        <f ca="1">VLOOKUP(B492,'ALL DATABASES'!$A$1:$T$2252,14,FALSE)</f>
        <v>http://link.springer.com/book/10.1007/978-3-030-28464-0</v>
      </c>
      <c r="G492" s="15" t="str">
        <f ca="1">VLOOKUP(B492,'ALL DATABASES'!$A$1:$T$2252,3,FALSE)</f>
        <v>Book</v>
      </c>
      <c r="H492" s="50" t="str">
        <f ca="1">VLOOKUP(B492,'ALL DATABASES'!$A$1:$T$2252,20,FALSE)</f>
        <v>SPRINGER</v>
      </c>
    </row>
    <row r="493" spans="1:8" ht="12.75" x14ac:dyDescent="0.2">
      <c r="A493">
        <v>492</v>
      </c>
      <c r="B493" s="15" t="str">
        <f ca="1">IFERROR(__xludf.DUMMYFUNCTION("""COMPUTED_VALUE"""),"Combinatorial Boosting of Classifiers for Moving Target Defense Against Adversarial Evasion Attacks")</f>
        <v>Combinatorial Boosting of Classifiers for Moving Target Defense Against Adversarial Evasion Attacks</v>
      </c>
      <c r="C493" s="15" t="str">
        <f ca="1">VLOOKUP(B493,'ALL DATABASES'!$A$1:$T$2252,2,FALSE)</f>
        <v>Izmailov R,Lin P,Venkatesan S,Sugrim S</v>
      </c>
      <c r="D493" s="15">
        <f ca="1">VLOOKUP(B493,'ALL DATABASES'!$A$1:$T$2252,5,FALSE)</f>
        <v>2021</v>
      </c>
      <c r="E493" s="15">
        <f ca="1">VLOOKUP(B493,'ALL DATABASES'!$A$1:$T$2252,10,FALSE)</f>
        <v>2021</v>
      </c>
      <c r="F493" s="54" t="str">
        <f ca="1">VLOOKUP(B493,'ALL DATABASES'!$A$1:$T$2252,14,FALSE)</f>
        <v>https://doi.org/10.1145/3474370.3485661;http://dx.doi.org/10.1145/3474370.3485661</v>
      </c>
      <c r="G493" s="15" t="str">
        <f ca="1">VLOOKUP(B493,'ALL DATABASES'!$A$1:$T$2252,3,FALSE)</f>
        <v>Conference Paper</v>
      </c>
      <c r="H493" s="50" t="str">
        <f ca="1">VLOOKUP(B493,'ALL DATABASES'!$A$1:$T$2252,20,FALSE)</f>
        <v>ACM</v>
      </c>
    </row>
    <row r="494" spans="1:8" ht="12.75" x14ac:dyDescent="0.2">
      <c r="A494">
        <v>493</v>
      </c>
      <c r="B494" s="15" t="str">
        <f ca="1">IFERROR(__xludf.DUMMYFUNCTION("""COMPUTED_VALUE"""),"CommtPst: Deep learning source code for commenting positions prediction")</f>
        <v>CommtPst: Deep learning source code for commenting positions prediction</v>
      </c>
      <c r="C494" s="15" t="str">
        <f ca="1">VLOOKUP(B494,'ALL DATABASES'!$A$1:$T$2252,2,FALSE)</f>
        <v>Huang Y,Hu X,Jia N,Chen X,Zheng Z,Luo X</v>
      </c>
      <c r="D494" s="15">
        <f ca="1">VLOOKUP(B494,'ALL DATABASES'!$A$1:$T$2252,5,FALSE)</f>
        <v>2020</v>
      </c>
      <c r="E494" s="15">
        <f ca="1">VLOOKUP(B494,'ALL DATABASES'!$A$1:$T$2252,10,FALSE)</f>
        <v>2020</v>
      </c>
      <c r="F494" s="54" t="str">
        <f ca="1">VLOOKUP(B494,'ALL DATABASES'!$A$1:$T$2252,14,FALSE)</f>
        <v>https://www.scopus.com/inward/record.uri?eid=2-s2.0-85088924536&amp;doi=10.1016%2fj.jss.2020.110754&amp;partnerID=40&amp;md5=bafd6729f307832361257c34cbdf8685;http://dx.doi.org/10.1016/j.jss.2020.110754</v>
      </c>
      <c r="G494" s="15" t="str">
        <f ca="1">VLOOKUP(B494,'ALL DATABASES'!$A$1:$T$2252,3,FALSE)</f>
        <v>Journal Article</v>
      </c>
      <c r="H494" s="50" t="str">
        <f ca="1">VLOOKUP(B494,'ALL DATABASES'!$A$1:$T$2252,20,FALSE)</f>
        <v>SCOPUS</v>
      </c>
    </row>
    <row r="495" spans="1:8" ht="12.75" x14ac:dyDescent="0.2">
      <c r="A495">
        <v>494</v>
      </c>
      <c r="B495" s="15" t="str">
        <f ca="1">IFERROR(__xludf.DUMMYFUNCTION("""COMPUTED_VALUE"""),"Community Smell Detection and Refactoring in SLACK: The CADOCS Project")</f>
        <v>Community Smell Detection and Refactoring in SLACK: The CADOCS Project</v>
      </c>
      <c r="C495" s="15" t="str">
        <f ca="1">VLOOKUP(B495,'ALL DATABASES'!$A$1:$T$2252,2,FALSE)</f>
        <v>Voria G,Pentangelo V,Porta AD,Lambiase S,Catolino G,Palomba F,Ferrucci F</v>
      </c>
      <c r="D495" s="15">
        <f ca="1">VLOOKUP(B495,'ALL DATABASES'!$A$1:$T$2252,5,FALSE)</f>
        <v>2022</v>
      </c>
      <c r="E495" s="53">
        <f ca="1">VLOOKUP(B495,'ALL DATABASES'!$A$1:$T$2252,10,FALSE)</f>
        <v>44835</v>
      </c>
      <c r="F495" s="54" t="str">
        <f ca="1">VLOOKUP(B495,'ALL DATABASES'!$A$1:$T$2252,14,FALSE)</f>
        <v>http://dx.doi.org/10.1109/ICSME55016.2022.00061</v>
      </c>
      <c r="G495" s="15" t="str">
        <f ca="1">VLOOKUP(B495,'ALL DATABASES'!$A$1:$T$2252,3,FALSE)</f>
        <v>Conference Paper</v>
      </c>
      <c r="H495" s="50" t="str">
        <f ca="1">VLOOKUP(B495,'ALL DATABASES'!$A$1:$T$2252,20,FALSE)</f>
        <v>IEEE</v>
      </c>
    </row>
    <row r="496" spans="1:8" ht="12.75" x14ac:dyDescent="0.2">
      <c r="A496">
        <v>495</v>
      </c>
      <c r="B496" s="15" t="str">
        <f ca="1">IFERROR(__xludf.DUMMYFUNCTION("""COMPUTED_VALUE"""),"Community Smell Occurrence Prediction on Multi-Granularity by Developer-Oriented Features and Process Metrics")</f>
        <v>Community Smell Occurrence Prediction on Multi-Granularity by Developer-Oriented Features and Process Metrics</v>
      </c>
      <c r="C496" s="15" t="str">
        <f ca="1">VLOOKUP(B496,'ALL DATABASES'!$A$1:$T$2252,2,FALSE)</f>
        <v>Huang ZJ,Shao ZQ,Fan GS,Yu HQ,Yang XG,Yang K</v>
      </c>
      <c r="D496" s="15">
        <f ca="1">VLOOKUP(B496,'ALL DATABASES'!$A$1:$T$2252,5,FALSE)</f>
        <v>2022</v>
      </c>
      <c r="E496" s="15">
        <f ca="1">VLOOKUP(B496,'ALL DATABASES'!$A$1:$T$2252,10,FALSE)</f>
        <v>2022</v>
      </c>
      <c r="F496" s="54" t="str">
        <f ca="1">VLOOKUP(B496,'ALL DATABASES'!$A$1:$T$2252,14,FALSE)</f>
        <v>https://www.scopus.com/inward/record.uri?eid=2-s2.0-85125323743&amp;doi=10.1007%2fs11390-021-1596-1&amp;partnerID=40&amp;md5=8e4c15f6f3181100378d973e884107f4;http://dx.doi.org/10.1007/s11390-021-1596-1</v>
      </c>
      <c r="G496" s="15" t="str">
        <f ca="1">VLOOKUP(B496,'ALL DATABASES'!$A$1:$T$2252,3,FALSE)</f>
        <v>Journal Article</v>
      </c>
      <c r="H496" s="50" t="str">
        <f ca="1">VLOOKUP(B496,'ALL DATABASES'!$A$1:$T$2252,20,FALSE)</f>
        <v>SCOPUS</v>
      </c>
    </row>
    <row r="497" spans="1:8" ht="12.75" x14ac:dyDescent="0.2">
      <c r="A497">
        <v>496</v>
      </c>
      <c r="B497" s="15" t="str">
        <f ca="1">IFERROR(__xludf.DUMMYFUNCTION("""COMPUTED_VALUE"""),"Community smells—The sources of social debt: A systematic literature review")</f>
        <v>Community smells—The sources of social debt: A systematic literature review</v>
      </c>
      <c r="C497" s="15" t="str">
        <f ca="1">VLOOKUP(B497,'ALL DATABASES'!$A$1:$T$2252,2,FALSE)</f>
        <v>Caballero-Espinosa E,Carver JC,Stowers K</v>
      </c>
      <c r="D497" s="15">
        <f ca="1">VLOOKUP(B497,'ALL DATABASES'!$A$1:$T$2252,5,FALSE)</f>
        <v>2023</v>
      </c>
      <c r="E497" s="15">
        <f ca="1">VLOOKUP(B497,'ALL DATABASES'!$A$1:$T$2252,10,FALSE)</f>
        <v>2023</v>
      </c>
      <c r="F497" s="54" t="str">
        <f ca="1">VLOOKUP(B497,'ALL DATABASES'!$A$1:$T$2252,14,FALSE)</f>
        <v>https://www.sciencedirect.com/science/article/pii/S0950584922001872;http://dx.doi.org/10.1016/j.infsof.2022.107078</v>
      </c>
      <c r="G497" s="15" t="str">
        <f ca="1">VLOOKUP(B497,'ALL DATABASES'!$A$1:$T$2252,3,FALSE)</f>
        <v>Journal Article</v>
      </c>
      <c r="H497" s="50" t="str">
        <f ca="1">VLOOKUP(B497,'ALL DATABASES'!$A$1:$T$2252,20,FALSE)</f>
        <v>SCIENCEDIRECT</v>
      </c>
    </row>
    <row r="498" spans="1:8" ht="12.75" x14ac:dyDescent="0.2">
      <c r="A498">
        <v>497</v>
      </c>
      <c r="B498" s="15" t="str">
        <f ca="1">IFERROR(__xludf.DUMMYFUNCTION("""COMPUTED_VALUE"""),"Comparative analysis of software fault prediction using various categories of classifiers")</f>
        <v>Comparative analysis of software fault prediction using various categories of classifiers</v>
      </c>
      <c r="C498" s="15" t="str">
        <f ca="1">VLOOKUP(B498,'ALL DATABASES'!$A$1:$T$2252,2,FALSE)</f>
        <v>Inderpreet KaurArvinder Kaur</v>
      </c>
      <c r="D498" s="15">
        <f ca="1">VLOOKUP(B498,'ALL DATABASES'!$A$1:$T$2252,5,FALSE)</f>
        <v>2021</v>
      </c>
      <c r="E498" s="15">
        <f ca="1">VLOOKUP(B498,'ALL DATABASES'!$A$1:$T$2252,10,FALSE)</f>
        <v>0</v>
      </c>
      <c r="F498" s="54" t="str">
        <f ca="1">VLOOKUP(B498,'ALL DATABASES'!$A$1:$T$2252,14,FALSE)</f>
        <v>http://link.springer.com/article/10.1007/s13198-021-01110-1</v>
      </c>
      <c r="G498" s="15" t="str">
        <f ca="1">VLOOKUP(B498,'ALL DATABASES'!$A$1:$T$2252,3,FALSE)</f>
        <v>Article</v>
      </c>
      <c r="H498" s="50" t="str">
        <f ca="1">VLOOKUP(B498,'ALL DATABASES'!$A$1:$T$2252,20,FALSE)</f>
        <v>SPRINGER</v>
      </c>
    </row>
    <row r="499" spans="1:8" ht="12.75" x14ac:dyDescent="0.2">
      <c r="A499">
        <v>498</v>
      </c>
      <c r="B499" s="15" t="str">
        <f ca="1">IFERROR(__xludf.DUMMYFUNCTION("""COMPUTED_VALUE"""),"Comparing Heuristic and Machine Learning Approaches for Metric-Based Code Smell Detection")</f>
        <v>Comparing Heuristic and Machine Learning Approaches for Metric-Based Code Smell Detection</v>
      </c>
      <c r="C499" s="15" t="str">
        <f ca="1">VLOOKUP(B499,'ALL DATABASES'!$A$1:$T$2252,2,FALSE)</f>
        <v>Pecorelli F,Palomba F,Di Nucci D,De Lucia A</v>
      </c>
      <c r="D499" s="15">
        <f ca="1">VLOOKUP(B499,'ALL DATABASES'!$A$1:$T$2252,5,FALSE)</f>
        <v>2019</v>
      </c>
      <c r="E499" s="15">
        <f ca="1">VLOOKUP(B499,'ALL DATABASES'!$A$1:$T$2252,10,FALSE)</f>
        <v>2019</v>
      </c>
      <c r="F499" s="54" t="str">
        <f ca="1">VLOOKUP(B499,'ALL DATABASES'!$A$1:$T$2252,14,FALSE)</f>
        <v>https://doi.org/10.1109/ICPC.2019.00023;http://dx.doi.org/10.1109/ICPC.2019.00023</v>
      </c>
      <c r="G499" s="15" t="str">
        <f ca="1">VLOOKUP(B499,'ALL DATABASES'!$A$1:$T$2252,3,FALSE)</f>
        <v>Conference Paper</v>
      </c>
      <c r="H499" s="50" t="str">
        <f ca="1">VLOOKUP(B499,'ALL DATABASES'!$A$1:$T$2252,20,FALSE)</f>
        <v>ACM</v>
      </c>
    </row>
    <row r="500" spans="1:8" ht="12.75" x14ac:dyDescent="0.2">
      <c r="A500">
        <v>499</v>
      </c>
      <c r="B500" s="15" t="str">
        <f ca="1">IFERROR(__xludf.DUMMYFUNCTION("""COMPUTED_VALUE"""),"Comparing Maintainability Index, SIG Method, and SQALE for Technical Debt Identification")</f>
        <v>Comparing Maintainability Index, SIG Method, and SQALE for Technical Debt Identification</v>
      </c>
      <c r="C500" s="15" t="str">
        <f ca="1">VLOOKUP(B500,'ALL DATABASES'!$A$1:$T$2252,2,FALSE)</f>
        <v>Strečanský P,Chren S,Rossi B</v>
      </c>
      <c r="D500" s="15">
        <f ca="1">VLOOKUP(B500,'ALL DATABASES'!$A$1:$T$2252,5,FALSE)</f>
        <v>2020</v>
      </c>
      <c r="E500" s="15">
        <f ca="1">VLOOKUP(B500,'ALL DATABASES'!$A$1:$T$2252,10,FALSE)</f>
        <v>2020</v>
      </c>
      <c r="F500" s="54" t="str">
        <f ca="1">VLOOKUP(B500,'ALL DATABASES'!$A$1:$T$2252,14,FALSE)</f>
        <v>https://www.scopus.com/inward/record.uri?eid=2-s2.0-85089306504&amp;doi=10.1155%2f2020%2f2976564&amp;partnerID=40&amp;md5=3edcf276fefc59def5d9c64479ece8f5;http://dx.doi.org/10.1155/2020/2976564</v>
      </c>
      <c r="G500" s="15" t="str">
        <f ca="1">VLOOKUP(B500,'ALL DATABASES'!$A$1:$T$2252,3,FALSE)</f>
        <v>Journal Article</v>
      </c>
      <c r="H500" s="50" t="str">
        <f ca="1">VLOOKUP(B500,'ALL DATABASES'!$A$1:$T$2252,20,FALSE)</f>
        <v>SCOPUS</v>
      </c>
    </row>
    <row r="501" spans="1:8" ht="12.75" x14ac:dyDescent="0.2">
      <c r="A501">
        <v>500</v>
      </c>
      <c r="B501" s="15" t="str">
        <f ca="1">IFERROR(__xludf.DUMMYFUNCTION("""COMPUTED_VALUE"""),"Comparing Static Analysis and Code Smells as Defect Predictors: An Empirical Study")</f>
        <v>Comparing Static Analysis and Code Smells as Defect Predictors: An Empirical Study</v>
      </c>
      <c r="C501" s="15" t="str">
        <f ca="1">VLOOKUP(B501,'ALL DATABASES'!$A$1:$T$2252,2,FALSE)</f>
        <v>Lavazza L,Morasca S,Tosi D</v>
      </c>
      <c r="D501" s="15">
        <f ca="1">VLOOKUP(B501,'ALL DATABASES'!$A$1:$T$2252,5,FALSE)</f>
        <v>2021</v>
      </c>
      <c r="E501" s="15">
        <f ca="1">VLOOKUP(B501,'ALL DATABASES'!$A$1:$T$2252,10,FALSE)</f>
        <v>2021</v>
      </c>
      <c r="F501" s="54" t="str">
        <f ca="1">VLOOKUP(B501,'ALL DATABASES'!$A$1:$T$2252,14,FALSE)</f>
        <v>https://www.scopus.com/inward/record.uri?eid=2-s2.0-85106148361&amp;doi=10.1007%2f978-3-030-75251-4_1&amp;partnerID=40&amp;md5=db22e5d3804b44fd6c2ede9e3007f0cc;http://dx.doi.org/10.1007/978-3-030-75251-4_1</v>
      </c>
      <c r="G501" s="15" t="str">
        <f ca="1">VLOOKUP(B501,'ALL DATABASES'!$A$1:$T$2252,3,FALSE)</f>
        <v>Journal Article</v>
      </c>
      <c r="H501" s="50" t="str">
        <f ca="1">VLOOKUP(B501,'ALL DATABASES'!$A$1:$T$2252,20,FALSE)</f>
        <v>SCOPUS</v>
      </c>
    </row>
    <row r="502" spans="1:8" ht="12.75" x14ac:dyDescent="0.2">
      <c r="A502">
        <v>501</v>
      </c>
      <c r="B502" s="15" t="str">
        <f ca="1">IFERROR(__xludf.DUMMYFUNCTION("""COMPUTED_VALUE"""),"Comparing Univariate and Multivariate Time Series Models for Technical Debt Forecasting")</f>
        <v>Comparing Univariate and Multivariate Time Series Models for Technical Debt Forecasting</v>
      </c>
      <c r="C502" s="15" t="str">
        <f ca="1">VLOOKUP(B502,'ALL DATABASES'!$A$1:$T$2252,2,FALSE)</f>
        <v>Mathioudaki M,Tsoukalas D,Siavvas M,Kehagias D</v>
      </c>
      <c r="D502" s="15">
        <f ca="1">VLOOKUP(B502,'ALL DATABASES'!$A$1:$T$2252,5,FALSE)</f>
        <v>2022</v>
      </c>
      <c r="E502" s="15">
        <f ca="1">VLOOKUP(B502,'ALL DATABASES'!$A$1:$T$2252,10,FALSE)</f>
        <v>2022</v>
      </c>
      <c r="F502" s="54" t="str">
        <f ca="1">VLOOKUP(B502,'ALL DATABASES'!$A$1:$T$2252,14,FALSE)</f>
        <v>https://www.scopus.com/inward/record.uri?eid=2-s2.0-85135922174&amp;doi=10.1007%2f978-3-031-10542-5_5&amp;partnerID=40&amp;md5=10c18f25a4197f7c8479fc1e4acf8cd7;http://dx.doi.org/10.1007/978-3-031-10542-5_5</v>
      </c>
      <c r="G502" s="15" t="str">
        <f ca="1">VLOOKUP(B502,'ALL DATABASES'!$A$1:$T$2252,3,FALSE)</f>
        <v>Journal Article</v>
      </c>
      <c r="H502" s="50" t="str">
        <f ca="1">VLOOKUP(B502,'ALL DATABASES'!$A$1:$T$2252,20,FALSE)</f>
        <v>SCOPUS</v>
      </c>
    </row>
    <row r="503" spans="1:8" ht="12.75" x14ac:dyDescent="0.2">
      <c r="A503">
        <v>502</v>
      </c>
      <c r="B503" s="15" t="str">
        <f ca="1">IFERROR(__xludf.DUMMYFUNCTION("""COMPUTED_VALUE"""),"Comparing Within- and Cross-Project Machine Learning Algorithms for Code Smell Detection")</f>
        <v>Comparing Within- and Cross-Project Machine Learning Algorithms for Code Smell Detection</v>
      </c>
      <c r="C503" s="15" t="str">
        <f ca="1">VLOOKUP(B503,'ALL DATABASES'!$A$1:$T$2252,2,FALSE)</f>
        <v>De Stefano M,Pecorelli F,Palomba F,De Lucia A</v>
      </c>
      <c r="D503" s="15">
        <f ca="1">VLOOKUP(B503,'ALL DATABASES'!$A$1:$T$2252,5,FALSE)</f>
        <v>2021</v>
      </c>
      <c r="E503" s="15">
        <f ca="1">VLOOKUP(B503,'ALL DATABASES'!$A$1:$T$2252,10,FALSE)</f>
        <v>2021</v>
      </c>
      <c r="F503" s="54" t="str">
        <f ca="1">VLOOKUP(B503,'ALL DATABASES'!$A$1:$T$2252,14,FALSE)</f>
        <v>https://doi.org/10.1145/3472674.3473978;http://dx.doi.org/10.1145/3472674.3473978</v>
      </c>
      <c r="G503" s="15" t="str">
        <f ca="1">VLOOKUP(B503,'ALL DATABASES'!$A$1:$T$2252,3,FALSE)</f>
        <v>Conference Paper</v>
      </c>
      <c r="H503" s="50" t="str">
        <f ca="1">VLOOKUP(B503,'ALL DATABASES'!$A$1:$T$2252,20,FALSE)</f>
        <v>ACM</v>
      </c>
    </row>
    <row r="504" spans="1:8" ht="12.75" x14ac:dyDescent="0.2">
      <c r="A504">
        <v>503</v>
      </c>
      <c r="B504" s="15" t="str">
        <f ca="1">IFERROR(__xludf.DUMMYFUNCTION("""COMPUTED_VALUE"""),"Compatibility Validation Framework for Complex Data Center HW Components")</f>
        <v>Compatibility Validation Framework for Complex Data Center HW Components</v>
      </c>
      <c r="C504" s="15" t="str">
        <f ca="1">VLOOKUP(B504,'ALL DATABASES'!$A$1:$T$2252,2,FALSE)</f>
        <v>Garcia A,Benitez-Talamantes A,Manzano-Hernandez P</v>
      </c>
      <c r="D504" s="15">
        <f ca="1">VLOOKUP(B504,'ALL DATABASES'!$A$1:$T$2252,5,FALSE)</f>
        <v>2020</v>
      </c>
      <c r="E504" s="55">
        <f ca="1">VLOOKUP(B504,'ALL DATABASES'!$A$1:$T$2252,10,FALSE)</f>
        <v>43922</v>
      </c>
      <c r="F504" s="54" t="str">
        <f ca="1">VLOOKUP(B504,'ALL DATABASES'!$A$1:$T$2252,14,FALSE)</f>
        <v>http://dx.doi.org/10.1109/ICIEA49774.2020.9101913</v>
      </c>
      <c r="G504" s="15" t="str">
        <f ca="1">VLOOKUP(B504,'ALL DATABASES'!$A$1:$T$2252,3,FALSE)</f>
        <v>Conference Paper</v>
      </c>
      <c r="H504" s="50" t="str">
        <f ca="1">VLOOKUP(B504,'ALL DATABASES'!$A$1:$T$2252,20,FALSE)</f>
        <v>IEEE</v>
      </c>
    </row>
    <row r="505" spans="1:8" ht="12.75" x14ac:dyDescent="0.2">
      <c r="A505">
        <v>504</v>
      </c>
      <c r="B505" s="15" t="str">
        <f ca="1">IFERROR(__xludf.DUMMYFUNCTION("""COMPUTED_VALUE"""),"Compendium on Enterprise Resource Planning")</f>
        <v>Compendium on Enterprise Resource Planning</v>
      </c>
      <c r="C505" s="15" t="str">
        <f ca="1">VLOOKUP(B505,'ALL DATABASES'!$A$1:$T$2252,2,FALSE)</f>
        <v>Dr. Siar Sarferaz</v>
      </c>
      <c r="D505" s="15">
        <f ca="1">VLOOKUP(B505,'ALL DATABASES'!$A$1:$T$2252,5,FALSE)</f>
        <v>2022</v>
      </c>
      <c r="E505" s="15">
        <f ca="1">VLOOKUP(B505,'ALL DATABASES'!$A$1:$T$2252,10,FALSE)</f>
        <v>0</v>
      </c>
      <c r="F505" s="54" t="str">
        <f ca="1">VLOOKUP(B505,'ALL DATABASES'!$A$1:$T$2252,14,FALSE)</f>
        <v>http://link.springer.com/book/10.1007/978-3-030-93856-7</v>
      </c>
      <c r="G505" s="15" t="str">
        <f ca="1">VLOOKUP(B505,'ALL DATABASES'!$A$1:$T$2252,3,FALSE)</f>
        <v>Book</v>
      </c>
      <c r="H505" s="50" t="str">
        <f ca="1">VLOOKUP(B505,'ALL DATABASES'!$A$1:$T$2252,20,FALSE)</f>
        <v>SPRINGER</v>
      </c>
    </row>
    <row r="506" spans="1:8" ht="12.75" x14ac:dyDescent="0.2">
      <c r="A506">
        <v>505</v>
      </c>
      <c r="B506" s="15" t="str">
        <f ca="1">IFERROR(__xludf.DUMMYFUNCTION("""COMPUTED_VALUE"""),"Component attributes and their importance in decisions and component selection")</f>
        <v>Component attributes and their importance in decisions and component selection</v>
      </c>
      <c r="C506" s="15" t="str">
        <f ca="1">VLOOKUP(B506,'ALL DATABASES'!$A$1:$T$2252,2,FALSE)</f>
        <v>Panagiota ChatzipetrouEfi PapatheocharousKrzysztof WnukMarkus BorgEmil AlÃ©grothTony Gorschek</v>
      </c>
      <c r="D506" s="15">
        <f ca="1">VLOOKUP(B506,'ALL DATABASES'!$A$1:$T$2252,5,FALSE)</f>
        <v>2020</v>
      </c>
      <c r="E506" s="15">
        <f ca="1">VLOOKUP(B506,'ALL DATABASES'!$A$1:$T$2252,10,FALSE)</f>
        <v>0</v>
      </c>
      <c r="F506" s="54" t="str">
        <f ca="1">VLOOKUP(B506,'ALL DATABASES'!$A$1:$T$2252,14,FALSE)</f>
        <v>http://link.springer.com/article/10.1007/s11219-019-09465-2</v>
      </c>
      <c r="G506" s="15" t="str">
        <f ca="1">VLOOKUP(B506,'ALL DATABASES'!$A$1:$T$2252,3,FALSE)</f>
        <v>Article</v>
      </c>
      <c r="H506" s="50" t="str">
        <f ca="1">VLOOKUP(B506,'ALL DATABASES'!$A$1:$T$2252,20,FALSE)</f>
        <v>SPRINGER</v>
      </c>
    </row>
    <row r="507" spans="1:8" ht="12.75" x14ac:dyDescent="0.2">
      <c r="A507">
        <v>506</v>
      </c>
      <c r="B507" s="15" t="str">
        <f ca="1">IFERROR(__xludf.DUMMYFUNCTION("""COMPUTED_VALUE"""),"Component Comparison, Evaluation, and Selection: A Continuous Approach")</f>
        <v>Component Comparison, Evaluation, and Selection: A Continuous Approach</v>
      </c>
      <c r="C507" s="15" t="str">
        <f ca="1">VLOOKUP(B507,'ALL DATABASES'!$A$1:$T$2252,2,FALSE)</f>
        <v>Ernst N,Kazman R,Bianco P</v>
      </c>
      <c r="D507" s="15">
        <f ca="1">VLOOKUP(B507,'ALL DATABASES'!$A$1:$T$2252,5,FALSE)</f>
        <v>2019</v>
      </c>
      <c r="E507" s="55">
        <f ca="1">VLOOKUP(B507,'ALL DATABASES'!$A$1:$T$2252,10,FALSE)</f>
        <v>43525</v>
      </c>
      <c r="F507" s="54" t="str">
        <f ca="1">VLOOKUP(B507,'ALL DATABASES'!$A$1:$T$2252,14,FALSE)</f>
        <v>http://dx.doi.org/10.1109/ICSA-C.2019.00023</v>
      </c>
      <c r="G507" s="15" t="str">
        <f ca="1">VLOOKUP(B507,'ALL DATABASES'!$A$1:$T$2252,3,FALSE)</f>
        <v>Conference Paper</v>
      </c>
      <c r="H507" s="50" t="str">
        <f ca="1">VLOOKUP(B507,'ALL DATABASES'!$A$1:$T$2252,20,FALSE)</f>
        <v>IEEE</v>
      </c>
    </row>
    <row r="508" spans="1:8" ht="12.75" x14ac:dyDescent="0.2">
      <c r="A508">
        <v>507</v>
      </c>
      <c r="B508" s="15" t="str">
        <f ca="1">IFERROR(__xludf.DUMMYFUNCTION("""COMPUTED_VALUE"""),"Composing Model-Based Analysis Tools")</f>
        <v>Composing Model-Based Analysis Tools</v>
      </c>
      <c r="C508" s="15" t="str">
        <f ca="1">VLOOKUP(B508,'ALL DATABASES'!$A$1:$T$2252,2,FALSE)</f>
        <v>Dr. Robert HeinrichProf. Francisco DurÃ¡nDr. Carolyn TalcottDr. Steffen Zschaler</v>
      </c>
      <c r="D508" s="15">
        <f ca="1">VLOOKUP(B508,'ALL DATABASES'!$A$1:$T$2252,5,FALSE)</f>
        <v>2021</v>
      </c>
      <c r="E508" s="15">
        <f ca="1">VLOOKUP(B508,'ALL DATABASES'!$A$1:$T$2252,10,FALSE)</f>
        <v>0</v>
      </c>
      <c r="F508" s="54" t="str">
        <f ca="1">VLOOKUP(B508,'ALL DATABASES'!$A$1:$T$2252,14,FALSE)</f>
        <v>http://link.springer.com/book/10.1007/978-3-030-81915-6</v>
      </c>
      <c r="G508" s="15" t="str">
        <f ca="1">VLOOKUP(B508,'ALL DATABASES'!$A$1:$T$2252,3,FALSE)</f>
        <v>Book</v>
      </c>
      <c r="H508" s="50" t="str">
        <f ca="1">VLOOKUP(B508,'ALL DATABASES'!$A$1:$T$2252,20,FALSE)</f>
        <v>SPRINGER</v>
      </c>
    </row>
    <row r="509" spans="1:8" ht="12.75" x14ac:dyDescent="0.2">
      <c r="A509">
        <v>508</v>
      </c>
      <c r="B509" s="15" t="str">
        <f ca="1">IFERROR(__xludf.DUMMYFUNCTION("""COMPUTED_VALUE"""),"Composite refactoring: Representations, characteristics and effects on software projects")</f>
        <v>Composite refactoring: Representations, characteristics and effects on software projects</v>
      </c>
      <c r="C509" s="15" t="str">
        <f ca="1">VLOOKUP(B509,'ALL DATABASES'!$A$1:$T$2252,2,FALSE)</f>
        <v>Bibiano AC,Uchôa A,Assunção WK,Tenório D,Colanzi TE,Vergilio SR,Garcia A</v>
      </c>
      <c r="D509" s="15">
        <f ca="1">VLOOKUP(B509,'ALL DATABASES'!$A$1:$T$2252,5,FALSE)</f>
        <v>2023</v>
      </c>
      <c r="E509" s="15">
        <f ca="1">VLOOKUP(B509,'ALL DATABASES'!$A$1:$T$2252,10,FALSE)</f>
        <v>2023</v>
      </c>
      <c r="F509" s="54" t="str">
        <f ca="1">VLOOKUP(B509,'ALL DATABASES'!$A$1:$T$2252,14,FALSE)</f>
        <v>https://www.scopus.com/inward/record.uri?eid=2-s2.0-85145966825&amp;doi=10.1016%2fj.infsof.2022.107134&amp;partnerID=40&amp;md5=581350936b5b9365cc7476ca1738340b;http://dx.doi.org/10.1016/j.infsof.2022.107134</v>
      </c>
      <c r="G509" s="15" t="str">
        <f ca="1">VLOOKUP(B509,'ALL DATABASES'!$A$1:$T$2252,3,FALSE)</f>
        <v>Journal Article</v>
      </c>
      <c r="H509" s="50" t="str">
        <f ca="1">VLOOKUP(B509,'ALL DATABASES'!$A$1:$T$2252,20,FALSE)</f>
        <v>SCOPUS</v>
      </c>
    </row>
    <row r="510" spans="1:8" ht="12.75" x14ac:dyDescent="0.2">
      <c r="A510">
        <v>509</v>
      </c>
      <c r="B510" s="15" t="str">
        <f ca="1">IFERROR(__xludf.DUMMYFUNCTION("""COMPUTED_VALUE"""),"Comprehending the Use of Intelligent Techniques to Support Technical Debt Management")</f>
        <v>Comprehending the Use of Intelligent Techniques to Support Technical Debt Management</v>
      </c>
      <c r="C510" s="15" t="str">
        <f ca="1">VLOOKUP(B510,'ALL DATABASES'!$A$1:$T$2252,2,FALSE)</f>
        <v>Albuquerque D,Guimaraes E,Tonin G,Perkusich M,Almeida H,Perkusich A</v>
      </c>
      <c r="D510" s="15">
        <f ca="1">VLOOKUP(B510,'ALL DATABASES'!$A$1:$T$2252,5,FALSE)</f>
        <v>2022</v>
      </c>
      <c r="E510" s="15">
        <f ca="1">VLOOKUP(B510,'ALL DATABASES'!$A$1:$T$2252,10,FALSE)</f>
        <v>2022</v>
      </c>
      <c r="F510" s="54" t="str">
        <f ca="1">VLOOKUP(B510,'ALL DATABASES'!$A$1:$T$2252,14,FALSE)</f>
        <v>https://doi.org/10.1145/3524843.3528097;http://dx.doi.org/10.1145/3524843.3528097</v>
      </c>
      <c r="G510" s="15" t="str">
        <f ca="1">VLOOKUP(B510,'ALL DATABASES'!$A$1:$T$2252,3,FALSE)</f>
        <v>Conference Paper</v>
      </c>
      <c r="H510" s="50" t="str">
        <f ca="1">VLOOKUP(B510,'ALL DATABASES'!$A$1:$T$2252,20,FALSE)</f>
        <v>ACM</v>
      </c>
    </row>
    <row r="511" spans="1:8" ht="12.75" x14ac:dyDescent="0.2">
      <c r="A511">
        <v>510</v>
      </c>
      <c r="B511" s="15" t="str">
        <f ca="1">IFERROR(__xludf.DUMMYFUNCTION("""COMPUTED_VALUE"""),"Computational Intelligence Methods for Bioinformatics and Biostatistics")</f>
        <v>Computational Intelligence Methods for Bioinformatics and Biostatistics</v>
      </c>
      <c r="C511" s="15" t="str">
        <f ca="1">VLOOKUP(B511,'ALL DATABASES'!$A$1:$T$2252,2,FALSE)</f>
        <v>Davide ChiccoAngelo FacchianoErica TavazziEnrico LongatoMartina VettorettiAnna BernasconiSimone AvesaniPaolo Cazzaniga</v>
      </c>
      <c r="D511" s="15">
        <f ca="1">VLOOKUP(B511,'ALL DATABASES'!$A$1:$T$2252,5,FALSE)</f>
        <v>2022</v>
      </c>
      <c r="E511" s="15">
        <f ca="1">VLOOKUP(B511,'ALL DATABASES'!$A$1:$T$2252,10,FALSE)</f>
        <v>0</v>
      </c>
      <c r="F511" s="54" t="str">
        <f ca="1">VLOOKUP(B511,'ALL DATABASES'!$A$1:$T$2252,14,FALSE)</f>
        <v>http://link.springer.com/book/10.1007/978-3-031-20837-9</v>
      </c>
      <c r="G511" s="15" t="str">
        <f ca="1">VLOOKUP(B511,'ALL DATABASES'!$A$1:$T$2252,3,FALSE)</f>
        <v>Book</v>
      </c>
      <c r="H511" s="50" t="str">
        <f ca="1">VLOOKUP(B511,'ALL DATABASES'!$A$1:$T$2252,20,FALSE)</f>
        <v>SPRINGER</v>
      </c>
    </row>
    <row r="512" spans="1:8" ht="12.75" x14ac:dyDescent="0.2">
      <c r="A512">
        <v>511</v>
      </c>
      <c r="B512" s="15" t="str">
        <f ca="1">IFERROR(__xludf.DUMMYFUNCTION("""COMPUTED_VALUE"""),"Computational Science and Its Applications â€“ ICCSA 2021")</f>
        <v>Computational Science and Its Applications â€“ ICCSA 2021</v>
      </c>
      <c r="C512" s="15" t="str">
        <f ca="1">VLOOKUP(B512,'ALL DATABASES'!$A$1:$T$2252,2,FALSE)</f>
        <v>Prof. Dr. Osvaldo GervasiBeniamino MurganteDr. Sanjay MisraDr. Chiara GarauIvan BleÄiÄ‡David TaniarBernady O. ApduhanAna Maria A. C. RochaEufemia TarantinoCarmelo Maria Torre</v>
      </c>
      <c r="D512" s="15">
        <f ca="1">VLOOKUP(B512,'ALL DATABASES'!$A$1:$T$2252,5,FALSE)</f>
        <v>2021</v>
      </c>
      <c r="E512" s="15">
        <f ca="1">VLOOKUP(B512,'ALL DATABASES'!$A$1:$T$2252,10,FALSE)</f>
        <v>0</v>
      </c>
      <c r="F512" s="54" t="str">
        <f ca="1">VLOOKUP(B512,'ALL DATABASES'!$A$1:$T$2252,14,FALSE)</f>
        <v>http://link.springer.com/book/10.1007/978-3-030-87007-2</v>
      </c>
      <c r="G512" s="15" t="str">
        <f ca="1">VLOOKUP(B512,'ALL DATABASES'!$A$1:$T$2252,3,FALSE)</f>
        <v>Book</v>
      </c>
      <c r="H512" s="50" t="str">
        <f ca="1">VLOOKUP(B512,'ALL DATABASES'!$A$1:$T$2252,20,FALSE)</f>
        <v>SPRINGER</v>
      </c>
    </row>
    <row r="513" spans="1:8" ht="12.75" x14ac:dyDescent="0.2">
      <c r="A513">
        <v>512</v>
      </c>
      <c r="B513" s="15" t="str">
        <f ca="1">IFERROR(__xludf.DUMMYFUNCTION("""COMPUTED_VALUE"""),"Computational Science and Its Applications â€“ ICCSA 2022 Workshops")</f>
        <v>Computational Science and Its Applications â€“ ICCSA 2022 Workshops</v>
      </c>
      <c r="C513" s="15" t="str">
        <f ca="1">VLOOKUP(B513,'ALL DATABASES'!$A$1:$T$2252,2,FALSE)</f>
        <v>Prof. Dr. Osvaldo GervasiBeniamino MurganteSanjay MisraAna Maria A. C. RochaDr. Chiara Garau</v>
      </c>
      <c r="D513" s="15">
        <f ca="1">VLOOKUP(B513,'ALL DATABASES'!$A$1:$T$2252,5,FALSE)</f>
        <v>2022</v>
      </c>
      <c r="E513" s="15">
        <f ca="1">VLOOKUP(B513,'ALL DATABASES'!$A$1:$T$2252,10,FALSE)</f>
        <v>0</v>
      </c>
      <c r="F513" s="54" t="str">
        <f ca="1">VLOOKUP(B513,'ALL DATABASES'!$A$1:$T$2252,14,FALSE)</f>
        <v>http://link.springer.com/book/10.1007/978-3-031-10542-5</v>
      </c>
      <c r="G513" s="15" t="str">
        <f ca="1">VLOOKUP(B513,'ALL DATABASES'!$A$1:$T$2252,3,FALSE)</f>
        <v>Book</v>
      </c>
      <c r="H513" s="50" t="str">
        <f ca="1">VLOOKUP(B513,'ALL DATABASES'!$A$1:$T$2252,20,FALSE)</f>
        <v>SPRINGER</v>
      </c>
    </row>
    <row r="514" spans="1:8" ht="12.75" x14ac:dyDescent="0.2">
      <c r="A514">
        <v>513</v>
      </c>
      <c r="B514" s="15" t="str">
        <f ca="1">IFERROR(__xludf.DUMMYFUNCTION("""COMPUTED_VALUE"""),"Computer Safety, Reliability, and Security")</f>
        <v>Computer Safety, Reliability, and Security</v>
      </c>
      <c r="C514" s="15" t="str">
        <f ca="1">VLOOKUP(B514,'ALL DATABASES'!$A$1:$T$2252,2,FALSE)</f>
        <v>Alexander RomanovskyElena TroubitsynaDr. Ilir GashiErwin SchoitschFriedemann Bitsch</v>
      </c>
      <c r="D514" s="15">
        <f ca="1">VLOOKUP(B514,'ALL DATABASES'!$A$1:$T$2252,5,FALSE)</f>
        <v>2019</v>
      </c>
      <c r="E514" s="15">
        <f ca="1">VLOOKUP(B514,'ALL DATABASES'!$A$1:$T$2252,10,FALSE)</f>
        <v>0</v>
      </c>
      <c r="F514" s="54" t="str">
        <f ca="1">VLOOKUP(B514,'ALL DATABASES'!$A$1:$T$2252,14,FALSE)</f>
        <v>http://link.springer.com/book/10.1007/978-3-030-26250-1</v>
      </c>
      <c r="G514" s="15" t="str">
        <f ca="1">VLOOKUP(B514,'ALL DATABASES'!$A$1:$T$2252,3,FALSE)</f>
        <v>Book</v>
      </c>
      <c r="H514" s="50" t="str">
        <f ca="1">VLOOKUP(B514,'ALL DATABASES'!$A$1:$T$2252,20,FALSE)</f>
        <v>SPRINGER</v>
      </c>
    </row>
    <row r="515" spans="1:8" ht="12.75" x14ac:dyDescent="0.2">
      <c r="A515">
        <v>514</v>
      </c>
      <c r="B515" s="15" t="str">
        <f ca="1">IFERROR(__xludf.DUMMYFUNCTION("""COMPUTED_VALUE"""),"Computers Do Not Make Art, People Do")</f>
        <v>Computers Do Not Make Art, People Do</v>
      </c>
      <c r="C515" s="15" t="str">
        <f ca="1">VLOOKUP(B515,'ALL DATABASES'!$A$1:$T$2252,2,FALSE)</f>
        <v>Hertzmann A</v>
      </c>
      <c r="D515" s="15">
        <f ca="1">VLOOKUP(B515,'ALL DATABASES'!$A$1:$T$2252,5,FALSE)</f>
        <v>2020</v>
      </c>
      <c r="E515" s="55">
        <f ca="1">VLOOKUP(B515,'ALL DATABASES'!$A$1:$T$2252,10,FALSE)</f>
        <v>43922</v>
      </c>
      <c r="F515" s="54" t="str">
        <f ca="1">VLOOKUP(B515,'ALL DATABASES'!$A$1:$T$2252,14,FALSE)</f>
        <v>https://doi.org/10.1145/3347092;http://dx.doi.org/10.1145/3347092</v>
      </c>
      <c r="G515" s="15" t="str">
        <f ca="1">VLOOKUP(B515,'ALL DATABASES'!$A$1:$T$2252,3,FALSE)</f>
        <v>Journal Article</v>
      </c>
      <c r="H515" s="50" t="str">
        <f ca="1">VLOOKUP(B515,'ALL DATABASES'!$A$1:$T$2252,20,FALSE)</f>
        <v>ACM</v>
      </c>
    </row>
    <row r="516" spans="1:8" ht="12.75" x14ac:dyDescent="0.2">
      <c r="A516">
        <v>515</v>
      </c>
      <c r="B516" s="15" t="str">
        <f ca="1">IFERROR(__xludf.DUMMYFUNCTION("""COMPUTED_VALUE"""),"Concept drift-aware temporal cloud service APIs recommendation for building composite cloud systems")</f>
        <v>Concept drift-aware temporal cloud service APIs recommendation for building composite cloud systems</v>
      </c>
      <c r="C516" s="15" t="str">
        <f ca="1">VLOOKUP(B516,'ALL DATABASES'!$A$1:$T$2252,2,FALSE)</f>
        <v>Wang L,Zhang Y,Zhu X</v>
      </c>
      <c r="D516" s="15">
        <f ca="1">VLOOKUP(B516,'ALL DATABASES'!$A$1:$T$2252,5,FALSE)</f>
        <v>2021</v>
      </c>
      <c r="E516" s="15">
        <f ca="1">VLOOKUP(B516,'ALL DATABASES'!$A$1:$T$2252,10,FALSE)</f>
        <v>2021</v>
      </c>
      <c r="F516" s="54" t="str">
        <f ca="1">VLOOKUP(B516,'ALL DATABASES'!$A$1:$T$2252,14,FALSE)</f>
        <v>https://www.sciencedirect.com/science/article/pii/S0164121220302922;http://dx.doi.org/10.1016/j.jss.2020.110902</v>
      </c>
      <c r="G516" s="15" t="str">
        <f ca="1">VLOOKUP(B516,'ALL DATABASES'!$A$1:$T$2252,3,FALSE)</f>
        <v>Journal Article</v>
      </c>
      <c r="H516" s="50" t="str">
        <f ca="1">VLOOKUP(B516,'ALL DATABASES'!$A$1:$T$2252,20,FALSE)</f>
        <v>SCIENCEDIRECT</v>
      </c>
    </row>
    <row r="517" spans="1:8" ht="12.75" x14ac:dyDescent="0.2">
      <c r="A517">
        <v>516</v>
      </c>
      <c r="B517" s="15" t="str">
        <f ca="1">IFERROR(__xludf.DUMMYFUNCTION("""COMPUTED_VALUE"""),"Conceptual Framework for Next-Generation Software Ecosystems")</f>
        <v>Conceptual Framework for Next-Generation Software Ecosystems</v>
      </c>
      <c r="C517" s="15" t="str">
        <f ca="1">VLOOKUP(B517,'ALL DATABASES'!$A$1:$T$2252,2,FALSE)</f>
        <v>Matsumoto K</v>
      </c>
      <c r="D517" s="15">
        <f ca="1">VLOOKUP(B517,'ALL DATABASES'!$A$1:$T$2252,5,FALSE)</f>
        <v>2021</v>
      </c>
      <c r="E517" s="53">
        <f ca="1">VLOOKUP(B517,'ALL DATABASES'!$A$1:$T$2252,10,FALSE)</f>
        <v>44501</v>
      </c>
      <c r="F517" s="54" t="str">
        <f ca="1">VLOOKUP(B517,'ALL DATABASES'!$A$1:$T$2252,14,FALSE)</f>
        <v>http://dx.doi.org/10.1109/SNPD51163.2021.9705010</v>
      </c>
      <c r="G517" s="15" t="str">
        <f ca="1">VLOOKUP(B517,'ALL DATABASES'!$A$1:$T$2252,3,FALSE)</f>
        <v>Conference Paper</v>
      </c>
      <c r="H517" s="50" t="str">
        <f ca="1">VLOOKUP(B517,'ALL DATABASES'!$A$1:$T$2252,20,FALSE)</f>
        <v>IEEE</v>
      </c>
    </row>
    <row r="518" spans="1:8" ht="12.75" x14ac:dyDescent="0.2">
      <c r="A518">
        <v>517</v>
      </c>
      <c r="B518" s="15" t="str">
        <f ca="1">IFERROR(__xludf.DUMMYFUNCTION("""COMPUTED_VALUE"""),"Conclusion stability for natural language based mining of design discussions")</f>
        <v>Conclusion stability for natural language based mining of design discussions</v>
      </c>
      <c r="C518" s="15" t="str">
        <f ca="1">VLOOKUP(B518,'ALL DATABASES'!$A$1:$T$2252,2,FALSE)</f>
        <v>Mahadi A,Ernst NA,Tongay K</v>
      </c>
      <c r="D518" s="15">
        <f ca="1">VLOOKUP(B518,'ALL DATABASES'!$A$1:$T$2252,5,FALSE)</f>
        <v>2022</v>
      </c>
      <c r="E518" s="15">
        <f ca="1">VLOOKUP(B518,'ALL DATABASES'!$A$1:$T$2252,10,FALSE)</f>
        <v>2022</v>
      </c>
      <c r="F518" s="54" t="str">
        <f ca="1">VLOOKUP(B518,'ALL DATABASES'!$A$1:$T$2252,14,FALSE)</f>
        <v>https://www.scopus.com/inward/record.uri?eid=2-s2.0-85117726027&amp;doi=10.1007%2fs10664-021-10009-1&amp;partnerID=40&amp;md5=6fb1cafc8822987601a714d4a6249c9e;http://dx.doi.org/10.1007/s10664-021-10009-1</v>
      </c>
      <c r="G518" s="15" t="str">
        <f ca="1">VLOOKUP(B518,'ALL DATABASES'!$A$1:$T$2252,3,FALSE)</f>
        <v>Journal Article</v>
      </c>
      <c r="H518" s="50" t="str">
        <f ca="1">VLOOKUP(B518,'ALL DATABASES'!$A$1:$T$2252,20,FALSE)</f>
        <v>SCOPUS</v>
      </c>
    </row>
    <row r="519" spans="1:8" ht="12.75" x14ac:dyDescent="0.2">
      <c r="A519">
        <v>518</v>
      </c>
      <c r="B519" s="15" t="str">
        <f ca="1">IFERROR(__xludf.DUMMYFUNCTION("""COMPUTED_VALUE"""),"Condensing Architectural Knowledge from Unstructured Textual Media in Agile GSD Teams")</f>
        <v>Condensing Architectural Knowledge from Unstructured Textual Media in Agile GSD Teams</v>
      </c>
      <c r="C519" s="15" t="str">
        <f ca="1">VLOOKUP(B519,'ALL DATABASES'!$A$1:$T$2252,2,FALSE)</f>
        <v>Borrego G</v>
      </c>
      <c r="D519" s="15">
        <f ca="1">VLOOKUP(B519,'ALL DATABASES'!$A$1:$T$2252,5,FALSE)</f>
        <v>2016</v>
      </c>
      <c r="E519" s="55">
        <f ca="1">VLOOKUP(B519,'ALL DATABASES'!$A$1:$T$2252,10,FALSE)</f>
        <v>42583</v>
      </c>
      <c r="F519" s="54" t="str">
        <f ca="1">VLOOKUP(B519,'ALL DATABASES'!$A$1:$T$2252,14,FALSE)</f>
        <v>http://dx.doi.org/10.1109/ICGSEW.2016.16</v>
      </c>
      <c r="G519" s="15" t="str">
        <f ca="1">VLOOKUP(B519,'ALL DATABASES'!$A$1:$T$2252,3,FALSE)</f>
        <v>Conference Paper</v>
      </c>
      <c r="H519" s="50" t="str">
        <f ca="1">VLOOKUP(B519,'ALL DATABASES'!$A$1:$T$2252,20,FALSE)</f>
        <v>IEEE</v>
      </c>
    </row>
    <row r="520" spans="1:8" ht="12.75" x14ac:dyDescent="0.2">
      <c r="A520">
        <v>519</v>
      </c>
      <c r="B520" s="15" t="str">
        <f ca="1">IFERROR(__xludf.DUMMYFUNCTION("""COMPUTED_VALUE"""),"Conference Digest")</f>
        <v>Conference Digest</v>
      </c>
      <c r="C520" s="15">
        <f ca="1">VLOOKUP(B520,'ALL DATABASES'!$A$1:$T$2252,2,FALSE)</f>
        <v>0</v>
      </c>
      <c r="D520" s="15">
        <f ca="1">VLOOKUP(B520,'ALL DATABASES'!$A$1:$T$2252,5,FALSE)</f>
        <v>2020</v>
      </c>
      <c r="E520" s="55">
        <f ca="1">VLOOKUP(B520,'ALL DATABASES'!$A$1:$T$2252,10,FALSE)</f>
        <v>43891</v>
      </c>
      <c r="F520" s="54" t="str">
        <f ca="1">VLOOKUP(B520,'ALL DATABASES'!$A$1:$T$2252,14,FALSE)</f>
        <v>http://dx.doi.org/10.1109/AERO47225.2020.9172613</v>
      </c>
      <c r="G520" s="15" t="str">
        <f ca="1">VLOOKUP(B520,'ALL DATABASES'!$A$1:$T$2252,3,FALSE)</f>
        <v>Conference Paper</v>
      </c>
      <c r="H520" s="50" t="str">
        <f ca="1">VLOOKUP(B520,'ALL DATABASES'!$A$1:$T$2252,20,FALSE)</f>
        <v>IEEE</v>
      </c>
    </row>
    <row r="521" spans="1:8" ht="12.75" x14ac:dyDescent="0.2">
      <c r="A521">
        <v>520</v>
      </c>
      <c r="B521" s="15" t="str">
        <f ca="1">IFERROR(__xludf.DUMMYFUNCTION("""COMPUTED_VALUE"""),"Confidence Arguments for Evidence of Performance in Machine Learning for Highly Automated Driving Functions")</f>
        <v>Confidence Arguments for Evidence of Performance in Machine Learning for Highly Automated Driving Functions</v>
      </c>
      <c r="C521" s="15" t="str">
        <f ca="1">VLOOKUP(B521,'ALL DATABASES'!$A$1:$T$2252,2,FALSE)</f>
        <v>Burton S,Gauerhof L,Sethy BB,Habli I,Hawkins R</v>
      </c>
      <c r="D521" s="15">
        <f ca="1">VLOOKUP(B521,'ALL DATABASES'!$A$1:$T$2252,5,FALSE)</f>
        <v>2019</v>
      </c>
      <c r="E521" s="15">
        <f ca="1">VLOOKUP(B521,'ALL DATABASES'!$A$1:$T$2252,10,FALSE)</f>
        <v>2019</v>
      </c>
      <c r="F521" s="54" t="str">
        <f ca="1">VLOOKUP(B521,'ALL DATABASES'!$A$1:$T$2252,14,FALSE)</f>
        <v>https://www.scopus.com/inward/record.uri?eid=2-s2.0-85072898064&amp;doi=10.1007%2f978-3-030-26250-1_30&amp;partnerID=40&amp;md5=ff9e046c42e97d445275b34d7f963329;http://dx.doi.org/10.1007/978-3-030-26250-1_30</v>
      </c>
      <c r="G521" s="15" t="str">
        <f ca="1">VLOOKUP(B521,'ALL DATABASES'!$A$1:$T$2252,3,FALSE)</f>
        <v>Journal Article</v>
      </c>
      <c r="H521" s="50" t="str">
        <f ca="1">VLOOKUP(B521,'ALL DATABASES'!$A$1:$T$2252,20,FALSE)</f>
        <v>SCOPUS</v>
      </c>
    </row>
    <row r="522" spans="1:8" ht="12.75" x14ac:dyDescent="0.2">
      <c r="A522">
        <v>521</v>
      </c>
      <c r="B522" s="15" t="str">
        <f ca="1">IFERROR(__xludf.DUMMYFUNCTION("""COMPUTED_VALUE"""),"Configuration Smells in Continuous Delivery Pipelines: A Linter and a Six-Month Study on GitLab")</f>
        <v>Configuration Smells in Continuous Delivery Pipelines: A Linter and a Six-Month Study on GitLab</v>
      </c>
      <c r="C522" s="15" t="str">
        <f ca="1">VLOOKUP(B522,'ALL DATABASES'!$A$1:$T$2252,2,FALSE)</f>
        <v>Vassallo C,Proksch S,Jancso A,Gall HC,Di Penta M</v>
      </c>
      <c r="D522" s="15">
        <f ca="1">VLOOKUP(B522,'ALL DATABASES'!$A$1:$T$2252,5,FALSE)</f>
        <v>2020</v>
      </c>
      <c r="E522" s="15">
        <f ca="1">VLOOKUP(B522,'ALL DATABASES'!$A$1:$T$2252,10,FALSE)</f>
        <v>2020</v>
      </c>
      <c r="F522" s="54" t="str">
        <f ca="1">VLOOKUP(B522,'ALL DATABASES'!$A$1:$T$2252,14,FALSE)</f>
        <v>https://doi.org/10.1145/3368089.3409709;http://dx.doi.org/10.1145/3368089.3409709</v>
      </c>
      <c r="G522" s="15" t="str">
        <f ca="1">VLOOKUP(B522,'ALL DATABASES'!$A$1:$T$2252,3,FALSE)</f>
        <v>Conference Paper</v>
      </c>
      <c r="H522" s="50" t="str">
        <f ca="1">VLOOKUP(B522,'ALL DATABASES'!$A$1:$T$2252,20,FALSE)</f>
        <v>ACM</v>
      </c>
    </row>
    <row r="523" spans="1:8" ht="12.75" x14ac:dyDescent="0.2">
      <c r="A523">
        <v>522</v>
      </c>
      <c r="B523" s="15" t="str">
        <f ca="1">IFERROR(__xludf.DUMMYFUNCTION("""COMPUTED_VALUE"""),"Constructing a Shared Infrastructure for Software Architecture Analysis and Maintenance")</f>
        <v>Constructing a Shared Infrastructure for Software Architecture Analysis and Maintenance</v>
      </c>
      <c r="C523" s="15" t="str">
        <f ca="1">VLOOKUP(B523,'ALL DATABASES'!$A$1:$T$2252,2,FALSE)</f>
        <v>Garcia J,Mirakhorli M,Xiao L,Zhao Y,Mujhid I,Pham K,Okutan A,Malek S,Kazman R,Cai Y,Medvidovic N</v>
      </c>
      <c r="D523" s="15">
        <f ca="1">VLOOKUP(B523,'ALL DATABASES'!$A$1:$T$2252,5,FALSE)</f>
        <v>2021</v>
      </c>
      <c r="E523" s="15">
        <f ca="1">VLOOKUP(B523,'ALL DATABASES'!$A$1:$T$2252,10,FALSE)</f>
        <v>2021</v>
      </c>
      <c r="F523" s="54" t="str">
        <f ca="1">VLOOKUP(B523,'ALL DATABASES'!$A$1:$T$2252,14,FALSE)</f>
        <v>https://www.scopus.com/inward/record.uri?eid=2-s2.0-85107005908&amp;doi=10.1109%2fICSA51549.2021.00022&amp;partnerID=40&amp;md5=10c7ac8a6b8200093065cc3af2c060e8;http://dx.doi.org/10.1109/ICSA51549.2021.00022</v>
      </c>
      <c r="G523" s="15" t="str">
        <f ca="1">VLOOKUP(B523,'ALL DATABASES'!$A$1:$T$2252,3,FALSE)</f>
        <v>Conference Paper</v>
      </c>
      <c r="H523" s="50" t="str">
        <f ca="1">VLOOKUP(B523,'ALL DATABASES'!$A$1:$T$2252,20,FALSE)</f>
        <v>SCOPUS</v>
      </c>
    </row>
    <row r="524" spans="1:8" ht="12.75" x14ac:dyDescent="0.2">
      <c r="A524">
        <v>523</v>
      </c>
      <c r="B524" s="15" t="str">
        <f ca="1">IFERROR(__xludf.DUMMYFUNCTION("""COMPUTED_VALUE"""),"Construction of a quality model for machine learning systems")</f>
        <v>Construction of a quality model for machine learning systems</v>
      </c>
      <c r="C524" s="15" t="str">
        <f ca="1">VLOOKUP(B524,'ALL DATABASES'!$A$1:$T$2252,2,FALSE)</f>
        <v>Siebert J,Joeckel L,Heidrich J,Trendowicz A,Nakamichi K,Ohashi K,Namba I,Yamamoto R,Aoyama M</v>
      </c>
      <c r="D524" s="15">
        <f ca="1">VLOOKUP(B524,'ALL DATABASES'!$A$1:$T$2252,5,FALSE)</f>
        <v>2022</v>
      </c>
      <c r="E524" s="15">
        <f ca="1">VLOOKUP(B524,'ALL DATABASES'!$A$1:$T$2252,10,FALSE)</f>
        <v>2022</v>
      </c>
      <c r="F524" s="54" t="str">
        <f ca="1">VLOOKUP(B524,'ALL DATABASES'!$A$1:$T$2252,14,FALSE)</f>
        <v>https://www.scopus.com/inward/record.uri?eid=2-s2.0-85133116259&amp;doi=10.1007%2fs11219-021-09557-y&amp;partnerID=40&amp;md5=e24fca2c7254408c8ac21156402db9a3;http://dx.doi.org/10.1007/s11219-021-09557-y</v>
      </c>
      <c r="G524" s="15" t="str">
        <f ca="1">VLOOKUP(B524,'ALL DATABASES'!$A$1:$T$2252,3,FALSE)</f>
        <v>Journal Article</v>
      </c>
      <c r="H524" s="50" t="str">
        <f ca="1">VLOOKUP(B524,'ALL DATABASES'!$A$1:$T$2252,20,FALSE)</f>
        <v>SCOPUS</v>
      </c>
    </row>
    <row r="525" spans="1:8" ht="12.75" x14ac:dyDescent="0.2">
      <c r="A525">
        <v>524</v>
      </c>
      <c r="B525" s="15" t="str">
        <f ca="1">IFERROR(__xludf.DUMMYFUNCTION("""COMPUTED_VALUE"""),"Containerization and Virtualization")</f>
        <v>Containerization and Virtualization</v>
      </c>
      <c r="C525" s="15" t="str">
        <f ca="1">VLOOKUP(B525,'ALL DATABASES'!$A$1:$T$2252,2,FALSE)</f>
        <v>Shivakumar R Goniwada</v>
      </c>
      <c r="D525" s="15">
        <f ca="1">VLOOKUP(B525,'ALL DATABASES'!$A$1:$T$2252,5,FALSE)</f>
        <v>2022</v>
      </c>
      <c r="E525" s="15">
        <f ca="1">VLOOKUP(B525,'ALL DATABASES'!$A$1:$T$2252,10,FALSE)</f>
        <v>0</v>
      </c>
      <c r="F525" s="54" t="str">
        <f ca="1">VLOOKUP(B525,'ALL DATABASES'!$A$1:$T$2252,14,FALSE)</f>
        <v>http://link.springer.com/chapter/10.1007/978-1-4842-7226-8_16</v>
      </c>
      <c r="G525" s="15" t="str">
        <f ca="1">VLOOKUP(B525,'ALL DATABASES'!$A$1:$T$2252,3,FALSE)</f>
        <v>Chapter</v>
      </c>
      <c r="H525" s="50" t="str">
        <f ca="1">VLOOKUP(B525,'ALL DATABASES'!$A$1:$T$2252,20,FALSE)</f>
        <v>SPRINGER</v>
      </c>
    </row>
    <row r="526" spans="1:8" ht="12.75" x14ac:dyDescent="0.2">
      <c r="A526">
        <v>525</v>
      </c>
      <c r="B526" s="15" t="str">
        <f ca="1">IFERROR(__xludf.DUMMYFUNCTION("""COMPUTED_VALUE"""),"Contents")</f>
        <v>Contents</v>
      </c>
      <c r="C526" s="15">
        <f ca="1">VLOOKUP(B526,'ALL DATABASES'!$A$1:$T$2252,2,FALSE)</f>
        <v>0</v>
      </c>
      <c r="D526" s="15">
        <f ca="1">VLOOKUP(B526,'ALL DATABASES'!$A$1:$T$2252,5,FALSE)</f>
        <v>2020</v>
      </c>
      <c r="E526" s="55">
        <f ca="1">VLOOKUP(B526,'ALL DATABASES'!$A$1:$T$2252,10,FALSE)</f>
        <v>43862</v>
      </c>
      <c r="F526" s="54" t="str">
        <f ca="1">VLOOKUP(B526,'ALL DATABASES'!$A$1:$T$2252,14,FALSE)</f>
        <v>http://dx.doi.org/10.1109/SANER48275.2020.9054810</v>
      </c>
      <c r="G526" s="15" t="str">
        <f ca="1">VLOOKUP(B526,'ALL DATABASES'!$A$1:$T$2252,3,FALSE)</f>
        <v>Conference Paper</v>
      </c>
      <c r="H526" s="50" t="str">
        <f ca="1">VLOOKUP(B526,'ALL DATABASES'!$A$1:$T$2252,20,FALSE)</f>
        <v>IEEE</v>
      </c>
    </row>
    <row r="527" spans="1:8" ht="12.75" x14ac:dyDescent="0.2">
      <c r="A527">
        <v>526</v>
      </c>
      <c r="B527" s="15" t="str">
        <f ca="1">IFERROR(__xludf.DUMMYFUNCTION("""COMPUTED_VALUE"""),"Contents of Volumes in this Series")</f>
        <v>Contents of Volumes in this Series</v>
      </c>
      <c r="C527" s="15">
        <f ca="1">VLOOKUP(B527,'ALL DATABASES'!$A$1:$T$2252,2,FALSE)</f>
        <v>0</v>
      </c>
      <c r="D527" s="15">
        <f ca="1">VLOOKUP(B527,'ALL DATABASES'!$A$1:$T$2252,5,FALSE)</f>
        <v>2014</v>
      </c>
      <c r="E527" s="15">
        <f ca="1">VLOOKUP(B527,'ALL DATABASES'!$A$1:$T$2252,10,FALSE)</f>
        <v>2014</v>
      </c>
      <c r="F527" s="54" t="str">
        <f ca="1">VLOOKUP(B527,'ALL DATABASES'!$A$1:$T$2252,14,FALSE)</f>
        <v>https://www.sciencedirect.com/science/article/pii/B9780128001622000142;http://dx.doi.org/10.1016/B978-0-12-800162-2.00014-2</v>
      </c>
      <c r="G527" s="15" t="str">
        <f ca="1">VLOOKUP(B527,'ALL DATABASES'!$A$1:$T$2252,3,FALSE)</f>
        <v>Book Chapter</v>
      </c>
      <c r="H527" s="50" t="str">
        <f ca="1">VLOOKUP(B527,'ALL DATABASES'!$A$1:$T$2252,20,FALSE)</f>
        <v>SCIENCEDIRECT</v>
      </c>
    </row>
    <row r="528" spans="1:8" ht="12.75" x14ac:dyDescent="0.2">
      <c r="A528">
        <v>527</v>
      </c>
      <c r="B528" s="15" t="str">
        <f ca="1">IFERROR(__xludf.DUMMYFUNCTION("""COMPUTED_VALUE"""),"Contents of Volumes in This Series")</f>
        <v>Contents of Volumes in This Series</v>
      </c>
      <c r="C528" s="15">
        <f ca="1">VLOOKUP(B528,'ALL DATABASES'!$A$1:$T$2252,2,FALSE)</f>
        <v>0</v>
      </c>
      <c r="D528" s="15">
        <f ca="1">VLOOKUP(B528,'ALL DATABASES'!$A$1:$T$2252,5,FALSE)</f>
        <v>2014</v>
      </c>
      <c r="E528" s="15">
        <f ca="1">VLOOKUP(B528,'ALL DATABASES'!$A$1:$T$2252,10,FALSE)</f>
        <v>2014</v>
      </c>
      <c r="F528" s="54" t="str">
        <f ca="1">VLOOKUP(B528,'ALL DATABASES'!$A$1:$T$2252,14,FALSE)</f>
        <v>https://www.sciencedirect.com/science/article/pii/B9780128001622000142;http://dx.doi.org/10.1016/B978-0-12-800162-2.00014-2</v>
      </c>
      <c r="G528" s="15" t="str">
        <f ca="1">VLOOKUP(B528,'ALL DATABASES'!$A$1:$T$2252,3,FALSE)</f>
        <v>Book Chapter</v>
      </c>
      <c r="H528" s="50" t="str">
        <f ca="1">VLOOKUP(B528,'ALL DATABASES'!$A$1:$T$2252,20,FALSE)</f>
        <v>SCIENCEDIRECT</v>
      </c>
    </row>
    <row r="529" spans="1:8" ht="12.75" x14ac:dyDescent="0.2">
      <c r="A529">
        <v>528</v>
      </c>
      <c r="B529" s="15" t="str">
        <f ca="1">IFERROR(__xludf.DUMMYFUNCTION("""COMPUTED_VALUE"""),"Contents of volumes in this series")</f>
        <v>Contents of volumes in this series</v>
      </c>
      <c r="C529" s="15">
        <f ca="1">VLOOKUP(B529,'ALL DATABASES'!$A$1:$T$2252,2,FALSE)</f>
        <v>0</v>
      </c>
      <c r="D529" s="15">
        <f ca="1">VLOOKUP(B529,'ALL DATABASES'!$A$1:$T$2252,5,FALSE)</f>
        <v>2014</v>
      </c>
      <c r="E529" s="15">
        <f ca="1">VLOOKUP(B529,'ALL DATABASES'!$A$1:$T$2252,10,FALSE)</f>
        <v>2014</v>
      </c>
      <c r="F529" s="54" t="str">
        <f ca="1">VLOOKUP(B529,'ALL DATABASES'!$A$1:$T$2252,14,FALSE)</f>
        <v>https://www.sciencedirect.com/science/article/pii/B9780128001622000142;http://dx.doi.org/10.1016/B978-0-12-800162-2.00014-2</v>
      </c>
      <c r="G529" s="15" t="str">
        <f ca="1">VLOOKUP(B529,'ALL DATABASES'!$A$1:$T$2252,3,FALSE)</f>
        <v>Book Chapter</v>
      </c>
      <c r="H529" s="50" t="str">
        <f ca="1">VLOOKUP(B529,'ALL DATABASES'!$A$1:$T$2252,20,FALSE)</f>
        <v>SCIENCEDIRECT</v>
      </c>
    </row>
    <row r="530" spans="1:8" ht="12.75" x14ac:dyDescent="0.2">
      <c r="A530">
        <v>529</v>
      </c>
      <c r="B530" s="15" t="str">
        <f ca="1">IFERROR(__xludf.DUMMYFUNCTION("""COMPUTED_VALUE"""),"Context checklist for industrial software engineering research and practice")</f>
        <v>Context checklist for industrial software engineering research and practice</v>
      </c>
      <c r="C530" s="15" t="str">
        <f ca="1">VLOOKUP(B530,'ALL DATABASES'!$A$1:$T$2252,2,FALSE)</f>
        <v>Petersen K,Carlson J,Papatheocharous E,Wnuk K</v>
      </c>
      <c r="D530" s="15">
        <f ca="1">VLOOKUP(B530,'ALL DATABASES'!$A$1:$T$2252,5,FALSE)</f>
        <v>2021</v>
      </c>
      <c r="E530" s="15">
        <f ca="1">VLOOKUP(B530,'ALL DATABASES'!$A$1:$T$2252,10,FALSE)</f>
        <v>2021</v>
      </c>
      <c r="F530" s="54" t="str">
        <f ca="1">VLOOKUP(B530,'ALL DATABASES'!$A$1:$T$2252,14,FALSE)</f>
        <v>https://www.sciencedirect.com/science/article/pii/S0920548921000362;http://dx.doi.org/10.1016/j.csi.2021.103541</v>
      </c>
      <c r="G530" s="15" t="str">
        <f ca="1">VLOOKUP(B530,'ALL DATABASES'!$A$1:$T$2252,3,FALSE)</f>
        <v>Journal Article</v>
      </c>
      <c r="H530" s="50" t="str">
        <f ca="1">VLOOKUP(B530,'ALL DATABASES'!$A$1:$T$2252,20,FALSE)</f>
        <v>SCIENCEDIRECT</v>
      </c>
    </row>
    <row r="531" spans="1:8" ht="12.75" x14ac:dyDescent="0.2">
      <c r="A531">
        <v>530</v>
      </c>
      <c r="B531" s="15" t="str">
        <f ca="1">IFERROR(__xludf.DUMMYFUNCTION("""COMPUTED_VALUE"""),"Context-and Fairness-Aware In-Process Crowdworker Recommendation")</f>
        <v>Context-and Fairness-Aware In-Process Crowdworker Recommendation</v>
      </c>
      <c r="C531" s="15" t="str">
        <f ca="1">VLOOKUP(B531,'ALL DATABASES'!$A$1:$T$2252,2,FALSE)</f>
        <v>Wang J,Yang Y,Wang S,Hu J,Wang Q</v>
      </c>
      <c r="D531" s="15">
        <f ca="1">VLOOKUP(B531,'ALL DATABASES'!$A$1:$T$2252,5,FALSE)</f>
        <v>2022</v>
      </c>
      <c r="E531" s="15">
        <f ca="1">VLOOKUP(B531,'ALL DATABASES'!$A$1:$T$2252,10,FALSE)</f>
        <v>2022</v>
      </c>
      <c r="F531" s="54" t="str">
        <f ca="1">VLOOKUP(B531,'ALL DATABASES'!$A$1:$T$2252,14,FALSE)</f>
        <v>https://www.scopus.com/inward/record.uri?eid=2-s2.0-85130682205&amp;doi=10.1145%2f3487571&amp;partnerID=40&amp;md5=24c28b573faab1626d25d89feb28de3b;http://dx.doi.org/10.1145/3487571</v>
      </c>
      <c r="G531" s="15" t="str">
        <f ca="1">VLOOKUP(B531,'ALL DATABASES'!$A$1:$T$2252,3,FALSE)</f>
        <v>Journal Article</v>
      </c>
      <c r="H531" s="50" t="str">
        <f ca="1">VLOOKUP(B531,'ALL DATABASES'!$A$1:$T$2252,20,FALSE)</f>
        <v>SCOPUS</v>
      </c>
    </row>
    <row r="532" spans="1:8" ht="12.75" x14ac:dyDescent="0.2">
      <c r="A532">
        <v>531</v>
      </c>
      <c r="B532" s="15" t="str">
        <f ca="1">IFERROR(__xludf.DUMMYFUNCTION("""COMPUTED_VALUE"""),"Context-Aware Personalized Crowdtesting Task Recommendation")</f>
        <v>Context-Aware Personalized Crowdtesting Task Recommendation</v>
      </c>
      <c r="C532" s="15" t="str">
        <f ca="1">VLOOKUP(B532,'ALL DATABASES'!$A$1:$T$2252,2,FALSE)</f>
        <v>Wang J,Yang Y,Wang S,Chen C,Wang D,Wang Q</v>
      </c>
      <c r="D532" s="15">
        <f ca="1">VLOOKUP(B532,'ALL DATABASES'!$A$1:$T$2252,5,FALSE)</f>
        <v>2022</v>
      </c>
      <c r="E532" s="15">
        <f ca="1">VLOOKUP(B532,'ALL DATABASES'!$A$1:$T$2252,10,FALSE)</f>
        <v>2022</v>
      </c>
      <c r="F532" s="54" t="str">
        <f ca="1">VLOOKUP(B532,'ALL DATABASES'!$A$1:$T$2252,14,FALSE)</f>
        <v>https://www.scopus.com/inward/record.uri?eid=2-s2.0-85106729716&amp;doi=10.1109%2fTSE.2021.3081171&amp;partnerID=40&amp;md5=67f37fe295058a12ed25afe41c5f8b51;http://dx.doi.org/10.1109/TSE.2021.3081171</v>
      </c>
      <c r="G532" s="15" t="str">
        <f ca="1">VLOOKUP(B532,'ALL DATABASES'!$A$1:$T$2252,3,FALSE)</f>
        <v>Journal Article</v>
      </c>
      <c r="H532" s="50" t="str">
        <f ca="1">VLOOKUP(B532,'ALL DATABASES'!$A$1:$T$2252,20,FALSE)</f>
        <v>SCOPUS</v>
      </c>
    </row>
    <row r="533" spans="1:8" ht="12.75" x14ac:dyDescent="0.2">
      <c r="A533">
        <v>532</v>
      </c>
      <c r="B533" s="15" t="str">
        <f ca="1">IFERROR(__xludf.DUMMYFUNCTION("""COMPUTED_VALUE"""),"Context-based approach to prioritize code smells for prefactoring")</f>
        <v>Context-based approach to prioritize code smells for prefactoring</v>
      </c>
      <c r="C533" s="15" t="str">
        <f ca="1">VLOOKUP(B533,'ALL DATABASES'!$A$1:$T$2252,2,FALSE)</f>
        <v>Sae-Lim N,Hayashi S,Saeki M</v>
      </c>
      <c r="D533" s="15">
        <f ca="1">VLOOKUP(B533,'ALL DATABASES'!$A$1:$T$2252,5,FALSE)</f>
        <v>2018</v>
      </c>
      <c r="E533" s="15">
        <f ca="1">VLOOKUP(B533,'ALL DATABASES'!$A$1:$T$2252,10,FALSE)</f>
        <v>2018</v>
      </c>
      <c r="F533" s="54" t="str">
        <f ca="1">VLOOKUP(B533,'ALL DATABASES'!$A$1:$T$2252,14,FALSE)</f>
        <v>https://www.scopus.com/inward/record.uri?eid=2-s2.0-85040565901&amp;doi=10.1002%2fsmr.1886&amp;partnerID=40&amp;md5=37cc6894c928a530d03d2ff259537e36;http://dx.doi.org/10.1002/smr.1886</v>
      </c>
      <c r="G533" s="15" t="str">
        <f ca="1">VLOOKUP(B533,'ALL DATABASES'!$A$1:$T$2252,3,FALSE)</f>
        <v>Journal Article</v>
      </c>
      <c r="H533" s="50" t="str">
        <f ca="1">VLOOKUP(B533,'ALL DATABASES'!$A$1:$T$2252,20,FALSE)</f>
        <v>SCOPUS</v>
      </c>
    </row>
    <row r="534" spans="1:8" ht="12.75" x14ac:dyDescent="0.2">
      <c r="A534">
        <v>533</v>
      </c>
      <c r="B534" s="15" t="str">
        <f ca="1">IFERROR(__xludf.DUMMYFUNCTION("""COMPUTED_VALUE"""),"Contextual bandits with continuous actions: Smoothing, zooming, and adapting")</f>
        <v>Contextual bandits with continuous actions: Smoothing, zooming, and adapting</v>
      </c>
      <c r="C534" s="15" t="str">
        <f ca="1">VLOOKUP(B534,'ALL DATABASES'!$A$1:$T$2252,2,FALSE)</f>
        <v>Krishnamurthy A,Langford J,Slivkins A,Zhang C</v>
      </c>
      <c r="D534" s="15">
        <f ca="1">VLOOKUP(B534,'ALL DATABASES'!$A$1:$T$2252,5,FALSE)</f>
        <v>2020</v>
      </c>
      <c r="E534" s="15">
        <f ca="1">VLOOKUP(B534,'ALL DATABASES'!$A$1:$T$2252,10,FALSE)</f>
        <v>2020</v>
      </c>
      <c r="F534" s="54" t="str">
        <f ca="1">VLOOKUP(B534,'ALL DATABASES'!$A$1:$T$2252,14,FALSE)</f>
        <v>https://www.scopus.com/inward/record.uri?eid=2-s2.0-85094889936&amp;partnerID=40&amp;md5=ed9c3e56fdaf670df68f4f687d9f51fb</v>
      </c>
      <c r="G534" s="15" t="str">
        <f ca="1">VLOOKUP(B534,'ALL DATABASES'!$A$1:$T$2252,3,FALSE)</f>
        <v>Journal Article</v>
      </c>
      <c r="H534" s="50" t="str">
        <f ca="1">VLOOKUP(B534,'ALL DATABASES'!$A$1:$T$2252,20,FALSE)</f>
        <v>SCOPUS</v>
      </c>
    </row>
    <row r="535" spans="1:8" ht="12.75" x14ac:dyDescent="0.2">
      <c r="A535">
        <v>534</v>
      </c>
      <c r="B535" s="15" t="str">
        <f ca="1">IFERROR(__xludf.DUMMYFUNCTION("""COMPUTED_VALUE"""),"Continuous Argument Engineering: Tackling Uncertainty in Machine Learning Based Systems")</f>
        <v>Continuous Argument Engineering: Tackling Uncertainty in Machine Learning Based Systems</v>
      </c>
      <c r="C535" s="15" t="str">
        <f ca="1">VLOOKUP(B535,'ALL DATABASES'!$A$1:$T$2252,2,FALSE)</f>
        <v>Fuyuki IshikawaYutaka Matsuno</v>
      </c>
      <c r="D535" s="15">
        <f ca="1">VLOOKUP(B535,'ALL DATABASES'!$A$1:$T$2252,5,FALSE)</f>
        <v>2018</v>
      </c>
      <c r="E535" s="15">
        <f ca="1">VLOOKUP(B535,'ALL DATABASES'!$A$1:$T$2252,10,FALSE)</f>
        <v>0</v>
      </c>
      <c r="F535" s="54" t="str">
        <f ca="1">VLOOKUP(B535,'ALL DATABASES'!$A$1:$T$2252,14,FALSE)</f>
        <v>http://link.springer.com/chapter/10.1007/978-3-319-99229-7_2</v>
      </c>
      <c r="G535" s="15" t="str">
        <f ca="1">VLOOKUP(B535,'ALL DATABASES'!$A$1:$T$2252,3,FALSE)</f>
        <v>Chapter</v>
      </c>
      <c r="H535" s="50" t="str">
        <f ca="1">VLOOKUP(B535,'ALL DATABASES'!$A$1:$T$2252,20,FALSE)</f>
        <v>SPRINGER</v>
      </c>
    </row>
    <row r="536" spans="1:8" ht="12.75" x14ac:dyDescent="0.2">
      <c r="A536">
        <v>535</v>
      </c>
      <c r="B536" s="15" t="str">
        <f ca="1">IFERROR(__xludf.DUMMYFUNCTION("""COMPUTED_VALUE"""),"Continuous Defect Prediction in CI/CD Pipelines: A Machine Learning-Based Framework")</f>
        <v>Continuous Defect Prediction in CI/CD Pipelines: A Machine Learning-Based Framework</v>
      </c>
      <c r="C536" s="15" t="str">
        <f ca="1">VLOOKUP(B536,'ALL DATABASES'!$A$1:$T$2252,2,FALSE)</f>
        <v>Giorgio L,Nicola M,Fabio S,Andrea S</v>
      </c>
      <c r="D536" s="15">
        <f ca="1">VLOOKUP(B536,'ALL DATABASES'!$A$1:$T$2252,5,FALSE)</f>
        <v>2022</v>
      </c>
      <c r="E536" s="15">
        <f ca="1">VLOOKUP(B536,'ALL DATABASES'!$A$1:$T$2252,10,FALSE)</f>
        <v>2022</v>
      </c>
      <c r="F536" s="54" t="str">
        <f ca="1">VLOOKUP(B536,'ALL DATABASES'!$A$1:$T$2252,14,FALSE)</f>
        <v>https://www.scopus.com/inward/record.uri?eid=2-s2.0-85135020559&amp;doi=10.1007%2f978-3-031-08421-8_41&amp;partnerID=40&amp;md5=8fba1eb478d33077040752bd1c7f76b7;http://dx.doi.org/10.1007/978-3-031-08421-8_41</v>
      </c>
      <c r="G536" s="15" t="str">
        <f ca="1">VLOOKUP(B536,'ALL DATABASES'!$A$1:$T$2252,3,FALSE)</f>
        <v>Journal Article</v>
      </c>
      <c r="H536" s="50" t="str">
        <f ca="1">VLOOKUP(B536,'ALL DATABASES'!$A$1:$T$2252,20,FALSE)</f>
        <v>SCOPUS</v>
      </c>
    </row>
    <row r="537" spans="1:8" ht="12.75" x14ac:dyDescent="0.2">
      <c r="A537">
        <v>536</v>
      </c>
      <c r="B537" s="15" t="str">
        <f ca="1">IFERROR(__xludf.DUMMYFUNCTION("""COMPUTED_VALUE"""),"Continuously Assessing and Improving Software Quality With Software Analytics Tools: A Case Study")</f>
        <v>Continuously Assessing and Improving Software Quality With Software Analytics Tools: A Case Study</v>
      </c>
      <c r="C537" s="15" t="str">
        <f ca="1">VLOOKUP(B537,'ALL DATABASES'!$A$1:$T$2252,2,FALSE)</f>
        <v>Martínez-Fernández S,Vollmer AM,Jedlitschka A,Franch X,López L,Ram P,Rodríguez P,Aaramaa S,Bagnato A,Choraś M,Partanen J</v>
      </c>
      <c r="D537" s="15">
        <f ca="1">VLOOKUP(B537,'ALL DATABASES'!$A$1:$T$2252,5,FALSE)</f>
        <v>2019</v>
      </c>
      <c r="E537" s="15">
        <f ca="1">VLOOKUP(B537,'ALL DATABASES'!$A$1:$T$2252,10,FALSE)</f>
        <v>2019</v>
      </c>
      <c r="F537" s="54" t="str">
        <f ca="1">VLOOKUP(B537,'ALL DATABASES'!$A$1:$T$2252,14,FALSE)</f>
        <v>http://dx.doi.org/10.1109/ACCESS.2019.2917403</v>
      </c>
      <c r="G537" s="15" t="str">
        <f ca="1">VLOOKUP(B537,'ALL DATABASES'!$A$1:$T$2252,3,FALSE)</f>
        <v>Journal Article</v>
      </c>
      <c r="H537" s="50" t="str">
        <f ca="1">VLOOKUP(B537,'ALL DATABASES'!$A$1:$T$2252,20,FALSE)</f>
        <v>IEEE</v>
      </c>
    </row>
    <row r="538" spans="1:8" ht="12.75" x14ac:dyDescent="0.2">
      <c r="A538">
        <v>537</v>
      </c>
      <c r="B538" s="15" t="str">
        <f ca="1">IFERROR(__xludf.DUMMYFUNCTION("""COMPUTED_VALUE"""),"Contracting agile developments for mission critical systems in the public sector")</f>
        <v>Contracting agile developments for mission critical systems in the public sector</v>
      </c>
      <c r="C538" s="15" t="str">
        <f ca="1">VLOOKUP(B538,'ALL DATABASES'!$A$1:$T$2252,2,FALSE)</f>
        <v>Russo D,Taccogna G,Ciancarini P,Messina A,Succi G</v>
      </c>
      <c r="D538" s="15">
        <f ca="1">VLOOKUP(B538,'ALL DATABASES'!$A$1:$T$2252,5,FALSE)</f>
        <v>2018</v>
      </c>
      <c r="E538" s="15">
        <f ca="1">VLOOKUP(B538,'ALL DATABASES'!$A$1:$T$2252,10,FALSE)</f>
        <v>2018</v>
      </c>
      <c r="F538" s="54" t="str">
        <f ca="1">VLOOKUP(B538,'ALL DATABASES'!$A$1:$T$2252,14,FALSE)</f>
        <v>https://www.scopus.com/inward/record.uri?eid=2-s2.0-85054607574&amp;doi=10.1145%2f3183428.3183435&amp;partnerID=40&amp;md5=f010615699455f50b4bd9db5cb2db540;http://dx.doi.org/10.1145/3183428.3183435</v>
      </c>
      <c r="G538" s="15" t="str">
        <f ca="1">VLOOKUP(B538,'ALL DATABASES'!$A$1:$T$2252,3,FALSE)</f>
        <v>Conference Paper</v>
      </c>
      <c r="H538" s="50" t="str">
        <f ca="1">VLOOKUP(B538,'ALL DATABASES'!$A$1:$T$2252,20,FALSE)</f>
        <v>SCOPUS</v>
      </c>
    </row>
    <row r="539" spans="1:8" ht="12.75" x14ac:dyDescent="0.2">
      <c r="A539">
        <v>538</v>
      </c>
      <c r="B539" s="15" t="str">
        <f ca="1">IFERROR(__xludf.DUMMYFUNCTION("""COMPUTED_VALUE"""),"Contributions to Openroad from Abroad: Experiences and Learnings")</f>
        <v>Contributions to Openroad from Abroad: Experiences and Learnings</v>
      </c>
      <c r="C539" s="15" t="str">
        <f ca="1">VLOOKUP(B539,'ALL DATABASES'!$A$1:$T$2252,2,FALSE)</f>
        <v>Fogaça M,Monteiro E,Danigno M,Oliveira I,Butzen PF,Reis R</v>
      </c>
      <c r="D539" s="15">
        <f ca="1">VLOOKUP(B539,'ALL DATABASES'!$A$1:$T$2252,5,FALSE)</f>
        <v>2020</v>
      </c>
      <c r="E539" s="15">
        <f ca="1">VLOOKUP(B539,'ALL DATABASES'!$A$1:$T$2252,10,FALSE)</f>
        <v>2020</v>
      </c>
      <c r="F539" s="54" t="str">
        <f ca="1">VLOOKUP(B539,'ALL DATABASES'!$A$1:$T$2252,14,FALSE)</f>
        <v>https://doi.org/10.1145/3400302.3415737;http://dx.doi.org/10.1145/3400302.3415737</v>
      </c>
      <c r="G539" s="15" t="str">
        <f ca="1">VLOOKUP(B539,'ALL DATABASES'!$A$1:$T$2252,3,FALSE)</f>
        <v>Conference Paper</v>
      </c>
      <c r="H539" s="50" t="str">
        <f ca="1">VLOOKUP(B539,'ALL DATABASES'!$A$1:$T$2252,20,FALSE)</f>
        <v>ACM</v>
      </c>
    </row>
    <row r="540" spans="1:8" ht="12.75" x14ac:dyDescent="0.2">
      <c r="A540">
        <v>539</v>
      </c>
      <c r="B540" s="15" t="str">
        <f ca="1">IFERROR(__xludf.DUMMYFUNCTION("""COMPUTED_VALUE"""),"Contributions to OpenROAD from Abroad: Experiences and Learnings : Invited Paper")</f>
        <v>Contributions to OpenROAD from Abroad: Experiences and Learnings : Invited Paper</v>
      </c>
      <c r="C540" s="15" t="str">
        <f ca="1">VLOOKUP(B540,'ALL DATABASES'!$A$1:$T$2252,2,FALSE)</f>
        <v>Fogaça M,Monteiro E,Danigno M,Oliveira I,Butzen PF,Reis R</v>
      </c>
      <c r="D540" s="15">
        <f ca="1">VLOOKUP(B540,'ALL DATABASES'!$A$1:$T$2252,5,FALSE)</f>
        <v>2020</v>
      </c>
      <c r="E540" s="53">
        <f ca="1">VLOOKUP(B540,'ALL DATABASES'!$A$1:$T$2252,10,FALSE)</f>
        <v>44136</v>
      </c>
      <c r="F540" s="15">
        <f ca="1">VLOOKUP(B540,'ALL DATABASES'!$A$1:$T$2252,14,FALSE)</f>
        <v>0</v>
      </c>
      <c r="G540" s="15" t="str">
        <f ca="1">VLOOKUP(B540,'ALL DATABASES'!$A$1:$T$2252,3,FALSE)</f>
        <v>Conference Paper</v>
      </c>
      <c r="H540" s="50" t="str">
        <f ca="1">VLOOKUP(B540,'ALL DATABASES'!$A$1:$T$2252,20,FALSE)</f>
        <v>IEEE</v>
      </c>
    </row>
    <row r="541" spans="1:8" ht="12.75" x14ac:dyDescent="0.2">
      <c r="A541">
        <v>540</v>
      </c>
      <c r="B541" s="15" t="str">
        <f ca="1">IFERROR(__xludf.DUMMYFUNCTION("""COMPUTED_VALUE"""),"Controlled experimentation in continuous experimentation: Knowledge and challenges")</f>
        <v>Controlled experimentation in continuous experimentation: Knowledge and challenges</v>
      </c>
      <c r="C541" s="15" t="str">
        <f ca="1">VLOOKUP(B541,'ALL DATABASES'!$A$1:$T$2252,2,FALSE)</f>
        <v>Auer F,Ros R,Kaltenbrunner L,Runeson P,Felderer M</v>
      </c>
      <c r="D541" s="15">
        <f ca="1">VLOOKUP(B541,'ALL DATABASES'!$A$1:$T$2252,5,FALSE)</f>
        <v>2021</v>
      </c>
      <c r="E541" s="15">
        <f ca="1">VLOOKUP(B541,'ALL DATABASES'!$A$1:$T$2252,10,FALSE)</f>
        <v>2021</v>
      </c>
      <c r="F541" s="54" t="str">
        <f ca="1">VLOOKUP(B541,'ALL DATABASES'!$A$1:$T$2252,14,FALSE)</f>
        <v>https://www.sciencedirect.com/science/article/pii/S0950584921000367;http://dx.doi.org/10.1016/j.infsof.2021.106551</v>
      </c>
      <c r="G541" s="15" t="str">
        <f ca="1">VLOOKUP(B541,'ALL DATABASES'!$A$1:$T$2252,3,FALSE)</f>
        <v>Journal Article</v>
      </c>
      <c r="H541" s="50" t="str">
        <f ca="1">VLOOKUP(B541,'ALL DATABASES'!$A$1:$T$2252,20,FALSE)</f>
        <v>SCIENCEDIRECT</v>
      </c>
    </row>
    <row r="542" spans="1:8" ht="12.75" x14ac:dyDescent="0.2">
      <c r="A542">
        <v>541</v>
      </c>
      <c r="B542" s="15" t="str">
        <f ca="1">IFERROR(__xludf.DUMMYFUNCTION("""COMPUTED_VALUE"""),"Coordinating human and machine learning for effective organizational learning")</f>
        <v>Coordinating human and machine learning for effective organizational learning</v>
      </c>
      <c r="C542" s="15" t="str">
        <f ca="1">VLOOKUP(B542,'ALL DATABASES'!$A$1:$T$2252,2,FALSE)</f>
        <v>Sturm T,Gerlach JP,Pumplun L,Mesbah N,Peters F,Tauchert C,Nan N,Buxmann P</v>
      </c>
      <c r="D542" s="15">
        <f ca="1">VLOOKUP(B542,'ALL DATABASES'!$A$1:$T$2252,5,FALSE)</f>
        <v>2021</v>
      </c>
      <c r="E542" s="15">
        <f ca="1">VLOOKUP(B542,'ALL DATABASES'!$A$1:$T$2252,10,FALSE)</f>
        <v>2021</v>
      </c>
      <c r="F542" s="54" t="str">
        <f ca="1">VLOOKUP(B542,'ALL DATABASES'!$A$1:$T$2252,14,FALSE)</f>
        <v>https://www.scopus.com/inward/record.uri?eid=2-s2.0-85114697629&amp;doi=10.25300%2fMISQ%2f2021%2f16543&amp;partnerID=40&amp;md5=b53e4d8014ae591404107447c5e1ced1;http://dx.doi.org/10.25300/MISQ/2021/16543</v>
      </c>
      <c r="G542" s="15" t="str">
        <f ca="1">VLOOKUP(B542,'ALL DATABASES'!$A$1:$T$2252,3,FALSE)</f>
        <v>Journal Article</v>
      </c>
      <c r="H542" s="50" t="str">
        <f ca="1">VLOOKUP(B542,'ALL DATABASES'!$A$1:$T$2252,20,FALSE)</f>
        <v>SCOPUS</v>
      </c>
    </row>
    <row r="543" spans="1:8" ht="12.75" x14ac:dyDescent="0.2">
      <c r="A543">
        <v>542</v>
      </c>
      <c r="B543" s="15" t="str">
        <f ca="1">IFERROR(__xludf.DUMMYFUNCTION("""COMPUTED_VALUE"""),"Corrective commit probability: a measure of the effort invested in bug fixing")</f>
        <v>Corrective commit probability: a measure of the effort invested in bug fixing</v>
      </c>
      <c r="C543" s="15" t="str">
        <f ca="1">VLOOKUP(B543,'ALL DATABASES'!$A$1:$T$2252,2,FALSE)</f>
        <v>Amit I,Feitelson DG</v>
      </c>
      <c r="D543" s="15">
        <f ca="1">VLOOKUP(B543,'ALL DATABASES'!$A$1:$T$2252,5,FALSE)</f>
        <v>2021</v>
      </c>
      <c r="E543" s="15">
        <f ca="1">VLOOKUP(B543,'ALL DATABASES'!$A$1:$T$2252,10,FALSE)</f>
        <v>2021</v>
      </c>
      <c r="F543" s="54" t="str">
        <f ca="1">VLOOKUP(B543,'ALL DATABASES'!$A$1:$T$2252,14,FALSE)</f>
        <v>https://www.scopus.com/inward/record.uri?eid=2-s2.0-85111879543&amp;doi=10.1007%2fs11219-021-09564-z&amp;partnerID=40&amp;md5=203eb1056e8d2fefbf0be9f538add891;http://dx.doi.org/10.1007/s11219-021-09564-z</v>
      </c>
      <c r="G543" s="15" t="str">
        <f ca="1">VLOOKUP(B543,'ALL DATABASES'!$A$1:$T$2252,3,FALSE)</f>
        <v>Journal Article</v>
      </c>
      <c r="H543" s="50" t="str">
        <f ca="1">VLOOKUP(B543,'ALL DATABASES'!$A$1:$T$2252,20,FALSE)</f>
        <v>SCOPUS</v>
      </c>
    </row>
    <row r="544" spans="1:8" ht="12.75" x14ac:dyDescent="0.2">
      <c r="A544">
        <v>543</v>
      </c>
      <c r="B544" s="15" t="str">
        <f ca="1">IFERROR(__xludf.DUMMYFUNCTION("""COMPUTED_VALUE"""),"Correlation Feature Mining Model Based on Dual Attention for Feature Envy Detection")</f>
        <v>Correlation Feature Mining Model Based on Dual Attention for Feature Envy Detection</v>
      </c>
      <c r="C544" s="15" t="str">
        <f ca="1">VLOOKUP(B544,'ALL DATABASES'!$A$1:$T$2252,2,FALSE)</f>
        <v>Zhao S,Shi C,Ren S,Mohsin H</v>
      </c>
      <c r="D544" s="15">
        <f ca="1">VLOOKUP(B544,'ALL DATABASES'!$A$1:$T$2252,5,FALSE)</f>
        <v>2022</v>
      </c>
      <c r="E544" s="15">
        <f ca="1">VLOOKUP(B544,'ALL DATABASES'!$A$1:$T$2252,10,FALSE)</f>
        <v>2022</v>
      </c>
      <c r="F544" s="54" t="str">
        <f ca="1">VLOOKUP(B544,'ALL DATABASES'!$A$1:$T$2252,14,FALSE)</f>
        <v>https://www.scopus.com/inward/record.uri?eid=2-s2.0-85137168457&amp;doi=10.18293%2fSEKE2022-009&amp;partnerID=40&amp;md5=91d9a9e3b89efa403d99868e2a43a0d7;http://dx.doi.org/10.18293/SEKE2022-009</v>
      </c>
      <c r="G544" s="15" t="str">
        <f ca="1">VLOOKUP(B544,'ALL DATABASES'!$A$1:$T$2252,3,FALSE)</f>
        <v>Conference Paper</v>
      </c>
      <c r="H544" s="50" t="str">
        <f ca="1">VLOOKUP(B544,'ALL DATABASES'!$A$1:$T$2252,20,FALSE)</f>
        <v>SCOPUS</v>
      </c>
    </row>
    <row r="545" spans="1:8" ht="12.75" x14ac:dyDescent="0.2">
      <c r="A545">
        <v>544</v>
      </c>
      <c r="B545" s="15" t="str">
        <f ca="1">IFERROR(__xludf.DUMMYFUNCTION("""COMPUTED_VALUE"""),"Countering Cyberterrorism")</f>
        <v>Countering Cyberterrorism</v>
      </c>
      <c r="C545" s="15" t="str">
        <f ca="1">VLOOKUP(B545,'ALL DATABASES'!$A$1:$T$2252,2,FALSE)</f>
        <v>Reza Montasari</v>
      </c>
      <c r="D545" s="15">
        <f ca="1">VLOOKUP(B545,'ALL DATABASES'!$A$1:$T$2252,5,FALSE)</f>
        <v>2023</v>
      </c>
      <c r="E545" s="15">
        <f ca="1">VLOOKUP(B545,'ALL DATABASES'!$A$1:$T$2252,10,FALSE)</f>
        <v>0</v>
      </c>
      <c r="F545" s="54" t="str">
        <f ca="1">VLOOKUP(B545,'ALL DATABASES'!$A$1:$T$2252,14,FALSE)</f>
        <v>http://link.springer.com/book/10.1007/978-3-031-21920-7</v>
      </c>
      <c r="G545" s="15" t="str">
        <f ca="1">VLOOKUP(B545,'ALL DATABASES'!$A$1:$T$2252,3,FALSE)</f>
        <v>Book</v>
      </c>
      <c r="H545" s="50" t="str">
        <f ca="1">VLOOKUP(B545,'ALL DATABASES'!$A$1:$T$2252,20,FALSE)</f>
        <v>SPRINGER</v>
      </c>
    </row>
    <row r="546" spans="1:8" ht="12.75" x14ac:dyDescent="0.2">
      <c r="A546">
        <v>545</v>
      </c>
      <c r="B546" s="15" t="str">
        <f ca="1">IFERROR(__xludf.DUMMYFUNCTION("""COMPUTED_VALUE"""),"CPS Design with Learning-Enabled Components: A Case Study")</f>
        <v>CPS Design with Learning-Enabled Components: A Case Study</v>
      </c>
      <c r="C546" s="15" t="str">
        <f ca="1">VLOOKUP(B546,'ALL DATABASES'!$A$1:$T$2252,2,FALSE)</f>
        <v>Hartsell C,Mahadevan N,Ramakrishna S,Dubey A,Bapty T,Johnson T,Koutsoukos X,Sztipanovits J,Karsai G</v>
      </c>
      <c r="D546" s="15">
        <f ca="1">VLOOKUP(B546,'ALL DATABASES'!$A$1:$T$2252,5,FALSE)</f>
        <v>2019</v>
      </c>
      <c r="E546" s="15">
        <f ca="1">VLOOKUP(B546,'ALL DATABASES'!$A$1:$T$2252,10,FALSE)</f>
        <v>2019</v>
      </c>
      <c r="F546" s="54" t="str">
        <f ca="1">VLOOKUP(B546,'ALL DATABASES'!$A$1:$T$2252,14,FALSE)</f>
        <v>https://doi.org/10.1145/3339985.3358491;http://dx.doi.org/10.1145/3339985.3358491</v>
      </c>
      <c r="G546" s="15" t="str">
        <f ca="1">VLOOKUP(B546,'ALL DATABASES'!$A$1:$T$2252,3,FALSE)</f>
        <v>Conference Paper</v>
      </c>
      <c r="H546" s="50" t="str">
        <f ca="1">VLOOKUP(B546,'ALL DATABASES'!$A$1:$T$2252,20,FALSE)</f>
        <v>ACM</v>
      </c>
    </row>
    <row r="547" spans="1:8" ht="12.75" x14ac:dyDescent="0.2">
      <c r="A547">
        <v>546</v>
      </c>
      <c r="B547" s="15" t="str">
        <f ca="1">IFERROR(__xludf.DUMMYFUNCTION("""COMPUTED_VALUE"""),"Crawling Wikipedia Pages to Train Word Embeddings Model for Software Engineering Domain")</f>
        <v>Crawling Wikipedia Pages to Train Word Embeddings Model for Software Engineering Domain</v>
      </c>
      <c r="C547" s="15" t="str">
        <f ca="1">VLOOKUP(B547,'ALL DATABASES'!$A$1:$T$2252,2,FALSE)</f>
        <v>Mishra S,Sharma A</v>
      </c>
      <c r="D547" s="15">
        <f ca="1">VLOOKUP(B547,'ALL DATABASES'!$A$1:$T$2252,5,FALSE)</f>
        <v>2021</v>
      </c>
      <c r="E547" s="15">
        <f ca="1">VLOOKUP(B547,'ALL DATABASES'!$A$1:$T$2252,10,FALSE)</f>
        <v>2021</v>
      </c>
      <c r="F547" s="54" t="str">
        <f ca="1">VLOOKUP(B547,'ALL DATABASES'!$A$1:$T$2252,14,FALSE)</f>
        <v>https://www.scopus.com/inward/record.uri?eid=2-s2.0-85105431598&amp;doi=10.1145%2f3452383.3452401&amp;partnerID=40&amp;md5=1cf9b181978ca527ff100ba7af53d688;http://dx.doi.org/10.1145/3452383.3452401</v>
      </c>
      <c r="G547" s="15" t="str">
        <f ca="1">VLOOKUP(B547,'ALL DATABASES'!$A$1:$T$2252,3,FALSE)</f>
        <v>Conference Paper</v>
      </c>
      <c r="H547" s="50" t="str">
        <f ca="1">VLOOKUP(B547,'ALL DATABASES'!$A$1:$T$2252,20,FALSE)</f>
        <v>SCOPUS</v>
      </c>
    </row>
    <row r="548" spans="1:8" ht="12.75" x14ac:dyDescent="0.2">
      <c r="A548">
        <v>547</v>
      </c>
      <c r="B548" s="15" t="str">
        <f ca="1">IFERROR(__xludf.DUMMYFUNCTION("""COMPUTED_VALUE"""),"Cross-Dataset Design Discussion Mining")</f>
        <v>Cross-Dataset Design Discussion Mining</v>
      </c>
      <c r="C548" s="15" t="str">
        <f ca="1">VLOOKUP(B548,'ALL DATABASES'!$A$1:$T$2252,2,FALSE)</f>
        <v>Mahadi A,Tongay K,Ernst NA</v>
      </c>
      <c r="D548" s="15">
        <f ca="1">VLOOKUP(B548,'ALL DATABASES'!$A$1:$T$2252,5,FALSE)</f>
        <v>2020</v>
      </c>
      <c r="E548" s="15">
        <f ca="1">VLOOKUP(B548,'ALL DATABASES'!$A$1:$T$2252,10,FALSE)</f>
        <v>2020</v>
      </c>
      <c r="F548" s="54" t="str">
        <f ca="1">VLOOKUP(B548,'ALL DATABASES'!$A$1:$T$2252,14,FALSE)</f>
        <v>https://www.scopus.com/inward/record.uri?eid=2-s2.0-85083555688&amp;doi=10.1109%2fSANER48275.2020.9054792&amp;partnerID=40&amp;md5=9dbc463d70f0901b3072e404686ff20e;http://dx.doi.org/10.1109/SANER48275.2020.9054792</v>
      </c>
      <c r="G548" s="15" t="str">
        <f ca="1">VLOOKUP(B548,'ALL DATABASES'!$A$1:$T$2252,3,FALSE)</f>
        <v>Conference Paper</v>
      </c>
      <c r="H548" s="50" t="str">
        <f ca="1">VLOOKUP(B548,'ALL DATABASES'!$A$1:$T$2252,20,FALSE)</f>
        <v>SCOPUS</v>
      </c>
    </row>
    <row r="549" spans="1:8" ht="12.75" x14ac:dyDescent="0.2">
      <c r="A549">
        <v>548</v>
      </c>
      <c r="B549" s="15" t="str">
        <f ca="1">IFERROR(__xludf.DUMMYFUNCTION("""COMPUTED_VALUE"""),"Cross-Project Change-Proneness Prediction")</f>
        <v>Cross-Project Change-Proneness Prediction</v>
      </c>
      <c r="C549" s="15" t="str">
        <f ca="1">VLOOKUP(B549,'ALL DATABASES'!$A$1:$T$2252,2,FALSE)</f>
        <v>Liu C,Yang D,Xia X,Yan M,Zhang X</v>
      </c>
      <c r="D549" s="15">
        <f ca="1">VLOOKUP(B549,'ALL DATABASES'!$A$1:$T$2252,5,FALSE)</f>
        <v>2018</v>
      </c>
      <c r="E549" s="15">
        <f ca="1">VLOOKUP(B549,'ALL DATABASES'!$A$1:$T$2252,10,FALSE)</f>
        <v>2018</v>
      </c>
      <c r="F549" s="54" t="str">
        <f ca="1">VLOOKUP(B549,'ALL DATABASES'!$A$1:$T$2252,14,FALSE)</f>
        <v>https://www.scopus.com/inward/record.uri?eid=2-s2.0-85055440637&amp;doi=10.1109%2fCOMPSAC.2018.00017&amp;partnerID=40&amp;md5=f2c8270b95c3b4f3c7bf885ce6cb48fe;http://dx.doi.org/10.1109/COMPSAC.2018.00017</v>
      </c>
      <c r="G549" s="15" t="str">
        <f ca="1">VLOOKUP(B549,'ALL DATABASES'!$A$1:$T$2252,3,FALSE)</f>
        <v>Conference Paper</v>
      </c>
      <c r="H549" s="50" t="str">
        <f ca="1">VLOOKUP(B549,'ALL DATABASES'!$A$1:$T$2252,20,FALSE)</f>
        <v>SCOPUS</v>
      </c>
    </row>
    <row r="550" spans="1:8" ht="12.75" x14ac:dyDescent="0.2">
      <c r="A550">
        <v>549</v>
      </c>
      <c r="B550" s="15" t="str">
        <f ca="1">IFERROR(__xludf.DUMMYFUNCTION("""COMPUTED_VALUE"""),"Cross-project smell-based defect prediction")</f>
        <v>Cross-project smell-based defect prediction</v>
      </c>
      <c r="C550" s="15" t="str">
        <f ca="1">VLOOKUP(B550,'ALL DATABASES'!$A$1:$T$2252,2,FALSE)</f>
        <v>Bruno Sotto-MayorMeir Kalech</v>
      </c>
      <c r="D550" s="15">
        <f ca="1">VLOOKUP(B550,'ALL DATABASES'!$A$1:$T$2252,5,FALSE)</f>
        <v>2021</v>
      </c>
      <c r="E550" s="15">
        <f ca="1">VLOOKUP(B550,'ALL DATABASES'!$A$1:$T$2252,10,FALSE)</f>
        <v>0</v>
      </c>
      <c r="F550" s="54" t="str">
        <f ca="1">VLOOKUP(B550,'ALL DATABASES'!$A$1:$T$2252,14,FALSE)</f>
        <v>http://link.springer.com/article/10.1007/s00500-021-06254-7</v>
      </c>
      <c r="G550" s="15" t="str">
        <f ca="1">VLOOKUP(B550,'ALL DATABASES'!$A$1:$T$2252,3,FALSE)</f>
        <v>Article</v>
      </c>
      <c r="H550" s="50" t="str">
        <f ca="1">VLOOKUP(B550,'ALL DATABASES'!$A$1:$T$2252,20,FALSE)</f>
        <v>SPRINGER</v>
      </c>
    </row>
    <row r="551" spans="1:8" ht="12.75" x14ac:dyDescent="0.2">
      <c r="A551">
        <v>550</v>
      </c>
      <c r="B551" s="15" t="str">
        <f ca="1">IFERROR(__xludf.DUMMYFUNCTION("""COMPUTED_VALUE"""),"Cross-Project Software Refactoring Prediction Using Optimized Deep Learning Neural Network With the Aid of Attribute Selection")</f>
        <v>Cross-Project Software Refactoring Prediction Using Optimized Deep Learning Neural Network With the Aid of Attribute Selection</v>
      </c>
      <c r="C551" s="15" t="str">
        <f ca="1">VLOOKUP(B551,'ALL DATABASES'!$A$1:$T$2252,2,FALSE)</f>
        <v>Panighrahi R,Kuanar SK,Kumar L</v>
      </c>
      <c r="D551" s="15">
        <f ca="1">VLOOKUP(B551,'ALL DATABASES'!$A$1:$T$2252,5,FALSE)</f>
        <v>2022</v>
      </c>
      <c r="E551" s="15">
        <f ca="1">VLOOKUP(B551,'ALL DATABASES'!$A$1:$T$2252,10,FALSE)</f>
        <v>2022</v>
      </c>
      <c r="F551" s="54" t="str">
        <f ca="1">VLOOKUP(B551,'ALL DATABASES'!$A$1:$T$2252,14,FALSE)</f>
        <v>https://www.scopus.com/inward/record.uri?eid=2-s2.0-85130738070&amp;doi=10.4018%2fIJOSSP.300756&amp;partnerID=40&amp;md5=242b5facb6672ebf14f1465c699beb8f;http://dx.doi.org/10.4018/IJOSSP.300756</v>
      </c>
      <c r="G551" s="15" t="str">
        <f ca="1">VLOOKUP(B551,'ALL DATABASES'!$A$1:$T$2252,3,FALSE)</f>
        <v>Journal Article</v>
      </c>
      <c r="H551" s="50" t="str">
        <f ca="1">VLOOKUP(B551,'ALL DATABASES'!$A$1:$T$2252,20,FALSE)</f>
        <v>SCOPUS</v>
      </c>
    </row>
    <row r="552" spans="1:8" ht="12.75" x14ac:dyDescent="0.2">
      <c r="A552">
        <v>551</v>
      </c>
      <c r="B552" s="15" t="str">
        <f ca="1">IFERROR(__xludf.DUMMYFUNCTION("""COMPUTED_VALUE"""),"Crowdsmelling: A preliminary study on using collective knowledge in code smells detection")</f>
        <v>Crowdsmelling: A preliminary study on using collective knowledge in code smells detection</v>
      </c>
      <c r="C552" s="15" t="str">
        <f ca="1">VLOOKUP(B552,'ALL DATABASES'!$A$1:$T$2252,2,FALSE)</f>
        <v>dos Reis JP,Brito e Abreu F,Carneiro GF</v>
      </c>
      <c r="D552" s="15">
        <f ca="1">VLOOKUP(B552,'ALL DATABASES'!$A$1:$T$2252,5,FALSE)</f>
        <v>2022</v>
      </c>
      <c r="E552" s="55">
        <f ca="1">VLOOKUP(B552,'ALL DATABASES'!$A$1:$T$2252,10,FALSE)</f>
        <v>44682</v>
      </c>
      <c r="F552" s="54" t="str">
        <f ca="1">VLOOKUP(B552,'ALL DATABASES'!$A$1:$T$2252,14,FALSE)</f>
        <v>http://dx.doi.org/10.1007/s10664-021-10110-5</v>
      </c>
      <c r="G552" s="15" t="str">
        <f ca="1">VLOOKUP(B552,'ALL DATABASES'!$A$1:$T$2252,3,FALSE)</f>
        <v>Journal Article</v>
      </c>
      <c r="H552" s="50" t="str">
        <f ca="1">VLOOKUP(B552,'ALL DATABASES'!$A$1:$T$2252,20,FALSE)</f>
        <v>WoS</v>
      </c>
    </row>
    <row r="553" spans="1:8" ht="12.75" x14ac:dyDescent="0.2">
      <c r="A553">
        <v>552</v>
      </c>
      <c r="B553" s="15" t="str">
        <f ca="1">IFERROR(__xludf.DUMMYFUNCTION("""COMPUTED_VALUE"""),"Crystalline: Lowering the Cost for Developers to Collect and Organize Information for Decision Making")</f>
        <v>Crystalline: Lowering the Cost for Developers to Collect and Organize Information for Decision Making</v>
      </c>
      <c r="C553" s="15" t="str">
        <f ca="1">VLOOKUP(B553,'ALL DATABASES'!$A$1:$T$2252,2,FALSE)</f>
        <v>Liu MX,Kittur A,Myers BA</v>
      </c>
      <c r="D553" s="15">
        <f ca="1">VLOOKUP(B553,'ALL DATABASES'!$A$1:$T$2252,5,FALSE)</f>
        <v>2022</v>
      </c>
      <c r="E553" s="15">
        <f ca="1">VLOOKUP(B553,'ALL DATABASES'!$A$1:$T$2252,10,FALSE)</f>
        <v>2022</v>
      </c>
      <c r="F553" s="54" t="str">
        <f ca="1">VLOOKUP(B553,'ALL DATABASES'!$A$1:$T$2252,14,FALSE)</f>
        <v>https://www.scopus.com/inward/record.uri?eid=2-s2.0-85130511823&amp;doi=10.1145%2f3491102.3501968&amp;partnerID=40&amp;md5=7d3739af1735aa4431f7d199c3cfbc40;http://dx.doi.org/10.1145/3491102.3501968</v>
      </c>
      <c r="G553" s="15" t="str">
        <f ca="1">VLOOKUP(B553,'ALL DATABASES'!$A$1:$T$2252,3,FALSE)</f>
        <v>Conference Paper</v>
      </c>
      <c r="H553" s="50" t="str">
        <f ca="1">VLOOKUP(B553,'ALL DATABASES'!$A$1:$T$2252,20,FALSE)</f>
        <v>SCOPUS</v>
      </c>
    </row>
    <row r="554" spans="1:8" ht="12.75" x14ac:dyDescent="0.2">
      <c r="A554">
        <v>553</v>
      </c>
      <c r="B554" s="15" t="str">
        <f ca="1">IFERROR(__xludf.DUMMYFUNCTION("""COMPUTED_VALUE"""),"CSCW '17: Proceedings of the 2017 ACM Conference on Computer Supported Cooperative Work and Social Computing")</f>
        <v>CSCW '17: Proceedings of the 2017 ACM Conference on Computer Supported Cooperative Work and Social Computing</v>
      </c>
      <c r="C554" s="15">
        <f ca="1">VLOOKUP(B554,'ALL DATABASES'!$A$1:$T$2252,2,FALSE)</f>
        <v>0</v>
      </c>
      <c r="D554" s="15">
        <f ca="1">VLOOKUP(B554,'ALL DATABASES'!$A$1:$T$2252,5,FALSE)</f>
        <v>2017</v>
      </c>
      <c r="E554" s="15">
        <f ca="1">VLOOKUP(B554,'ALL DATABASES'!$A$1:$T$2252,10,FALSE)</f>
        <v>2017</v>
      </c>
      <c r="F554" s="15">
        <f ca="1">VLOOKUP(B554,'ALL DATABASES'!$A$1:$T$2252,14,FALSE)</f>
        <v>0</v>
      </c>
      <c r="G554" s="15" t="str">
        <f ca="1">VLOOKUP(B554,'ALL DATABASES'!$A$1:$T$2252,3,FALSE)</f>
        <v>Book</v>
      </c>
      <c r="H554" s="50" t="str">
        <f ca="1">VLOOKUP(B554,'ALL DATABASES'!$A$1:$T$2252,20,FALSE)</f>
        <v>ACM</v>
      </c>
    </row>
    <row r="555" spans="1:8" ht="12.75" x14ac:dyDescent="0.2">
      <c r="A555">
        <v>554</v>
      </c>
      <c r="B555" s="15" t="str">
        <f ca="1">IFERROR(__xludf.DUMMYFUNCTION("""COMPUTED_VALUE"""),"Current Challenges in Practical Object-Oriented Software Design")</f>
        <v>Current Challenges in Practical Object-Oriented Software Design</v>
      </c>
      <c r="C555" s="15" t="str">
        <f ca="1">VLOOKUP(B555,'ALL DATABASES'!$A$1:$T$2252,2,FALSE)</f>
        <v>Aniche M,Yoder J,Kon F</v>
      </c>
      <c r="D555" s="15">
        <f ca="1">VLOOKUP(B555,'ALL DATABASES'!$A$1:$T$2252,5,FALSE)</f>
        <v>2019</v>
      </c>
      <c r="E555" s="55">
        <f ca="1">VLOOKUP(B555,'ALL DATABASES'!$A$1:$T$2252,10,FALSE)</f>
        <v>43586</v>
      </c>
      <c r="F555" s="54" t="str">
        <f ca="1">VLOOKUP(B555,'ALL DATABASES'!$A$1:$T$2252,14,FALSE)</f>
        <v>http://dx.doi.org/10.1109/ICSE-NIER.2019.00037</v>
      </c>
      <c r="G555" s="15" t="str">
        <f ca="1">VLOOKUP(B555,'ALL DATABASES'!$A$1:$T$2252,3,FALSE)</f>
        <v>Conference Paper</v>
      </c>
      <c r="H555" s="50" t="str">
        <f ca="1">VLOOKUP(B555,'ALL DATABASES'!$A$1:$T$2252,20,FALSE)</f>
        <v>IEEE</v>
      </c>
    </row>
    <row r="556" spans="1:8" ht="12.75" x14ac:dyDescent="0.2">
      <c r="A556">
        <v>555</v>
      </c>
      <c r="B556" s="15" t="str">
        <f ca="1">IFERROR(__xludf.DUMMYFUNCTION("""COMPUTED_VALUE"""),"CVD: An Improved Approach of Software Vulnerability Detection for Object Oriented Programming Languages Using Deep Learning")</f>
        <v>CVD: An Improved Approach of Software Vulnerability Detection for Object Oriented Programming Languages Using Deep Learning</v>
      </c>
      <c r="C556" s="15" t="str">
        <f ca="1">VLOOKUP(B556,'ALL DATABASES'!$A$1:$T$2252,2,FALSE)</f>
        <v>Siddique S,Hridoy AA,Khushbu SA,Das AK</v>
      </c>
      <c r="D556" s="15">
        <f ca="1">VLOOKUP(B556,'ALL DATABASES'!$A$1:$T$2252,5,FALSE)</f>
        <v>2023</v>
      </c>
      <c r="E556" s="15">
        <f ca="1">VLOOKUP(B556,'ALL DATABASES'!$A$1:$T$2252,10,FALSE)</f>
        <v>2023</v>
      </c>
      <c r="F556" s="54" t="str">
        <f ca="1">VLOOKUP(B556,'ALL DATABASES'!$A$1:$T$2252,14,FALSE)</f>
        <v>https://www.scopus.com/inward/record.uri?eid=2-s2.0-85141687357&amp;doi=10.1007%2f978-3-031-18461-1_10&amp;partnerID=40&amp;md5=e0dcff8ddb04c6d6c4314b57f711be75;http://dx.doi.org/10.1007/978-3-031-18461-1_10</v>
      </c>
      <c r="G556" s="15" t="str">
        <f ca="1">VLOOKUP(B556,'ALL DATABASES'!$A$1:$T$2252,3,FALSE)</f>
        <v>Journal Article</v>
      </c>
      <c r="H556" s="50" t="str">
        <f ca="1">VLOOKUP(B556,'ALL DATABASES'!$A$1:$T$2252,20,FALSE)</f>
        <v>SCOPUS</v>
      </c>
    </row>
    <row r="557" spans="1:8" ht="12.75" x14ac:dyDescent="0.2">
      <c r="A557">
        <v>556</v>
      </c>
      <c r="B557" s="15" t="str">
        <f ca="1">IFERROR(__xludf.DUMMYFUNCTION("""COMPUTED_VALUE"""),"CVE-assisted large-scale security bug report dataset construction method")</f>
        <v>CVE-assisted large-scale security bug report dataset construction method</v>
      </c>
      <c r="C557" s="15" t="str">
        <f ca="1">VLOOKUP(B557,'ALL DATABASES'!$A$1:$T$2252,2,FALSE)</f>
        <v>Wu X,Zheng W,Chen X,Wang F,Mu D</v>
      </c>
      <c r="D557" s="15">
        <f ca="1">VLOOKUP(B557,'ALL DATABASES'!$A$1:$T$2252,5,FALSE)</f>
        <v>2020</v>
      </c>
      <c r="E557" s="15">
        <f ca="1">VLOOKUP(B557,'ALL DATABASES'!$A$1:$T$2252,10,FALSE)</f>
        <v>2020</v>
      </c>
      <c r="F557" s="54" t="str">
        <f ca="1">VLOOKUP(B557,'ALL DATABASES'!$A$1:$T$2252,14,FALSE)</f>
        <v>https://www.scopus.com/inward/record.uri?eid=2-s2.0-85074980613&amp;doi=10.1016%2fj.jss.2019.110456&amp;partnerID=40&amp;md5=23e143e2efb99dffae256ae090910f7c;http://dx.doi.org/10.1016/j.jss.2019.110456</v>
      </c>
      <c r="G557" s="15" t="str">
        <f ca="1">VLOOKUP(B557,'ALL DATABASES'!$A$1:$T$2252,3,FALSE)</f>
        <v>Journal Article</v>
      </c>
      <c r="H557" s="50" t="str">
        <f ca="1">VLOOKUP(B557,'ALL DATABASES'!$A$1:$T$2252,20,FALSE)</f>
        <v>SCOPUS</v>
      </c>
    </row>
    <row r="558" spans="1:8" ht="12.75" x14ac:dyDescent="0.2">
      <c r="A558">
        <v>557</v>
      </c>
      <c r="B558" s="15" t="str">
        <f ca="1">IFERROR(__xludf.DUMMYFUNCTION("""COMPUTED_VALUE"""),"CVEfixes: Automated collection of vulnerabilities and their fixes from open-source software")</f>
        <v>CVEfixes: Automated collection of vulnerabilities and their fixes from open-source software</v>
      </c>
      <c r="C558" s="15" t="str">
        <f ca="1">VLOOKUP(B558,'ALL DATABASES'!$A$1:$T$2252,2,FALSE)</f>
        <v>Bhandari G,Naseer A,Moonen L</v>
      </c>
      <c r="D558" s="15">
        <f ca="1">VLOOKUP(B558,'ALL DATABASES'!$A$1:$T$2252,5,FALSE)</f>
        <v>2021</v>
      </c>
      <c r="E558" s="15">
        <f ca="1">VLOOKUP(B558,'ALL DATABASES'!$A$1:$T$2252,10,FALSE)</f>
        <v>2021</v>
      </c>
      <c r="F558" s="54" t="str">
        <f ca="1">VLOOKUP(B558,'ALL DATABASES'!$A$1:$T$2252,14,FALSE)</f>
        <v>https://www.scopus.com/inward/record.uri?eid=2-s2.0-85113649225&amp;doi=10.1145%2f3475960.3475985&amp;partnerID=40&amp;md5=587cce7d3192fade582f1bfb832c322f;http://dx.doi.org/10.1145/3475960.3475985</v>
      </c>
      <c r="G558" s="15" t="str">
        <f ca="1">VLOOKUP(B558,'ALL DATABASES'!$A$1:$T$2252,3,FALSE)</f>
        <v>Conference Paper</v>
      </c>
      <c r="H558" s="50" t="str">
        <f ca="1">VLOOKUP(B558,'ALL DATABASES'!$A$1:$T$2252,20,FALSE)</f>
        <v>SCOPUS</v>
      </c>
    </row>
    <row r="559" spans="1:8" ht="12.75" x14ac:dyDescent="0.2">
      <c r="A559">
        <v>558</v>
      </c>
      <c r="B559" s="15" t="str">
        <f ca="1">IFERROR(__xludf.DUMMYFUNCTION("""COMPUTED_VALUE"""),"Cyber resilience of autonomous mobility systems: cyber-attacks and resilience-enhancing strategies")</f>
        <v>Cyber resilience of autonomous mobility systems: cyber-attacks and resilience-enhancing strategies</v>
      </c>
      <c r="C559" s="15" t="str">
        <f ca="1">VLOOKUP(B559,'ALL DATABASES'!$A$1:$T$2252,2,FALSE)</f>
        <v>Zou B,Choobchian P,Rozenberg J</v>
      </c>
      <c r="D559" s="15">
        <f ca="1">VLOOKUP(B559,'ALL DATABASES'!$A$1:$T$2252,5,FALSE)</f>
        <v>2021</v>
      </c>
      <c r="E559" s="15">
        <f ca="1">VLOOKUP(B559,'ALL DATABASES'!$A$1:$T$2252,10,FALSE)</f>
        <v>2021</v>
      </c>
      <c r="F559" s="54" t="str">
        <f ca="1">VLOOKUP(B559,'ALL DATABASES'!$A$1:$T$2252,14,FALSE)</f>
        <v>https://www.scopus.com/inward/record.uri?eid=2-s2.0-85102291373&amp;doi=10.1007%2fs12198-021-00230-w&amp;partnerID=40&amp;md5=b63ddf3488fb779f4917217e8731846d;http://dx.doi.org/10.1007/s12198-021-00230-w</v>
      </c>
      <c r="G559" s="15" t="str">
        <f ca="1">VLOOKUP(B559,'ALL DATABASES'!$A$1:$T$2252,3,FALSE)</f>
        <v>Journal Article</v>
      </c>
      <c r="H559" s="50" t="str">
        <f ca="1">VLOOKUP(B559,'ALL DATABASES'!$A$1:$T$2252,20,FALSE)</f>
        <v>SCOPUS</v>
      </c>
    </row>
    <row r="560" spans="1:8" ht="12.75" x14ac:dyDescent="0.2">
      <c r="A560">
        <v>559</v>
      </c>
      <c r="B560" s="15" t="str">
        <f ca="1">IFERROR(__xludf.DUMMYFUNCTION("""COMPUTED_VALUE"""),"Cyber-Physical Systems")</f>
        <v>Cyber-Physical Systems</v>
      </c>
      <c r="C560" s="15" t="str">
        <f ca="1">VLOOKUP(B560,'ALL DATABASES'!$A$1:$T$2252,2,FALSE)</f>
        <v>Frank J. Furrer</v>
      </c>
      <c r="D560" s="15">
        <f ca="1">VLOOKUP(B560,'ALL DATABASES'!$A$1:$T$2252,5,FALSE)</f>
        <v>2022</v>
      </c>
      <c r="E560" s="15">
        <f ca="1">VLOOKUP(B560,'ALL DATABASES'!$A$1:$T$2252,10,FALSE)</f>
        <v>0</v>
      </c>
      <c r="F560" s="54" t="str">
        <f ca="1">VLOOKUP(B560,'ALL DATABASES'!$A$1:$T$2252,14,FALSE)</f>
        <v>http://link.springer.com/chapter/10.1007/978-3-658-37182-1_2</v>
      </c>
      <c r="G560" s="15" t="str">
        <f ca="1">VLOOKUP(B560,'ALL DATABASES'!$A$1:$T$2252,3,FALSE)</f>
        <v>Chapter</v>
      </c>
      <c r="H560" s="50" t="str">
        <f ca="1">VLOOKUP(B560,'ALL DATABASES'!$A$1:$T$2252,20,FALSE)</f>
        <v>SPRINGER</v>
      </c>
    </row>
    <row r="561" spans="1:8" ht="12.75" x14ac:dyDescent="0.2">
      <c r="A561">
        <v>560</v>
      </c>
      <c r="B561" s="15" t="str">
        <f ca="1">IFERROR(__xludf.DUMMYFUNCTION("""COMPUTED_VALUE"""),"Cyber-Physical Systems and Control II")</f>
        <v>Cyber-Physical Systems and Control II</v>
      </c>
      <c r="C561" s="15" t="str">
        <f ca="1">VLOOKUP(B561,'ALL DATABASES'!$A$1:$T$2252,2,FALSE)</f>
        <v>Dmitry G. ArsenievNabil Aouf</v>
      </c>
      <c r="D561" s="15">
        <f ca="1">VLOOKUP(B561,'ALL DATABASES'!$A$1:$T$2252,5,FALSE)</f>
        <v>2023</v>
      </c>
      <c r="E561" s="15">
        <f ca="1">VLOOKUP(B561,'ALL DATABASES'!$A$1:$T$2252,10,FALSE)</f>
        <v>0</v>
      </c>
      <c r="F561" s="54" t="str">
        <f ca="1">VLOOKUP(B561,'ALL DATABASES'!$A$1:$T$2252,14,FALSE)</f>
        <v>http://link.springer.com/book/10.1007/978-3-031-20875-1</v>
      </c>
      <c r="G561" s="15" t="str">
        <f ca="1">VLOOKUP(B561,'ALL DATABASES'!$A$1:$T$2252,3,FALSE)</f>
        <v>Book</v>
      </c>
      <c r="H561" s="50" t="str">
        <f ca="1">VLOOKUP(B561,'ALL DATABASES'!$A$1:$T$2252,20,FALSE)</f>
        <v>SPRINGER</v>
      </c>
    </row>
    <row r="562" spans="1:8" ht="12.75" x14ac:dyDescent="0.2">
      <c r="A562">
        <v>561</v>
      </c>
      <c r="B562" s="15" t="str">
        <f ca="1">IFERROR(__xludf.DUMMYFUNCTION("""COMPUTED_VALUE"""),"Cybercrime threat intelligence: A systematic multi-vocal literature review")</f>
        <v>Cybercrime threat intelligence: A systematic multi-vocal literature review</v>
      </c>
      <c r="C562" s="15" t="str">
        <f ca="1">VLOOKUP(B562,'ALL DATABASES'!$A$1:$T$2252,2,FALSE)</f>
        <v>Cascavilla G,Tamburri DA,Van Den Heuvel WJ</v>
      </c>
      <c r="D562" s="15">
        <f ca="1">VLOOKUP(B562,'ALL DATABASES'!$A$1:$T$2252,5,FALSE)</f>
        <v>2021</v>
      </c>
      <c r="E562" s="15">
        <f ca="1">VLOOKUP(B562,'ALL DATABASES'!$A$1:$T$2252,10,FALSE)</f>
        <v>2021</v>
      </c>
      <c r="F562" s="54" t="str">
        <f ca="1">VLOOKUP(B562,'ALL DATABASES'!$A$1:$T$2252,14,FALSE)</f>
        <v>https://www.sciencedirect.com/science/article/pii/S0167404821000821;http://dx.doi.org/10.1016/j.cose.2021.102258</v>
      </c>
      <c r="G562" s="15" t="str">
        <f ca="1">VLOOKUP(B562,'ALL DATABASES'!$A$1:$T$2252,3,FALSE)</f>
        <v>Journal Article</v>
      </c>
      <c r="H562" s="50" t="str">
        <f ca="1">VLOOKUP(B562,'ALL DATABASES'!$A$1:$T$2252,20,FALSE)</f>
        <v>SCIENCEDIRECT</v>
      </c>
    </row>
    <row r="563" spans="1:8" ht="12.75" x14ac:dyDescent="0.2">
      <c r="A563">
        <v>562</v>
      </c>
      <c r="B563" s="15" t="str">
        <f ca="1">IFERROR(__xludf.DUMMYFUNCTION("""COMPUTED_VALUE"""),"Cybersecurity for Next-Generation Connectivity Systems--Rethinking Digital Architectures to Safeguard the Next Generation From Cybersecurity Breaches")</f>
        <v>Cybersecurity for Next-Generation Connectivity Systems--Rethinking Digital Architectures to Safeguard the Next Generation From Cybersecurity Breaches</v>
      </c>
      <c r="C563" s="15" t="str">
        <f ca="1">VLOOKUP(B563,'ALL DATABASES'!$A$1:$T$2252,2,FALSE)</f>
        <v>Malhotra V,Watchorn MS,Sharkey KL,Chanda D,Carlson AH,Lizar M,Gupta P,Enright MA,Polyakov A,Reynolds D</v>
      </c>
      <c r="D563" s="15">
        <f ca="1">VLOOKUP(B563,'ALL DATABASES'!$A$1:$T$2252,5,FALSE)</f>
        <v>2022</v>
      </c>
      <c r="E563" s="53">
        <f ca="1">VLOOKUP(B563,'ALL DATABASES'!$A$1:$T$2252,10,FALSE)</f>
        <v>44866</v>
      </c>
      <c r="F563" s="15">
        <f ca="1">VLOOKUP(B563,'ALL DATABASES'!$A$1:$T$2252,14,FALSE)</f>
        <v>0</v>
      </c>
      <c r="G563" s="15" t="str">
        <f ca="1">VLOOKUP(B563,'ALL DATABASES'!$A$1:$T$2252,3,FALSE)</f>
        <v>Journal Article</v>
      </c>
      <c r="H563" s="50" t="str">
        <f ca="1">VLOOKUP(B563,'ALL DATABASES'!$A$1:$T$2252,20,FALSE)</f>
        <v>IEEE</v>
      </c>
    </row>
    <row r="564" spans="1:8" ht="12.75" x14ac:dyDescent="0.2">
      <c r="A564">
        <v>563</v>
      </c>
      <c r="B564" s="15" t="str">
        <f ca="1">IFERROR(__xludf.DUMMYFUNCTION("""COMPUTED_VALUE"""),"DARVIZ: Deep abstract representation, visualization, and verification of deep learning models")</f>
        <v>DARVIZ: Deep abstract representation, visualization, and verification of deep learning models</v>
      </c>
      <c r="C564" s="15" t="str">
        <f ca="1">VLOOKUP(B564,'ALL DATABASES'!$A$1:$T$2252,2,FALSE)</f>
        <v>Sankaran A,Aralikatte R,Mani S,Khare S,Panwar N,Gantayat N</v>
      </c>
      <c r="D564" s="15">
        <f ca="1">VLOOKUP(B564,'ALL DATABASES'!$A$1:$T$2252,5,FALSE)</f>
        <v>2017</v>
      </c>
      <c r="E564" s="15">
        <f ca="1">VLOOKUP(B564,'ALL DATABASES'!$A$1:$T$2252,10,FALSE)</f>
        <v>2017</v>
      </c>
      <c r="F564" s="54" t="str">
        <f ca="1">VLOOKUP(B564,'ALL DATABASES'!$A$1:$T$2252,14,FALSE)</f>
        <v>https://www.scopus.com/inward/record.uri?eid=2-s2.0-85026730806&amp;doi=10.1109%2fICSE-NIER.2017.13&amp;partnerID=40&amp;md5=8b7d2a471beccbb90ba2ad78df2425a8;http://dx.doi.org/10.1109/ICSE-NIER.2017.13</v>
      </c>
      <c r="G564" s="15" t="str">
        <f ca="1">VLOOKUP(B564,'ALL DATABASES'!$A$1:$T$2252,3,FALSE)</f>
        <v>Conference Paper</v>
      </c>
      <c r="H564" s="50" t="str">
        <f ca="1">VLOOKUP(B564,'ALL DATABASES'!$A$1:$T$2252,20,FALSE)</f>
        <v>SCOPUS</v>
      </c>
    </row>
    <row r="565" spans="1:8" ht="12.75" x14ac:dyDescent="0.2">
      <c r="A565">
        <v>564</v>
      </c>
      <c r="B565" s="15" t="str">
        <f ca="1">IFERROR(__xludf.DUMMYFUNCTION("""COMPUTED_VALUE"""),"Darwinian Data Structure Selection")</f>
        <v>Darwinian Data Structure Selection</v>
      </c>
      <c r="C565" s="15" t="str">
        <f ca="1">VLOOKUP(B565,'ALL DATABASES'!$A$1:$T$2252,2,FALSE)</f>
        <v>Basios M,Li L,Wu F,Kanthan L,Barr ET</v>
      </c>
      <c r="D565" s="15">
        <f ca="1">VLOOKUP(B565,'ALL DATABASES'!$A$1:$T$2252,5,FALSE)</f>
        <v>2018</v>
      </c>
      <c r="E565" s="15">
        <f ca="1">VLOOKUP(B565,'ALL DATABASES'!$A$1:$T$2252,10,FALSE)</f>
        <v>2018</v>
      </c>
      <c r="F565" s="54" t="str">
        <f ca="1">VLOOKUP(B565,'ALL DATABASES'!$A$1:$T$2252,14,FALSE)</f>
        <v>https://doi.org/10.1145/3236024.3236043;http://dx.doi.org/10.1145/3236024.3236043</v>
      </c>
      <c r="G565" s="15" t="str">
        <f ca="1">VLOOKUP(B565,'ALL DATABASES'!$A$1:$T$2252,3,FALSE)</f>
        <v>Conference Paper</v>
      </c>
      <c r="H565" s="50" t="str">
        <f ca="1">VLOOKUP(B565,'ALL DATABASES'!$A$1:$T$2252,20,FALSE)</f>
        <v>ACM</v>
      </c>
    </row>
    <row r="566" spans="1:8" ht="12.75" x14ac:dyDescent="0.2">
      <c r="A566">
        <v>565</v>
      </c>
      <c r="B566" s="15" t="str">
        <f ca="1">IFERROR(__xludf.DUMMYFUNCTION("""COMPUTED_VALUE"""),"Data analysis utilizing principal component analysis")</f>
        <v>Data analysis utilizing principal component analysis</v>
      </c>
      <c r="C566" s="15" t="str">
        <f ca="1">VLOOKUP(B566,'ALL DATABASES'!$A$1:$T$2252,2,FALSE)</f>
        <v>Mathur B,Kaushik M</v>
      </c>
      <c r="D566" s="15">
        <f ca="1">VLOOKUP(B566,'ALL DATABASES'!$A$1:$T$2252,5,FALSE)</f>
        <v>2018</v>
      </c>
      <c r="E566" s="15">
        <f ca="1">VLOOKUP(B566,'ALL DATABASES'!$A$1:$T$2252,10,FALSE)</f>
        <v>2018</v>
      </c>
      <c r="F566" s="54" t="str">
        <f ca="1">VLOOKUP(B566,'ALL DATABASES'!$A$1:$T$2252,14,FALSE)</f>
        <v>https://www.scopus.com/inward/record.uri?eid=2-s2.0-85051073384&amp;partnerID=40&amp;md5=80215b7b99c9566a45d30083140535d7</v>
      </c>
      <c r="G566" s="15" t="str">
        <f ca="1">VLOOKUP(B566,'ALL DATABASES'!$A$1:$T$2252,3,FALSE)</f>
        <v>Journal Article</v>
      </c>
      <c r="H566" s="50" t="str">
        <f ca="1">VLOOKUP(B566,'ALL DATABASES'!$A$1:$T$2252,20,FALSE)</f>
        <v>SCOPUS</v>
      </c>
    </row>
    <row r="567" spans="1:8" ht="12.75" x14ac:dyDescent="0.2">
      <c r="A567">
        <v>566</v>
      </c>
      <c r="B567" s="15" t="str">
        <f ca="1">IFERROR(__xludf.DUMMYFUNCTION("""COMPUTED_VALUE"""),"Data Analytics: Predicting Software Bugs in Industrial Products")</f>
        <v>Data Analytics: Predicting Software Bugs in Industrial Products</v>
      </c>
      <c r="C567" s="15" t="str">
        <f ca="1">VLOOKUP(B567,'ALL DATABASES'!$A$1:$T$2252,2,FALSE)</f>
        <v>Robert HanmerVeena Mendiratta</v>
      </c>
      <c r="D567" s="15">
        <f ca="1">VLOOKUP(B567,'ALL DATABASES'!$A$1:$T$2252,5,FALSE)</f>
        <v>2023</v>
      </c>
      <c r="E567" s="15">
        <f ca="1">VLOOKUP(B567,'ALL DATABASES'!$A$1:$T$2252,10,FALSE)</f>
        <v>0</v>
      </c>
      <c r="F567" s="54" t="str">
        <f ca="1">VLOOKUP(B567,'ALL DATABASES'!$A$1:$T$2252,14,FALSE)</f>
        <v>http://link.springer.com/chapter/10.1007/978-3-031-02063-6_3</v>
      </c>
      <c r="G567" s="15" t="str">
        <f ca="1">VLOOKUP(B567,'ALL DATABASES'!$A$1:$T$2252,3,FALSE)</f>
        <v>Chapter</v>
      </c>
      <c r="H567" s="50" t="str">
        <f ca="1">VLOOKUP(B567,'ALL DATABASES'!$A$1:$T$2252,20,FALSE)</f>
        <v>SPRINGER</v>
      </c>
    </row>
    <row r="568" spans="1:8" ht="12.75" x14ac:dyDescent="0.2">
      <c r="A568">
        <v>567</v>
      </c>
      <c r="B568" s="15" t="str">
        <f ca="1">IFERROR(__xludf.DUMMYFUNCTION("""COMPUTED_VALUE"""),"Data Balancing Improves Self-Admitted Technical Debt Detection")</f>
        <v>Data Balancing Improves Self-Admitted Technical Debt Detection</v>
      </c>
      <c r="C568" s="15" t="str">
        <f ca="1">VLOOKUP(B568,'ALL DATABASES'!$A$1:$T$2252,2,FALSE)</f>
        <v>Sridharan M,Mantyla M,Rantala L,Claes M</v>
      </c>
      <c r="D568" s="15">
        <f ca="1">VLOOKUP(B568,'ALL DATABASES'!$A$1:$T$2252,5,FALSE)</f>
        <v>2021</v>
      </c>
      <c r="E568" s="55">
        <f ca="1">VLOOKUP(B568,'ALL DATABASES'!$A$1:$T$2252,10,FALSE)</f>
        <v>44317</v>
      </c>
      <c r="F568" s="54" t="str">
        <f ca="1">VLOOKUP(B568,'ALL DATABASES'!$A$1:$T$2252,14,FALSE)</f>
        <v>http://dx.doi.org/10.1109/MSR52588.2021.00048</v>
      </c>
      <c r="G568" s="15" t="str">
        <f ca="1">VLOOKUP(B568,'ALL DATABASES'!$A$1:$T$2252,3,FALSE)</f>
        <v>Conference Paper</v>
      </c>
      <c r="H568" s="50" t="str">
        <f ca="1">VLOOKUP(B568,'ALL DATABASES'!$A$1:$T$2252,20,FALSE)</f>
        <v>IEEE</v>
      </c>
    </row>
    <row r="569" spans="1:8" ht="12.75" x14ac:dyDescent="0.2">
      <c r="A569">
        <v>568</v>
      </c>
      <c r="B569" s="15" t="str">
        <f ca="1">IFERROR(__xludf.DUMMYFUNCTION("""COMPUTED_VALUE"""),"Data collection and quality challenges in deep learning: a data-centric AI perspective")</f>
        <v>Data collection and quality challenges in deep learning: a data-centric AI perspective</v>
      </c>
      <c r="C569" s="15" t="str">
        <f ca="1">VLOOKUP(B569,'ALL DATABASES'!$A$1:$T$2252,2,FALSE)</f>
        <v>Whang SE,Roh Y,Song H,Lee JG</v>
      </c>
      <c r="D569" s="15">
        <f ca="1">VLOOKUP(B569,'ALL DATABASES'!$A$1:$T$2252,5,FALSE)</f>
        <v>2023</v>
      </c>
      <c r="E569" s="15">
        <f ca="1">VLOOKUP(B569,'ALL DATABASES'!$A$1:$T$2252,10,FALSE)</f>
        <v>2023</v>
      </c>
      <c r="F569" s="54" t="str">
        <f ca="1">VLOOKUP(B569,'ALL DATABASES'!$A$1:$T$2252,14,FALSE)</f>
        <v>https://www.scopus.com/inward/record.uri?eid=2-s2.0-85145500796&amp;doi=10.1007%2fs00778-022-00775-9&amp;partnerID=40&amp;md5=740b7669cfff7a156276cfc294feb9a5;http://dx.doi.org/10.1007/s00778-022-00775-9</v>
      </c>
      <c r="G569" s="15" t="str">
        <f ca="1">VLOOKUP(B569,'ALL DATABASES'!$A$1:$T$2252,3,FALSE)</f>
        <v>Journal Article</v>
      </c>
      <c r="H569" s="50" t="str">
        <f ca="1">VLOOKUP(B569,'ALL DATABASES'!$A$1:$T$2252,20,FALSE)</f>
        <v>SCOPUS</v>
      </c>
    </row>
    <row r="570" spans="1:8" ht="12.75" x14ac:dyDescent="0.2">
      <c r="A570">
        <v>569</v>
      </c>
      <c r="B570" s="15" t="str">
        <f ca="1">IFERROR(__xludf.DUMMYFUNCTION("""COMPUTED_VALUE"""),"Data Governance and Data Management")</f>
        <v>Data Governance and Data Management</v>
      </c>
      <c r="C570" s="15" t="str">
        <f ca="1">VLOOKUP(B570,'ALL DATABASES'!$A$1:$T$2252,2,FALSE)</f>
        <v>Rupa Mahanti</v>
      </c>
      <c r="D570" s="15">
        <f ca="1">VLOOKUP(B570,'ALL DATABASES'!$A$1:$T$2252,5,FALSE)</f>
        <v>2021</v>
      </c>
      <c r="E570" s="15">
        <f ca="1">VLOOKUP(B570,'ALL DATABASES'!$A$1:$T$2252,10,FALSE)</f>
        <v>0</v>
      </c>
      <c r="F570" s="54" t="str">
        <f ca="1">VLOOKUP(B570,'ALL DATABASES'!$A$1:$T$2252,14,FALSE)</f>
        <v>http://link.springer.com/book/10.1007/978-981-16-3583-0</v>
      </c>
      <c r="G570" s="15" t="str">
        <f ca="1">VLOOKUP(B570,'ALL DATABASES'!$A$1:$T$2252,3,FALSE)</f>
        <v>Book</v>
      </c>
      <c r="H570" s="50" t="str">
        <f ca="1">VLOOKUP(B570,'ALL DATABASES'!$A$1:$T$2252,20,FALSE)</f>
        <v>SPRINGER</v>
      </c>
    </row>
    <row r="571" spans="1:8" ht="12.75" x14ac:dyDescent="0.2">
      <c r="A571">
        <v>570</v>
      </c>
      <c r="B571" s="15" t="str">
        <f ca="1">IFERROR(__xludf.DUMMYFUNCTION("""COMPUTED_VALUE"""),"Data Leakage in Notebooks: Static Detection and Better Processes")</f>
        <v>Data Leakage in Notebooks: Static Detection and Better Processes</v>
      </c>
      <c r="C571" s="15" t="str">
        <f ca="1">VLOOKUP(B571,'ALL DATABASES'!$A$1:$T$2252,2,FALSE)</f>
        <v>Yang C,Brower-Sinning RA,Lewis G,KÄStner C</v>
      </c>
      <c r="D571" s="15">
        <f ca="1">VLOOKUP(B571,'ALL DATABASES'!$A$1:$T$2252,5,FALSE)</f>
        <v>2023</v>
      </c>
      <c r="E571" s="15">
        <f ca="1">VLOOKUP(B571,'ALL DATABASES'!$A$1:$T$2252,10,FALSE)</f>
        <v>2023</v>
      </c>
      <c r="F571" s="54" t="str">
        <f ca="1">VLOOKUP(B571,'ALL DATABASES'!$A$1:$T$2252,14,FALSE)</f>
        <v>https://doi.org/10.1145/3551349.3556918;http://dx.doi.org/10.1145/3551349.3556918</v>
      </c>
      <c r="G571" s="15" t="str">
        <f ca="1">VLOOKUP(B571,'ALL DATABASES'!$A$1:$T$2252,3,FALSE)</f>
        <v>Conference Paper</v>
      </c>
      <c r="H571" s="50" t="str">
        <f ca="1">VLOOKUP(B571,'ALL DATABASES'!$A$1:$T$2252,20,FALSE)</f>
        <v>ACM</v>
      </c>
    </row>
    <row r="572" spans="1:8" ht="12.75" x14ac:dyDescent="0.2">
      <c r="A572">
        <v>571</v>
      </c>
      <c r="B572" s="15" t="str">
        <f ca="1">IFERROR(__xludf.DUMMYFUNCTION("""COMPUTED_VALUE"""),"Data management challenges in production machine learning")</f>
        <v>Data management challenges in production machine learning</v>
      </c>
      <c r="C572" s="15" t="str">
        <f ca="1">VLOOKUP(B572,'ALL DATABASES'!$A$1:$T$2252,2,FALSE)</f>
        <v>Polyzotis N,Roy S,Whang SE,Zinkevich M</v>
      </c>
      <c r="D572" s="15">
        <f ca="1">VLOOKUP(B572,'ALL DATABASES'!$A$1:$T$2252,5,FALSE)</f>
        <v>2017</v>
      </c>
      <c r="E572" s="15">
        <f ca="1">VLOOKUP(B572,'ALL DATABASES'!$A$1:$T$2252,10,FALSE)</f>
        <v>2017</v>
      </c>
      <c r="F572" s="54" t="str">
        <f ca="1">VLOOKUP(B572,'ALL DATABASES'!$A$1:$T$2252,14,FALSE)</f>
        <v>https://www.scopus.com/inward/record.uri?eid=2-s2.0-85021190615&amp;doi=10.1145%2f3035918.3054782&amp;partnerID=40&amp;md5=3eb7a5510fe00e4008182bce3005cbed;http://dx.doi.org/10.1145/3035918.3054782</v>
      </c>
      <c r="G572" s="15" t="str">
        <f ca="1">VLOOKUP(B572,'ALL DATABASES'!$A$1:$T$2252,3,FALSE)</f>
        <v>Conference Paper</v>
      </c>
      <c r="H572" s="50" t="str">
        <f ca="1">VLOOKUP(B572,'ALL DATABASES'!$A$1:$T$2252,20,FALSE)</f>
        <v>SCOPUS</v>
      </c>
    </row>
    <row r="573" spans="1:8" ht="12.75" x14ac:dyDescent="0.2">
      <c r="A573">
        <v>572</v>
      </c>
      <c r="B573" s="15" t="str">
        <f ca="1">IFERROR(__xludf.DUMMYFUNCTION("""COMPUTED_VALUE"""),"Data Quality Matters: A Case Study on Data Label Correctness for Security Bug Report Prediction")</f>
        <v>Data Quality Matters: A Case Study on Data Label Correctness for Security Bug Report Prediction</v>
      </c>
      <c r="C573" s="15" t="str">
        <f ca="1">VLOOKUP(B573,'ALL DATABASES'!$A$1:$T$2252,2,FALSE)</f>
        <v>Wu X,Zheng W,Xia X,Lo D</v>
      </c>
      <c r="D573" s="15">
        <f ca="1">VLOOKUP(B573,'ALL DATABASES'!$A$1:$T$2252,5,FALSE)</f>
        <v>2022</v>
      </c>
      <c r="E573" s="15">
        <f ca="1">VLOOKUP(B573,'ALL DATABASES'!$A$1:$T$2252,10,FALSE)</f>
        <v>2022</v>
      </c>
      <c r="F573" s="54" t="str">
        <f ca="1">VLOOKUP(B573,'ALL DATABASES'!$A$1:$T$2252,14,FALSE)</f>
        <v>https://www.scopus.com/inward/record.uri?eid=2-s2.0-85102303730&amp;doi=10.1109%2fTSE.2021.3063727&amp;partnerID=40&amp;md5=a8493f3a2190202e1859e9c7701469b0;http://dx.doi.org/10.1109/TSE.2021.3063727</v>
      </c>
      <c r="G573" s="15" t="str">
        <f ca="1">VLOOKUP(B573,'ALL DATABASES'!$A$1:$T$2252,3,FALSE)</f>
        <v>Journal Article</v>
      </c>
      <c r="H573" s="50" t="str">
        <f ca="1">VLOOKUP(B573,'ALL DATABASES'!$A$1:$T$2252,20,FALSE)</f>
        <v>SCOPUS</v>
      </c>
    </row>
    <row r="574" spans="1:8" ht="12.75" x14ac:dyDescent="0.2">
      <c r="A574">
        <v>573</v>
      </c>
      <c r="B574" s="15" t="str">
        <f ca="1">IFERROR(__xludf.DUMMYFUNCTION("""COMPUTED_VALUE"""),"Data Science")</f>
        <v>Data Science</v>
      </c>
      <c r="C574" s="15" t="str">
        <f ca="1">VLOOKUP(B574,'ALL DATABASES'!$A$1:$T$2252,2,FALSE)</f>
        <v>Pinle QinHongzhi WangGuanglu SunZeguang Lu</v>
      </c>
      <c r="D574" s="15">
        <f ca="1">VLOOKUP(B574,'ALL DATABASES'!$A$1:$T$2252,5,FALSE)</f>
        <v>2020</v>
      </c>
      <c r="E574" s="15">
        <f ca="1">VLOOKUP(B574,'ALL DATABASES'!$A$1:$T$2252,10,FALSE)</f>
        <v>0</v>
      </c>
      <c r="F574" s="54" t="str">
        <f ca="1">VLOOKUP(B574,'ALL DATABASES'!$A$1:$T$2252,14,FALSE)</f>
        <v>http://link.springer.com/book/10.1007/978-981-15-7984-4</v>
      </c>
      <c r="G574" s="15" t="str">
        <f ca="1">VLOOKUP(B574,'ALL DATABASES'!$A$1:$T$2252,3,FALSE)</f>
        <v>Book</v>
      </c>
      <c r="H574" s="50" t="str">
        <f ca="1">VLOOKUP(B574,'ALL DATABASES'!$A$1:$T$2252,20,FALSE)</f>
        <v>SPRINGER</v>
      </c>
    </row>
    <row r="575" spans="1:8" ht="12.75" x14ac:dyDescent="0.2">
      <c r="A575">
        <v>574</v>
      </c>
      <c r="B575" s="15" t="str">
        <f ca="1">IFERROR(__xludf.DUMMYFUNCTION("""COMPUTED_VALUE"""),"Data Science Technology Selection: Development of a Decision-Making Approach")</f>
        <v>Data Science Technology Selection: Development of a Decision-Making Approach</v>
      </c>
      <c r="C575" s="15" t="str">
        <f ca="1">VLOOKUP(B575,'ALL DATABASES'!$A$1:$T$2252,2,FALSE)</f>
        <v>Nazliel K,Kayabay K,Gokalp MO,Gokalp E,Eren E</v>
      </c>
      <c r="D575" s="15">
        <f ca="1">VLOOKUP(B575,'ALL DATABASES'!$A$1:$T$2252,5,FALSE)</f>
        <v>2022</v>
      </c>
      <c r="E575" s="15">
        <f ca="1">VLOOKUP(B575,'ALL DATABASES'!$A$1:$T$2252,10,FALSE)</f>
        <v>2022</v>
      </c>
      <c r="F575" s="54" t="str">
        <f ca="1">VLOOKUP(B575,'ALL DATABASES'!$A$1:$T$2252,14,FALSE)</f>
        <v>https://www.scopus.com/inward/record.uri?eid=2-s2.0-85134194795&amp;doi=10.1109%2fTEMSCONEUROPE54743.2022.9802054&amp;partnerID=40&amp;md5=d15c6dd83ba2312925aeebe5b4d8cb1a;http://dx.doi.org/10.1109/TEMSCONEUROPE54743.2022.9802054</v>
      </c>
      <c r="G575" s="15" t="str">
        <f ca="1">VLOOKUP(B575,'ALL DATABASES'!$A$1:$T$2252,3,FALSE)</f>
        <v>Conference Paper</v>
      </c>
      <c r="H575" s="50" t="str">
        <f ca="1">VLOOKUP(B575,'ALL DATABASES'!$A$1:$T$2252,20,FALSE)</f>
        <v>SCOPUS</v>
      </c>
    </row>
    <row r="576" spans="1:8" ht="12.75" x14ac:dyDescent="0.2">
      <c r="A576">
        <v>575</v>
      </c>
      <c r="B576" s="15" t="str">
        <f ca="1">IFERROR(__xludf.DUMMYFUNCTION("""COMPUTED_VALUE"""),"Data Science: Technologies for Better Software")</f>
        <v>Data Science: Technologies for Better Software</v>
      </c>
      <c r="C576" s="15" t="str">
        <f ca="1">VLOOKUP(B576,'ALL DATABASES'!$A$1:$T$2252,2,FALSE)</f>
        <v>Ebert C,Heidrich J,Martinez-Fernandez S,Trendowicz A</v>
      </c>
      <c r="D576" s="15">
        <f ca="1">VLOOKUP(B576,'ALL DATABASES'!$A$1:$T$2252,5,FALSE)</f>
        <v>2019</v>
      </c>
      <c r="E576" s="53">
        <f ca="1">VLOOKUP(B576,'ALL DATABASES'!$A$1:$T$2252,10,FALSE)</f>
        <v>43770</v>
      </c>
      <c r="F576" s="54" t="str">
        <f ca="1">VLOOKUP(B576,'ALL DATABASES'!$A$1:$T$2252,14,FALSE)</f>
        <v>http://dx.doi.org/10.1109/MS.2019.2933681</v>
      </c>
      <c r="G576" s="15" t="str">
        <f ca="1">VLOOKUP(B576,'ALL DATABASES'!$A$1:$T$2252,3,FALSE)</f>
        <v>Journal Article</v>
      </c>
      <c r="H576" s="50" t="str">
        <f ca="1">VLOOKUP(B576,'ALL DATABASES'!$A$1:$T$2252,20,FALSE)</f>
        <v>IEEE</v>
      </c>
    </row>
    <row r="577" spans="1:8" ht="12.75" x14ac:dyDescent="0.2">
      <c r="A577">
        <v>576</v>
      </c>
      <c r="B577" s="15" t="str">
        <f ca="1">IFERROR(__xludf.DUMMYFUNCTION("""COMPUTED_VALUE"""),"Data Smells in Public Datasets")</f>
        <v>Data Smells in Public Datasets</v>
      </c>
      <c r="C577" s="15" t="str">
        <f ca="1">VLOOKUP(B577,'ALL DATABASES'!$A$1:$T$2252,2,FALSE)</f>
        <v>Shome A,Cruz L,van Deursen A</v>
      </c>
      <c r="D577" s="15">
        <f ca="1">VLOOKUP(B577,'ALL DATABASES'!$A$1:$T$2252,5,FALSE)</f>
        <v>2022</v>
      </c>
      <c r="E577" s="15">
        <f ca="1">VLOOKUP(B577,'ALL DATABASES'!$A$1:$T$2252,10,FALSE)</f>
        <v>2022</v>
      </c>
      <c r="F577" s="54" t="str">
        <f ca="1">VLOOKUP(B577,'ALL DATABASES'!$A$1:$T$2252,14,FALSE)</f>
        <v>https://doi.org/10.1145/3522664.3528621;http://dx.doi.org/10.1145/3522664.3528621</v>
      </c>
      <c r="G577" s="15" t="str">
        <f ca="1">VLOOKUP(B577,'ALL DATABASES'!$A$1:$T$2252,3,FALSE)</f>
        <v>Conference Paper</v>
      </c>
      <c r="H577" s="50" t="str">
        <f ca="1">VLOOKUP(B577,'ALL DATABASES'!$A$1:$T$2252,20,FALSE)</f>
        <v>ACM</v>
      </c>
    </row>
    <row r="578" spans="1:8" ht="12.75" x14ac:dyDescent="0.2">
      <c r="A578">
        <v>577</v>
      </c>
      <c r="B578" s="15" t="str">
        <f ca="1">IFERROR(__xludf.DUMMYFUNCTION("""COMPUTED_VALUE"""),"Data Smells: Categories, Causes and Consequences, and Detection of Suspicious Data in AI-Based Systems")</f>
        <v>Data Smells: Categories, Causes and Consequences, and Detection of Suspicious Data in AI-Based Systems</v>
      </c>
      <c r="C578" s="15" t="str">
        <f ca="1">VLOOKUP(B578,'ALL DATABASES'!$A$1:$T$2252,2,FALSE)</f>
        <v>Foidl H,Felderer M,Ramler R</v>
      </c>
      <c r="D578" s="15">
        <f ca="1">VLOOKUP(B578,'ALL DATABASES'!$A$1:$T$2252,5,FALSE)</f>
        <v>2022</v>
      </c>
      <c r="E578" s="15">
        <f ca="1">VLOOKUP(B578,'ALL DATABASES'!$A$1:$T$2252,10,FALSE)</f>
        <v>2022</v>
      </c>
      <c r="F578" s="54" t="str">
        <f ca="1">VLOOKUP(B578,'ALL DATABASES'!$A$1:$T$2252,14,FALSE)</f>
        <v>https://doi.org/10.1145/3522664.3528590;http://dx.doi.org/10.1145/3522664.3528590</v>
      </c>
      <c r="G578" s="15" t="str">
        <f ca="1">VLOOKUP(B578,'ALL DATABASES'!$A$1:$T$2252,3,FALSE)</f>
        <v>Conference Paper</v>
      </c>
      <c r="H578" s="50" t="str">
        <f ca="1">VLOOKUP(B578,'ALL DATABASES'!$A$1:$T$2252,20,FALSE)</f>
        <v>ACM</v>
      </c>
    </row>
    <row r="579" spans="1:8" ht="12.75" x14ac:dyDescent="0.2">
      <c r="A579">
        <v>578</v>
      </c>
      <c r="B579" s="15" t="str">
        <f ca="1">IFERROR(__xludf.DUMMYFUNCTION("""COMPUTED_VALUE"""),"Data Teams")</f>
        <v>Data Teams</v>
      </c>
      <c r="C579" s="15" t="str">
        <f ca="1">VLOOKUP(B579,'ALL DATABASES'!$A$1:$T$2252,2,FALSE)</f>
        <v>Jesse Anderson</v>
      </c>
      <c r="D579" s="15">
        <f ca="1">VLOOKUP(B579,'ALL DATABASES'!$A$1:$T$2252,5,FALSE)</f>
        <v>2020</v>
      </c>
      <c r="E579" s="15">
        <f ca="1">VLOOKUP(B579,'ALL DATABASES'!$A$1:$T$2252,10,FALSE)</f>
        <v>0</v>
      </c>
      <c r="F579" s="54" t="str">
        <f ca="1">VLOOKUP(B579,'ALL DATABASES'!$A$1:$T$2252,14,FALSE)</f>
        <v>http://link.springer.com/book/10.1007/978-1-4842-6228-3</v>
      </c>
      <c r="G579" s="15" t="str">
        <f ca="1">VLOOKUP(B579,'ALL DATABASES'!$A$1:$T$2252,3,FALSE)</f>
        <v>Book</v>
      </c>
      <c r="H579" s="50" t="str">
        <f ca="1">VLOOKUP(B579,'ALL DATABASES'!$A$1:$T$2252,20,FALSE)</f>
        <v>SPRINGER</v>
      </c>
    </row>
    <row r="580" spans="1:8" ht="12.75" x14ac:dyDescent="0.2">
      <c r="A580">
        <v>579</v>
      </c>
      <c r="B580" s="15" t="str">
        <f ca="1">IFERROR(__xludf.DUMMYFUNCTION("""COMPUTED_VALUE"""),"Data-Driven Elicitation, Assessment and Documentation of Quality Requirements in Agile Software Development")</f>
        <v>Data-Driven Elicitation, Assessment and Documentation of Quality Requirements in Agile Software Development</v>
      </c>
      <c r="C580" s="15" t="str">
        <f ca="1">VLOOKUP(B580,'ALL DATABASES'!$A$1:$T$2252,2,FALSE)</f>
        <v>Xavier FranchCristina GÃ³mezAndreas JedlitschkaLidia LÃ³pezSilverio MartÃ­nez-FernÃ¡ndezMarc OriolJari Partanen</v>
      </c>
      <c r="D580" s="15">
        <f ca="1">VLOOKUP(B580,'ALL DATABASES'!$A$1:$T$2252,5,FALSE)</f>
        <v>2018</v>
      </c>
      <c r="E580" s="15">
        <f ca="1">VLOOKUP(B580,'ALL DATABASES'!$A$1:$T$2252,10,FALSE)</f>
        <v>0</v>
      </c>
      <c r="F580" s="54" t="str">
        <f ca="1">VLOOKUP(B580,'ALL DATABASES'!$A$1:$T$2252,14,FALSE)</f>
        <v>http://link.springer.com/chapter/10.1007/978-3-319-91563-0_36</v>
      </c>
      <c r="G580" s="15" t="str">
        <f ca="1">VLOOKUP(B580,'ALL DATABASES'!$A$1:$T$2252,3,FALSE)</f>
        <v>Chapter</v>
      </c>
      <c r="H580" s="50" t="str">
        <f ca="1">VLOOKUP(B580,'ALL DATABASES'!$A$1:$T$2252,20,FALSE)</f>
        <v>SPRINGER</v>
      </c>
    </row>
    <row r="581" spans="1:8" ht="12.75" x14ac:dyDescent="0.2">
      <c r="A581">
        <v>580</v>
      </c>
      <c r="B581" s="15" t="str">
        <f ca="1">IFERROR(__xludf.DUMMYFUNCTION("""COMPUTED_VALUE"""),"Data-driven software design with Constraint Oriented Multi-variate Bandit Optimization (COMBO)")</f>
        <v>Data-driven software design with Constraint Oriented Multi-variate Bandit Optimization (COMBO)</v>
      </c>
      <c r="C581" s="15" t="str">
        <f ca="1">VLOOKUP(B581,'ALL DATABASES'!$A$1:$T$2252,2,FALSE)</f>
        <v>Rasmus RosMikael Hammar</v>
      </c>
      <c r="D581" s="15">
        <f ca="1">VLOOKUP(B581,'ALL DATABASES'!$A$1:$T$2252,5,FALSE)</f>
        <v>2020</v>
      </c>
      <c r="E581" s="15">
        <f ca="1">VLOOKUP(B581,'ALL DATABASES'!$A$1:$T$2252,10,FALSE)</f>
        <v>0</v>
      </c>
      <c r="F581" s="54" t="str">
        <f ca="1">VLOOKUP(B581,'ALL DATABASES'!$A$1:$T$2252,14,FALSE)</f>
        <v>http://link.springer.com/article/10.1007/s10664-020-09856-1</v>
      </c>
      <c r="G581" s="15" t="str">
        <f ca="1">VLOOKUP(B581,'ALL DATABASES'!$A$1:$T$2252,3,FALSE)</f>
        <v>Article</v>
      </c>
      <c r="H581" s="50" t="str">
        <f ca="1">VLOOKUP(B581,'ALL DATABASES'!$A$1:$T$2252,20,FALSE)</f>
        <v>SPRINGER</v>
      </c>
    </row>
    <row r="582" spans="1:8" ht="12.75" x14ac:dyDescent="0.2">
      <c r="A582">
        <v>581</v>
      </c>
      <c r="B582" s="15" t="str">
        <f ca="1">IFERROR(__xludf.DUMMYFUNCTION("""COMPUTED_VALUE"""),"Data-Driven Technical Debt Management: Software Engineering or Data Science Challenge?")</f>
        <v>Data-Driven Technical Debt Management: Software Engineering or Data Science Challenge?</v>
      </c>
      <c r="C582" s="15" t="str">
        <f ca="1">VLOOKUP(B582,'ALL DATABASES'!$A$1:$T$2252,2,FALSE)</f>
        <v>Trendowicz A,Siebert J,Jedlitschka A</v>
      </c>
      <c r="D582" s="15">
        <f ca="1">VLOOKUP(B582,'ALL DATABASES'!$A$1:$T$2252,5,FALSE)</f>
        <v>2021</v>
      </c>
      <c r="E582" s="53">
        <f ca="1">VLOOKUP(B582,'ALL DATABASES'!$A$1:$T$2252,10,FALSE)</f>
        <v>44501</v>
      </c>
      <c r="F582" s="54" t="str">
        <f ca="1">VLOOKUP(B582,'ALL DATABASES'!$A$1:$T$2252,14,FALSE)</f>
        <v>http://dx.doi.org/10.1109/MS.2021.3103326</v>
      </c>
      <c r="G582" s="15" t="str">
        <f ca="1">VLOOKUP(B582,'ALL DATABASES'!$A$1:$T$2252,3,FALSE)</f>
        <v>Journal Article</v>
      </c>
      <c r="H582" s="50" t="str">
        <f ca="1">VLOOKUP(B582,'ALL DATABASES'!$A$1:$T$2252,20,FALSE)</f>
        <v>IEEE</v>
      </c>
    </row>
    <row r="583" spans="1:8" ht="12.75" x14ac:dyDescent="0.2">
      <c r="A583">
        <v>582</v>
      </c>
      <c r="B583" s="15" t="str">
        <f ca="1">IFERROR(__xludf.DUMMYFUNCTION("""COMPUTED_VALUE"""),"Database and Expert Systems Applications - DEXA 2021 Workshops")</f>
        <v>Database and Expert Systems Applications - DEXA 2021 Workshops</v>
      </c>
      <c r="C583" s="15" t="str">
        <f ca="1">VLOOKUP(B583,'ALL DATABASES'!$A$1:$T$2252,2,FALSE)</f>
        <v>Gabriele KotsisA Min TjoaIsmail KhalilDr. Bernhard MoserAtif MashkoorJohannes SametingerDr. Anna FenselProf. Jorge Martinez-GilLukas FischerGerald CzechFlorian SobieczkySohail Khan</v>
      </c>
      <c r="D583" s="15">
        <f ca="1">VLOOKUP(B583,'ALL DATABASES'!$A$1:$T$2252,5,FALSE)</f>
        <v>2021</v>
      </c>
      <c r="E583" s="15">
        <f ca="1">VLOOKUP(B583,'ALL DATABASES'!$A$1:$T$2252,10,FALSE)</f>
        <v>0</v>
      </c>
      <c r="F583" s="54" t="str">
        <f ca="1">VLOOKUP(B583,'ALL DATABASES'!$A$1:$T$2252,14,FALSE)</f>
        <v>http://link.springer.com/book/10.1007/978-3-030-87101-7</v>
      </c>
      <c r="G583" s="15" t="str">
        <f ca="1">VLOOKUP(B583,'ALL DATABASES'!$A$1:$T$2252,3,FALSE)</f>
        <v>Book</v>
      </c>
      <c r="H583" s="50" t="str">
        <f ca="1">VLOOKUP(B583,'ALL DATABASES'!$A$1:$T$2252,20,FALSE)</f>
        <v>SPRINGER</v>
      </c>
    </row>
    <row r="584" spans="1:8" ht="12.75" x14ac:dyDescent="0.2">
      <c r="A584">
        <v>583</v>
      </c>
      <c r="B584" s="15" t="str">
        <f ca="1">IFERROR(__xludf.DUMMYFUNCTION("""COMPUTED_VALUE"""),"DataOps Technology")</f>
        <v>DataOps Technology</v>
      </c>
      <c r="C584" s="15" t="str">
        <f ca="1">VLOOKUP(B584,'ALL DATABASES'!$A$1:$T$2252,2,FALSE)</f>
        <v>Harvinder Atwal</v>
      </c>
      <c r="D584" s="15">
        <f ca="1">VLOOKUP(B584,'ALL DATABASES'!$A$1:$T$2252,5,FALSE)</f>
        <v>2020</v>
      </c>
      <c r="E584" s="15">
        <f ca="1">VLOOKUP(B584,'ALL DATABASES'!$A$1:$T$2252,10,FALSE)</f>
        <v>0</v>
      </c>
      <c r="F584" s="54" t="str">
        <f ca="1">VLOOKUP(B584,'ALL DATABASES'!$A$1:$T$2252,14,FALSE)</f>
        <v>http://link.springer.com/chapter/10.1007/978-1-4842-5104-1_9</v>
      </c>
      <c r="G584" s="15" t="str">
        <f ca="1">VLOOKUP(B584,'ALL DATABASES'!$A$1:$T$2252,3,FALSE)</f>
        <v>Chapter</v>
      </c>
      <c r="H584" s="50" t="str">
        <f ca="1">VLOOKUP(B584,'ALL DATABASES'!$A$1:$T$2252,20,FALSE)</f>
        <v>SPRINGER</v>
      </c>
    </row>
    <row r="585" spans="1:8" ht="12.75" x14ac:dyDescent="0.2">
      <c r="A585">
        <v>584</v>
      </c>
      <c r="B585" s="15" t="str">
        <f ca="1">IFERROR(__xludf.DUMMYFUNCTION("""COMPUTED_VALUE"""),"Dataset shift assessment measures in monitoring predictive models")</f>
        <v>Dataset shift assessment measures in monitoring predictive models</v>
      </c>
      <c r="C585" s="15" t="str">
        <f ca="1">VLOOKUP(B585,'ALL DATABASES'!$A$1:$T$2252,2,FALSE)</f>
        <v>Becker A,Becker J</v>
      </c>
      <c r="D585" s="15">
        <f ca="1">VLOOKUP(B585,'ALL DATABASES'!$A$1:$T$2252,5,FALSE)</f>
        <v>2021</v>
      </c>
      <c r="E585" s="15">
        <f ca="1">VLOOKUP(B585,'ALL DATABASES'!$A$1:$T$2252,10,FALSE)</f>
        <v>2021</v>
      </c>
      <c r="F585" s="54" t="str">
        <f ca="1">VLOOKUP(B585,'ALL DATABASES'!$A$1:$T$2252,14,FALSE)</f>
        <v>https://www.sciencedirect.com/science/article/pii/S1877050921018512;http://dx.doi.org/10.1016/j.procs.2021.09.112</v>
      </c>
      <c r="G585" s="15" t="str">
        <f ca="1">VLOOKUP(B585,'ALL DATABASES'!$A$1:$T$2252,3,FALSE)</f>
        <v>Journal Article</v>
      </c>
      <c r="H585" s="50" t="str">
        <f ca="1">VLOOKUP(B585,'ALL DATABASES'!$A$1:$T$2252,20,FALSE)</f>
        <v>SCIENCEDIRECT</v>
      </c>
    </row>
    <row r="586" spans="1:8" ht="12.75" x14ac:dyDescent="0.2">
      <c r="A586">
        <v>585</v>
      </c>
      <c r="B586" s="15" t="str">
        <f ca="1">IFERROR(__xludf.DUMMYFUNCTION("""COMPUTED_VALUE"""),"DATESSO: Self-adapting service composition with debt-aware two levels constraint reasoning")</f>
        <v>DATESSO: Self-adapting service composition with debt-aware two levels constraint reasoning</v>
      </c>
      <c r="C586" s="15" t="str">
        <f ca="1">VLOOKUP(B586,'ALL DATABASES'!$A$1:$T$2252,2,FALSE)</f>
        <v>Kumar S,Chen T,Bahsoon R,Buyya R</v>
      </c>
      <c r="D586" s="15">
        <f ca="1">VLOOKUP(B586,'ALL DATABASES'!$A$1:$T$2252,5,FALSE)</f>
        <v>2020</v>
      </c>
      <c r="E586" s="15">
        <f ca="1">VLOOKUP(B586,'ALL DATABASES'!$A$1:$T$2252,10,FALSE)</f>
        <v>2020</v>
      </c>
      <c r="F586" s="54" t="str">
        <f ca="1">VLOOKUP(B586,'ALL DATABASES'!$A$1:$T$2252,14,FALSE)</f>
        <v>https://www.scopus.com/inward/record.uri?eid=2-s2.0-85087529805&amp;doi=10.1145%2f3387939.3391604&amp;partnerID=40&amp;md5=56aec211cbf7287b6c716c28bfd7d048;http://dx.doi.org/10.1145/3387939.3391604</v>
      </c>
      <c r="G586" s="15" t="str">
        <f ca="1">VLOOKUP(B586,'ALL DATABASES'!$A$1:$T$2252,3,FALSE)</f>
        <v>Conference Paper</v>
      </c>
      <c r="H586" s="50" t="str">
        <f ca="1">VLOOKUP(B586,'ALL DATABASES'!$A$1:$T$2252,20,FALSE)</f>
        <v>SCOPUS</v>
      </c>
    </row>
    <row r="587" spans="1:8" ht="12.75" x14ac:dyDescent="0.2">
      <c r="A587">
        <v>586</v>
      </c>
      <c r="B587" s="15" t="str">
        <f ca="1">IFERROR(__xludf.DUMMYFUNCTION("""COMPUTED_VALUE"""),"Dealing With Software Collapse")</f>
        <v>Dealing With Software Collapse</v>
      </c>
      <c r="C587" s="15" t="str">
        <f ca="1">VLOOKUP(B587,'ALL DATABASES'!$A$1:$T$2252,2,FALSE)</f>
        <v>Hinsen K</v>
      </c>
      <c r="D587" s="15">
        <f ca="1">VLOOKUP(B587,'ALL DATABASES'!$A$1:$T$2252,5,FALSE)</f>
        <v>2019</v>
      </c>
      <c r="E587" s="55">
        <f ca="1">VLOOKUP(B587,'ALL DATABASES'!$A$1:$T$2252,10,FALSE)</f>
        <v>43586</v>
      </c>
      <c r="F587" s="54" t="str">
        <f ca="1">VLOOKUP(B587,'ALL DATABASES'!$A$1:$T$2252,14,FALSE)</f>
        <v>http://dx.doi.org/10.1109/MCSE.2019.2900945</v>
      </c>
      <c r="G587" s="15" t="str">
        <f ca="1">VLOOKUP(B587,'ALL DATABASES'!$A$1:$T$2252,3,FALSE)</f>
        <v>Journal Article</v>
      </c>
      <c r="H587" s="50" t="str">
        <f ca="1">VLOOKUP(B587,'ALL DATABASES'!$A$1:$T$2252,20,FALSE)</f>
        <v>IEEE</v>
      </c>
    </row>
    <row r="588" spans="1:8" ht="12.75" x14ac:dyDescent="0.2">
      <c r="A588">
        <v>587</v>
      </c>
      <c r="B588" s="15" t="str">
        <f ca="1">IFERROR(__xludf.DUMMYFUNCTION("""COMPUTED_VALUE"""),"Debt-prone bugs: Technical debt in software maintenance")</f>
        <v>Debt-prone bugs: Technical debt in software maintenance</v>
      </c>
      <c r="C588" s="15" t="str">
        <f ca="1">VLOOKUP(B588,'ALL DATABASES'!$A$1:$T$2252,2,FALSE)</f>
        <v>Xuan J,Hu Y,He J</v>
      </c>
      <c r="D588" s="15">
        <f ca="1">VLOOKUP(B588,'ALL DATABASES'!$A$1:$T$2252,5,FALSE)</f>
        <v>2012</v>
      </c>
      <c r="E588" s="15">
        <f ca="1">VLOOKUP(B588,'ALL DATABASES'!$A$1:$T$2252,10,FALSE)</f>
        <v>2012</v>
      </c>
      <c r="F588" s="54" t="str">
        <f ca="1">VLOOKUP(B588,'ALL DATABASES'!$A$1:$T$2252,14,FALSE)</f>
        <v>https://www.scopus.com/inward/record.uri?eid=2-s2.0-84868595858&amp;doi=10.4156%2fijact.vol4.issue19.54&amp;partnerID=40&amp;md5=589e4bf791bb7d217ea6027ffbf741b4;http://dx.doi.org/10.4156/ijact.vol4.issue19.54</v>
      </c>
      <c r="G588" s="15" t="str">
        <f ca="1">VLOOKUP(B588,'ALL DATABASES'!$A$1:$T$2252,3,FALSE)</f>
        <v>Journal Article</v>
      </c>
      <c r="H588" s="50" t="str">
        <f ca="1">VLOOKUP(B588,'ALL DATABASES'!$A$1:$T$2252,20,FALSE)</f>
        <v>SCOPUS</v>
      </c>
    </row>
    <row r="589" spans="1:8" ht="12.75" x14ac:dyDescent="0.2">
      <c r="A589">
        <v>588</v>
      </c>
      <c r="B589" s="15" t="str">
        <f ca="1">IFERROR(__xludf.DUMMYFUNCTION("""COMPUTED_VALUE"""),"DebtFree: minimizing labeling cost in self-admitted technical debt identification using semi-supervised learning")</f>
        <v>DebtFree: minimizing labeling cost in self-admitted technical debt identification using semi-supervised learning</v>
      </c>
      <c r="C589" s="15" t="str">
        <f ca="1">VLOOKUP(B589,'ALL DATABASES'!$A$1:$T$2252,2,FALSE)</f>
        <v>Huy TuTim Menzies</v>
      </c>
      <c r="D589" s="15">
        <f ca="1">VLOOKUP(B589,'ALL DATABASES'!$A$1:$T$2252,5,FALSE)</f>
        <v>2022</v>
      </c>
      <c r="E589" s="15">
        <f ca="1">VLOOKUP(B589,'ALL DATABASES'!$A$1:$T$2252,10,FALSE)</f>
        <v>0</v>
      </c>
      <c r="F589" s="54" t="str">
        <f ca="1">VLOOKUP(B589,'ALL DATABASES'!$A$1:$T$2252,14,FALSE)</f>
        <v>http://link.springer.com/article/10.1007/s10664-022-10121-w</v>
      </c>
      <c r="G589" s="15" t="str">
        <f ca="1">VLOOKUP(B589,'ALL DATABASES'!$A$1:$T$2252,3,FALSE)</f>
        <v>Article</v>
      </c>
      <c r="H589" s="50" t="str">
        <f ca="1">VLOOKUP(B589,'ALL DATABASES'!$A$1:$T$2252,20,FALSE)</f>
        <v>SPRINGER</v>
      </c>
    </row>
    <row r="590" spans="1:8" ht="12.75" x14ac:dyDescent="0.2">
      <c r="A590">
        <v>589</v>
      </c>
      <c r="B590" s="15" t="str">
        <f ca="1">IFERROR(__xludf.DUMMYFUNCTION("""COMPUTED_VALUE"""),"DebtHunter: A Machine Learning-Based Approach for Detecting Self-Admitted Technical Debt")</f>
        <v>DebtHunter: A Machine Learning-Based Approach for Detecting Self-Admitted Technical Debt</v>
      </c>
      <c r="C590" s="15" t="str">
        <f ca="1">VLOOKUP(B590,'ALL DATABASES'!$A$1:$T$2252,2,FALSE)</f>
        <v>Sala I,Tommasel A,Arcelli Fontana F</v>
      </c>
      <c r="D590" s="15">
        <f ca="1">VLOOKUP(B590,'ALL DATABASES'!$A$1:$T$2252,5,FALSE)</f>
        <v>2021</v>
      </c>
      <c r="E590" s="15">
        <f ca="1">VLOOKUP(B590,'ALL DATABASES'!$A$1:$T$2252,10,FALSE)</f>
        <v>2021</v>
      </c>
      <c r="F590" s="54" t="str">
        <f ca="1">VLOOKUP(B590,'ALL DATABASES'!$A$1:$T$2252,14,FALSE)</f>
        <v>https://doi.org/10.1145/3463274.3464455;http://dx.doi.org/10.1145/3463274.3464455</v>
      </c>
      <c r="G590" s="15" t="str">
        <f ca="1">VLOOKUP(B590,'ALL DATABASES'!$A$1:$T$2252,3,FALSE)</f>
        <v>Conference Paper</v>
      </c>
      <c r="H590" s="50" t="str">
        <f ca="1">VLOOKUP(B590,'ALL DATABASES'!$A$1:$T$2252,20,FALSE)</f>
        <v>ACM</v>
      </c>
    </row>
    <row r="591" spans="1:8" ht="12.75" x14ac:dyDescent="0.2">
      <c r="A591">
        <v>590</v>
      </c>
      <c r="B591" s="15" t="str">
        <f ca="1">IFERROR(__xludf.DUMMYFUNCTION("""COMPUTED_VALUE"""),"Debugging Support for Machine Learning Applications in Bioengineering Text Corpora")</f>
        <v>Debugging Support for Machine Learning Applications in Bioengineering Text Corpora</v>
      </c>
      <c r="C591" s="15" t="str">
        <f ca="1">VLOOKUP(B591,'ALL DATABASES'!$A$1:$T$2252,2,FALSE)</f>
        <v>Cheng KS,Ahn TH,Song M</v>
      </c>
      <c r="D591" s="15">
        <f ca="1">VLOOKUP(B591,'ALL DATABASES'!$A$1:$T$2252,5,FALSE)</f>
        <v>2022</v>
      </c>
      <c r="E591" s="55">
        <f ca="1">VLOOKUP(B591,'ALL DATABASES'!$A$1:$T$2252,10,FALSE)</f>
        <v>44713</v>
      </c>
      <c r="F591" s="54" t="str">
        <f ca="1">VLOOKUP(B591,'ALL DATABASES'!$A$1:$T$2252,14,FALSE)</f>
        <v>http://dx.doi.org/10.1109/COMPSAC54236.2022.00166</v>
      </c>
      <c r="G591" s="15" t="str">
        <f ca="1">VLOOKUP(B591,'ALL DATABASES'!$A$1:$T$2252,3,FALSE)</f>
        <v>Conference Paper</v>
      </c>
      <c r="H591" s="50" t="str">
        <f ca="1">VLOOKUP(B591,'ALL DATABASES'!$A$1:$T$2252,20,FALSE)</f>
        <v>IEEE</v>
      </c>
    </row>
    <row r="592" spans="1:8" ht="12.75" x14ac:dyDescent="0.2">
      <c r="A592">
        <v>591</v>
      </c>
      <c r="B592" s="15" t="str">
        <f ca="1">IFERROR(__xludf.DUMMYFUNCTION("""COMPUTED_VALUE"""),"Declarative Machine Learning Systems")</f>
        <v>Declarative Machine Learning Systems</v>
      </c>
      <c r="C592" s="15" t="str">
        <f ca="1">VLOOKUP(B592,'ALL DATABASES'!$A$1:$T$2252,2,FALSE)</f>
        <v>Molino P,Ré C</v>
      </c>
      <c r="D592" s="15">
        <f ca="1">VLOOKUP(B592,'ALL DATABASES'!$A$1:$T$2252,5,FALSE)</f>
        <v>2021</v>
      </c>
      <c r="E592" s="53">
        <f ca="1">VLOOKUP(B592,'ALL DATABASES'!$A$1:$T$2252,10,FALSE)</f>
        <v>44531</v>
      </c>
      <c r="F592" s="54" t="str">
        <f ca="1">VLOOKUP(B592,'ALL DATABASES'!$A$1:$T$2252,14,FALSE)</f>
        <v>https://doi.org/10.1145/3475167;http://dx.doi.org/10.1145/3475167</v>
      </c>
      <c r="G592" s="15" t="str">
        <f ca="1">VLOOKUP(B592,'ALL DATABASES'!$A$1:$T$2252,3,FALSE)</f>
        <v>Journal Article</v>
      </c>
      <c r="H592" s="50" t="str">
        <f ca="1">VLOOKUP(B592,'ALL DATABASES'!$A$1:$T$2252,20,FALSE)</f>
        <v>ACM</v>
      </c>
    </row>
    <row r="593" spans="1:8" ht="12.75" x14ac:dyDescent="0.2">
      <c r="A593">
        <v>592</v>
      </c>
      <c r="B593" s="15" t="str">
        <f ca="1">IFERROR(__xludf.DUMMYFUNCTION("""COMPUTED_VALUE"""),"Declarative Machine Learning Systems: The Future of Machine Learning Will Depend on It Being in the Hands of the Rest of Us")</f>
        <v>Declarative Machine Learning Systems: The Future of Machine Learning Will Depend on It Being in the Hands of the Rest of Us</v>
      </c>
      <c r="C593" s="15" t="str">
        <f ca="1">VLOOKUP(B593,'ALL DATABASES'!$A$1:$T$2252,2,FALSE)</f>
        <v>Molino P,Ré C</v>
      </c>
      <c r="D593" s="15">
        <f ca="1">VLOOKUP(B593,'ALL DATABASES'!$A$1:$T$2252,5,FALSE)</f>
        <v>2021</v>
      </c>
      <c r="E593" s="55">
        <f ca="1">VLOOKUP(B593,'ALL DATABASES'!$A$1:$T$2252,10,FALSE)</f>
        <v>44409</v>
      </c>
      <c r="F593" s="54" t="str">
        <f ca="1">VLOOKUP(B593,'ALL DATABASES'!$A$1:$T$2252,14,FALSE)</f>
        <v>https://doi.org/10.1145/3475965.3479315;http://dx.doi.org/10.1145/3475965.3479315</v>
      </c>
      <c r="G593" s="15" t="str">
        <f ca="1">VLOOKUP(B593,'ALL DATABASES'!$A$1:$T$2252,3,FALSE)</f>
        <v>Journal Article</v>
      </c>
      <c r="H593" s="50" t="str">
        <f ca="1">VLOOKUP(B593,'ALL DATABASES'!$A$1:$T$2252,20,FALSE)</f>
        <v>ACM</v>
      </c>
    </row>
    <row r="594" spans="1:8" ht="12.75" x14ac:dyDescent="0.2">
      <c r="A594">
        <v>593</v>
      </c>
      <c r="B594" s="15" t="str">
        <f ca="1">IFERROR(__xludf.DUMMYFUNCTION("""COMPUTED_VALUE"""),"Decoupling Level: A New Metric for Architectural Maintenance Complexity")</f>
        <v>Decoupling Level: A New Metric for Architectural Maintenance Complexity</v>
      </c>
      <c r="C594" s="15" t="str">
        <f ca="1">VLOOKUP(B594,'ALL DATABASES'!$A$1:$T$2252,2,FALSE)</f>
        <v>Mo R,Cai Y,Kazman R,Xiao L,Feng Q</v>
      </c>
      <c r="D594" s="15">
        <f ca="1">VLOOKUP(B594,'ALL DATABASES'!$A$1:$T$2252,5,FALSE)</f>
        <v>2016</v>
      </c>
      <c r="E594" s="15">
        <f ca="1">VLOOKUP(B594,'ALL DATABASES'!$A$1:$T$2252,10,FALSE)</f>
        <v>2016</v>
      </c>
      <c r="F594" s="54" t="str">
        <f ca="1">VLOOKUP(B594,'ALL DATABASES'!$A$1:$T$2252,14,FALSE)</f>
        <v>https://doi.org/10.1145/2884781.2884825;http://dx.doi.org/10.1145/2884781.2884825</v>
      </c>
      <c r="G594" s="15" t="str">
        <f ca="1">VLOOKUP(B594,'ALL DATABASES'!$A$1:$T$2252,3,FALSE)</f>
        <v>Conference Paper</v>
      </c>
      <c r="H594" s="50" t="str">
        <f ca="1">VLOOKUP(B594,'ALL DATABASES'!$A$1:$T$2252,20,FALSE)</f>
        <v>ACM</v>
      </c>
    </row>
    <row r="595" spans="1:8" ht="12.75" x14ac:dyDescent="0.2">
      <c r="A595">
        <v>594</v>
      </c>
      <c r="B595" s="15" t="str">
        <f ca="1">IFERROR(__xludf.DUMMYFUNCTION("""COMPUTED_VALUE"""),"Deep hybrid features for code smells detection")</f>
        <v>Deep hybrid features for code smells detection</v>
      </c>
      <c r="C595" s="15" t="str">
        <f ca="1">VLOOKUP(B595,'ALL DATABASES'!$A$1:$T$2252,2,FALSE)</f>
        <v>Hamdy A,Tazy M</v>
      </c>
      <c r="D595" s="15">
        <f ca="1">VLOOKUP(B595,'ALL DATABASES'!$A$1:$T$2252,5,FALSE)</f>
        <v>2020</v>
      </c>
      <c r="E595" s="15">
        <f ca="1">VLOOKUP(B595,'ALL DATABASES'!$A$1:$T$2252,10,FALSE)</f>
        <v>2020</v>
      </c>
      <c r="F595" s="54" t="str">
        <f ca="1">VLOOKUP(B595,'ALL DATABASES'!$A$1:$T$2252,14,FALSE)</f>
        <v>https://www.scopus.com/inward/record.uri?eid=2-s2.0-85090125949&amp;partnerID=40&amp;md5=d66bb994a25467f9dcac357d2c9a228a</v>
      </c>
      <c r="G595" s="15" t="str">
        <f ca="1">VLOOKUP(B595,'ALL DATABASES'!$A$1:$T$2252,3,FALSE)</f>
        <v>Journal Article</v>
      </c>
      <c r="H595" s="50" t="str">
        <f ca="1">VLOOKUP(B595,'ALL DATABASES'!$A$1:$T$2252,20,FALSE)</f>
        <v>SCOPUS</v>
      </c>
    </row>
    <row r="596" spans="1:8" ht="12.75" x14ac:dyDescent="0.2">
      <c r="A596">
        <v>595</v>
      </c>
      <c r="B596" s="15" t="str">
        <f ca="1">IFERROR(__xludf.DUMMYFUNCTION("""COMPUTED_VALUE"""),"Deep Just-In-Time Inconsistency Detection Between Comments and Source Code")</f>
        <v>Deep Just-In-Time Inconsistency Detection Between Comments and Source Code</v>
      </c>
      <c r="C596" s="15" t="str">
        <f ca="1">VLOOKUP(B596,'ALL DATABASES'!$A$1:$T$2252,2,FALSE)</f>
        <v>Panthaplackel S,Li JJ,Gligoric M,Mooney RJ</v>
      </c>
      <c r="D596" s="15">
        <f ca="1">VLOOKUP(B596,'ALL DATABASES'!$A$1:$T$2252,5,FALSE)</f>
        <v>2021</v>
      </c>
      <c r="E596" s="15">
        <f ca="1">VLOOKUP(B596,'ALL DATABASES'!$A$1:$T$2252,10,FALSE)</f>
        <v>2021</v>
      </c>
      <c r="F596" s="54" t="str">
        <f ca="1">VLOOKUP(B596,'ALL DATABASES'!$A$1:$T$2252,14,FALSE)</f>
        <v>https://www.scopus.com/inward/record.uri?eid=2-s2.0-85113620912&amp;partnerID=40&amp;md5=4ec6c60b0a801883da8b533dc84013f2</v>
      </c>
      <c r="G596" s="15" t="str">
        <f ca="1">VLOOKUP(B596,'ALL DATABASES'!$A$1:$T$2252,3,FALSE)</f>
        <v>Conference Paper</v>
      </c>
      <c r="H596" s="50" t="str">
        <f ca="1">VLOOKUP(B596,'ALL DATABASES'!$A$1:$T$2252,20,FALSE)</f>
        <v>SCOPUS</v>
      </c>
    </row>
    <row r="597" spans="1:8" ht="12.75" x14ac:dyDescent="0.2">
      <c r="A597">
        <v>596</v>
      </c>
      <c r="B597" s="15" t="str">
        <f ca="1">IFERROR(__xludf.DUMMYFUNCTION("""COMPUTED_VALUE"""),"Deep Learning Approach for Software Maintainability Metrics Prediction")</f>
        <v>Deep Learning Approach for Software Maintainability Metrics Prediction</v>
      </c>
      <c r="C597" s="15" t="str">
        <f ca="1">VLOOKUP(B597,'ALL DATABASES'!$A$1:$T$2252,2,FALSE)</f>
        <v>Jha S,Kumar R,Hoang Son L,Abdel-Basset M,Priyadarshini I,Sharma R,Viet Long H</v>
      </c>
      <c r="D597" s="15">
        <f ca="1">VLOOKUP(B597,'ALL DATABASES'!$A$1:$T$2252,5,FALSE)</f>
        <v>2019</v>
      </c>
      <c r="E597" s="15">
        <f ca="1">VLOOKUP(B597,'ALL DATABASES'!$A$1:$T$2252,10,FALSE)</f>
        <v>2019</v>
      </c>
      <c r="F597" s="54" t="str">
        <f ca="1">VLOOKUP(B597,'ALL DATABASES'!$A$1:$T$2252,14,FALSE)</f>
        <v>https://www.scopus.com/inward/record.uri?eid=2-s2.0-85066781621&amp;doi=10.1109%2fACCESS.2019.2913349&amp;partnerID=40&amp;md5=2431b5a8094d9f30fc3f2c51c6f84480;http://dx.doi.org/10.1109/ACCESS.2019.2913349</v>
      </c>
      <c r="G597" s="15" t="str">
        <f ca="1">VLOOKUP(B597,'ALL DATABASES'!$A$1:$T$2252,3,FALSE)</f>
        <v>Journal Article</v>
      </c>
      <c r="H597" s="50" t="str">
        <f ca="1">VLOOKUP(B597,'ALL DATABASES'!$A$1:$T$2252,20,FALSE)</f>
        <v>SCOPUS</v>
      </c>
    </row>
    <row r="598" spans="1:8" ht="12.75" x14ac:dyDescent="0.2">
      <c r="A598">
        <v>597</v>
      </c>
      <c r="B598" s="15" t="str">
        <f ca="1">IFERROR(__xludf.DUMMYFUNCTION("""COMPUTED_VALUE"""),"Deep learning in electron microscopy")</f>
        <v>Deep learning in electron microscopy</v>
      </c>
      <c r="C598" s="15" t="str">
        <f ca="1">VLOOKUP(B598,'ALL DATABASES'!$A$1:$T$2252,2,FALSE)</f>
        <v>Ede JM</v>
      </c>
      <c r="D598" s="15">
        <f ca="1">VLOOKUP(B598,'ALL DATABASES'!$A$1:$T$2252,5,FALSE)</f>
        <v>2021</v>
      </c>
      <c r="E598" s="15">
        <f ca="1">VLOOKUP(B598,'ALL DATABASES'!$A$1:$T$2252,10,FALSE)</f>
        <v>2021</v>
      </c>
      <c r="F598" s="54" t="str">
        <f ca="1">VLOOKUP(B598,'ALL DATABASES'!$A$1:$T$2252,14,FALSE)</f>
        <v>https://www.scopus.com/inward/record.uri?eid=2-s2.0-85101464715&amp;doi=10.1088%2f2632-2153%2fabd614&amp;partnerID=40&amp;md5=0314ae54375d899eecd46cb3ed417ab5;http://dx.doi.org/10.1088/2632-2153/abd614</v>
      </c>
      <c r="G598" s="15" t="str">
        <f ca="1">VLOOKUP(B598,'ALL DATABASES'!$A$1:$T$2252,3,FALSE)</f>
        <v>Journal Article</v>
      </c>
      <c r="H598" s="50" t="str">
        <f ca="1">VLOOKUP(B598,'ALL DATABASES'!$A$1:$T$2252,20,FALSE)</f>
        <v>SCOPUS</v>
      </c>
    </row>
    <row r="599" spans="1:8" ht="12.75" x14ac:dyDescent="0.2">
      <c r="A599">
        <v>598</v>
      </c>
      <c r="B599" s="15" t="str">
        <f ca="1">IFERROR(__xludf.DUMMYFUNCTION("""COMPUTED_VALUE"""),"Deep Learning in Practice: Guidelines for Model Selection")</f>
        <v>Deep Learning in Practice: Guidelines for Model Selection</v>
      </c>
      <c r="C599" s="15" t="str">
        <f ca="1">VLOOKUP(B599,'ALL DATABASES'!$A$1:$T$2252,2,FALSE)</f>
        <v>Ramachandran G,Bhatia V</v>
      </c>
      <c r="D599" s="15">
        <f ca="1">VLOOKUP(B599,'ALL DATABASES'!$A$1:$T$2252,5,FALSE)</f>
        <v>2019</v>
      </c>
      <c r="E599" s="15">
        <f ca="1">VLOOKUP(B599,'ALL DATABASES'!$A$1:$T$2252,10,FALSE)</f>
        <v>2019</v>
      </c>
      <c r="F599" s="54" t="str">
        <f ca="1">VLOOKUP(B599,'ALL DATABASES'!$A$1:$T$2252,14,FALSE)</f>
        <v>https://www.scopus.com/inward/record.uri?eid=2-s2.0-85083668952&amp;doi=10.1109%2fCCEM48484.2019.00014&amp;partnerID=40&amp;md5=37e0fe2cda2f2eab98accce36ebc9767;http://dx.doi.org/10.1109/CCEM48484.2019.00014</v>
      </c>
      <c r="G599" s="15" t="str">
        <f ca="1">VLOOKUP(B599,'ALL DATABASES'!$A$1:$T$2252,3,FALSE)</f>
        <v>Conference Paper</v>
      </c>
      <c r="H599" s="50" t="str">
        <f ca="1">VLOOKUP(B599,'ALL DATABASES'!$A$1:$T$2252,20,FALSE)</f>
        <v>SCOPUS</v>
      </c>
    </row>
    <row r="600" spans="1:8" ht="12.75" x14ac:dyDescent="0.2">
      <c r="A600">
        <v>599</v>
      </c>
      <c r="B600" s="15" t="str">
        <f ca="1">IFERROR(__xludf.DUMMYFUNCTION("""COMPUTED_VALUE"""),"Deep Multimodal Architecture for Detection of Long Parameter List and Switch Statements using DistilBERT")</f>
        <v>Deep Multimodal Architecture for Detection of Long Parameter List and Switch Statements using DistilBERT</v>
      </c>
      <c r="C600" s="15" t="str">
        <f ca="1">VLOOKUP(B600,'ALL DATABASES'!$A$1:$T$2252,2,FALSE)</f>
        <v>Bhave A,Sinha R</v>
      </c>
      <c r="D600" s="15">
        <f ca="1">VLOOKUP(B600,'ALL DATABASES'!$A$1:$T$2252,5,FALSE)</f>
        <v>2022</v>
      </c>
      <c r="E600" s="53">
        <f ca="1">VLOOKUP(B600,'ALL DATABASES'!$A$1:$T$2252,10,FALSE)</f>
        <v>44835</v>
      </c>
      <c r="F600" s="54" t="str">
        <f ca="1">VLOOKUP(B600,'ALL DATABASES'!$A$1:$T$2252,14,FALSE)</f>
        <v>http://dx.doi.org/10.1109/SCAM55253.2022.00018</v>
      </c>
      <c r="G600" s="15" t="str">
        <f ca="1">VLOOKUP(B600,'ALL DATABASES'!$A$1:$T$2252,3,FALSE)</f>
        <v>Conference Paper</v>
      </c>
      <c r="H600" s="50" t="str">
        <f ca="1">VLOOKUP(B600,'ALL DATABASES'!$A$1:$T$2252,20,FALSE)</f>
        <v>IEEE</v>
      </c>
    </row>
    <row r="601" spans="1:8" ht="12.75" x14ac:dyDescent="0.2">
      <c r="A601">
        <v>600</v>
      </c>
      <c r="B601" s="15" t="str">
        <f ca="1">IFERROR(__xludf.DUMMYFUNCTION("""COMPUTED_VALUE"""),"Deep neural network ensembles for detecting self-admitted technical debt")</f>
        <v>Deep neural network ensembles for detecting self-admitted technical debt</v>
      </c>
      <c r="C601" s="15" t="str">
        <f ca="1">VLOOKUP(B601,'ALL DATABASES'!$A$1:$T$2252,2,FALSE)</f>
        <v>Yin M,Zhu K,Xiao H,Zhu D,Jiang J</v>
      </c>
      <c r="D601" s="15">
        <f ca="1">VLOOKUP(B601,'ALL DATABASES'!$A$1:$T$2252,5,FALSE)</f>
        <v>2022</v>
      </c>
      <c r="E601" s="15">
        <f ca="1">VLOOKUP(B601,'ALL DATABASES'!$A$1:$T$2252,10,FALSE)</f>
        <v>2022</v>
      </c>
      <c r="F601" s="54" t="str">
        <f ca="1">VLOOKUP(B601,'ALL DATABASES'!$A$1:$T$2252,14,FALSE)</f>
        <v>https://www.scopus.com/inward/record.uri?eid=2-s2.0-85131722859&amp;doi=10.3233%2fJIFS-211273&amp;partnerID=40&amp;md5=b652457a51f3b4ed24a912c23cde3af3;http://dx.doi.org/10.3233/JIFS-211273</v>
      </c>
      <c r="G601" s="15" t="str">
        <f ca="1">VLOOKUP(B601,'ALL DATABASES'!$A$1:$T$2252,3,FALSE)</f>
        <v>Journal Article</v>
      </c>
      <c r="H601" s="50" t="str">
        <f ca="1">VLOOKUP(B601,'ALL DATABASES'!$A$1:$T$2252,20,FALSE)</f>
        <v>SCOPUS</v>
      </c>
    </row>
    <row r="602" spans="1:8" ht="12.75" x14ac:dyDescent="0.2">
      <c r="A602">
        <v>601</v>
      </c>
      <c r="B602" s="15" t="str">
        <f ca="1">IFERROR(__xludf.DUMMYFUNCTION("""COMPUTED_VALUE"""),"DeepLib: Machine translation techniques to recommend upgrades for third-party libraries")</f>
        <v>DeepLib: Machine translation techniques to recommend upgrades for third-party libraries</v>
      </c>
      <c r="C602" s="15" t="str">
        <f ca="1">VLOOKUP(B602,'ALL DATABASES'!$A$1:$T$2252,2,FALSE)</f>
        <v>Nguyen PT,Di Rocco J,Rubei R,Di Sipio C,Di Ruscio D</v>
      </c>
      <c r="D602" s="15">
        <f ca="1">VLOOKUP(B602,'ALL DATABASES'!$A$1:$T$2252,5,FALSE)</f>
        <v>2022</v>
      </c>
      <c r="E602" s="15">
        <f ca="1">VLOOKUP(B602,'ALL DATABASES'!$A$1:$T$2252,10,FALSE)</f>
        <v>2022</v>
      </c>
      <c r="F602" s="54" t="str">
        <f ca="1">VLOOKUP(B602,'ALL DATABASES'!$A$1:$T$2252,14,FALSE)</f>
        <v>https://www.sciencedirect.com/science/article/pii/S0957417422006388;http://dx.doi.org/10.1016/j.eswa.2022.117267</v>
      </c>
      <c r="G602" s="15" t="str">
        <f ca="1">VLOOKUP(B602,'ALL DATABASES'!$A$1:$T$2252,3,FALSE)</f>
        <v>Journal Article</v>
      </c>
      <c r="H602" s="50" t="str">
        <f ca="1">VLOOKUP(B602,'ALL DATABASES'!$A$1:$T$2252,20,FALSE)</f>
        <v>SCIENCEDIRECT</v>
      </c>
    </row>
    <row r="603" spans="1:8" ht="12.75" x14ac:dyDescent="0.2">
      <c r="A603">
        <v>602</v>
      </c>
      <c r="B603" s="15" t="str">
        <f ca="1">IFERROR(__xludf.DUMMYFUNCTION("""COMPUTED_VALUE"""),"DeepSoft: A Vision for a Deep Model of Software")</f>
        <v>DeepSoft: A Vision for a Deep Model of Software</v>
      </c>
      <c r="C603" s="15" t="str">
        <f ca="1">VLOOKUP(B603,'ALL DATABASES'!$A$1:$T$2252,2,FALSE)</f>
        <v>Dam HK,Tran T,Grundy J,Ghose A</v>
      </c>
      <c r="D603" s="15">
        <f ca="1">VLOOKUP(B603,'ALL DATABASES'!$A$1:$T$2252,5,FALSE)</f>
        <v>2016</v>
      </c>
      <c r="E603" s="15">
        <f ca="1">VLOOKUP(B603,'ALL DATABASES'!$A$1:$T$2252,10,FALSE)</f>
        <v>2016</v>
      </c>
      <c r="F603" s="54" t="str">
        <f ca="1">VLOOKUP(B603,'ALL DATABASES'!$A$1:$T$2252,14,FALSE)</f>
        <v>https://doi.org/10.1145/2950290.2983985;http://dx.doi.org/10.1145/2950290.2983985</v>
      </c>
      <c r="G603" s="15" t="str">
        <f ca="1">VLOOKUP(B603,'ALL DATABASES'!$A$1:$T$2252,3,FALSE)</f>
        <v>Conference Paper</v>
      </c>
      <c r="H603" s="50" t="str">
        <f ca="1">VLOOKUP(B603,'ALL DATABASES'!$A$1:$T$2252,20,FALSE)</f>
        <v>ACM</v>
      </c>
    </row>
    <row r="604" spans="1:8" ht="12.75" x14ac:dyDescent="0.2">
      <c r="A604">
        <v>603</v>
      </c>
      <c r="B604" s="15" t="str">
        <f ca="1">IFERROR(__xludf.DUMMYFUNCTION("""COMPUTED_VALUE"""),"DeepTest: Automated testing of deep-neural-network-driven autonomous cars")</f>
        <v>DeepTest: Automated testing of deep-neural-network-driven autonomous cars</v>
      </c>
      <c r="C604" s="15" t="str">
        <f ca="1">VLOOKUP(B604,'ALL DATABASES'!$A$1:$T$2252,2,FALSE)</f>
        <v>Jana S,Tian Y,Pei K,Ray B</v>
      </c>
      <c r="D604" s="15">
        <f ca="1">VLOOKUP(B604,'ALL DATABASES'!$A$1:$T$2252,5,FALSE)</f>
        <v>2018</v>
      </c>
      <c r="E604" s="15">
        <f ca="1">VLOOKUP(B604,'ALL DATABASES'!$A$1:$T$2252,10,FALSE)</f>
        <v>2018</v>
      </c>
      <c r="F604" s="54" t="str">
        <f ca="1">VLOOKUP(B604,'ALL DATABASES'!$A$1:$T$2252,14,FALSE)</f>
        <v>https://www.scopus.com/inward/record.uri?eid=2-s2.0-85069772253&amp;doi=10.1145%2f3180155.3180220&amp;partnerID=40&amp;md5=bd81c43f9e437a21d2524b38678cb67f;http://dx.doi.org/10.1145/3180155.3180220</v>
      </c>
      <c r="G604" s="15" t="str">
        <f ca="1">VLOOKUP(B604,'ALL DATABASES'!$A$1:$T$2252,3,FALSE)</f>
        <v>Conference Paper</v>
      </c>
      <c r="H604" s="50" t="str">
        <f ca="1">VLOOKUP(B604,'ALL DATABASES'!$A$1:$T$2252,20,FALSE)</f>
        <v>SCOPUS</v>
      </c>
    </row>
    <row r="605" spans="1:8" ht="12.75" x14ac:dyDescent="0.2">
      <c r="A605">
        <v>604</v>
      </c>
      <c r="B605" s="15" t="str">
        <f ca="1">IFERROR(__xludf.DUMMYFUNCTION("""COMPUTED_VALUE"""),"Defect Report Severity Prediction Based on Genetic Algorithms and Convolutional Neural Network")</f>
        <v>Defect Report Severity Prediction Based on Genetic Algorithms and Convolutional Neural Network</v>
      </c>
      <c r="C605" s="15" t="str">
        <f ca="1">VLOOKUP(B605,'ALL DATABASES'!$A$1:$T$2252,2,FALSE)</f>
        <v>Guo S,Chen X,Yu D</v>
      </c>
      <c r="D605" s="15">
        <f ca="1">VLOOKUP(B605,'ALL DATABASES'!$A$1:$T$2252,5,FALSE)</f>
        <v>2020</v>
      </c>
      <c r="E605" s="15">
        <f ca="1">VLOOKUP(B605,'ALL DATABASES'!$A$1:$T$2252,10,FALSE)</f>
        <v>2020</v>
      </c>
      <c r="F605" s="54" t="str">
        <f ca="1">VLOOKUP(B605,'ALL DATABASES'!$A$1:$T$2252,14,FALSE)</f>
        <v>https://www.scopus.com/inward/record.uri?eid=2-s2.0-85105369998&amp;doi=10.1109%2fTASE49443.2020.00012&amp;partnerID=40&amp;md5=4698bb49666119a0b843832b20db9c1c;http://dx.doi.org/10.1109/TASE49443.2020.00012</v>
      </c>
      <c r="G605" s="15" t="str">
        <f ca="1">VLOOKUP(B605,'ALL DATABASES'!$A$1:$T$2252,3,FALSE)</f>
        <v>Conference Paper</v>
      </c>
      <c r="H605" s="50" t="str">
        <f ca="1">VLOOKUP(B605,'ALL DATABASES'!$A$1:$T$2252,20,FALSE)</f>
        <v>SCOPUS</v>
      </c>
    </row>
    <row r="606" spans="1:8" ht="12.75" x14ac:dyDescent="0.2">
      <c r="A606">
        <v>605</v>
      </c>
      <c r="B606" s="15" t="str">
        <f ca="1">IFERROR(__xludf.DUMMYFUNCTION("""COMPUTED_VALUE"""),"Defining the Decision Factors for Managing Defects: A Technical Debt Perspective")</f>
        <v>Defining the Decision Factors for Managing Defects: A Technical Debt Perspective</v>
      </c>
      <c r="C606" s="15" t="str">
        <f ca="1">VLOOKUP(B606,'ALL DATABASES'!$A$1:$T$2252,2,FALSE)</f>
        <v>Snipes W,Robinson B,Guo Y,Seaman C</v>
      </c>
      <c r="D606" s="15">
        <f ca="1">VLOOKUP(B606,'ALL DATABASES'!$A$1:$T$2252,5,FALSE)</f>
        <v>2012</v>
      </c>
      <c r="E606" s="15">
        <f ca="1">VLOOKUP(B606,'ALL DATABASES'!$A$1:$T$2252,10,FALSE)</f>
        <v>2012</v>
      </c>
      <c r="F606" s="15">
        <f ca="1">VLOOKUP(B606,'ALL DATABASES'!$A$1:$T$2252,14,FALSE)</f>
        <v>0</v>
      </c>
      <c r="G606" s="15" t="str">
        <f ca="1">VLOOKUP(B606,'ALL DATABASES'!$A$1:$T$2252,3,FALSE)</f>
        <v>Conference Paper</v>
      </c>
      <c r="H606" s="50" t="str">
        <f ca="1">VLOOKUP(B606,'ALL DATABASES'!$A$1:$T$2252,20,FALSE)</f>
        <v>ACM</v>
      </c>
    </row>
    <row r="607" spans="1:8" ht="12.75" x14ac:dyDescent="0.2">
      <c r="A607">
        <v>606</v>
      </c>
      <c r="B607" s="15" t="str">
        <f ca="1">IFERROR(__xludf.DUMMYFUNCTION("""COMPUTED_VALUE"""),"Deliver Digital Experience")</f>
        <v>Deliver Digital Experience</v>
      </c>
      <c r="C607" s="15" t="str">
        <f ca="1">VLOOKUP(B607,'ALL DATABASES'!$A$1:$T$2252,2,FALSE)</f>
        <v>Mohan Bhatia</v>
      </c>
      <c r="D607" s="15">
        <f ca="1">VLOOKUP(B607,'ALL DATABASES'!$A$1:$T$2252,5,FALSE)</f>
        <v>2022</v>
      </c>
      <c r="E607" s="15">
        <f ca="1">VLOOKUP(B607,'ALL DATABASES'!$A$1:$T$2252,10,FALSE)</f>
        <v>0</v>
      </c>
      <c r="F607" s="54" t="str">
        <f ca="1">VLOOKUP(B607,'ALL DATABASES'!$A$1:$T$2252,14,FALSE)</f>
        <v>http://link.springer.com/chapter/10.1007/978-981-16-6069-6_5</v>
      </c>
      <c r="G607" s="15" t="str">
        <f ca="1">VLOOKUP(B607,'ALL DATABASES'!$A$1:$T$2252,3,FALSE)</f>
        <v>Chapter</v>
      </c>
      <c r="H607" s="50" t="str">
        <f ca="1">VLOOKUP(B607,'ALL DATABASES'!$A$1:$T$2252,20,FALSE)</f>
        <v>SPRINGER</v>
      </c>
    </row>
    <row r="608" spans="1:8" ht="12.75" x14ac:dyDescent="0.2">
      <c r="A608">
        <v>607</v>
      </c>
      <c r="B608" s="15" t="str">
        <f ca="1">IFERROR(__xludf.DUMMYFUNCTION("""COMPUTED_VALUE"""),"Demystifying Data Science Projects: A Look on the People and Process of Data Science Today")</f>
        <v>Demystifying Data Science Projects: A Look on the People and Process of Data Science Today</v>
      </c>
      <c r="C608" s="15" t="str">
        <f ca="1">VLOOKUP(B608,'ALL DATABASES'!$A$1:$T$2252,2,FALSE)</f>
        <v>Aho T,Sievi-Korte O,Kilamo T,Yaman S,Mikkonen T</v>
      </c>
      <c r="D608" s="15">
        <f ca="1">VLOOKUP(B608,'ALL DATABASES'!$A$1:$T$2252,5,FALSE)</f>
        <v>2020</v>
      </c>
      <c r="E608" s="15">
        <f ca="1">VLOOKUP(B608,'ALL DATABASES'!$A$1:$T$2252,10,FALSE)</f>
        <v>2020</v>
      </c>
      <c r="F608" s="54" t="str">
        <f ca="1">VLOOKUP(B608,'ALL DATABASES'!$A$1:$T$2252,14,FALSE)</f>
        <v>https://www.scopus.com/inward/record.uri?eid=2-s2.0-85097644879&amp;doi=10.1007%2f978-3-030-64148-1_10&amp;partnerID=40&amp;md5=3b7d291d1dbc27d47773d40d60fdbd7e;http://dx.doi.org/10.1007/978-3-030-64148-1_10</v>
      </c>
      <c r="G608" s="15" t="str">
        <f ca="1">VLOOKUP(B608,'ALL DATABASES'!$A$1:$T$2252,3,FALSE)</f>
        <v>Journal Article</v>
      </c>
      <c r="H608" s="50" t="str">
        <f ca="1">VLOOKUP(B608,'ALL DATABASES'!$A$1:$T$2252,20,FALSE)</f>
        <v>SCOPUS</v>
      </c>
    </row>
    <row r="609" spans="1:8" ht="12.75" x14ac:dyDescent="0.2">
      <c r="A609">
        <v>608</v>
      </c>
      <c r="B609" s="15" t="str">
        <f ca="1">IFERROR(__xludf.DUMMYFUNCTION("""COMPUTED_VALUE"""),"Dependency Smells in JavaScript Projects")</f>
        <v>Dependency Smells in JavaScript Projects</v>
      </c>
      <c r="C609" s="15" t="str">
        <f ca="1">VLOOKUP(B609,'ALL DATABASES'!$A$1:$T$2252,2,FALSE)</f>
        <v>Jafari AJ,Costa DE,Abdalkareem R,Shihab E,Tsantalis N</v>
      </c>
      <c r="D609" s="15">
        <f ca="1">VLOOKUP(B609,'ALL DATABASES'!$A$1:$T$2252,5,FALSE)</f>
        <v>2022</v>
      </c>
      <c r="E609" s="53">
        <f ca="1">VLOOKUP(B609,'ALL DATABASES'!$A$1:$T$2252,10,FALSE)</f>
        <v>44835</v>
      </c>
      <c r="F609" s="54" t="str">
        <f ca="1">VLOOKUP(B609,'ALL DATABASES'!$A$1:$T$2252,14,FALSE)</f>
        <v>http://dx.doi.org/10.1109/TSE.2021.3106247</v>
      </c>
      <c r="G609" s="15" t="str">
        <f ca="1">VLOOKUP(B609,'ALL DATABASES'!$A$1:$T$2252,3,FALSE)</f>
        <v>Journal Article</v>
      </c>
      <c r="H609" s="50" t="str">
        <f ca="1">VLOOKUP(B609,'ALL DATABASES'!$A$1:$T$2252,20,FALSE)</f>
        <v>IEEE</v>
      </c>
    </row>
    <row r="610" spans="1:8" ht="12.75" x14ac:dyDescent="0.2">
      <c r="A610">
        <v>609</v>
      </c>
      <c r="B610" s="15" t="str">
        <f ca="1">IFERROR(__xludf.DUMMYFUNCTION("""COMPUTED_VALUE"""),"DEPICTER: A Design-Principle Guided and Heuristic-Rule Constrained Software Refactoring Approach")</f>
        <v>DEPICTER: A Design-Principle Guided and Heuristic-Rule Constrained Software Refactoring Approach</v>
      </c>
      <c r="C610" s="15" t="str">
        <f ca="1">VLOOKUP(B610,'ALL DATABASES'!$A$1:$T$2252,2,FALSE)</f>
        <v>Zhao Y,Yang Y,Zhou Y,Ding Z</v>
      </c>
      <c r="D610" s="15">
        <f ca="1">VLOOKUP(B610,'ALL DATABASES'!$A$1:$T$2252,5,FALSE)</f>
        <v>2022</v>
      </c>
      <c r="E610" s="15">
        <f ca="1">VLOOKUP(B610,'ALL DATABASES'!$A$1:$T$2252,10,FALSE)</f>
        <v>2022</v>
      </c>
      <c r="F610" s="54" t="str">
        <f ca="1">VLOOKUP(B610,'ALL DATABASES'!$A$1:$T$2252,14,FALSE)</f>
        <v>https://www.scopus.com/inward/record.uri?eid=2-s2.0-85128603213&amp;doi=10.1109%2fTR.2022.3159851&amp;partnerID=40&amp;md5=34f70bed258ee2f6c67413470fb980d1;http://dx.doi.org/10.1109/TR.2022.3159851</v>
      </c>
      <c r="G610" s="15" t="str">
        <f ca="1">VLOOKUP(B610,'ALL DATABASES'!$A$1:$T$2252,3,FALSE)</f>
        <v>Journal Article</v>
      </c>
      <c r="H610" s="50" t="str">
        <f ca="1">VLOOKUP(B610,'ALL DATABASES'!$A$1:$T$2252,20,FALSE)</f>
        <v>SCOPUS</v>
      </c>
    </row>
    <row r="611" spans="1:8" ht="12.75" x14ac:dyDescent="0.2">
      <c r="A611">
        <v>610</v>
      </c>
      <c r="B611" s="15" t="str">
        <f ca="1">IFERROR(__xludf.DUMMYFUNCTION("""COMPUTED_VALUE"""),"Deployable Machine Learning for Security Defense")</f>
        <v>Deployable Machine Learning for Security Defense</v>
      </c>
      <c r="C611" s="15" t="str">
        <f ca="1">VLOOKUP(B611,'ALL DATABASES'!$A$1:$T$2252,2,FALSE)</f>
        <v>Gang WangArridhana CiptadiAli Ahmadzadeh</v>
      </c>
      <c r="D611" s="15">
        <f ca="1">VLOOKUP(B611,'ALL DATABASES'!$A$1:$T$2252,5,FALSE)</f>
        <v>2021</v>
      </c>
      <c r="E611" s="15">
        <f ca="1">VLOOKUP(B611,'ALL DATABASES'!$A$1:$T$2252,10,FALSE)</f>
        <v>0</v>
      </c>
      <c r="F611" s="54" t="str">
        <f ca="1">VLOOKUP(B611,'ALL DATABASES'!$A$1:$T$2252,14,FALSE)</f>
        <v>http://link.springer.com/book/10.1007/978-3-030-87839-9</v>
      </c>
      <c r="G611" s="15" t="str">
        <f ca="1">VLOOKUP(B611,'ALL DATABASES'!$A$1:$T$2252,3,FALSE)</f>
        <v>Book</v>
      </c>
      <c r="H611" s="50" t="str">
        <f ca="1">VLOOKUP(B611,'ALL DATABASES'!$A$1:$T$2252,20,FALSE)</f>
        <v>SPRINGER</v>
      </c>
    </row>
    <row r="612" spans="1:8" ht="12.75" x14ac:dyDescent="0.2">
      <c r="A612">
        <v>611</v>
      </c>
      <c r="B612" s="15" t="str">
        <f ca="1">IFERROR(__xludf.DUMMYFUNCTION("""COMPUTED_VALUE"""),"Deployment of a Machine Learning System for Predicting Lawsuits against Power Companies: Lessons Learned from an Agile Testing Experience for Improving Software Quality")</f>
        <v>Deployment of a Machine Learning System for Predicting Lawsuits against Power Companies: Lessons Learned from an Agile Testing Experience for Improving Software Quality</v>
      </c>
      <c r="C612" s="15" t="str">
        <f ca="1">VLOOKUP(B612,'ALL DATABASES'!$A$1:$T$2252,2,FALSE)</f>
        <v>Rivero L,Diniz J,Silva G,Borralho G,Braz Junior G,Paiva A,Alves E,Oliveira M</v>
      </c>
      <c r="D612" s="15">
        <f ca="1">VLOOKUP(B612,'ALL DATABASES'!$A$1:$T$2252,5,FALSE)</f>
        <v>2020</v>
      </c>
      <c r="E612" s="15">
        <f ca="1">VLOOKUP(B612,'ALL DATABASES'!$A$1:$T$2252,10,FALSE)</f>
        <v>2020</v>
      </c>
      <c r="F612" s="54" t="str">
        <f ca="1">VLOOKUP(B612,'ALL DATABASES'!$A$1:$T$2252,14,FALSE)</f>
        <v>https://www.scopus.com/inward/record.uri?eid=2-s2.0-85102876306&amp;doi=10.1145%2f3439961.3439991&amp;partnerID=40&amp;md5=ddef4fc9d5751caf581e9bf85ad76ca1;http://dx.doi.org/10.1145/3439961.3439991</v>
      </c>
      <c r="G612" s="15" t="str">
        <f ca="1">VLOOKUP(B612,'ALL DATABASES'!$A$1:$T$2252,3,FALSE)</f>
        <v>Conference Paper</v>
      </c>
      <c r="H612" s="50" t="str">
        <f ca="1">VLOOKUP(B612,'ALL DATABASES'!$A$1:$T$2252,20,FALSE)</f>
        <v>SCOPUS</v>
      </c>
    </row>
    <row r="613" spans="1:8" ht="12.75" x14ac:dyDescent="0.2">
      <c r="A613">
        <v>612</v>
      </c>
      <c r="B613" s="15" t="str">
        <f ca="1">IFERROR(__xludf.DUMMYFUNCTION("""COMPUTED_VALUE"""),"Deriving and evaluating a fault model for testing data science applications")</f>
        <v>Deriving and evaluating a fault model for testing data science applications</v>
      </c>
      <c r="C613" s="15" t="str">
        <f ca="1">VLOOKUP(B613,'ALL DATABASES'!$A$1:$T$2252,2,FALSE)</f>
        <v>Aftab Jilani A,Sherin S,Ijaz S,Zohaib Iqbal M,Uzair Khan M</v>
      </c>
      <c r="D613" s="15">
        <f ca="1">VLOOKUP(B613,'ALL DATABASES'!$A$1:$T$2252,5,FALSE)</f>
        <v>2022</v>
      </c>
      <c r="E613" s="15">
        <f ca="1">VLOOKUP(B613,'ALL DATABASES'!$A$1:$T$2252,10,FALSE)</f>
        <v>2022</v>
      </c>
      <c r="F613" s="54" t="str">
        <f ca="1">VLOOKUP(B613,'ALL DATABASES'!$A$1:$T$2252,14,FALSE)</f>
        <v>https://www.scopus.com/inward/record.uri?eid=2-s2.0-85126361168&amp;doi=10.1002%2fsmr.2449&amp;partnerID=40&amp;md5=3cdc6ecc89f6f54c3fe47a0ab41f7662;http://dx.doi.org/10.1002/smr.2449</v>
      </c>
      <c r="G613" s="15" t="str">
        <f ca="1">VLOOKUP(B613,'ALL DATABASES'!$A$1:$T$2252,3,FALSE)</f>
        <v>Journal Article</v>
      </c>
      <c r="H613" s="50" t="str">
        <f ca="1">VLOOKUP(B613,'ALL DATABASES'!$A$1:$T$2252,20,FALSE)</f>
        <v>SCOPUS</v>
      </c>
    </row>
    <row r="614" spans="1:8" ht="12.75" x14ac:dyDescent="0.2">
      <c r="A614">
        <v>613</v>
      </c>
      <c r="B614" s="15" t="str">
        <f ca="1">IFERROR(__xludf.DUMMYFUNCTION("""COMPUTED_VALUE"""),"Design choices in building an MSR tool: The case of Kaiaulu")</f>
        <v>Design choices in building an MSR tool: The case of Kaiaulu</v>
      </c>
      <c r="C614" s="15" t="str">
        <f ca="1">VLOOKUP(B614,'ALL DATABASES'!$A$1:$T$2252,2,FALSE)</f>
        <v>Paradis C,Kazman R</v>
      </c>
      <c r="D614" s="15">
        <f ca="1">VLOOKUP(B614,'ALL DATABASES'!$A$1:$T$2252,5,FALSE)</f>
        <v>2021</v>
      </c>
      <c r="E614" s="15">
        <f ca="1">VLOOKUP(B614,'ALL DATABASES'!$A$1:$T$2252,10,FALSE)</f>
        <v>2021</v>
      </c>
      <c r="F614" s="54" t="str">
        <f ca="1">VLOOKUP(B614,'ALL DATABASES'!$A$1:$T$2252,14,FALSE)</f>
        <v>https://www.scopus.com/inward/record.uri?eid=2-s2.0-85117760287&amp;partnerID=40&amp;md5=81955a0a280b9878ff39973f036d6744</v>
      </c>
      <c r="G614" s="15" t="str">
        <f ca="1">VLOOKUP(B614,'ALL DATABASES'!$A$1:$T$2252,3,FALSE)</f>
        <v>Conference Paper</v>
      </c>
      <c r="H614" s="50" t="str">
        <f ca="1">VLOOKUP(B614,'ALL DATABASES'!$A$1:$T$2252,20,FALSE)</f>
        <v>SCOPUS</v>
      </c>
    </row>
    <row r="615" spans="1:8" ht="12.75" x14ac:dyDescent="0.2">
      <c r="A615">
        <v>614</v>
      </c>
      <c r="B615" s="15" t="str">
        <f ca="1">IFERROR(__xludf.DUMMYFUNCTION("""COMPUTED_VALUE"""),"Design Rule Spaces: A New Model for Representing and Analyzing Software Architecture")</f>
        <v>Design Rule Spaces: A New Model for Representing and Analyzing Software Architecture</v>
      </c>
      <c r="C615" s="15" t="str">
        <f ca="1">VLOOKUP(B615,'ALL DATABASES'!$A$1:$T$2252,2,FALSE)</f>
        <v>Cai Y,Xiao L,Kazman R,Mo R,Feng Q</v>
      </c>
      <c r="D615" s="15">
        <f ca="1">VLOOKUP(B615,'ALL DATABASES'!$A$1:$T$2252,5,FALSE)</f>
        <v>2019</v>
      </c>
      <c r="E615" s="55">
        <f ca="1">VLOOKUP(B615,'ALL DATABASES'!$A$1:$T$2252,10,FALSE)</f>
        <v>43647</v>
      </c>
      <c r="F615" s="54" t="str">
        <f ca="1">VLOOKUP(B615,'ALL DATABASES'!$A$1:$T$2252,14,FALSE)</f>
        <v>http://dx.doi.org/10.1109/TSE.2018.2797899</v>
      </c>
      <c r="G615" s="15" t="str">
        <f ca="1">VLOOKUP(B615,'ALL DATABASES'!$A$1:$T$2252,3,FALSE)</f>
        <v>Journal Article</v>
      </c>
      <c r="H615" s="50" t="str">
        <f ca="1">VLOOKUP(B615,'ALL DATABASES'!$A$1:$T$2252,20,FALSE)</f>
        <v>IEEE</v>
      </c>
    </row>
    <row r="616" spans="1:8" ht="12.75" x14ac:dyDescent="0.2">
      <c r="A616">
        <v>615</v>
      </c>
      <c r="B616" s="15" t="str">
        <f ca="1">IFERROR(__xludf.DUMMYFUNCTION("""COMPUTED_VALUE"""),"Design Smell Detection and Analysis for Open Source Java Software")</f>
        <v>Design Smell Detection and Analysis for Open Source Java Software</v>
      </c>
      <c r="C616" s="15" t="str">
        <f ca="1">VLOOKUP(B616,'ALL DATABASES'!$A$1:$T$2252,2,FALSE)</f>
        <v>Imran A</v>
      </c>
      <c r="D616" s="15">
        <f ca="1">VLOOKUP(B616,'ALL DATABASES'!$A$1:$T$2252,5,FALSE)</f>
        <v>2019</v>
      </c>
      <c r="E616" s="15">
        <f ca="1">VLOOKUP(B616,'ALL DATABASES'!$A$1:$T$2252,10,FALSE)</f>
        <v>2019</v>
      </c>
      <c r="F616" s="54" t="str">
        <f ca="1">VLOOKUP(B616,'ALL DATABASES'!$A$1:$T$2252,14,FALSE)</f>
        <v>https://www.scopus.com/inward/record.uri?eid=2-s2.0-85077221156&amp;doi=10.1109%2fICSME.2019.00104&amp;partnerID=40&amp;md5=3eb16b13510268612b5061a5c90aedcf;http://dx.doi.org/10.1109/ICSME.2019.00104</v>
      </c>
      <c r="G616" s="15" t="str">
        <f ca="1">VLOOKUP(B616,'ALL DATABASES'!$A$1:$T$2252,3,FALSE)</f>
        <v>Conference Paper</v>
      </c>
      <c r="H616" s="50" t="str">
        <f ca="1">VLOOKUP(B616,'ALL DATABASES'!$A$1:$T$2252,20,FALSE)</f>
        <v>SCOPUS</v>
      </c>
    </row>
    <row r="617" spans="1:8" ht="12.75" x14ac:dyDescent="0.2">
      <c r="A617">
        <v>616</v>
      </c>
      <c r="B617" s="15" t="str">
        <f ca="1">IFERROR(__xludf.DUMMYFUNCTION("""COMPUTED_VALUE"""),"Design, User Experience, and Usability: Theory and Practice")</f>
        <v>Design, User Experience, and Usability: Theory and Practice</v>
      </c>
      <c r="C617" s="15" t="str">
        <f ca="1">VLOOKUP(B617,'ALL DATABASES'!$A$1:$T$2252,2,FALSE)</f>
        <v>Prof. Aaron MarcusWentao Wang</v>
      </c>
      <c r="D617" s="15">
        <f ca="1">VLOOKUP(B617,'ALL DATABASES'!$A$1:$T$2252,5,FALSE)</f>
        <v>2018</v>
      </c>
      <c r="E617" s="15">
        <f ca="1">VLOOKUP(B617,'ALL DATABASES'!$A$1:$T$2252,10,FALSE)</f>
        <v>0</v>
      </c>
      <c r="F617" s="54" t="str">
        <f ca="1">VLOOKUP(B617,'ALL DATABASES'!$A$1:$T$2252,14,FALSE)</f>
        <v>http://link.springer.com/book/10.1007/978-3-319-91797-9</v>
      </c>
      <c r="G617" s="15" t="str">
        <f ca="1">VLOOKUP(B617,'ALL DATABASES'!$A$1:$T$2252,3,FALSE)</f>
        <v>Book</v>
      </c>
      <c r="H617" s="50" t="str">
        <f ca="1">VLOOKUP(B617,'ALL DATABASES'!$A$1:$T$2252,20,FALSE)</f>
        <v>SPRINGER</v>
      </c>
    </row>
    <row r="618" spans="1:8" ht="12.75" x14ac:dyDescent="0.2">
      <c r="A618">
        <v>617</v>
      </c>
      <c r="B618" s="15" t="str">
        <f ca="1">IFERROR(__xludf.DUMMYFUNCTION("""COMPUTED_VALUE"""),"Designing the Software Systems of the Future")</f>
        <v>Designing the Software Systems of the Future</v>
      </c>
      <c r="C618" s="15" t="str">
        <f ca="1">VLOOKUP(B618,'ALL DATABASES'!$A$1:$T$2252,2,FALSE)</f>
        <v>Northrop L,Ozkaya I,Fairbanks G,Keeling M</v>
      </c>
      <c r="D618" s="15">
        <f ca="1">VLOOKUP(B618,'ALL DATABASES'!$A$1:$T$2252,5,FALSE)</f>
        <v>2019</v>
      </c>
      <c r="E618" s="55">
        <f ca="1">VLOOKUP(B618,'ALL DATABASES'!$A$1:$T$2252,10,FALSE)</f>
        <v>43466</v>
      </c>
      <c r="F618" s="54" t="str">
        <f ca="1">VLOOKUP(B618,'ALL DATABASES'!$A$1:$T$2252,14,FALSE)</f>
        <v>https://doi.org/10.1145/3282517.3302397;http://dx.doi.org/10.1145/3282517.3302397</v>
      </c>
      <c r="G618" s="15" t="str">
        <f ca="1">VLOOKUP(B618,'ALL DATABASES'!$A$1:$T$2252,3,FALSE)</f>
        <v>Journal Article</v>
      </c>
      <c r="H618" s="50" t="str">
        <f ca="1">VLOOKUP(B618,'ALL DATABASES'!$A$1:$T$2252,20,FALSE)</f>
        <v>ACM</v>
      </c>
    </row>
    <row r="619" spans="1:8" ht="12.75" x14ac:dyDescent="0.2">
      <c r="A619">
        <v>618</v>
      </c>
      <c r="B619" s="15" t="str">
        <f ca="1">IFERROR(__xludf.DUMMYFUNCTION("""COMPUTED_VALUE"""),"Detecting and Classifying Self-Admitted of Technical Debt with CNN-BiLSTM")</f>
        <v>Detecting and Classifying Self-Admitted of Technical Debt with CNN-BiLSTM</v>
      </c>
      <c r="C619" s="15" t="str">
        <f ca="1">VLOOKUP(B619,'ALL DATABASES'!$A$1:$T$2252,2,FALSE)</f>
        <v>Zhu K,Yin M,Li Y</v>
      </c>
      <c r="D619" s="15">
        <f ca="1">VLOOKUP(B619,'ALL DATABASES'!$A$1:$T$2252,5,FALSE)</f>
        <v>2021</v>
      </c>
      <c r="E619" s="15">
        <f ca="1">VLOOKUP(B619,'ALL DATABASES'!$A$1:$T$2252,10,FALSE)</f>
        <v>2021</v>
      </c>
      <c r="F619" s="54" t="str">
        <f ca="1">VLOOKUP(B619,'ALL DATABASES'!$A$1:$T$2252,14,FALSE)</f>
        <v>https://www.scopus.com/inward/record.uri?eid=2-s2.0-85109370861&amp;doi=10.1088%2f1742-6596%2f1955%2f1%2f012102&amp;partnerID=40&amp;md5=9fc23f8475fd6669354976ce553fb5c6;http://dx.doi.org/10.1088/1742-6596/1955/1/012102</v>
      </c>
      <c r="G619" s="15" t="str">
        <f ca="1">VLOOKUP(B619,'ALL DATABASES'!$A$1:$T$2252,3,FALSE)</f>
        <v>Conference Paper</v>
      </c>
      <c r="H619" s="50" t="str">
        <f ca="1">VLOOKUP(B619,'ALL DATABASES'!$A$1:$T$2252,20,FALSE)</f>
        <v>SCOPUS</v>
      </c>
    </row>
    <row r="620" spans="1:8" ht="12.75" x14ac:dyDescent="0.2">
      <c r="A620">
        <v>619</v>
      </c>
      <c r="B620" s="15" t="str">
        <f ca="1">IFERROR(__xludf.DUMMYFUNCTION("""COMPUTED_VALUE"""),"Detecting and Explaining Self-Admitted Technical Debts with Attention-Based Neural Networks")</f>
        <v>Detecting and Explaining Self-Admitted Technical Debts with Attention-Based Neural Networks</v>
      </c>
      <c r="C620" s="15" t="str">
        <f ca="1">VLOOKUP(B620,'ALL DATABASES'!$A$1:$T$2252,2,FALSE)</f>
        <v>Wang X,Liu J,Li L,Chen X,Liu X,Wu H</v>
      </c>
      <c r="D620" s="15">
        <f ca="1">VLOOKUP(B620,'ALL DATABASES'!$A$1:$T$2252,5,FALSE)</f>
        <v>2021</v>
      </c>
      <c r="E620" s="15">
        <f ca="1">VLOOKUP(B620,'ALL DATABASES'!$A$1:$T$2252,10,FALSE)</f>
        <v>2021</v>
      </c>
      <c r="F620" s="54" t="str">
        <f ca="1">VLOOKUP(B620,'ALL DATABASES'!$A$1:$T$2252,14,FALSE)</f>
        <v>https://doi.org/10.1145/3324884.3416583;http://dx.doi.org/10.1145/3324884.3416583</v>
      </c>
      <c r="G620" s="15" t="str">
        <f ca="1">VLOOKUP(B620,'ALL DATABASES'!$A$1:$T$2252,3,FALSE)</f>
        <v>Conference Paper</v>
      </c>
      <c r="H620" s="50" t="str">
        <f ca="1">VLOOKUP(B620,'ALL DATABASES'!$A$1:$T$2252,20,FALSE)</f>
        <v>ACM</v>
      </c>
    </row>
    <row r="621" spans="1:8" ht="12.75" x14ac:dyDescent="0.2">
      <c r="A621">
        <v>620</v>
      </c>
      <c r="B621" s="15" t="str">
        <f ca="1">IFERROR(__xludf.DUMMYFUNCTION("""COMPUTED_VALUE"""),"Detecting and Managing Code Smells: Research and Practice")</f>
        <v>Detecting and Managing Code Smells: Research and Practice</v>
      </c>
      <c r="C621" s="15" t="str">
        <f ca="1">VLOOKUP(B621,'ALL DATABASES'!$A$1:$T$2252,2,FALSE)</f>
        <v>Sharma T</v>
      </c>
      <c r="D621" s="15">
        <f ca="1">VLOOKUP(B621,'ALL DATABASES'!$A$1:$T$2252,5,FALSE)</f>
        <v>2018</v>
      </c>
      <c r="E621" s="15">
        <f ca="1">VLOOKUP(B621,'ALL DATABASES'!$A$1:$T$2252,10,FALSE)</f>
        <v>2018</v>
      </c>
      <c r="F621" s="54" t="str">
        <f ca="1">VLOOKUP(B621,'ALL DATABASES'!$A$1:$T$2252,14,FALSE)</f>
        <v>https://doi.org/10.1145/3183440.3183460;http://dx.doi.org/10.1145/3183440.3183460</v>
      </c>
      <c r="G621" s="15" t="str">
        <f ca="1">VLOOKUP(B621,'ALL DATABASES'!$A$1:$T$2252,3,FALSE)</f>
        <v>Conference Paper</v>
      </c>
      <c r="H621" s="50" t="str">
        <f ca="1">VLOOKUP(B621,'ALL DATABASES'!$A$1:$T$2252,20,FALSE)</f>
        <v>ACM</v>
      </c>
    </row>
    <row r="622" spans="1:8" ht="12.75" x14ac:dyDescent="0.2">
      <c r="A622">
        <v>621</v>
      </c>
      <c r="B622" s="15" t="str">
        <f ca="1">IFERROR(__xludf.DUMMYFUNCTION("""COMPUTED_VALUE"""),"Detecting and quantifying different types of self-admitted technical Debt")</f>
        <v>Detecting and quantifying different types of self-admitted technical Debt</v>
      </c>
      <c r="C622" s="15" t="str">
        <f ca="1">VLOOKUP(B622,'ALL DATABASES'!$A$1:$T$2252,2,FALSE)</f>
        <v>Maldonado ES,Shihab E</v>
      </c>
      <c r="D622" s="15">
        <f ca="1">VLOOKUP(B622,'ALL DATABASES'!$A$1:$T$2252,5,FALSE)</f>
        <v>2015</v>
      </c>
      <c r="E622" s="53">
        <f ca="1">VLOOKUP(B622,'ALL DATABASES'!$A$1:$T$2252,10,FALSE)</f>
        <v>42278</v>
      </c>
      <c r="F622" s="54" t="str">
        <f ca="1">VLOOKUP(B622,'ALL DATABASES'!$A$1:$T$2252,14,FALSE)</f>
        <v>http://dx.doi.org/10.1109/MTD.2015.7332619</v>
      </c>
      <c r="G622" s="15" t="str">
        <f ca="1">VLOOKUP(B622,'ALL DATABASES'!$A$1:$T$2252,3,FALSE)</f>
        <v>Conference Paper</v>
      </c>
      <c r="H622" s="50" t="str">
        <f ca="1">VLOOKUP(B622,'ALL DATABASES'!$A$1:$T$2252,20,FALSE)</f>
        <v>IEEE</v>
      </c>
    </row>
    <row r="623" spans="1:8" ht="12.75" x14ac:dyDescent="0.2">
      <c r="A623">
        <v>622</v>
      </c>
      <c r="B623" s="15" t="str">
        <f ca="1">IFERROR(__xludf.DUMMYFUNCTION("""COMPUTED_VALUE"""),"Detecting Architectural Integrity Violation Patterns Using Machine Learning")</f>
        <v>Detecting Architectural Integrity Violation Patterns Using Machine Learning</v>
      </c>
      <c r="C623" s="15" t="str">
        <f ca="1">VLOOKUP(B623,'ALL DATABASES'!$A$1:$T$2252,2,FALSE)</f>
        <v>Zakurdaeva A,Weiss M,Muegge S</v>
      </c>
      <c r="D623" s="15">
        <f ca="1">VLOOKUP(B623,'ALL DATABASES'!$A$1:$T$2252,5,FALSE)</f>
        <v>2020</v>
      </c>
      <c r="E623" s="15">
        <f ca="1">VLOOKUP(B623,'ALL DATABASES'!$A$1:$T$2252,10,FALSE)</f>
        <v>2020</v>
      </c>
      <c r="F623" s="54" t="str">
        <f ca="1">VLOOKUP(B623,'ALL DATABASES'!$A$1:$T$2252,14,FALSE)</f>
        <v>https://doi.org/10.1145/3341105.3374008;http://dx.doi.org/10.1145/3341105.3374008</v>
      </c>
      <c r="G623" s="15" t="str">
        <f ca="1">VLOOKUP(B623,'ALL DATABASES'!$A$1:$T$2252,3,FALSE)</f>
        <v>Conference Paper</v>
      </c>
      <c r="H623" s="50" t="str">
        <f ca="1">VLOOKUP(B623,'ALL DATABASES'!$A$1:$T$2252,20,FALSE)</f>
        <v>ACM</v>
      </c>
    </row>
    <row r="624" spans="1:8" ht="12.75" x14ac:dyDescent="0.2">
      <c r="A624">
        <v>623</v>
      </c>
      <c r="B624" s="15" t="str">
        <f ca="1">IFERROR(__xludf.DUMMYFUNCTION("""COMPUTED_VALUE"""),"Detecting Bad Smells with Machine Learning Algorithms: An Empirical Study")</f>
        <v>Detecting Bad Smells with Machine Learning Algorithms: An Empirical Study</v>
      </c>
      <c r="C624" s="15" t="str">
        <f ca="1">VLOOKUP(B624,'ALL DATABASES'!$A$1:$T$2252,2,FALSE)</f>
        <v>Cruz D,Santana A,Figueiredo E</v>
      </c>
      <c r="D624" s="15">
        <f ca="1">VLOOKUP(B624,'ALL DATABASES'!$A$1:$T$2252,5,FALSE)</f>
        <v>2020</v>
      </c>
      <c r="E624" s="15">
        <f ca="1">VLOOKUP(B624,'ALL DATABASES'!$A$1:$T$2252,10,FALSE)</f>
        <v>2020</v>
      </c>
      <c r="F624" s="54" t="str">
        <f ca="1">VLOOKUP(B624,'ALL DATABASES'!$A$1:$T$2252,14,FALSE)</f>
        <v>https://doi.org/10.1145/3387906.3388618;http://dx.doi.org/10.1145/3387906.3388618</v>
      </c>
      <c r="G624" s="15" t="str">
        <f ca="1">VLOOKUP(B624,'ALL DATABASES'!$A$1:$T$2252,3,FALSE)</f>
        <v>Conference Paper</v>
      </c>
      <c r="H624" s="50" t="str">
        <f ca="1">VLOOKUP(B624,'ALL DATABASES'!$A$1:$T$2252,20,FALSE)</f>
        <v>ACM</v>
      </c>
    </row>
    <row r="625" spans="1:8" ht="12.75" x14ac:dyDescent="0.2">
      <c r="A625">
        <v>624</v>
      </c>
      <c r="B625" s="15" t="str">
        <f ca="1">IFERROR(__xludf.DUMMYFUNCTION("""COMPUTED_VALUE"""),"Detecting Code Smells using Deep Learning")</f>
        <v>Detecting Code Smells using Deep Learning</v>
      </c>
      <c r="C625" s="15" t="str">
        <f ca="1">VLOOKUP(B625,'ALL DATABASES'!$A$1:$T$2252,2,FALSE)</f>
        <v>Das AK,Yadav S,Dhal S</v>
      </c>
      <c r="D625" s="15">
        <f ca="1">VLOOKUP(B625,'ALL DATABASES'!$A$1:$T$2252,5,FALSE)</f>
        <v>2019</v>
      </c>
      <c r="E625" s="53">
        <f ca="1">VLOOKUP(B625,'ALL DATABASES'!$A$1:$T$2252,10,FALSE)</f>
        <v>43739</v>
      </c>
      <c r="F625" s="54" t="str">
        <f ca="1">VLOOKUP(B625,'ALL DATABASES'!$A$1:$T$2252,14,FALSE)</f>
        <v>http://dx.doi.org/10.1109/TENCON.2019.8929628</v>
      </c>
      <c r="G625" s="15" t="str">
        <f ca="1">VLOOKUP(B625,'ALL DATABASES'!$A$1:$T$2252,3,FALSE)</f>
        <v>Conference Paper</v>
      </c>
      <c r="H625" s="50" t="str">
        <f ca="1">VLOOKUP(B625,'ALL DATABASES'!$A$1:$T$2252,20,FALSE)</f>
        <v>IEEE</v>
      </c>
    </row>
    <row r="626" spans="1:8" ht="12.75" x14ac:dyDescent="0.2">
      <c r="A626">
        <v>625</v>
      </c>
      <c r="B626" s="15" t="str">
        <f ca="1">IFERROR(__xludf.DUMMYFUNCTION("""COMPUTED_VALUE"""),"Detecting code smells using industry-relevant data")</f>
        <v>Detecting code smells using industry-relevant data</v>
      </c>
      <c r="C626" s="15" t="str">
        <f ca="1">VLOOKUP(B626,'ALL DATABASES'!$A$1:$T$2252,2,FALSE)</f>
        <v>Madeyski L,Lewowski T</v>
      </c>
      <c r="D626" s="15">
        <f ca="1">VLOOKUP(B626,'ALL DATABASES'!$A$1:$T$2252,5,FALSE)</f>
        <v>2023</v>
      </c>
      <c r="E626" s="15">
        <f ca="1">VLOOKUP(B626,'ALL DATABASES'!$A$1:$T$2252,10,FALSE)</f>
        <v>2023</v>
      </c>
      <c r="F626" s="54" t="str">
        <f ca="1">VLOOKUP(B626,'ALL DATABASES'!$A$1:$T$2252,14,FALSE)</f>
        <v>https://www.scopus.com/inward/record.uri?eid=2-s2.0-85143501730&amp;doi=10.1016%2fj.infsof.2022.107112&amp;partnerID=40&amp;md5=9e857fb22bc1228dbbe79b75d3b7a639;http://dx.doi.org/10.1016/j.infsof.2022.107112</v>
      </c>
      <c r="G626" s="15" t="str">
        <f ca="1">VLOOKUP(B626,'ALL DATABASES'!$A$1:$T$2252,3,FALSE)</f>
        <v>Journal Article</v>
      </c>
      <c r="H626" s="50" t="str">
        <f ca="1">VLOOKUP(B626,'ALL DATABASES'!$A$1:$T$2252,20,FALSE)</f>
        <v>SCOPUS</v>
      </c>
    </row>
    <row r="627" spans="1:8" ht="12.75" x14ac:dyDescent="0.2">
      <c r="A627">
        <v>626</v>
      </c>
      <c r="B627" s="15" t="str">
        <f ca="1">IFERROR(__xludf.DUMMYFUNCTION("""COMPUTED_VALUE"""),"Detecting code smells using machine learning techniques: Are we there yet?")</f>
        <v>Detecting code smells using machine learning techniques: Are we there yet?</v>
      </c>
      <c r="C627" s="15" t="str">
        <f ca="1">VLOOKUP(B627,'ALL DATABASES'!$A$1:$T$2252,2,FALSE)</f>
        <v>Di Nucci D,Palomba F,Tamburri DA,Serebrenik A,De Lucia A</v>
      </c>
      <c r="D627" s="15">
        <f ca="1">VLOOKUP(B627,'ALL DATABASES'!$A$1:$T$2252,5,FALSE)</f>
        <v>2018</v>
      </c>
      <c r="E627" s="55">
        <f ca="1">VLOOKUP(B627,'ALL DATABASES'!$A$1:$T$2252,10,FALSE)</f>
        <v>43160</v>
      </c>
      <c r="F627" s="54" t="str">
        <f ca="1">VLOOKUP(B627,'ALL DATABASES'!$A$1:$T$2252,14,FALSE)</f>
        <v>http://dx.doi.org/10.1109/SANER.2018.8330266</v>
      </c>
      <c r="G627" s="15" t="str">
        <f ca="1">VLOOKUP(B627,'ALL DATABASES'!$A$1:$T$2252,3,FALSE)</f>
        <v>Conference Paper</v>
      </c>
      <c r="H627" s="50" t="str">
        <f ca="1">VLOOKUP(B627,'ALL DATABASES'!$A$1:$T$2252,20,FALSE)</f>
        <v>IEEE</v>
      </c>
    </row>
    <row r="628" spans="1:8" ht="12.75" x14ac:dyDescent="0.2">
      <c r="A628">
        <v>627</v>
      </c>
      <c r="B628" s="15" t="str">
        <f ca="1">IFERROR(__xludf.DUMMYFUNCTION("""COMPUTED_VALUE"""),"Detecting Code Smells with AI: a Prototype Study")</f>
        <v>Detecting Code Smells with AI: a Prototype Study</v>
      </c>
      <c r="C628" s="15" t="str">
        <f ca="1">VLOOKUP(B628,'ALL DATABASES'!$A$1:$T$2252,2,FALSE)</f>
        <v>Virmajoki J,Knutas A,Kasurinen J</v>
      </c>
      <c r="D628" s="15">
        <f ca="1">VLOOKUP(B628,'ALL DATABASES'!$A$1:$T$2252,5,FALSE)</f>
        <v>2022</v>
      </c>
      <c r="E628" s="55">
        <f ca="1">VLOOKUP(B628,'ALL DATABASES'!$A$1:$T$2252,10,FALSE)</f>
        <v>44682</v>
      </c>
      <c r="F628" s="54" t="str">
        <f ca="1">VLOOKUP(B628,'ALL DATABASES'!$A$1:$T$2252,14,FALSE)</f>
        <v>http://dx.doi.org/10.23919/MIPRO55190.2022.9803727</v>
      </c>
      <c r="G628" s="15" t="str">
        <f ca="1">VLOOKUP(B628,'ALL DATABASES'!$A$1:$T$2252,3,FALSE)</f>
        <v>Conference Paper</v>
      </c>
      <c r="H628" s="50" t="str">
        <f ca="1">VLOOKUP(B628,'ALL DATABASES'!$A$1:$T$2252,20,FALSE)</f>
        <v>IEEE</v>
      </c>
    </row>
    <row r="629" spans="1:8" ht="12.75" x14ac:dyDescent="0.2">
      <c r="A629">
        <v>628</v>
      </c>
      <c r="B629" s="15" t="str">
        <f ca="1">IFERROR(__xludf.DUMMYFUNCTION("""COMPUTED_VALUE"""),"Detecting technical debt through issue trackers")</f>
        <v>Detecting technical debt through issue trackers</v>
      </c>
      <c r="C629" s="15" t="str">
        <f ca="1">VLOOKUP(B629,'ALL DATABASES'!$A$1:$T$2252,2,FALSE)</f>
        <v>Dai K,Kruchten P</v>
      </c>
      <c r="D629" s="15">
        <f ca="1">VLOOKUP(B629,'ALL DATABASES'!$A$1:$T$2252,5,FALSE)</f>
        <v>2017</v>
      </c>
      <c r="E629" s="15">
        <f ca="1">VLOOKUP(B629,'ALL DATABASES'!$A$1:$T$2252,10,FALSE)</f>
        <v>2017</v>
      </c>
      <c r="F629" s="54" t="str">
        <f ca="1">VLOOKUP(B629,'ALL DATABASES'!$A$1:$T$2252,14,FALSE)</f>
        <v>https://www.scopus.com/inward/record.uri?eid=2-s2.0-85040575660&amp;partnerID=40&amp;md5=9976450244a5a118017258d58fd9c23e</v>
      </c>
      <c r="G629" s="15" t="str">
        <f ca="1">VLOOKUP(B629,'ALL DATABASES'!$A$1:$T$2252,3,FALSE)</f>
        <v>Conference Paper</v>
      </c>
      <c r="H629" s="50" t="str">
        <f ca="1">VLOOKUP(B629,'ALL DATABASES'!$A$1:$T$2252,20,FALSE)</f>
        <v>SCOPUS</v>
      </c>
    </row>
    <row r="630" spans="1:8" ht="12.75" x14ac:dyDescent="0.2">
      <c r="A630">
        <v>629</v>
      </c>
      <c r="B630" s="15" t="str">
        <f ca="1">IFERROR(__xludf.DUMMYFUNCTION("""COMPUTED_VALUE"""),"Detecting temperature induced spurious precipitation in a weighing rain gauge")</f>
        <v>Detecting temperature induced spurious precipitation in a weighing rain gauge</v>
      </c>
      <c r="C630" s="15" t="str">
        <f ca="1">VLOOKUP(B630,'ALL DATABASES'!$A$1:$T$2252,2,FALSE)</f>
        <v>Knechtl V,Caseri M,Lumpert F,Hotz C,Sigg C</v>
      </c>
      <c r="D630" s="15">
        <f ca="1">VLOOKUP(B630,'ALL DATABASES'!$A$1:$T$2252,5,FALSE)</f>
        <v>2019</v>
      </c>
      <c r="E630" s="15">
        <f ca="1">VLOOKUP(B630,'ALL DATABASES'!$A$1:$T$2252,10,FALSE)</f>
        <v>2019</v>
      </c>
      <c r="F630" s="54" t="str">
        <f ca="1">VLOOKUP(B630,'ALL DATABASES'!$A$1:$T$2252,14,FALSE)</f>
        <v>https://www.scopus.com/inward/record.uri?eid=2-s2.0-85073675359&amp;doi=10.1127%2fmetz%2f2019%2f0934&amp;partnerID=40&amp;md5=33bed54e7cebeb47fc1c700e4a4a537d;http://dx.doi.org/10.1127/metz/2019/0934</v>
      </c>
      <c r="G630" s="15" t="str">
        <f ca="1">VLOOKUP(B630,'ALL DATABASES'!$A$1:$T$2252,3,FALSE)</f>
        <v>Journal Article</v>
      </c>
      <c r="H630" s="50" t="str">
        <f ca="1">VLOOKUP(B630,'ALL DATABASES'!$A$1:$T$2252,20,FALSE)</f>
        <v>SCOPUS</v>
      </c>
    </row>
    <row r="631" spans="1:8" ht="12.75" x14ac:dyDescent="0.2">
      <c r="A631">
        <v>630</v>
      </c>
      <c r="B631" s="15" t="str">
        <f ca="1">IFERROR(__xludf.DUMMYFUNCTION("""COMPUTED_VALUE"""),"Detecting the Locations and Predicting the Maintenance Costs of Compound Architectural Debts")</f>
        <v>Detecting the Locations and Predicting the Maintenance Costs of Compound Architectural Debts</v>
      </c>
      <c r="C631" s="15" t="str">
        <f ca="1">VLOOKUP(B631,'ALL DATABASES'!$A$1:$T$2252,2,FALSE)</f>
        <v>Xiao L,Cai Y,Kazman R,Mo R,Feng Q</v>
      </c>
      <c r="D631" s="15">
        <f ca="1">VLOOKUP(B631,'ALL DATABASES'!$A$1:$T$2252,5,FALSE)</f>
        <v>2022</v>
      </c>
      <c r="E631" s="55">
        <f ca="1">VLOOKUP(B631,'ALL DATABASES'!$A$1:$T$2252,10,FALSE)</f>
        <v>44805</v>
      </c>
      <c r="F631" s="54" t="str">
        <f ca="1">VLOOKUP(B631,'ALL DATABASES'!$A$1:$T$2252,14,FALSE)</f>
        <v>http://dx.doi.org/10.1109/TSE.2021.3102221</v>
      </c>
      <c r="G631" s="15" t="str">
        <f ca="1">VLOOKUP(B631,'ALL DATABASES'!$A$1:$T$2252,3,FALSE)</f>
        <v>Journal Article</v>
      </c>
      <c r="H631" s="50" t="str">
        <f ca="1">VLOOKUP(B631,'ALL DATABASES'!$A$1:$T$2252,20,FALSE)</f>
        <v>IEEE</v>
      </c>
    </row>
    <row r="632" spans="1:8" ht="12.75" x14ac:dyDescent="0.2">
      <c r="A632">
        <v>631</v>
      </c>
      <c r="B632" s="15" t="str">
        <f ca="1">IFERROR(__xludf.DUMMYFUNCTION("""COMPUTED_VALUE"""),"Detection of Design Smells Using Adaptive Neuro-Fuzzy Approaches")</f>
        <v>Detection of Design Smells Using Adaptive Neuro-Fuzzy Approaches</v>
      </c>
      <c r="C632" s="15" t="str">
        <f ca="1">VLOOKUP(B632,'ALL DATABASES'!$A$1:$T$2252,2,FALSE)</f>
        <v>AbuHassan A,Alshayeb M,Ghouti L</v>
      </c>
      <c r="D632" s="15">
        <f ca="1">VLOOKUP(B632,'ALL DATABASES'!$A$1:$T$2252,5,FALSE)</f>
        <v>2022</v>
      </c>
      <c r="E632" s="15">
        <f ca="1">VLOOKUP(B632,'ALL DATABASES'!$A$1:$T$2252,10,FALSE)</f>
        <v>2022</v>
      </c>
      <c r="F632" s="54" t="str">
        <f ca="1">VLOOKUP(B632,'ALL DATABASES'!$A$1:$T$2252,14,FALSE)</f>
        <v>https://www.scopus.com/inward/record.uri?eid=2-s2.0-85125222267&amp;doi=10.1007%2fs40815-022-01248-5&amp;partnerID=40&amp;md5=9f7e9f99ac22a96db4a97550f0f8e2c5;http://dx.doi.org/10.1007/s40815-022-01248-5</v>
      </c>
      <c r="G632" s="15" t="str">
        <f ca="1">VLOOKUP(B632,'ALL DATABASES'!$A$1:$T$2252,3,FALSE)</f>
        <v>Journal Article</v>
      </c>
      <c r="H632" s="50" t="str">
        <f ca="1">VLOOKUP(B632,'ALL DATABASES'!$A$1:$T$2252,20,FALSE)</f>
        <v>SCOPUS</v>
      </c>
    </row>
    <row r="633" spans="1:8" ht="12.75" x14ac:dyDescent="0.2">
      <c r="A633">
        <v>632</v>
      </c>
      <c r="B633" s="15" t="str">
        <f ca="1">IFERROR(__xludf.DUMMYFUNCTION("""COMPUTED_VALUE"""),"Determining Enterprise Architecture Smells from Software Architecture Smells")</f>
        <v>Determining Enterprise Architecture Smells from Software Architecture Smells</v>
      </c>
      <c r="C633" s="15" t="str">
        <f ca="1">VLOOKUP(B633,'ALL DATABASES'!$A$1:$T$2252,2,FALSE)</f>
        <v>Tieu B,Hacks S</v>
      </c>
      <c r="D633" s="15">
        <f ca="1">VLOOKUP(B633,'ALL DATABASES'!$A$1:$T$2252,5,FALSE)</f>
        <v>2021</v>
      </c>
      <c r="E633" s="55">
        <f ca="1">VLOOKUP(B633,'ALL DATABASES'!$A$1:$T$2252,10,FALSE)</f>
        <v>44440</v>
      </c>
      <c r="F633" s="54" t="str">
        <f ca="1">VLOOKUP(B633,'ALL DATABASES'!$A$1:$T$2252,14,FALSE)</f>
        <v>http://dx.doi.org/10.1109/CBI52690.2021.10064</v>
      </c>
      <c r="G633" s="15" t="str">
        <f ca="1">VLOOKUP(B633,'ALL DATABASES'!$A$1:$T$2252,3,FALSE)</f>
        <v>Conference Paper</v>
      </c>
      <c r="H633" s="50" t="str">
        <f ca="1">VLOOKUP(B633,'ALL DATABASES'!$A$1:$T$2252,20,FALSE)</f>
        <v>IEEE</v>
      </c>
    </row>
    <row r="634" spans="1:8" ht="12.75" x14ac:dyDescent="0.2">
      <c r="A634">
        <v>633</v>
      </c>
      <c r="B634" s="15" t="str">
        <f ca="1">IFERROR(__xludf.DUMMYFUNCTION("""COMPUTED_VALUE"""),"Determining Software Inter-Dependency Patterns for Integration Testing by applying Machine learning on Logs and Telemetry data")</f>
        <v>Determining Software Inter-Dependency Patterns for Integration Testing by applying Machine learning on Logs and Telemetry data</v>
      </c>
      <c r="C634" s="15" t="str">
        <f ca="1">VLOOKUP(B634,'ALL DATABASES'!$A$1:$T$2252,2,FALSE)</f>
        <v>Rajaraman R,Kapur PK,Kumar D</v>
      </c>
      <c r="D634" s="15">
        <f ca="1">VLOOKUP(B634,'ALL DATABASES'!$A$1:$T$2252,5,FALSE)</f>
        <v>2020</v>
      </c>
      <c r="E634" s="55">
        <f ca="1">VLOOKUP(B634,'ALL DATABASES'!$A$1:$T$2252,10,FALSE)</f>
        <v>43983</v>
      </c>
      <c r="F634" s="54" t="str">
        <f ca="1">VLOOKUP(B634,'ALL DATABASES'!$A$1:$T$2252,14,FALSE)</f>
        <v>http://dx.doi.org/10.1109/ICRITO48877.2020.9197868</v>
      </c>
      <c r="G634" s="15" t="str">
        <f ca="1">VLOOKUP(B634,'ALL DATABASES'!$A$1:$T$2252,3,FALSE)</f>
        <v>Conference Paper</v>
      </c>
      <c r="H634" s="50" t="str">
        <f ca="1">VLOOKUP(B634,'ALL DATABASES'!$A$1:$T$2252,20,FALSE)</f>
        <v>IEEE</v>
      </c>
    </row>
    <row r="635" spans="1:8" ht="12.75" x14ac:dyDescent="0.2">
      <c r="A635">
        <v>634</v>
      </c>
      <c r="B635" s="15" t="str">
        <f ca="1">IFERROR(__xludf.DUMMYFUNCTION("""COMPUTED_VALUE"""),"Developer Micro Interaction Metrics for Software Defect Prediction")</f>
        <v>Developer Micro Interaction Metrics for Software Defect Prediction</v>
      </c>
      <c r="C635" s="15" t="str">
        <f ca="1">VLOOKUP(B635,'ALL DATABASES'!$A$1:$T$2252,2,FALSE)</f>
        <v>Lee T,Nam J,Han D,Kim S,Peter In H</v>
      </c>
      <c r="D635" s="15">
        <f ca="1">VLOOKUP(B635,'ALL DATABASES'!$A$1:$T$2252,5,FALSE)</f>
        <v>2016</v>
      </c>
      <c r="E635" s="53">
        <f ca="1">VLOOKUP(B635,'ALL DATABASES'!$A$1:$T$2252,10,FALSE)</f>
        <v>42675</v>
      </c>
      <c r="F635" s="54" t="str">
        <f ca="1">VLOOKUP(B635,'ALL DATABASES'!$A$1:$T$2252,14,FALSE)</f>
        <v>http://dx.doi.org/10.1109/TSE.2016.2550458</v>
      </c>
      <c r="G635" s="15" t="str">
        <f ca="1">VLOOKUP(B635,'ALL DATABASES'!$A$1:$T$2252,3,FALSE)</f>
        <v>Journal Article</v>
      </c>
      <c r="H635" s="50" t="str">
        <f ca="1">VLOOKUP(B635,'ALL DATABASES'!$A$1:$T$2252,20,FALSE)</f>
        <v>IEEE</v>
      </c>
    </row>
    <row r="636" spans="1:8" ht="12.75" x14ac:dyDescent="0.2">
      <c r="A636">
        <v>635</v>
      </c>
      <c r="B636" s="15" t="str">
        <f ca="1">IFERROR(__xludf.DUMMYFUNCTION("""COMPUTED_VALUE"""),"Developer Relations")</f>
        <v>Developer Relations</v>
      </c>
      <c r="C636" s="15" t="str">
        <f ca="1">VLOOKUP(B636,'ALL DATABASES'!$A$1:$T$2252,2,FALSE)</f>
        <v>Caroline LewkoJames Parton</v>
      </c>
      <c r="D636" s="15">
        <f ca="1">VLOOKUP(B636,'ALL DATABASES'!$A$1:$T$2252,5,FALSE)</f>
        <v>2021</v>
      </c>
      <c r="E636" s="15">
        <f ca="1">VLOOKUP(B636,'ALL DATABASES'!$A$1:$T$2252,10,FALSE)</f>
        <v>0</v>
      </c>
      <c r="F636" s="54" t="str">
        <f ca="1">VLOOKUP(B636,'ALL DATABASES'!$A$1:$T$2252,14,FALSE)</f>
        <v>http://link.springer.com/book/10.1007/978-1-4842-7164-3</v>
      </c>
      <c r="G636" s="15" t="str">
        <f ca="1">VLOOKUP(B636,'ALL DATABASES'!$A$1:$T$2252,3,FALSE)</f>
        <v>Book</v>
      </c>
      <c r="H636" s="50" t="str">
        <f ca="1">VLOOKUP(B636,'ALL DATABASES'!$A$1:$T$2252,20,FALSE)</f>
        <v>SPRINGER</v>
      </c>
    </row>
    <row r="637" spans="1:8" ht="12.75" x14ac:dyDescent="0.2">
      <c r="A637">
        <v>636</v>
      </c>
      <c r="B637" s="15" t="str">
        <f ca="1">IFERROR(__xludf.DUMMYFUNCTION("""COMPUTED_VALUE"""),"Developer-Driven Code Smell Prioritization")</f>
        <v>Developer-Driven Code Smell Prioritization</v>
      </c>
      <c r="C637" s="15" t="str">
        <f ca="1">VLOOKUP(B637,'ALL DATABASES'!$A$1:$T$2252,2,FALSE)</f>
        <v>Pecorelli F,Palomba F,Khomh F,De Lucia A</v>
      </c>
      <c r="D637" s="15">
        <f ca="1">VLOOKUP(B637,'ALL DATABASES'!$A$1:$T$2252,5,FALSE)</f>
        <v>2020</v>
      </c>
      <c r="E637" s="15">
        <f ca="1">VLOOKUP(B637,'ALL DATABASES'!$A$1:$T$2252,10,FALSE)</f>
        <v>2020</v>
      </c>
      <c r="F637" s="54" t="str">
        <f ca="1">VLOOKUP(B637,'ALL DATABASES'!$A$1:$T$2252,14,FALSE)</f>
        <v>https://doi.org/10.1145/3379597.3387457;http://dx.doi.org/10.1145/3379597.3387457</v>
      </c>
      <c r="G637" s="15" t="str">
        <f ca="1">VLOOKUP(B637,'ALL DATABASES'!$A$1:$T$2252,3,FALSE)</f>
        <v>Conference Paper</v>
      </c>
      <c r="H637" s="50" t="str">
        <f ca="1">VLOOKUP(B637,'ALL DATABASES'!$A$1:$T$2252,20,FALSE)</f>
        <v>ACM</v>
      </c>
    </row>
    <row r="638" spans="1:8" ht="12.75" x14ac:dyDescent="0.2">
      <c r="A638">
        <v>637</v>
      </c>
      <c r="B638" s="15" t="str">
        <f ca="1">IFERROR(__xludf.DUMMYFUNCTION("""COMPUTED_VALUE"""),"Developing and Operating Artificial Intelligence Models in Trustworthy Autonomous Systems")</f>
        <v>Developing and Operating Artificial Intelligence Models in Trustworthy Autonomous Systems</v>
      </c>
      <c r="C638" s="15" t="str">
        <f ca="1">VLOOKUP(B638,'ALL DATABASES'!$A$1:$T$2252,2,FALSE)</f>
        <v>Martínez-Fernández S,Franch X,Jedlitschka A,Oriol M,Trendowicz A</v>
      </c>
      <c r="D638" s="15">
        <f ca="1">VLOOKUP(B638,'ALL DATABASES'!$A$1:$T$2252,5,FALSE)</f>
        <v>2021</v>
      </c>
      <c r="E638" s="15">
        <f ca="1">VLOOKUP(B638,'ALL DATABASES'!$A$1:$T$2252,10,FALSE)</f>
        <v>2021</v>
      </c>
      <c r="F638" s="54" t="str">
        <f ca="1">VLOOKUP(B638,'ALL DATABASES'!$A$1:$T$2252,14,FALSE)</f>
        <v>https://www.scopus.com/inward/record.uri?eid=2-s2.0-85111105153&amp;doi=10.1007%2f978-3-030-75018-3_14&amp;partnerID=40&amp;md5=7ca0cbe943c7be74e910dfa0dd15c35d;http://dx.doi.org/10.1007/978-3-030-75018-3_14</v>
      </c>
      <c r="G638" s="15" t="str">
        <f ca="1">VLOOKUP(B638,'ALL DATABASES'!$A$1:$T$2252,3,FALSE)</f>
        <v>Journal Article</v>
      </c>
      <c r="H638" s="50" t="str">
        <f ca="1">VLOOKUP(B638,'ALL DATABASES'!$A$1:$T$2252,20,FALSE)</f>
        <v>SCOPUS</v>
      </c>
    </row>
    <row r="639" spans="1:8" ht="12.75" x14ac:dyDescent="0.2">
      <c r="A639">
        <v>638</v>
      </c>
      <c r="B639" s="15" t="str">
        <f ca="1">IFERROR(__xludf.DUMMYFUNCTION("""COMPUTED_VALUE"""),"Developing ML/DL Models: A Design Framework")</f>
        <v>Developing ML/DL Models: A Design Framework</v>
      </c>
      <c r="C639" s="15" t="str">
        <f ca="1">VLOOKUP(B639,'ALL DATABASES'!$A$1:$T$2252,2,FALSE)</f>
        <v>John MM,Olsson HH,Bosch J</v>
      </c>
      <c r="D639" s="15">
        <f ca="1">VLOOKUP(B639,'ALL DATABASES'!$A$1:$T$2252,5,FALSE)</f>
        <v>2020</v>
      </c>
      <c r="E639" s="15">
        <f ca="1">VLOOKUP(B639,'ALL DATABASES'!$A$1:$T$2252,10,FALSE)</f>
        <v>2020</v>
      </c>
      <c r="F639" s="54" t="str">
        <f ca="1">VLOOKUP(B639,'ALL DATABASES'!$A$1:$T$2252,14,FALSE)</f>
        <v>https://doi.org/10.1145/3379177.3388892;http://dx.doi.org/10.1145/3379177.3388892</v>
      </c>
      <c r="G639" s="15" t="str">
        <f ca="1">VLOOKUP(B639,'ALL DATABASES'!$A$1:$T$2252,3,FALSE)</f>
        <v>Conference Paper</v>
      </c>
      <c r="H639" s="50" t="str">
        <f ca="1">VLOOKUP(B639,'ALL DATABASES'!$A$1:$T$2252,20,FALSE)</f>
        <v>ACM</v>
      </c>
    </row>
    <row r="640" spans="1:8" ht="12.75" x14ac:dyDescent="0.2">
      <c r="A640">
        <v>639</v>
      </c>
      <c r="B640" s="15" t="str">
        <f ca="1">IFERROR(__xludf.DUMMYFUNCTION("""COMPUTED_VALUE"""),"Development and user testing of the PRATICAdr web application: Return-to-work platform focused on interaction and communication between stakeholders, integrating a sustainable recovery program; [Développement et tests utilisateurs de l’application Web PRA"&amp;"TICAdr: Plateforme de Retour Au Travail axée sur les Interactions et la Communication entre les Acteurs, intégrant un programme Durable favorisant le Rétablissement]")</f>
        <v>Development and user testing of the PRATICAdr web application: Return-to-work platform focused on interaction and communication between stakeholders, integrating a sustainable recovery program; [Développement et tests utilisateurs de l’application Web PRATICAdr: Plateforme de Retour Au Travail axée sur les Interactions et la Communication entre les Acteurs, intégrant un programme Durable favorisant le Rétablissement]</v>
      </c>
      <c r="C640" s="15" t="e">
        <f ca="1">VLOOKUP(B640,'ALL DATABASES'!$A$1:$T$2252,2,FALSE)</f>
        <v>#VALUE!</v>
      </c>
      <c r="D640" s="15" t="e">
        <f ca="1">VLOOKUP(B640,'ALL DATABASES'!$A$1:$T$2252,5,FALSE)</f>
        <v>#VALUE!</v>
      </c>
      <c r="E640" s="15" t="e">
        <f ca="1">VLOOKUP(B640,'ALL DATABASES'!$A$1:$T$2252,10,FALSE)</f>
        <v>#VALUE!</v>
      </c>
      <c r="F640" s="54" t="e">
        <f ca="1">VLOOKUP(B640,'ALL DATABASES'!$A$1:$T$2252,14,FALSE)</f>
        <v>#VALUE!</v>
      </c>
      <c r="G640" s="15" t="e">
        <f ca="1">VLOOKUP(B640,'ALL DATABASES'!$A$1:$T$2252,3,FALSE)</f>
        <v>#VALUE!</v>
      </c>
      <c r="H640" s="50" t="e">
        <f ca="1">VLOOKUP(B640,'ALL DATABASES'!$A$1:$T$2252,20,FALSE)</f>
        <v>#VALUE!</v>
      </c>
    </row>
    <row r="641" spans="1:28" ht="12.75" x14ac:dyDescent="0.2">
      <c r="A641">
        <v>640</v>
      </c>
      <c r="B641" s="15" t="str">
        <f ca="1">IFERROR(__xludf.DUMMYFUNCTION("""COMPUTED_VALUE"""),"Development of Mobile IoT Solutions: Approaches, Architectures, and Methodologies")</f>
        <v>Development of Mobile IoT Solutions: Approaches, Architectures, and Methodologies</v>
      </c>
      <c r="C641" s="15" t="str">
        <f ca="1">VLOOKUP(B641,'ALL DATABASES'!$A$1:$T$2252,2,FALSE)</f>
        <v>Magaia N,Gomes P,Silva L,Sousa B,Mavromoustakis CX,Mastorakis G</v>
      </c>
      <c r="D641" s="15">
        <f ca="1">VLOOKUP(B641,'ALL DATABASES'!$A$1:$T$2252,5,FALSE)</f>
        <v>2021</v>
      </c>
      <c r="E641" s="53">
        <f ca="1">VLOOKUP(B641,'ALL DATABASES'!$A$1:$T$2252,10,FALSE)</f>
        <v>44501</v>
      </c>
      <c r="F641" s="54" t="str">
        <f ca="1">VLOOKUP(B641,'ALL DATABASES'!$A$1:$T$2252,14,FALSE)</f>
        <v>http://dx.doi.org/10.1109/JIOT.2020.3046441</v>
      </c>
      <c r="G641" s="15" t="str">
        <f ca="1">VLOOKUP(B641,'ALL DATABASES'!$A$1:$T$2252,3,FALSE)</f>
        <v>Journal Article</v>
      </c>
      <c r="H641" s="50" t="str">
        <f ca="1">VLOOKUP(B641,'ALL DATABASES'!$A$1:$T$2252,20,FALSE)</f>
        <v>IEEE</v>
      </c>
    </row>
    <row r="642" spans="1:28" ht="12.75" x14ac:dyDescent="0.2">
      <c r="A642">
        <v>641</v>
      </c>
      <c r="B642" s="15" t="str">
        <f ca="1">IFERROR(__xludf.DUMMYFUNCTION("""COMPUTED_VALUE"""),"DevOps for AI - Challenges in Development of AI-enabled Applications")</f>
        <v>DevOps for AI - Challenges in Development of AI-enabled Applications</v>
      </c>
      <c r="C642" s="15" t="str">
        <f ca="1">VLOOKUP(B642,'ALL DATABASES'!$A$1:$T$2252,2,FALSE)</f>
        <v>Lwakatare LE,Crnkovic I,Bosch J</v>
      </c>
      <c r="D642" s="15">
        <f ca="1">VLOOKUP(B642,'ALL DATABASES'!$A$1:$T$2252,5,FALSE)</f>
        <v>2020</v>
      </c>
      <c r="E642" s="15">
        <f ca="1">VLOOKUP(B642,'ALL DATABASES'!$A$1:$T$2252,10,FALSE)</f>
        <v>2020</v>
      </c>
      <c r="F642" s="54" t="str">
        <f ca="1">VLOOKUP(B642,'ALL DATABASES'!$A$1:$T$2252,14,FALSE)</f>
        <v>https://www.scopus.com/inward/record.uri?eid=2-s2.0-85096542234&amp;doi=10.23919%2fSoftCOM50211.2020.9238323&amp;partnerID=40&amp;md5=6612d13b9513b6b707ab84dc29b3cf68;http://dx.doi.org/10.23919/SoftCOM50211.2020.9238323</v>
      </c>
      <c r="G642" s="15" t="str">
        <f ca="1">VLOOKUP(B642,'ALL DATABASES'!$A$1:$T$2252,3,FALSE)</f>
        <v>Conference Paper</v>
      </c>
      <c r="H642" s="50" t="str">
        <f ca="1">VLOOKUP(B642,'ALL DATABASES'!$A$1:$T$2252,20,FALSE)</f>
        <v>SCOPUS</v>
      </c>
    </row>
    <row r="643" spans="1:28" ht="12.75" x14ac:dyDescent="0.2">
      <c r="A643">
        <v>642</v>
      </c>
      <c r="B643" s="15" t="str">
        <f ca="1">IFERROR(__xludf.DUMMYFUNCTION("""COMPUTED_VALUE"""),"DevOps for DataOps")</f>
        <v>DevOps for DataOps</v>
      </c>
      <c r="C643" s="15" t="str">
        <f ca="1">VLOOKUP(B643,'ALL DATABASES'!$A$1:$T$2252,2,FALSE)</f>
        <v>Harvinder Atwal</v>
      </c>
      <c r="D643" s="15">
        <f ca="1">VLOOKUP(B643,'ALL DATABASES'!$A$1:$T$2252,5,FALSE)</f>
        <v>2020</v>
      </c>
      <c r="E643" s="15">
        <f ca="1">VLOOKUP(B643,'ALL DATABASES'!$A$1:$T$2252,10,FALSE)</f>
        <v>0</v>
      </c>
      <c r="F643" s="54" t="str">
        <f ca="1">VLOOKUP(B643,'ALL DATABASES'!$A$1:$T$2252,14,FALSE)</f>
        <v>http://link.springer.com/chapter/10.1007/978-1-4842-5104-1_7</v>
      </c>
      <c r="G643" s="15" t="str">
        <f ca="1">VLOOKUP(B643,'ALL DATABASES'!$A$1:$T$2252,3,FALSE)</f>
        <v>Chapter</v>
      </c>
      <c r="H643" s="50" t="str">
        <f ca="1">VLOOKUP(B643,'ALL DATABASES'!$A$1:$T$2252,20,FALSE)</f>
        <v>SPRINGER</v>
      </c>
    </row>
    <row r="644" spans="1:28" ht="12.75" x14ac:dyDescent="0.2">
      <c r="A644">
        <v>643</v>
      </c>
      <c r="B644" s="15" t="str">
        <f ca="1">IFERROR(__xludf.DUMMYFUNCTION("""COMPUTED_VALUE"""),"DevOps Team Structures: Characterization and Implications")</f>
        <v>DevOps Team Structures: Characterization and Implications</v>
      </c>
      <c r="C644" s="15" t="str">
        <f ca="1">VLOOKUP(B644,'ALL DATABASES'!$A$1:$T$2252,2,FALSE)</f>
        <v>López-Fernández D,Díaz J,García J,Pérez J,González-Prieto Á</v>
      </c>
      <c r="D644" s="15">
        <f ca="1">VLOOKUP(B644,'ALL DATABASES'!$A$1:$T$2252,5,FALSE)</f>
        <v>2022</v>
      </c>
      <c r="E644" s="53">
        <f ca="1">VLOOKUP(B644,'ALL DATABASES'!$A$1:$T$2252,10,FALSE)</f>
        <v>44835</v>
      </c>
      <c r="F644" s="54" t="str">
        <f ca="1">VLOOKUP(B644,'ALL DATABASES'!$A$1:$T$2252,14,FALSE)</f>
        <v>http://dx.doi.org/10.1109/TSE.2021.3102982</v>
      </c>
      <c r="G644" s="15" t="str">
        <f ca="1">VLOOKUP(B644,'ALL DATABASES'!$A$1:$T$2252,3,FALSE)</f>
        <v>Journal Article</v>
      </c>
      <c r="H644" s="50" t="str">
        <f ca="1">VLOOKUP(B644,'ALL DATABASES'!$A$1:$T$2252,20,FALSE)</f>
        <v>IEEE</v>
      </c>
    </row>
    <row r="645" spans="1:28" ht="12.75" x14ac:dyDescent="0.2">
      <c r="A645">
        <v>644</v>
      </c>
      <c r="B645" s="15" t="str">
        <f ca="1">IFERROR(__xludf.DUMMYFUNCTION("""COMPUTED_VALUE"""),"DevOps Toolchains for Continuous Engineering and Improvement")</f>
        <v>DevOps Toolchains for Continuous Engineering and Improvement</v>
      </c>
      <c r="C645" s="15" t="str">
        <f ca="1">VLOOKUP(B645,'ALL DATABASES'!$A$1:$T$2252,2,FALSE)</f>
        <v>Kontogiannis K,Cronin D,Giammaria A,Brealey C,Grigoriou M</v>
      </c>
      <c r="D645" s="15">
        <f ca="1">VLOOKUP(B645,'ALL DATABASES'!$A$1:$T$2252,5,FALSE)</f>
        <v>2017</v>
      </c>
      <c r="E645" s="15">
        <f ca="1">VLOOKUP(B645,'ALL DATABASES'!$A$1:$T$2252,10,FALSE)</f>
        <v>2017</v>
      </c>
      <c r="F645" s="15">
        <f ca="1">VLOOKUP(B645,'ALL DATABASES'!$A$1:$T$2252,14,FALSE)</f>
        <v>0</v>
      </c>
      <c r="G645" s="15" t="str">
        <f ca="1">VLOOKUP(B645,'ALL DATABASES'!$A$1:$T$2252,3,FALSE)</f>
        <v>Conference Paper</v>
      </c>
      <c r="H645" s="50" t="str">
        <f ca="1">VLOOKUP(B645,'ALL DATABASES'!$A$1:$T$2252,20,FALSE)</f>
        <v>ACM</v>
      </c>
    </row>
    <row r="646" spans="1:28" ht="12.75" x14ac:dyDescent="0.2">
      <c r="A646">
        <v>645</v>
      </c>
      <c r="B646" s="15" t="str">
        <f ca="1">IFERROR(__xludf.DUMMYFUNCTION("""COMPUTED_VALUE"""),"Digital entrepreneurship: An interdisciplinary structured literature review and research agenda")</f>
        <v>Digital entrepreneurship: An interdisciplinary structured literature review and research agenda</v>
      </c>
      <c r="C646" s="15" t="str">
        <f ca="1">VLOOKUP(B646,'ALL DATABASES'!$A$1:$T$2252,2,FALSE)</f>
        <v>Zaheer H,Breyer Y,Dumay J</v>
      </c>
      <c r="D646" s="15">
        <f ca="1">VLOOKUP(B646,'ALL DATABASES'!$A$1:$T$2252,5,FALSE)</f>
        <v>2019</v>
      </c>
      <c r="E646" s="15">
        <f ca="1">VLOOKUP(B646,'ALL DATABASES'!$A$1:$T$2252,10,FALSE)</f>
        <v>2019</v>
      </c>
      <c r="F646" s="54" t="str">
        <f ca="1">VLOOKUP(B646,'ALL DATABASES'!$A$1:$T$2252,14,FALSE)</f>
        <v>https://www.sciencedirect.com/science/article/pii/S0040162518309594;http://dx.doi.org/10.1016/j.techfore.2019.119735</v>
      </c>
      <c r="G646" s="15" t="str">
        <f ca="1">VLOOKUP(B646,'ALL DATABASES'!$A$1:$T$2252,3,FALSE)</f>
        <v>Journal Article</v>
      </c>
      <c r="H646" s="50" t="str">
        <f ca="1">VLOOKUP(B646,'ALL DATABASES'!$A$1:$T$2252,20,FALSE)</f>
        <v>SCIENCEDIRECT</v>
      </c>
    </row>
    <row r="647" spans="1:28" s="71" customFormat="1" ht="12.75" x14ac:dyDescent="0.2">
      <c r="A647">
        <v>646</v>
      </c>
      <c r="B647" s="68" t="str">
        <f ca="1">IFERROR(__xludf.DUMMYFUNCTION("""COMPUTED_VALUE"""),"Digital Marketplaces Unleashed")</f>
        <v>Digital Marketplaces Unleashed</v>
      </c>
      <c r="C647" s="68" t="str">
        <f ca="1">VLOOKUP(B647,'ALL DATABASES'!$A$1:$T$2252,2,FALSE)</f>
        <v>Prof. Dr. Claudia Linnhoff-PopienDr. Ralf SchneiderMichael Zaddach</v>
      </c>
      <c r="D647" s="68">
        <f ca="1">VLOOKUP(B647,'ALL DATABASES'!$A$1:$T$2252,5,FALSE)</f>
        <v>2018</v>
      </c>
      <c r="E647" s="68">
        <f ca="1">VLOOKUP(B647,'ALL DATABASES'!$A$1:$T$2252,10,FALSE)</f>
        <v>0</v>
      </c>
      <c r="F647" s="69" t="str">
        <f ca="1">VLOOKUP(B647,'ALL DATABASES'!$A$1:$T$2252,14,FALSE)</f>
        <v>http://link.springer.com/book/10.1007/978-3-662-49275-8</v>
      </c>
      <c r="G647" s="68" t="str">
        <f ca="1">VLOOKUP(B647,'ALL DATABASES'!$A$1:$T$2252,3,FALSE)</f>
        <v>Book</v>
      </c>
      <c r="H647" s="70" t="str">
        <f ca="1">VLOOKUP(B647,'ALL DATABASES'!$A$1:$T$2252,20,FALSE)</f>
        <v>SPRINGER</v>
      </c>
      <c r="I647" s="70"/>
      <c r="J647" s="70"/>
      <c r="K647" s="70"/>
      <c r="L647" s="70"/>
      <c r="M647" s="70"/>
      <c r="N647" s="70"/>
      <c r="O647" s="70"/>
      <c r="P647" s="70"/>
      <c r="Q647" s="70"/>
      <c r="R647" s="70"/>
      <c r="S647" s="70"/>
      <c r="T647" s="70"/>
      <c r="U647" s="70"/>
      <c r="V647" s="70"/>
      <c r="W647" s="70"/>
      <c r="X647" s="70"/>
      <c r="Y647" s="70"/>
      <c r="Z647" s="70"/>
      <c r="AA647" s="70"/>
      <c r="AB647" s="70"/>
    </row>
    <row r="648" spans="1:28" ht="12.75" x14ac:dyDescent="0.2">
      <c r="A648">
        <v>647</v>
      </c>
      <c r="B648" s="15" t="str">
        <f ca="1">IFERROR(__xludf.DUMMYFUNCTION("""COMPUTED_VALUE"""),"Digital Maturity: A Survey in the Netherlands")</f>
        <v>Digital Maturity: A Survey in the Netherlands</v>
      </c>
      <c r="C648" s="15" t="str">
        <f ca="1">VLOOKUP(B648,'ALL DATABASES'!$A$1:$T$2252,2,FALSE)</f>
        <v>Beulen E</v>
      </c>
      <c r="D648" s="15">
        <f ca="1">VLOOKUP(B648,'ALL DATABASES'!$A$1:$T$2252,5,FALSE)</f>
        <v>2020</v>
      </c>
      <c r="E648" s="15">
        <f ca="1">VLOOKUP(B648,'ALL DATABASES'!$A$1:$T$2252,10,FALSE)</f>
        <v>2020</v>
      </c>
      <c r="F648" s="54" t="str">
        <f ca="1">VLOOKUP(B648,'ALL DATABASES'!$A$1:$T$2252,14,FALSE)</f>
        <v>https://www.scopus.com/inward/record.uri?eid=2-s2.0-85101363818&amp;doi=10.1007%2f978-3-030-66834-1_4&amp;partnerID=40&amp;md5=b08785efee355cebfe4950581f0731e5;http://dx.doi.org/10.1007/978-3-030-66834-1_4</v>
      </c>
      <c r="G648" s="15" t="str">
        <f ca="1">VLOOKUP(B648,'ALL DATABASES'!$A$1:$T$2252,3,FALSE)</f>
        <v>Journal Article</v>
      </c>
      <c r="H648" s="50" t="str">
        <f ca="1">VLOOKUP(B648,'ALL DATABASES'!$A$1:$T$2252,20,FALSE)</f>
        <v>SCOPUS</v>
      </c>
    </row>
    <row r="649" spans="1:28" ht="12.75" x14ac:dyDescent="0.2">
      <c r="A649">
        <v>648</v>
      </c>
      <c r="B649" s="15" t="str">
        <f ca="1">IFERROR(__xludf.DUMMYFUNCTION("""COMPUTED_VALUE"""),"Digital nudging for technical debt management at Credit Suisse")</f>
        <v>Digital nudging for technical debt management at Credit Suisse</v>
      </c>
      <c r="C649" s="15" t="str">
        <f ca="1">VLOOKUP(B649,'ALL DATABASES'!$A$1:$T$2252,2,FALSE)</f>
        <v>Haki K,Rieder A,Buchmann L,W.Schneider A</v>
      </c>
      <c r="D649" s="15">
        <f ca="1">VLOOKUP(B649,'ALL DATABASES'!$A$1:$T$2252,5,FALSE)</f>
        <v>2022</v>
      </c>
      <c r="E649" s="15">
        <f ca="1">VLOOKUP(B649,'ALL DATABASES'!$A$1:$T$2252,10,FALSE)</f>
        <v>2022</v>
      </c>
      <c r="F649" s="54" t="str">
        <f ca="1">VLOOKUP(B649,'ALL DATABASES'!$A$1:$T$2252,14,FALSE)</f>
        <v>https://www.scopus.com/inward/record.uri?eid=2-s2.0-85134470450&amp;doi=10.1080%2f0960085X.2022.2088413&amp;partnerID=40&amp;md5=3a94c12ed8b85afa521143bbf56b05fc;http://dx.doi.org/10.1080/0960085X.2022.2088413</v>
      </c>
      <c r="G649" s="15" t="str">
        <f ca="1">VLOOKUP(B649,'ALL DATABASES'!$A$1:$T$2252,3,FALSE)</f>
        <v>Journal Article</v>
      </c>
      <c r="H649" s="50" t="str">
        <f ca="1">VLOOKUP(B649,'ALL DATABASES'!$A$1:$T$2252,20,FALSE)</f>
        <v>SCOPUS</v>
      </c>
    </row>
    <row r="650" spans="1:28" ht="12.75" x14ac:dyDescent="0.2">
      <c r="A650">
        <v>649</v>
      </c>
      <c r="B650" s="15" t="str">
        <f ca="1">IFERROR(__xludf.DUMMYFUNCTION("""COMPUTED_VALUE"""),"Digitalization Cases")</f>
        <v>Digitalization Cases</v>
      </c>
      <c r="C650" s="15" t="str">
        <f ca="1">VLOOKUP(B650,'ALL DATABASES'!$A$1:$T$2252,2,FALSE)</f>
        <v>Nils UrbachMaximilian RÃ¶glinger</v>
      </c>
      <c r="D650" s="15">
        <f ca="1">VLOOKUP(B650,'ALL DATABASES'!$A$1:$T$2252,5,FALSE)</f>
        <v>2019</v>
      </c>
      <c r="E650" s="15">
        <f ca="1">VLOOKUP(B650,'ALL DATABASES'!$A$1:$T$2252,10,FALSE)</f>
        <v>0</v>
      </c>
      <c r="F650" s="54" t="str">
        <f ca="1">VLOOKUP(B650,'ALL DATABASES'!$A$1:$T$2252,14,FALSE)</f>
        <v>http://link.springer.com/book/10.1007/978-3-319-95273-4</v>
      </c>
      <c r="G650" s="15" t="str">
        <f ca="1">VLOOKUP(B650,'ALL DATABASES'!$A$1:$T$2252,3,FALSE)</f>
        <v>Book</v>
      </c>
      <c r="H650" s="50" t="str">
        <f ca="1">VLOOKUP(B650,'ALL DATABASES'!$A$1:$T$2252,20,FALSE)</f>
        <v>SPRINGER</v>
      </c>
    </row>
    <row r="651" spans="1:28" ht="12.75" x14ac:dyDescent="0.2">
      <c r="A651">
        <v>650</v>
      </c>
      <c r="B651" s="15" t="str">
        <f ca="1">IFERROR(__xludf.DUMMYFUNCTION("""COMPUTED_VALUE"""),"Digitalization Cases Vol. 2")</f>
        <v>Digitalization Cases Vol. 2</v>
      </c>
      <c r="C651" s="15" t="str">
        <f ca="1">VLOOKUP(B651,'ALL DATABASES'!$A$1:$T$2252,2,FALSE)</f>
        <v>Nils UrbachMaximilian RÃ¶glingerKarlheinz KautzRose Alinda AliasCarol SaundersMartin Wiener</v>
      </c>
      <c r="D651" s="15">
        <f ca="1">VLOOKUP(B651,'ALL DATABASES'!$A$1:$T$2252,5,FALSE)</f>
        <v>2021</v>
      </c>
      <c r="E651" s="15">
        <f ca="1">VLOOKUP(B651,'ALL DATABASES'!$A$1:$T$2252,10,FALSE)</f>
        <v>0</v>
      </c>
      <c r="F651" s="54" t="str">
        <f ca="1">VLOOKUP(B651,'ALL DATABASES'!$A$1:$T$2252,14,FALSE)</f>
        <v>http://link.springer.com/book/10.1007/978-3-030-80003-1</v>
      </c>
      <c r="G651" s="15" t="str">
        <f ca="1">VLOOKUP(B651,'ALL DATABASES'!$A$1:$T$2252,3,FALSE)</f>
        <v>Book</v>
      </c>
      <c r="H651" s="50" t="str">
        <f ca="1">VLOOKUP(B651,'ALL DATABASES'!$A$1:$T$2252,20,FALSE)</f>
        <v>SPRINGER</v>
      </c>
    </row>
    <row r="652" spans="1:28" ht="12.75" x14ac:dyDescent="0.2">
      <c r="A652">
        <v>651</v>
      </c>
      <c r="B652" s="15" t="str">
        <f ca="1">IFERROR(__xludf.DUMMYFUNCTION("""COMPUTED_VALUE"""),"Digitization and MongoDBâ€”The Art of Possible")</f>
        <v>Digitization and MongoDBâ€”The Art of Possible</v>
      </c>
      <c r="C652" s="15" t="str">
        <f ca="1">VLOOKUP(B652,'ALL DATABASES'!$A$1:$T$2252,2,FALSE)</f>
        <v>Boris Bialek</v>
      </c>
      <c r="D652" s="15">
        <f ca="1">VLOOKUP(B652,'ALL DATABASES'!$A$1:$T$2252,5,FALSE)</f>
        <v>2021</v>
      </c>
      <c r="E652" s="15">
        <f ca="1">VLOOKUP(B652,'ALL DATABASES'!$A$1:$T$2252,10,FALSE)</f>
        <v>0</v>
      </c>
      <c r="F652" s="54" t="str">
        <f ca="1">VLOOKUP(B652,'ALL DATABASES'!$A$1:$T$2252,14,FALSE)</f>
        <v>http://link.springer.com/chapter/10.1007/978-3-030-78821-6_2</v>
      </c>
      <c r="G652" s="15" t="str">
        <f ca="1">VLOOKUP(B652,'ALL DATABASES'!$A$1:$T$2252,3,FALSE)</f>
        <v>Chapter</v>
      </c>
      <c r="H652" s="50" t="str">
        <f ca="1">VLOOKUP(B652,'ALL DATABASES'!$A$1:$T$2252,20,FALSE)</f>
        <v>SPRINGER</v>
      </c>
    </row>
    <row r="653" spans="1:28" ht="12.75" x14ac:dyDescent="0.2">
      <c r="A653">
        <v>652</v>
      </c>
      <c r="B653" s="15" t="str">
        <f ca="1">IFERROR(__xludf.DUMMYFUNCTION("""COMPUTED_VALUE"""),"Discovering repetitive code changes in ML systems")</f>
        <v>Discovering repetitive code changes in ML systems</v>
      </c>
      <c r="C653" s="15" t="str">
        <f ca="1">VLOOKUP(B653,'ALL DATABASES'!$A$1:$T$2252,2,FALSE)</f>
        <v>Dilhara M</v>
      </c>
      <c r="D653" s="15">
        <f ca="1">VLOOKUP(B653,'ALL DATABASES'!$A$1:$T$2252,5,FALSE)</f>
        <v>2021</v>
      </c>
      <c r="E653" s="15">
        <f ca="1">VLOOKUP(B653,'ALL DATABASES'!$A$1:$T$2252,10,FALSE)</f>
        <v>2021</v>
      </c>
      <c r="F653" s="54" t="str">
        <f ca="1">VLOOKUP(B653,'ALL DATABASES'!$A$1:$T$2252,14,FALSE)</f>
        <v>https://www.scopus.com/inward/record.uri?eid=2-s2.0-85116304893&amp;doi=10.1145%2f3468264.3473493&amp;partnerID=40&amp;md5=c6582bf8e064e1baf52f02043f2e8b99;http://dx.doi.org/10.1145/3468264.3473493</v>
      </c>
      <c r="G653" s="15" t="str">
        <f ca="1">VLOOKUP(B653,'ALL DATABASES'!$A$1:$T$2252,3,FALSE)</f>
        <v>Conference Paper</v>
      </c>
      <c r="H653" s="50" t="str">
        <f ca="1">VLOOKUP(B653,'ALL DATABASES'!$A$1:$T$2252,20,FALSE)</f>
        <v>SCOPUS</v>
      </c>
    </row>
    <row r="654" spans="1:28" ht="12.75" x14ac:dyDescent="0.2">
      <c r="A654">
        <v>653</v>
      </c>
      <c r="B654" s="15" t="str">
        <f ca="1">IFERROR(__xludf.DUMMYFUNCTION("""COMPUTED_VALUE"""),"Discovering Repetitive Code Changes in Python ML Systems")</f>
        <v>Discovering Repetitive Code Changes in Python ML Systems</v>
      </c>
      <c r="C654" s="15" t="str">
        <f ca="1">VLOOKUP(B654,'ALL DATABASES'!$A$1:$T$2252,2,FALSE)</f>
        <v>Dilhara M,Ketkar A,Sannidhi N,Dig D</v>
      </c>
      <c r="D654" s="15">
        <f ca="1">VLOOKUP(B654,'ALL DATABASES'!$A$1:$T$2252,5,FALSE)</f>
        <v>2022</v>
      </c>
      <c r="E654" s="15">
        <f ca="1">VLOOKUP(B654,'ALL DATABASES'!$A$1:$T$2252,10,FALSE)</f>
        <v>2022</v>
      </c>
      <c r="F654" s="54" t="str">
        <f ca="1">VLOOKUP(B654,'ALL DATABASES'!$A$1:$T$2252,14,FALSE)</f>
        <v>https://doi.org/10.1145/3510003.3510225;http://dx.doi.org/10.1145/3510003.3510225</v>
      </c>
      <c r="G654" s="15" t="str">
        <f ca="1">VLOOKUP(B654,'ALL DATABASES'!$A$1:$T$2252,3,FALSE)</f>
        <v>Conference Paper</v>
      </c>
      <c r="H654" s="50" t="str">
        <f ca="1">VLOOKUP(B654,'ALL DATABASES'!$A$1:$T$2252,20,FALSE)</f>
        <v>ACM</v>
      </c>
    </row>
    <row r="655" spans="1:28" ht="12.75" x14ac:dyDescent="0.2">
      <c r="A655">
        <v>654</v>
      </c>
      <c r="B655" s="15" t="str">
        <f ca="1">IFERROR(__xludf.DUMMYFUNCTION("""COMPUTED_VALUE"""),"Discrepancies among pre-trained deep neural networks: a new threat to model zoo reliability")</f>
        <v>Discrepancies among pre-trained deep neural networks: a new threat to model zoo reliability</v>
      </c>
      <c r="C655" s="15" t="str">
        <f ca="1">VLOOKUP(B655,'ALL DATABASES'!$A$1:$T$2252,2,FALSE)</f>
        <v>Montes D,Peerapatanapokin P,Schultz J,Guo C,Jiang W,Davis JC</v>
      </c>
      <c r="D655" s="15">
        <f ca="1">VLOOKUP(B655,'ALL DATABASES'!$A$1:$T$2252,5,FALSE)</f>
        <v>2022</v>
      </c>
      <c r="E655" s="15">
        <f ca="1">VLOOKUP(B655,'ALL DATABASES'!$A$1:$T$2252,10,FALSE)</f>
        <v>2022</v>
      </c>
      <c r="F655" s="54" t="str">
        <f ca="1">VLOOKUP(B655,'ALL DATABASES'!$A$1:$T$2252,14,FALSE)</f>
        <v>https://www.scopus.com/inward/record.uri?eid=2-s2.0-85143050726&amp;doi=10.1145%2f3540250.3560881&amp;partnerID=40&amp;md5=dc1e8d7ad14a1339e755d34c7a59146e;http://dx.doi.org/10.1145/3540250.3560881</v>
      </c>
      <c r="G655" s="15" t="str">
        <f ca="1">VLOOKUP(B655,'ALL DATABASES'!$A$1:$T$2252,3,FALSE)</f>
        <v>Conference Paper</v>
      </c>
      <c r="H655" s="50" t="str">
        <f ca="1">VLOOKUP(B655,'ALL DATABASES'!$A$1:$T$2252,20,FALSE)</f>
        <v>SCOPUS</v>
      </c>
    </row>
    <row r="656" spans="1:28" ht="12.75" x14ac:dyDescent="0.2">
      <c r="A656">
        <v>655</v>
      </c>
      <c r="B656" s="15" t="str">
        <f ca="1">IFERROR(__xludf.DUMMYFUNCTION("""COMPUTED_VALUE"""),"Disrupting Developer Productivity One Bot at a Time")</f>
        <v>Disrupting Developer Productivity One Bot at a Time</v>
      </c>
      <c r="C656" s="15" t="str">
        <f ca="1">VLOOKUP(B656,'ALL DATABASES'!$A$1:$T$2252,2,FALSE)</f>
        <v>Storey MA,Zagalsky A</v>
      </c>
      <c r="D656" s="15">
        <f ca="1">VLOOKUP(B656,'ALL DATABASES'!$A$1:$T$2252,5,FALSE)</f>
        <v>2016</v>
      </c>
      <c r="E656" s="15">
        <f ca="1">VLOOKUP(B656,'ALL DATABASES'!$A$1:$T$2252,10,FALSE)</f>
        <v>2016</v>
      </c>
      <c r="F656" s="54" t="str">
        <f ca="1">VLOOKUP(B656,'ALL DATABASES'!$A$1:$T$2252,14,FALSE)</f>
        <v>https://doi.org/10.1145/2950290.2983989;http://dx.doi.org/10.1145/2950290.2983989</v>
      </c>
      <c r="G656" s="15" t="str">
        <f ca="1">VLOOKUP(B656,'ALL DATABASES'!$A$1:$T$2252,3,FALSE)</f>
        <v>Conference Paper</v>
      </c>
      <c r="H656" s="50" t="str">
        <f ca="1">VLOOKUP(B656,'ALL DATABASES'!$A$1:$T$2252,20,FALSE)</f>
        <v>ACM</v>
      </c>
    </row>
    <row r="657" spans="1:8" ht="12.75" x14ac:dyDescent="0.2">
      <c r="A657">
        <v>656</v>
      </c>
      <c r="B657" s="15" t="str">
        <f ca="1">IFERROR(__xludf.DUMMYFUNCTION("""COMPUTED_VALUE"""),"DLFinder: Characterizing and Detecting Duplicate Logging Code Smells")</f>
        <v>DLFinder: Characterizing and Detecting Duplicate Logging Code Smells</v>
      </c>
      <c r="C657" s="15" t="str">
        <f ca="1">VLOOKUP(B657,'ALL DATABASES'!$A$1:$T$2252,2,FALSE)</f>
        <v>Li Z,Chen TH,Yang J,Shang W</v>
      </c>
      <c r="D657" s="15">
        <f ca="1">VLOOKUP(B657,'ALL DATABASES'!$A$1:$T$2252,5,FALSE)</f>
        <v>2019</v>
      </c>
      <c r="E657" s="15">
        <f ca="1">VLOOKUP(B657,'ALL DATABASES'!$A$1:$T$2252,10,FALSE)</f>
        <v>2019</v>
      </c>
      <c r="F657" s="54" t="str">
        <f ca="1">VLOOKUP(B657,'ALL DATABASES'!$A$1:$T$2252,14,FALSE)</f>
        <v>https://doi.org/10.1109/ICSE.2019.00032;http://dx.doi.org/10.1109/ICSE.2019.00032</v>
      </c>
      <c r="G657" s="15" t="str">
        <f ca="1">VLOOKUP(B657,'ALL DATABASES'!$A$1:$T$2252,3,FALSE)</f>
        <v>Conference Paper</v>
      </c>
      <c r="H657" s="50" t="str">
        <f ca="1">VLOOKUP(B657,'ALL DATABASES'!$A$1:$T$2252,20,FALSE)</f>
        <v>ACM</v>
      </c>
    </row>
    <row r="658" spans="1:8" ht="12.75" x14ac:dyDescent="0.2">
      <c r="A658">
        <v>657</v>
      </c>
      <c r="B658" s="15" t="str">
        <f ca="1">IFERROR(__xludf.DUMMYFUNCTION("""COMPUTED_VALUE"""),"Do Datasets Have Politics? Disciplinary Values in Computer Vision Dataset Development")</f>
        <v>Do Datasets Have Politics? Disciplinary Values in Computer Vision Dataset Development</v>
      </c>
      <c r="C658" s="15" t="str">
        <f ca="1">VLOOKUP(B658,'ALL DATABASES'!$A$1:$T$2252,2,FALSE)</f>
        <v>Scheuerman MK,Hanna A,Denton E</v>
      </c>
      <c r="D658" s="15">
        <f ca="1">VLOOKUP(B658,'ALL DATABASES'!$A$1:$T$2252,5,FALSE)</f>
        <v>2021</v>
      </c>
      <c r="E658" s="15">
        <f ca="1">VLOOKUP(B658,'ALL DATABASES'!$A$1:$T$2252,10,FALSE)</f>
        <v>2021</v>
      </c>
      <c r="F658" s="54" t="str">
        <f ca="1">VLOOKUP(B658,'ALL DATABASES'!$A$1:$T$2252,14,FALSE)</f>
        <v>https://www.scopus.com/inward/record.uri?eid=2-s2.0-85117904176&amp;doi=10.1145%2f3476058&amp;partnerID=40&amp;md5=6a7e3da439d4d71574bbbd8bbb0f7ee1;http://dx.doi.org/10.1145/3476058</v>
      </c>
      <c r="G658" s="15" t="str">
        <f ca="1">VLOOKUP(B658,'ALL DATABASES'!$A$1:$T$2252,3,FALSE)</f>
        <v>Journal Article</v>
      </c>
      <c r="H658" s="50" t="str">
        <f ca="1">VLOOKUP(B658,'ALL DATABASES'!$A$1:$T$2252,20,FALSE)</f>
        <v>SCOPUS</v>
      </c>
    </row>
    <row r="659" spans="1:8" ht="12.75" x14ac:dyDescent="0.2">
      <c r="A659">
        <v>658</v>
      </c>
      <c r="B659" s="15" t="str">
        <f ca="1">IFERROR(__xludf.DUMMYFUNCTION("""COMPUTED_VALUE"""),"Do practitioners intentionally self-fix Technical Debt and why?")</f>
        <v>Do practitioners intentionally self-fix Technical Debt and why?</v>
      </c>
      <c r="C659" s="15" t="str">
        <f ca="1">VLOOKUP(B659,'ALL DATABASES'!$A$1:$T$2252,2,FALSE)</f>
        <v>Tan J,Feitosa D,Avgeriou P</v>
      </c>
      <c r="D659" s="15">
        <f ca="1">VLOOKUP(B659,'ALL DATABASES'!$A$1:$T$2252,5,FALSE)</f>
        <v>2021</v>
      </c>
      <c r="E659" s="15">
        <f ca="1">VLOOKUP(B659,'ALL DATABASES'!$A$1:$T$2252,10,FALSE)</f>
        <v>2021</v>
      </c>
      <c r="F659" s="54" t="str">
        <f ca="1">VLOOKUP(B659,'ALL DATABASES'!$A$1:$T$2252,14,FALSE)</f>
        <v>https://www.scopus.com/inward/record.uri?eid=2-s2.0-85123382930&amp;doi=10.1109%2fICSME52107.2021.00029&amp;partnerID=40&amp;md5=90ce760007a85816b5575adb0ed3fb4e;http://dx.doi.org/10.1109/ICSME52107.2021.00029</v>
      </c>
      <c r="G659" s="15" t="str">
        <f ca="1">VLOOKUP(B659,'ALL DATABASES'!$A$1:$T$2252,3,FALSE)</f>
        <v>Conference Paper</v>
      </c>
      <c r="H659" s="50" t="str">
        <f ca="1">VLOOKUP(B659,'ALL DATABASES'!$A$1:$T$2252,20,FALSE)</f>
        <v>SCOPUS</v>
      </c>
    </row>
    <row r="660" spans="1:8" ht="12.75" x14ac:dyDescent="0.2">
      <c r="A660">
        <v>659</v>
      </c>
      <c r="B660" s="15" t="str">
        <f ca="1">IFERROR(__xludf.DUMMYFUNCTION("""COMPUTED_VALUE"""),"Do we need to pay technical debt in blockchain software systems?")</f>
        <v>Do we need to pay technical debt in blockchain software systems?</v>
      </c>
      <c r="C660" s="15" t="str">
        <f ca="1">VLOOKUP(B660,'ALL DATABASES'!$A$1:$T$2252,2,FALSE)</f>
        <v>Qu Y,Bao T,Chen X,Li L,Dou X,Yuan M,Wang H</v>
      </c>
      <c r="D660" s="15">
        <f ca="1">VLOOKUP(B660,'ALL DATABASES'!$A$1:$T$2252,5,FALSE)</f>
        <v>2022</v>
      </c>
      <c r="E660" s="15">
        <f ca="1">VLOOKUP(B660,'ALL DATABASES'!$A$1:$T$2252,10,FALSE)</f>
        <v>2022</v>
      </c>
      <c r="F660" s="54" t="str">
        <f ca="1">VLOOKUP(B660,'ALL DATABASES'!$A$1:$T$2252,14,FALSE)</f>
        <v>https://www.scopus.com/inward/record.uri?eid=2-s2.0-85133288451&amp;doi=10.1080%2f09540091.2022.2067125&amp;partnerID=40&amp;md5=73770d01b2a5a6366da4aa4f93d906c2;http://dx.doi.org/10.1080/09540091.2022.2067125</v>
      </c>
      <c r="G660" s="15" t="str">
        <f ca="1">VLOOKUP(B660,'ALL DATABASES'!$A$1:$T$2252,3,FALSE)</f>
        <v>Journal Article</v>
      </c>
      <c r="H660" s="50" t="str">
        <f ca="1">VLOOKUP(B660,'ALL DATABASES'!$A$1:$T$2252,20,FALSE)</f>
        <v>SCOPUS</v>
      </c>
    </row>
    <row r="661" spans="1:8" ht="12.75" x14ac:dyDescent="0.2">
      <c r="A661">
        <v>660</v>
      </c>
      <c r="B661" s="15" t="str">
        <f ca="1">IFERROR(__xludf.DUMMYFUNCTION("""COMPUTED_VALUE"""),"Docs for Developers")</f>
        <v>Docs for Developers</v>
      </c>
      <c r="C661" s="15" t="str">
        <f ca="1">VLOOKUP(B661,'ALL DATABASES'!$A$1:$T$2252,2,FALSE)</f>
        <v>Jared BhattiZachary Sarah CorleissenJen LambourneDavid NunezHeidi Waterhouse</v>
      </c>
      <c r="D661" s="15">
        <f ca="1">VLOOKUP(B661,'ALL DATABASES'!$A$1:$T$2252,5,FALSE)</f>
        <v>2021</v>
      </c>
      <c r="E661" s="15">
        <f ca="1">VLOOKUP(B661,'ALL DATABASES'!$A$1:$T$2252,10,FALSE)</f>
        <v>0</v>
      </c>
      <c r="F661" s="54" t="str">
        <f ca="1">VLOOKUP(B661,'ALL DATABASES'!$A$1:$T$2252,14,FALSE)</f>
        <v>http://link.springer.com/book/10.1007/978-1-4842-7217-6</v>
      </c>
      <c r="G661" s="15" t="str">
        <f ca="1">VLOOKUP(B661,'ALL DATABASES'!$A$1:$T$2252,3,FALSE)</f>
        <v>Book</v>
      </c>
      <c r="H661" s="50" t="str">
        <f ca="1">VLOOKUP(B661,'ALL DATABASES'!$A$1:$T$2252,20,FALSE)</f>
        <v>SPRINGER</v>
      </c>
    </row>
    <row r="662" spans="1:8" ht="12.75" x14ac:dyDescent="0.2">
      <c r="A662">
        <v>661</v>
      </c>
      <c r="B662" s="15" t="str">
        <f ca="1">IFERROR(__xludf.DUMMYFUNCTION("""COMPUTED_VALUE"""),"Does Bug Prediction Support Human Developers? Findings from a Google Case Study")</f>
        <v>Does Bug Prediction Support Human Developers? Findings from a Google Case Study</v>
      </c>
      <c r="C662" s="15" t="str">
        <f ca="1">VLOOKUP(B662,'ALL DATABASES'!$A$1:$T$2252,2,FALSE)</f>
        <v>Lewis C,Lin Z,Sadowski C,Zhu X,Ou R,Whitehead EJ</v>
      </c>
      <c r="D662" s="15">
        <f ca="1">VLOOKUP(B662,'ALL DATABASES'!$A$1:$T$2252,5,FALSE)</f>
        <v>2013</v>
      </c>
      <c r="E662" s="55">
        <f ca="1">VLOOKUP(B662,'ALL DATABASES'!$A$1:$T$2252,10,FALSE)</f>
        <v>41395</v>
      </c>
      <c r="F662" s="54" t="str">
        <f ca="1">VLOOKUP(B662,'ALL DATABASES'!$A$1:$T$2252,14,FALSE)</f>
        <v>http://dx.doi.org/10.1109/ICSE.2013.6606583</v>
      </c>
      <c r="G662" s="15" t="str">
        <f ca="1">VLOOKUP(B662,'ALL DATABASES'!$A$1:$T$2252,3,FALSE)</f>
        <v>Conference Paper</v>
      </c>
      <c r="H662" s="50" t="str">
        <f ca="1">VLOOKUP(B662,'ALL DATABASES'!$A$1:$T$2252,20,FALSE)</f>
        <v>IEEE</v>
      </c>
    </row>
    <row r="663" spans="1:8" ht="12.75" x14ac:dyDescent="0.2">
      <c r="A663">
        <v>662</v>
      </c>
      <c r="B663" s="15" t="str">
        <f ca="1">IFERROR(__xludf.DUMMYFUNCTION("""COMPUTED_VALUE"""),"Does Code Complexity Affect the Quality of Real-Time Projects? Detection of Code Smell on Software Projects Using Machine Learning Algorithms")</f>
        <v>Does Code Complexity Affect the Quality of Real-Time Projects? Detection of Code Smell on Software Projects Using Machine Learning Algorithms</v>
      </c>
      <c r="C663" s="15" t="str">
        <f ca="1">VLOOKUP(B663,'ALL DATABASES'!$A$1:$T$2252,2,FALSE)</f>
        <v>Patnaik A,Padhy N</v>
      </c>
      <c r="D663" s="15">
        <f ca="1">VLOOKUP(B663,'ALL DATABASES'!$A$1:$T$2252,5,FALSE)</f>
        <v>2022</v>
      </c>
      <c r="E663" s="15">
        <f ca="1">VLOOKUP(B663,'ALL DATABASES'!$A$1:$T$2252,10,FALSE)</f>
        <v>2022</v>
      </c>
      <c r="F663" s="54" t="str">
        <f ca="1">VLOOKUP(B663,'ALL DATABASES'!$A$1:$T$2252,14,FALSE)</f>
        <v>https://doi.org/10.1145/3484824.3484911;http://dx.doi.org/10.1145/3484824.3484911</v>
      </c>
      <c r="G663" s="15" t="str">
        <f ca="1">VLOOKUP(B663,'ALL DATABASES'!$A$1:$T$2252,3,FALSE)</f>
        <v>Conference Paper</v>
      </c>
      <c r="H663" s="50" t="str">
        <f ca="1">VLOOKUP(B663,'ALL DATABASES'!$A$1:$T$2252,20,FALSE)</f>
        <v>ACM</v>
      </c>
    </row>
    <row r="664" spans="1:8" ht="12.75" x14ac:dyDescent="0.2">
      <c r="A664">
        <v>663</v>
      </c>
      <c r="B664" s="15" t="str">
        <f ca="1">IFERROR(__xludf.DUMMYFUNCTION("""COMPUTED_VALUE"""),"Does code quality affect pull request acceptance? An empirical study")</f>
        <v>Does code quality affect pull request acceptance? An empirical study</v>
      </c>
      <c r="C664" s="15" t="str">
        <f ca="1">VLOOKUP(B664,'ALL DATABASES'!$A$1:$T$2252,2,FALSE)</f>
        <v>Lenarduzzi V,Nikkola V,Saarimäki N,Taibi D</v>
      </c>
      <c r="D664" s="15">
        <f ca="1">VLOOKUP(B664,'ALL DATABASES'!$A$1:$T$2252,5,FALSE)</f>
        <v>2021</v>
      </c>
      <c r="E664" s="15">
        <f ca="1">VLOOKUP(B664,'ALL DATABASES'!$A$1:$T$2252,10,FALSE)</f>
        <v>2021</v>
      </c>
      <c r="F664" s="54" t="str">
        <f ca="1">VLOOKUP(B664,'ALL DATABASES'!$A$1:$T$2252,14,FALSE)</f>
        <v>https://www.sciencedirect.com/science/article/pii/S0164121220302090;http://dx.doi.org/10.1016/j.jss.2020.110806</v>
      </c>
      <c r="G664" s="15" t="str">
        <f ca="1">VLOOKUP(B664,'ALL DATABASES'!$A$1:$T$2252,3,FALSE)</f>
        <v>Journal Article</v>
      </c>
      <c r="H664" s="50" t="str">
        <f ca="1">VLOOKUP(B664,'ALL DATABASES'!$A$1:$T$2252,20,FALSE)</f>
        <v>SCIENCEDIRECT</v>
      </c>
    </row>
    <row r="665" spans="1:8" ht="12.75" x14ac:dyDescent="0.2">
      <c r="A665">
        <v>664</v>
      </c>
      <c r="B665" s="15" t="str">
        <f ca="1">IFERROR(__xludf.DUMMYFUNCTION("""COMPUTED_VALUE"""),"Does Configuration Encoding Matter in Learning Software Performance? An Empirical Study on Encoding Schemes")</f>
        <v>Does Configuration Encoding Matter in Learning Software Performance? An Empirical Study on Encoding Schemes</v>
      </c>
      <c r="C665" s="15" t="str">
        <f ca="1">VLOOKUP(B665,'ALL DATABASES'!$A$1:$T$2252,2,FALSE)</f>
        <v>Gong J,Chen T</v>
      </c>
      <c r="D665" s="15">
        <f ca="1">VLOOKUP(B665,'ALL DATABASES'!$A$1:$T$2252,5,FALSE)</f>
        <v>2022</v>
      </c>
      <c r="E665" s="15">
        <f ca="1">VLOOKUP(B665,'ALL DATABASES'!$A$1:$T$2252,10,FALSE)</f>
        <v>2022</v>
      </c>
      <c r="F665" s="54" t="str">
        <f ca="1">VLOOKUP(B665,'ALL DATABASES'!$A$1:$T$2252,14,FALSE)</f>
        <v>https://www.scopus.com/inward/record.uri?eid=2-s2.0-85134065747&amp;doi=10.1145%2f3524842.3528431&amp;partnerID=40&amp;md5=a0abf95d46544d32bfc42882d4d48bcf;http://dx.doi.org/10.1145/3524842.3528431</v>
      </c>
      <c r="G665" s="15" t="str">
        <f ca="1">VLOOKUP(B665,'ALL DATABASES'!$A$1:$T$2252,3,FALSE)</f>
        <v>Conference Paper</v>
      </c>
      <c r="H665" s="50" t="str">
        <f ca="1">VLOOKUP(B665,'ALL DATABASES'!$A$1:$T$2252,20,FALSE)</f>
        <v>SCOPUS</v>
      </c>
    </row>
    <row r="666" spans="1:8" ht="12.75" x14ac:dyDescent="0.2">
      <c r="A666">
        <v>665</v>
      </c>
      <c r="B666" s="15" t="str">
        <f ca="1">IFERROR(__xludf.DUMMYFUNCTION("""COMPUTED_VALUE"""),"Does migrating a monolithic system to microservices decrease the technical debt?")</f>
        <v>Does migrating a monolithic system to microservices decrease the technical debt?</v>
      </c>
      <c r="C666" s="15" t="str">
        <f ca="1">VLOOKUP(B666,'ALL DATABASES'!$A$1:$T$2252,2,FALSE)</f>
        <v>Lenarduzzi V,Lomio F,Saarimäki N,Taibi D</v>
      </c>
      <c r="D666" s="15">
        <f ca="1">VLOOKUP(B666,'ALL DATABASES'!$A$1:$T$2252,5,FALSE)</f>
        <v>2020</v>
      </c>
      <c r="E666" s="15">
        <f ca="1">VLOOKUP(B666,'ALL DATABASES'!$A$1:$T$2252,10,FALSE)</f>
        <v>2020</v>
      </c>
      <c r="F666" s="54" t="str">
        <f ca="1">VLOOKUP(B666,'ALL DATABASES'!$A$1:$T$2252,14,FALSE)</f>
        <v>https://www.sciencedirect.com/science/article/pii/S0164121220301539;http://dx.doi.org/10.1016/j.jss.2020.110710</v>
      </c>
      <c r="G666" s="15" t="str">
        <f ca="1">VLOOKUP(B666,'ALL DATABASES'!$A$1:$T$2252,3,FALSE)</f>
        <v>Journal Article</v>
      </c>
      <c r="H666" s="50" t="str">
        <f ca="1">VLOOKUP(B666,'ALL DATABASES'!$A$1:$T$2252,20,FALSE)</f>
        <v>SCIENCEDIRECT</v>
      </c>
    </row>
    <row r="667" spans="1:8" ht="12.75" x14ac:dyDescent="0.2">
      <c r="A667">
        <v>666</v>
      </c>
      <c r="B667" s="15" t="str">
        <f ca="1">IFERROR(__xludf.DUMMYFUNCTION("""COMPUTED_VALUE"""),"Domain-Specific Languages in Practice")</f>
        <v>Domain-Specific Languages in Practice</v>
      </c>
      <c r="C667" s="15" t="str">
        <f ca="1">VLOOKUP(B667,'ALL DATABASES'!$A$1:$T$2252,2,FALSE)</f>
        <v>Dr. Antonio BucchiaronePh.D. Antonio CicchettiDr. Federico CiccozziProf. Alfonso Pierantonio</v>
      </c>
      <c r="D667" s="15">
        <f ca="1">VLOOKUP(B667,'ALL DATABASES'!$A$1:$T$2252,5,FALSE)</f>
        <v>2021</v>
      </c>
      <c r="E667" s="15">
        <f ca="1">VLOOKUP(B667,'ALL DATABASES'!$A$1:$T$2252,10,FALSE)</f>
        <v>0</v>
      </c>
      <c r="F667" s="54" t="str">
        <f ca="1">VLOOKUP(B667,'ALL DATABASES'!$A$1:$T$2252,14,FALSE)</f>
        <v>http://link.springer.com/book/10.1007/978-3-030-73758-0</v>
      </c>
      <c r="G667" s="15" t="str">
        <f ca="1">VLOOKUP(B667,'ALL DATABASES'!$A$1:$T$2252,3,FALSE)</f>
        <v>Book</v>
      </c>
      <c r="H667" s="50" t="str">
        <f ca="1">VLOOKUP(B667,'ALL DATABASES'!$A$1:$T$2252,20,FALSE)</f>
        <v>SPRINGER</v>
      </c>
    </row>
    <row r="668" spans="1:8" ht="12.75" x14ac:dyDescent="0.2">
      <c r="A668">
        <v>667</v>
      </c>
      <c r="B668" s="15" t="str">
        <f ca="1">IFERROR(__xludf.DUMMYFUNCTION("""COMPUTED_VALUE"""),"Drift and Erosion in Software Architecture: Summary and Prevention Strategies")</f>
        <v>Drift and Erosion in Software Architecture: Summary and Prevention Strategies</v>
      </c>
      <c r="C668" s="15" t="str">
        <f ca="1">VLOOKUP(B668,'ALL DATABASES'!$A$1:$T$2252,2,FALSE)</f>
        <v>Whiting E,Andrews S</v>
      </c>
      <c r="D668" s="15">
        <f ca="1">VLOOKUP(B668,'ALL DATABASES'!$A$1:$T$2252,5,FALSE)</f>
        <v>2020</v>
      </c>
      <c r="E668" s="15">
        <f ca="1">VLOOKUP(B668,'ALL DATABASES'!$A$1:$T$2252,10,FALSE)</f>
        <v>2020</v>
      </c>
      <c r="F668" s="54" t="str">
        <f ca="1">VLOOKUP(B668,'ALL DATABASES'!$A$1:$T$2252,14,FALSE)</f>
        <v>https://doi.org/10.1145/3404663.3404665;http://dx.doi.org/10.1145/3404663.3404665</v>
      </c>
      <c r="G668" s="15" t="str">
        <f ca="1">VLOOKUP(B668,'ALL DATABASES'!$A$1:$T$2252,3,FALSE)</f>
        <v>Conference Paper</v>
      </c>
      <c r="H668" s="50" t="str">
        <f ca="1">VLOOKUP(B668,'ALL DATABASES'!$A$1:$T$2252,20,FALSE)</f>
        <v>ACM</v>
      </c>
    </row>
    <row r="669" spans="1:8" ht="12.75" x14ac:dyDescent="0.2">
      <c r="A669">
        <v>668</v>
      </c>
      <c r="B669" s="15" t="str">
        <f ca="1">IFERROR(__xludf.DUMMYFUNCTION("""COMPUTED_VALUE"""),"Duplicated Code Pattern Mining in Visual Programming Languages")</f>
        <v>Duplicated Code Pattern Mining in Visual Programming Languages</v>
      </c>
      <c r="C669" s="15" t="str">
        <f ca="1">VLOOKUP(B669,'ALL DATABASES'!$A$1:$T$2252,2,FALSE)</f>
        <v>Terra-Neves M,Nadkarni J,Ventura M,Resende P,Veiga H,Alegria A</v>
      </c>
      <c r="D669" s="15">
        <f ca="1">VLOOKUP(B669,'ALL DATABASES'!$A$1:$T$2252,5,FALSE)</f>
        <v>2021</v>
      </c>
      <c r="E669" s="15">
        <f ca="1">VLOOKUP(B669,'ALL DATABASES'!$A$1:$T$2252,10,FALSE)</f>
        <v>2021</v>
      </c>
      <c r="F669" s="54" t="str">
        <f ca="1">VLOOKUP(B669,'ALL DATABASES'!$A$1:$T$2252,14,FALSE)</f>
        <v>https://doi.org/10.1145/3468264.3473928;http://dx.doi.org/10.1145/3468264.3473928</v>
      </c>
      <c r="G669" s="15" t="str">
        <f ca="1">VLOOKUP(B669,'ALL DATABASES'!$A$1:$T$2252,3,FALSE)</f>
        <v>Conference Paper</v>
      </c>
      <c r="H669" s="50" t="str">
        <f ca="1">VLOOKUP(B669,'ALL DATABASES'!$A$1:$T$2252,20,FALSE)</f>
        <v>ACM</v>
      </c>
    </row>
    <row r="670" spans="1:8" ht="12.75" x14ac:dyDescent="0.2">
      <c r="A670">
        <v>669</v>
      </c>
      <c r="B670" s="15" t="str">
        <f ca="1">IFERROR(__xludf.DUMMYFUNCTION("""COMPUTED_VALUE"""),"DV8: Automated Architecture Analysis Tool Suites")</f>
        <v>DV8: Automated Architecture Analysis Tool Suites</v>
      </c>
      <c r="C670" s="15" t="str">
        <f ca="1">VLOOKUP(B670,'ALL DATABASES'!$A$1:$T$2252,2,FALSE)</f>
        <v>Cai Y,Kazman R</v>
      </c>
      <c r="D670" s="15">
        <f ca="1">VLOOKUP(B670,'ALL DATABASES'!$A$1:$T$2252,5,FALSE)</f>
        <v>2019</v>
      </c>
      <c r="E670" s="15">
        <f ca="1">VLOOKUP(B670,'ALL DATABASES'!$A$1:$T$2252,10,FALSE)</f>
        <v>2019</v>
      </c>
      <c r="F670" s="54" t="str">
        <f ca="1">VLOOKUP(B670,'ALL DATABASES'!$A$1:$T$2252,14,FALSE)</f>
        <v>https://doi.org/10.1109/TechDebt.2019.00015;http://dx.doi.org/10.1109/TechDebt.2019.00015</v>
      </c>
      <c r="G670" s="15" t="str">
        <f ca="1">VLOOKUP(B670,'ALL DATABASES'!$A$1:$T$2252,3,FALSE)</f>
        <v>Conference Paper</v>
      </c>
      <c r="H670" s="50" t="str">
        <f ca="1">VLOOKUP(B670,'ALL DATABASES'!$A$1:$T$2252,20,FALSE)</f>
        <v>ACM</v>
      </c>
    </row>
    <row r="671" spans="1:8" ht="12.75" x14ac:dyDescent="0.2">
      <c r="A671">
        <v>670</v>
      </c>
      <c r="B671" s="15" t="str">
        <f ca="1">IFERROR(__xludf.DUMMYFUNCTION("""COMPUTED_VALUE"""),"Dynamic Evaluation of Microservice Granularity Adaptation")</f>
        <v>Dynamic Evaluation of Microservice Granularity Adaptation</v>
      </c>
      <c r="C671" s="15" t="str">
        <f ca="1">VLOOKUP(B671,'ALL DATABASES'!$A$1:$T$2252,2,FALSE)</f>
        <v>Hassan S,Bahsoon R,Minku L,Ali N</v>
      </c>
      <c r="D671" s="15">
        <f ca="1">VLOOKUP(B671,'ALL DATABASES'!$A$1:$T$2252,5,FALSE)</f>
        <v>2022</v>
      </c>
      <c r="E671" s="55">
        <f ca="1">VLOOKUP(B671,'ALL DATABASES'!$A$1:$T$2252,10,FALSE)</f>
        <v>44621</v>
      </c>
      <c r="F671" s="54" t="str">
        <f ca="1">VLOOKUP(B671,'ALL DATABASES'!$A$1:$T$2252,14,FALSE)</f>
        <v>https://doi.org/10.1145/3502724;http://dx.doi.org/10.1145/3502724</v>
      </c>
      <c r="G671" s="15" t="str">
        <f ca="1">VLOOKUP(B671,'ALL DATABASES'!$A$1:$T$2252,3,FALSE)</f>
        <v>Journal Article</v>
      </c>
      <c r="H671" s="50" t="str">
        <f ca="1">VLOOKUP(B671,'ALL DATABASES'!$A$1:$T$2252,20,FALSE)</f>
        <v>ACM</v>
      </c>
    </row>
    <row r="672" spans="1:8" ht="12.75" x14ac:dyDescent="0.2">
      <c r="A672">
        <v>671</v>
      </c>
      <c r="B672" s="15" t="str">
        <f ca="1">IFERROR(__xludf.DUMMYFUNCTION("""COMPUTED_VALUE"""),"EAAMO '22: Equity and Access in Algorithms, Mechanisms, and Optimization")</f>
        <v>EAAMO '22: Equity and Access in Algorithms, Mechanisms, and Optimization</v>
      </c>
      <c r="C672" s="15">
        <f ca="1">VLOOKUP(B672,'ALL DATABASES'!$A$1:$T$2252,2,FALSE)</f>
        <v>0</v>
      </c>
      <c r="D672" s="15">
        <f ca="1">VLOOKUP(B672,'ALL DATABASES'!$A$1:$T$2252,5,FALSE)</f>
        <v>2022</v>
      </c>
      <c r="E672" s="15">
        <f ca="1">VLOOKUP(B672,'ALL DATABASES'!$A$1:$T$2252,10,FALSE)</f>
        <v>2022</v>
      </c>
      <c r="F672" s="15">
        <f ca="1">VLOOKUP(B672,'ALL DATABASES'!$A$1:$T$2252,14,FALSE)</f>
        <v>0</v>
      </c>
      <c r="G672" s="15" t="str">
        <f ca="1">VLOOKUP(B672,'ALL DATABASES'!$A$1:$T$2252,3,FALSE)</f>
        <v>Book</v>
      </c>
      <c r="H672" s="50" t="str">
        <f ca="1">VLOOKUP(B672,'ALL DATABASES'!$A$1:$T$2252,20,FALSE)</f>
        <v>ACM</v>
      </c>
    </row>
    <row r="673" spans="1:8" ht="12.75" x14ac:dyDescent="0.2">
      <c r="A673">
        <v>672</v>
      </c>
      <c r="B673" s="15" t="str">
        <f ca="1">IFERROR(__xludf.DUMMYFUNCTION("""COMPUTED_VALUE"""),"EAM Implementation")</f>
        <v>EAM Implementation</v>
      </c>
      <c r="C673" s="15" t="str">
        <f ca="1">VLOOKUP(B673,'ALL DATABASES'!$A$1:$T$2252,2,FALSE)</f>
        <v>JÃ¶rg Ziemann</v>
      </c>
      <c r="D673" s="15">
        <f ca="1">VLOOKUP(B673,'ALL DATABASES'!$A$1:$T$2252,5,FALSE)</f>
        <v>2022</v>
      </c>
      <c r="E673" s="15">
        <f ca="1">VLOOKUP(B673,'ALL DATABASES'!$A$1:$T$2252,10,FALSE)</f>
        <v>0</v>
      </c>
      <c r="F673" s="54" t="str">
        <f ca="1">VLOOKUP(B673,'ALL DATABASES'!$A$1:$T$2252,14,FALSE)</f>
        <v>http://link.springer.com/chapter/10.1007/978-3-030-96734-5_4</v>
      </c>
      <c r="G673" s="15" t="str">
        <f ca="1">VLOOKUP(B673,'ALL DATABASES'!$A$1:$T$2252,3,FALSE)</f>
        <v>Chapter</v>
      </c>
      <c r="H673" s="50" t="str">
        <f ca="1">VLOOKUP(B673,'ALL DATABASES'!$A$1:$T$2252,20,FALSE)</f>
        <v>SPRINGER</v>
      </c>
    </row>
    <row r="674" spans="1:8" ht="12.75" x14ac:dyDescent="0.2">
      <c r="A674">
        <v>673</v>
      </c>
      <c r="B674" s="15" t="str">
        <f ca="1">IFERROR(__xludf.DUMMYFUNCTION("""COMPUTED_VALUE"""),"Early Detection of Flawed Structural Dependencies During Software Evolution")</f>
        <v>Early Detection of Flawed Structural Dependencies During Software Evolution</v>
      </c>
      <c r="C674" s="15" t="str">
        <f ca="1">VLOOKUP(B674,'ALL DATABASES'!$A$1:$T$2252,2,FALSE)</f>
        <v>Cui D</v>
      </c>
      <c r="D674" s="15">
        <f ca="1">VLOOKUP(B674,'ALL DATABASES'!$A$1:$T$2252,5,FALSE)</f>
        <v>2021</v>
      </c>
      <c r="E674" s="15">
        <f ca="1">VLOOKUP(B674,'ALL DATABASES'!$A$1:$T$2252,10,FALSE)</f>
        <v>2021</v>
      </c>
      <c r="F674" s="54" t="str">
        <f ca="1">VLOOKUP(B674,'ALL DATABASES'!$A$1:$T$2252,14,FALSE)</f>
        <v>http://dx.doi.org/10.1109/ACCESS.2021.3054472</v>
      </c>
      <c r="G674" s="15" t="str">
        <f ca="1">VLOOKUP(B674,'ALL DATABASES'!$A$1:$T$2252,3,FALSE)</f>
        <v>Journal Article</v>
      </c>
      <c r="H674" s="50" t="str">
        <f ca="1">VLOOKUP(B674,'ALL DATABASES'!$A$1:$T$2252,20,FALSE)</f>
        <v>IEEE</v>
      </c>
    </row>
    <row r="675" spans="1:8" ht="12.75" x14ac:dyDescent="0.2">
      <c r="A675">
        <v>674</v>
      </c>
      <c r="B675" s="15" t="str">
        <f ca="1">IFERROR(__xludf.DUMMYFUNCTION("""COMPUTED_VALUE"""),"Edge MLOps: An Automation Framework for AIoT Applications")</f>
        <v>Edge MLOps: An Automation Framework for AIoT Applications</v>
      </c>
      <c r="C675" s="15" t="str">
        <f ca="1">VLOOKUP(B675,'ALL DATABASES'!$A$1:$T$2252,2,FALSE)</f>
        <v>Raj E,Buffoni D,Westerlund M,Ahola K</v>
      </c>
      <c r="D675" s="15">
        <f ca="1">VLOOKUP(B675,'ALL DATABASES'!$A$1:$T$2252,5,FALSE)</f>
        <v>2021</v>
      </c>
      <c r="E675" s="15">
        <f ca="1">VLOOKUP(B675,'ALL DATABASES'!$A$1:$T$2252,10,FALSE)</f>
        <v>2021</v>
      </c>
      <c r="F675" s="54" t="str">
        <f ca="1">VLOOKUP(B675,'ALL DATABASES'!$A$1:$T$2252,14,FALSE)</f>
        <v>https://www.scopus.com/inward/record.uri?eid=2-s2.0-85123212543&amp;doi=10.1109%2fIC2E52221.2021.00034&amp;partnerID=40&amp;md5=c2344d21b8096b68a0886e87a42dff46;http://dx.doi.org/10.1109/IC2E52221.2021.00034</v>
      </c>
      <c r="G675" s="15" t="str">
        <f ca="1">VLOOKUP(B675,'ALL DATABASES'!$A$1:$T$2252,3,FALSE)</f>
        <v>Conference Paper</v>
      </c>
      <c r="H675" s="50" t="str">
        <f ca="1">VLOOKUP(B675,'ALL DATABASES'!$A$1:$T$2252,20,FALSE)</f>
        <v>SCOPUS</v>
      </c>
    </row>
    <row r="676" spans="1:8" ht="12.75" x14ac:dyDescent="0.2">
      <c r="A676">
        <v>675</v>
      </c>
      <c r="B676" s="15" t="str">
        <f ca="1">IFERROR(__xludf.DUMMYFUNCTION("""COMPUTED_VALUE"""),"Editorial")</f>
        <v>Editorial</v>
      </c>
      <c r="C676" s="15" t="str">
        <f ca="1">VLOOKUP(B676,'ALL DATABASES'!$A$1:$T$2252,2,FALSE)</f>
        <v>M. N. Hoda</v>
      </c>
      <c r="D676" s="15">
        <f ca="1">VLOOKUP(B676,'ALL DATABASES'!$A$1:$T$2252,5,FALSE)</f>
        <v>2022</v>
      </c>
      <c r="E676" s="15">
        <f ca="1">VLOOKUP(B676,'ALL DATABASES'!$A$1:$T$2252,10,FALSE)</f>
        <v>0</v>
      </c>
      <c r="F676" s="54" t="str">
        <f ca="1">VLOOKUP(B676,'ALL DATABASES'!$A$1:$T$2252,14,FALSE)</f>
        <v>http://link.springer.com/article/10.1007/s41870-022-00905-0</v>
      </c>
      <c r="G676" s="15" t="str">
        <f ca="1">VLOOKUP(B676,'ALL DATABASES'!$A$1:$T$2252,3,FALSE)</f>
        <v>Article</v>
      </c>
      <c r="H676" s="50" t="str">
        <f ca="1">VLOOKUP(B676,'ALL DATABASES'!$A$1:$T$2252,20,FALSE)</f>
        <v>SPRINGER</v>
      </c>
    </row>
    <row r="677" spans="1:8" ht="12.75" x14ac:dyDescent="0.2">
      <c r="A677">
        <v>676</v>
      </c>
      <c r="B677" s="15" t="str">
        <f ca="1">IFERROR(__xludf.DUMMYFUNCTION("""COMPUTED_VALUE"""),"Education, Research and Business Technologies")</f>
        <v>Education, Research and Business Technologies</v>
      </c>
      <c r="C677" s="15" t="str">
        <f ca="1">VLOOKUP(B677,'ALL DATABASES'!$A$1:$T$2252,2,FALSE)</f>
        <v>Assoc. Prof. Cristian CiureaProf. CÄƒtÄƒlin BojaProf. Paul PocatiluAssoc. Prof. Mihai Doinea</v>
      </c>
      <c r="D677" s="15">
        <f ca="1">VLOOKUP(B677,'ALL DATABASES'!$A$1:$T$2252,5,FALSE)</f>
        <v>2022</v>
      </c>
      <c r="E677" s="15">
        <f ca="1">VLOOKUP(B677,'ALL DATABASES'!$A$1:$T$2252,10,FALSE)</f>
        <v>0</v>
      </c>
      <c r="F677" s="54" t="str">
        <f ca="1">VLOOKUP(B677,'ALL DATABASES'!$A$1:$T$2252,14,FALSE)</f>
        <v>http://link.springer.com/book/10.1007/978-981-16-8866-9</v>
      </c>
      <c r="G677" s="15" t="str">
        <f ca="1">VLOOKUP(B677,'ALL DATABASES'!$A$1:$T$2252,3,FALSE)</f>
        <v>Book</v>
      </c>
      <c r="H677" s="50" t="str">
        <f ca="1">VLOOKUP(B677,'ALL DATABASES'!$A$1:$T$2252,20,FALSE)</f>
        <v>SPRINGER</v>
      </c>
    </row>
    <row r="678" spans="1:8" ht="12.75" x14ac:dyDescent="0.2">
      <c r="A678">
        <v>677</v>
      </c>
      <c r="B678" s="15" t="str">
        <f ca="1">IFERROR(__xludf.DUMMYFUNCTION("""COMPUTED_VALUE"""),"Edumeres Toolbox: Functional, Technical, Architectural Analysis")</f>
        <v>Edumeres Toolbox: Functional, Technical, Architectural Analysis</v>
      </c>
      <c r="C678" s="15" t="str">
        <f ca="1">VLOOKUP(B678,'ALL DATABASES'!$A$1:$T$2252,2,FALSE)</f>
        <v>Ernesto William De LucaFrancesca FallucchiCristian Nobili</v>
      </c>
      <c r="D678" s="15">
        <f ca="1">VLOOKUP(B678,'ALL DATABASES'!$A$1:$T$2252,5,FALSE)</f>
        <v>2022</v>
      </c>
      <c r="E678" s="15">
        <f ca="1">VLOOKUP(B678,'ALL DATABASES'!$A$1:$T$2252,10,FALSE)</f>
        <v>0</v>
      </c>
      <c r="F678" s="54" t="str">
        <f ca="1">VLOOKUP(B678,'ALL DATABASES'!$A$1:$T$2252,14,FALSE)</f>
        <v>http://link.springer.com/chapter/10.1007/978-3-030-98876-0_19</v>
      </c>
      <c r="G678" s="15" t="str">
        <f ca="1">VLOOKUP(B678,'ALL DATABASES'!$A$1:$T$2252,3,FALSE)</f>
        <v>Chapter</v>
      </c>
      <c r="H678" s="50" t="str">
        <f ca="1">VLOOKUP(B678,'ALL DATABASES'!$A$1:$T$2252,20,FALSE)</f>
        <v>SPRINGER</v>
      </c>
    </row>
    <row r="679" spans="1:8" ht="12.75" x14ac:dyDescent="0.2">
      <c r="A679">
        <v>678</v>
      </c>
      <c r="B679" s="15" t="str">
        <f ca="1">IFERROR(__xludf.DUMMYFUNCTION("""COMPUTED_VALUE"""),"Effective Collaboration across the Globe through Digital Dash Boards and Machine Learning")</f>
        <v>Effective Collaboration across the Globe through Digital Dash Boards and Machine Learning</v>
      </c>
      <c r="C679" s="15" t="str">
        <f ca="1">VLOOKUP(B679,'ALL DATABASES'!$A$1:$T$2252,2,FALSE)</f>
        <v>Reddy PM,Iyer J</v>
      </c>
      <c r="D679" s="15">
        <f ca="1">VLOOKUP(B679,'ALL DATABASES'!$A$1:$T$2252,5,FALSE)</f>
        <v>2018</v>
      </c>
      <c r="E679" s="15">
        <f ca="1">VLOOKUP(B679,'ALL DATABASES'!$A$1:$T$2252,10,FALSE)</f>
        <v>2018</v>
      </c>
      <c r="F679" s="54" t="str">
        <f ca="1">VLOOKUP(B679,'ALL DATABASES'!$A$1:$T$2252,14,FALSE)</f>
        <v>https://doi.org/10.1145/3196369.3196391;http://dx.doi.org/10.1145/3196369.3196391</v>
      </c>
      <c r="G679" s="15" t="str">
        <f ca="1">VLOOKUP(B679,'ALL DATABASES'!$A$1:$T$2252,3,FALSE)</f>
        <v>Conference Paper</v>
      </c>
      <c r="H679" s="50" t="str">
        <f ca="1">VLOOKUP(B679,'ALL DATABASES'!$A$1:$T$2252,20,FALSE)</f>
        <v>ACM</v>
      </c>
    </row>
    <row r="680" spans="1:8" ht="12.75" x14ac:dyDescent="0.2">
      <c r="A680">
        <v>679</v>
      </c>
      <c r="B680" s="15" t="str">
        <f ca="1">IFERROR(__xludf.DUMMYFUNCTION("""COMPUTED_VALUE"""),"Efficiency of oversampling methods for enhancing software defect prediction by using imbalanced data")</f>
        <v>Efficiency of oversampling methods for enhancing software defect prediction by using imbalanced data</v>
      </c>
      <c r="C680" s="15" t="str">
        <f ca="1">VLOOKUP(B680,'ALL DATABASES'!$A$1:$T$2252,2,FALSE)</f>
        <v>Tirimula Rao BenalaKarunya Tantati</v>
      </c>
      <c r="D680" s="15">
        <f ca="1">VLOOKUP(B680,'ALL DATABASES'!$A$1:$T$2252,5,FALSE)</f>
        <v>2022</v>
      </c>
      <c r="E680" s="15">
        <f ca="1">VLOOKUP(B680,'ALL DATABASES'!$A$1:$T$2252,10,FALSE)</f>
        <v>0</v>
      </c>
      <c r="F680" s="54" t="str">
        <f ca="1">VLOOKUP(B680,'ALL DATABASES'!$A$1:$T$2252,14,FALSE)</f>
        <v>http://link.springer.com/article/10.1007/s11334-022-00457-3</v>
      </c>
      <c r="G680" s="15" t="str">
        <f ca="1">VLOOKUP(B680,'ALL DATABASES'!$A$1:$T$2252,3,FALSE)</f>
        <v>Article</v>
      </c>
      <c r="H680" s="50" t="str">
        <f ca="1">VLOOKUP(B680,'ALL DATABASES'!$A$1:$T$2252,20,FALSE)</f>
        <v>SPRINGER</v>
      </c>
    </row>
    <row r="681" spans="1:8" ht="12.75" x14ac:dyDescent="0.2">
      <c r="A681">
        <v>680</v>
      </c>
      <c r="B681" s="15" t="str">
        <f ca="1">IFERROR(__xludf.DUMMYFUNCTION("""COMPUTED_VALUE"""),"Efficient feature selection for static analysis vulnerability prediction")</f>
        <v>Efficient feature selection for static analysis vulnerability prediction</v>
      </c>
      <c r="C681" s="15" t="str">
        <f ca="1">VLOOKUP(B681,'ALL DATABASES'!$A$1:$T$2252,2,FALSE)</f>
        <v>Filus K,Boryszko P,Domańska J,Siavvas M,Gelenbe E</v>
      </c>
      <c r="D681" s="15">
        <f ca="1">VLOOKUP(B681,'ALL DATABASES'!$A$1:$T$2252,5,FALSE)</f>
        <v>2021</v>
      </c>
      <c r="E681" s="15">
        <f ca="1">VLOOKUP(B681,'ALL DATABASES'!$A$1:$T$2252,10,FALSE)</f>
        <v>2021</v>
      </c>
      <c r="F681" s="54" t="str">
        <f ca="1">VLOOKUP(B681,'ALL DATABASES'!$A$1:$T$2252,14,FALSE)</f>
        <v>https://www.scopus.com/inward/record.uri?eid=2-s2.0-85100490591&amp;doi=10.3390%2fs21041133&amp;partnerID=40&amp;md5=63a8b7be9a761303be22a297e15bd4a3;http://dx.doi.org/10.3390/s21041133</v>
      </c>
      <c r="G681" s="15" t="str">
        <f ca="1">VLOOKUP(B681,'ALL DATABASES'!$A$1:$T$2252,3,FALSE)</f>
        <v>Journal Article</v>
      </c>
      <c r="H681" s="50" t="str">
        <f ca="1">VLOOKUP(B681,'ALL DATABASES'!$A$1:$T$2252,20,FALSE)</f>
        <v>SCOPUS</v>
      </c>
    </row>
    <row r="682" spans="1:8" ht="12.75" x14ac:dyDescent="0.2">
      <c r="A682">
        <v>681</v>
      </c>
      <c r="B682" s="15" t="str">
        <f ca="1">IFERROR(__xludf.DUMMYFUNCTION("""COMPUTED_VALUE"""),"Efficient testing of GUI applications by event sequence reduction")</f>
        <v>Efficient testing of GUI applications by event sequence reduction</v>
      </c>
      <c r="C682" s="15" t="str">
        <f ca="1">VLOOKUP(B682,'ALL DATABASES'!$A$1:$T$2252,2,FALSE)</f>
        <v>Yan J,Zhou H,Deng X,Wang P,Yan R,Yan J,Zhang J</v>
      </c>
      <c r="D682" s="15">
        <f ca="1">VLOOKUP(B682,'ALL DATABASES'!$A$1:$T$2252,5,FALSE)</f>
        <v>2021</v>
      </c>
      <c r="E682" s="15">
        <f ca="1">VLOOKUP(B682,'ALL DATABASES'!$A$1:$T$2252,10,FALSE)</f>
        <v>2021</v>
      </c>
      <c r="F682" s="54" t="str">
        <f ca="1">VLOOKUP(B682,'ALL DATABASES'!$A$1:$T$2252,14,FALSE)</f>
        <v>https://www.sciencedirect.com/science/article/pii/S0167642320301301;http://dx.doi.org/10.1016/j.scico.2020.102522</v>
      </c>
      <c r="G682" s="15" t="str">
        <f ca="1">VLOOKUP(B682,'ALL DATABASES'!$A$1:$T$2252,3,FALSE)</f>
        <v>Journal Article</v>
      </c>
      <c r="H682" s="50" t="str">
        <f ca="1">VLOOKUP(B682,'ALL DATABASES'!$A$1:$T$2252,20,FALSE)</f>
        <v>SCIENCEDIRECT</v>
      </c>
    </row>
    <row r="683" spans="1:8" ht="12.75" x14ac:dyDescent="0.2">
      <c r="A683">
        <v>682</v>
      </c>
      <c r="B683" s="15" t="str">
        <f ca="1">IFERROR(__xludf.DUMMYFUNCTION("""COMPUTED_VALUE"""),"Effort-aware just-in-time defect identification in practice: A case study at Alibaba")</f>
        <v>Effort-aware just-in-time defect identification in practice: A case study at Alibaba</v>
      </c>
      <c r="C683" s="15" t="str">
        <f ca="1">VLOOKUP(B683,'ALL DATABASES'!$A$1:$T$2252,2,FALSE)</f>
        <v>Yan M,Xia X,Fan Y,Lo D,Hassan AE,Zhang X</v>
      </c>
      <c r="D683" s="15">
        <f ca="1">VLOOKUP(B683,'ALL DATABASES'!$A$1:$T$2252,5,FALSE)</f>
        <v>2020</v>
      </c>
      <c r="E683" s="15">
        <f ca="1">VLOOKUP(B683,'ALL DATABASES'!$A$1:$T$2252,10,FALSE)</f>
        <v>2020</v>
      </c>
      <c r="F683" s="54" t="str">
        <f ca="1">VLOOKUP(B683,'ALL DATABASES'!$A$1:$T$2252,14,FALSE)</f>
        <v>https://www.scopus.com/inward/record.uri?eid=2-s2.0-85097138978&amp;doi=10.1145%2f3368089.3417048&amp;partnerID=40&amp;md5=41973787b54adf14d6e036bde1855eeb;http://dx.doi.org/10.1145/3368089.3417048</v>
      </c>
      <c r="G683" s="15" t="str">
        <f ca="1">VLOOKUP(B683,'ALL DATABASES'!$A$1:$T$2252,3,FALSE)</f>
        <v>Conference Paper</v>
      </c>
      <c r="H683" s="50" t="str">
        <f ca="1">VLOOKUP(B683,'ALL DATABASES'!$A$1:$T$2252,20,FALSE)</f>
        <v>SCOPUS</v>
      </c>
    </row>
    <row r="684" spans="1:8" ht="12.75" x14ac:dyDescent="0.2">
      <c r="A684">
        <v>683</v>
      </c>
      <c r="B684" s="15" t="str">
        <f ca="1">IFERROR(__xludf.DUMMYFUNCTION("""COMPUTED_VALUE"""),"EinfÃ¼hrung in die Softwaretechnik")</f>
        <v>EinfÃ¼hrung in die Softwaretechnik</v>
      </c>
      <c r="C684" s="15" t="str">
        <f ca="1">VLOOKUP(B684,'ALL DATABASES'!$A$1:$T$2252,2,FALSE)</f>
        <v>Prof. Dr. Manfred BroyProf. Dr. Marco Kuhrmann</v>
      </c>
      <c r="D684" s="15">
        <f ca="1">VLOOKUP(B684,'ALL DATABASES'!$A$1:$T$2252,5,FALSE)</f>
        <v>2021</v>
      </c>
      <c r="E684" s="15">
        <f ca="1">VLOOKUP(B684,'ALL DATABASES'!$A$1:$T$2252,10,FALSE)</f>
        <v>0</v>
      </c>
      <c r="F684" s="54" t="str">
        <f ca="1">VLOOKUP(B684,'ALL DATABASES'!$A$1:$T$2252,14,FALSE)</f>
        <v>http://link.springer.com/book/10.1007/978-3-662-50263-1</v>
      </c>
      <c r="G684" s="15" t="str">
        <f ca="1">VLOOKUP(B684,'ALL DATABASES'!$A$1:$T$2252,3,FALSE)</f>
        <v>Book</v>
      </c>
      <c r="H684" s="50" t="str">
        <f ca="1">VLOOKUP(B684,'ALL DATABASES'!$A$1:$T$2252,20,FALSE)</f>
        <v>SPRINGER</v>
      </c>
    </row>
    <row r="685" spans="1:8" ht="12.75" x14ac:dyDescent="0.2">
      <c r="A685">
        <v>684</v>
      </c>
      <c r="B685" s="15" t="str">
        <f ca="1">IFERROR(__xludf.DUMMYFUNCTION("""COMPUTED_VALUE"""),"EL-CodeBert: Better Exploiting CodeBert to Support Source Code-Related Classification Tasks")</f>
        <v>EL-CodeBert: Better Exploiting CodeBert to Support Source Code-Related Classification Tasks</v>
      </c>
      <c r="C685" s="15" t="str">
        <f ca="1">VLOOKUP(B685,'ALL DATABASES'!$A$1:$T$2252,2,FALSE)</f>
        <v>Liu K,Yang G,Chen X,Zhou Y</v>
      </c>
      <c r="D685" s="15">
        <f ca="1">VLOOKUP(B685,'ALL DATABASES'!$A$1:$T$2252,5,FALSE)</f>
        <v>2022</v>
      </c>
      <c r="E685" s="15">
        <f ca="1">VLOOKUP(B685,'ALL DATABASES'!$A$1:$T$2252,10,FALSE)</f>
        <v>2022</v>
      </c>
      <c r="F685" s="54" t="str">
        <f ca="1">VLOOKUP(B685,'ALL DATABASES'!$A$1:$T$2252,14,FALSE)</f>
        <v>https://doi.org/10.1145/3545258.3545260;http://dx.doi.org/10.1145/3545258.3545260</v>
      </c>
      <c r="G685" s="15" t="str">
        <f ca="1">VLOOKUP(B685,'ALL DATABASES'!$A$1:$T$2252,3,FALSE)</f>
        <v>Conference Paper</v>
      </c>
      <c r="H685" s="50" t="str">
        <f ca="1">VLOOKUP(B685,'ALL DATABASES'!$A$1:$T$2252,20,FALSE)</f>
        <v>ACM</v>
      </c>
    </row>
    <row r="686" spans="1:8" ht="12.75" x14ac:dyDescent="0.2">
      <c r="A686">
        <v>685</v>
      </c>
      <c r="B686" s="15" t="str">
        <f ca="1">IFERROR(__xludf.DUMMYFUNCTION("""COMPUTED_VALUE"""),"Eliciting Best Practices for Collaboration with Computational Notebooks")</f>
        <v>Eliciting Best Practices for Collaboration with Computational Notebooks</v>
      </c>
      <c r="C686" s="15" t="str">
        <f ca="1">VLOOKUP(B686,'ALL DATABASES'!$A$1:$T$2252,2,FALSE)</f>
        <v>Quaranta L,Calefato F,Lanubile F</v>
      </c>
      <c r="D686" s="15">
        <f ca="1">VLOOKUP(B686,'ALL DATABASES'!$A$1:$T$2252,5,FALSE)</f>
        <v>2022</v>
      </c>
      <c r="E686" s="55">
        <f ca="1">VLOOKUP(B686,'ALL DATABASES'!$A$1:$T$2252,10,FALSE)</f>
        <v>44652</v>
      </c>
      <c r="F686" s="54" t="str">
        <f ca="1">VLOOKUP(B686,'ALL DATABASES'!$A$1:$T$2252,14,FALSE)</f>
        <v>https://doi.org/10.1145/3512934;http://dx.doi.org/10.1145/3512934</v>
      </c>
      <c r="G686" s="15" t="str">
        <f ca="1">VLOOKUP(B686,'ALL DATABASES'!$A$1:$T$2252,3,FALSE)</f>
        <v>Journal Article</v>
      </c>
      <c r="H686" s="50" t="str">
        <f ca="1">VLOOKUP(B686,'ALL DATABASES'!$A$1:$T$2252,20,FALSE)</f>
        <v>ACM</v>
      </c>
    </row>
    <row r="687" spans="1:8" ht="12.75" x14ac:dyDescent="0.2">
      <c r="A687">
        <v>686</v>
      </c>
      <c r="B687" s="15" t="str">
        <f ca="1">IFERROR(__xludf.DUMMYFUNCTION("""COMPUTED_VALUE"""),"Embedded Computer Systems: Architectures, Modeling, and Simulation")</f>
        <v>Embedded Computer Systems: Architectures, Modeling, and Simulation</v>
      </c>
      <c r="C687" s="15" t="str">
        <f ca="1">VLOOKUP(B687,'ALL DATABASES'!$A$1:$T$2252,2,FALSE)</f>
        <v>Alex OrailogluMatthias JungMarc Reichenbach</v>
      </c>
      <c r="D687" s="15">
        <f ca="1">VLOOKUP(B687,'ALL DATABASES'!$A$1:$T$2252,5,FALSE)</f>
        <v>2022</v>
      </c>
      <c r="E687" s="15">
        <f ca="1">VLOOKUP(B687,'ALL DATABASES'!$A$1:$T$2252,10,FALSE)</f>
        <v>0</v>
      </c>
      <c r="F687" s="54" t="str">
        <f ca="1">VLOOKUP(B687,'ALL DATABASES'!$A$1:$T$2252,14,FALSE)</f>
        <v>http://link.springer.com/book/10.1007/978-3-031-04580-6</v>
      </c>
      <c r="G687" s="15" t="str">
        <f ca="1">VLOOKUP(B687,'ALL DATABASES'!$A$1:$T$2252,3,FALSE)</f>
        <v>Book</v>
      </c>
      <c r="H687" s="50" t="str">
        <f ca="1">VLOOKUP(B687,'ALL DATABASES'!$A$1:$T$2252,20,FALSE)</f>
        <v>SPRINGER</v>
      </c>
    </row>
    <row r="688" spans="1:8" ht="12.75" x14ac:dyDescent="0.2">
      <c r="A688">
        <v>687</v>
      </c>
      <c r="B688" s="15" t="str">
        <f ca="1">IFERROR(__xludf.DUMMYFUNCTION("""COMPUTED_VALUE"""),"Embedded Software Design")</f>
        <v>Embedded Software Design</v>
      </c>
      <c r="C688" s="15" t="str">
        <f ca="1">VLOOKUP(B688,'ALL DATABASES'!$A$1:$T$2252,2,FALSE)</f>
        <v>Jacob Beningo</v>
      </c>
      <c r="D688" s="15">
        <f ca="1">VLOOKUP(B688,'ALL DATABASES'!$A$1:$T$2252,5,FALSE)</f>
        <v>2022</v>
      </c>
      <c r="E688" s="15">
        <f ca="1">VLOOKUP(B688,'ALL DATABASES'!$A$1:$T$2252,10,FALSE)</f>
        <v>0</v>
      </c>
      <c r="F688" s="54" t="str">
        <f ca="1">VLOOKUP(B688,'ALL DATABASES'!$A$1:$T$2252,14,FALSE)</f>
        <v>http://link.springer.com/book/10.1007/978-1-4842-8279-3</v>
      </c>
      <c r="G688" s="15" t="str">
        <f ca="1">VLOOKUP(B688,'ALL DATABASES'!$A$1:$T$2252,3,FALSE)</f>
        <v>Book</v>
      </c>
      <c r="H688" s="50" t="str">
        <f ca="1">VLOOKUP(B688,'ALL DATABASES'!$A$1:$T$2252,20,FALSE)</f>
        <v>SPRINGER</v>
      </c>
    </row>
    <row r="689" spans="1:8" ht="12.75" x14ac:dyDescent="0.2">
      <c r="A689">
        <v>688</v>
      </c>
      <c r="B689" s="15" t="str">
        <f ca="1">IFERROR(__xludf.DUMMYFUNCTION("""COMPUTED_VALUE"""),"Emerging and Changing Tasks in the Development Process for Machine Learning Systems")</f>
        <v>Emerging and Changing Tasks in the Development Process for Machine Learning Systems</v>
      </c>
      <c r="C689" s="15" t="str">
        <f ca="1">VLOOKUP(B689,'ALL DATABASES'!$A$1:$T$2252,2,FALSE)</f>
        <v>Liu H,Eksmo S,Risberg J,Hebig R</v>
      </c>
      <c r="D689" s="15">
        <f ca="1">VLOOKUP(B689,'ALL DATABASES'!$A$1:$T$2252,5,FALSE)</f>
        <v>2020</v>
      </c>
      <c r="E689" s="15">
        <f ca="1">VLOOKUP(B689,'ALL DATABASES'!$A$1:$T$2252,10,FALSE)</f>
        <v>2020</v>
      </c>
      <c r="F689" s="54" t="str">
        <f ca="1">VLOOKUP(B689,'ALL DATABASES'!$A$1:$T$2252,14,FALSE)</f>
        <v>https://doi.org/10.1145/3379177.3388905;http://dx.doi.org/10.1145/3379177.3388905</v>
      </c>
      <c r="G689" s="15" t="str">
        <f ca="1">VLOOKUP(B689,'ALL DATABASES'!$A$1:$T$2252,3,FALSE)</f>
        <v>Conference Paper</v>
      </c>
      <c r="H689" s="50" t="str">
        <f ca="1">VLOOKUP(B689,'ALL DATABASES'!$A$1:$T$2252,20,FALSE)</f>
        <v>ACM</v>
      </c>
    </row>
    <row r="690" spans="1:8" ht="12.75" x14ac:dyDescent="0.2">
      <c r="A690">
        <v>689</v>
      </c>
      <c r="B690" s="15" t="str">
        <f ca="1">IFERROR(__xludf.DUMMYFUNCTION("""COMPUTED_VALUE"""),"Emerging Research in Computing, Information, Communication and Applications")</f>
        <v>Emerging Research in Computing, Information, Communication and Applications</v>
      </c>
      <c r="C690" s="15" t="str">
        <f ca="1">VLOOKUP(B690,'ALL DATABASES'!$A$1:$T$2252,2,FALSE)</f>
        <v>N. R. ShettyL. M. PatnaikN. H. Prasad</v>
      </c>
      <c r="D690" s="15">
        <f ca="1">VLOOKUP(B690,'ALL DATABASES'!$A$1:$T$2252,5,FALSE)</f>
        <v>2023</v>
      </c>
      <c r="E690" s="15">
        <f ca="1">VLOOKUP(B690,'ALL DATABASES'!$A$1:$T$2252,10,FALSE)</f>
        <v>0</v>
      </c>
      <c r="F690" s="54" t="str">
        <f ca="1">VLOOKUP(B690,'ALL DATABASES'!$A$1:$T$2252,14,FALSE)</f>
        <v>http://link.springer.com/book/10.1007/978-981-19-5482-5</v>
      </c>
      <c r="G690" s="15" t="str">
        <f ca="1">VLOOKUP(B690,'ALL DATABASES'!$A$1:$T$2252,3,FALSE)</f>
        <v>Book</v>
      </c>
      <c r="H690" s="50" t="str">
        <f ca="1">VLOOKUP(B690,'ALL DATABASES'!$A$1:$T$2252,20,FALSE)</f>
        <v>SPRINGER</v>
      </c>
    </row>
    <row r="691" spans="1:8" ht="12.75" x14ac:dyDescent="0.2">
      <c r="A691">
        <v>690</v>
      </c>
      <c r="B691" s="15" t="str">
        <f ca="1">IFERROR(__xludf.DUMMYFUNCTION("""COMPUTED_VALUE"""),"Emerging Technical Debt in Digital Twin Systems")</f>
        <v>Emerging Technical Debt in Digital Twin Systems</v>
      </c>
      <c r="C691" s="15" t="str">
        <f ca="1">VLOOKUP(B691,'ALL DATABASES'!$A$1:$T$2252,2,FALSE)</f>
        <v>Malakuti S</v>
      </c>
      <c r="D691" s="15">
        <f ca="1">VLOOKUP(B691,'ALL DATABASES'!$A$1:$T$2252,5,FALSE)</f>
        <v>2021</v>
      </c>
      <c r="E691" s="55">
        <f ca="1">VLOOKUP(B691,'ALL DATABASES'!$A$1:$T$2252,10,FALSE)</f>
        <v>44440</v>
      </c>
      <c r="F691" s="54" t="str">
        <f ca="1">VLOOKUP(B691,'ALL DATABASES'!$A$1:$T$2252,14,FALSE)</f>
        <v>http://dx.doi.org/10.1109/ETFA45728.2021.9613538</v>
      </c>
      <c r="G691" s="15" t="str">
        <f ca="1">VLOOKUP(B691,'ALL DATABASES'!$A$1:$T$2252,3,FALSE)</f>
        <v>Conference Paper</v>
      </c>
      <c r="H691" s="50" t="str">
        <f ca="1">VLOOKUP(B691,'ALL DATABASES'!$A$1:$T$2252,20,FALSE)</f>
        <v>IEEE</v>
      </c>
    </row>
    <row r="692" spans="1:8" ht="12.75" x14ac:dyDescent="0.2">
      <c r="A692">
        <v>691</v>
      </c>
      <c r="B692" s="15" t="str">
        <f ca="1">IFERROR(__xludf.DUMMYFUNCTION("""COMPUTED_VALUE"""),"Emerging Technologies and Emergent Workplaces: Findings from an Ethnographic Study at an Indian IT Organization")</f>
        <v>Emerging Technologies and Emergent Workplaces: Findings from an Ethnographic Study at an Indian IT Organization</v>
      </c>
      <c r="C692" s="15" t="str">
        <f ca="1">VLOOKUP(B692,'ALL DATABASES'!$A$1:$T$2252,2,FALSE)</f>
        <v>Venumuddala VR,Kamath R</v>
      </c>
      <c r="D692" s="15">
        <f ca="1">VLOOKUP(B692,'ALL DATABASES'!$A$1:$T$2252,5,FALSE)</f>
        <v>2020</v>
      </c>
      <c r="E692" s="15">
        <f ca="1">VLOOKUP(B692,'ALL DATABASES'!$A$1:$T$2252,10,FALSE)</f>
        <v>2020</v>
      </c>
      <c r="F692" s="54" t="str">
        <f ca="1">VLOOKUP(B692,'ALL DATABASES'!$A$1:$T$2252,14,FALSE)</f>
        <v>https://www.scopus.com/inward/record.uri?eid=2-s2.0-85098132133&amp;doi=10.1007%2f978-3-030-64849-7_6&amp;partnerID=40&amp;md5=27e0ce68de85f1fe0e5b77c572cc69df;http://dx.doi.org/10.1007/978-3-030-64849-7_6</v>
      </c>
      <c r="G692" s="15" t="str">
        <f ca="1">VLOOKUP(B692,'ALL DATABASES'!$A$1:$T$2252,3,FALSE)</f>
        <v>Journal Article</v>
      </c>
      <c r="H692" s="50" t="str">
        <f ca="1">VLOOKUP(B692,'ALL DATABASES'!$A$1:$T$2252,20,FALSE)</f>
        <v>SCOPUS</v>
      </c>
    </row>
    <row r="693" spans="1:8" ht="12.75" x14ac:dyDescent="0.2">
      <c r="A693">
        <v>692</v>
      </c>
      <c r="B693" s="15" t="str">
        <f ca="1">IFERROR(__xludf.DUMMYFUNCTION("""COMPUTED_VALUE"""),"Emerging Trends in Systems Engineering Leadership")</f>
        <v>Emerging Trends in Systems Engineering Leadership</v>
      </c>
      <c r="C693" s="15" t="str">
        <f ca="1">VLOOKUP(B693,'ALL DATABASES'!$A$1:$T$2252,2,FALSE)</f>
        <v>Alice F. SquiresMarilee J. WheatonHeather J. Feli</v>
      </c>
      <c r="D693" s="15">
        <f ca="1">VLOOKUP(B693,'ALL DATABASES'!$A$1:$T$2252,5,FALSE)</f>
        <v>2022</v>
      </c>
      <c r="E693" s="15">
        <f ca="1">VLOOKUP(B693,'ALL DATABASES'!$A$1:$T$2252,10,FALSE)</f>
        <v>0</v>
      </c>
      <c r="F693" s="54" t="str">
        <f ca="1">VLOOKUP(B693,'ALL DATABASES'!$A$1:$T$2252,14,FALSE)</f>
        <v>http://link.springer.com/book/10.1007/978-3-031-08950-3</v>
      </c>
      <c r="G693" s="15" t="str">
        <f ca="1">VLOOKUP(B693,'ALL DATABASES'!$A$1:$T$2252,3,FALSE)</f>
        <v>Book</v>
      </c>
      <c r="H693" s="50" t="str">
        <f ca="1">VLOOKUP(B693,'ALL DATABASES'!$A$1:$T$2252,20,FALSE)</f>
        <v>SPRINGER</v>
      </c>
    </row>
    <row r="694" spans="1:8" ht="12.75" x14ac:dyDescent="0.2">
      <c r="A694">
        <v>693</v>
      </c>
      <c r="B694" s="15" t="str">
        <f ca="1">IFERROR(__xludf.DUMMYFUNCTION("""COMPUTED_VALUE"""),"Emotions in Computer Vision Service Q&amp;A")</f>
        <v>Emotions in Computer Vision Service Q&amp;A</v>
      </c>
      <c r="C694" s="15" t="str">
        <f ca="1">VLOOKUP(B694,'ALL DATABASES'!$A$1:$T$2252,2,FALSE)</f>
        <v>Cummaudo A,Graetsch UM,Curumsing MK,Vasa R,Barnett S,Grundy J</v>
      </c>
      <c r="D694" s="15">
        <f ca="1">VLOOKUP(B694,'ALL DATABASES'!$A$1:$T$2252,5,FALSE)</f>
        <v>2021</v>
      </c>
      <c r="E694" s="55">
        <f ca="1">VLOOKUP(B694,'ALL DATABASES'!$A$1:$T$2252,10,FALSE)</f>
        <v>44317</v>
      </c>
      <c r="F694" s="54" t="str">
        <f ca="1">VLOOKUP(B694,'ALL DATABASES'!$A$1:$T$2252,14,FALSE)</f>
        <v>http://dx.doi.org/10.1109/SEmotion52567.2021.00011</v>
      </c>
      <c r="G694" s="15" t="str">
        <f ca="1">VLOOKUP(B694,'ALL DATABASES'!$A$1:$T$2252,3,FALSE)</f>
        <v>Conference Paper</v>
      </c>
      <c r="H694" s="50" t="str">
        <f ca="1">VLOOKUP(B694,'ALL DATABASES'!$A$1:$T$2252,20,FALSE)</f>
        <v>IEEE</v>
      </c>
    </row>
    <row r="695" spans="1:8" ht="12.75" x14ac:dyDescent="0.2">
      <c r="A695">
        <v>694</v>
      </c>
      <c r="B695" s="15" t="str">
        <f ca="1">IFERROR(__xludf.DUMMYFUNCTION("""COMPUTED_VALUE"""),"Empirical Analysis of Hidden Technical Debt Patterns in Machine Learning Software")</f>
        <v>Empirical Analysis of Hidden Technical Debt Patterns in Machine Learning Software</v>
      </c>
      <c r="C695" s="15" t="str">
        <f ca="1">VLOOKUP(B695,'ALL DATABASES'!$A$1:$T$2252,2,FALSE)</f>
        <v>Mohannad AlahdabGÃ¼l Ã‡alÄ±klÄ±</v>
      </c>
      <c r="D695" s="15">
        <f ca="1">VLOOKUP(B695,'ALL DATABASES'!$A$1:$T$2252,5,FALSE)</f>
        <v>2019</v>
      </c>
      <c r="E695" s="15">
        <f ca="1">VLOOKUP(B695,'ALL DATABASES'!$A$1:$T$2252,10,FALSE)</f>
        <v>0</v>
      </c>
      <c r="F695" s="54" t="str">
        <f ca="1">VLOOKUP(B695,'ALL DATABASES'!$A$1:$T$2252,14,FALSE)</f>
        <v>http://link.springer.com/chapter/10.1007/978-3-030-35333-9_14</v>
      </c>
      <c r="G695" s="15" t="str">
        <f ca="1">VLOOKUP(B695,'ALL DATABASES'!$A$1:$T$2252,3,FALSE)</f>
        <v>Chapter</v>
      </c>
      <c r="H695" s="50" t="str">
        <f ca="1">VLOOKUP(B695,'ALL DATABASES'!$A$1:$T$2252,20,FALSE)</f>
        <v>SPRINGER</v>
      </c>
    </row>
    <row r="696" spans="1:8" ht="12.75" x14ac:dyDescent="0.2">
      <c r="A696">
        <v>695</v>
      </c>
      <c r="B696" s="15" t="str">
        <f ca="1">IFERROR(__xludf.DUMMYFUNCTION("""COMPUTED_VALUE"""),"Empirical analysis of the tool support for software product lines")</f>
        <v>Empirical analysis of the tool support for software product lines</v>
      </c>
      <c r="C696" s="15" t="str">
        <f ca="1">VLOOKUP(B696,'ALL DATABASES'!$A$1:$T$2252,2,FALSE)</f>
        <v>JosÃ© Miguel HorcasMÃ³nica PintoLidia Fuentes</v>
      </c>
      <c r="D696" s="15">
        <f ca="1">VLOOKUP(B696,'ALL DATABASES'!$A$1:$T$2252,5,FALSE)</f>
        <v>2022</v>
      </c>
      <c r="E696" s="15">
        <f ca="1">VLOOKUP(B696,'ALL DATABASES'!$A$1:$T$2252,10,FALSE)</f>
        <v>0</v>
      </c>
      <c r="F696" s="54" t="str">
        <f ca="1">VLOOKUP(B696,'ALL DATABASES'!$A$1:$T$2252,14,FALSE)</f>
        <v>http://link.springer.com/article/10.1007/s10270-022-01011-2</v>
      </c>
      <c r="G696" s="15" t="str">
        <f ca="1">VLOOKUP(B696,'ALL DATABASES'!$A$1:$T$2252,3,FALSE)</f>
        <v>Article</v>
      </c>
      <c r="H696" s="50" t="str">
        <f ca="1">VLOOKUP(B696,'ALL DATABASES'!$A$1:$T$2252,20,FALSE)</f>
        <v>SPRINGER</v>
      </c>
    </row>
    <row r="697" spans="1:8" ht="12.75" x14ac:dyDescent="0.2">
      <c r="A697">
        <v>696</v>
      </c>
      <c r="B697" s="15" t="str">
        <f ca="1">IFERROR(__xludf.DUMMYFUNCTION("""COMPUTED_VALUE"""),"Empirical evaluation of the impact of refactoring on internal quality attributes")</f>
        <v>Empirical evaluation of the impact of refactoring on internal quality attributes</v>
      </c>
      <c r="C697" s="15" t="str">
        <f ca="1">VLOOKUP(B697,'ALL DATABASES'!$A$1:$T$2252,2,FALSE)</f>
        <v>Riansyah M,Mursanto P</v>
      </c>
      <c r="D697" s="15">
        <f ca="1">VLOOKUP(B697,'ALL DATABASES'!$A$1:$T$2252,5,FALSE)</f>
        <v>2020</v>
      </c>
      <c r="E697" s="15">
        <f ca="1">VLOOKUP(B697,'ALL DATABASES'!$A$1:$T$2252,10,FALSE)</f>
        <v>2020</v>
      </c>
      <c r="F697" s="54" t="str">
        <f ca="1">VLOOKUP(B697,'ALL DATABASES'!$A$1:$T$2252,14,FALSE)</f>
        <v>https://www.scopus.com/inward/record.uri?eid=2-s2.0-85099769397&amp;doi=10.1109%2fICACSIS51025.2020.9263167&amp;partnerID=40&amp;md5=41ae4ea995eeed640a5197a7f9a907c3;http://dx.doi.org/10.1109/ICACSIS51025.2020.9263167</v>
      </c>
      <c r="G697" s="15" t="str">
        <f ca="1">VLOOKUP(B697,'ALL DATABASES'!$A$1:$T$2252,3,FALSE)</f>
        <v>Conference Paper</v>
      </c>
      <c r="H697" s="50" t="str">
        <f ca="1">VLOOKUP(B697,'ALL DATABASES'!$A$1:$T$2252,20,FALSE)</f>
        <v>SCOPUS</v>
      </c>
    </row>
    <row r="698" spans="1:8" ht="12.75" x14ac:dyDescent="0.2">
      <c r="A698">
        <v>697</v>
      </c>
      <c r="B698" s="15" t="str">
        <f ca="1">IFERROR(__xludf.DUMMYFUNCTION("""COMPUTED_VALUE"""),"Empirical Research for Self-Admitted Technical Debt Detection in Blockchain Software Projects")</f>
        <v>Empirical Research for Self-Admitted Technical Debt Detection in Blockchain Software Projects</v>
      </c>
      <c r="C698" s="15" t="str">
        <f ca="1">VLOOKUP(B698,'ALL DATABASES'!$A$1:$T$2252,2,FALSE)</f>
        <v>Qu Y,Eric Wong W,Li D</v>
      </c>
      <c r="D698" s="15">
        <f ca="1">VLOOKUP(B698,'ALL DATABASES'!$A$1:$T$2252,5,FALSE)</f>
        <v>2022</v>
      </c>
      <c r="E698" s="15">
        <f ca="1">VLOOKUP(B698,'ALL DATABASES'!$A$1:$T$2252,10,FALSE)</f>
        <v>2022</v>
      </c>
      <c r="F698" s="54" t="str">
        <f ca="1">VLOOKUP(B698,'ALL DATABASES'!$A$1:$T$2252,14,FALSE)</f>
        <v>https://www.scopus.com/inward/record.uri?eid=2-s2.0-85129090211&amp;doi=10.23940%2fijpe.22.03.p1.149157&amp;partnerID=40&amp;md5=6eb4ec32913da662e18fb3dc353f6089;http://dx.doi.org/10.23940/ijpe.22.03.p1.149157</v>
      </c>
      <c r="G698" s="15" t="str">
        <f ca="1">VLOOKUP(B698,'ALL DATABASES'!$A$1:$T$2252,3,FALSE)</f>
        <v>Journal Article</v>
      </c>
      <c r="H698" s="50" t="str">
        <f ca="1">VLOOKUP(B698,'ALL DATABASES'!$A$1:$T$2252,20,FALSE)</f>
        <v>SCOPUS</v>
      </c>
    </row>
    <row r="699" spans="1:8" ht="12.75" x14ac:dyDescent="0.2">
      <c r="A699">
        <v>698</v>
      </c>
      <c r="B699" s="15" t="str">
        <f ca="1">IFERROR(__xludf.DUMMYFUNCTION("""COMPUTED_VALUE"""),"Empirical Standards for Repository Mining")</f>
        <v>Empirical Standards for Repository Mining</v>
      </c>
      <c r="C699" s="15" t="str">
        <f ca="1">VLOOKUP(B699,'ALL DATABASES'!$A$1:$T$2252,2,FALSE)</f>
        <v>Chatterjee P,Sharma T,Ralph P</v>
      </c>
      <c r="D699" s="15">
        <f ca="1">VLOOKUP(B699,'ALL DATABASES'!$A$1:$T$2252,5,FALSE)</f>
        <v>2022</v>
      </c>
      <c r="E699" s="15">
        <f ca="1">VLOOKUP(B699,'ALL DATABASES'!$A$1:$T$2252,10,FALSE)</f>
        <v>2022</v>
      </c>
      <c r="F699" s="54" t="str">
        <f ca="1">VLOOKUP(B699,'ALL DATABASES'!$A$1:$T$2252,14,FALSE)</f>
        <v>https://doi.org/10.1145/3524842.3528032;http://dx.doi.org/10.1145/3524842.3528032</v>
      </c>
      <c r="G699" s="15" t="str">
        <f ca="1">VLOOKUP(B699,'ALL DATABASES'!$A$1:$T$2252,3,FALSE)</f>
        <v>Conference Paper</v>
      </c>
      <c r="H699" s="50" t="str">
        <f ca="1">VLOOKUP(B699,'ALL DATABASES'!$A$1:$T$2252,20,FALSE)</f>
        <v>ACM</v>
      </c>
    </row>
    <row r="700" spans="1:8" ht="12.75" x14ac:dyDescent="0.2">
      <c r="A700">
        <v>699</v>
      </c>
      <c r="B700" s="15" t="str">
        <f ca="1">IFERROR(__xludf.DUMMYFUNCTION("""COMPUTED_VALUE"""),"EMTk - The Emotion Mining Toolkit")</f>
        <v>EMTk - The Emotion Mining Toolkit</v>
      </c>
      <c r="C700" s="15" t="str">
        <f ca="1">VLOOKUP(B700,'ALL DATABASES'!$A$1:$T$2252,2,FALSE)</f>
        <v>Calefato F,Lanubile F,Novielli N,Quaranta L</v>
      </c>
      <c r="D700" s="15">
        <f ca="1">VLOOKUP(B700,'ALL DATABASES'!$A$1:$T$2252,5,FALSE)</f>
        <v>2019</v>
      </c>
      <c r="E700" s="55">
        <f ca="1">VLOOKUP(B700,'ALL DATABASES'!$A$1:$T$2252,10,FALSE)</f>
        <v>43586</v>
      </c>
      <c r="F700" s="54" t="str">
        <f ca="1">VLOOKUP(B700,'ALL DATABASES'!$A$1:$T$2252,14,FALSE)</f>
        <v>http://dx.doi.org/10.1109/SEmotion.2019.00014</v>
      </c>
      <c r="G700" s="15" t="str">
        <f ca="1">VLOOKUP(B700,'ALL DATABASES'!$A$1:$T$2252,3,FALSE)</f>
        <v>Conference Paper</v>
      </c>
      <c r="H700" s="50" t="str">
        <f ca="1">VLOOKUP(B700,'ALL DATABASES'!$A$1:$T$2252,20,FALSE)</f>
        <v>IEEE</v>
      </c>
    </row>
    <row r="701" spans="1:8" ht="12.75" x14ac:dyDescent="0.2">
      <c r="A701">
        <v>700</v>
      </c>
      <c r="B701" s="15" t="str">
        <f ca="1">IFERROR(__xludf.DUMMYFUNCTION("""COMPUTED_VALUE"""),"Enabling Collaborative Data Science Development with the Ballet Framework")</f>
        <v>Enabling Collaborative Data Science Development with the Ballet Framework</v>
      </c>
      <c r="C701" s="15" t="str">
        <f ca="1">VLOOKUP(B701,'ALL DATABASES'!$A$1:$T$2252,2,FALSE)</f>
        <v>Smith MJ,Cito J,Lu K,Veeramachaneni K</v>
      </c>
      <c r="D701" s="15">
        <f ca="1">VLOOKUP(B701,'ALL DATABASES'!$A$1:$T$2252,5,FALSE)</f>
        <v>2021</v>
      </c>
      <c r="E701" s="15">
        <f ca="1">VLOOKUP(B701,'ALL DATABASES'!$A$1:$T$2252,10,FALSE)</f>
        <v>2021</v>
      </c>
      <c r="F701" s="54" t="str">
        <f ca="1">VLOOKUP(B701,'ALL DATABASES'!$A$1:$T$2252,14,FALSE)</f>
        <v>https://www.scopus.com/inward/record.uri?eid=2-s2.0-85117899094&amp;doi=10.1145%2f3479575&amp;partnerID=40&amp;md5=2588531cb9eb7a52ed8be8a66ae0167a;http://dx.doi.org/10.1145/3479575</v>
      </c>
      <c r="G701" s="15" t="str">
        <f ca="1">VLOOKUP(B701,'ALL DATABASES'!$A$1:$T$2252,3,FALSE)</f>
        <v>Journal Article</v>
      </c>
      <c r="H701" s="50" t="str">
        <f ca="1">VLOOKUP(B701,'ALL DATABASES'!$A$1:$T$2252,20,FALSE)</f>
        <v>SCOPUS</v>
      </c>
    </row>
    <row r="702" spans="1:8" ht="12.75" x14ac:dyDescent="0.2">
      <c r="A702">
        <v>701</v>
      </c>
      <c r="B702" s="15" t="str">
        <f ca="1">IFERROR(__xludf.DUMMYFUNCTION("""COMPUTED_VALUE"""),"Enabling Decision and Objective Space Exploration for Interactive Multi-Objective Refactoring")</f>
        <v>Enabling Decision and Objective Space Exploration for Interactive Multi-Objective Refactoring</v>
      </c>
      <c r="C702" s="15" t="str">
        <f ca="1">VLOOKUP(B702,'ALL DATABASES'!$A$1:$T$2252,2,FALSE)</f>
        <v>Rebai S,Alizadeh V,Kessentini M,Fehri H,Kazman R</v>
      </c>
      <c r="D702" s="15">
        <f ca="1">VLOOKUP(B702,'ALL DATABASES'!$A$1:$T$2252,5,FALSE)</f>
        <v>2022</v>
      </c>
      <c r="E702" s="55">
        <f ca="1">VLOOKUP(B702,'ALL DATABASES'!$A$1:$T$2252,10,FALSE)</f>
        <v>44682</v>
      </c>
      <c r="F702" s="54" t="str">
        <f ca="1">VLOOKUP(B702,'ALL DATABASES'!$A$1:$T$2252,14,FALSE)</f>
        <v>http://dx.doi.org/10.1109/TSE.2020.3024814</v>
      </c>
      <c r="G702" s="15" t="str">
        <f ca="1">VLOOKUP(B702,'ALL DATABASES'!$A$1:$T$2252,3,FALSE)</f>
        <v>Journal Article</v>
      </c>
      <c r="H702" s="50" t="str">
        <f ca="1">VLOOKUP(B702,'ALL DATABASES'!$A$1:$T$2252,20,FALSE)</f>
        <v>IEEE</v>
      </c>
    </row>
    <row r="703" spans="1:8" ht="12.75" x14ac:dyDescent="0.2">
      <c r="A703">
        <v>702</v>
      </c>
      <c r="B703" s="15" t="str">
        <f ca="1">IFERROR(__xludf.DUMMYFUNCTION("""COMPUTED_VALUE"""),"Enabling the Reuse of Software Development Assets Through a Taxonomy for User Stories")</f>
        <v>Enabling the Reuse of Software Development Assets Through a Taxonomy for User Stories</v>
      </c>
      <c r="C703" s="15" t="str">
        <f ca="1">VLOOKUP(B703,'ALL DATABASES'!$A$1:$T$2252,2,FALSE)</f>
        <v>Dilorenzo E,Dantas E,Perkusich M,Ramos F,Costa A,Albuquerque D,Almeida H,Perkusich A</v>
      </c>
      <c r="D703" s="15">
        <f ca="1">VLOOKUP(B703,'ALL DATABASES'!$A$1:$T$2252,5,FALSE)</f>
        <v>2020</v>
      </c>
      <c r="E703" s="15">
        <f ca="1">VLOOKUP(B703,'ALL DATABASES'!$A$1:$T$2252,10,FALSE)</f>
        <v>2020</v>
      </c>
      <c r="F703" s="54" t="str">
        <f ca="1">VLOOKUP(B703,'ALL DATABASES'!$A$1:$T$2252,14,FALSE)</f>
        <v>http://dx.doi.org/10.1109/ACCESS.2020.2996951</v>
      </c>
      <c r="G703" s="15" t="str">
        <f ca="1">VLOOKUP(B703,'ALL DATABASES'!$A$1:$T$2252,3,FALSE)</f>
        <v>Journal Article</v>
      </c>
      <c r="H703" s="50" t="str">
        <f ca="1">VLOOKUP(B703,'ALL DATABASES'!$A$1:$T$2252,20,FALSE)</f>
        <v>IEEE</v>
      </c>
    </row>
    <row r="704" spans="1:8" ht="12.75" x14ac:dyDescent="0.2">
      <c r="A704">
        <v>703</v>
      </c>
      <c r="B704" s="15" t="str">
        <f ca="1">IFERROR(__xludf.DUMMYFUNCTION("""COMPUTED_VALUE"""),"Encyclopedia of Big Data")</f>
        <v>Encyclopedia of Big Data</v>
      </c>
      <c r="C704" s="15" t="str">
        <f ca="1">VLOOKUP(B704,'ALL DATABASES'!$A$1:$T$2252,2,FALSE)</f>
        <v>Laurie A. SchintlerConnie L. McNeely</v>
      </c>
      <c r="D704" s="15">
        <f ca="1">VLOOKUP(B704,'ALL DATABASES'!$A$1:$T$2252,5,FALSE)</f>
        <v>2022</v>
      </c>
      <c r="E704" s="15">
        <f ca="1">VLOOKUP(B704,'ALL DATABASES'!$A$1:$T$2252,10,FALSE)</f>
        <v>0</v>
      </c>
      <c r="F704" s="54" t="str">
        <f ca="1">VLOOKUP(B704,'ALL DATABASES'!$A$1:$T$2252,14,FALSE)</f>
        <v>http://link.springer.com/referencework/10.1007/978-3-319-32010-6</v>
      </c>
      <c r="G704" s="15" t="str">
        <f ca="1">VLOOKUP(B704,'ALL DATABASES'!$A$1:$T$2252,3,FALSE)</f>
        <v>ReferenceWork</v>
      </c>
      <c r="H704" s="50" t="str">
        <f ca="1">VLOOKUP(B704,'ALL DATABASES'!$A$1:$T$2252,20,FALSE)</f>
        <v>SPRINGER</v>
      </c>
    </row>
    <row r="705" spans="1:8" ht="12.75" x14ac:dyDescent="0.2">
      <c r="A705">
        <v>704</v>
      </c>
      <c r="B705" s="15" t="str">
        <f ca="1">IFERROR(__xludf.DUMMYFUNCTION("""COMPUTED_VALUE"""),"Encyclopedia of Education and Information Technologies")</f>
        <v>Encyclopedia of Education and Information Technologies</v>
      </c>
      <c r="C705" s="15" t="str">
        <f ca="1">VLOOKUP(B705,'ALL DATABASES'!$A$1:$T$2252,2,FALSE)</f>
        <v>Arthur Tatnall</v>
      </c>
      <c r="D705" s="15">
        <f ca="1">VLOOKUP(B705,'ALL DATABASES'!$A$1:$T$2252,5,FALSE)</f>
        <v>2020</v>
      </c>
      <c r="E705" s="15">
        <f ca="1">VLOOKUP(B705,'ALL DATABASES'!$A$1:$T$2252,10,FALSE)</f>
        <v>0</v>
      </c>
      <c r="F705" s="54" t="str">
        <f ca="1">VLOOKUP(B705,'ALL DATABASES'!$A$1:$T$2252,14,FALSE)</f>
        <v>http://link.springer.com/referencework/10.1007/978-3-030-10576-1</v>
      </c>
      <c r="G705" s="15" t="str">
        <f ca="1">VLOOKUP(B705,'ALL DATABASES'!$A$1:$T$2252,3,FALSE)</f>
        <v>ReferenceWork</v>
      </c>
      <c r="H705" s="50" t="str">
        <f ca="1">VLOOKUP(B705,'ALL DATABASES'!$A$1:$T$2252,20,FALSE)</f>
        <v>SPRINGER</v>
      </c>
    </row>
    <row r="706" spans="1:8" ht="12.75" x14ac:dyDescent="0.2">
      <c r="A706">
        <v>705</v>
      </c>
      <c r="B706" s="15" t="str">
        <f ca="1">IFERROR(__xludf.DUMMYFUNCTION("""COMPUTED_VALUE"""),"End-to-End Industrial IoT: Software Optimization and Acceleration")</f>
        <v>End-to-End Industrial IoT: Software Optimization and Acceleration</v>
      </c>
      <c r="C706" s="15" t="str">
        <f ca="1">VLOOKUP(B706,'ALL DATABASES'!$A$1:$T$2252,2,FALSE)</f>
        <v>Arunachalam M,Sanghavi V,Kaira S,Ahuja NA</v>
      </c>
      <c r="D706" s="15">
        <f ca="1">VLOOKUP(B706,'ALL DATABASES'!$A$1:$T$2252,5,FALSE)</f>
        <v>2022</v>
      </c>
      <c r="E706" s="55">
        <f ca="1">VLOOKUP(B706,'ALL DATABASES'!$A$1:$T$2252,10,FALSE)</f>
        <v>44621</v>
      </c>
      <c r="F706" s="54" t="str">
        <f ca="1">VLOOKUP(B706,'ALL DATABASES'!$A$1:$T$2252,14,FALSE)</f>
        <v>http://dx.doi.org/10.1109/IOTM.005.2100196</v>
      </c>
      <c r="G706" s="15" t="str">
        <f ca="1">VLOOKUP(B706,'ALL DATABASES'!$A$1:$T$2252,3,FALSE)</f>
        <v>Journal Article</v>
      </c>
      <c r="H706" s="50" t="str">
        <f ca="1">VLOOKUP(B706,'ALL DATABASES'!$A$1:$T$2252,20,FALSE)</f>
        <v>IEEE</v>
      </c>
    </row>
    <row r="707" spans="1:8" ht="12.75" x14ac:dyDescent="0.2">
      <c r="A707">
        <v>706</v>
      </c>
      <c r="B707" s="15" t="str">
        <f ca="1">IFERROR(__xludf.DUMMYFUNCTION("""COMPUTED_VALUE"""),"Engineering AI systems: A research agenda")</f>
        <v>Engineering AI systems: A research agenda</v>
      </c>
      <c r="C707" s="15" t="str">
        <f ca="1">VLOOKUP(B707,'ALL DATABASES'!$A$1:$T$2252,2,FALSE)</f>
        <v>Bosch J,Olsson HH,Crnkovic I</v>
      </c>
      <c r="D707" s="15">
        <f ca="1">VLOOKUP(B707,'ALL DATABASES'!$A$1:$T$2252,5,FALSE)</f>
        <v>2020</v>
      </c>
      <c r="E707" s="15">
        <f ca="1">VLOOKUP(B707,'ALL DATABASES'!$A$1:$T$2252,10,FALSE)</f>
        <v>2020</v>
      </c>
      <c r="F707" s="54" t="str">
        <f ca="1">VLOOKUP(B707,'ALL DATABASES'!$A$1:$T$2252,14,FALSE)</f>
        <v>https://www.scopus.com/inward/record.uri?eid=2-s2.0-85137510970&amp;doi=10.4018%2f978-1-7998-5101-1.ch001&amp;partnerID=40&amp;md5=6240593ae2c7bc36df644c3f008913fc;http://dx.doi.org/10.4018/978-1-7998-5101-1.ch001</v>
      </c>
      <c r="G707" s="15" t="str">
        <f ca="1">VLOOKUP(B707,'ALL DATABASES'!$A$1:$T$2252,3,FALSE)</f>
        <v>Book</v>
      </c>
      <c r="H707" s="50" t="str">
        <f ca="1">VLOOKUP(B707,'ALL DATABASES'!$A$1:$T$2252,20,FALSE)</f>
        <v>SCOPUS</v>
      </c>
    </row>
    <row r="708" spans="1:8" ht="12.75" x14ac:dyDescent="0.2">
      <c r="A708">
        <v>707</v>
      </c>
      <c r="B708" s="15" t="str">
        <f ca="1">IFERROR(__xludf.DUMMYFUNCTION("""COMPUTED_VALUE"""),"Engineering Artificially Intelligent Systems")</f>
        <v>Engineering Artificially Intelligent Systems</v>
      </c>
      <c r="C708" s="15" t="str">
        <f ca="1">VLOOKUP(B708,'ALL DATABASES'!$A$1:$T$2252,2,FALSE)</f>
        <v>William F. LawlessProf. James LlinasDonald A. SofgeRanjeev Mittu</v>
      </c>
      <c r="D708" s="15">
        <f ca="1">VLOOKUP(B708,'ALL DATABASES'!$A$1:$T$2252,5,FALSE)</f>
        <v>2021</v>
      </c>
      <c r="E708" s="15">
        <f ca="1">VLOOKUP(B708,'ALL DATABASES'!$A$1:$T$2252,10,FALSE)</f>
        <v>0</v>
      </c>
      <c r="F708" s="54" t="str">
        <f ca="1">VLOOKUP(B708,'ALL DATABASES'!$A$1:$T$2252,14,FALSE)</f>
        <v>http://link.springer.com/book/10.1007/978-3-030-89385-9</v>
      </c>
      <c r="G708" s="15" t="str">
        <f ca="1">VLOOKUP(B708,'ALL DATABASES'!$A$1:$T$2252,3,FALSE)</f>
        <v>Book</v>
      </c>
      <c r="H708" s="50" t="str">
        <f ca="1">VLOOKUP(B708,'ALL DATABASES'!$A$1:$T$2252,20,FALSE)</f>
        <v>SPRINGER</v>
      </c>
    </row>
    <row r="709" spans="1:8" ht="12.75" x14ac:dyDescent="0.2">
      <c r="A709">
        <v>708</v>
      </c>
      <c r="B709" s="15" t="str">
        <f ca="1">IFERROR(__xludf.DUMMYFUNCTION("""COMPUTED_VALUE"""),"Engineering problems in machine learning systems")</f>
        <v>Engineering problems in machine learning systems</v>
      </c>
      <c r="C709" s="15" t="str">
        <f ca="1">VLOOKUP(B709,'ALL DATABASES'!$A$1:$T$2252,2,FALSE)</f>
        <v>Kuwajima H,Yasuoka H,Nakae T</v>
      </c>
      <c r="D709" s="15">
        <f ca="1">VLOOKUP(B709,'ALL DATABASES'!$A$1:$T$2252,5,FALSE)</f>
        <v>2020</v>
      </c>
      <c r="E709" s="15">
        <f ca="1">VLOOKUP(B709,'ALL DATABASES'!$A$1:$T$2252,10,FALSE)</f>
        <v>2020</v>
      </c>
      <c r="F709" s="54" t="str">
        <f ca="1">VLOOKUP(B709,'ALL DATABASES'!$A$1:$T$2252,14,FALSE)</f>
        <v>https://www.scopus.com/inward/record.uri?eid=2-s2.0-85084143742&amp;doi=10.1007%2fs10994-020-05872-w&amp;partnerID=40&amp;md5=e46222c40ec929bdf26b6ed2b83abd05;http://dx.doi.org/10.1007/s10994-020-05872-w</v>
      </c>
      <c r="G709" s="15" t="str">
        <f ca="1">VLOOKUP(B709,'ALL DATABASES'!$A$1:$T$2252,3,FALSE)</f>
        <v>Journal Article</v>
      </c>
      <c r="H709" s="50" t="str">
        <f ca="1">VLOOKUP(B709,'ALL DATABASES'!$A$1:$T$2252,20,FALSE)</f>
        <v>SCOPUS</v>
      </c>
    </row>
    <row r="710" spans="1:8" ht="12.75" x14ac:dyDescent="0.2">
      <c r="A710">
        <v>709</v>
      </c>
      <c r="B710" s="15" t="str">
        <f ca="1">IFERROR(__xludf.DUMMYFUNCTION("""COMPUTED_VALUE"""),"Enhanced Feature Selection Using Word Embeddings for Self-Admitted Technical Debt Identification")</f>
        <v>Enhanced Feature Selection Using Word Embeddings for Self-Admitted Technical Debt Identification</v>
      </c>
      <c r="C710" s="15" t="str">
        <f ca="1">VLOOKUP(B710,'ALL DATABASES'!$A$1:$T$2252,2,FALSE)</f>
        <v>Flisar J,Podgorelec V</v>
      </c>
      <c r="D710" s="15">
        <f ca="1">VLOOKUP(B710,'ALL DATABASES'!$A$1:$T$2252,5,FALSE)</f>
        <v>2018</v>
      </c>
      <c r="E710" s="55">
        <f ca="1">VLOOKUP(B710,'ALL DATABASES'!$A$1:$T$2252,10,FALSE)</f>
        <v>43313</v>
      </c>
      <c r="F710" s="54" t="str">
        <f ca="1">VLOOKUP(B710,'ALL DATABASES'!$A$1:$T$2252,14,FALSE)</f>
        <v>http://dx.doi.org/10.1109/SEAA.2018.00045</v>
      </c>
      <c r="G710" s="15" t="str">
        <f ca="1">VLOOKUP(B710,'ALL DATABASES'!$A$1:$T$2252,3,FALSE)</f>
        <v>Conference Paper</v>
      </c>
      <c r="H710" s="50" t="str">
        <f ca="1">VLOOKUP(B710,'ALL DATABASES'!$A$1:$T$2252,20,FALSE)</f>
        <v>IEEE</v>
      </c>
    </row>
    <row r="711" spans="1:8" ht="12.75" x14ac:dyDescent="0.2">
      <c r="A711">
        <v>710</v>
      </c>
      <c r="B711" s="15" t="str">
        <f ca="1">IFERROR(__xludf.DUMMYFUNCTION("""COMPUTED_VALUE"""),"Enhancing change prediction models using developer-related factors")</f>
        <v>Enhancing change prediction models using developer-related factors</v>
      </c>
      <c r="C711" s="15" t="str">
        <f ca="1">VLOOKUP(B711,'ALL DATABASES'!$A$1:$T$2252,2,FALSE)</f>
        <v>Catolino G,Palomba F,De Lucia A,Ferrucci F,Zaidman A</v>
      </c>
      <c r="D711" s="15">
        <f ca="1">VLOOKUP(B711,'ALL DATABASES'!$A$1:$T$2252,5,FALSE)</f>
        <v>2018</v>
      </c>
      <c r="E711" s="15">
        <f ca="1">VLOOKUP(B711,'ALL DATABASES'!$A$1:$T$2252,10,FALSE)</f>
        <v>2018</v>
      </c>
      <c r="F711" s="54" t="str">
        <f ca="1">VLOOKUP(B711,'ALL DATABASES'!$A$1:$T$2252,14,FALSE)</f>
        <v>https://www.sciencedirect.com/science/article/pii/S0164121218300918;http://dx.doi.org/10.1016/j.jss.2018.05.003</v>
      </c>
      <c r="G711" s="15" t="str">
        <f ca="1">VLOOKUP(B711,'ALL DATABASES'!$A$1:$T$2252,3,FALSE)</f>
        <v>Journal Article</v>
      </c>
      <c r="H711" s="50" t="str">
        <f ca="1">VLOOKUP(B711,'ALL DATABASES'!$A$1:$T$2252,20,FALSE)</f>
        <v>SCIENCEDIRECT</v>
      </c>
    </row>
    <row r="712" spans="1:8" ht="12.75" x14ac:dyDescent="0.2">
      <c r="A712">
        <v>711</v>
      </c>
      <c r="B712" s="15" t="str">
        <f ca="1">IFERROR(__xludf.DUMMYFUNCTION("""COMPUTED_VALUE"""),"Enterprise Architecture Function")</f>
        <v>Enterprise Architecture Function</v>
      </c>
      <c r="C712" s="15" t="str">
        <f ca="1">VLOOKUP(B712,'ALL DATABASES'!$A$1:$T$2252,2,FALSE)</f>
        <v>Ingo Arnold</v>
      </c>
      <c r="D712" s="15">
        <f ca="1">VLOOKUP(B712,'ALL DATABASES'!$A$1:$T$2252,5,FALSE)</f>
        <v>2022</v>
      </c>
      <c r="E712" s="15">
        <f ca="1">VLOOKUP(B712,'ALL DATABASES'!$A$1:$T$2252,10,FALSE)</f>
        <v>0</v>
      </c>
      <c r="F712" s="54" t="str">
        <f ca="1">VLOOKUP(B712,'ALL DATABASES'!$A$1:$T$2252,14,FALSE)</f>
        <v>http://link.springer.com/book/10.1007/978-3-030-84589-6</v>
      </c>
      <c r="G712" s="15" t="str">
        <f ca="1">VLOOKUP(B712,'ALL DATABASES'!$A$1:$T$2252,3,FALSE)</f>
        <v>Book</v>
      </c>
      <c r="H712" s="50" t="str">
        <f ca="1">VLOOKUP(B712,'ALL DATABASES'!$A$1:$T$2252,20,FALSE)</f>
        <v>SPRINGER</v>
      </c>
    </row>
    <row r="713" spans="1:8" ht="12.75" x14ac:dyDescent="0.2">
      <c r="A713">
        <v>712</v>
      </c>
      <c r="B713" s="15" t="str">
        <f ca="1">IFERROR(__xludf.DUMMYFUNCTION("""COMPUTED_VALUE"""),"Enterprise Design, Operations, and Computing")</f>
        <v>Enterprise Design, Operations, and Computing</v>
      </c>
      <c r="C713" s="15" t="str">
        <f ca="1">VLOOKUP(B713,'ALL DATABASES'!$A$1:$T$2252,2,FALSE)</f>
        <v>JoÃ£o Paulo A. AlmeidaDimka KarastoyanovaGiancarlo GuizzardiMarco MontaliFabrizio Maria MaggiClaudenir M. Fonseca</v>
      </c>
      <c r="D713" s="15">
        <f ca="1">VLOOKUP(B713,'ALL DATABASES'!$A$1:$T$2252,5,FALSE)</f>
        <v>2022</v>
      </c>
      <c r="E713" s="15">
        <f ca="1">VLOOKUP(B713,'ALL DATABASES'!$A$1:$T$2252,10,FALSE)</f>
        <v>0</v>
      </c>
      <c r="F713" s="54" t="str">
        <f ca="1">VLOOKUP(B713,'ALL DATABASES'!$A$1:$T$2252,14,FALSE)</f>
        <v>http://link.springer.com/book/10.1007/978-3-031-17604-3</v>
      </c>
      <c r="G713" s="15" t="str">
        <f ca="1">VLOOKUP(B713,'ALL DATABASES'!$A$1:$T$2252,3,FALSE)</f>
        <v>Book</v>
      </c>
      <c r="H713" s="50" t="str">
        <f ca="1">VLOOKUP(B713,'ALL DATABASES'!$A$1:$T$2252,20,FALSE)</f>
        <v>SPRINGER</v>
      </c>
    </row>
    <row r="714" spans="1:8" ht="12.75" x14ac:dyDescent="0.2">
      <c r="A714">
        <v>713</v>
      </c>
      <c r="B714" s="15" t="str">
        <f ca="1">IFERROR(__xludf.DUMMYFUNCTION("""COMPUTED_VALUE"""),"Enterprise Information Systems")</f>
        <v>Enterprise Information Systems</v>
      </c>
      <c r="C714" s="15" t="str">
        <f ca="1">VLOOKUP(B714,'ALL DATABASES'!$A$1:$T$2252,2,FALSE)</f>
        <v>Prof. Dr. Joaquim FilipeMichaÅ‚ ÅšmiaÅ‚ekAlexander BrodskySlimane Hammoudi</v>
      </c>
      <c r="D714" s="15">
        <f ca="1">VLOOKUP(B714,'ALL DATABASES'!$A$1:$T$2252,5,FALSE)</f>
        <v>2021</v>
      </c>
      <c r="E714" s="15">
        <f ca="1">VLOOKUP(B714,'ALL DATABASES'!$A$1:$T$2252,10,FALSE)</f>
        <v>0</v>
      </c>
      <c r="F714" s="54" t="str">
        <f ca="1">VLOOKUP(B714,'ALL DATABASES'!$A$1:$T$2252,14,FALSE)</f>
        <v>http://link.springer.com/book/10.1007/978-3-030-75418-1</v>
      </c>
      <c r="G714" s="15" t="str">
        <f ca="1">VLOOKUP(B714,'ALL DATABASES'!$A$1:$T$2252,3,FALSE)</f>
        <v>Book</v>
      </c>
      <c r="H714" s="50" t="str">
        <f ca="1">VLOOKUP(B714,'ALL DATABASES'!$A$1:$T$2252,20,FALSE)</f>
        <v>SPRINGER</v>
      </c>
    </row>
    <row r="715" spans="1:8" ht="12.75" x14ac:dyDescent="0.2">
      <c r="A715">
        <v>714</v>
      </c>
      <c r="B715" s="15" t="str">
        <f ca="1">IFERROR(__xludf.DUMMYFUNCTION("""COMPUTED_VALUE"""),"Enterprise IT Assessment for a Cloud Native Journey")</f>
        <v>Enterprise IT Assessment for a Cloud Native Journey</v>
      </c>
      <c r="C715" s="15" t="str">
        <f ca="1">VLOOKUP(B715,'ALL DATABASES'!$A$1:$T$2252,2,FALSE)</f>
        <v>Shivakumar R Goniwada</v>
      </c>
      <c r="D715" s="15">
        <f ca="1">VLOOKUP(B715,'ALL DATABASES'!$A$1:$T$2252,5,FALSE)</f>
        <v>2022</v>
      </c>
      <c r="E715" s="15">
        <f ca="1">VLOOKUP(B715,'ALL DATABASES'!$A$1:$T$2252,10,FALSE)</f>
        <v>0</v>
      </c>
      <c r="F715" s="54" t="str">
        <f ca="1">VLOOKUP(B715,'ALL DATABASES'!$A$1:$T$2252,14,FALSE)</f>
        <v>http://link.springer.com/chapter/10.1007/978-1-4842-7226-8_11</v>
      </c>
      <c r="G715" s="15" t="str">
        <f ca="1">VLOOKUP(B715,'ALL DATABASES'!$A$1:$T$2252,3,FALSE)</f>
        <v>Chapter</v>
      </c>
      <c r="H715" s="50" t="str">
        <f ca="1">VLOOKUP(B715,'ALL DATABASES'!$A$1:$T$2252,20,FALSE)</f>
        <v>SPRINGER</v>
      </c>
    </row>
    <row r="716" spans="1:8" ht="12.75" x14ac:dyDescent="0.2">
      <c r="A716">
        <v>715</v>
      </c>
      <c r="B716" s="15" t="str">
        <f ca="1">IFERROR(__xludf.DUMMYFUNCTION("""COMPUTED_VALUE"""),"Environmental adaptation and differential replication in machine learning")</f>
        <v>Environmental adaptation and differential replication in machine learning</v>
      </c>
      <c r="C716" s="15" t="str">
        <f ca="1">VLOOKUP(B716,'ALL DATABASES'!$A$1:$T$2252,2,FALSE)</f>
        <v>Unceta I,Nin J,Pujol O</v>
      </c>
      <c r="D716" s="15">
        <f ca="1">VLOOKUP(B716,'ALL DATABASES'!$A$1:$T$2252,5,FALSE)</f>
        <v>2020</v>
      </c>
      <c r="E716" s="15">
        <f ca="1">VLOOKUP(B716,'ALL DATABASES'!$A$1:$T$2252,10,FALSE)</f>
        <v>2020</v>
      </c>
      <c r="F716" s="54" t="str">
        <f ca="1">VLOOKUP(B716,'ALL DATABASES'!$A$1:$T$2252,14,FALSE)</f>
        <v>https://www.scopus.com/inward/record.uri?eid=2-s2.0-85092763520&amp;doi=10.3390%2fe22101122&amp;partnerID=40&amp;md5=d5d13f826d30dab82eb00f8a82bf76e4;http://dx.doi.org/10.3390/e22101122</v>
      </c>
      <c r="G716" s="15" t="str">
        <f ca="1">VLOOKUP(B716,'ALL DATABASES'!$A$1:$T$2252,3,FALSE)</f>
        <v>Journal Article</v>
      </c>
      <c r="H716" s="50" t="str">
        <f ca="1">VLOOKUP(B716,'ALL DATABASES'!$A$1:$T$2252,20,FALSE)</f>
        <v>SCOPUS</v>
      </c>
    </row>
    <row r="717" spans="1:8" ht="12.75" x14ac:dyDescent="0.2">
      <c r="A717">
        <v>716</v>
      </c>
      <c r="B717" s="15" t="str">
        <f ca="1">IFERROR(__xludf.DUMMYFUNCTION("""COMPUTED_VALUE"""),"Epistemic Debt: A Concept and Measure of Technical Ignorance in Smart Manufacturing")</f>
        <v>Epistemic Debt: A Concept and Measure of Technical Ignorance in Smart Manufacturing</v>
      </c>
      <c r="C717" s="15" t="str">
        <f ca="1">VLOOKUP(B717,'ALL DATABASES'!$A$1:$T$2252,2,FALSE)</f>
        <v>Ionescu TB,Schlund S,Schmidbauer C</v>
      </c>
      <c r="D717" s="15">
        <f ca="1">VLOOKUP(B717,'ALL DATABASES'!$A$1:$T$2252,5,FALSE)</f>
        <v>2020</v>
      </c>
      <c r="E717" s="15">
        <f ca="1">VLOOKUP(B717,'ALL DATABASES'!$A$1:$T$2252,10,FALSE)</f>
        <v>2020</v>
      </c>
      <c r="F717" s="54" t="str">
        <f ca="1">VLOOKUP(B717,'ALL DATABASES'!$A$1:$T$2252,14,FALSE)</f>
        <v>https://www.scopus.com/inward/record.uri?eid=2-s2.0-85067344523&amp;doi=10.1007%2f978-3-030-20040-4_8&amp;partnerID=40&amp;md5=7f2f9c77e0da41f025c69a830f1fd01f;http://dx.doi.org/10.1007/978-3-030-20040-4_8</v>
      </c>
      <c r="G717" s="15" t="str">
        <f ca="1">VLOOKUP(B717,'ALL DATABASES'!$A$1:$T$2252,3,FALSE)</f>
        <v>Journal Article</v>
      </c>
      <c r="H717" s="50" t="str">
        <f ca="1">VLOOKUP(B717,'ALL DATABASES'!$A$1:$T$2252,20,FALSE)</f>
        <v>SCOPUS</v>
      </c>
    </row>
    <row r="718" spans="1:8" ht="12.75" x14ac:dyDescent="0.2">
      <c r="A718">
        <v>717</v>
      </c>
      <c r="B718" s="15" t="str">
        <f ca="1">IFERROR(__xludf.DUMMYFUNCTION("""COMPUTED_VALUE"""),"Erste Schritte einer automatischen Funktionalitätssemantik zur Verbesserung von SPS Softwaremodularität; [Towards automatic generation of functionality semantics to improve PLC software modularization]")</f>
        <v>Erste Schritte einer automatischen Funktionalitätssemantik zur Verbesserung von SPS Softwaremodularität; [Towards automatic generation of functionality semantics to improve PLC software modularization]</v>
      </c>
      <c r="C718" s="15" t="str">
        <f ca="1">VLOOKUP(B718,'ALL DATABASES'!$A$1:$T$2252,2,FALSE)</f>
        <v>Wilch J,Fischer J,Langer N,Felger M,Bengel M,Vogel-Heuser B</v>
      </c>
      <c r="D718" s="15">
        <f ca="1">VLOOKUP(B718,'ALL DATABASES'!$A$1:$T$2252,5,FALSE)</f>
        <v>2022</v>
      </c>
      <c r="E718" s="15">
        <f ca="1">VLOOKUP(B718,'ALL DATABASES'!$A$1:$T$2252,10,FALSE)</f>
        <v>2022</v>
      </c>
      <c r="F718" s="54" t="str">
        <f ca="1">VLOOKUP(B718,'ALL DATABASES'!$A$1:$T$2252,14,FALSE)</f>
        <v>https://www.scopus.com/inward/record.uri?eid=2-s2.0-85124675907&amp;doi=10.1515%2fauto-2021-0138&amp;partnerID=40&amp;md5=b3966aaa27a1c952aae158f73486bc5c;http://dx.doi.org/10.1515/auto-2021-0138</v>
      </c>
      <c r="G718" s="15" t="str">
        <f ca="1">VLOOKUP(B718,'ALL DATABASES'!$A$1:$T$2252,3,FALSE)</f>
        <v>Journal Article</v>
      </c>
      <c r="H718" s="50" t="str">
        <f ca="1">VLOOKUP(B718,'ALL DATABASES'!$A$1:$T$2252,20,FALSE)</f>
        <v>SCOPUS</v>
      </c>
    </row>
    <row r="719" spans="1:8" ht="12.75" x14ac:dyDescent="0.2">
      <c r="A719">
        <v>718</v>
      </c>
      <c r="B719" s="15" t="str">
        <f ca="1">IFERROR(__xludf.DUMMYFUNCTION("""COMPUTED_VALUE"""),"ESEC/FSE 2022: Proceedings of the 30th ACM Joint European Software Engineering Conference and Symposium on the Foundations of Software Engineering")</f>
        <v>ESEC/FSE 2022: Proceedings of the 30th ACM Joint European Software Engineering Conference and Symposium on the Foundations of Software Engineering</v>
      </c>
      <c r="C719" s="15">
        <f ca="1">VLOOKUP(B719,'ALL DATABASES'!$A$1:$T$2252,2,FALSE)</f>
        <v>0</v>
      </c>
      <c r="D719" s="15">
        <f ca="1">VLOOKUP(B719,'ALL DATABASES'!$A$1:$T$2252,5,FALSE)</f>
        <v>2022</v>
      </c>
      <c r="E719" s="15">
        <f ca="1">VLOOKUP(B719,'ALL DATABASES'!$A$1:$T$2252,10,FALSE)</f>
        <v>2022</v>
      </c>
      <c r="F719" s="15">
        <f ca="1">VLOOKUP(B719,'ALL DATABASES'!$A$1:$T$2252,14,FALSE)</f>
        <v>0</v>
      </c>
      <c r="G719" s="15" t="str">
        <f ca="1">VLOOKUP(B719,'ALL DATABASES'!$A$1:$T$2252,3,FALSE)</f>
        <v>Book</v>
      </c>
      <c r="H719" s="50" t="str">
        <f ca="1">VLOOKUP(B719,'ALL DATABASES'!$A$1:$T$2252,20,FALSE)</f>
        <v>ACM</v>
      </c>
    </row>
    <row r="720" spans="1:8" ht="12.75" x14ac:dyDescent="0.2">
      <c r="A720">
        <v>719</v>
      </c>
      <c r="B720" s="15" t="str">
        <f ca="1">IFERROR(__xludf.DUMMYFUNCTION("""COMPUTED_VALUE"""),"ESEM '22: Proceedings of the 16th ACM / IEEE International Symposium on Empirical Software Engineering and Measurement")</f>
        <v>ESEM '22: Proceedings of the 16th ACM / IEEE International Symposium on Empirical Software Engineering and Measurement</v>
      </c>
      <c r="C720" s="15">
        <f ca="1">VLOOKUP(B720,'ALL DATABASES'!$A$1:$T$2252,2,FALSE)</f>
        <v>0</v>
      </c>
      <c r="D720" s="15">
        <f ca="1">VLOOKUP(B720,'ALL DATABASES'!$A$1:$T$2252,5,FALSE)</f>
        <v>2022</v>
      </c>
      <c r="E720" s="15">
        <f ca="1">VLOOKUP(B720,'ALL DATABASES'!$A$1:$T$2252,10,FALSE)</f>
        <v>2022</v>
      </c>
      <c r="F720" s="15">
        <f ca="1">VLOOKUP(B720,'ALL DATABASES'!$A$1:$T$2252,14,FALSE)</f>
        <v>0</v>
      </c>
      <c r="G720" s="15" t="str">
        <f ca="1">VLOOKUP(B720,'ALL DATABASES'!$A$1:$T$2252,3,FALSE)</f>
        <v>Book</v>
      </c>
      <c r="H720" s="50" t="str">
        <f ca="1">VLOOKUP(B720,'ALL DATABASES'!$A$1:$T$2252,20,FALSE)</f>
        <v>ACM</v>
      </c>
    </row>
    <row r="721" spans="1:8" ht="12.75" x14ac:dyDescent="0.2">
      <c r="A721">
        <v>720</v>
      </c>
      <c r="B721" s="15" t="str">
        <f ca="1">IFERROR(__xludf.DUMMYFUNCTION("""COMPUTED_VALUE"""),"ESEM 2019 Table of Contents")</f>
        <v>ESEM 2019 Table of Contents</v>
      </c>
      <c r="C721" s="15">
        <f ca="1">VLOOKUP(B721,'ALL DATABASES'!$A$1:$T$2252,2,FALSE)</f>
        <v>0</v>
      </c>
      <c r="D721" s="15">
        <f ca="1">VLOOKUP(B721,'ALL DATABASES'!$A$1:$T$2252,5,FALSE)</f>
        <v>2019</v>
      </c>
      <c r="E721" s="55">
        <f ca="1">VLOOKUP(B721,'ALL DATABASES'!$A$1:$T$2252,10,FALSE)</f>
        <v>43709</v>
      </c>
      <c r="F721" s="54" t="str">
        <f ca="1">VLOOKUP(B721,'ALL DATABASES'!$A$1:$T$2252,14,FALSE)</f>
        <v>http://dx.doi.org/10.1109/ESEM.2019.8870145</v>
      </c>
      <c r="G721" s="15" t="str">
        <f ca="1">VLOOKUP(B721,'ALL DATABASES'!$A$1:$T$2252,3,FALSE)</f>
        <v>Conference Paper</v>
      </c>
      <c r="H721" s="50" t="str">
        <f ca="1">VLOOKUP(B721,'ALL DATABASES'!$A$1:$T$2252,20,FALSE)</f>
        <v>IEEE</v>
      </c>
    </row>
    <row r="722" spans="1:8" ht="12.75" x14ac:dyDescent="0.2">
      <c r="A722">
        <v>721</v>
      </c>
      <c r="B722" s="15" t="str">
        <f ca="1">IFERROR(__xludf.DUMMYFUNCTION("""COMPUTED_VALUE"""),"Estimating Efforts for Various Activities in Agile Software Development: An Empirical Study")</f>
        <v>Estimating Efforts for Various Activities in Agile Software Development: An Empirical Study</v>
      </c>
      <c r="C722" s="15" t="str">
        <f ca="1">VLOOKUP(B722,'ALL DATABASES'!$A$1:$T$2252,2,FALSE)</f>
        <v>Cao L</v>
      </c>
      <c r="D722" s="15">
        <f ca="1">VLOOKUP(B722,'ALL DATABASES'!$A$1:$T$2252,5,FALSE)</f>
        <v>2022</v>
      </c>
      <c r="E722" s="15">
        <f ca="1">VLOOKUP(B722,'ALL DATABASES'!$A$1:$T$2252,10,FALSE)</f>
        <v>2022</v>
      </c>
      <c r="F722" s="54" t="str">
        <f ca="1">VLOOKUP(B722,'ALL DATABASES'!$A$1:$T$2252,14,FALSE)</f>
        <v>http://dx.doi.org/10.1109/ACCESS.2022.3196923</v>
      </c>
      <c r="G722" s="15" t="str">
        <f ca="1">VLOOKUP(B722,'ALL DATABASES'!$A$1:$T$2252,3,FALSE)</f>
        <v>Journal Article</v>
      </c>
      <c r="H722" s="50" t="str">
        <f ca="1">VLOOKUP(B722,'ALL DATABASES'!$A$1:$T$2252,20,FALSE)</f>
        <v>IEEE</v>
      </c>
    </row>
    <row r="723" spans="1:8" ht="12.75" x14ac:dyDescent="0.2">
      <c r="A723">
        <v>722</v>
      </c>
      <c r="B723" s="15" t="str">
        <f ca="1">IFERROR(__xludf.DUMMYFUNCTION("""COMPUTED_VALUE"""),"Estimating Story Points from Issue Reports")</f>
        <v>Estimating Story Points from Issue Reports</v>
      </c>
      <c r="C723" s="15" t="str">
        <f ca="1">VLOOKUP(B723,'ALL DATABASES'!$A$1:$T$2252,2,FALSE)</f>
        <v>Porru S,Murgia A,Demeyer S,Marchesi M,Tonelli R</v>
      </c>
      <c r="D723" s="15">
        <f ca="1">VLOOKUP(B723,'ALL DATABASES'!$A$1:$T$2252,5,FALSE)</f>
        <v>2016</v>
      </c>
      <c r="E723" s="15">
        <f ca="1">VLOOKUP(B723,'ALL DATABASES'!$A$1:$T$2252,10,FALSE)</f>
        <v>2016</v>
      </c>
      <c r="F723" s="54" t="str">
        <f ca="1">VLOOKUP(B723,'ALL DATABASES'!$A$1:$T$2252,14,FALSE)</f>
        <v>https://doi.org/10.1145/2972958.2972959;http://dx.doi.org/10.1145/2972958.2972959</v>
      </c>
      <c r="G723" s="15" t="str">
        <f ca="1">VLOOKUP(B723,'ALL DATABASES'!$A$1:$T$2252,3,FALSE)</f>
        <v>Conference Paper</v>
      </c>
      <c r="H723" s="50" t="str">
        <f ca="1">VLOOKUP(B723,'ALL DATABASES'!$A$1:$T$2252,20,FALSE)</f>
        <v>ACM</v>
      </c>
    </row>
    <row r="724" spans="1:8" ht="12.75" x14ac:dyDescent="0.2">
      <c r="A724">
        <v>723</v>
      </c>
      <c r="B724" s="15" t="str">
        <f ca="1">IFERROR(__xludf.DUMMYFUNCTION("""COMPUTED_VALUE"""),"Estimating the number of remaining links in traceability recovery")</f>
        <v>Estimating the number of remaining links in traceability recovery</v>
      </c>
      <c r="C724" s="15" t="str">
        <f ca="1">VLOOKUP(B724,'ALL DATABASES'!$A$1:$T$2252,2,FALSE)</f>
        <v>Davide FalessiMassimiliano Di PentaGerardo CanforaGiovanni Cantone</v>
      </c>
      <c r="D724" s="15">
        <f ca="1">VLOOKUP(B724,'ALL DATABASES'!$A$1:$T$2252,5,FALSE)</f>
        <v>2017</v>
      </c>
      <c r="E724" s="15">
        <f ca="1">VLOOKUP(B724,'ALL DATABASES'!$A$1:$T$2252,10,FALSE)</f>
        <v>0</v>
      </c>
      <c r="F724" s="54" t="str">
        <f ca="1">VLOOKUP(B724,'ALL DATABASES'!$A$1:$T$2252,14,FALSE)</f>
        <v>http://link.springer.com/article/10.1007/s10664-016-9460-6</v>
      </c>
      <c r="G724" s="15" t="str">
        <f ca="1">VLOOKUP(B724,'ALL DATABASES'!$A$1:$T$2252,3,FALSE)</f>
        <v>Article</v>
      </c>
      <c r="H724" s="50" t="str">
        <f ca="1">VLOOKUP(B724,'ALL DATABASES'!$A$1:$T$2252,20,FALSE)</f>
        <v>SPRINGER</v>
      </c>
    </row>
    <row r="725" spans="1:8" s="71" customFormat="1" ht="12.75" x14ac:dyDescent="0.2">
      <c r="A725">
        <v>724</v>
      </c>
      <c r="B725" s="68" t="str">
        <f ca="1">IFERROR(__xludf.DUMMYFUNCTION("""COMPUTED_VALUE"""),"Estimating user story points using document fingerprints")</f>
        <v>Estimating user story points using document fingerprints</v>
      </c>
      <c r="C725" s="68" t="str">
        <f ca="1">VLOOKUP(B725,'ALL DATABASES'!$A$1:$T$2252,2,FALSE)</f>
        <v>Chongpakdee P,Vatanawood W</v>
      </c>
      <c r="D725" s="68">
        <f ca="1">VLOOKUP(B725,'ALL DATABASES'!$A$1:$T$2252,5,FALSE)</f>
        <v>2017</v>
      </c>
      <c r="E725" s="73">
        <f ca="1">VLOOKUP(B725,'ALL DATABASES'!$A$1:$T$2252,10,FALSE)</f>
        <v>43040</v>
      </c>
      <c r="F725" s="69" t="str">
        <f ca="1">VLOOKUP(B725,'ALL DATABASES'!$A$1:$T$2252,14,FALSE)</f>
        <v>http://dx.doi.org/10.1109/ICSESS.2017.8342885</v>
      </c>
      <c r="G725" s="68" t="str">
        <f ca="1">VLOOKUP(B725,'ALL DATABASES'!$A$1:$T$2252,3,FALSE)</f>
        <v>Conference Paper</v>
      </c>
      <c r="H725" s="70" t="str">
        <f ca="1">VLOOKUP(B725,'ALL DATABASES'!$A$1:$T$2252,20,FALSE)</f>
        <v>IEEE</v>
      </c>
    </row>
    <row r="726" spans="1:8" ht="12.75" x14ac:dyDescent="0.2">
      <c r="A726">
        <v>725</v>
      </c>
      <c r="B726" s="15" t="str">
        <f ca="1">IFERROR(__xludf.DUMMYFUNCTION("""COMPUTED_VALUE"""),"Ethical Concerns: An overview of Artificial Intelligence System Development and Life Cycle")</f>
        <v>Ethical Concerns: An overview of Artificial Intelligence System Development and Life Cycle</v>
      </c>
      <c r="C726" s="15" t="str">
        <f ca="1">VLOOKUP(B726,'ALL DATABASES'!$A$1:$T$2252,2,FALSE)</f>
        <v>Shazly HA,Ferraro A,Bennet K</v>
      </c>
      <c r="D726" s="15">
        <f ca="1">VLOOKUP(B726,'ALL DATABASES'!$A$1:$T$2252,5,FALSE)</f>
        <v>2020</v>
      </c>
      <c r="E726" s="53">
        <f ca="1">VLOOKUP(B726,'ALL DATABASES'!$A$1:$T$2252,10,FALSE)</f>
        <v>44136</v>
      </c>
      <c r="F726" s="54" t="str">
        <f ca="1">VLOOKUP(B726,'ALL DATABASES'!$A$1:$T$2252,14,FALSE)</f>
        <v>http://dx.doi.org/10.1109/ISTAS50296.2020.9462201</v>
      </c>
      <c r="G726" s="15" t="str">
        <f ca="1">VLOOKUP(B726,'ALL DATABASES'!$A$1:$T$2252,3,FALSE)</f>
        <v>Conference Paper</v>
      </c>
      <c r="H726" s="50" t="str">
        <f ca="1">VLOOKUP(B726,'ALL DATABASES'!$A$1:$T$2252,20,FALSE)</f>
        <v>IEEE</v>
      </c>
    </row>
    <row r="727" spans="1:8" ht="12.75" x14ac:dyDescent="0.2">
      <c r="A727">
        <v>726</v>
      </c>
      <c r="B727" s="15" t="str">
        <f ca="1">IFERROR(__xludf.DUMMYFUNCTION("""COMPUTED_VALUE"""),"Evaluating a LSTM Neural Network and a Word2vec Model in the Classification of Self-admitted Technical Debts and Their Types in Code Comments")</f>
        <v>Evaluating a LSTM Neural Network and a Word2vec Model in the Classification of Self-admitted Technical Debts and Their Types in Code Comments</v>
      </c>
      <c r="C727" s="15" t="str">
        <f ca="1">VLOOKUP(B727,'ALL DATABASES'!$A$1:$T$2252,2,FALSE)</f>
        <v>Rafael Meneses SantosIsrael Meneses SantosMethanias ColaÃ§o JÃºniorManoel MendonÃ§a</v>
      </c>
      <c r="D727" s="15">
        <f ca="1">VLOOKUP(B727,'ALL DATABASES'!$A$1:$T$2252,5,FALSE)</f>
        <v>2021</v>
      </c>
      <c r="E727" s="15">
        <f ca="1">VLOOKUP(B727,'ALL DATABASES'!$A$1:$T$2252,10,FALSE)</f>
        <v>0</v>
      </c>
      <c r="F727" s="54" t="str">
        <f ca="1">VLOOKUP(B727,'ALL DATABASES'!$A$1:$T$2252,14,FALSE)</f>
        <v>http://link.springer.com/chapter/10.1007/978-3-030-75418-1_25</v>
      </c>
      <c r="G727" s="15" t="str">
        <f ca="1">VLOOKUP(B727,'ALL DATABASES'!$A$1:$T$2252,3,FALSE)</f>
        <v>Chapter</v>
      </c>
      <c r="H727" s="50" t="str">
        <f ca="1">VLOOKUP(B727,'ALL DATABASES'!$A$1:$T$2252,20,FALSE)</f>
        <v>SPRINGER</v>
      </c>
    </row>
    <row r="728" spans="1:8" ht="12.75" x14ac:dyDescent="0.2">
      <c r="A728">
        <v>727</v>
      </c>
      <c r="B728" s="15" t="str">
        <f ca="1">IFERROR(__xludf.DUMMYFUNCTION("""COMPUTED_VALUE"""),"Evaluating domain-specific metric thresholds: An empirical study")</f>
        <v>Evaluating domain-specific metric thresholds: An empirical study</v>
      </c>
      <c r="C728" s="15" t="str">
        <f ca="1">VLOOKUP(B728,'ALL DATABASES'!$A$1:$T$2252,2,FALSE)</f>
        <v>Mori A,Vale G,Viggiato M,Oliveira J,Figueiredo E,Cirilo E,Jamshidi P,Kastner C</v>
      </c>
      <c r="D728" s="15">
        <f ca="1">VLOOKUP(B728,'ALL DATABASES'!$A$1:$T$2252,5,FALSE)</f>
        <v>2018</v>
      </c>
      <c r="E728" s="15">
        <f ca="1">VLOOKUP(B728,'ALL DATABASES'!$A$1:$T$2252,10,FALSE)</f>
        <v>2018</v>
      </c>
      <c r="F728" s="54" t="str">
        <f ca="1">VLOOKUP(B728,'ALL DATABASES'!$A$1:$T$2252,14,FALSE)</f>
        <v>https://www.scopus.com/inward/record.uri?eid=2-s2.0-85051486330&amp;doi=10.1145%2f3194164.3194173&amp;partnerID=40&amp;md5=4dc45a9f967364a60204d0d376da94bd;http://dx.doi.org/10.1145/3194164.3194173</v>
      </c>
      <c r="G728" s="15" t="str">
        <f ca="1">VLOOKUP(B728,'ALL DATABASES'!$A$1:$T$2252,3,FALSE)</f>
        <v>Conference Paper</v>
      </c>
      <c r="H728" s="50" t="str">
        <f ca="1">VLOOKUP(B728,'ALL DATABASES'!$A$1:$T$2252,20,FALSE)</f>
        <v>SCOPUS</v>
      </c>
    </row>
    <row r="729" spans="1:8" ht="12.75" x14ac:dyDescent="0.2">
      <c r="A729">
        <v>728</v>
      </c>
      <c r="B729" s="15" t="str">
        <f ca="1">IFERROR(__xludf.DUMMYFUNCTION("""COMPUTED_VALUE"""),"Evaluating SZZ implementations through a developer-informed oracle")</f>
        <v>Evaluating SZZ implementations through a developer-informed oracle</v>
      </c>
      <c r="C729" s="15" t="str">
        <f ca="1">VLOOKUP(B729,'ALL DATABASES'!$A$1:$T$2252,2,FALSE)</f>
        <v>Rosa G,Pascarella L,Scalabrino S,Tufano R,Bavota G,Lanza M,Oliveto R</v>
      </c>
      <c r="D729" s="15">
        <f ca="1">VLOOKUP(B729,'ALL DATABASES'!$A$1:$T$2252,5,FALSE)</f>
        <v>2021</v>
      </c>
      <c r="E729" s="15">
        <f ca="1">VLOOKUP(B729,'ALL DATABASES'!$A$1:$T$2252,10,FALSE)</f>
        <v>2021</v>
      </c>
      <c r="F729" s="54" t="str">
        <f ca="1">VLOOKUP(B729,'ALL DATABASES'!$A$1:$T$2252,14,FALSE)</f>
        <v>https://www.scopus.com/inward/record.uri?eid=2-s2.0-85115698007&amp;doi=10.1109%2fICSE43902.2021.00049&amp;partnerID=40&amp;md5=1681c7698bd596159fdedcea721b1357;http://dx.doi.org/10.1109/ICSE43902.2021.00049</v>
      </c>
      <c r="G729" s="15" t="str">
        <f ca="1">VLOOKUP(B729,'ALL DATABASES'!$A$1:$T$2252,3,FALSE)</f>
        <v>Conference Paper</v>
      </c>
      <c r="H729" s="50" t="str">
        <f ca="1">VLOOKUP(B729,'ALL DATABASES'!$A$1:$T$2252,20,FALSE)</f>
        <v>SCOPUS</v>
      </c>
    </row>
    <row r="730" spans="1:8" ht="12.75" x14ac:dyDescent="0.2">
      <c r="A730">
        <v>729</v>
      </c>
      <c r="B730" s="15" t="str">
        <f ca="1">IFERROR(__xludf.DUMMYFUNCTION("""COMPUTED_VALUE"""),"Evaluating the agreement among technical debt measurement tools: building an empirical benchmark of technical debt liabilities")</f>
        <v>Evaluating the agreement among technical debt measurement tools: building an empirical benchmark of technical debt liabilities</v>
      </c>
      <c r="C730" s="15" t="str">
        <f ca="1">VLOOKUP(B730,'ALL DATABASES'!$A$1:$T$2252,2,FALSE)</f>
        <v>Theodoros AmanatidisNikolaos MittasAthanasia MoschouAlexander ChatzigeorgiouApostolos AmpatzoglouLefteris Angelis</v>
      </c>
      <c r="D730" s="15">
        <f ca="1">VLOOKUP(B730,'ALL DATABASES'!$A$1:$T$2252,5,FALSE)</f>
        <v>2020</v>
      </c>
      <c r="E730" s="15">
        <f ca="1">VLOOKUP(B730,'ALL DATABASES'!$A$1:$T$2252,10,FALSE)</f>
        <v>0</v>
      </c>
      <c r="F730" s="54" t="str">
        <f ca="1">VLOOKUP(B730,'ALL DATABASES'!$A$1:$T$2252,14,FALSE)</f>
        <v>http://link.springer.com/article/10.1007/s10664-020-09869-w</v>
      </c>
      <c r="G730" s="15" t="str">
        <f ca="1">VLOOKUP(B730,'ALL DATABASES'!$A$1:$T$2252,3,FALSE)</f>
        <v>Article</v>
      </c>
      <c r="H730" s="50" t="str">
        <f ca="1">VLOOKUP(B730,'ALL DATABASES'!$A$1:$T$2252,20,FALSE)</f>
        <v>SPRINGER</v>
      </c>
    </row>
    <row r="731" spans="1:8" ht="12.75" x14ac:dyDescent="0.2">
      <c r="A731">
        <v>730</v>
      </c>
      <c r="B731" s="15" t="str">
        <f ca="1">IFERROR(__xludf.DUMMYFUNCTION("""COMPUTED_VALUE"""),"Evaluating the Use of Semantics for Identifying Task-relevant Textual Information")</f>
        <v>Evaluating the Use of Semantics for Identifying Task-relevant Textual Information</v>
      </c>
      <c r="C731" s="15" t="str">
        <f ca="1">VLOOKUP(B731,'ALL DATABASES'!$A$1:$T$2252,2,FALSE)</f>
        <v>Marques A,Murphy GC</v>
      </c>
      <c r="D731" s="15">
        <f ca="1">VLOOKUP(B731,'ALL DATABASES'!$A$1:$T$2252,5,FALSE)</f>
        <v>2022</v>
      </c>
      <c r="E731" s="15">
        <f ca="1">VLOOKUP(B731,'ALL DATABASES'!$A$1:$T$2252,10,FALSE)</f>
        <v>2022</v>
      </c>
      <c r="F731" s="54" t="str">
        <f ca="1">VLOOKUP(B731,'ALL DATABASES'!$A$1:$T$2252,14,FALSE)</f>
        <v>https://www.scopus.com/inward/record.uri?eid=2-s2.0-85135814472&amp;doi=10.1109%2fSANER53432.2022.00039&amp;partnerID=40&amp;md5=8de238549893d91d497d59d5920f5719;http://dx.doi.org/10.1109/SANER53432.2022.00039</v>
      </c>
      <c r="G731" s="15" t="str">
        <f ca="1">VLOOKUP(B731,'ALL DATABASES'!$A$1:$T$2252,3,FALSE)</f>
        <v>Conference Paper</v>
      </c>
      <c r="H731" s="50" t="str">
        <f ca="1">VLOOKUP(B731,'ALL DATABASES'!$A$1:$T$2252,20,FALSE)</f>
        <v>SCOPUS</v>
      </c>
    </row>
    <row r="732" spans="1:8" ht="12.75" x14ac:dyDescent="0.2">
      <c r="A732">
        <v>731</v>
      </c>
      <c r="B732" s="15" t="str">
        <f ca="1">IFERROR(__xludf.DUMMYFUNCTION("""COMPUTED_VALUE"""),"Evaluation Gaps in Machine Learning Practice")</f>
        <v>Evaluation Gaps in Machine Learning Practice</v>
      </c>
      <c r="C732" s="15" t="str">
        <f ca="1">VLOOKUP(B732,'ALL DATABASES'!$A$1:$T$2252,2,FALSE)</f>
        <v>Hutchinson B,Rostamzadeh N,Greer C,Heller K,Prabhakaran V</v>
      </c>
      <c r="D732" s="15">
        <f ca="1">VLOOKUP(B732,'ALL DATABASES'!$A$1:$T$2252,5,FALSE)</f>
        <v>2022</v>
      </c>
      <c r="E732" s="15">
        <f ca="1">VLOOKUP(B732,'ALL DATABASES'!$A$1:$T$2252,10,FALSE)</f>
        <v>2022</v>
      </c>
      <c r="F732" s="54" t="str">
        <f ca="1">VLOOKUP(B732,'ALL DATABASES'!$A$1:$T$2252,14,FALSE)</f>
        <v>https://www.scopus.com/inward/record.uri?eid=2-s2.0-85132973032&amp;doi=10.1145%2f3531146.3533233&amp;partnerID=40&amp;md5=9e21497ca3771ba71cf57ac1ea6e5296;http://dx.doi.org/10.1145/3531146.3533233</v>
      </c>
      <c r="G732" s="15" t="str">
        <f ca="1">VLOOKUP(B732,'ALL DATABASES'!$A$1:$T$2252,3,FALSE)</f>
        <v>Conference Paper</v>
      </c>
      <c r="H732" s="50" t="str">
        <f ca="1">VLOOKUP(B732,'ALL DATABASES'!$A$1:$T$2252,20,FALSE)</f>
        <v>SCOPUS</v>
      </c>
    </row>
    <row r="733" spans="1:8" ht="12.75" x14ac:dyDescent="0.2">
      <c r="A733">
        <v>732</v>
      </c>
      <c r="B733" s="15" t="str">
        <f ca="1">IFERROR(__xludf.DUMMYFUNCTION("""COMPUTED_VALUE"""),"Everyone Wants to Do the Model Work, Not the Data Work: Data Cascades in High-Stakes AI")</f>
        <v>Everyone Wants to Do the Model Work, Not the Data Work: Data Cascades in High-Stakes AI</v>
      </c>
      <c r="C733" s="15" t="str">
        <f ca="1">VLOOKUP(B733,'ALL DATABASES'!$A$1:$T$2252,2,FALSE)</f>
        <v>Sambasivan N,Kapania S,Highfill H,Akrong D,Paritosh P,Aroyo LM</v>
      </c>
      <c r="D733" s="15">
        <f ca="1">VLOOKUP(B733,'ALL DATABASES'!$A$1:$T$2252,5,FALSE)</f>
        <v>2021</v>
      </c>
      <c r="E733" s="15">
        <f ca="1">VLOOKUP(B733,'ALL DATABASES'!$A$1:$T$2252,10,FALSE)</f>
        <v>2021</v>
      </c>
      <c r="F733" s="54" t="str">
        <f ca="1">VLOOKUP(B733,'ALL DATABASES'!$A$1:$T$2252,14,FALSE)</f>
        <v>https://doi.org/10.1145/3411764.3445518;http://dx.doi.org/10.1145/3411764.3445518</v>
      </c>
      <c r="G733" s="15" t="str">
        <f ca="1">VLOOKUP(B733,'ALL DATABASES'!$A$1:$T$2252,3,FALSE)</f>
        <v>Conference Paper</v>
      </c>
      <c r="H733" s="50" t="str">
        <f ca="1">VLOOKUP(B733,'ALL DATABASES'!$A$1:$T$2252,20,FALSE)</f>
        <v>ACM</v>
      </c>
    </row>
    <row r="734" spans="1:8" ht="12.75" x14ac:dyDescent="0.2">
      <c r="A734">
        <v>733</v>
      </c>
      <c r="B734" s="15" t="str">
        <f ca="1">IFERROR(__xludf.DUMMYFUNCTION("""COMPUTED_VALUE"""),"Evidence-driven Data Requirements Engineering and Data Uncertainty Assessment of Machine Learning-based Safety-critical Systems")</f>
        <v>Evidence-driven Data Requirements Engineering and Data Uncertainty Assessment of Machine Learning-based Safety-critical Systems</v>
      </c>
      <c r="C734" s="15" t="str">
        <f ca="1">VLOOKUP(B734,'ALL DATABASES'!$A$1:$T$2252,2,FALSE)</f>
        <v>Dey S</v>
      </c>
      <c r="D734" s="15">
        <f ca="1">VLOOKUP(B734,'ALL DATABASES'!$A$1:$T$2252,5,FALSE)</f>
        <v>2022</v>
      </c>
      <c r="E734" s="15">
        <f ca="1">VLOOKUP(B734,'ALL DATABASES'!$A$1:$T$2252,10,FALSE)</f>
        <v>2022</v>
      </c>
      <c r="F734" s="54" t="str">
        <f ca="1">VLOOKUP(B734,'ALL DATABASES'!$A$1:$T$2252,14,FALSE)</f>
        <v>https://www.scopus.com/inward/record.uri?eid=2-s2.0-85140993400&amp;doi=10.1109%2fRE54965.2022.00027&amp;partnerID=40&amp;md5=088e3e57c27f23bdf34af1a739a65a79;http://dx.doi.org/10.1109/RE54965.2022.00027</v>
      </c>
      <c r="G734" s="15" t="str">
        <f ca="1">VLOOKUP(B734,'ALL DATABASES'!$A$1:$T$2252,3,FALSE)</f>
        <v>Conference Paper</v>
      </c>
      <c r="H734" s="50" t="str">
        <f ca="1">VLOOKUP(B734,'ALL DATABASES'!$A$1:$T$2252,20,FALSE)</f>
        <v>SCOPUS</v>
      </c>
    </row>
    <row r="735" spans="1:8" ht="12.75" x14ac:dyDescent="0.2">
      <c r="A735">
        <v>734</v>
      </c>
      <c r="B735" s="15" t="str">
        <f ca="1">IFERROR(__xludf.DUMMYFUNCTION("""COMPUTED_VALUE"""),"Evolution of a robust artificial intelligence system: A case study of the association for the advancement of artificial intelligence's AI-Alert")</f>
        <v>Evolution of a robust artificial intelligence system: A case study of the association for the advancement of artificial intelligence's AI-Alert</v>
      </c>
      <c r="C735" s="15" t="str">
        <f ca="1">VLOOKUP(B735,'ALL DATABASES'!$A$1:$T$2252,2,FALSE)</f>
        <v>Eckroth J</v>
      </c>
      <c r="D735" s="15">
        <f ca="1">VLOOKUP(B735,'ALL DATABASES'!$A$1:$T$2252,5,FALSE)</f>
        <v>2020</v>
      </c>
      <c r="E735" s="15">
        <f ca="1">VLOOKUP(B735,'ALL DATABASES'!$A$1:$T$2252,10,FALSE)</f>
        <v>2020</v>
      </c>
      <c r="F735" s="54" t="str">
        <f ca="1">VLOOKUP(B735,'ALL DATABASES'!$A$1:$T$2252,14,FALSE)</f>
        <v>https://www.scopus.com/inward/record.uri?eid=2-s2.0-85101223219&amp;doi=10.1609%2faimag.v41i4.5309&amp;partnerID=40&amp;md5=a9ed703a7b5f5832914788a47107f701;http://dx.doi.org/10.1609/aimag.v41i4.5309</v>
      </c>
      <c r="G735" s="15" t="str">
        <f ca="1">VLOOKUP(B735,'ALL DATABASES'!$A$1:$T$2252,3,FALSE)</f>
        <v>Journal Article</v>
      </c>
      <c r="H735" s="50" t="str">
        <f ca="1">VLOOKUP(B735,'ALL DATABASES'!$A$1:$T$2252,20,FALSE)</f>
        <v>SCOPUS</v>
      </c>
    </row>
    <row r="736" spans="1:8" ht="12.75" x14ac:dyDescent="0.2">
      <c r="A736">
        <v>735</v>
      </c>
      <c r="B736" s="15" t="str">
        <f ca="1">IFERROR(__xludf.DUMMYFUNCTION("""COMPUTED_VALUE"""),"Evolution of software in automated production systems: Challenges and research directions")</f>
        <v>Evolution of software in automated production systems: Challenges and research directions</v>
      </c>
      <c r="C736" s="15" t="str">
        <f ca="1">VLOOKUP(B736,'ALL DATABASES'!$A$1:$T$2252,2,FALSE)</f>
        <v>Vogel-Heuser B,Fay A,Schaefer I,Tichy M</v>
      </c>
      <c r="D736" s="15">
        <f ca="1">VLOOKUP(B736,'ALL DATABASES'!$A$1:$T$2252,5,FALSE)</f>
        <v>2015</v>
      </c>
      <c r="E736" s="15">
        <f ca="1">VLOOKUP(B736,'ALL DATABASES'!$A$1:$T$2252,10,FALSE)</f>
        <v>2015</v>
      </c>
      <c r="F736" s="54" t="str">
        <f ca="1">VLOOKUP(B736,'ALL DATABASES'!$A$1:$T$2252,14,FALSE)</f>
        <v>https://www.sciencedirect.com/science/article/pii/S0164121215001818;http://dx.doi.org/10.1016/j.jss.2015.08.026</v>
      </c>
      <c r="G736" s="15" t="str">
        <f ca="1">VLOOKUP(B736,'ALL DATABASES'!$A$1:$T$2252,3,FALSE)</f>
        <v>Journal Article</v>
      </c>
      <c r="H736" s="50" t="str">
        <f ca="1">VLOOKUP(B736,'ALL DATABASES'!$A$1:$T$2252,20,FALSE)</f>
        <v>SCIENCEDIRECT</v>
      </c>
    </row>
    <row r="737" spans="1:8" ht="12.75" x14ac:dyDescent="0.2">
      <c r="A737">
        <v>736</v>
      </c>
      <c r="B737" s="15" t="str">
        <f ca="1">IFERROR(__xludf.DUMMYFUNCTION("""COMPUTED_VALUE"""),"Evolution of statistical analysis in empirical software engineering research: Current state and steps forward")</f>
        <v>Evolution of statistical analysis in empirical software engineering research: Current state and steps forward</v>
      </c>
      <c r="C737" s="15" t="str">
        <f ca="1">VLOOKUP(B737,'ALL DATABASES'!$A$1:$T$2252,2,FALSE)</f>
        <v>de Oliveira Neto FG,Torkar R,Feldt R,Gren L,Furia CA,Huang Z</v>
      </c>
      <c r="D737" s="15">
        <f ca="1">VLOOKUP(B737,'ALL DATABASES'!$A$1:$T$2252,5,FALSE)</f>
        <v>2019</v>
      </c>
      <c r="E737" s="15">
        <f ca="1">VLOOKUP(B737,'ALL DATABASES'!$A$1:$T$2252,10,FALSE)</f>
        <v>2019</v>
      </c>
      <c r="F737" s="54" t="str">
        <f ca="1">VLOOKUP(B737,'ALL DATABASES'!$A$1:$T$2252,14,FALSE)</f>
        <v>https://www.sciencedirect.com/science/article/pii/S0164121219301451;http://dx.doi.org/10.1016/j.jss.2019.07.002</v>
      </c>
      <c r="G737" s="15" t="str">
        <f ca="1">VLOOKUP(B737,'ALL DATABASES'!$A$1:$T$2252,3,FALSE)</f>
        <v>Journal Article</v>
      </c>
      <c r="H737" s="50" t="str">
        <f ca="1">VLOOKUP(B737,'ALL DATABASES'!$A$1:$T$2252,20,FALSE)</f>
        <v>SCIENCEDIRECT</v>
      </c>
    </row>
    <row r="738" spans="1:8" ht="12.75" x14ac:dyDescent="0.2">
      <c r="A738">
        <v>737</v>
      </c>
      <c r="B738" s="15" t="str">
        <f ca="1">IFERROR(__xludf.DUMMYFUNCTION("""COMPUTED_VALUE"""),"Evolvable SPL management with partial knowledge: an application to anomaly detection in time series")</f>
        <v>Evolvable SPL management with partial knowledge: an application to anomaly detection in time series</v>
      </c>
      <c r="C738" s="15" t="str">
        <f ca="1">VLOOKUP(B738,'ALL DATABASES'!$A$1:$T$2252,2,FALSE)</f>
        <v>Amraoui YE,Blay-Fornarino M,Collet P,Precioso F,Muller J</v>
      </c>
      <c r="D738" s="15">
        <f ca="1">VLOOKUP(B738,'ALL DATABASES'!$A$1:$T$2252,5,FALSE)</f>
        <v>2022</v>
      </c>
      <c r="E738" s="15">
        <f ca="1">VLOOKUP(B738,'ALL DATABASES'!$A$1:$T$2252,10,FALSE)</f>
        <v>2022</v>
      </c>
      <c r="F738" s="54" t="str">
        <f ca="1">VLOOKUP(B738,'ALL DATABASES'!$A$1:$T$2252,14,FALSE)</f>
        <v>https://www.scopus.com/inward/record.uri?eid=2-s2.0-85139171392&amp;doi=10.1145%2f3546932.3547008&amp;partnerID=40&amp;md5=c85b5e51885c4d9efaa5efa08bc88997;http://dx.doi.org/10.1145/3546932.3547008</v>
      </c>
      <c r="G738" s="15" t="str">
        <f ca="1">VLOOKUP(B738,'ALL DATABASES'!$A$1:$T$2252,3,FALSE)</f>
        <v>Conference Paper</v>
      </c>
      <c r="H738" s="50" t="str">
        <f ca="1">VLOOKUP(B738,'ALL DATABASES'!$A$1:$T$2252,20,FALSE)</f>
        <v>SCOPUS</v>
      </c>
    </row>
    <row r="739" spans="1:8" ht="12.75" x14ac:dyDescent="0.2">
      <c r="A739">
        <v>738</v>
      </c>
      <c r="B739" s="15" t="str">
        <f ca="1">IFERROR(__xludf.DUMMYFUNCTION("""COMPUTED_VALUE"""),"Evolving Digital Leadership")</f>
        <v>Evolving Digital Leadership</v>
      </c>
      <c r="C739" s="15" t="str">
        <f ca="1">VLOOKUP(B739,'ALL DATABASES'!$A$1:$T$2252,2,FALSE)</f>
        <v>James Brett</v>
      </c>
      <c r="D739" s="15">
        <f ca="1">VLOOKUP(B739,'ALL DATABASES'!$A$1:$T$2252,5,FALSE)</f>
        <v>2019</v>
      </c>
      <c r="E739" s="15">
        <f ca="1">VLOOKUP(B739,'ALL DATABASES'!$A$1:$T$2252,10,FALSE)</f>
        <v>0</v>
      </c>
      <c r="F739" s="54" t="str">
        <f ca="1">VLOOKUP(B739,'ALL DATABASES'!$A$1:$T$2252,14,FALSE)</f>
        <v>http://link.springer.com/book/10.1007/978-1-4842-3606-2</v>
      </c>
      <c r="G739" s="15" t="str">
        <f ca="1">VLOOKUP(B739,'ALL DATABASES'!$A$1:$T$2252,3,FALSE)</f>
        <v>Book</v>
      </c>
      <c r="H739" s="50" t="str">
        <f ca="1">VLOOKUP(B739,'ALL DATABASES'!$A$1:$T$2252,20,FALSE)</f>
        <v>SPRINGER</v>
      </c>
    </row>
    <row r="740" spans="1:8" ht="12.75" x14ac:dyDescent="0.2">
      <c r="A740">
        <v>739</v>
      </c>
      <c r="B740" s="15" t="str">
        <f ca="1">IFERROR(__xludf.DUMMYFUNCTION("""COMPUTED_VALUE"""),"Evolving software systems")</f>
        <v>Evolving software systems</v>
      </c>
      <c r="C740" s="15" t="str">
        <f ca="1">VLOOKUP(B740,'ALL DATABASES'!$A$1:$T$2252,2,FALSE)</f>
        <v>Mens T,Serebrenik A,Cleve A</v>
      </c>
      <c r="D740" s="15">
        <f ca="1">VLOOKUP(B740,'ALL DATABASES'!$A$1:$T$2252,5,FALSE)</f>
        <v>2014</v>
      </c>
      <c r="E740" s="15">
        <f ca="1">VLOOKUP(B740,'ALL DATABASES'!$A$1:$T$2252,10,FALSE)</f>
        <v>2014</v>
      </c>
      <c r="F740" s="54" t="str">
        <f ca="1">VLOOKUP(B740,'ALL DATABASES'!$A$1:$T$2252,14,FALSE)</f>
        <v>https://www.scopus.com/inward/record.uri?eid=2-s2.0-84961375653&amp;doi=10.1007%2f978-3-642-45398-4&amp;partnerID=40&amp;md5=749625357b37e006de267556d48c57e6;http://dx.doi.org/10.1007/978-3-642-45398-4</v>
      </c>
      <c r="G740" s="15" t="str">
        <f ca="1">VLOOKUP(B740,'ALL DATABASES'!$A$1:$T$2252,3,FALSE)</f>
        <v>Book</v>
      </c>
      <c r="H740" s="50" t="str">
        <f ca="1">VLOOKUP(B740,'ALL DATABASES'!$A$1:$T$2252,20,FALSE)</f>
        <v>SCOPUS</v>
      </c>
    </row>
    <row r="741" spans="1:8" ht="12.75" x14ac:dyDescent="0.2">
      <c r="A741">
        <v>740</v>
      </c>
      <c r="B741" s="15" t="str">
        <f ca="1">IFERROR(__xludf.DUMMYFUNCTION("""COMPUTED_VALUE"""),"Examining the reuse potentials of IoT application frameworks")</f>
        <v>Examining the reuse potentials of IoT application frameworks</v>
      </c>
      <c r="C741" s="15" t="str">
        <f ca="1">VLOOKUP(B741,'ALL DATABASES'!$A$1:$T$2252,2,FALSE)</f>
        <v>Smiari P,Bibi S,Feitosa D</v>
      </c>
      <c r="D741" s="15">
        <f ca="1">VLOOKUP(B741,'ALL DATABASES'!$A$1:$T$2252,5,FALSE)</f>
        <v>2020</v>
      </c>
      <c r="E741" s="15">
        <f ca="1">VLOOKUP(B741,'ALL DATABASES'!$A$1:$T$2252,10,FALSE)</f>
        <v>2020</v>
      </c>
      <c r="F741" s="54" t="str">
        <f ca="1">VLOOKUP(B741,'ALL DATABASES'!$A$1:$T$2252,14,FALSE)</f>
        <v>https://www.scopus.com/inward/record.uri?eid=2-s2.0-85087202176&amp;doi=10.1016%2fj.jss.2020.110706&amp;partnerID=40&amp;md5=1ff619129eeb34044e8c0f7464da0e1a;http://dx.doi.org/10.1016/j.jss.2020.110706</v>
      </c>
      <c r="G741" s="15" t="str">
        <f ca="1">VLOOKUP(B741,'ALL DATABASES'!$A$1:$T$2252,3,FALSE)</f>
        <v>Journal Article</v>
      </c>
      <c r="H741" s="50" t="str">
        <f ca="1">VLOOKUP(B741,'ALL DATABASES'!$A$1:$T$2252,20,FALSE)</f>
        <v>SCOPUS</v>
      </c>
    </row>
    <row r="742" spans="1:8" ht="12.75" x14ac:dyDescent="0.2">
      <c r="A742">
        <v>741</v>
      </c>
      <c r="B742" s="15" t="str">
        <f ca="1">IFERROR(__xludf.DUMMYFUNCTION("""COMPUTED_VALUE"""),"Examples of Measures in Measurement Systems")</f>
        <v>Examples of Measures in Measurement Systems</v>
      </c>
      <c r="C742" s="15" t="str">
        <f ca="1">VLOOKUP(B742,'ALL DATABASES'!$A$1:$T$2252,2,FALSE)</f>
        <v>Miroslaw StaronWilhelm Meding</v>
      </c>
      <c r="D742" s="15">
        <f ca="1">VLOOKUP(B742,'ALL DATABASES'!$A$1:$T$2252,5,FALSE)</f>
        <v>2018</v>
      </c>
      <c r="E742" s="15">
        <f ca="1">VLOOKUP(B742,'ALL DATABASES'!$A$1:$T$2252,10,FALSE)</f>
        <v>0</v>
      </c>
      <c r="F742" s="54" t="str">
        <f ca="1">VLOOKUP(B742,'ALL DATABASES'!$A$1:$T$2252,14,FALSE)</f>
        <v>http://link.springer.com/chapter/10.1007/978-3-319-91836-5_6</v>
      </c>
      <c r="G742" s="15" t="str">
        <f ca="1">VLOOKUP(B742,'ALL DATABASES'!$A$1:$T$2252,3,FALSE)</f>
        <v>Chapter</v>
      </c>
      <c r="H742" s="50" t="str">
        <f ca="1">VLOOKUP(B742,'ALL DATABASES'!$A$1:$T$2252,20,FALSE)</f>
        <v>SPRINGER</v>
      </c>
    </row>
    <row r="743" spans="1:8" ht="12.75" x14ac:dyDescent="0.2">
      <c r="A743">
        <v>742</v>
      </c>
      <c r="B743" s="15" t="str">
        <f ca="1">IFERROR(__xludf.DUMMYFUNCTION("""COMPUTED_VALUE"""),"Experience Report: Log Mining Using Natural Language Processing and Application to Anomaly Detection")</f>
        <v>Experience Report: Log Mining Using Natural Language Processing and Application to Anomaly Detection</v>
      </c>
      <c r="C743" s="15" t="str">
        <f ca="1">VLOOKUP(B743,'ALL DATABASES'!$A$1:$T$2252,2,FALSE)</f>
        <v>Bertero C,Roy M,Sauvanaud C,Tredan G</v>
      </c>
      <c r="D743" s="15">
        <f ca="1">VLOOKUP(B743,'ALL DATABASES'!$A$1:$T$2252,5,FALSE)</f>
        <v>2017</v>
      </c>
      <c r="E743" s="15">
        <f ca="1">VLOOKUP(B743,'ALL DATABASES'!$A$1:$T$2252,10,FALSE)</f>
        <v>2017</v>
      </c>
      <c r="F743" s="54" t="str">
        <f ca="1">VLOOKUP(B743,'ALL DATABASES'!$A$1:$T$2252,14,FALSE)</f>
        <v>https://www.scopus.com/inward/record.uri?eid=2-s2.0-85040782895&amp;doi=10.1109%2fISSRE.2017.43&amp;partnerID=40&amp;md5=56b04acac5fa471e025030e5aa70d5fb;http://dx.doi.org/10.1109/ISSRE.2017.43</v>
      </c>
      <c r="G743" s="15" t="str">
        <f ca="1">VLOOKUP(B743,'ALL DATABASES'!$A$1:$T$2252,3,FALSE)</f>
        <v>Conference Paper</v>
      </c>
      <c r="H743" s="50" t="str">
        <f ca="1">VLOOKUP(B743,'ALL DATABASES'!$A$1:$T$2252,20,FALSE)</f>
        <v>SCOPUS</v>
      </c>
    </row>
    <row r="744" spans="1:8" ht="12.75" x14ac:dyDescent="0.2">
      <c r="A744">
        <v>743</v>
      </c>
      <c r="B744" s="15" t="str">
        <f ca="1">IFERROR(__xludf.DUMMYFUNCTION("""COMPUTED_VALUE"""),"Experiences with technical debt and management strategies in production systems engineering")</f>
        <v>Experiences with technical debt and management strategies in production systems engineering</v>
      </c>
      <c r="C744" s="15" t="str">
        <f ca="1">VLOOKUP(B744,'ALL DATABASES'!$A$1:$T$2252,2,FALSE)</f>
        <v>Waltersdorfer L,Rinker F,Kathrein L,Biffl S</v>
      </c>
      <c r="D744" s="15">
        <f ca="1">VLOOKUP(B744,'ALL DATABASES'!$A$1:$T$2252,5,FALSE)</f>
        <v>2020</v>
      </c>
      <c r="E744" s="15">
        <f ca="1">VLOOKUP(B744,'ALL DATABASES'!$A$1:$T$2252,10,FALSE)</f>
        <v>2020</v>
      </c>
      <c r="F744" s="54" t="str">
        <f ca="1">VLOOKUP(B744,'ALL DATABASES'!$A$1:$T$2252,14,FALSE)</f>
        <v>https://www.scopus.com/inward/record.uri?eid=2-s2.0-85093120799&amp;doi=10.1145%2f3387906.3388627&amp;partnerID=40&amp;md5=65a27734e8572dcef49f552620f72fda;http://dx.doi.org/10.1145/3387906.3388627</v>
      </c>
      <c r="G744" s="15" t="str">
        <f ca="1">VLOOKUP(B744,'ALL DATABASES'!$A$1:$T$2252,3,FALSE)</f>
        <v>Conference Paper</v>
      </c>
      <c r="H744" s="50" t="str">
        <f ca="1">VLOOKUP(B744,'ALL DATABASES'!$A$1:$T$2252,20,FALSE)</f>
        <v>SCOPUS</v>
      </c>
    </row>
    <row r="745" spans="1:8" ht="12.75" x14ac:dyDescent="0.2">
      <c r="A745">
        <v>744</v>
      </c>
      <c r="B745" s="15" t="str">
        <f ca="1">IFERROR(__xludf.DUMMYFUNCTION("""COMPUTED_VALUE"""),"Explainable AI Driven Applications for Patient Care and Treatment")</f>
        <v>Explainable AI Driven Applications for Patient Care and Treatment</v>
      </c>
      <c r="C745" s="15" t="str">
        <f ca="1">VLOOKUP(B745,'ALL DATABASES'!$A$1:$T$2252,2,FALSE)</f>
        <v>Mukta SharmaAmit Kumar GoelPriyank Singhal</v>
      </c>
      <c r="D745" s="15">
        <f ca="1">VLOOKUP(B745,'ALL DATABASES'!$A$1:$T$2252,5,FALSE)</f>
        <v>2023</v>
      </c>
      <c r="E745" s="15">
        <f ca="1">VLOOKUP(B745,'ALL DATABASES'!$A$1:$T$2252,10,FALSE)</f>
        <v>0</v>
      </c>
      <c r="F745" s="54" t="str">
        <f ca="1">VLOOKUP(B745,'ALL DATABASES'!$A$1:$T$2252,14,FALSE)</f>
        <v>http://link.springer.com/chapter/10.1007/978-3-031-12807-3_7</v>
      </c>
      <c r="G745" s="15" t="str">
        <f ca="1">VLOOKUP(B745,'ALL DATABASES'!$A$1:$T$2252,3,FALSE)</f>
        <v>Chapter</v>
      </c>
      <c r="H745" s="50" t="str">
        <f ca="1">VLOOKUP(B745,'ALL DATABASES'!$A$1:$T$2252,20,FALSE)</f>
        <v>SPRINGER</v>
      </c>
    </row>
    <row r="746" spans="1:8" ht="12.75" x14ac:dyDescent="0.2">
      <c r="A746">
        <v>745</v>
      </c>
      <c r="B746" s="15" t="str">
        <f ca="1">IFERROR(__xludf.DUMMYFUNCTION("""COMPUTED_VALUE"""),"Explainable AI: Foundations, Methodologies and Applications")</f>
        <v>Explainable AI: Foundations, Methodologies and Applications</v>
      </c>
      <c r="C746" s="15" t="str">
        <f ca="1">VLOOKUP(B746,'ALL DATABASES'!$A$1:$T$2252,2,FALSE)</f>
        <v>Mayuri MehtaVasile PaladeIndranath Chatterjee</v>
      </c>
      <c r="D746" s="15">
        <f ca="1">VLOOKUP(B746,'ALL DATABASES'!$A$1:$T$2252,5,FALSE)</f>
        <v>2023</v>
      </c>
      <c r="E746" s="15">
        <f ca="1">VLOOKUP(B746,'ALL DATABASES'!$A$1:$T$2252,10,FALSE)</f>
        <v>0</v>
      </c>
      <c r="F746" s="54" t="str">
        <f ca="1">VLOOKUP(B746,'ALL DATABASES'!$A$1:$T$2252,14,FALSE)</f>
        <v>http://link.springer.com/book/10.1007/978-3-031-12807-3</v>
      </c>
      <c r="G746" s="15" t="str">
        <f ca="1">VLOOKUP(B746,'ALL DATABASES'!$A$1:$T$2252,3,FALSE)</f>
        <v>Book</v>
      </c>
      <c r="H746" s="50" t="str">
        <f ca="1">VLOOKUP(B746,'ALL DATABASES'!$A$1:$T$2252,20,FALSE)</f>
        <v>SPRINGER</v>
      </c>
    </row>
    <row r="747" spans="1:8" ht="12.75" x14ac:dyDescent="0.2">
      <c r="A747">
        <v>746</v>
      </c>
      <c r="B747" s="15" t="str">
        <f ca="1">IFERROR(__xludf.DUMMYFUNCTION("""COMPUTED_VALUE"""),"Explainable and Transparent AI and Multi-Agent Systems")</f>
        <v>Explainable and Transparent AI and Multi-Agent Systems</v>
      </c>
      <c r="C747" s="15" t="str">
        <f ca="1">VLOOKUP(B747,'ALL DATABASES'!$A$1:$T$2252,2,FALSE)</f>
        <v>Dr. Davide CalvaresiAmro NajjarProf. Michael WinikoffKary FrÃ¤mling</v>
      </c>
      <c r="D747" s="15">
        <f ca="1">VLOOKUP(B747,'ALL DATABASES'!$A$1:$T$2252,5,FALSE)</f>
        <v>2021</v>
      </c>
      <c r="E747" s="15">
        <f ca="1">VLOOKUP(B747,'ALL DATABASES'!$A$1:$T$2252,10,FALSE)</f>
        <v>0</v>
      </c>
      <c r="F747" s="54" t="str">
        <f ca="1">VLOOKUP(B747,'ALL DATABASES'!$A$1:$T$2252,14,FALSE)</f>
        <v>http://link.springer.com/book/10.1007/978-3-030-82017-6</v>
      </c>
      <c r="G747" s="15" t="str">
        <f ca="1">VLOOKUP(B747,'ALL DATABASES'!$A$1:$T$2252,3,FALSE)</f>
        <v>Book</v>
      </c>
      <c r="H747" s="50" t="str">
        <f ca="1">VLOOKUP(B747,'ALL DATABASES'!$A$1:$T$2252,20,FALSE)</f>
        <v>SPRINGER</v>
      </c>
    </row>
    <row r="748" spans="1:8" ht="12.75" x14ac:dyDescent="0.2">
      <c r="A748">
        <v>747</v>
      </c>
      <c r="B748" s="15" t="str">
        <f ca="1">IFERROR(__xludf.DUMMYFUNCTION("""COMPUTED_VALUE"""),"Explainable artificial intelligence requirements for safe, intelligent robots")</f>
        <v>Explainable artificial intelligence requirements for safe, intelligent robots</v>
      </c>
      <c r="C748" s="15" t="str">
        <f ca="1">VLOOKUP(B748,'ALL DATABASES'!$A$1:$T$2252,2,FALSE)</f>
        <v>Sheh R</v>
      </c>
      <c r="D748" s="15">
        <f ca="1">VLOOKUP(B748,'ALL DATABASES'!$A$1:$T$2252,5,FALSE)</f>
        <v>2020</v>
      </c>
      <c r="E748" s="15">
        <f ca="1">VLOOKUP(B748,'ALL DATABASES'!$A$1:$T$2252,10,FALSE)</f>
        <v>2020</v>
      </c>
      <c r="F748" s="54" t="str">
        <f ca="1">VLOOKUP(B748,'ALL DATABASES'!$A$1:$T$2252,14,FALSE)</f>
        <v>https://www.scopus.com/inward/record.uri?eid=2-s2.0-85106463739&amp;doi=10.1109%2fISR50024.2021.9419498&amp;partnerID=40&amp;md5=ec2a8dfb34997476917eda005a1cd794;http://dx.doi.org/10.1109/ISR50024.2021.9419498</v>
      </c>
      <c r="G748" s="15" t="str">
        <f ca="1">VLOOKUP(B748,'ALL DATABASES'!$A$1:$T$2252,3,FALSE)</f>
        <v>Conference Paper</v>
      </c>
      <c r="H748" s="50" t="str">
        <f ca="1">VLOOKUP(B748,'ALL DATABASES'!$A$1:$T$2252,20,FALSE)</f>
        <v>SCOPUS</v>
      </c>
    </row>
    <row r="749" spans="1:8" ht="12.75" x14ac:dyDescent="0.2">
      <c r="A749">
        <v>748</v>
      </c>
      <c r="B749" s="15" t="str">
        <f ca="1">IFERROR(__xludf.DUMMYFUNCTION("""COMPUTED_VALUE"""),"Explainable artificial intelligence: a comprehensive review")</f>
        <v>Explainable artificial intelligence: a comprehensive review</v>
      </c>
      <c r="C749" s="15" t="str">
        <f ca="1">VLOOKUP(B749,'ALL DATABASES'!$A$1:$T$2252,2,FALSE)</f>
        <v>Minh D,Wang HX,Li YF,Nguyen TN</v>
      </c>
      <c r="D749" s="15">
        <f ca="1">VLOOKUP(B749,'ALL DATABASES'!$A$1:$T$2252,5,FALSE)</f>
        <v>2022</v>
      </c>
      <c r="E749" s="15">
        <f ca="1">VLOOKUP(B749,'ALL DATABASES'!$A$1:$T$2252,10,FALSE)</f>
        <v>2022</v>
      </c>
      <c r="F749" s="54" t="str">
        <f ca="1">VLOOKUP(B749,'ALL DATABASES'!$A$1:$T$2252,14,FALSE)</f>
        <v>https://www.scopus.com/inward/record.uri?eid=2-s2.0-85119363874&amp;doi=10.1007%2fs10462-021-10088-y&amp;partnerID=40&amp;md5=b0350e42829fc11e87c2b049ced10642;http://dx.doi.org/10.1007/s10462-021-10088-y</v>
      </c>
      <c r="G749" s="15" t="str">
        <f ca="1">VLOOKUP(B749,'ALL DATABASES'!$A$1:$T$2252,3,FALSE)</f>
        <v>Journal Article</v>
      </c>
      <c r="H749" s="50" t="str">
        <f ca="1">VLOOKUP(B749,'ALL DATABASES'!$A$1:$T$2252,20,FALSE)</f>
        <v>SCOPUS</v>
      </c>
    </row>
    <row r="750" spans="1:8" ht="12.75" x14ac:dyDescent="0.2">
      <c r="A750">
        <v>749</v>
      </c>
      <c r="B750" s="15" t="str">
        <f ca="1">IFERROR(__xludf.DUMMYFUNCTION("""COMPUTED_VALUE"""),"Exploiting gated graph neural network for detecting and explaining self-admitted technical debts")</f>
        <v>Exploiting gated graph neural network for detecting and explaining self-admitted technical debts</v>
      </c>
      <c r="C750" s="15" t="str">
        <f ca="1">VLOOKUP(B750,'ALL DATABASES'!$A$1:$T$2252,2,FALSE)</f>
        <v>Yu J,Zhao K,Liu J,Liu X,Xu Z,Wang X</v>
      </c>
      <c r="D750" s="15">
        <f ca="1">VLOOKUP(B750,'ALL DATABASES'!$A$1:$T$2252,5,FALSE)</f>
        <v>2022</v>
      </c>
      <c r="E750" s="15">
        <f ca="1">VLOOKUP(B750,'ALL DATABASES'!$A$1:$T$2252,10,FALSE)</f>
        <v>2022</v>
      </c>
      <c r="F750" s="54" t="str">
        <f ca="1">VLOOKUP(B750,'ALL DATABASES'!$A$1:$T$2252,14,FALSE)</f>
        <v>https://www.sciencedirect.com/science/article/pii/S0164121222000036;http://dx.doi.org/10.1016/j.jss.2022.111219</v>
      </c>
      <c r="G750" s="15" t="str">
        <f ca="1">VLOOKUP(B750,'ALL DATABASES'!$A$1:$T$2252,3,FALSE)</f>
        <v>Journal Article</v>
      </c>
      <c r="H750" s="50" t="str">
        <f ca="1">VLOOKUP(B750,'ALL DATABASES'!$A$1:$T$2252,20,FALSE)</f>
        <v>SCIENCEDIRECT</v>
      </c>
    </row>
    <row r="751" spans="1:8" ht="12.75" x14ac:dyDescent="0.2">
      <c r="A751">
        <v>750</v>
      </c>
      <c r="B751" s="15" t="str">
        <f ca="1">IFERROR(__xludf.DUMMYFUNCTION("""COMPUTED_VALUE"""),"Exploiting variability in the design of genetic algorithms to generate telerehabilitation activities")</f>
        <v>Exploiting variability in the design of genetic algorithms to generate telerehabilitation activities</v>
      </c>
      <c r="C751" s="15" t="str">
        <f ca="1">VLOOKUP(B751,'ALL DATABASES'!$A$1:$T$2252,2,FALSE)</f>
        <v>Moya A,Navarro E,Jaén J,López-Jaquero V,Capilla R</v>
      </c>
      <c r="D751" s="15">
        <f ca="1">VLOOKUP(B751,'ALL DATABASES'!$A$1:$T$2252,5,FALSE)</f>
        <v>2022</v>
      </c>
      <c r="E751" s="15">
        <f ca="1">VLOOKUP(B751,'ALL DATABASES'!$A$1:$T$2252,10,FALSE)</f>
        <v>2022</v>
      </c>
      <c r="F751" s="54" t="str">
        <f ca="1">VLOOKUP(B751,'ALL DATABASES'!$A$1:$T$2252,14,FALSE)</f>
        <v>https://www.sciencedirect.com/science/article/pii/S1568494622000187;http://dx.doi.org/10.1016/j.asoc.2022.108441</v>
      </c>
      <c r="G751" s="15" t="str">
        <f ca="1">VLOOKUP(B751,'ALL DATABASES'!$A$1:$T$2252,3,FALSE)</f>
        <v>Journal Article</v>
      </c>
      <c r="H751" s="50" t="str">
        <f ca="1">VLOOKUP(B751,'ALL DATABASES'!$A$1:$T$2252,20,FALSE)</f>
        <v>SCIENCEDIRECT</v>
      </c>
    </row>
    <row r="752" spans="1:8" ht="12.75" x14ac:dyDescent="0.2">
      <c r="A752">
        <v>751</v>
      </c>
      <c r="B752" s="15" t="str">
        <f ca="1">IFERROR(__xludf.DUMMYFUNCTION("""COMPUTED_VALUE"""),"Exploration and Explanation in Computational Notebooks")</f>
        <v>Exploration and Explanation in Computational Notebooks</v>
      </c>
      <c r="C752" s="15" t="str">
        <f ca="1">VLOOKUP(B752,'ALL DATABASES'!$A$1:$T$2252,2,FALSE)</f>
        <v>Rule A,Tabard A,Hollan JD</v>
      </c>
      <c r="D752" s="15">
        <f ca="1">VLOOKUP(B752,'ALL DATABASES'!$A$1:$T$2252,5,FALSE)</f>
        <v>2018</v>
      </c>
      <c r="E752" s="15">
        <f ca="1">VLOOKUP(B752,'ALL DATABASES'!$A$1:$T$2252,10,FALSE)</f>
        <v>2018</v>
      </c>
      <c r="F752" s="54" t="str">
        <f ca="1">VLOOKUP(B752,'ALL DATABASES'!$A$1:$T$2252,14,FALSE)</f>
        <v>https://doi.org/10.1145/3173574.3173606;http://dx.doi.org/10.1145/3173574.3173606</v>
      </c>
      <c r="G752" s="15" t="str">
        <f ca="1">VLOOKUP(B752,'ALL DATABASES'!$A$1:$T$2252,3,FALSE)</f>
        <v>Conference Paper</v>
      </c>
      <c r="H752" s="50" t="str">
        <f ca="1">VLOOKUP(B752,'ALL DATABASES'!$A$1:$T$2252,20,FALSE)</f>
        <v>ACM</v>
      </c>
    </row>
    <row r="753" spans="1:8" ht="12.75" x14ac:dyDescent="0.2">
      <c r="A753">
        <v>752</v>
      </c>
      <c r="B753" s="15" t="str">
        <f ca="1">IFERROR(__xludf.DUMMYFUNCTION("""COMPUTED_VALUE"""),"Exploratory study of the impact of project domain and size category on the detection of the God class design smell")</f>
        <v>Exploratory study of the impact of project domain and size category on the detection of the God class design smell</v>
      </c>
      <c r="C753" s="15" t="str">
        <f ca="1">VLOOKUP(B753,'ALL DATABASES'!$A$1:$T$2252,2,FALSE)</f>
        <v>Alkharabsheh K,Crespo Y,Fernández-Delgado M,Viqueira JR,Taboada JA</v>
      </c>
      <c r="D753" s="15">
        <f ca="1">VLOOKUP(B753,'ALL DATABASES'!$A$1:$T$2252,5,FALSE)</f>
        <v>2021</v>
      </c>
      <c r="E753" s="15">
        <f ca="1">VLOOKUP(B753,'ALL DATABASES'!$A$1:$T$2252,10,FALSE)</f>
        <v>2021</v>
      </c>
      <c r="F753" s="54" t="str">
        <f ca="1">VLOOKUP(B753,'ALL DATABASES'!$A$1:$T$2252,14,FALSE)</f>
        <v>https://www.scopus.com/inward/record.uri?eid=2-s2.0-85103939999&amp;doi=10.1007%2fs11219-021-09550-5&amp;partnerID=40&amp;md5=0be53989d7e7b85b8a4e9cea53262e26;http://dx.doi.org/10.1007/s11219-021-09550-5</v>
      </c>
      <c r="G753" s="15" t="str">
        <f ca="1">VLOOKUP(B753,'ALL DATABASES'!$A$1:$T$2252,3,FALSE)</f>
        <v>Journal Article</v>
      </c>
      <c r="H753" s="50" t="str">
        <f ca="1">VLOOKUP(B753,'ALL DATABASES'!$A$1:$T$2252,20,FALSE)</f>
        <v>SCOPUS</v>
      </c>
    </row>
    <row r="754" spans="1:8" ht="12.75" x14ac:dyDescent="0.2">
      <c r="A754">
        <v>753</v>
      </c>
      <c r="B754" s="15" t="str">
        <f ca="1">IFERROR(__xludf.DUMMYFUNCTION("""COMPUTED_VALUE"""),"Exploring architecture blueprints for prioritizing critical code anomalies: Experiences and tool support")</f>
        <v>Exploring architecture blueprints for prioritizing critical code anomalies: Experiences and tool support</v>
      </c>
      <c r="C754" s="15" t="str">
        <f ca="1">VLOOKUP(B754,'ALL DATABASES'!$A$1:$T$2252,2,FALSE)</f>
        <v>Guimarães E,Vidal S,Garcia A,Diaz Pace JA,Marcos C</v>
      </c>
      <c r="D754" s="15">
        <f ca="1">VLOOKUP(B754,'ALL DATABASES'!$A$1:$T$2252,5,FALSE)</f>
        <v>2018</v>
      </c>
      <c r="E754" s="15">
        <f ca="1">VLOOKUP(B754,'ALL DATABASES'!$A$1:$T$2252,10,FALSE)</f>
        <v>2018</v>
      </c>
      <c r="F754" s="54" t="str">
        <f ca="1">VLOOKUP(B754,'ALL DATABASES'!$A$1:$T$2252,14,FALSE)</f>
        <v>https://www.scopus.com/inward/record.uri?eid=2-s2.0-85041236239&amp;doi=10.1002%2fspe.2563&amp;partnerID=40&amp;md5=3257b0ac4f4ff1b978bb911d18bb5d23;http://dx.doi.org/10.1002/spe.2563</v>
      </c>
      <c r="G754" s="15" t="str">
        <f ca="1">VLOOKUP(B754,'ALL DATABASES'!$A$1:$T$2252,3,FALSE)</f>
        <v>Journal Article</v>
      </c>
      <c r="H754" s="50" t="str">
        <f ca="1">VLOOKUP(B754,'ALL DATABASES'!$A$1:$T$2252,20,FALSE)</f>
        <v>SCOPUS</v>
      </c>
    </row>
    <row r="755" spans="1:8" ht="12.75" x14ac:dyDescent="0.2">
      <c r="A755">
        <v>754</v>
      </c>
      <c r="B755" s="15" t="str">
        <f ca="1">IFERROR(__xludf.DUMMYFUNCTION("""COMPUTED_VALUE"""),"Exploring Community Smells in Open-Source: An Automated Approach")</f>
        <v>Exploring Community Smells in Open-Source: An Automated Approach</v>
      </c>
      <c r="C755" s="15" t="str">
        <f ca="1">VLOOKUP(B755,'ALL DATABASES'!$A$1:$T$2252,2,FALSE)</f>
        <v>Tamburri DA,Palomba F,Kazman R</v>
      </c>
      <c r="D755" s="15">
        <f ca="1">VLOOKUP(B755,'ALL DATABASES'!$A$1:$T$2252,5,FALSE)</f>
        <v>2021</v>
      </c>
      <c r="E755" s="55">
        <f ca="1">VLOOKUP(B755,'ALL DATABASES'!$A$1:$T$2252,10,FALSE)</f>
        <v>44256</v>
      </c>
      <c r="F755" s="54" t="str">
        <f ca="1">VLOOKUP(B755,'ALL DATABASES'!$A$1:$T$2252,14,FALSE)</f>
        <v>http://dx.doi.org/10.1109/TSE.2019.2901490</v>
      </c>
      <c r="G755" s="15" t="str">
        <f ca="1">VLOOKUP(B755,'ALL DATABASES'!$A$1:$T$2252,3,FALSE)</f>
        <v>Journal Article</v>
      </c>
      <c r="H755" s="50" t="str">
        <f ca="1">VLOOKUP(B755,'ALL DATABASES'!$A$1:$T$2252,20,FALSE)</f>
        <v>IEEE</v>
      </c>
    </row>
    <row r="756" spans="1:8" ht="12.75" x14ac:dyDescent="0.2">
      <c r="A756">
        <v>755</v>
      </c>
      <c r="B756" s="15" t="str">
        <f ca="1">IFERROR(__xludf.DUMMYFUNCTION("""COMPUTED_VALUE"""),"Exploring Design smells for smell-based defect prediction")</f>
        <v>Exploring Design smells for smell-based defect prediction</v>
      </c>
      <c r="C756" s="15" t="str">
        <f ca="1">VLOOKUP(B756,'ALL DATABASES'!$A$1:$T$2252,2,FALSE)</f>
        <v>Sotto-Mayor B,Elmishali A,Kalech M,Abreu R</v>
      </c>
      <c r="D756" s="15">
        <f ca="1">VLOOKUP(B756,'ALL DATABASES'!$A$1:$T$2252,5,FALSE)</f>
        <v>2022</v>
      </c>
      <c r="E756" s="15">
        <f ca="1">VLOOKUP(B756,'ALL DATABASES'!$A$1:$T$2252,10,FALSE)</f>
        <v>2022</v>
      </c>
      <c r="F756" s="54" t="str">
        <f ca="1">VLOOKUP(B756,'ALL DATABASES'!$A$1:$T$2252,14,FALSE)</f>
        <v>https://www.sciencedirect.com/science/article/pii/S095219762200313X;http://dx.doi.org/10.1016/j.engappai.2022.105240</v>
      </c>
      <c r="G756" s="15" t="str">
        <f ca="1">VLOOKUP(B756,'ALL DATABASES'!$A$1:$T$2252,3,FALSE)</f>
        <v>Journal Article</v>
      </c>
      <c r="H756" s="50" t="str">
        <f ca="1">VLOOKUP(B756,'ALL DATABASES'!$A$1:$T$2252,20,FALSE)</f>
        <v>SCIENCEDIRECT</v>
      </c>
    </row>
    <row r="757" spans="1:8" ht="12.75" x14ac:dyDescent="0.2">
      <c r="A757">
        <v>756</v>
      </c>
      <c r="B757" s="15" t="str">
        <f ca="1">IFERROR(__xludf.DUMMYFUNCTION("""COMPUTED_VALUE"""),"Exploring ML testing in practice - Lessons learned from an interactive rapid review with Axis Communications")</f>
        <v>Exploring ML testing in practice - Lessons learned from an interactive rapid review with Axis Communications</v>
      </c>
      <c r="C757" s="15" t="str">
        <f ca="1">VLOOKUP(B757,'ALL DATABASES'!$A$1:$T$2252,2,FALSE)</f>
        <v>Song Q,Borg M,Engstrom E,Ardo H,Rico S</v>
      </c>
      <c r="D757" s="15">
        <f ca="1">VLOOKUP(B757,'ALL DATABASES'!$A$1:$T$2252,5,FALSE)</f>
        <v>2022</v>
      </c>
      <c r="E757" s="15">
        <f ca="1">VLOOKUP(B757,'ALL DATABASES'!$A$1:$T$2252,10,FALSE)</f>
        <v>2022</v>
      </c>
      <c r="F757" s="54" t="str">
        <f ca="1">VLOOKUP(B757,'ALL DATABASES'!$A$1:$T$2252,14,FALSE)</f>
        <v>https://www.scopus.com/inward/record.uri?eid=2-s2.0-85128924924&amp;doi=10.1145%2f3522664.3528596&amp;partnerID=40&amp;md5=b19b71e3e173b3c989c17c49db592374;http://dx.doi.org/10.1145/3522664.3528596</v>
      </c>
      <c r="G757" s="15" t="str">
        <f ca="1">VLOOKUP(B757,'ALL DATABASES'!$A$1:$T$2252,3,FALSE)</f>
        <v>Conference Paper</v>
      </c>
      <c r="H757" s="50" t="str">
        <f ca="1">VLOOKUP(B757,'ALL DATABASES'!$A$1:$T$2252,20,FALSE)</f>
        <v>SCOPUS</v>
      </c>
    </row>
    <row r="758" spans="1:8" ht="12.75" x14ac:dyDescent="0.2">
      <c r="A758">
        <v>757</v>
      </c>
      <c r="B758" s="15" t="str">
        <f ca="1">IFERROR(__xludf.DUMMYFUNCTION("""COMPUTED_VALUE"""),"Exploring multi-programming-language commits and their impacts on software quality: An empirical study on Apache projects")</f>
        <v>Exploring multi-programming-language commits and their impacts on software quality: An empirical study on Apache projects</v>
      </c>
      <c r="C758" s="15" t="str">
        <f ca="1">VLOOKUP(B758,'ALL DATABASES'!$A$1:$T$2252,2,FALSE)</f>
        <v>Li Z,Qi X,Yu Q,Liang P,Mo R,Yang C</v>
      </c>
      <c r="D758" s="15">
        <f ca="1">VLOOKUP(B758,'ALL DATABASES'!$A$1:$T$2252,5,FALSE)</f>
        <v>2022</v>
      </c>
      <c r="E758" s="15">
        <f ca="1">VLOOKUP(B758,'ALL DATABASES'!$A$1:$T$2252,10,FALSE)</f>
        <v>2022</v>
      </c>
      <c r="F758" s="54" t="str">
        <f ca="1">VLOOKUP(B758,'ALL DATABASES'!$A$1:$T$2252,14,FALSE)</f>
        <v>https://www.sciencedirect.com/science/article/pii/S0164121222001844;http://dx.doi.org/10.1016/j.jss.2022.111508</v>
      </c>
      <c r="G758" s="15" t="str">
        <f ca="1">VLOOKUP(B758,'ALL DATABASES'!$A$1:$T$2252,3,FALSE)</f>
        <v>Journal Article</v>
      </c>
      <c r="H758" s="50" t="str">
        <f ca="1">VLOOKUP(B758,'ALL DATABASES'!$A$1:$T$2252,20,FALSE)</f>
        <v>SCIENCEDIRECT</v>
      </c>
    </row>
    <row r="759" spans="1:8" ht="12.75" x14ac:dyDescent="0.2">
      <c r="A759">
        <v>758</v>
      </c>
      <c r="B759" s="15" t="str">
        <f ca="1">IFERROR(__xludf.DUMMYFUNCTION("""COMPUTED_VALUE"""),"Exploring the Assessment List for Trustworthy AI in the Context of Advanced Driver-Assistance Systems")</f>
        <v>Exploring the Assessment List for Trustworthy AI in the Context of Advanced Driver-Assistance Systems</v>
      </c>
      <c r="C759" s="15" t="str">
        <f ca="1">VLOOKUP(B759,'ALL DATABASES'!$A$1:$T$2252,2,FALSE)</f>
        <v>Borg M,Bronson J,Christensson L,Olsson F,Lennartsson O,Sonnsjo E,Ebabi H,Karsberg M</v>
      </c>
      <c r="D759" s="15">
        <f ca="1">VLOOKUP(B759,'ALL DATABASES'!$A$1:$T$2252,5,FALSE)</f>
        <v>2021</v>
      </c>
      <c r="E759" s="15">
        <f ca="1">VLOOKUP(B759,'ALL DATABASES'!$A$1:$T$2252,10,FALSE)</f>
        <v>2021</v>
      </c>
      <c r="F759" s="54" t="str">
        <f ca="1">VLOOKUP(B759,'ALL DATABASES'!$A$1:$T$2252,14,FALSE)</f>
        <v>https://www.scopus.com/inward/record.uri?eid=2-s2.0-85113233819&amp;doi=10.1109%2fSEthics52569.2021.00009&amp;partnerID=40&amp;md5=381ee8f9de4f0758d6a3d1c57c6e76ff;http://dx.doi.org/10.1109/SEthics52569.2021.00009</v>
      </c>
      <c r="G759" s="15" t="str">
        <f ca="1">VLOOKUP(B759,'ALL DATABASES'!$A$1:$T$2252,3,FALSE)</f>
        <v>Conference Paper</v>
      </c>
      <c r="H759" s="50" t="str">
        <f ca="1">VLOOKUP(B759,'ALL DATABASES'!$A$1:$T$2252,20,FALSE)</f>
        <v>SCOPUS</v>
      </c>
    </row>
    <row r="760" spans="1:8" ht="12.75" x14ac:dyDescent="0.2">
      <c r="A760">
        <v>759</v>
      </c>
      <c r="B760" s="15" t="str">
        <f ca="1">IFERROR(__xludf.DUMMYFUNCTION("""COMPUTED_VALUE"""),"Exploring the Effect of NULL Usage in Source Code")</f>
        <v>Exploring the Effect of NULL Usage in Source Code</v>
      </c>
      <c r="C760" s="15" t="str">
        <f ca="1">VLOOKUP(B760,'ALL DATABASES'!$A$1:$T$2252,2,FALSE)</f>
        <v>Garmash E,Cheshkov A</v>
      </c>
      <c r="D760" s="15">
        <f ca="1">VLOOKUP(B760,'ALL DATABASES'!$A$1:$T$2252,5,FALSE)</f>
        <v>2021</v>
      </c>
      <c r="E760" s="15">
        <f ca="1">VLOOKUP(B760,'ALL DATABASES'!$A$1:$T$2252,10,FALSE)</f>
        <v>2021</v>
      </c>
      <c r="F760" s="54" t="str">
        <f ca="1">VLOOKUP(B760,'ALL DATABASES'!$A$1:$T$2252,14,FALSE)</f>
        <v>https://www.scopus.com/inward/record.uri?eid=2-s2.0-85104600619&amp;doi=10.1109%2fICCQ51190.2021.9392959&amp;partnerID=40&amp;md5=488439458514e49604b255ec09237b41;http://dx.doi.org/10.1109/ICCQ51190.2021.9392959</v>
      </c>
      <c r="G760" s="15" t="str">
        <f ca="1">VLOOKUP(B760,'ALL DATABASES'!$A$1:$T$2252,3,FALSE)</f>
        <v>Conference Paper</v>
      </c>
      <c r="H760" s="50" t="str">
        <f ca="1">VLOOKUP(B760,'ALL DATABASES'!$A$1:$T$2252,20,FALSE)</f>
        <v>SCOPUS</v>
      </c>
    </row>
    <row r="761" spans="1:8" ht="12.75" x14ac:dyDescent="0.2">
      <c r="A761">
        <v>760</v>
      </c>
      <c r="B761" s="15" t="str">
        <f ca="1">IFERROR(__xludf.DUMMYFUNCTION("""COMPUTED_VALUE"""),"Exploring the Impact of Toxic Comments in Code Quality")</f>
        <v>Exploring the Impact of Toxic Comments in Code Quality</v>
      </c>
      <c r="C761" s="15" t="str">
        <f ca="1">VLOOKUP(B761,'ALL DATABASES'!$A$1:$T$2252,2,FALSE)</f>
        <v>Sayago-Heredia J,Chango G,Pérez-Castillo R,Piattini M</v>
      </c>
      <c r="D761" s="15">
        <f ca="1">VLOOKUP(B761,'ALL DATABASES'!$A$1:$T$2252,5,FALSE)</f>
        <v>2022</v>
      </c>
      <c r="E761" s="15">
        <f ca="1">VLOOKUP(B761,'ALL DATABASES'!$A$1:$T$2252,10,FALSE)</f>
        <v>2022</v>
      </c>
      <c r="F761" s="54" t="str">
        <f ca="1">VLOOKUP(B761,'ALL DATABASES'!$A$1:$T$2252,14,FALSE)</f>
        <v>https://www.scopus.com/inward/record.uri?eid=2-s2.0-85140988970&amp;doi=10.5220%2f0011039700003176&amp;partnerID=40&amp;md5=a3f710a5b2d6e27fb76a852bc53c36b5;http://dx.doi.org/10.5220/0011039700003176</v>
      </c>
      <c r="G761" s="15" t="str">
        <f ca="1">VLOOKUP(B761,'ALL DATABASES'!$A$1:$T$2252,3,FALSE)</f>
        <v>Conference Paper</v>
      </c>
      <c r="H761" s="50" t="str">
        <f ca="1">VLOOKUP(B761,'ALL DATABASES'!$A$1:$T$2252,20,FALSE)</f>
        <v>SCOPUS</v>
      </c>
    </row>
    <row r="762" spans="1:8" ht="12.75" x14ac:dyDescent="0.2">
      <c r="A762">
        <v>761</v>
      </c>
      <c r="B762" s="15" t="str">
        <f ca="1">IFERROR(__xludf.DUMMYFUNCTION("""COMPUTED_VALUE"""),"Exploring the relationship between performance metrics and cost saving potential of defect prediction models")</f>
        <v>Exploring the relationship between performance metrics and cost saving potential of defect prediction models</v>
      </c>
      <c r="C762" s="15" t="str">
        <f ca="1">VLOOKUP(B762,'ALL DATABASES'!$A$1:$T$2252,2,FALSE)</f>
        <v>Steffen TunkelSteffen Herbold</v>
      </c>
      <c r="D762" s="15">
        <f ca="1">VLOOKUP(B762,'ALL DATABASES'!$A$1:$T$2252,5,FALSE)</f>
        <v>2022</v>
      </c>
      <c r="E762" s="15">
        <f ca="1">VLOOKUP(B762,'ALL DATABASES'!$A$1:$T$2252,10,FALSE)</f>
        <v>0</v>
      </c>
      <c r="F762" s="54" t="str">
        <f ca="1">VLOOKUP(B762,'ALL DATABASES'!$A$1:$T$2252,14,FALSE)</f>
        <v>http://link.springer.com/article/10.1007/s10664-022-10224-4</v>
      </c>
      <c r="G762" s="15" t="str">
        <f ca="1">VLOOKUP(B762,'ALL DATABASES'!$A$1:$T$2252,3,FALSE)</f>
        <v>Article</v>
      </c>
      <c r="H762" s="50" t="str">
        <f ca="1">VLOOKUP(B762,'ALL DATABASES'!$A$1:$T$2252,20,FALSE)</f>
        <v>SPRINGER</v>
      </c>
    </row>
    <row r="763" spans="1:8" ht="12.75" x14ac:dyDescent="0.2">
      <c r="A763">
        <v>762</v>
      </c>
      <c r="B763" s="15" t="str">
        <f ca="1">IFERROR(__xludf.DUMMYFUNCTION("""COMPUTED_VALUE"""),"Exploring the relationship between software modularity and technical debt")</f>
        <v>Exploring the relationship between software modularity and technical debt</v>
      </c>
      <c r="C763" s="15" t="str">
        <f ca="1">VLOOKUP(B763,'ALL DATABASES'!$A$1:$T$2252,2,FALSE)</f>
        <v>Skiada P,Ampatzoglou A,Arvanitou EM,Chatzigeorgiou A,Stamelos I</v>
      </c>
      <c r="D763" s="15">
        <f ca="1">VLOOKUP(B763,'ALL DATABASES'!$A$1:$T$2252,5,FALSE)</f>
        <v>2018</v>
      </c>
      <c r="E763" s="15">
        <f ca="1">VLOOKUP(B763,'ALL DATABASES'!$A$1:$T$2252,10,FALSE)</f>
        <v>2018</v>
      </c>
      <c r="F763" s="54" t="str">
        <f ca="1">VLOOKUP(B763,'ALL DATABASES'!$A$1:$T$2252,14,FALSE)</f>
        <v>https://www.scopus.com/inward/record.uri?eid=2-s2.0-85057164684&amp;doi=10.1109%2fSEAA.2018.00072&amp;partnerID=40&amp;md5=8be0d14b7ad2658573289e24e2e1fd88;http://dx.doi.org/10.1109/SEAA.2018.00072</v>
      </c>
      <c r="G763" s="15" t="str">
        <f ca="1">VLOOKUP(B763,'ALL DATABASES'!$A$1:$T$2252,3,FALSE)</f>
        <v>Conference Paper</v>
      </c>
      <c r="H763" s="50" t="str">
        <f ca="1">VLOOKUP(B763,'ALL DATABASES'!$A$1:$T$2252,20,FALSE)</f>
        <v>SCOPUS</v>
      </c>
    </row>
    <row r="764" spans="1:8" ht="12.75" x14ac:dyDescent="0.2">
      <c r="A764">
        <v>763</v>
      </c>
      <c r="B764" s="15" t="str">
        <f ca="1">IFERROR(__xludf.DUMMYFUNCTION("""COMPUTED_VALUE"""),"Exploring the suitability of source code metrics for indicating architectural inconsistencies")</f>
        <v>Exploring the suitability of source code metrics for indicating architectural inconsistencies</v>
      </c>
      <c r="C764" s="15" t="str">
        <f ca="1">VLOOKUP(B764,'ALL DATABASES'!$A$1:$T$2252,2,FALSE)</f>
        <v>JÃ¶rg LenhardMartin BlomSebastian Herold</v>
      </c>
      <c r="D764" s="15">
        <f ca="1">VLOOKUP(B764,'ALL DATABASES'!$A$1:$T$2252,5,FALSE)</f>
        <v>2019</v>
      </c>
      <c r="E764" s="15">
        <f ca="1">VLOOKUP(B764,'ALL DATABASES'!$A$1:$T$2252,10,FALSE)</f>
        <v>0</v>
      </c>
      <c r="F764" s="54" t="str">
        <f ca="1">VLOOKUP(B764,'ALL DATABASES'!$A$1:$T$2252,14,FALSE)</f>
        <v>http://link.springer.com/article/10.1007/s11219-018-9404-z</v>
      </c>
      <c r="G764" s="15" t="str">
        <f ca="1">VLOOKUP(B764,'ALL DATABASES'!$A$1:$T$2252,3,FALSE)</f>
        <v>Article</v>
      </c>
      <c r="H764" s="50" t="str">
        <f ca="1">VLOOKUP(B764,'ALL DATABASES'!$A$1:$T$2252,20,FALSE)</f>
        <v>SPRINGER</v>
      </c>
    </row>
    <row r="765" spans="1:8" ht="12.75" x14ac:dyDescent="0.2">
      <c r="A765">
        <v>764</v>
      </c>
      <c r="B765" s="15" t="str">
        <f ca="1">IFERROR(__xludf.DUMMYFUNCTION("""COMPUTED_VALUE"""),"Extending reference architecture of big data systems towards machine learning in edge computing environments")</f>
        <v>Extending reference architecture of big data systems towards machine learning in edge computing environments</v>
      </c>
      <c r="C765" s="15" t="str">
        <f ca="1">VLOOKUP(B765,'ALL DATABASES'!$A$1:$T$2252,2,FALSE)</f>
        <v>P. PÃ¤Ã¤kkÃ¶nenD. Pakkala</v>
      </c>
      <c r="D765" s="15">
        <f ca="1">VLOOKUP(B765,'ALL DATABASES'!$A$1:$T$2252,5,FALSE)</f>
        <v>2020</v>
      </c>
      <c r="E765" s="15">
        <f ca="1">VLOOKUP(B765,'ALL DATABASES'!$A$1:$T$2252,10,FALSE)</f>
        <v>0</v>
      </c>
      <c r="F765" s="54" t="str">
        <f ca="1">VLOOKUP(B765,'ALL DATABASES'!$A$1:$T$2252,14,FALSE)</f>
        <v>http://link.springer.com/article/10.1186/s40537-020-00303-y</v>
      </c>
      <c r="G765" s="15" t="str">
        <f ca="1">VLOOKUP(B765,'ALL DATABASES'!$A$1:$T$2252,3,FALSE)</f>
        <v>Article</v>
      </c>
      <c r="H765" s="50" t="str">
        <f ca="1">VLOOKUP(B765,'ALL DATABASES'!$A$1:$T$2252,20,FALSE)</f>
        <v>SPRINGER</v>
      </c>
    </row>
    <row r="766" spans="1:8" ht="12.75" x14ac:dyDescent="0.2">
      <c r="A766">
        <v>765</v>
      </c>
      <c r="B766" s="15" t="str">
        <f ca="1">IFERROR(__xludf.DUMMYFUNCTION("""COMPUTED_VALUE"""),"Extracting enhanced artificial intelligence model metadata from software repositories")</f>
        <v>Extracting enhanced artificial intelligence model metadata from software repositories</v>
      </c>
      <c r="C766" s="15" t="str">
        <f ca="1">VLOOKUP(B766,'ALL DATABASES'!$A$1:$T$2252,2,FALSE)</f>
        <v>Jason TsayAlan BrazMartin HirzelAvraham ShinnarTodd Mummert</v>
      </c>
      <c r="D766" s="15">
        <f ca="1">VLOOKUP(B766,'ALL DATABASES'!$A$1:$T$2252,5,FALSE)</f>
        <v>2022</v>
      </c>
      <c r="E766" s="15">
        <f ca="1">VLOOKUP(B766,'ALL DATABASES'!$A$1:$T$2252,10,FALSE)</f>
        <v>0</v>
      </c>
      <c r="F766" s="54" t="str">
        <f ca="1">VLOOKUP(B766,'ALL DATABASES'!$A$1:$T$2252,14,FALSE)</f>
        <v>http://link.springer.com/article/10.1007/s10664-022-10206-6</v>
      </c>
      <c r="G766" s="15" t="str">
        <f ca="1">VLOOKUP(B766,'ALL DATABASES'!$A$1:$T$2252,3,FALSE)</f>
        <v>Article</v>
      </c>
      <c r="H766" s="50" t="str">
        <f ca="1">VLOOKUP(B766,'ALL DATABASES'!$A$1:$T$2252,20,FALSE)</f>
        <v>SPRINGER</v>
      </c>
    </row>
    <row r="767" spans="1:8" ht="12.75" x14ac:dyDescent="0.2">
      <c r="A767">
        <v>766</v>
      </c>
      <c r="B767" s="15" t="str">
        <f ca="1">IFERROR(__xludf.DUMMYFUNCTION("""COMPUTED_VALUE"""),"Extracting Micro Service Dependencies Using Log Analysis")</f>
        <v>Extracting Micro Service Dependencies Using Log Analysis</v>
      </c>
      <c r="C767" s="15" t="str">
        <f ca="1">VLOOKUP(B767,'ALL DATABASES'!$A$1:$T$2252,2,FALSE)</f>
        <v>Ishida AO,Kontogiannis K,Brealey C</v>
      </c>
      <c r="D767" s="15">
        <f ca="1">VLOOKUP(B767,'ALL DATABASES'!$A$1:$T$2252,5,FALSE)</f>
        <v>2022</v>
      </c>
      <c r="E767" s="15">
        <f ca="1">VLOOKUP(B767,'ALL DATABASES'!$A$1:$T$2252,10,FALSE)</f>
        <v>2022</v>
      </c>
      <c r="F767" s="54" t="str">
        <f ca="1">VLOOKUP(B767,'ALL DATABASES'!$A$1:$T$2252,14,FALSE)</f>
        <v>https://www.scopus.com/inward/record.uri?eid=2-s2.0-85143443375&amp;doi=10.1109%2fSTC55697.2022.00020&amp;partnerID=40&amp;md5=7bc794e67cd0e17137ca00fd4783c72b;http://dx.doi.org/10.1109/STC55697.2022.00020</v>
      </c>
      <c r="G767" s="15" t="str">
        <f ca="1">VLOOKUP(B767,'ALL DATABASES'!$A$1:$T$2252,3,FALSE)</f>
        <v>Conference Paper</v>
      </c>
      <c r="H767" s="50" t="str">
        <f ca="1">VLOOKUP(B767,'ALL DATABASES'!$A$1:$T$2252,20,FALSE)</f>
        <v>SCOPUS</v>
      </c>
    </row>
    <row r="768" spans="1:8" ht="12.75" x14ac:dyDescent="0.2">
      <c r="A768">
        <v>767</v>
      </c>
      <c r="B768" s="15" t="str">
        <f ca="1">IFERROR(__xludf.DUMMYFUNCTION("""COMPUTED_VALUE"""),"Extracting relative thresholds for source code metrics")</f>
        <v>Extracting relative thresholds for source code metrics</v>
      </c>
      <c r="C768" s="15" t="str">
        <f ca="1">VLOOKUP(B768,'ALL DATABASES'!$A$1:$T$2252,2,FALSE)</f>
        <v>Oliveira P,Valente MT,Lima FP</v>
      </c>
      <c r="D768" s="15">
        <f ca="1">VLOOKUP(B768,'ALL DATABASES'!$A$1:$T$2252,5,FALSE)</f>
        <v>2014</v>
      </c>
      <c r="E768" s="55">
        <f ca="1">VLOOKUP(B768,'ALL DATABASES'!$A$1:$T$2252,10,FALSE)</f>
        <v>41671</v>
      </c>
      <c r="F768" s="54" t="str">
        <f ca="1">VLOOKUP(B768,'ALL DATABASES'!$A$1:$T$2252,14,FALSE)</f>
        <v>http://dx.doi.org/10.1109/CSMR-WCRE.2014.6747177</v>
      </c>
      <c r="G768" s="15" t="str">
        <f ca="1">VLOOKUP(B768,'ALL DATABASES'!$A$1:$T$2252,3,FALSE)</f>
        <v>Conference Paper</v>
      </c>
      <c r="H768" s="50" t="str">
        <f ca="1">VLOOKUP(B768,'ALL DATABASES'!$A$1:$T$2252,20,FALSE)</f>
        <v>IEEE</v>
      </c>
    </row>
    <row r="769" spans="1:8" ht="12.75" x14ac:dyDescent="0.2">
      <c r="A769">
        <v>768</v>
      </c>
      <c r="B769" s="15" t="str">
        <f ca="1">IFERROR(__xludf.DUMMYFUNCTION("""COMPUTED_VALUE"""),"Extraction of useful information from unstructured data in software engineering: A systematic mapping")</f>
        <v>Extraction of useful information from unstructured data in software engineering: A systematic mapping</v>
      </c>
      <c r="C769" s="15" t="str">
        <f ca="1">VLOOKUP(B769,'ALL DATABASES'!$A$1:$T$2252,2,FALSE)</f>
        <v>Silva PR,dos Santos V,Souza ÉF,Meinerz GV,Felizardo KR,Vijaykumar NL</v>
      </c>
      <c r="D769" s="15">
        <f ca="1">VLOOKUP(B769,'ALL DATABASES'!$A$1:$T$2252,5,FALSE)</f>
        <v>2020</v>
      </c>
      <c r="E769" s="15">
        <f ca="1">VLOOKUP(B769,'ALL DATABASES'!$A$1:$T$2252,10,FALSE)</f>
        <v>2020</v>
      </c>
      <c r="F769" s="54" t="str">
        <f ca="1">VLOOKUP(B769,'ALL DATABASES'!$A$1:$T$2252,14,FALSE)</f>
        <v>https://www.scopus.com/inward/record.uri?eid=2-s2.0-85092287665&amp;partnerID=40&amp;md5=8238ee074e3e0cb1fbdfe7ca6e7d964e</v>
      </c>
      <c r="G769" s="15" t="str">
        <f ca="1">VLOOKUP(B769,'ALL DATABASES'!$A$1:$T$2252,3,FALSE)</f>
        <v>Conference Paper</v>
      </c>
      <c r="H769" s="50" t="str">
        <f ca="1">VLOOKUP(B769,'ALL DATABASES'!$A$1:$T$2252,20,FALSE)</f>
        <v>SCOPUS</v>
      </c>
    </row>
    <row r="770" spans="1:8" ht="12.75" x14ac:dyDescent="0.2">
      <c r="A770">
        <v>769</v>
      </c>
      <c r="B770" s="15" t="str">
        <f ca="1">IFERROR(__xludf.DUMMYFUNCTION("""COMPUTED_VALUE"""),"F*** workflows: when parts of FAIR are missing")</f>
        <v>F*** workflows: when parts of FAIR are missing</v>
      </c>
      <c r="C770" s="15" t="str">
        <f ca="1">VLOOKUP(B770,'ALL DATABASES'!$A$1:$T$2252,2,FALSE)</f>
        <v>Wilkinson SR,Eisenhauer G,Kapadia AJ,Knight K,Logan J,Widener P,Wolf M</v>
      </c>
      <c r="D770" s="15">
        <f ca="1">VLOOKUP(B770,'ALL DATABASES'!$A$1:$T$2252,5,FALSE)</f>
        <v>2022</v>
      </c>
      <c r="E770" s="53">
        <f ca="1">VLOOKUP(B770,'ALL DATABASES'!$A$1:$T$2252,10,FALSE)</f>
        <v>44835</v>
      </c>
      <c r="F770" s="54" t="str">
        <f ca="1">VLOOKUP(B770,'ALL DATABASES'!$A$1:$T$2252,14,FALSE)</f>
        <v>http://dx.doi.org/10.1109/eScience55777.2022.00090</v>
      </c>
      <c r="G770" s="15" t="str">
        <f ca="1">VLOOKUP(B770,'ALL DATABASES'!$A$1:$T$2252,3,FALSE)</f>
        <v>Conference Paper</v>
      </c>
      <c r="H770" s="50" t="str">
        <f ca="1">VLOOKUP(B770,'ALL DATABASES'!$A$1:$T$2252,20,FALSE)</f>
        <v>IEEE</v>
      </c>
    </row>
    <row r="771" spans="1:8" ht="12.75" x14ac:dyDescent="0.2">
      <c r="A771">
        <v>770</v>
      </c>
      <c r="B771" s="15" t="str">
        <f ca="1">IFERROR(__xludf.DUMMYFUNCTION("""COMPUTED_VALUE"""),"Facilitating feasibility analysis: The pilot defects prediction dataset maker")</f>
        <v>Facilitating feasibility analysis: The pilot defects prediction dataset maker</v>
      </c>
      <c r="C771" s="15" t="str">
        <f ca="1">VLOOKUP(B771,'ALL DATABASES'!$A$1:$T$2252,2,FALSE)</f>
        <v>Falessi D,Moede MJ</v>
      </c>
      <c r="D771" s="15">
        <f ca="1">VLOOKUP(B771,'ALL DATABASES'!$A$1:$T$2252,5,FALSE)</f>
        <v>2018</v>
      </c>
      <c r="E771" s="15">
        <f ca="1">VLOOKUP(B771,'ALL DATABASES'!$A$1:$T$2252,10,FALSE)</f>
        <v>2018</v>
      </c>
      <c r="F771" s="54" t="str">
        <f ca="1">VLOOKUP(B771,'ALL DATABASES'!$A$1:$T$2252,14,FALSE)</f>
        <v>https://www.scopus.com/inward/record.uri?eid=2-s2.0-85058401948&amp;doi=10.1145%2f3278142.3278147&amp;partnerID=40&amp;md5=98783821aa4f6c3fb6f220b9ef0773df;http://dx.doi.org/10.1145/3278142.3278147</v>
      </c>
      <c r="G771" s="15" t="str">
        <f ca="1">VLOOKUP(B771,'ALL DATABASES'!$A$1:$T$2252,3,FALSE)</f>
        <v>Conference Paper</v>
      </c>
      <c r="H771" s="50" t="str">
        <f ca="1">VLOOKUP(B771,'ALL DATABASES'!$A$1:$T$2252,20,FALSE)</f>
        <v>SCOPUS</v>
      </c>
    </row>
    <row r="772" spans="1:8" ht="12.75" x14ac:dyDescent="0.2">
      <c r="A772">
        <v>771</v>
      </c>
      <c r="B772" s="15" t="str">
        <f ca="1">IFERROR(__xludf.DUMMYFUNCTION("""COMPUTED_VALUE"""),"Failing loudly: An empirical study of methods for detecting dataset shift")</f>
        <v>Failing loudly: An empirical study of methods for detecting dataset shift</v>
      </c>
      <c r="C772" s="15" t="str">
        <f ca="1">VLOOKUP(B772,'ALL DATABASES'!$A$1:$T$2252,2,FALSE)</f>
        <v>Rabanser S,Günnemann S,Lipton ZC</v>
      </c>
      <c r="D772" s="15">
        <f ca="1">VLOOKUP(B772,'ALL DATABASES'!$A$1:$T$2252,5,FALSE)</f>
        <v>2019</v>
      </c>
      <c r="E772" s="15">
        <f ca="1">VLOOKUP(B772,'ALL DATABASES'!$A$1:$T$2252,10,FALSE)</f>
        <v>2019</v>
      </c>
      <c r="F772" s="54" t="str">
        <f ca="1">VLOOKUP(B772,'ALL DATABASES'!$A$1:$T$2252,14,FALSE)</f>
        <v>https://www.scopus.com/inward/record.uri?eid=2-s2.0-85079822741&amp;partnerID=40&amp;md5=11065b562157e9e73ceb897b5b03d5cf</v>
      </c>
      <c r="G772" s="15" t="str">
        <f ca="1">VLOOKUP(B772,'ALL DATABASES'!$A$1:$T$2252,3,FALSE)</f>
        <v>Conference Paper</v>
      </c>
      <c r="H772" s="50" t="str">
        <f ca="1">VLOOKUP(B772,'ALL DATABASES'!$A$1:$T$2252,20,FALSE)</f>
        <v>SCOPUS</v>
      </c>
    </row>
    <row r="773" spans="1:8" ht="12.75" x14ac:dyDescent="0.2">
      <c r="A773">
        <v>772</v>
      </c>
      <c r="B773" s="15" t="str">
        <f ca="1">IFERROR(__xludf.DUMMYFUNCTION("""COMPUTED_VALUE"""),"FAILS: a tool for assessing risk in ML systems")</f>
        <v>FAILS: a tool for assessing risk in ML systems</v>
      </c>
      <c r="C773" s="15" t="str">
        <f ca="1">VLOOKUP(B773,'ALL DATABASES'!$A$1:$T$2252,2,FALSE)</f>
        <v>Dominguez GA,Kawaai K,Maruyama H</v>
      </c>
      <c r="D773" s="15">
        <f ca="1">VLOOKUP(B773,'ALL DATABASES'!$A$1:$T$2252,5,FALSE)</f>
        <v>2021</v>
      </c>
      <c r="E773" s="53">
        <f ca="1">VLOOKUP(B773,'ALL DATABASES'!$A$1:$T$2252,10,FALSE)</f>
        <v>44531</v>
      </c>
      <c r="F773" s="54" t="str">
        <f ca="1">VLOOKUP(B773,'ALL DATABASES'!$A$1:$T$2252,14,FALSE)</f>
        <v>http://dx.doi.org/10.1109/APSECW53869.2021.00010</v>
      </c>
      <c r="G773" s="15" t="str">
        <f ca="1">VLOOKUP(B773,'ALL DATABASES'!$A$1:$T$2252,3,FALSE)</f>
        <v>Conference Paper</v>
      </c>
      <c r="H773" s="50" t="str">
        <f ca="1">VLOOKUP(B773,'ALL DATABASES'!$A$1:$T$2252,20,FALSE)</f>
        <v>IEEE</v>
      </c>
    </row>
    <row r="774" spans="1:8" ht="12.75" x14ac:dyDescent="0.2">
      <c r="A774">
        <v>773</v>
      </c>
      <c r="B774" s="15" t="str">
        <f ca="1">IFERROR(__xludf.DUMMYFUNCTION("""COMPUTED_VALUE"""),"Fast Library Recommendation in Software Dependency Graphs with Symmetric Partially Absorbing Random Walks")</f>
        <v>Fast Library Recommendation in Software Dependency Graphs with Symmetric Partially Absorbing Random Walks</v>
      </c>
      <c r="C774" s="15" t="str">
        <f ca="1">VLOOKUP(B774,'ALL DATABASES'!$A$1:$T$2252,2,FALSE)</f>
        <v>Krasanakis E,Symeonidis A</v>
      </c>
      <c r="D774" s="15">
        <f ca="1">VLOOKUP(B774,'ALL DATABASES'!$A$1:$T$2252,5,FALSE)</f>
        <v>2022</v>
      </c>
      <c r="E774" s="15">
        <f ca="1">VLOOKUP(B774,'ALL DATABASES'!$A$1:$T$2252,10,FALSE)</f>
        <v>2022</v>
      </c>
      <c r="F774" s="54" t="str">
        <f ca="1">VLOOKUP(B774,'ALL DATABASES'!$A$1:$T$2252,14,FALSE)</f>
        <v>https://www.scopus.com/inward/record.uri?eid=2-s2.0-85129358472&amp;doi=10.3390%2ffi14050124&amp;partnerID=40&amp;md5=b0c1e797271729e90fce836dbd73bd5d;http://dx.doi.org/10.3390/fi14050124</v>
      </c>
      <c r="G774" s="15" t="str">
        <f ca="1">VLOOKUP(B774,'ALL DATABASES'!$A$1:$T$2252,3,FALSE)</f>
        <v>Journal Article</v>
      </c>
      <c r="H774" s="50" t="str">
        <f ca="1">VLOOKUP(B774,'ALL DATABASES'!$A$1:$T$2252,20,FALSE)</f>
        <v>SCOPUS</v>
      </c>
    </row>
    <row r="775" spans="1:8" ht="12.75" x14ac:dyDescent="0.2">
      <c r="A775">
        <v>774</v>
      </c>
      <c r="B775" s="15" t="str">
        <f ca="1">IFERROR(__xludf.DUMMYFUNCTION("""COMPUTED_VALUE"""),"Fast Prototyping of Web-Based Information Systems Using a Restricted Natural Language Specification")</f>
        <v>Fast Prototyping of Web-Based Information Systems Using a Restricted Natural Language Specification</v>
      </c>
      <c r="C775" s="15" t="str">
        <f ca="1">VLOOKUP(B775,'ALL DATABASES'!$A$1:$T$2252,2,FALSE)</f>
        <v>Jean Pierre Alfonso HoyosFelipe Restrepo-Calle</v>
      </c>
      <c r="D775" s="15">
        <f ca="1">VLOOKUP(B775,'ALL DATABASES'!$A$1:$T$2252,5,FALSE)</f>
        <v>2018</v>
      </c>
      <c r="E775" s="15">
        <f ca="1">VLOOKUP(B775,'ALL DATABASES'!$A$1:$T$2252,10,FALSE)</f>
        <v>0</v>
      </c>
      <c r="F775" s="54" t="str">
        <f ca="1">VLOOKUP(B775,'ALL DATABASES'!$A$1:$T$2252,14,FALSE)</f>
        <v>http://link.springer.com/chapter/10.1007/978-3-319-94135-6_9</v>
      </c>
      <c r="G775" s="15" t="str">
        <f ca="1">VLOOKUP(B775,'ALL DATABASES'!$A$1:$T$2252,3,FALSE)</f>
        <v>Chapter</v>
      </c>
      <c r="H775" s="50" t="str">
        <f ca="1">VLOOKUP(B775,'ALL DATABASES'!$A$1:$T$2252,20,FALSE)</f>
        <v>SPRINGER</v>
      </c>
    </row>
    <row r="776" spans="1:8" ht="12.75" x14ac:dyDescent="0.2">
      <c r="A776">
        <v>775</v>
      </c>
      <c r="B776" s="15" t="str">
        <f ca="1">IFERROR(__xludf.DUMMYFUNCTION("""COMPUTED_VALUE"""),"Fault triggers in the tensorflow framework: An experience report")</f>
        <v>Fault triggers in the tensorflow framework: An experience report</v>
      </c>
      <c r="C776" s="15" t="str">
        <f ca="1">VLOOKUP(B776,'ALL DATABASES'!$A$1:$T$2252,2,FALSE)</f>
        <v>Du X,Xiao G,Sui Y</v>
      </c>
      <c r="D776" s="15">
        <f ca="1">VLOOKUP(B776,'ALL DATABASES'!$A$1:$T$2252,5,FALSE)</f>
        <v>2020</v>
      </c>
      <c r="E776" s="15">
        <f ca="1">VLOOKUP(B776,'ALL DATABASES'!$A$1:$T$2252,10,FALSE)</f>
        <v>2020</v>
      </c>
      <c r="F776" s="54" t="str">
        <f ca="1">VLOOKUP(B776,'ALL DATABASES'!$A$1:$T$2252,14,FALSE)</f>
        <v>https://www.scopus.com/inward/record.uri?eid=2-s2.0-85097354714&amp;doi=10.1109%2fISSRE5003.2020.00010&amp;partnerID=40&amp;md5=795fcf5bfbb26fe7892e6069385ad8ee;http://dx.doi.org/10.1109/ISSRE5003.2020.00010</v>
      </c>
      <c r="G776" s="15" t="str">
        <f ca="1">VLOOKUP(B776,'ALL DATABASES'!$A$1:$T$2252,3,FALSE)</f>
        <v>Conference Paper</v>
      </c>
      <c r="H776" s="50" t="str">
        <f ca="1">VLOOKUP(B776,'ALL DATABASES'!$A$1:$T$2252,20,FALSE)</f>
        <v>SCOPUS</v>
      </c>
    </row>
    <row r="777" spans="1:8" ht="12.75" x14ac:dyDescent="0.2">
      <c r="A777">
        <v>776</v>
      </c>
      <c r="B777" s="15" t="str">
        <f ca="1">IFERROR(__xludf.DUMMYFUNCTION("""COMPUTED_VALUE"""),"Feature Envy detection based on Bi-LSTM with self-attention mechanism")</f>
        <v>Feature Envy detection based on Bi-LSTM with self-attention mechanism</v>
      </c>
      <c r="C777" s="15" t="str">
        <f ca="1">VLOOKUP(B777,'ALL DATABASES'!$A$1:$T$2252,2,FALSE)</f>
        <v>Wang H,Liu J,Kang J,Yin W,Sun H,Wang H</v>
      </c>
      <c r="D777" s="15">
        <f ca="1">VLOOKUP(B777,'ALL DATABASES'!$A$1:$T$2252,5,FALSE)</f>
        <v>2020</v>
      </c>
      <c r="E777" s="15">
        <f ca="1">VLOOKUP(B777,'ALL DATABASES'!$A$1:$T$2252,10,FALSE)</f>
        <v>2020</v>
      </c>
      <c r="F777" s="54" t="str">
        <f ca="1">VLOOKUP(B777,'ALL DATABASES'!$A$1:$T$2252,14,FALSE)</f>
        <v>https://www.scopus.com/inward/record.uri?eid=2-s2.0-85108027397&amp;doi=10.1109%2fISPA-BDCloud-SocialCom-SustainCom51426.2020.00082&amp;partnerID=40&amp;md5=d0b56a02fc3e4e08a430cbb9dd28cbd1;http://dx.doi.org/10.1109/ISPA-BDCloud-SocialCom-SustainCom51426.2020.00082</v>
      </c>
      <c r="G777" s="15" t="str">
        <f ca="1">VLOOKUP(B777,'ALL DATABASES'!$A$1:$T$2252,3,FALSE)</f>
        <v>Conference Paper</v>
      </c>
      <c r="H777" s="50" t="str">
        <f ca="1">VLOOKUP(B777,'ALL DATABASES'!$A$1:$T$2252,20,FALSE)</f>
        <v>SCOPUS</v>
      </c>
    </row>
    <row r="778" spans="1:8" ht="12.75" x14ac:dyDescent="0.2">
      <c r="A778">
        <v>777</v>
      </c>
      <c r="B778" s="15" t="str">
        <f ca="1">IFERROR(__xludf.DUMMYFUNCTION("""COMPUTED_VALUE"""),"FHKG: A Framework to Harvest Knowledge from Groupware Raw Data for AI")</f>
        <v>FHKG: A Framework to Harvest Knowledge from Groupware Raw Data for AI</v>
      </c>
      <c r="C778" s="15" t="str">
        <f ca="1">VLOOKUP(B778,'ALL DATABASES'!$A$1:$T$2252,2,FALSE)</f>
        <v>Uwasomba CF,Lee Y,Yusoff Z,Min CT</v>
      </c>
      <c r="D778" s="15">
        <f ca="1">VLOOKUP(B778,'ALL DATABASES'!$A$1:$T$2252,5,FALSE)</f>
        <v>2021</v>
      </c>
      <c r="E778" s="53">
        <f ca="1">VLOOKUP(B778,'ALL DATABASES'!$A$1:$T$2252,10,FALSE)</f>
        <v>44501</v>
      </c>
      <c r="F778" s="54" t="str">
        <f ca="1">VLOOKUP(B778,'ALL DATABASES'!$A$1:$T$2252,14,FALSE)</f>
        <v>http://dx.doi.org/10.1109/ICOCO53166.2021.9673561</v>
      </c>
      <c r="G778" s="15" t="str">
        <f ca="1">VLOOKUP(B778,'ALL DATABASES'!$A$1:$T$2252,3,FALSE)</f>
        <v>Conference Paper</v>
      </c>
      <c r="H778" s="50" t="str">
        <f ca="1">VLOOKUP(B778,'ALL DATABASES'!$A$1:$T$2252,20,FALSE)</f>
        <v>IEEE</v>
      </c>
    </row>
    <row r="779" spans="1:8" ht="12.75" x14ac:dyDescent="0.2">
      <c r="A779">
        <v>778</v>
      </c>
      <c r="B779" s="15" t="str">
        <f ca="1">IFERROR(__xludf.DUMMYFUNCTION("""COMPUTED_VALUE"""),"Fighting copycat agents in behavioral cloning from observation histories")</f>
        <v>Fighting copycat agents in behavioral cloning from observation histories</v>
      </c>
      <c r="C779" s="15" t="str">
        <f ca="1">VLOOKUP(B779,'ALL DATABASES'!$A$1:$T$2252,2,FALSE)</f>
        <v>Wen C,Lin J,Darrell T,Jayaraman D,Gao Y</v>
      </c>
      <c r="D779" s="15">
        <f ca="1">VLOOKUP(B779,'ALL DATABASES'!$A$1:$T$2252,5,FALSE)</f>
        <v>2020</v>
      </c>
      <c r="E779" s="15">
        <f ca="1">VLOOKUP(B779,'ALL DATABASES'!$A$1:$T$2252,10,FALSE)</f>
        <v>2020</v>
      </c>
      <c r="F779" s="54" t="str">
        <f ca="1">VLOOKUP(B779,'ALL DATABASES'!$A$1:$T$2252,14,FALSE)</f>
        <v>https://www.scopus.com/inward/record.uri?eid=2-s2.0-85102034258&amp;partnerID=40&amp;md5=5cfe70c132f0587b2ec367ef0af48bec</v>
      </c>
      <c r="G779" s="15" t="str">
        <f ca="1">VLOOKUP(B779,'ALL DATABASES'!$A$1:$T$2252,3,FALSE)</f>
        <v>Conference Paper</v>
      </c>
      <c r="H779" s="50" t="str">
        <f ca="1">VLOOKUP(B779,'ALL DATABASES'!$A$1:$T$2252,20,FALSE)</f>
        <v>SCOPUS</v>
      </c>
    </row>
    <row r="780" spans="1:8" ht="12.75" x14ac:dyDescent="0.2">
      <c r="A780">
        <v>779</v>
      </c>
      <c r="B780" s="15" t="str">
        <f ca="1">IFERROR(__xludf.DUMMYFUNCTION("""COMPUTED_VALUE"""),"Finding common ground: A survey of capacitive sensing in human-computer interaction")</f>
        <v>Finding common ground: A survey of capacitive sensing in human-computer interaction</v>
      </c>
      <c r="C780" s="15" t="str">
        <f ca="1">VLOOKUP(B780,'ALL DATABASES'!$A$1:$T$2252,2,FALSE)</f>
        <v>Grosse-Puppendahl T,Holz C,Cohn G,Wimmer R,Bechtold O,Hodges S,Reynolds MS,Smith JR</v>
      </c>
      <c r="D780" s="15">
        <f ca="1">VLOOKUP(B780,'ALL DATABASES'!$A$1:$T$2252,5,FALSE)</f>
        <v>2017</v>
      </c>
      <c r="E780" s="15">
        <f ca="1">VLOOKUP(B780,'ALL DATABASES'!$A$1:$T$2252,10,FALSE)</f>
        <v>2017</v>
      </c>
      <c r="F780" s="54" t="str">
        <f ca="1">VLOOKUP(B780,'ALL DATABASES'!$A$1:$T$2252,14,FALSE)</f>
        <v>https://www.scopus.com/inward/record.uri?eid=2-s2.0-85029294314&amp;doi=10.1145%2f3025453.3025808&amp;partnerID=40&amp;md5=6b6f18103bfea70467cb27429216107e;http://dx.doi.org/10.1145/3025453.3025808</v>
      </c>
      <c r="G780" s="15" t="str">
        <f ca="1">VLOOKUP(B780,'ALL DATABASES'!$A$1:$T$2252,3,FALSE)</f>
        <v>Conference Paper</v>
      </c>
      <c r="H780" s="50" t="str">
        <f ca="1">VLOOKUP(B780,'ALL DATABASES'!$A$1:$T$2252,20,FALSE)</f>
        <v>SCOPUS</v>
      </c>
    </row>
    <row r="781" spans="1:8" ht="12.75" x14ac:dyDescent="0.2">
      <c r="A781">
        <v>780</v>
      </c>
      <c r="B781" s="15" t="str">
        <f ca="1">IFERROR(__xludf.DUMMYFUNCTION("""COMPUTED_VALUE"""),"Finding needles in a haystack: Leveraging co-change dependencies to recommend refactorings")</f>
        <v>Finding needles in a haystack: Leveraging co-change dependencies to recommend refactorings</v>
      </c>
      <c r="C781" s="15" t="str">
        <f ca="1">VLOOKUP(B781,'ALL DATABASES'!$A$1:$T$2252,2,FALSE)</f>
        <v>de Oliveira MC,Freitas D,Bonifácio R,Pinto G,Lo D</v>
      </c>
      <c r="D781" s="15">
        <f ca="1">VLOOKUP(B781,'ALL DATABASES'!$A$1:$T$2252,5,FALSE)</f>
        <v>2019</v>
      </c>
      <c r="E781" s="15">
        <f ca="1">VLOOKUP(B781,'ALL DATABASES'!$A$1:$T$2252,10,FALSE)</f>
        <v>2019</v>
      </c>
      <c r="F781" s="54" t="str">
        <f ca="1">VLOOKUP(B781,'ALL DATABASES'!$A$1:$T$2252,14,FALSE)</f>
        <v>https://www.sciencedirect.com/science/article/pii/S0164121219301943;http://dx.doi.org/10.1016/j.jss.2019.110420</v>
      </c>
      <c r="G781" s="15" t="str">
        <f ca="1">VLOOKUP(B781,'ALL DATABASES'!$A$1:$T$2252,3,FALSE)</f>
        <v>Journal Article</v>
      </c>
      <c r="H781" s="50" t="str">
        <f ca="1">VLOOKUP(B781,'ALL DATABASES'!$A$1:$T$2252,20,FALSE)</f>
        <v>SCIENCEDIRECT</v>
      </c>
    </row>
    <row r="782" spans="1:8" ht="12.75" x14ac:dyDescent="0.2">
      <c r="A782">
        <v>781</v>
      </c>
      <c r="B782" s="15" t="str">
        <f ca="1">IFERROR(__xludf.DUMMYFUNCTION("""COMPUTED_VALUE"""),"Finding the needle in a haystack: On the automatic identification of accessibility user reviews")</f>
        <v>Finding the needle in a haystack: On the automatic identification of accessibility user reviews</v>
      </c>
      <c r="C782" s="15" t="str">
        <f ca="1">VLOOKUP(B782,'ALL DATABASES'!$A$1:$T$2252,2,FALSE)</f>
        <v>AlOmar EA,Aljedaani W,Tamjeed M,Mkaouer MW,El-Glaly YN</v>
      </c>
      <c r="D782" s="15">
        <f ca="1">VLOOKUP(B782,'ALL DATABASES'!$A$1:$T$2252,5,FALSE)</f>
        <v>2021</v>
      </c>
      <c r="E782" s="15">
        <f ca="1">VLOOKUP(B782,'ALL DATABASES'!$A$1:$T$2252,10,FALSE)</f>
        <v>2021</v>
      </c>
      <c r="F782" s="54" t="str">
        <f ca="1">VLOOKUP(B782,'ALL DATABASES'!$A$1:$T$2252,14,FALSE)</f>
        <v>https://www.scopus.com/inward/record.uri?eid=2-s2.0-85106705949&amp;doi=10.1145%2f3411764.3445281&amp;partnerID=40&amp;md5=b0e7d32419277366862b05c59eabf106;http://dx.doi.org/10.1145/3411764.3445281</v>
      </c>
      <c r="G782" s="15" t="str">
        <f ca="1">VLOOKUP(B782,'ALL DATABASES'!$A$1:$T$2252,3,FALSE)</f>
        <v>Conference Paper</v>
      </c>
      <c r="H782" s="50" t="str">
        <f ca="1">VLOOKUP(B782,'ALL DATABASES'!$A$1:$T$2252,20,FALSE)</f>
        <v>SCOPUS</v>
      </c>
    </row>
    <row r="783" spans="1:8" ht="12.75" x14ac:dyDescent="0.2">
      <c r="A783">
        <v>782</v>
      </c>
      <c r="B783" s="15" t="str">
        <f ca="1">IFERROR(__xludf.DUMMYFUNCTION("""COMPUTED_VALUE"""),"Finding the Path Toward Design ofÂ Synergistic Human-Centric ComplexÂ Systems")</f>
        <v>Finding the Path Toward Design ofÂ Synergistic Human-Centric ComplexÂ Systems</v>
      </c>
      <c r="C783" s="15" t="str">
        <f ca="1">VLOOKUP(B783,'ALL DATABASES'!$A$1:$T$2252,2,FALSE)</f>
        <v>Hesham Y. FouadAli K. RazJames LlinasWilliam F. LawlessRanjeev Mittu</v>
      </c>
      <c r="D783" s="15">
        <f ca="1">VLOOKUP(B783,'ALL DATABASES'!$A$1:$T$2252,5,FALSE)</f>
        <v>2021</v>
      </c>
      <c r="E783" s="15">
        <f ca="1">VLOOKUP(B783,'ALL DATABASES'!$A$1:$T$2252,10,FALSE)</f>
        <v>0</v>
      </c>
      <c r="F783" s="54" t="str">
        <f ca="1">VLOOKUP(B783,'ALL DATABASES'!$A$1:$T$2252,14,FALSE)</f>
        <v>http://link.springer.com/chapter/10.1007/978-3-030-89385-9_5</v>
      </c>
      <c r="G783" s="15" t="str">
        <f ca="1">VLOOKUP(B783,'ALL DATABASES'!$A$1:$T$2252,3,FALSE)</f>
        <v>Chapter</v>
      </c>
      <c r="H783" s="50" t="str">
        <f ca="1">VLOOKUP(B783,'ALL DATABASES'!$A$1:$T$2252,20,FALSE)</f>
        <v>SPRINGER</v>
      </c>
    </row>
    <row r="784" spans="1:8" ht="12.75" x14ac:dyDescent="0.2">
      <c r="A784">
        <v>783</v>
      </c>
      <c r="B784" s="15" t="str">
        <f ca="1">IFERROR(__xludf.DUMMYFUNCTION("""COMPUTED_VALUE"""),"First-Class Concepts: Reifying Architectural Knowledge beyond the Dominant Decomposition")</f>
        <v>First-Class Concepts: Reifying Architectural Knowledge beyond the Dominant Decomposition</v>
      </c>
      <c r="C784" s="15" t="str">
        <f ca="1">VLOOKUP(B784,'ALL DATABASES'!$A$1:$T$2252,2,FALSE)</f>
        <v>Mattis T,Beckmann T,Rein P,Hirschfeld R</v>
      </c>
      <c r="D784" s="15">
        <f ca="1">VLOOKUP(B784,'ALL DATABASES'!$A$1:$T$2252,5,FALSE)</f>
        <v>2021</v>
      </c>
      <c r="E784" s="15">
        <f ca="1">VLOOKUP(B784,'ALL DATABASES'!$A$1:$T$2252,10,FALSE)</f>
        <v>2021</v>
      </c>
      <c r="F784" s="54" t="str">
        <f ca="1">VLOOKUP(B784,'ALL DATABASES'!$A$1:$T$2252,14,FALSE)</f>
        <v>https://doi.org/10.1145/3464970.3468413;http://dx.doi.org/10.1145/3464970.3468413</v>
      </c>
      <c r="G784" s="15" t="str">
        <f ca="1">VLOOKUP(B784,'ALL DATABASES'!$A$1:$T$2252,3,FALSE)</f>
        <v>Conference Paper</v>
      </c>
      <c r="H784" s="50" t="str">
        <f ca="1">VLOOKUP(B784,'ALL DATABASES'!$A$1:$T$2252,20,FALSE)</f>
        <v>ACM</v>
      </c>
    </row>
    <row r="785" spans="1:8" ht="12.75" x14ac:dyDescent="0.2">
      <c r="A785">
        <v>784</v>
      </c>
      <c r="B785" s="15" t="str">
        <f ca="1">IFERROR(__xludf.DUMMYFUNCTION("""COMPUTED_VALUE"""),"Fixes That Fail: Self-Defeating Improvements in Machine-Learning Systems")</f>
        <v>Fixes That Fail: Self-Defeating Improvements in Machine-Learning Systems</v>
      </c>
      <c r="C785" s="15" t="str">
        <f ca="1">VLOOKUP(B785,'ALL DATABASES'!$A$1:$T$2252,2,FALSE)</f>
        <v>Wu R,Guo C,Hannun A,van der Maaten L</v>
      </c>
      <c r="D785" s="15">
        <f ca="1">VLOOKUP(B785,'ALL DATABASES'!$A$1:$T$2252,5,FALSE)</f>
        <v>2021</v>
      </c>
      <c r="E785" s="15">
        <f ca="1">VLOOKUP(B785,'ALL DATABASES'!$A$1:$T$2252,10,FALSE)</f>
        <v>2021</v>
      </c>
      <c r="F785" s="54" t="str">
        <f ca="1">VLOOKUP(B785,'ALL DATABASES'!$A$1:$T$2252,14,FALSE)</f>
        <v>https://www.scopus.com/inward/record.uri?eid=2-s2.0-85131835438&amp;partnerID=40&amp;md5=40c05d858c50c0800240f633ed3bce18</v>
      </c>
      <c r="G785" s="15" t="str">
        <f ca="1">VLOOKUP(B785,'ALL DATABASES'!$A$1:$T$2252,3,FALSE)</f>
        <v>Conference Paper</v>
      </c>
      <c r="H785" s="50" t="str">
        <f ca="1">VLOOKUP(B785,'ALL DATABASES'!$A$1:$T$2252,20,FALSE)</f>
        <v>SCOPUS</v>
      </c>
    </row>
    <row r="786" spans="1:8" ht="12.75" x14ac:dyDescent="0.2">
      <c r="A786">
        <v>785</v>
      </c>
      <c r="B786" s="15" t="str">
        <f ca="1">IFERROR(__xludf.DUMMYFUNCTION("""COMPUTED_VALUE"""),"FixMe: A GitHub Bot for Detecting and Monitoring on-Hold Self-Admitted Technical Debt")</f>
        <v>FixMe: A GitHub Bot for Detecting and Monitoring on-Hold Self-Admitted Technical Debt</v>
      </c>
      <c r="C786" s="15" t="str">
        <f ca="1">VLOOKUP(B786,'ALL DATABASES'!$A$1:$T$2252,2,FALSE)</f>
        <v>Phaithoon S,Wongnil S,Pussawong P,Choetkiertikul M,Ragkhitwetsagul C,Sunetnanta T,Maipradit R,Hata H,Matsumoto K</v>
      </c>
      <c r="D786" s="15">
        <f ca="1">VLOOKUP(B786,'ALL DATABASES'!$A$1:$T$2252,5,FALSE)</f>
        <v>2022</v>
      </c>
      <c r="E786" s="15">
        <f ca="1">VLOOKUP(B786,'ALL DATABASES'!$A$1:$T$2252,10,FALSE)</f>
        <v>2022</v>
      </c>
      <c r="F786" s="54" t="str">
        <f ca="1">VLOOKUP(B786,'ALL DATABASES'!$A$1:$T$2252,14,FALSE)</f>
        <v>https://doi.org/10.1109/ASE51524.2021.9678680;http://dx.doi.org/10.1109/ASE51524.2021.9678680</v>
      </c>
      <c r="G786" s="15" t="str">
        <f ca="1">VLOOKUP(B786,'ALL DATABASES'!$A$1:$T$2252,3,FALSE)</f>
        <v>Conference Paper</v>
      </c>
      <c r="H786" s="50" t="str">
        <f ca="1">VLOOKUP(B786,'ALL DATABASES'!$A$1:$T$2252,20,FALSE)</f>
        <v>ACM</v>
      </c>
    </row>
    <row r="787" spans="1:8" ht="12.75" x14ac:dyDescent="0.2">
      <c r="A787">
        <v>786</v>
      </c>
      <c r="B787" s="15" t="str">
        <f ca="1">IFERROR(__xludf.DUMMYFUNCTION("""COMPUTED_VALUE"""),"FIXME: synchronize with database! An empirical study of data access self-admitted technical debt")</f>
        <v>FIXME: synchronize with database! An empirical study of data access self-admitted technical debt</v>
      </c>
      <c r="C787" s="15" t="str">
        <f ca="1">VLOOKUP(B787,'ALL DATABASES'!$A$1:$T$2252,2,FALSE)</f>
        <v>Biruk Asmare MuseCsaba NagyAnthony CleveFoutse KhomhGiuliano Antoniol</v>
      </c>
      <c r="D787" s="15">
        <f ca="1">VLOOKUP(B787,'ALL DATABASES'!$A$1:$T$2252,5,FALSE)</f>
        <v>2022</v>
      </c>
      <c r="E787" s="15">
        <f ca="1">VLOOKUP(B787,'ALL DATABASES'!$A$1:$T$2252,10,FALSE)</f>
        <v>0</v>
      </c>
      <c r="F787" s="54" t="str">
        <f ca="1">VLOOKUP(B787,'ALL DATABASES'!$A$1:$T$2252,14,FALSE)</f>
        <v>http://link.springer.com/article/10.1007/s10664-022-10119-4</v>
      </c>
      <c r="G787" s="15" t="str">
        <f ca="1">VLOOKUP(B787,'ALL DATABASES'!$A$1:$T$2252,3,FALSE)</f>
        <v>Article</v>
      </c>
      <c r="H787" s="50" t="str">
        <f ca="1">VLOOKUP(B787,'ALL DATABASES'!$A$1:$T$2252,20,FALSE)</f>
        <v>SPRINGER</v>
      </c>
    </row>
    <row r="788" spans="1:8" ht="12.75" x14ac:dyDescent="0.2">
      <c r="A788">
        <v>787</v>
      </c>
      <c r="B788" s="15" t="str">
        <f ca="1">IFERROR(__xludf.DUMMYFUNCTION("""COMPUTED_VALUE"""),"Focusing synonymy on source code repositories; [Enfocando la sinonimia sobre repositorios de código fuente]")</f>
        <v>Focusing synonymy on source code repositories; [Enfocando la sinonimia sobre repositorios de código fuente]</v>
      </c>
      <c r="C788" s="15" t="str">
        <f ca="1">VLOOKUP(B788,'ALL DATABASES'!$A$1:$T$2252,2,FALSE)</f>
        <v>Del Carpio PM</v>
      </c>
      <c r="D788" s="15">
        <f ca="1">VLOOKUP(B788,'ALL DATABASES'!$A$1:$T$2252,5,FALSE)</f>
        <v>2020</v>
      </c>
      <c r="E788" s="15">
        <f ca="1">VLOOKUP(B788,'ALL DATABASES'!$A$1:$T$2252,10,FALSE)</f>
        <v>2020</v>
      </c>
      <c r="F788" s="54" t="str">
        <f ca="1">VLOOKUP(B788,'ALL DATABASES'!$A$1:$T$2252,14,FALSE)</f>
        <v>https://www.scopus.com/inward/record.uri?eid=2-s2.0-85089946122&amp;partnerID=40&amp;md5=1e22d1cc0d8dcb9e4fd79a234ff82d45</v>
      </c>
      <c r="G788" s="15" t="str">
        <f ca="1">VLOOKUP(B788,'ALL DATABASES'!$A$1:$T$2252,3,FALSE)</f>
        <v>Journal Article</v>
      </c>
      <c r="H788" s="50" t="str">
        <f ca="1">VLOOKUP(B788,'ALL DATABASES'!$A$1:$T$2252,20,FALSE)</f>
        <v>SCOPUS</v>
      </c>
    </row>
    <row r="789" spans="1:8" ht="12.75" x14ac:dyDescent="0.2">
      <c r="A789">
        <v>788</v>
      </c>
      <c r="B789" s="15" t="str">
        <f ca="1">IFERROR(__xludf.DUMMYFUNCTION("""COMPUTED_VALUE"""),"Forecasting Architectural Decay From Evolutionary History")</f>
        <v>Forecasting Architectural Decay From Evolutionary History</v>
      </c>
      <c r="C789" s="15" t="str">
        <f ca="1">VLOOKUP(B789,'ALL DATABASES'!$A$1:$T$2252,2,FALSE)</f>
        <v>Garcia J,Kouroshfar E,Ghorbani N,Malek S</v>
      </c>
      <c r="D789" s="15">
        <f ca="1">VLOOKUP(B789,'ALL DATABASES'!$A$1:$T$2252,5,FALSE)</f>
        <v>2022</v>
      </c>
      <c r="E789" s="55">
        <f ca="1">VLOOKUP(B789,'ALL DATABASES'!$A$1:$T$2252,10,FALSE)</f>
        <v>44743</v>
      </c>
      <c r="F789" s="54" t="str">
        <f ca="1">VLOOKUP(B789,'ALL DATABASES'!$A$1:$T$2252,14,FALSE)</f>
        <v>http://dx.doi.org/10.1109/TSE.2021.3060068</v>
      </c>
      <c r="G789" s="15" t="str">
        <f ca="1">VLOOKUP(B789,'ALL DATABASES'!$A$1:$T$2252,3,FALSE)</f>
        <v>Journal Article</v>
      </c>
      <c r="H789" s="50" t="str">
        <f ca="1">VLOOKUP(B789,'ALL DATABASES'!$A$1:$T$2252,20,FALSE)</f>
        <v>IEEE</v>
      </c>
    </row>
    <row r="790" spans="1:8" ht="12.75" x14ac:dyDescent="0.2">
      <c r="A790">
        <v>789</v>
      </c>
      <c r="B790" s="15" t="str">
        <f ca="1">IFERROR(__xludf.DUMMYFUNCTION("""COMPUTED_VALUE"""),"Forecasting technical debt evolution in software systems: an empirical study")</f>
        <v>Forecasting technical debt evolution in software systems: an empirical study</v>
      </c>
      <c r="C790" s="15" t="str">
        <f ca="1">VLOOKUP(B790,'ALL DATABASES'!$A$1:$T$2252,2,FALSE)</f>
        <v>Aversano L,Bernardi ML,Cimitile M,Iammarino M,Montano D</v>
      </c>
      <c r="D790" s="15">
        <f ca="1">VLOOKUP(B790,'ALL DATABASES'!$A$1:$T$2252,5,FALSE)</f>
        <v>2023</v>
      </c>
      <c r="E790" s="15">
        <f ca="1">VLOOKUP(B790,'ALL DATABASES'!$A$1:$T$2252,10,FALSE)</f>
        <v>2023</v>
      </c>
      <c r="F790" s="54" t="str">
        <f ca="1">VLOOKUP(B790,'ALL DATABASES'!$A$1:$T$2252,14,FALSE)</f>
        <v>https://www.scopus.com/inward/record.uri?eid=2-s2.0-85141566820&amp;doi=10.1007%2fs11704-022-1541-7&amp;partnerID=40&amp;md5=4a88983a1a39182776f8ffe63ca8a9df;http://dx.doi.org/10.1007/s11704-022-1541-7</v>
      </c>
      <c r="G790" s="15" t="str">
        <f ca="1">VLOOKUP(B790,'ALL DATABASES'!$A$1:$T$2252,3,FALSE)</f>
        <v>Journal Article</v>
      </c>
      <c r="H790" s="50" t="str">
        <f ca="1">VLOOKUP(B790,'ALL DATABASES'!$A$1:$T$2252,20,FALSE)</f>
        <v>SCOPUS</v>
      </c>
    </row>
    <row r="791" spans="1:8" ht="12.75" x14ac:dyDescent="0.2">
      <c r="A791">
        <v>790</v>
      </c>
      <c r="B791" s="15" t="str">
        <f ca="1">IFERROR(__xludf.DUMMYFUNCTION("""COMPUTED_VALUE"""),"Forecasting the Principal of Code Technical Debt in JavaScript Applications")</f>
        <v>Forecasting the Principal of Code Technical Debt in JavaScript Applications</v>
      </c>
      <c r="C791" s="15" t="str">
        <f ca="1">VLOOKUP(B791,'ALL DATABASES'!$A$1:$T$2252,2,FALSE)</f>
        <v>Zozas I,Bibi S,Ampatzoglou A</v>
      </c>
      <c r="D791" s="15">
        <f ca="1">VLOOKUP(B791,'ALL DATABASES'!$A$1:$T$2252,5,FALSE)</f>
        <v>2022</v>
      </c>
      <c r="E791" s="15">
        <f ca="1">VLOOKUP(B791,'ALL DATABASES'!$A$1:$T$2252,10,FALSE)</f>
        <v>2022</v>
      </c>
      <c r="F791" s="54" t="str">
        <f ca="1">VLOOKUP(B791,'ALL DATABASES'!$A$1:$T$2252,14,FALSE)</f>
        <v>http://dx.doi.org/10.1109/TSE.2022.3222318</v>
      </c>
      <c r="G791" s="15" t="str">
        <f ca="1">VLOOKUP(B791,'ALL DATABASES'!$A$1:$T$2252,3,FALSE)</f>
        <v>Journal Article</v>
      </c>
      <c r="H791" s="50" t="str">
        <f ca="1">VLOOKUP(B791,'ALL DATABASES'!$A$1:$T$2252,20,FALSE)</f>
        <v>IEEE</v>
      </c>
    </row>
    <row r="792" spans="1:8" ht="12.75" x14ac:dyDescent="0.2">
      <c r="A792">
        <v>791</v>
      </c>
      <c r="B792" s="15" t="str">
        <f ca="1">IFERROR(__xludf.DUMMYFUNCTION("""COMPUTED_VALUE"""),"Foster Sustainable Software Engineering (SSE) Awareness in Large Enterprises â€“ a Cheat Sheet for Technical and Organizational Indicators")</f>
        <v>Foster Sustainable Software Engineering (SSE) Awareness in Large Enterprises â€“ a Cheat Sheet for Technical and Organizational Indicators</v>
      </c>
      <c r="C792" s="15" t="str">
        <f ca="1">VLOOKUP(B792,'ALL DATABASES'!$A$1:$T$2252,2,FALSE)</f>
        <v>Alexander PothAndi H. WidokAndreas HenschelDaniela EiÃŸfeldt</v>
      </c>
      <c r="D792" s="15">
        <f ca="1">VLOOKUP(B792,'ALL DATABASES'!$A$1:$T$2252,5,FALSE)</f>
        <v>2022</v>
      </c>
      <c r="E792" s="15">
        <f ca="1">VLOOKUP(B792,'ALL DATABASES'!$A$1:$T$2252,10,FALSE)</f>
        <v>0</v>
      </c>
      <c r="F792" s="54" t="str">
        <f ca="1">VLOOKUP(B792,'ALL DATABASES'!$A$1:$T$2252,14,FALSE)</f>
        <v>http://link.springer.com/chapter/10.1007/978-3-031-15559-8_5</v>
      </c>
      <c r="G792" s="15" t="str">
        <f ca="1">VLOOKUP(B792,'ALL DATABASES'!$A$1:$T$2252,3,FALSE)</f>
        <v>Chapter</v>
      </c>
      <c r="H792" s="50" t="str">
        <f ca="1">VLOOKUP(B792,'ALL DATABASES'!$A$1:$T$2252,20,FALSE)</f>
        <v>SPRINGER</v>
      </c>
    </row>
    <row r="793" spans="1:8" ht="12.75" x14ac:dyDescent="0.2">
      <c r="A793">
        <v>792</v>
      </c>
      <c r="B793" s="15" t="str">
        <f ca="1">IFERROR(__xludf.DUMMYFUNCTION("""COMPUTED_VALUE"""),"Freedom and Social Inclusion in a Connected World")</f>
        <v>Freedom and Social Inclusion in a Connected World</v>
      </c>
      <c r="C793" s="15" t="str">
        <f ca="1">VLOOKUP(B793,'ALL DATABASES'!$A$1:$T$2252,2,FALSE)</f>
        <v>Yingqin ZhengPamela AbbottJose Antonio Robles-Flores</v>
      </c>
      <c r="D793" s="15">
        <f ca="1">VLOOKUP(B793,'ALL DATABASES'!$A$1:$T$2252,5,FALSE)</f>
        <v>2022</v>
      </c>
      <c r="E793" s="15">
        <f ca="1">VLOOKUP(B793,'ALL DATABASES'!$A$1:$T$2252,10,FALSE)</f>
        <v>0</v>
      </c>
      <c r="F793" s="54" t="str">
        <f ca="1">VLOOKUP(B793,'ALL DATABASES'!$A$1:$T$2252,14,FALSE)</f>
        <v>http://link.springer.com/book/10.1007/978-3-031-19429-0</v>
      </c>
      <c r="G793" s="15" t="str">
        <f ca="1">VLOOKUP(B793,'ALL DATABASES'!$A$1:$T$2252,3,FALSE)</f>
        <v>Book</v>
      </c>
      <c r="H793" s="50" t="str">
        <f ca="1">VLOOKUP(B793,'ALL DATABASES'!$A$1:$T$2252,20,FALSE)</f>
        <v>SPRINGER</v>
      </c>
    </row>
    <row r="794" spans="1:8" ht="12.75" x14ac:dyDescent="0.2">
      <c r="A794">
        <v>793</v>
      </c>
      <c r="B794" s="15" t="str">
        <f ca="1">IFERROR(__xludf.DUMMYFUNCTION("""COMPUTED_VALUE"""),"Freelancer Supported Innovation in Startups")</f>
        <v>Freelancer Supported Innovation in Startups</v>
      </c>
      <c r="C794" s="15" t="str">
        <f ca="1">VLOOKUP(B794,'ALL DATABASES'!$A$1:$T$2252,2,FALSE)</f>
        <v>Varun Gupta</v>
      </c>
      <c r="D794" s="15">
        <f ca="1">VLOOKUP(B794,'ALL DATABASES'!$A$1:$T$2252,5,FALSE)</f>
        <v>2023</v>
      </c>
      <c r="E794" s="15">
        <f ca="1">VLOOKUP(B794,'ALL DATABASES'!$A$1:$T$2252,10,FALSE)</f>
        <v>0</v>
      </c>
      <c r="F794" s="54" t="str">
        <f ca="1">VLOOKUP(B794,'ALL DATABASES'!$A$1:$T$2252,14,FALSE)</f>
        <v>http://link.springer.com/chapter/10.1007/978-3-031-19741-3_3</v>
      </c>
      <c r="G794" s="15" t="str">
        <f ca="1">VLOOKUP(B794,'ALL DATABASES'!$A$1:$T$2252,3,FALSE)</f>
        <v>Chapter</v>
      </c>
      <c r="H794" s="50" t="str">
        <f ca="1">VLOOKUP(B794,'ALL DATABASES'!$A$1:$T$2252,20,FALSE)</f>
        <v>SPRINGER</v>
      </c>
    </row>
    <row r="795" spans="1:8" ht="12.75" x14ac:dyDescent="0.2">
      <c r="A795">
        <v>794</v>
      </c>
      <c r="B795" s="15" t="str">
        <f ca="1">IFERROR(__xludf.DUMMYFUNCTION("""COMPUTED_VALUE"""),"From a Data Science Driven Process to a Continuous Delivery Process for Machine Learning Systems")</f>
        <v>From a Data Science Driven Process to a Continuous Delivery Process for Machine Learning Systems</v>
      </c>
      <c r="C795" s="15" t="str">
        <f ca="1">VLOOKUP(B795,'ALL DATABASES'!$A$1:$T$2252,2,FALSE)</f>
        <v>Lucy Ellen LwakatareIvica CrnkovicEllinor RÃ¥ngeJan Bosch</v>
      </c>
      <c r="D795" s="15">
        <f ca="1">VLOOKUP(B795,'ALL DATABASES'!$A$1:$T$2252,5,FALSE)</f>
        <v>2020</v>
      </c>
      <c r="E795" s="15">
        <f ca="1">VLOOKUP(B795,'ALL DATABASES'!$A$1:$T$2252,10,FALSE)</f>
        <v>0</v>
      </c>
      <c r="F795" s="54" t="str">
        <f ca="1">VLOOKUP(B795,'ALL DATABASES'!$A$1:$T$2252,14,FALSE)</f>
        <v>http://link.springer.com/chapter/10.1007/978-3-030-64148-1_12</v>
      </c>
      <c r="G795" s="15" t="str">
        <f ca="1">VLOOKUP(B795,'ALL DATABASES'!$A$1:$T$2252,3,FALSE)</f>
        <v>Chapter</v>
      </c>
      <c r="H795" s="50" t="str">
        <f ca="1">VLOOKUP(B795,'ALL DATABASES'!$A$1:$T$2252,20,FALSE)</f>
        <v>SPRINGER</v>
      </c>
    </row>
    <row r="796" spans="1:8" s="71" customFormat="1" ht="12.75" x14ac:dyDescent="0.2">
      <c r="A796">
        <v>795</v>
      </c>
      <c r="B796" s="68" t="str">
        <f ca="1">IFERROR(__xludf.DUMMYFUNCTION("""COMPUTED_VALUE"""),"From DevOps to MLOps: Overview and Application to Electricity Market Forecasting")</f>
        <v>From DevOps to MLOps: Overview and Application to Electricity Market Forecasting</v>
      </c>
      <c r="C796" s="68" t="str">
        <f ca="1">VLOOKUP(B796,'ALL DATABASES'!$A$1:$T$2252,2,FALSE)</f>
        <v>Subramanya R,Sierla S,Vyatkin V</v>
      </c>
      <c r="D796" s="68">
        <f ca="1">VLOOKUP(B796,'ALL DATABASES'!$A$1:$T$2252,5,FALSE)</f>
        <v>2022</v>
      </c>
      <c r="E796" s="68">
        <f ca="1">VLOOKUP(B796,'ALL DATABASES'!$A$1:$T$2252,10,FALSE)</f>
        <v>2022</v>
      </c>
      <c r="F796" s="69" t="str">
        <f ca="1">VLOOKUP(B796,'ALL DATABASES'!$A$1:$T$2252,14,FALSE)</f>
        <v>https://www.scopus.com/inward/record.uri?eid=2-s2.0-85139914234&amp;doi=10.3390%2fapp12199851&amp;partnerID=40&amp;md5=bb511d78b795e3322d6f03596b346bed;http://dx.doi.org/10.3390/app12199851</v>
      </c>
      <c r="G796" s="68" t="str">
        <f ca="1">VLOOKUP(B796,'ALL DATABASES'!$A$1:$T$2252,3,FALSE)</f>
        <v>Journal Article</v>
      </c>
      <c r="H796" s="70" t="str">
        <f ca="1">VLOOKUP(B796,'ALL DATABASES'!$A$1:$T$2252,20,FALSE)</f>
        <v>SCOPUS</v>
      </c>
    </row>
    <row r="797" spans="1:8" ht="12.75" x14ac:dyDescent="0.2">
      <c r="A797">
        <v>796</v>
      </c>
      <c r="B797" s="15" t="str">
        <f ca="1">IFERROR(__xludf.DUMMYFUNCTION("""COMPUTED_VALUE"""),"From SATD Recognition to an Interpretation Method Based on the Dataset")</f>
        <v>From SATD Recognition to an Interpretation Method Based on the Dataset</v>
      </c>
      <c r="C797" s="15" t="str">
        <f ca="1">VLOOKUP(B797,'ALL DATABASES'!$A$1:$T$2252,2,FALSE)</f>
        <v>Meng Y,Tie B,Lin D</v>
      </c>
      <c r="D797" s="15">
        <f ca="1">VLOOKUP(B797,'ALL DATABASES'!$A$1:$T$2252,5,FALSE)</f>
        <v>2022</v>
      </c>
      <c r="E797" s="15">
        <f ca="1">VLOOKUP(B797,'ALL DATABASES'!$A$1:$T$2252,10,FALSE)</f>
        <v>2022</v>
      </c>
      <c r="F797" s="54" t="str">
        <f ca="1">VLOOKUP(B797,'ALL DATABASES'!$A$1:$T$2252,14,FALSE)</f>
        <v>https://www.scopus.com/inward/record.uri?eid=2-s2.0-85143589507&amp;doi=10.1142%2fS0218194022500693&amp;partnerID=40&amp;md5=f52a0e9b1784a7b8fc61fc1a9aefadcb;http://dx.doi.org/10.1142/S0218194022500693</v>
      </c>
      <c r="G797" s="15" t="str">
        <f ca="1">VLOOKUP(B797,'ALL DATABASES'!$A$1:$T$2252,3,FALSE)</f>
        <v>Journal Article</v>
      </c>
      <c r="H797" s="50" t="str">
        <f ca="1">VLOOKUP(B797,'ALL DATABASES'!$A$1:$T$2252,20,FALSE)</f>
        <v>SCOPUS</v>
      </c>
    </row>
    <row r="798" spans="1:8" ht="12.75" x14ac:dyDescent="0.2">
      <c r="A798">
        <v>797</v>
      </c>
      <c r="B798" s="15" t="str">
        <f ca="1">IFERROR(__xludf.DUMMYFUNCTION("""COMPUTED_VALUE"""),"Front Matter")</f>
        <v>Front Matter</v>
      </c>
      <c r="C798" s="15" t="str">
        <f ca="1">VLOOKUP(B798,'ALL DATABASES'!$A$1:$T$2252,2,FALSE)</f>
        <v>Sullivan D</v>
      </c>
      <c r="D798" s="15">
        <f ca="1">VLOOKUP(B798,'ALL DATABASES'!$A$1:$T$2252,5,FALSE)</f>
        <v>2020</v>
      </c>
      <c r="E798" s="15">
        <f ca="1">VLOOKUP(B798,'ALL DATABASES'!$A$1:$T$2252,10,FALSE)</f>
        <v>2020</v>
      </c>
      <c r="F798" s="54" t="str">
        <f ca="1">VLOOKUP(B798,'ALL DATABASES'!$A$1:$T$2252,14,FALSE)</f>
        <v>https://ieeexplore.ieee.org/document/9822939;http://dx.doi.org/10.1002/9781119602477.fmatter</v>
      </c>
      <c r="G798" s="15" t="str">
        <f ca="1">VLOOKUP(B798,'ALL DATABASES'!$A$1:$T$2252,3,FALSE)</f>
        <v>Book Chapter</v>
      </c>
      <c r="H798" s="50" t="str">
        <f ca="1">VLOOKUP(B798,'ALL DATABASES'!$A$1:$T$2252,20,FALSE)</f>
        <v>IEEE</v>
      </c>
    </row>
    <row r="799" spans="1:8" ht="12.75" x14ac:dyDescent="0.2">
      <c r="A799">
        <v>798</v>
      </c>
      <c r="B799" s="15" t="str">
        <f ca="1">IFERROR(__xludf.DUMMYFUNCTION("""COMPUTED_VALUE"""),"FRUGAL: Unlocking Semi-Supervised Learning for Software Analytics")</f>
        <v>FRUGAL: Unlocking Semi-Supervised Learning for Software Analytics</v>
      </c>
      <c r="C799" s="15" t="str">
        <f ca="1">VLOOKUP(B799,'ALL DATABASES'!$A$1:$T$2252,2,FALSE)</f>
        <v>Tu H,Menzies T</v>
      </c>
      <c r="D799" s="15">
        <f ca="1">VLOOKUP(B799,'ALL DATABASES'!$A$1:$T$2252,5,FALSE)</f>
        <v>2022</v>
      </c>
      <c r="E799" s="15">
        <f ca="1">VLOOKUP(B799,'ALL DATABASES'!$A$1:$T$2252,10,FALSE)</f>
        <v>2022</v>
      </c>
      <c r="F799" s="54" t="str">
        <f ca="1">VLOOKUP(B799,'ALL DATABASES'!$A$1:$T$2252,14,FALSE)</f>
        <v>https://doi.org/10.1109/ASE51524.2021.9678617;http://dx.doi.org/10.1109/ASE51524.2021.9678617</v>
      </c>
      <c r="G799" s="15" t="str">
        <f ca="1">VLOOKUP(B799,'ALL DATABASES'!$A$1:$T$2252,3,FALSE)</f>
        <v>Conference Paper</v>
      </c>
      <c r="H799" s="50" t="str">
        <f ca="1">VLOOKUP(B799,'ALL DATABASES'!$A$1:$T$2252,20,FALSE)</f>
        <v>ACM</v>
      </c>
    </row>
    <row r="800" spans="1:8" ht="12.75" x14ac:dyDescent="0.2">
      <c r="A800">
        <v>799</v>
      </c>
      <c r="B800" s="15" t="str">
        <f ca="1">IFERROR(__xludf.DUMMYFUNCTION("""COMPUTED_VALUE"""),"Functional Hazard Analysis for Engineering Safe Software Requirements")</f>
        <v>Functional Hazard Analysis for Engineering Safe Software Requirements</v>
      </c>
      <c r="C800" s="15" t="str">
        <f ca="1">VLOOKUP(B800,'ALL DATABASES'!$A$1:$T$2252,2,FALSE)</f>
        <v>Tran VN,Tran LV,Tran VN</v>
      </c>
      <c r="D800" s="15">
        <f ca="1">VLOOKUP(B800,'ALL DATABASES'!$A$1:$T$2252,5,FALSE)</f>
        <v>2021</v>
      </c>
      <c r="E800" s="55">
        <f ca="1">VLOOKUP(B800,'ALL DATABASES'!$A$1:$T$2252,10,FALSE)</f>
        <v>44256</v>
      </c>
      <c r="F800" s="54" t="str">
        <f ca="1">VLOOKUP(B800,'ALL DATABASES'!$A$1:$T$2252,14,FALSE)</f>
        <v>http://dx.doi.org/10.1109/ICICT52872.2021.00031</v>
      </c>
      <c r="G800" s="15" t="str">
        <f ca="1">VLOOKUP(B800,'ALL DATABASES'!$A$1:$T$2252,3,FALSE)</f>
        <v>Conference Paper</v>
      </c>
      <c r="H800" s="50" t="str">
        <f ca="1">VLOOKUP(B800,'ALL DATABASES'!$A$1:$T$2252,20,FALSE)</f>
        <v>IEEE</v>
      </c>
    </row>
    <row r="801" spans="1:8" ht="12.75" x14ac:dyDescent="0.2">
      <c r="A801">
        <v>800</v>
      </c>
      <c r="B801" s="15" t="str">
        <f ca="1">IFERROR(__xludf.DUMMYFUNCTION("""COMPUTED_VALUE"""),"Functional Safety and Proof of Compliance")</f>
        <v>Functional Safety and Proof of Compliance</v>
      </c>
      <c r="C801" s="15" t="str">
        <f ca="1">VLOOKUP(B801,'ALL DATABASES'!$A$1:$T$2252,2,FALSE)</f>
        <v>Thor MyklebustTor StÃ¥lhane</v>
      </c>
      <c r="D801" s="15">
        <f ca="1">VLOOKUP(B801,'ALL DATABASES'!$A$1:$T$2252,5,FALSE)</f>
        <v>2021</v>
      </c>
      <c r="E801" s="15">
        <f ca="1">VLOOKUP(B801,'ALL DATABASES'!$A$1:$T$2252,10,FALSE)</f>
        <v>0</v>
      </c>
      <c r="F801" s="54" t="str">
        <f ca="1">VLOOKUP(B801,'ALL DATABASES'!$A$1:$T$2252,14,FALSE)</f>
        <v>http://link.springer.com/book/10.1007/978-3-030-86152-0</v>
      </c>
      <c r="G801" s="15" t="str">
        <f ca="1">VLOOKUP(B801,'ALL DATABASES'!$A$1:$T$2252,3,FALSE)</f>
        <v>Book</v>
      </c>
      <c r="H801" s="50" t="str">
        <f ca="1">VLOOKUP(B801,'ALL DATABASES'!$A$1:$T$2252,20,FALSE)</f>
        <v>SPRINGER</v>
      </c>
    </row>
    <row r="802" spans="1:8" ht="12.75" x14ac:dyDescent="0.2">
      <c r="A802">
        <v>801</v>
      </c>
      <c r="B802" s="15" t="str">
        <f ca="1">IFERROR(__xludf.DUMMYFUNCTION("""COMPUTED_VALUE"""),"Fundamental limits of data analytics in sociotechnical systems")</f>
        <v>Fundamental limits of data analytics in sociotechnical systems</v>
      </c>
      <c r="C802" s="15" t="str">
        <f ca="1">VLOOKUP(B802,'ALL DATABASES'!$A$1:$T$2252,2,FALSE)</f>
        <v>Varshney LR</v>
      </c>
      <c r="D802" s="15">
        <f ca="1">VLOOKUP(B802,'ALL DATABASES'!$A$1:$T$2252,5,FALSE)</f>
        <v>2016</v>
      </c>
      <c r="E802" s="15">
        <f ca="1">VLOOKUP(B802,'ALL DATABASES'!$A$1:$T$2252,10,FALSE)</f>
        <v>2016</v>
      </c>
      <c r="F802" s="54" t="str">
        <f ca="1">VLOOKUP(B802,'ALL DATABASES'!$A$1:$T$2252,14,FALSE)</f>
        <v>https://www.scopus.com/inward/record.uri?eid=2-s2.0-85061993669&amp;doi=10.3389%2ffict.2016.00002&amp;partnerID=40&amp;md5=2c17672af2cd3970e22753ec24c43c7b;http://dx.doi.org/10.3389/fict.2016.00002</v>
      </c>
      <c r="G802" s="15" t="str">
        <f ca="1">VLOOKUP(B802,'ALL DATABASES'!$A$1:$T$2252,3,FALSE)</f>
        <v>Journal Article</v>
      </c>
      <c r="H802" s="50" t="str">
        <f ca="1">VLOOKUP(B802,'ALL DATABASES'!$A$1:$T$2252,20,FALSE)</f>
        <v>SCOPUS</v>
      </c>
    </row>
    <row r="803" spans="1:8" ht="12.75" x14ac:dyDescent="0.2">
      <c r="A803">
        <v>802</v>
      </c>
      <c r="B803" s="15" t="str">
        <f ca="1">IFERROR(__xludf.DUMMYFUNCTION("""COMPUTED_VALUE"""),"Fundamentals of Enterprise Architecture Management")</f>
        <v>Fundamentals of Enterprise Architecture Management</v>
      </c>
      <c r="C803" s="15" t="str">
        <f ca="1">VLOOKUP(B803,'ALL DATABASES'!$A$1:$T$2252,2,FALSE)</f>
        <v>Dr. JÃ¶rg Ziemann</v>
      </c>
      <c r="D803" s="15">
        <f ca="1">VLOOKUP(B803,'ALL DATABASES'!$A$1:$T$2252,5,FALSE)</f>
        <v>2022</v>
      </c>
      <c r="E803" s="15">
        <f ca="1">VLOOKUP(B803,'ALL DATABASES'!$A$1:$T$2252,10,FALSE)</f>
        <v>0</v>
      </c>
      <c r="F803" s="54" t="str">
        <f ca="1">VLOOKUP(B803,'ALL DATABASES'!$A$1:$T$2252,14,FALSE)</f>
        <v>http://link.springer.com/book/10.1007/978-3-030-96734-5</v>
      </c>
      <c r="G803" s="15" t="str">
        <f ca="1">VLOOKUP(B803,'ALL DATABASES'!$A$1:$T$2252,3,FALSE)</f>
        <v>Book</v>
      </c>
      <c r="H803" s="50" t="str">
        <f ca="1">VLOOKUP(B803,'ALL DATABASES'!$A$1:$T$2252,20,FALSE)</f>
        <v>SPRINGER</v>
      </c>
    </row>
    <row r="804" spans="1:8" ht="12.75" x14ac:dyDescent="0.2">
      <c r="A804">
        <v>803</v>
      </c>
      <c r="B804" s="15" t="str">
        <f ca="1">IFERROR(__xludf.DUMMYFUNCTION("""COMPUTED_VALUE"""),"Future-proof software-systems: A sustainable evolution strategy")</f>
        <v>Future-proof software-systems: A sustainable evolution strategy</v>
      </c>
      <c r="C804" s="15" t="str">
        <f ca="1">VLOOKUP(B804,'ALL DATABASES'!$A$1:$T$2252,2,FALSE)</f>
        <v>Furrer FJ</v>
      </c>
      <c r="D804" s="15">
        <f ca="1">VLOOKUP(B804,'ALL DATABASES'!$A$1:$T$2252,5,FALSE)</f>
        <v>2019</v>
      </c>
      <c r="E804" s="15">
        <f ca="1">VLOOKUP(B804,'ALL DATABASES'!$A$1:$T$2252,10,FALSE)</f>
        <v>2019</v>
      </c>
      <c r="F804" s="54" t="str">
        <f ca="1">VLOOKUP(B804,'ALL DATABASES'!$A$1:$T$2252,14,FALSE)</f>
        <v>https://www.scopus.com/inward/record.uri?eid=2-s2.0-85084275412&amp;doi=10.1007%2f978-3-658-19938-8&amp;partnerID=40&amp;md5=71c21093dadb63d6cee4c5bd55f82028;http://dx.doi.org/10.1007/978-3-658-19938-8</v>
      </c>
      <c r="G804" s="15" t="str">
        <f ca="1">VLOOKUP(B804,'ALL DATABASES'!$A$1:$T$2252,3,FALSE)</f>
        <v>Book</v>
      </c>
      <c r="H804" s="50" t="str">
        <f ca="1">VLOOKUP(B804,'ALL DATABASES'!$A$1:$T$2252,20,FALSE)</f>
        <v>SCOPUS</v>
      </c>
    </row>
    <row r="805" spans="1:8" ht="12.75" x14ac:dyDescent="0.2">
      <c r="A805">
        <v>804</v>
      </c>
      <c r="B805" s="15" t="str">
        <f ca="1">IFERROR(__xludf.DUMMYFUNCTION("""COMPUTED_VALUE"""),"Game Theoretic Models for Cyber Deception")</f>
        <v>Game Theoretic Models for Cyber Deception</v>
      </c>
      <c r="C805" s="15" t="str">
        <f ca="1">VLOOKUP(B805,'ALL DATABASES'!$A$1:$T$2252,2,FALSE)</f>
        <v>Fang F</v>
      </c>
      <c r="D805" s="15">
        <f ca="1">VLOOKUP(B805,'ALL DATABASES'!$A$1:$T$2252,5,FALSE)</f>
        <v>2021</v>
      </c>
      <c r="E805" s="15">
        <f ca="1">VLOOKUP(B805,'ALL DATABASES'!$A$1:$T$2252,10,FALSE)</f>
        <v>2021</v>
      </c>
      <c r="F805" s="54" t="str">
        <f ca="1">VLOOKUP(B805,'ALL DATABASES'!$A$1:$T$2252,14,FALSE)</f>
        <v>https://doi.org/10.1145/3474370.3485656;http://dx.doi.org/10.1145/3474370.3485656</v>
      </c>
      <c r="G805" s="15" t="str">
        <f ca="1">VLOOKUP(B805,'ALL DATABASES'!$A$1:$T$2252,3,FALSE)</f>
        <v>Conference Paper</v>
      </c>
      <c r="H805" s="50" t="str">
        <f ca="1">VLOOKUP(B805,'ALL DATABASES'!$A$1:$T$2252,20,FALSE)</f>
        <v>ACM</v>
      </c>
    </row>
    <row r="806" spans="1:8" ht="12.75" x14ac:dyDescent="0.2">
      <c r="A806">
        <v>805</v>
      </c>
      <c r="B806" s="15" t="str">
        <f ca="1">IFERROR(__xludf.DUMMYFUNCTION("""COMPUTED_VALUE"""),"Game-theoretic analysis of development practices: Challenges and opportunities")</f>
        <v>Game-theoretic analysis of development practices: Challenges and opportunities</v>
      </c>
      <c r="C806" s="15" t="str">
        <f ca="1">VLOOKUP(B806,'ALL DATABASES'!$A$1:$T$2252,2,FALSE)</f>
        <v>Gavidia-Calderon C,Sarro F,Harman M,Barr ET</v>
      </c>
      <c r="D806" s="15">
        <f ca="1">VLOOKUP(B806,'ALL DATABASES'!$A$1:$T$2252,5,FALSE)</f>
        <v>2020</v>
      </c>
      <c r="E806" s="15">
        <f ca="1">VLOOKUP(B806,'ALL DATABASES'!$A$1:$T$2252,10,FALSE)</f>
        <v>2020</v>
      </c>
      <c r="F806" s="54" t="str">
        <f ca="1">VLOOKUP(B806,'ALL DATABASES'!$A$1:$T$2252,14,FALSE)</f>
        <v>https://www.sciencedirect.com/science/article/pii/S0164121219301980;http://dx.doi.org/10.1016/j.jss.2019.110424</v>
      </c>
      <c r="G806" s="15" t="str">
        <f ca="1">VLOOKUP(B806,'ALL DATABASES'!$A$1:$T$2252,3,FALSE)</f>
        <v>Journal Article</v>
      </c>
      <c r="H806" s="50" t="str">
        <f ca="1">VLOOKUP(B806,'ALL DATABASES'!$A$1:$T$2252,20,FALSE)</f>
        <v>SCIENCEDIRECT</v>
      </c>
    </row>
    <row r="807" spans="1:8" ht="12.75" x14ac:dyDescent="0.2">
      <c r="A807">
        <v>806</v>
      </c>
      <c r="B807" s="15" t="str">
        <f ca="1">IFERROR(__xludf.DUMMYFUNCTION("""COMPUTED_VALUE"""),"Gamification based learning environment for computer science students")</f>
        <v>Gamification based learning environment for computer science students</v>
      </c>
      <c r="C807" s="15" t="str">
        <f ca="1">VLOOKUP(B807,'ALL DATABASES'!$A$1:$T$2252,2,FALSE)</f>
        <v>Zsigmond I,Bocicor MI,Molnar AJ</v>
      </c>
      <c r="D807" s="15">
        <f ca="1">VLOOKUP(B807,'ALL DATABASES'!$A$1:$T$2252,5,FALSE)</f>
        <v>2020</v>
      </c>
      <c r="E807" s="15">
        <f ca="1">VLOOKUP(B807,'ALL DATABASES'!$A$1:$T$2252,10,FALSE)</f>
        <v>2020</v>
      </c>
      <c r="F807" s="54" t="str">
        <f ca="1">VLOOKUP(B807,'ALL DATABASES'!$A$1:$T$2252,14,FALSE)</f>
        <v>https://www.scopus.com/inward/record.uri?eid=2-s2.0-85088377053&amp;partnerID=40&amp;md5=680d2c47b68278e24eac605a0e70c204</v>
      </c>
      <c r="G807" s="15" t="str">
        <f ca="1">VLOOKUP(B807,'ALL DATABASES'!$A$1:$T$2252,3,FALSE)</f>
        <v>Conference Paper</v>
      </c>
      <c r="H807" s="50" t="str">
        <f ca="1">VLOOKUP(B807,'ALL DATABASES'!$A$1:$T$2252,20,FALSE)</f>
        <v>SCOPUS</v>
      </c>
    </row>
    <row r="808" spans="1:8" ht="12.75" x14ac:dyDescent="0.2">
      <c r="A808">
        <v>807</v>
      </c>
      <c r="B808" s="15" t="str">
        <f ca="1">IFERROR(__xludf.DUMMYFUNCTION("""COMPUTED_VALUE"""),"Gender Diversity and Community Smells: A Double-Replication Study on Brazilian Software Teams")</f>
        <v>Gender Diversity and Community Smells: A Double-Replication Study on Brazilian Software Teams</v>
      </c>
      <c r="C808" s="15" t="str">
        <f ca="1">VLOOKUP(B808,'ALL DATABASES'!$A$1:$T$2252,2,FALSE)</f>
        <v>Sarmento C,Massoni T,Serebrenik A,Catolino G,Tamburri D,Palomba F</v>
      </c>
      <c r="D808" s="15">
        <f ca="1">VLOOKUP(B808,'ALL DATABASES'!$A$1:$T$2252,5,FALSE)</f>
        <v>2022</v>
      </c>
      <c r="E808" s="55">
        <f ca="1">VLOOKUP(B808,'ALL DATABASES'!$A$1:$T$2252,10,FALSE)</f>
        <v>44621</v>
      </c>
      <c r="F808" s="54" t="str">
        <f ca="1">VLOOKUP(B808,'ALL DATABASES'!$A$1:$T$2252,14,FALSE)</f>
        <v>http://dx.doi.org/10.1109/SANER53432.2022.00043</v>
      </c>
      <c r="G808" s="15" t="str">
        <f ca="1">VLOOKUP(B808,'ALL DATABASES'!$A$1:$T$2252,3,FALSE)</f>
        <v>Conference Paper</v>
      </c>
      <c r="H808" s="50" t="str">
        <f ca="1">VLOOKUP(B808,'ALL DATABASES'!$A$1:$T$2252,20,FALSE)</f>
        <v>IEEE</v>
      </c>
    </row>
    <row r="809" spans="1:8" ht="12.75" x14ac:dyDescent="0.2">
      <c r="A809">
        <v>808</v>
      </c>
      <c r="B809" s="15" t="str">
        <f ca="1">IFERROR(__xludf.DUMMYFUNCTION("""COMPUTED_VALUE"""),"General Principles")</f>
        <v>General Principles</v>
      </c>
      <c r="C809" s="15" t="str">
        <f ca="1">VLOOKUP(B809,'ALL DATABASES'!$A$1:$T$2252,2,FALSE)</f>
        <v>Frank J. Furrer</v>
      </c>
      <c r="D809" s="15">
        <f ca="1">VLOOKUP(B809,'ALL DATABASES'!$A$1:$T$2252,5,FALSE)</f>
        <v>2022</v>
      </c>
      <c r="E809" s="15">
        <f ca="1">VLOOKUP(B809,'ALL DATABASES'!$A$1:$T$2252,10,FALSE)</f>
        <v>0</v>
      </c>
      <c r="F809" s="54" t="str">
        <f ca="1">VLOOKUP(B809,'ALL DATABASES'!$A$1:$T$2252,14,FALSE)</f>
        <v>http://link.springer.com/chapter/10.1007/978-3-658-37182-1_9</v>
      </c>
      <c r="G809" s="15" t="str">
        <f ca="1">VLOOKUP(B809,'ALL DATABASES'!$A$1:$T$2252,3,FALSE)</f>
        <v>Chapter</v>
      </c>
      <c r="H809" s="50" t="str">
        <f ca="1">VLOOKUP(B809,'ALL DATABASES'!$A$1:$T$2252,20,FALSE)</f>
        <v>SPRINGER</v>
      </c>
    </row>
    <row r="810" spans="1:8" ht="12.75" x14ac:dyDescent="0.2">
      <c r="A810">
        <v>809</v>
      </c>
      <c r="B810" s="15" t="str">
        <f ca="1">IFERROR(__xludf.DUMMYFUNCTION("""COMPUTED_VALUE"""),"Generating Context-Aware API Calls from Natural Language Description Using Neural Embeddings and Machine Translation")</f>
        <v>Generating Context-Aware API Calls from Natural Language Description Using Neural Embeddings and Machine Translation</v>
      </c>
      <c r="C810" s="15" t="str">
        <f ca="1">VLOOKUP(B810,'ALL DATABASES'!$A$1:$T$2252,2,FALSE)</f>
        <v>Phan H,Sharma A,Jannesari A</v>
      </c>
      <c r="D810" s="15">
        <f ca="1">VLOOKUP(B810,'ALL DATABASES'!$A$1:$T$2252,5,FALSE)</f>
        <v>2021</v>
      </c>
      <c r="E810" s="53">
        <f ca="1">VLOOKUP(B810,'ALL DATABASES'!$A$1:$T$2252,10,FALSE)</f>
        <v>44501</v>
      </c>
      <c r="F810" s="54" t="str">
        <f ca="1">VLOOKUP(B810,'ALL DATABASES'!$A$1:$T$2252,14,FALSE)</f>
        <v>http://dx.doi.org/10.1109/ASEW52652.2021.00050</v>
      </c>
      <c r="G810" s="15" t="str">
        <f ca="1">VLOOKUP(B810,'ALL DATABASES'!$A$1:$T$2252,3,FALSE)</f>
        <v>Conference Paper</v>
      </c>
      <c r="H810" s="50" t="str">
        <f ca="1">VLOOKUP(B810,'ALL DATABASES'!$A$1:$T$2252,20,FALSE)</f>
        <v>IEEE</v>
      </c>
    </row>
    <row r="811" spans="1:8" ht="12.75" x14ac:dyDescent="0.2">
      <c r="A811">
        <v>810</v>
      </c>
      <c r="B811" s="15" t="str">
        <f ca="1">IFERROR(__xludf.DUMMYFUNCTION("""COMPUTED_VALUE"""),"Generation of refactoring algorithms by grammatical evolution")</f>
        <v>Generation of refactoring algorithms by grammatical evolution</v>
      </c>
      <c r="C811" s="15" t="str">
        <f ca="1">VLOOKUP(B811,'ALL DATABASES'!$A$1:$T$2252,2,FALSE)</f>
        <v>ThainÃ¡ MarianiMarouane KessentiniSilvia Regina Vergilio</v>
      </c>
      <c r="D811" s="15">
        <f ca="1">VLOOKUP(B811,'ALL DATABASES'!$A$1:$T$2252,5,FALSE)</f>
        <v>2022</v>
      </c>
      <c r="E811" s="15">
        <f ca="1">VLOOKUP(B811,'ALL DATABASES'!$A$1:$T$2252,10,FALSE)</f>
        <v>0</v>
      </c>
      <c r="F811" s="54" t="str">
        <f ca="1">VLOOKUP(B811,'ALL DATABASES'!$A$1:$T$2252,14,FALSE)</f>
        <v>http://link.springer.com/article/10.1007/s10664-022-10151-4</v>
      </c>
      <c r="G811" s="15" t="str">
        <f ca="1">VLOOKUP(B811,'ALL DATABASES'!$A$1:$T$2252,3,FALSE)</f>
        <v>Article</v>
      </c>
      <c r="H811" s="50" t="str">
        <f ca="1">VLOOKUP(B811,'ALL DATABASES'!$A$1:$T$2252,20,FALSE)</f>
        <v>SPRINGER</v>
      </c>
    </row>
    <row r="812" spans="1:8" ht="12.75" x14ac:dyDescent="0.2">
      <c r="A812">
        <v>811</v>
      </c>
      <c r="B812" s="15" t="str">
        <f ca="1">IFERROR(__xludf.DUMMYFUNCTION("""COMPUTED_VALUE"""),"Genetic algorithm-based fuzzy inference system for describing execution tracing quality")</f>
        <v>Genetic algorithm-based fuzzy inference system for describing execution tracing quality</v>
      </c>
      <c r="C812" s="15" t="str">
        <f ca="1">VLOOKUP(B812,'ALL DATABASES'!$A$1:$T$2252,2,FALSE)</f>
        <v>Galli T,Chiclana F,Siewe F</v>
      </c>
      <c r="D812" s="15">
        <f ca="1">VLOOKUP(B812,'ALL DATABASES'!$A$1:$T$2252,5,FALSE)</f>
        <v>2021</v>
      </c>
      <c r="E812" s="15">
        <f ca="1">VLOOKUP(B812,'ALL DATABASES'!$A$1:$T$2252,10,FALSE)</f>
        <v>2021</v>
      </c>
      <c r="F812" s="54" t="str">
        <f ca="1">VLOOKUP(B812,'ALL DATABASES'!$A$1:$T$2252,14,FALSE)</f>
        <v>https://www.scopus.com/inward/record.uri?eid=2-s2.0-85119142384&amp;doi=10.3390%2fmath9212822&amp;partnerID=40&amp;md5=76e2181e5894eda78f3d58276e25a967;http://dx.doi.org/10.3390/math9212822</v>
      </c>
      <c r="G812" s="15" t="str">
        <f ca="1">VLOOKUP(B812,'ALL DATABASES'!$A$1:$T$2252,3,FALSE)</f>
        <v>Journal Article</v>
      </c>
      <c r="H812" s="50" t="str">
        <f ca="1">VLOOKUP(B812,'ALL DATABASES'!$A$1:$T$2252,20,FALSE)</f>
        <v>SCOPUS</v>
      </c>
    </row>
    <row r="813" spans="1:8" ht="12.75" x14ac:dyDescent="0.2">
      <c r="A813">
        <v>812</v>
      </c>
      <c r="B813" s="15" t="str">
        <f ca="1">IFERROR(__xludf.DUMMYFUNCTION("""COMPUTED_VALUE"""),"Geospatial Artificial Intelligence: Potentials of Machine Learning for 3D Point Clouds and Geospatial Digital Twins")</f>
        <v>Geospatial Artificial Intelligence: Potentials of Machine Learning for 3D Point Clouds and Geospatial Digital Twins</v>
      </c>
      <c r="C813" s="15" t="str">
        <f ca="1">VLOOKUP(B813,'ALL DATABASES'!$A$1:$T$2252,2,FALSE)</f>
        <v>JÃ¼rgen DÃ¶llner</v>
      </c>
      <c r="D813" s="15">
        <f ca="1">VLOOKUP(B813,'ALL DATABASES'!$A$1:$T$2252,5,FALSE)</f>
        <v>2020</v>
      </c>
      <c r="E813" s="15">
        <f ca="1">VLOOKUP(B813,'ALL DATABASES'!$A$1:$T$2252,10,FALSE)</f>
        <v>0</v>
      </c>
      <c r="F813" s="54" t="str">
        <f ca="1">VLOOKUP(B813,'ALL DATABASES'!$A$1:$T$2252,14,FALSE)</f>
        <v>http://link.springer.com/article/10.1007/s41064-020-00102-3</v>
      </c>
      <c r="G813" s="15" t="str">
        <f ca="1">VLOOKUP(B813,'ALL DATABASES'!$A$1:$T$2252,3,FALSE)</f>
        <v>Article</v>
      </c>
      <c r="H813" s="50" t="str">
        <f ca="1">VLOOKUP(B813,'ALL DATABASES'!$A$1:$T$2252,20,FALSE)</f>
        <v>SPRINGER</v>
      </c>
    </row>
    <row r="814" spans="1:8" ht="12.75" x14ac:dyDescent="0.2">
      <c r="A814">
        <v>813</v>
      </c>
      <c r="B814" s="15" t="str">
        <f ca="1">IFERROR(__xludf.DUMMYFUNCTION("""COMPUTED_VALUE"""),"Gesundheit digital")</f>
        <v>Gesundheit digital</v>
      </c>
      <c r="C814" s="15" t="str">
        <f ca="1">VLOOKUP(B814,'ALL DATABASES'!$A$1:$T$2252,2,FALSE)</f>
        <v>Prof. Dr. Robin Haring</v>
      </c>
      <c r="D814" s="15">
        <f ca="1">VLOOKUP(B814,'ALL DATABASES'!$A$1:$T$2252,5,FALSE)</f>
        <v>2019</v>
      </c>
      <c r="E814" s="15">
        <f ca="1">VLOOKUP(B814,'ALL DATABASES'!$A$1:$T$2252,10,FALSE)</f>
        <v>0</v>
      </c>
      <c r="F814" s="54" t="str">
        <f ca="1">VLOOKUP(B814,'ALL DATABASES'!$A$1:$T$2252,14,FALSE)</f>
        <v>http://link.springer.com/book/10.1007/978-3-662-57611-3</v>
      </c>
      <c r="G814" s="15" t="str">
        <f ca="1">VLOOKUP(B814,'ALL DATABASES'!$A$1:$T$2252,3,FALSE)</f>
        <v>Book</v>
      </c>
      <c r="H814" s="50" t="str">
        <f ca="1">VLOOKUP(B814,'ALL DATABASES'!$A$1:$T$2252,20,FALSE)</f>
        <v>SPRINGER</v>
      </c>
    </row>
    <row r="815" spans="1:8" ht="12.75" x14ac:dyDescent="0.2">
      <c r="A815">
        <v>814</v>
      </c>
      <c r="B815" s="15" t="str">
        <f ca="1">IFERROR(__xludf.DUMMYFUNCTION("""COMPUTED_VALUE"""),"GitHub Discussions: An exploratory study of early adoption")</f>
        <v>GitHub Discussions: An exploratory study of early adoption</v>
      </c>
      <c r="C815" s="15" t="str">
        <f ca="1">VLOOKUP(B815,'ALL DATABASES'!$A$1:$T$2252,2,FALSE)</f>
        <v>Hideaki HataNicole NovielliSebastian BaltesRaula Gaikovina KulaChristoph Treude</v>
      </c>
      <c r="D815" s="15">
        <f ca="1">VLOOKUP(B815,'ALL DATABASES'!$A$1:$T$2252,5,FALSE)</f>
        <v>2021</v>
      </c>
      <c r="E815" s="15">
        <f ca="1">VLOOKUP(B815,'ALL DATABASES'!$A$1:$T$2252,10,FALSE)</f>
        <v>0</v>
      </c>
      <c r="F815" s="54" t="str">
        <f ca="1">VLOOKUP(B815,'ALL DATABASES'!$A$1:$T$2252,14,FALSE)</f>
        <v>http://link.springer.com/article/10.1007/s10664-021-10058-6</v>
      </c>
      <c r="G815" s="15" t="str">
        <f ca="1">VLOOKUP(B815,'ALL DATABASES'!$A$1:$T$2252,3,FALSE)</f>
        <v>Article</v>
      </c>
      <c r="H815" s="50" t="str">
        <f ca="1">VLOOKUP(B815,'ALL DATABASES'!$A$1:$T$2252,20,FALSE)</f>
        <v>SPRINGER</v>
      </c>
    </row>
    <row r="816" spans="1:8" ht="12.75" x14ac:dyDescent="0.2">
      <c r="A816">
        <v>815</v>
      </c>
      <c r="B816" s="15" t="str">
        <f ca="1">IFERROR(__xludf.DUMMYFUNCTION("""COMPUTED_VALUE"""),"GitHub, Technical Debt, Code Formatting, and More")</f>
        <v>GitHub, Technical Debt, Code Formatting, and More</v>
      </c>
      <c r="C816" s="15" t="str">
        <f ca="1">VLOOKUP(B816,'ALL DATABASES'!$A$1:$T$2252,2,FALSE)</f>
        <v>Carver JC,Cabot J,Capilla R,Muccini H</v>
      </c>
      <c r="D816" s="15">
        <f ca="1">VLOOKUP(B816,'ALL DATABASES'!$A$1:$T$2252,5,FALSE)</f>
        <v>2017</v>
      </c>
      <c r="E816" s="55">
        <f ca="1">VLOOKUP(B816,'ALL DATABASES'!$A$1:$T$2252,10,FALSE)</f>
        <v>42795</v>
      </c>
      <c r="F816" s="54" t="str">
        <f ca="1">VLOOKUP(B816,'ALL DATABASES'!$A$1:$T$2252,14,FALSE)</f>
        <v>http://dx.doi.org/10.1109/MS.2017.51</v>
      </c>
      <c r="G816" s="15" t="str">
        <f ca="1">VLOOKUP(B816,'ALL DATABASES'!$A$1:$T$2252,3,FALSE)</f>
        <v>Journal Article</v>
      </c>
      <c r="H816" s="50" t="str">
        <f ca="1">VLOOKUP(B816,'ALL DATABASES'!$A$1:$T$2252,20,FALSE)</f>
        <v>IEEE</v>
      </c>
    </row>
    <row r="817" spans="1:8" ht="12.75" x14ac:dyDescent="0.2">
      <c r="A817">
        <v>816</v>
      </c>
      <c r="B817" s="15" t="str">
        <f ca="1">IFERROR(__xludf.DUMMYFUNCTION("""COMPUTED_VALUE"""),"GitRank: A Framework to Rank GitHub Repositories")</f>
        <v>GitRank: A Framework to Rank GitHub Repositories</v>
      </c>
      <c r="C817" s="15" t="str">
        <f ca="1">VLOOKUP(B817,'ALL DATABASES'!$A$1:$T$2252,2,FALSE)</f>
        <v>Hasabnis N</v>
      </c>
      <c r="D817" s="15">
        <f ca="1">VLOOKUP(B817,'ALL DATABASES'!$A$1:$T$2252,5,FALSE)</f>
        <v>2022</v>
      </c>
      <c r="E817" s="15">
        <f ca="1">VLOOKUP(B817,'ALL DATABASES'!$A$1:$T$2252,10,FALSE)</f>
        <v>2022</v>
      </c>
      <c r="F817" s="54" t="str">
        <f ca="1">VLOOKUP(B817,'ALL DATABASES'!$A$1:$T$2252,14,FALSE)</f>
        <v>https://www.scopus.com/inward/record.uri?eid=2-s2.0-85134029487&amp;doi=10.1145%2f3524842.3528519&amp;partnerID=40&amp;md5=09d08d5a25188bca9d93d6035c878653;http://dx.doi.org/10.1145/3524842.3528519</v>
      </c>
      <c r="G817" s="15" t="str">
        <f ca="1">VLOOKUP(B817,'ALL DATABASES'!$A$1:$T$2252,3,FALSE)</f>
        <v>Conference Paper</v>
      </c>
      <c r="H817" s="50" t="str">
        <f ca="1">VLOOKUP(B817,'ALL DATABASES'!$A$1:$T$2252,20,FALSE)</f>
        <v>SCOPUS</v>
      </c>
    </row>
    <row r="818" spans="1:8" ht="12.75" x14ac:dyDescent="0.2">
      <c r="A818">
        <v>817</v>
      </c>
      <c r="B818" s="15" t="str">
        <f ca="1">IFERROR(__xludf.DUMMYFUNCTION("""COMPUTED_VALUE"""),"God Class Detection Approach Based on Graph Model and Isolation Forest")</f>
        <v>God Class Detection Approach Based on Graph Model and Isolation Forest</v>
      </c>
      <c r="C818" s="15" t="str">
        <f ca="1">VLOOKUP(B818,'ALL DATABASES'!$A$1:$T$2252,2,FALSE)</f>
        <v>Liu Y,Wu YJ,Peng X,Yan YD</v>
      </c>
      <c r="D818" s="15">
        <f ca="1">VLOOKUP(B818,'ALL DATABASES'!$A$1:$T$2252,5,FALSE)</f>
        <v>2022</v>
      </c>
      <c r="E818" s="15">
        <f ca="1">VLOOKUP(B818,'ALL DATABASES'!$A$1:$T$2252,10,FALSE)</f>
        <v>2022</v>
      </c>
      <c r="F818" s="54" t="str">
        <f ca="1">VLOOKUP(B818,'ALL DATABASES'!$A$1:$T$2252,14,FALSE)</f>
        <v>https://www.scopus.com/inward/record.uri?eid=2-s2.0-85142345060&amp;doi=10.13328%2fj.cnki.jos.006373&amp;partnerID=40&amp;md5=e4f797bc24d00de3288ab44afed5ce7f;http://dx.doi.org/10.13328/j.cnki.jos.006373</v>
      </c>
      <c r="G818" s="15" t="str">
        <f ca="1">VLOOKUP(B818,'ALL DATABASES'!$A$1:$T$2252,3,FALSE)</f>
        <v>Journal Article</v>
      </c>
      <c r="H818" s="50" t="str">
        <f ca="1">VLOOKUP(B818,'ALL DATABASES'!$A$1:$T$2252,20,FALSE)</f>
        <v>SCOPUS</v>
      </c>
    </row>
    <row r="819" spans="1:8" ht="12.75" x14ac:dyDescent="0.2">
      <c r="A819">
        <v>818</v>
      </c>
      <c r="B819" s="15" t="str">
        <f ca="1">IFERROR(__xludf.DUMMYFUNCTION("""COMPUTED_VALUE"""),"Got Technical Debt? Surfacing Elusive Technical Debt in Issue Trackers")</f>
        <v>Got Technical Debt? Surfacing Elusive Technical Debt in Issue Trackers</v>
      </c>
      <c r="C819" s="15" t="str">
        <f ca="1">VLOOKUP(B819,'ALL DATABASES'!$A$1:$T$2252,2,FALSE)</f>
        <v>Bellomo S,Nord RL,Ozkaya I,Popeck M</v>
      </c>
      <c r="D819" s="15">
        <f ca="1">VLOOKUP(B819,'ALL DATABASES'!$A$1:$T$2252,5,FALSE)</f>
        <v>2016</v>
      </c>
      <c r="E819" s="15">
        <f ca="1">VLOOKUP(B819,'ALL DATABASES'!$A$1:$T$2252,10,FALSE)</f>
        <v>2016</v>
      </c>
      <c r="F819" s="54" t="str">
        <f ca="1">VLOOKUP(B819,'ALL DATABASES'!$A$1:$T$2252,14,FALSE)</f>
        <v>https://doi.org/10.1145/2901739.2901754;http://dx.doi.org/10.1145/2901739.2901754</v>
      </c>
      <c r="G819" s="15" t="str">
        <f ca="1">VLOOKUP(B819,'ALL DATABASES'!$A$1:$T$2252,3,FALSE)</f>
        <v>Conference Paper</v>
      </c>
      <c r="H819" s="50" t="str">
        <f ca="1">VLOOKUP(B819,'ALL DATABASES'!$A$1:$T$2252,20,FALSE)</f>
        <v>ACM</v>
      </c>
    </row>
    <row r="820" spans="1:8" ht="12.75" x14ac:dyDescent="0.2">
      <c r="A820">
        <v>819</v>
      </c>
      <c r="B820" s="15" t="str">
        <f ca="1">IFERROR(__xludf.DUMMYFUNCTION("""COMPUTED_VALUE"""),"GPCE 2022: Proceedings of the 21st ACM SIGPLAN International Conference on Generative Programming: Concepts and Experiences")</f>
        <v>GPCE 2022: Proceedings of the 21st ACM SIGPLAN International Conference on Generative Programming: Concepts and Experiences</v>
      </c>
      <c r="C820" s="15">
        <f ca="1">VLOOKUP(B820,'ALL DATABASES'!$A$1:$T$2252,2,FALSE)</f>
        <v>0</v>
      </c>
      <c r="D820" s="15">
        <f ca="1">VLOOKUP(B820,'ALL DATABASES'!$A$1:$T$2252,5,FALSE)</f>
        <v>2022</v>
      </c>
      <c r="E820" s="15">
        <f ca="1">VLOOKUP(B820,'ALL DATABASES'!$A$1:$T$2252,10,FALSE)</f>
        <v>2022</v>
      </c>
      <c r="F820" s="15">
        <f ca="1">VLOOKUP(B820,'ALL DATABASES'!$A$1:$T$2252,14,FALSE)</f>
        <v>0</v>
      </c>
      <c r="G820" s="15" t="str">
        <f ca="1">VLOOKUP(B820,'ALL DATABASES'!$A$1:$T$2252,3,FALSE)</f>
        <v>Book</v>
      </c>
      <c r="H820" s="50" t="str">
        <f ca="1">VLOOKUP(B820,'ALL DATABASES'!$A$1:$T$2252,20,FALSE)</f>
        <v>ACM</v>
      </c>
    </row>
    <row r="821" spans="1:8" ht="12.75" x14ac:dyDescent="0.2">
      <c r="A821">
        <v>820</v>
      </c>
      <c r="B821" s="15" t="str">
        <f ca="1">IFERROR(__xludf.DUMMYFUNCTION("""COMPUTED_VALUE"""),"Graph-Based Trace Analysis for Microservice Architecture Understanding and Problem Diagnosis")</f>
        <v>Graph-Based Trace Analysis for Microservice Architecture Understanding and Problem Diagnosis</v>
      </c>
      <c r="C821" s="15" t="str">
        <f ca="1">VLOOKUP(B821,'ALL DATABASES'!$A$1:$T$2252,2,FALSE)</f>
        <v>Guo X,Peng X,Wang H,Li W,Jiang H,Ding D,Xie T,Su L</v>
      </c>
      <c r="D821" s="15">
        <f ca="1">VLOOKUP(B821,'ALL DATABASES'!$A$1:$T$2252,5,FALSE)</f>
        <v>2020</v>
      </c>
      <c r="E821" s="15">
        <f ca="1">VLOOKUP(B821,'ALL DATABASES'!$A$1:$T$2252,10,FALSE)</f>
        <v>2020</v>
      </c>
      <c r="F821" s="54" t="str">
        <f ca="1">VLOOKUP(B821,'ALL DATABASES'!$A$1:$T$2252,14,FALSE)</f>
        <v>https://doi.org/10.1145/3368089.3417066;http://dx.doi.org/10.1145/3368089.3417066</v>
      </c>
      <c r="G821" s="15" t="str">
        <f ca="1">VLOOKUP(B821,'ALL DATABASES'!$A$1:$T$2252,3,FALSE)</f>
        <v>Conference Paper</v>
      </c>
      <c r="H821" s="50" t="str">
        <f ca="1">VLOOKUP(B821,'ALL DATABASES'!$A$1:$T$2252,20,FALSE)</f>
        <v>ACM</v>
      </c>
    </row>
    <row r="822" spans="1:8" ht="12.75" x14ac:dyDescent="0.2">
      <c r="A822">
        <v>821</v>
      </c>
      <c r="B822" s="15" t="str">
        <f ca="1">IFERROR(__xludf.DUMMYFUNCTION("""COMPUTED_VALUE"""),"Graph4Web: A relation-aware graph attention network for web service classification")</f>
        <v>Graph4Web: A relation-aware graph attention network for web service classification</v>
      </c>
      <c r="C822" s="15" t="str">
        <f ca="1">VLOOKUP(B822,'ALL DATABASES'!$A$1:$T$2252,2,FALSE)</f>
        <v>Zhao K,Liu J,Xu Z,Liu X,Xue L,Xie Z,Zhou Y,Wang X</v>
      </c>
      <c r="D822" s="15">
        <f ca="1">VLOOKUP(B822,'ALL DATABASES'!$A$1:$T$2252,5,FALSE)</f>
        <v>2022</v>
      </c>
      <c r="E822" s="15">
        <f ca="1">VLOOKUP(B822,'ALL DATABASES'!$A$1:$T$2252,10,FALSE)</f>
        <v>2022</v>
      </c>
      <c r="F822" s="54" t="str">
        <f ca="1">VLOOKUP(B822,'ALL DATABASES'!$A$1:$T$2252,14,FALSE)</f>
        <v>https://www.scopus.com/inward/record.uri?eid=2-s2.0-85129456347&amp;doi=10.1016%2fj.jss.2022.111324&amp;partnerID=40&amp;md5=d1ee3c4d7db360934c312053a0be1dee;http://dx.doi.org/10.1016/j.jss.2022.111324</v>
      </c>
      <c r="G822" s="15" t="str">
        <f ca="1">VLOOKUP(B822,'ALL DATABASES'!$A$1:$T$2252,3,FALSE)</f>
        <v>Journal Article</v>
      </c>
      <c r="H822" s="50" t="str">
        <f ca="1">VLOOKUP(B822,'ALL DATABASES'!$A$1:$T$2252,20,FALSE)</f>
        <v>SCOPUS</v>
      </c>
    </row>
    <row r="823" spans="1:8" ht="12.75" x14ac:dyDescent="0.2">
      <c r="A823">
        <v>822</v>
      </c>
      <c r="B823" s="15" t="str">
        <f ca="1">IFERROR(__xludf.DUMMYFUNCTION("""COMPUTED_VALUE"""),"GSDetector: a tool for automatic detection of bad smells in GRL goal models")</f>
        <v>GSDetector: a tool for automatic detection of bad smells in GRL goal models</v>
      </c>
      <c r="C823" s="15" t="str">
        <f ca="1">VLOOKUP(B823,'ALL DATABASES'!$A$1:$T$2252,2,FALSE)</f>
        <v>Mohammed MA,Hassine J,Alshayeb M</v>
      </c>
      <c r="D823" s="15">
        <f ca="1">VLOOKUP(B823,'ALL DATABASES'!$A$1:$T$2252,5,FALSE)</f>
        <v>2022</v>
      </c>
      <c r="E823" s="15">
        <f ca="1">VLOOKUP(B823,'ALL DATABASES'!$A$1:$T$2252,10,FALSE)</f>
        <v>2022</v>
      </c>
      <c r="F823" s="54" t="str">
        <f ca="1">VLOOKUP(B823,'ALL DATABASES'!$A$1:$T$2252,14,FALSE)</f>
        <v>https://www.scopus.com/inward/record.uri?eid=2-s2.0-85136031948&amp;doi=10.1007%2fs10009-022-00662-2&amp;partnerID=40&amp;md5=62b6771758aa2c39164fa2130570b45d;http://dx.doi.org/10.1007/s10009-022-00662-2</v>
      </c>
      <c r="G823" s="15" t="str">
        <f ca="1">VLOOKUP(B823,'ALL DATABASES'!$A$1:$T$2252,3,FALSE)</f>
        <v>Journal Article</v>
      </c>
      <c r="H823" s="50" t="str">
        <f ca="1">VLOOKUP(B823,'ALL DATABASES'!$A$1:$T$2252,20,FALSE)</f>
        <v>SCOPUS</v>
      </c>
    </row>
    <row r="824" spans="1:8" ht="12.75" x14ac:dyDescent="0.2">
      <c r="A824">
        <v>823</v>
      </c>
      <c r="B824" s="15" t="str">
        <f ca="1">IFERROR(__xludf.DUMMYFUNCTION("""COMPUTED_VALUE"""),"Guest Editorial: Special Section on Mining Software Repositories")</f>
        <v>Guest Editorial: Special Section on Mining Software Repositories</v>
      </c>
      <c r="C824" s="15" t="str">
        <f ca="1">VLOOKUP(B824,'ALL DATABASES'!$A$1:$T$2252,2,FALSE)</f>
        <v>Lin TanAbram Hindle</v>
      </c>
      <c r="D824" s="15">
        <f ca="1">VLOOKUP(B824,'ALL DATABASES'!$A$1:$T$2252,5,FALSE)</f>
        <v>2019</v>
      </c>
      <c r="E824" s="15">
        <f ca="1">VLOOKUP(B824,'ALL DATABASES'!$A$1:$T$2252,10,FALSE)</f>
        <v>0</v>
      </c>
      <c r="F824" s="54" t="str">
        <f ca="1">VLOOKUP(B824,'ALL DATABASES'!$A$1:$T$2252,14,FALSE)</f>
        <v>http://link.springer.com/article/10.1007/s10664-019-09724-7</v>
      </c>
      <c r="G824" s="15" t="str">
        <f ca="1">VLOOKUP(B824,'ALL DATABASES'!$A$1:$T$2252,3,FALSE)</f>
        <v>Article</v>
      </c>
      <c r="H824" s="50" t="str">
        <f ca="1">VLOOKUP(B824,'ALL DATABASES'!$A$1:$T$2252,20,FALSE)</f>
        <v>SPRINGER</v>
      </c>
    </row>
    <row r="825" spans="1:8" ht="12.75" x14ac:dyDescent="0.2">
      <c r="A825">
        <v>824</v>
      </c>
      <c r="B825" s="15" t="str">
        <f ca="1">IFERROR(__xludf.DUMMYFUNCTION("""COMPUTED_VALUE"""),"Guidelines and quality criteria for artificial intelligence-based prediction models in healthcare: a scoping review")</f>
        <v>Guidelines and quality criteria for artificial intelligence-based prediction models in healthcare: a scoping review</v>
      </c>
      <c r="C825" s="15" t="str">
        <f ca="1">VLOOKUP(B825,'ALL DATABASES'!$A$1:$T$2252,2,FALSE)</f>
        <v>de Hond AA,Leeuwenberg AM,Hooft L,Kant IM,Nijman SW,van Os HJ,Aardoom JJ,Debray TP,Schuit E,van Smeden M,Reitsma JB,Steyerberg EW,Chavannes NH,Moons KG</v>
      </c>
      <c r="D825" s="15">
        <f ca="1">VLOOKUP(B825,'ALL DATABASES'!$A$1:$T$2252,5,FALSE)</f>
        <v>2022</v>
      </c>
      <c r="E825" s="15">
        <f ca="1">VLOOKUP(B825,'ALL DATABASES'!$A$1:$T$2252,10,FALSE)</f>
        <v>2022</v>
      </c>
      <c r="F825" s="54" t="str">
        <f ca="1">VLOOKUP(B825,'ALL DATABASES'!$A$1:$T$2252,14,FALSE)</f>
        <v>https://www.scopus.com/inward/record.uri?eid=2-s2.0-85122738619&amp;doi=10.1038%2fs41746-021-00549-7&amp;partnerID=40&amp;md5=0d7d18844b4bdc7089ecaf87c2457fb6;http://dx.doi.org/10.1038/s41746-021-00549-7</v>
      </c>
      <c r="G825" s="15" t="str">
        <f ca="1">VLOOKUP(B825,'ALL DATABASES'!$A$1:$T$2252,3,FALSE)</f>
        <v>Journal Article</v>
      </c>
      <c r="H825" s="50" t="str">
        <f ca="1">VLOOKUP(B825,'ALL DATABASES'!$A$1:$T$2252,20,FALSE)</f>
        <v>SCOPUS</v>
      </c>
    </row>
    <row r="826" spans="1:8" ht="12.75" x14ac:dyDescent="0.2">
      <c r="A826">
        <v>825</v>
      </c>
      <c r="B826" s="15" t="str">
        <f ca="1">IFERROR(__xludf.DUMMYFUNCTION("""COMPUTED_VALUE"""),"Guidelines for collaborative development of sustainable data treatment software")</f>
        <v>Guidelines for collaborative development of sustainable data treatment software</v>
      </c>
      <c r="C826" s="15" t="str">
        <f ca="1">VLOOKUP(B826,'ALL DATABASES'!$A$1:$T$2252,2,FALSE)</f>
        <v>Wuttke J,Cottrell S,Gonzalez MA,Kaestner A,Markvardsen A,Rod TH,Rozyczko P,Vardanyan G</v>
      </c>
      <c r="D826" s="15">
        <f ca="1">VLOOKUP(B826,'ALL DATABASES'!$A$1:$T$2252,5,FALSE)</f>
        <v>2022</v>
      </c>
      <c r="E826" s="15">
        <f ca="1">VLOOKUP(B826,'ALL DATABASES'!$A$1:$T$2252,10,FALSE)</f>
        <v>2022</v>
      </c>
      <c r="F826" s="54" t="str">
        <f ca="1">VLOOKUP(B826,'ALL DATABASES'!$A$1:$T$2252,14,FALSE)</f>
        <v>https://www.scopus.com/inward/record.uri?eid=2-s2.0-85127790091&amp;doi=10.3233%2fJNR-220002&amp;partnerID=40&amp;md5=b72e14aef3c2df2ce92e245ea0e589c4;http://dx.doi.org/10.3233/JNR-220002</v>
      </c>
      <c r="G826" s="15" t="str">
        <f ca="1">VLOOKUP(B826,'ALL DATABASES'!$A$1:$T$2252,3,FALSE)</f>
        <v>Journal Article</v>
      </c>
      <c r="H826" s="50" t="str">
        <f ca="1">VLOOKUP(B826,'ALL DATABASES'!$A$1:$T$2252,20,FALSE)</f>
        <v>SCOPUS</v>
      </c>
    </row>
    <row r="827" spans="1:8" ht="12.75" x14ac:dyDescent="0.2">
      <c r="A827">
        <v>826</v>
      </c>
      <c r="B827" s="15" t="str">
        <f ca="1">IFERROR(__xludf.DUMMYFUNCTION("""COMPUTED_VALUE"""),"Guidelines for Quality Assurance of Machine Learning-Based Artificial Intelligence")</f>
        <v>Guidelines for Quality Assurance of Machine Learning-Based Artificial Intelligence</v>
      </c>
      <c r="C827" s="15" t="str">
        <f ca="1">VLOOKUP(B827,'ALL DATABASES'!$A$1:$T$2252,2,FALSE)</f>
        <v>Fujii G,Hamada K,Ishikawa F,Masuda S,Matsuya M,Myojin T,Nishi Y,Ogawa H,Toku T,Tokumoto S,Tsuchiya K,Ujita Y</v>
      </c>
      <c r="D827" s="15">
        <f ca="1">VLOOKUP(B827,'ALL DATABASES'!$A$1:$T$2252,5,FALSE)</f>
        <v>2020</v>
      </c>
      <c r="E827" s="15">
        <f ca="1">VLOOKUP(B827,'ALL DATABASES'!$A$1:$T$2252,10,FALSE)</f>
        <v>2020</v>
      </c>
      <c r="F827" s="54" t="str">
        <f ca="1">VLOOKUP(B827,'ALL DATABASES'!$A$1:$T$2252,14,FALSE)</f>
        <v>https://www.scopus.com/inward/record.uri?eid=2-s2.0-85096006542&amp;doi=10.1142%2fS0218194020400227&amp;partnerID=40&amp;md5=772ec7e1f2201c5251764b201c4a66c6;http://dx.doi.org/10.1142/S0218194020400227</v>
      </c>
      <c r="G827" s="15" t="str">
        <f ca="1">VLOOKUP(B827,'ALL DATABASES'!$A$1:$T$2252,3,FALSE)</f>
        <v>Journal Article</v>
      </c>
      <c r="H827" s="50" t="str">
        <f ca="1">VLOOKUP(B827,'ALL DATABASES'!$A$1:$T$2252,20,FALSE)</f>
        <v>SCOPUS</v>
      </c>
    </row>
    <row r="828" spans="1:8" ht="12.75" x14ac:dyDescent="0.2">
      <c r="A828">
        <v>827</v>
      </c>
      <c r="B828" s="15" t="str">
        <f ca="1">IFERROR(__xludf.DUMMYFUNCTION("""COMPUTED_VALUE"""),"HadoopCL2: Motivating the Design of a Distributed, Heterogeneous Programming System With Machine-Learning Applications")</f>
        <v>HadoopCL2: Motivating the Design of a Distributed, Heterogeneous Programming System With Machine-Learning Applications</v>
      </c>
      <c r="C828" s="15" t="str">
        <f ca="1">VLOOKUP(B828,'ALL DATABASES'!$A$1:$T$2252,2,FALSE)</f>
        <v>Grossman M,Breternitz M,Sarkar V</v>
      </c>
      <c r="D828" s="15">
        <f ca="1">VLOOKUP(B828,'ALL DATABASES'!$A$1:$T$2252,5,FALSE)</f>
        <v>2016</v>
      </c>
      <c r="E828" s="55">
        <f ca="1">VLOOKUP(B828,'ALL DATABASES'!$A$1:$T$2252,10,FALSE)</f>
        <v>42430</v>
      </c>
      <c r="F828" s="54" t="str">
        <f ca="1">VLOOKUP(B828,'ALL DATABASES'!$A$1:$T$2252,14,FALSE)</f>
        <v>http://dx.doi.org/10.1109/TPDS.2015.2414943</v>
      </c>
      <c r="G828" s="15" t="str">
        <f ca="1">VLOOKUP(B828,'ALL DATABASES'!$A$1:$T$2252,3,FALSE)</f>
        <v>Journal Article</v>
      </c>
      <c r="H828" s="50" t="str">
        <f ca="1">VLOOKUP(B828,'ALL DATABASES'!$A$1:$T$2252,20,FALSE)</f>
        <v>IEEE</v>
      </c>
    </row>
    <row r="829" spans="1:8" ht="12.75" x14ac:dyDescent="0.2">
      <c r="A829">
        <v>828</v>
      </c>
      <c r="B829" s="15" t="str">
        <f ca="1">IFERROR(__xludf.DUMMYFUNCTION("""COMPUTED_VALUE"""),"Half-Precision Scalar Support in Kokkos and Kokkos Kernels: An Engineering Study and Experience Report")</f>
        <v>Half-Precision Scalar Support in Kokkos and Kokkos Kernels: An Engineering Study and Experience Report</v>
      </c>
      <c r="C829" s="15" t="str">
        <f ca="1">VLOOKUP(B829,'ALL DATABASES'!$A$1:$T$2252,2,FALSE)</f>
        <v>Harvey E,Milewicz R,Trott C,Berger-Vergiat L,Rajamanickam S</v>
      </c>
      <c r="D829" s="15">
        <f ca="1">VLOOKUP(B829,'ALL DATABASES'!$A$1:$T$2252,5,FALSE)</f>
        <v>2022</v>
      </c>
      <c r="E829" s="53">
        <f ca="1">VLOOKUP(B829,'ALL DATABASES'!$A$1:$T$2252,10,FALSE)</f>
        <v>44835</v>
      </c>
      <c r="F829" s="54" t="str">
        <f ca="1">VLOOKUP(B829,'ALL DATABASES'!$A$1:$T$2252,14,FALSE)</f>
        <v>http://dx.doi.org/10.1109/eScience55777.2022.00095</v>
      </c>
      <c r="G829" s="15" t="str">
        <f ca="1">VLOOKUP(B829,'ALL DATABASES'!$A$1:$T$2252,3,FALSE)</f>
        <v>Conference Paper</v>
      </c>
      <c r="H829" s="50" t="str">
        <f ca="1">VLOOKUP(B829,'ALL DATABASES'!$A$1:$T$2252,20,FALSE)</f>
        <v>IEEE</v>
      </c>
    </row>
    <row r="830" spans="1:8" ht="12.75" x14ac:dyDescent="0.2">
      <c r="A830">
        <v>829</v>
      </c>
      <c r="B830" s="15" t="str">
        <f ca="1">IFERROR(__xludf.DUMMYFUNCTION("""COMPUTED_VALUE"""),"Handbook of DNA Profiling")</f>
        <v>Handbook of DNA Profiling</v>
      </c>
      <c r="C830" s="15" t="str">
        <f ca="1">VLOOKUP(B830,'ALL DATABASES'!$A$1:$T$2252,2,FALSE)</f>
        <v>Assist. Prof. Hirak Ranjan DashDr. Pankaj ShrivastavaDr. J. A. Lorente</v>
      </c>
      <c r="D830" s="15">
        <f ca="1">VLOOKUP(B830,'ALL DATABASES'!$A$1:$T$2252,5,FALSE)</f>
        <v>2022</v>
      </c>
      <c r="E830" s="15">
        <f ca="1">VLOOKUP(B830,'ALL DATABASES'!$A$1:$T$2252,10,FALSE)</f>
        <v>0</v>
      </c>
      <c r="F830" s="54" t="str">
        <f ca="1">VLOOKUP(B830,'ALL DATABASES'!$A$1:$T$2252,14,FALSE)</f>
        <v>http://link.springer.com/referencework/10.1007/978-981-16-4318-7</v>
      </c>
      <c r="G830" s="15" t="str">
        <f ca="1">VLOOKUP(B830,'ALL DATABASES'!$A$1:$T$2252,3,FALSE)</f>
        <v>ReferenceWork</v>
      </c>
      <c r="H830" s="50" t="str">
        <f ca="1">VLOOKUP(B830,'ALL DATABASES'!$A$1:$T$2252,20,FALSE)</f>
        <v>SPRINGER</v>
      </c>
    </row>
    <row r="831" spans="1:8" ht="12.75" x14ac:dyDescent="0.2">
      <c r="A831">
        <v>830</v>
      </c>
      <c r="B831" s="15" t="str">
        <f ca="1">IFERROR(__xludf.DUMMYFUNCTION("""COMPUTED_VALUE"""),"Handbook of Re-Engineering Software Intensive Systems into Software Product Lines")</f>
        <v>Handbook of Re-Engineering Software Intensive Systems into Software Product Lines</v>
      </c>
      <c r="C831" s="15" t="str">
        <f ca="1">VLOOKUP(B831,'ALL DATABASES'!$A$1:$T$2252,2,FALSE)</f>
        <v>Roberto E. Lopez-HerrejonJabier MartinezWesley Klewerton Guez AssunÃ§Ã£oTewfik ZiadiMathieu AcherSilvia Vergilio</v>
      </c>
      <c r="D831" s="15">
        <f ca="1">VLOOKUP(B831,'ALL DATABASES'!$A$1:$T$2252,5,FALSE)</f>
        <v>2023</v>
      </c>
      <c r="E831" s="15">
        <f ca="1">VLOOKUP(B831,'ALL DATABASES'!$A$1:$T$2252,10,FALSE)</f>
        <v>0</v>
      </c>
      <c r="F831" s="54" t="str">
        <f ca="1">VLOOKUP(B831,'ALL DATABASES'!$A$1:$T$2252,14,FALSE)</f>
        <v>http://link.springer.com/book/10.1007/978-3-031-11686-5</v>
      </c>
      <c r="G831" s="15" t="str">
        <f ca="1">VLOOKUP(B831,'ALL DATABASES'!$A$1:$T$2252,3,FALSE)</f>
        <v>Book</v>
      </c>
      <c r="H831" s="50" t="str">
        <f ca="1">VLOOKUP(B831,'ALL DATABASES'!$A$1:$T$2252,20,FALSE)</f>
        <v>SPRINGER</v>
      </c>
    </row>
    <row r="832" spans="1:8" ht="12.75" x14ac:dyDescent="0.2">
      <c r="A832">
        <v>831</v>
      </c>
      <c r="B832" s="15" t="str">
        <f ca="1">IFERROR(__xludf.DUMMYFUNCTION("""COMPUTED_VALUE"""),"Handbook of research on applied data science and artificial intelligence in business and industry")</f>
        <v>Handbook of research on applied data science and artificial intelligence in business and industry</v>
      </c>
      <c r="C832" s="15" t="str">
        <f ca="1">VLOOKUP(B832,'ALL DATABASES'!$A$1:$T$2252,2,FALSE)</f>
        <v>Chkoniya V</v>
      </c>
      <c r="D832" s="15">
        <f ca="1">VLOOKUP(B832,'ALL DATABASES'!$A$1:$T$2252,5,FALSE)</f>
        <v>2021</v>
      </c>
      <c r="E832" s="15">
        <f ca="1">VLOOKUP(B832,'ALL DATABASES'!$A$1:$T$2252,10,FALSE)</f>
        <v>2021</v>
      </c>
      <c r="F832" s="54" t="str">
        <f ca="1">VLOOKUP(B832,'ALL DATABASES'!$A$1:$T$2252,14,FALSE)</f>
        <v>https://www.scopus.com/inward/record.uri?eid=2-s2.0-85128143850&amp;doi=10.4018%2f9781799869856&amp;partnerID=40&amp;md5=c68135660fe735db4c9025cfefebddd2;http://dx.doi.org/10.4018/9781799869856</v>
      </c>
      <c r="G832" s="15" t="str">
        <f ca="1">VLOOKUP(B832,'ALL DATABASES'!$A$1:$T$2252,3,FALSE)</f>
        <v>Book</v>
      </c>
      <c r="H832" s="50" t="str">
        <f ca="1">VLOOKUP(B832,'ALL DATABASES'!$A$1:$T$2252,20,FALSE)</f>
        <v>SCOPUS</v>
      </c>
    </row>
    <row r="833" spans="1:8" ht="12.75" x14ac:dyDescent="0.2">
      <c r="A833">
        <v>832</v>
      </c>
      <c r="B833" s="15" t="str">
        <f ca="1">IFERROR(__xludf.DUMMYFUNCTION("""COMPUTED_VALUE"""),"Handbook on Artificial Intelligence-Empowered Applied Software Engineering")</f>
        <v>Handbook on Artificial Intelligence-Empowered Applied Software Engineering</v>
      </c>
      <c r="C833" s="15" t="str">
        <f ca="1">VLOOKUP(B833,'ALL DATABASES'!$A$1:$T$2252,2,FALSE)</f>
        <v>Maria VirvouGeorge A. TsihrintzisNikolaos G. BourbakisLakhmi C. Jain</v>
      </c>
      <c r="D833" s="15">
        <f ca="1">VLOOKUP(B833,'ALL DATABASES'!$A$1:$T$2252,5,FALSE)</f>
        <v>2022</v>
      </c>
      <c r="E833" s="15">
        <f ca="1">VLOOKUP(B833,'ALL DATABASES'!$A$1:$T$2252,10,FALSE)</f>
        <v>0</v>
      </c>
      <c r="F833" s="54" t="str">
        <f ca="1">VLOOKUP(B833,'ALL DATABASES'!$A$1:$T$2252,14,FALSE)</f>
        <v>http://link.springer.com/book/10.1007/978-3-031-08202-3</v>
      </c>
      <c r="G833" s="15" t="str">
        <f ca="1">VLOOKUP(B833,'ALL DATABASES'!$A$1:$T$2252,3,FALSE)</f>
        <v>Book</v>
      </c>
      <c r="H833" s="50" t="str">
        <f ca="1">VLOOKUP(B833,'ALL DATABASES'!$A$1:$T$2252,20,FALSE)</f>
        <v>SPRINGER</v>
      </c>
    </row>
    <row r="834" spans="1:8" ht="12.75" x14ac:dyDescent="0.2">
      <c r="A834">
        <v>833</v>
      </c>
      <c r="B834" s="15" t="str">
        <f ca="1">IFERROR(__xludf.DUMMYFUNCTION("""COMPUTED_VALUE"""),"Handling Big Data in the Era of Internet of Things (IoT)")</f>
        <v>Handling Big Data in the Era of Internet of Things (IoT)</v>
      </c>
      <c r="C834" s="15" t="str">
        <f ca="1">VLOOKUP(B834,'ALL DATABASES'!$A$1:$T$2252,2,FALSE)</f>
        <v>Papadokostaki K,Mastorakis G,Panagiotakis S,Mavromoustakis CX,Dobre C,Batalla JM</v>
      </c>
      <c r="D834" s="15">
        <f ca="1">VLOOKUP(B834,'ALL DATABASES'!$A$1:$T$2252,5,FALSE)</f>
        <v>2017</v>
      </c>
      <c r="E834" s="15">
        <f ca="1">VLOOKUP(B834,'ALL DATABASES'!$A$1:$T$2252,10,FALSE)</f>
        <v>2017</v>
      </c>
      <c r="F834" s="54" t="str">
        <f ca="1">VLOOKUP(B834,'ALL DATABASES'!$A$1:$T$2252,14,FALSE)</f>
        <v>https://www.scopus.com/inward/record.uri?eid=2-s2.0-85132947805&amp;doi=10.1007%2f978-3-319-45145-9_1&amp;partnerID=40&amp;md5=7bc3f9f86d98c42cb33f6c74bb7fa378;http://dx.doi.org/10.1007/978-3-319-45145-9_1</v>
      </c>
      <c r="G834" s="15" t="str">
        <f ca="1">VLOOKUP(B834,'ALL DATABASES'!$A$1:$T$2252,3,FALSE)</f>
        <v>Journal Article</v>
      </c>
      <c r="H834" s="50" t="str">
        <f ca="1">VLOOKUP(B834,'ALL DATABASES'!$A$1:$T$2252,20,FALSE)</f>
        <v>SCOPUS</v>
      </c>
    </row>
    <row r="835" spans="1:8" ht="12.75" x14ac:dyDescent="0.2">
      <c r="A835">
        <v>834</v>
      </c>
      <c r="B835" s="15" t="str">
        <f ca="1">IFERROR(__xludf.DUMMYFUNCTION("""COMPUTED_VALUE"""),"Hands-On Guide to AgileOps")</f>
        <v>Hands-On Guide to AgileOps</v>
      </c>
      <c r="C835" s="15" t="str">
        <f ca="1">VLOOKUP(B835,'ALL DATABASES'!$A$1:$T$2252,2,FALSE)</f>
        <v>Navin SabharwalRaminder RathoreUdita Agrawal</v>
      </c>
      <c r="D835" s="15">
        <f ca="1">VLOOKUP(B835,'ALL DATABASES'!$A$1:$T$2252,5,FALSE)</f>
        <v>2022</v>
      </c>
      <c r="E835" s="15">
        <f ca="1">VLOOKUP(B835,'ALL DATABASES'!$A$1:$T$2252,10,FALSE)</f>
        <v>0</v>
      </c>
      <c r="F835" s="54" t="str">
        <f ca="1">VLOOKUP(B835,'ALL DATABASES'!$A$1:$T$2252,14,FALSE)</f>
        <v>http://link.springer.com/book/10.1007/978-1-4842-7505-4</v>
      </c>
      <c r="G835" s="15" t="str">
        <f ca="1">VLOOKUP(B835,'ALL DATABASES'!$A$1:$T$2252,3,FALSE)</f>
        <v>Book</v>
      </c>
      <c r="H835" s="50" t="str">
        <f ca="1">VLOOKUP(B835,'ALL DATABASES'!$A$1:$T$2252,20,FALSE)</f>
        <v>SPRINGER</v>
      </c>
    </row>
    <row r="836" spans="1:8" ht="12.75" x14ac:dyDescent="0.2">
      <c r="A836">
        <v>835</v>
      </c>
      <c r="B836" s="15" t="str">
        <f ca="1">IFERROR(__xludf.DUMMYFUNCTION("""COMPUTED_VALUE"""),"Hardware Moving Target Defenses against Physical Attacks: Design Challenges and Opportunities")</f>
        <v>Hardware Moving Target Defenses against Physical Attacks: Design Challenges and Opportunities</v>
      </c>
      <c r="C836" s="15" t="str">
        <f ca="1">VLOOKUP(B836,'ALL DATABASES'!$A$1:$T$2252,2,FALSE)</f>
        <v>Koblah DS,Ganji F,Forte D,Tajik S</v>
      </c>
      <c r="D836" s="15">
        <f ca="1">VLOOKUP(B836,'ALL DATABASES'!$A$1:$T$2252,5,FALSE)</f>
        <v>2022</v>
      </c>
      <c r="E836" s="15">
        <f ca="1">VLOOKUP(B836,'ALL DATABASES'!$A$1:$T$2252,10,FALSE)</f>
        <v>2022</v>
      </c>
      <c r="F836" s="54" t="str">
        <f ca="1">VLOOKUP(B836,'ALL DATABASES'!$A$1:$T$2252,14,FALSE)</f>
        <v>https://doi.org/10.1145/3560828.3564010;http://dx.doi.org/10.1145/3560828.3564010</v>
      </c>
      <c r="G836" s="15" t="str">
        <f ca="1">VLOOKUP(B836,'ALL DATABASES'!$A$1:$T$2252,3,FALSE)</f>
        <v>Conference Paper</v>
      </c>
      <c r="H836" s="50" t="str">
        <f ca="1">VLOOKUP(B836,'ALL DATABASES'!$A$1:$T$2252,20,FALSE)</f>
        <v>ACM</v>
      </c>
    </row>
    <row r="837" spans="1:8" ht="12.75" x14ac:dyDescent="0.2">
      <c r="A837">
        <v>836</v>
      </c>
      <c r="B837" s="15" t="str">
        <f ca="1">IFERROR(__xludf.DUMMYFUNCTION("""COMPUTED_VALUE"""),"Harnessing deep learning algorithms to predict software refactoring")</f>
        <v>Harnessing deep learning algorithms to predict software refactoring</v>
      </c>
      <c r="C837" s="15" t="str">
        <f ca="1">VLOOKUP(B837,'ALL DATABASES'!$A$1:$T$2252,2,FALSE)</f>
        <v>Alenezi M,Akour M,Qasem OA</v>
      </c>
      <c r="D837" s="15">
        <f ca="1">VLOOKUP(B837,'ALL DATABASES'!$A$1:$T$2252,5,FALSE)</f>
        <v>2020</v>
      </c>
      <c r="E837" s="15">
        <f ca="1">VLOOKUP(B837,'ALL DATABASES'!$A$1:$T$2252,10,FALSE)</f>
        <v>2020</v>
      </c>
      <c r="F837" s="54" t="str">
        <f ca="1">VLOOKUP(B837,'ALL DATABASES'!$A$1:$T$2252,14,FALSE)</f>
        <v>https://www.scopus.com/inward/record.uri?eid=2-s2.0-85096991614&amp;doi=10.12928%2fTELKOMNIKA.v18i6.16743&amp;partnerID=40&amp;md5=e25a8960dcb879ace126590d1115a319;http://dx.doi.org/10.12928/TELKOMNIKA.v18i6.16743</v>
      </c>
      <c r="G837" s="15" t="str">
        <f ca="1">VLOOKUP(B837,'ALL DATABASES'!$A$1:$T$2252,3,FALSE)</f>
        <v>Journal Article</v>
      </c>
      <c r="H837" s="50" t="str">
        <f ca="1">VLOOKUP(B837,'ALL DATABASES'!$A$1:$T$2252,20,FALSE)</f>
        <v>SCOPUS</v>
      </c>
    </row>
    <row r="838" spans="1:8" ht="12.75" x14ac:dyDescent="0.2">
      <c r="A838">
        <v>837</v>
      </c>
      <c r="B838" s="15" t="str">
        <f ca="1">IFERROR(__xludf.DUMMYFUNCTION("""COMPUTED_VALUE"""),"Harvesting randomness to optimize distributed systems")</f>
        <v>Harvesting randomness to optimize distributed systems</v>
      </c>
      <c r="C838" s="15" t="str">
        <f ca="1">VLOOKUP(B838,'ALL DATABASES'!$A$1:$T$2252,2,FALSE)</f>
        <v>Lecuyer M,Lockerman J,Nelson L,Sen S,Sharma A,Slivkins A</v>
      </c>
      <c r="D838" s="15">
        <f ca="1">VLOOKUP(B838,'ALL DATABASES'!$A$1:$T$2252,5,FALSE)</f>
        <v>2017</v>
      </c>
      <c r="E838" s="15">
        <f ca="1">VLOOKUP(B838,'ALL DATABASES'!$A$1:$T$2252,10,FALSE)</f>
        <v>2017</v>
      </c>
      <c r="F838" s="54" t="str">
        <f ca="1">VLOOKUP(B838,'ALL DATABASES'!$A$1:$T$2252,14,FALSE)</f>
        <v>https://www.scopus.com/inward/record.uri?eid=2-s2.0-85041192388&amp;doi=10.1145%2f3152434.3152435&amp;partnerID=40&amp;md5=daf459839c3d00af85fa9318af5ebab2;http://dx.doi.org/10.1145/3152434.3152435</v>
      </c>
      <c r="G838" s="15" t="str">
        <f ca="1">VLOOKUP(B838,'ALL DATABASES'!$A$1:$T$2252,3,FALSE)</f>
        <v>Conference Paper</v>
      </c>
      <c r="H838" s="50" t="str">
        <f ca="1">VLOOKUP(B838,'ALL DATABASES'!$A$1:$T$2252,20,FALSE)</f>
        <v>SCOPUS</v>
      </c>
    </row>
    <row r="839" spans="1:8" ht="12.75" x14ac:dyDescent="0.2">
      <c r="A839">
        <v>838</v>
      </c>
      <c r="B839" s="15" t="str">
        <f ca="1">IFERROR(__xludf.DUMMYFUNCTION("""COMPUTED_VALUE"""),"HatCUP: Hybrid Analysis and Attention Based Just-in-Time Comment Updating")</f>
        <v>HatCUP: Hybrid Analysis and Attention Based Just-in-Time Comment Updating</v>
      </c>
      <c r="C839" s="15" t="str">
        <f ca="1">VLOOKUP(B839,'ALL DATABASES'!$A$1:$T$2252,2,FALSE)</f>
        <v>Zhu H,He X,Xu L</v>
      </c>
      <c r="D839" s="15">
        <f ca="1">VLOOKUP(B839,'ALL DATABASES'!$A$1:$T$2252,5,FALSE)</f>
        <v>2022</v>
      </c>
      <c r="E839" s="15">
        <f ca="1">VLOOKUP(B839,'ALL DATABASES'!$A$1:$T$2252,10,FALSE)</f>
        <v>2022</v>
      </c>
      <c r="F839" s="54" t="str">
        <f ca="1">VLOOKUP(B839,'ALL DATABASES'!$A$1:$T$2252,14,FALSE)</f>
        <v>https://doi.org/10.1145/3524610.3527901;http://dx.doi.org/10.1145/3524610.3527901</v>
      </c>
      <c r="G839" s="15" t="str">
        <f ca="1">VLOOKUP(B839,'ALL DATABASES'!$A$1:$T$2252,3,FALSE)</f>
        <v>Conference Paper</v>
      </c>
      <c r="H839" s="50" t="str">
        <f ca="1">VLOOKUP(B839,'ALL DATABASES'!$A$1:$T$2252,20,FALSE)</f>
        <v>ACM</v>
      </c>
    </row>
    <row r="840" spans="1:8" ht="12.75" x14ac:dyDescent="0.2">
      <c r="A840">
        <v>839</v>
      </c>
      <c r="B840" s="15" t="str">
        <f ca="1">IFERROR(__xludf.DUMMYFUNCTION("""COMPUTED_VALUE"""),"Have No PHEAR: Networks Without Identifiers")</f>
        <v>Have No PHEAR: Networks Without Identifiers</v>
      </c>
      <c r="C840" s="15" t="str">
        <f ca="1">VLOOKUP(B840,'ALL DATABASES'!$A$1:$T$2252,2,FALSE)</f>
        <v>Skowyra R,Bauer K,Dedhia V,Okhravi H</v>
      </c>
      <c r="D840" s="15">
        <f ca="1">VLOOKUP(B840,'ALL DATABASES'!$A$1:$T$2252,5,FALSE)</f>
        <v>2016</v>
      </c>
      <c r="E840" s="15">
        <f ca="1">VLOOKUP(B840,'ALL DATABASES'!$A$1:$T$2252,10,FALSE)</f>
        <v>2016</v>
      </c>
      <c r="F840" s="54" t="str">
        <f ca="1">VLOOKUP(B840,'ALL DATABASES'!$A$1:$T$2252,14,FALSE)</f>
        <v>https://doi.org/10.1145/2995272.2995276;http://dx.doi.org/10.1145/2995272.2995276</v>
      </c>
      <c r="G840" s="15" t="str">
        <f ca="1">VLOOKUP(B840,'ALL DATABASES'!$A$1:$T$2252,3,FALSE)</f>
        <v>Conference Paper</v>
      </c>
      <c r="H840" s="50" t="str">
        <f ca="1">VLOOKUP(B840,'ALL DATABASES'!$A$1:$T$2252,20,FALSE)</f>
        <v>ACM</v>
      </c>
    </row>
    <row r="841" spans="1:8" ht="12.75" x14ac:dyDescent="0.2">
      <c r="A841">
        <v>840</v>
      </c>
      <c r="B841" s="15" t="str">
        <f ca="1">IFERROR(__xludf.DUMMYFUNCTION("""COMPUTED_VALUE"""),"HCI International 2021 - Late Breaking Papers: Multimodality, eXtended Reality, and Artificial Intelligence")</f>
        <v>HCI International 2021 - Late Breaking Papers: Multimodality, eXtended Reality, and Artificial Intelligence</v>
      </c>
      <c r="C841" s="15" t="str">
        <f ca="1">VLOOKUP(B841,'ALL DATABASES'!$A$1:$T$2252,2,FALSE)</f>
        <v>Prof. Constantine StephanidisMasaaki KurosuJessie Y. C. ChenGino FragomeniDr. Norbert StreitzDr. Shin'ichi KonomiHelmut DegenDr. Stavroula Ntoa</v>
      </c>
      <c r="D841" s="15">
        <f ca="1">VLOOKUP(B841,'ALL DATABASES'!$A$1:$T$2252,5,FALSE)</f>
        <v>2021</v>
      </c>
      <c r="E841" s="15">
        <f ca="1">VLOOKUP(B841,'ALL DATABASES'!$A$1:$T$2252,10,FALSE)</f>
        <v>0</v>
      </c>
      <c r="F841" s="54" t="str">
        <f ca="1">VLOOKUP(B841,'ALL DATABASES'!$A$1:$T$2252,14,FALSE)</f>
        <v>http://link.springer.com/book/10.1007/978-3-030-90963-5</v>
      </c>
      <c r="G841" s="15" t="str">
        <f ca="1">VLOOKUP(B841,'ALL DATABASES'!$A$1:$T$2252,3,FALSE)</f>
        <v>Book</v>
      </c>
      <c r="H841" s="50" t="str">
        <f ca="1">VLOOKUP(B841,'ALL DATABASES'!$A$1:$T$2252,20,FALSE)</f>
        <v>SPRINGER</v>
      </c>
    </row>
    <row r="842" spans="1:8" ht="12.75" x14ac:dyDescent="0.2">
      <c r="A842">
        <v>841</v>
      </c>
      <c r="B842" s="15" t="str">
        <f ca="1">IFERROR(__xludf.DUMMYFUNCTION("""COMPUTED_VALUE"""),"Help me with this: A categorization of open source software problems")</f>
        <v>Help me with this: A categorization of open source software problems</v>
      </c>
      <c r="C842" s="15" t="str">
        <f ca="1">VLOOKUP(B842,'ALL DATABASES'!$A$1:$T$2252,2,FALSE)</f>
        <v>Kapitsaki GM,Tselikas ND,Kyriakou KI,Papoutsoglou M</v>
      </c>
      <c r="D842" s="15">
        <f ca="1">VLOOKUP(B842,'ALL DATABASES'!$A$1:$T$2252,5,FALSE)</f>
        <v>2022</v>
      </c>
      <c r="E842" s="15">
        <f ca="1">VLOOKUP(B842,'ALL DATABASES'!$A$1:$T$2252,10,FALSE)</f>
        <v>2022</v>
      </c>
      <c r="F842" s="54" t="str">
        <f ca="1">VLOOKUP(B842,'ALL DATABASES'!$A$1:$T$2252,14,FALSE)</f>
        <v>https://www.sciencedirect.com/science/article/pii/S0950584922001513;http://dx.doi.org/10.1016/j.infsof.2022.107034</v>
      </c>
      <c r="G842" s="15" t="str">
        <f ca="1">VLOOKUP(B842,'ALL DATABASES'!$A$1:$T$2252,3,FALSE)</f>
        <v>Journal Article</v>
      </c>
      <c r="H842" s="50" t="str">
        <f ca="1">VLOOKUP(B842,'ALL DATABASES'!$A$1:$T$2252,20,FALSE)</f>
        <v>SCIENCEDIRECT</v>
      </c>
    </row>
    <row r="843" spans="1:8" ht="12.75" x14ac:dyDescent="0.2">
      <c r="A843">
        <v>842</v>
      </c>
      <c r="B843" s="15" t="str">
        <f ca="1">IFERROR(__xludf.DUMMYFUNCTION("""COMPUTED_VALUE"""),"Helping novice architects to manage architectural technical debt in microservices architecture")</f>
        <v>Helping novice architects to manage architectural technical debt in microservices architecture</v>
      </c>
      <c r="C843" s="15" t="str">
        <f ca="1">VLOOKUP(B843,'ALL DATABASES'!$A$1:$T$2252,2,FALSE)</f>
        <v>Márquez G,Astudillo H</v>
      </c>
      <c r="D843" s="15">
        <f ca="1">VLOOKUP(B843,'ALL DATABASES'!$A$1:$T$2252,5,FALSE)</f>
        <v>2018</v>
      </c>
      <c r="E843" s="15">
        <f ca="1">VLOOKUP(B843,'ALL DATABASES'!$A$1:$T$2252,10,FALSE)</f>
        <v>2018</v>
      </c>
      <c r="F843" s="54" t="str">
        <f ca="1">VLOOKUP(B843,'ALL DATABASES'!$A$1:$T$2252,14,FALSE)</f>
        <v>https://www.scopus.com/inward/record.uri?eid=2-s2.0-85050071753&amp;partnerID=40&amp;md5=17d3d7bb3e17ad1c4df00eadc261a667</v>
      </c>
      <c r="G843" s="15" t="str">
        <f ca="1">VLOOKUP(B843,'ALL DATABASES'!$A$1:$T$2252,3,FALSE)</f>
        <v>Conference Paper</v>
      </c>
      <c r="H843" s="50" t="str">
        <f ca="1">VLOOKUP(B843,'ALL DATABASES'!$A$1:$T$2252,20,FALSE)</f>
        <v>SCOPUS</v>
      </c>
    </row>
    <row r="844" spans="1:8" ht="12.75" x14ac:dyDescent="0.2">
      <c r="A844">
        <v>843</v>
      </c>
      <c r="B844" s="15" t="str">
        <f ca="1">IFERROR(__xludf.DUMMYFUNCTION("""COMPUTED_VALUE"""),"Hidden Feedback Loops in Machine Learning Systems: A Simulation Model and Preliminary Results")</f>
        <v>Hidden Feedback Loops in Machine Learning Systems: A Simulation Model and Preliminary Results</v>
      </c>
      <c r="C844" s="15" t="str">
        <f ca="1">VLOOKUP(B844,'ALL DATABASES'!$A$1:$T$2252,2,FALSE)</f>
        <v>Anton Khritankov</v>
      </c>
      <c r="D844" s="15">
        <f ca="1">VLOOKUP(B844,'ALL DATABASES'!$A$1:$T$2252,5,FALSE)</f>
        <v>2021</v>
      </c>
      <c r="E844" s="15">
        <f ca="1">VLOOKUP(B844,'ALL DATABASES'!$A$1:$T$2252,10,FALSE)</f>
        <v>0</v>
      </c>
      <c r="F844" s="54" t="str">
        <f ca="1">VLOOKUP(B844,'ALL DATABASES'!$A$1:$T$2252,14,FALSE)</f>
        <v>http://link.springer.com/chapter/10.1007/978-3-030-65854-0_5</v>
      </c>
      <c r="G844" s="15" t="str">
        <f ca="1">VLOOKUP(B844,'ALL DATABASES'!$A$1:$T$2252,3,FALSE)</f>
        <v>Chapter</v>
      </c>
      <c r="H844" s="50" t="str">
        <f ca="1">VLOOKUP(B844,'ALL DATABASES'!$A$1:$T$2252,20,FALSE)</f>
        <v>SPRINGER</v>
      </c>
    </row>
    <row r="845" spans="1:8" ht="12.75" x14ac:dyDescent="0.2">
      <c r="A845">
        <v>844</v>
      </c>
      <c r="B845" s="15" t="str">
        <f ca="1">IFERROR(__xludf.DUMMYFUNCTION("""COMPUTED_VALUE"""),"Hidden technical debt in machine learning systems")</f>
        <v>Hidden technical debt in machine learning systems</v>
      </c>
      <c r="C845" s="15" t="str">
        <f ca="1">VLOOKUP(B845,'ALL DATABASES'!$A$1:$T$2252,2,FALSE)</f>
        <v>Sculley D,Holt G,Golovin D,Davydov E,Phillips T,Ebner D,Chaudhary V,Young M,Crespo JF,Dennison D</v>
      </c>
      <c r="D845" s="15">
        <f ca="1">VLOOKUP(B845,'ALL DATABASES'!$A$1:$T$2252,5,FALSE)</f>
        <v>2015</v>
      </c>
      <c r="E845" s="15">
        <f ca="1">VLOOKUP(B845,'ALL DATABASES'!$A$1:$T$2252,10,FALSE)</f>
        <v>2015</v>
      </c>
      <c r="F845" s="54" t="str">
        <f ca="1">VLOOKUP(B845,'ALL DATABASES'!$A$1:$T$2252,14,FALSE)</f>
        <v>https://www.scopus.com/inward/record.uri?eid=2-s2.0-84965107309&amp;partnerID=40&amp;md5=18bbc8dc5266339b6dc47a1e9b508dcf</v>
      </c>
      <c r="G845" s="15" t="str">
        <f ca="1">VLOOKUP(B845,'ALL DATABASES'!$A$1:$T$2252,3,FALSE)</f>
        <v>Conference Paper</v>
      </c>
      <c r="H845" s="50" t="str">
        <f ca="1">VLOOKUP(B845,'ALL DATABASES'!$A$1:$T$2252,20,FALSE)</f>
        <v>SCOPUS</v>
      </c>
    </row>
    <row r="846" spans="1:8" ht="12.75" x14ac:dyDescent="0.2">
      <c r="A846">
        <v>845</v>
      </c>
      <c r="B846" s="15" t="str">
        <f ca="1">IFERROR(__xludf.DUMMYFUNCTION("""COMPUTED_VALUE"""),"High-level software requirements and iteration changes: a predictive model")</f>
        <v>High-level software requirements and iteration changes: a predictive model</v>
      </c>
      <c r="C846" s="15" t="str">
        <f ca="1">VLOOKUP(B846,'ALL DATABASES'!$A$1:$T$2252,2,FALSE)</f>
        <v>Kelly BlincoeAli DehghanAbdoul-Djawadou SalaouAdam NealJohan LinakerDaniela Damian</v>
      </c>
      <c r="D846" s="15">
        <f ca="1">VLOOKUP(B846,'ALL DATABASES'!$A$1:$T$2252,5,FALSE)</f>
        <v>2019</v>
      </c>
      <c r="E846" s="15">
        <f ca="1">VLOOKUP(B846,'ALL DATABASES'!$A$1:$T$2252,10,FALSE)</f>
        <v>0</v>
      </c>
      <c r="F846" s="54" t="str">
        <f ca="1">VLOOKUP(B846,'ALL DATABASES'!$A$1:$T$2252,14,FALSE)</f>
        <v>http://link.springer.com/article/10.1007/s10664-018-9656-z</v>
      </c>
      <c r="G846" s="15" t="str">
        <f ca="1">VLOOKUP(B846,'ALL DATABASES'!$A$1:$T$2252,3,FALSE)</f>
        <v>Article</v>
      </c>
      <c r="H846" s="50" t="str">
        <f ca="1">VLOOKUP(B846,'ALL DATABASES'!$A$1:$T$2252,20,FALSE)</f>
        <v>SPRINGER</v>
      </c>
    </row>
    <row r="847" spans="1:8" ht="12.75" x14ac:dyDescent="0.2">
      <c r="A847">
        <v>846</v>
      </c>
      <c r="B847" s="15" t="str">
        <f ca="1">IFERROR(__xludf.DUMMYFUNCTION("""COMPUTED_VALUE"""),"HihO: accelerating artificial intelligence interpretability for medical imaging in IoT applications using hierarchical occlusion: Opening the black box")</f>
        <v>HihO: accelerating artificial intelligence interpretability for medical imaging in IoT applications using hierarchical occlusion: Opening the black box</v>
      </c>
      <c r="C847" s="15" t="str">
        <f ca="1">VLOOKUP(B847,'ALL DATABASES'!$A$1:$T$2252,2,FALSE)</f>
        <v>Monroe WS,Skidmore FM,Odaibo DG,Tanik MM</v>
      </c>
      <c r="D847" s="15">
        <f ca="1">VLOOKUP(B847,'ALL DATABASES'!$A$1:$T$2252,5,FALSE)</f>
        <v>2021</v>
      </c>
      <c r="E847" s="15">
        <f ca="1">VLOOKUP(B847,'ALL DATABASES'!$A$1:$T$2252,10,FALSE)</f>
        <v>2021</v>
      </c>
      <c r="F847" s="54" t="str">
        <f ca="1">VLOOKUP(B847,'ALL DATABASES'!$A$1:$T$2252,14,FALSE)</f>
        <v>https://www.scopus.com/inward/record.uri?eid=2-s2.0-85091770310&amp;doi=10.1007%2fs00521-020-05379-4&amp;partnerID=40&amp;md5=17baedb91c4a7ae3379bb063b065662b;http://dx.doi.org/10.1007/s00521-020-05379-4</v>
      </c>
      <c r="G847" s="15" t="str">
        <f ca="1">VLOOKUP(B847,'ALL DATABASES'!$A$1:$T$2252,3,FALSE)</f>
        <v>Journal Article</v>
      </c>
      <c r="H847" s="50" t="str">
        <f ca="1">VLOOKUP(B847,'ALL DATABASES'!$A$1:$T$2252,20,FALSE)</f>
        <v>SCOPUS</v>
      </c>
    </row>
    <row r="848" spans="1:8" ht="12.75" x14ac:dyDescent="0.2">
      <c r="A848">
        <v>847</v>
      </c>
      <c r="B848" s="15" t="str">
        <f ca="1">IFERROR(__xludf.DUMMYFUNCTION("""COMPUTED_VALUE"""),"Hindsight Logging for Model Training")</f>
        <v>Hindsight Logging for Model Training</v>
      </c>
      <c r="C848" s="15" t="str">
        <f ca="1">VLOOKUP(B848,'ALL DATABASES'!$A$1:$T$2252,2,FALSE)</f>
        <v>Garcia R,Liu E,Sreekanti V,Yan B,Dandamudi A,Gonzalez JE,Hellerstein JM,Sen K</v>
      </c>
      <c r="D848" s="15">
        <f ca="1">VLOOKUP(B848,'ALL DATABASES'!$A$1:$T$2252,5,FALSE)</f>
        <v>2021</v>
      </c>
      <c r="E848" s="55">
        <f ca="1">VLOOKUP(B848,'ALL DATABASES'!$A$1:$T$2252,10,FALSE)</f>
        <v>44228</v>
      </c>
      <c r="F848" s="54" t="str">
        <f ca="1">VLOOKUP(B848,'ALL DATABASES'!$A$1:$T$2252,14,FALSE)</f>
        <v>https://doi.org/10.14778/3436905.3436925;http://dx.doi.org/10.14778/3436905.3436925</v>
      </c>
      <c r="G848" s="15" t="str">
        <f ca="1">VLOOKUP(B848,'ALL DATABASES'!$A$1:$T$2252,3,FALSE)</f>
        <v>Journal Article</v>
      </c>
      <c r="H848" s="50" t="str">
        <f ca="1">VLOOKUP(B848,'ALL DATABASES'!$A$1:$T$2252,20,FALSE)</f>
        <v>ACM</v>
      </c>
    </row>
    <row r="849" spans="1:8" ht="12.75" x14ac:dyDescent="0.2">
      <c r="A849">
        <v>848</v>
      </c>
      <c r="B849" s="15" t="str">
        <f ca="1">IFERROR(__xludf.DUMMYFUNCTION("""COMPUTED_VALUE"""),"histolab: A Python library for reproducible Digital Pathology preprocessing with automated testing")</f>
        <v>histolab: A Python library for reproducible Digital Pathology preprocessing with automated testing</v>
      </c>
      <c r="C849" s="15" t="str">
        <f ca="1">VLOOKUP(B849,'ALL DATABASES'!$A$1:$T$2252,2,FALSE)</f>
        <v>Marcolini A,Bussola N,Arbitrio E,Amgad M,Jurman G,Furlanello C</v>
      </c>
      <c r="D849" s="15">
        <f ca="1">VLOOKUP(B849,'ALL DATABASES'!$A$1:$T$2252,5,FALSE)</f>
        <v>2022</v>
      </c>
      <c r="E849" s="15">
        <f ca="1">VLOOKUP(B849,'ALL DATABASES'!$A$1:$T$2252,10,FALSE)</f>
        <v>2022</v>
      </c>
      <c r="F849" s="54" t="str">
        <f ca="1">VLOOKUP(B849,'ALL DATABASES'!$A$1:$T$2252,14,FALSE)</f>
        <v>https://www.scopus.com/inward/record.uri?eid=2-s2.0-85141781984&amp;doi=10.1016%2fj.softx.2022.101237&amp;partnerID=40&amp;md5=09d5a5f60a2912d9eab325b704f61f8a;http://dx.doi.org/10.1016/j.softx.2022.101237</v>
      </c>
      <c r="G849" s="15" t="str">
        <f ca="1">VLOOKUP(B849,'ALL DATABASES'!$A$1:$T$2252,3,FALSE)</f>
        <v>Journal Article</v>
      </c>
      <c r="H849" s="50" t="str">
        <f ca="1">VLOOKUP(B849,'ALL DATABASES'!$A$1:$T$2252,20,FALSE)</f>
        <v>SCOPUS</v>
      </c>
    </row>
    <row r="850" spans="1:8" ht="12.75" x14ac:dyDescent="0.2">
      <c r="A850">
        <v>849</v>
      </c>
      <c r="B850" s="15" t="str">
        <f ca="1">IFERROR(__xludf.DUMMYFUNCTION("""COMPUTED_VALUE"""),"How are performance issues caused and resolved?-an empirical study from a design perspective")</f>
        <v>How are performance issues caused and resolved?-an empirical study from a design perspective</v>
      </c>
      <c r="C850" s="15" t="str">
        <f ca="1">VLOOKUP(B850,'ALL DATABASES'!$A$1:$T$2252,2,FALSE)</f>
        <v>Zhao Y,Xiao L,Wang X,Sun L,Chen B,Liu Y,Bondi AB</v>
      </c>
      <c r="D850" s="15">
        <f ca="1">VLOOKUP(B850,'ALL DATABASES'!$A$1:$T$2252,5,FALSE)</f>
        <v>2020</v>
      </c>
      <c r="E850" s="15">
        <f ca="1">VLOOKUP(B850,'ALL DATABASES'!$A$1:$T$2252,10,FALSE)</f>
        <v>2020</v>
      </c>
      <c r="F850" s="54" t="str">
        <f ca="1">VLOOKUP(B850,'ALL DATABASES'!$A$1:$T$2252,14,FALSE)</f>
        <v>https://www.scopus.com/inward/record.uri?eid=2-s2.0-85085926600&amp;doi=10.1145%2f3358960.3379130&amp;partnerID=40&amp;md5=f4be5d49f90b9acb39fde0931a466cdd;http://dx.doi.org/10.1145/3358960.3379130</v>
      </c>
      <c r="G850" s="15" t="str">
        <f ca="1">VLOOKUP(B850,'ALL DATABASES'!$A$1:$T$2252,3,FALSE)</f>
        <v>Conference Paper</v>
      </c>
      <c r="H850" s="50" t="str">
        <f ca="1">VLOOKUP(B850,'ALL DATABASES'!$A$1:$T$2252,20,FALSE)</f>
        <v>SCOPUS</v>
      </c>
    </row>
    <row r="851" spans="1:8" ht="12.75" x14ac:dyDescent="0.2">
      <c r="A851">
        <v>850</v>
      </c>
      <c r="B851" s="15" t="str">
        <f ca="1">IFERROR(__xludf.DUMMYFUNCTION("""COMPUTED_VALUE"""),"How Can Human Values be Addressed in Agile Methods? A Case Study on SAFe")</f>
        <v>How Can Human Values be Addressed in Agile Methods? A Case Study on SAFe</v>
      </c>
      <c r="C851" s="15" t="str">
        <f ca="1">VLOOKUP(B851,'ALL DATABASES'!$A$1:$T$2252,2,FALSE)</f>
        <v>Hussain W,Shahin M,Hoda R,Whittle J,Perera H,Nurwidyantoro A,Shams RA,Oliver G</v>
      </c>
      <c r="D851" s="15">
        <f ca="1">VLOOKUP(B851,'ALL DATABASES'!$A$1:$T$2252,5,FALSE)</f>
        <v>2022</v>
      </c>
      <c r="E851" s="53">
        <f ca="1">VLOOKUP(B851,'ALL DATABASES'!$A$1:$T$2252,10,FALSE)</f>
        <v>44896</v>
      </c>
      <c r="F851" s="54" t="str">
        <f ca="1">VLOOKUP(B851,'ALL DATABASES'!$A$1:$T$2252,14,FALSE)</f>
        <v>http://dx.doi.org/10.1109/TSE.2022.3140230</v>
      </c>
      <c r="G851" s="15" t="str">
        <f ca="1">VLOOKUP(B851,'ALL DATABASES'!$A$1:$T$2252,3,FALSE)</f>
        <v>Journal Article</v>
      </c>
      <c r="H851" s="50" t="str">
        <f ca="1">VLOOKUP(B851,'ALL DATABASES'!$A$1:$T$2252,20,FALSE)</f>
        <v>IEEE</v>
      </c>
    </row>
    <row r="852" spans="1:8" ht="12.75" x14ac:dyDescent="0.2">
      <c r="A852">
        <v>851</v>
      </c>
      <c r="B852" s="15" t="str">
        <f ca="1">IFERROR(__xludf.DUMMYFUNCTION("""COMPUTED_VALUE"""),"How can manual testing processes be optimized? developer survey, optimization guidelines, and case studies")</f>
        <v>How can manual testing processes be optimized? developer survey, optimization guidelines, and case studies</v>
      </c>
      <c r="C852" s="15" t="str">
        <f ca="1">VLOOKUP(B852,'ALL DATABASES'!$A$1:$T$2252,2,FALSE)</f>
        <v>Haas R,Elsner D,Juergens E,Pretschner A,Apel S</v>
      </c>
      <c r="D852" s="15">
        <f ca="1">VLOOKUP(B852,'ALL DATABASES'!$A$1:$T$2252,5,FALSE)</f>
        <v>2021</v>
      </c>
      <c r="E852" s="15">
        <f ca="1">VLOOKUP(B852,'ALL DATABASES'!$A$1:$T$2252,10,FALSE)</f>
        <v>2021</v>
      </c>
      <c r="F852" s="54" t="str">
        <f ca="1">VLOOKUP(B852,'ALL DATABASES'!$A$1:$T$2252,14,FALSE)</f>
        <v>https://www.scopus.com/inward/record.uri?eid=2-s2.0-85116297167&amp;doi=10.1145%2f3468264.3473922&amp;partnerID=40&amp;md5=7621c921868ff843237b2ef5213e0e7c;http://dx.doi.org/10.1145/3468264.3473922</v>
      </c>
      <c r="G852" s="15" t="str">
        <f ca="1">VLOOKUP(B852,'ALL DATABASES'!$A$1:$T$2252,3,FALSE)</f>
        <v>Conference Paper</v>
      </c>
      <c r="H852" s="50" t="str">
        <f ca="1">VLOOKUP(B852,'ALL DATABASES'!$A$1:$T$2252,20,FALSE)</f>
        <v>SCOPUS</v>
      </c>
    </row>
    <row r="853" spans="1:8" ht="12.75" x14ac:dyDescent="0.2">
      <c r="A853">
        <v>852</v>
      </c>
      <c r="B853" s="15" t="str">
        <f ca="1">IFERROR(__xludf.DUMMYFUNCTION("""COMPUTED_VALUE"""),"How Deep is the Mud: Fathoming Architecture Technical Debt Using Designite")</f>
        <v>How Deep is the Mud: Fathoming Architecture Technical Debt Using Designite</v>
      </c>
      <c r="C853" s="15" t="str">
        <f ca="1">VLOOKUP(B853,'ALL DATABASES'!$A$1:$T$2252,2,FALSE)</f>
        <v>Sharma T</v>
      </c>
      <c r="D853" s="15">
        <f ca="1">VLOOKUP(B853,'ALL DATABASES'!$A$1:$T$2252,5,FALSE)</f>
        <v>2019</v>
      </c>
      <c r="E853" s="15">
        <f ca="1">VLOOKUP(B853,'ALL DATABASES'!$A$1:$T$2252,10,FALSE)</f>
        <v>2019</v>
      </c>
      <c r="F853" s="54" t="str">
        <f ca="1">VLOOKUP(B853,'ALL DATABASES'!$A$1:$T$2252,14,FALSE)</f>
        <v>https://doi.org/10.1109/TechDebt.2019.00018;http://dx.doi.org/10.1109/TechDebt.2019.00018</v>
      </c>
      <c r="G853" s="15" t="str">
        <f ca="1">VLOOKUP(B853,'ALL DATABASES'!$A$1:$T$2252,3,FALSE)</f>
        <v>Conference Paper</v>
      </c>
      <c r="H853" s="50" t="str">
        <f ca="1">VLOOKUP(B853,'ALL DATABASES'!$A$1:$T$2252,20,FALSE)</f>
        <v>ACM</v>
      </c>
    </row>
    <row r="854" spans="1:8" ht="12.75" x14ac:dyDescent="0.2">
      <c r="A854">
        <v>853</v>
      </c>
      <c r="B854" s="15" t="str">
        <f ca="1">IFERROR(__xludf.DUMMYFUNCTION("""COMPUTED_VALUE"""),"How Developers Discuss Architecture Smells? An Exploratory Study on Stack Overflow")</f>
        <v>How Developers Discuss Architecture Smells? An Exploratory Study on Stack Overflow</v>
      </c>
      <c r="C854" s="15" t="str">
        <f ca="1">VLOOKUP(B854,'ALL DATABASES'!$A$1:$T$2252,2,FALSE)</f>
        <v>Tian F,Liang P,Babar MA</v>
      </c>
      <c r="D854" s="15">
        <f ca="1">VLOOKUP(B854,'ALL DATABASES'!$A$1:$T$2252,5,FALSE)</f>
        <v>2019</v>
      </c>
      <c r="E854" s="55">
        <f ca="1">VLOOKUP(B854,'ALL DATABASES'!$A$1:$T$2252,10,FALSE)</f>
        <v>43525</v>
      </c>
      <c r="F854" s="54" t="str">
        <f ca="1">VLOOKUP(B854,'ALL DATABASES'!$A$1:$T$2252,14,FALSE)</f>
        <v>http://dx.doi.org/10.1109/ICSA.2019.00018</v>
      </c>
      <c r="G854" s="15" t="str">
        <f ca="1">VLOOKUP(B854,'ALL DATABASES'!$A$1:$T$2252,3,FALSE)</f>
        <v>Conference Paper</v>
      </c>
      <c r="H854" s="50" t="str">
        <f ca="1">VLOOKUP(B854,'ALL DATABASES'!$A$1:$T$2252,20,FALSE)</f>
        <v>IEEE</v>
      </c>
    </row>
    <row r="855" spans="1:8" ht="12.75" x14ac:dyDescent="0.2">
      <c r="A855">
        <v>854</v>
      </c>
      <c r="B855" s="15" t="str">
        <f ca="1">IFERROR(__xludf.DUMMYFUNCTION("""COMPUTED_VALUE"""),"How do community smells influence code smells?")</f>
        <v>How do community smells influence code smells?</v>
      </c>
      <c r="C855" s="15" t="str">
        <f ca="1">VLOOKUP(B855,'ALL DATABASES'!$A$1:$T$2252,2,FALSE)</f>
        <v>Palomba F,Tamburri DA,Serebrenik A,Zaidman A,Fontana FA,Oliveto R</v>
      </c>
      <c r="D855" s="15">
        <f ca="1">VLOOKUP(B855,'ALL DATABASES'!$A$1:$T$2252,5,FALSE)</f>
        <v>2018</v>
      </c>
      <c r="E855" s="15">
        <f ca="1">VLOOKUP(B855,'ALL DATABASES'!$A$1:$T$2252,10,FALSE)</f>
        <v>2018</v>
      </c>
      <c r="F855" s="54" t="str">
        <f ca="1">VLOOKUP(B855,'ALL DATABASES'!$A$1:$T$2252,14,FALSE)</f>
        <v>https://www.scopus.com/inward/record.uri?eid=2-s2.0-85049674778&amp;doi=10.1145%2f3183440.3194950&amp;partnerID=40&amp;md5=e3304807d2353cd906e4c925fd57549b;http://dx.doi.org/10.1145/3183440.3194950</v>
      </c>
      <c r="G855" s="15" t="str">
        <f ca="1">VLOOKUP(B855,'ALL DATABASES'!$A$1:$T$2252,3,FALSE)</f>
        <v>Conference Paper</v>
      </c>
      <c r="H855" s="50" t="str">
        <f ca="1">VLOOKUP(B855,'ALL DATABASES'!$A$1:$T$2252,20,FALSE)</f>
        <v>SCOPUS</v>
      </c>
    </row>
    <row r="856" spans="1:8" ht="12.75" x14ac:dyDescent="0.2">
      <c r="A856">
        <v>855</v>
      </c>
      <c r="B856" s="15" t="str">
        <f ca="1">IFERROR(__xludf.DUMMYFUNCTION("""COMPUTED_VALUE"""),"How Do Engineers Perceive Difficulties in Engineering of Machine-Learning Systems? - Questionnaire Survey")</f>
        <v>How Do Engineers Perceive Difficulties in Engineering of Machine-Learning Systems? - Questionnaire Survey</v>
      </c>
      <c r="C856" s="15" t="str">
        <f ca="1">VLOOKUP(B856,'ALL DATABASES'!$A$1:$T$2252,2,FALSE)</f>
        <v>Ishikawa F,Yoshioka N</v>
      </c>
      <c r="D856" s="15">
        <f ca="1">VLOOKUP(B856,'ALL DATABASES'!$A$1:$T$2252,5,FALSE)</f>
        <v>2019</v>
      </c>
      <c r="E856" s="15">
        <f ca="1">VLOOKUP(B856,'ALL DATABASES'!$A$1:$T$2252,10,FALSE)</f>
        <v>2019</v>
      </c>
      <c r="F856" s="54" t="str">
        <f ca="1">VLOOKUP(B856,'ALL DATABASES'!$A$1:$T$2252,14,FALSE)</f>
        <v>https://www.scopus.com/inward/record.uri?eid=2-s2.0-85073437829&amp;doi=10.1109%2fCESSER-IP.2019.00009&amp;partnerID=40&amp;md5=6ee4c8ddefaa6d61ea7f840450700a0c;http://dx.doi.org/10.1109/CESSER-IP.2019.00009</v>
      </c>
      <c r="G856" s="15" t="str">
        <f ca="1">VLOOKUP(B856,'ALL DATABASES'!$A$1:$T$2252,3,FALSE)</f>
        <v>Conference Paper</v>
      </c>
      <c r="H856" s="50" t="str">
        <f ca="1">VLOOKUP(B856,'ALL DATABASES'!$A$1:$T$2252,20,FALSE)</f>
        <v>SCOPUS</v>
      </c>
    </row>
    <row r="857" spans="1:8" ht="12.75" x14ac:dyDescent="0.2">
      <c r="A857">
        <v>856</v>
      </c>
      <c r="B857" s="15" t="str">
        <f ca="1">IFERROR(__xludf.DUMMYFUNCTION("""COMPUTED_VALUE"""),"How Do FOSS Communities Decide to Accept Pull Requests?")</f>
        <v>How Do FOSS Communities Decide to Accept Pull Requests?</v>
      </c>
      <c r="C857" s="15" t="str">
        <f ca="1">VLOOKUP(B857,'ALL DATABASES'!$A$1:$T$2252,2,FALSE)</f>
        <v>Alami A,Cohn ML,Waisowski A</v>
      </c>
      <c r="D857" s="15">
        <f ca="1">VLOOKUP(B857,'ALL DATABASES'!$A$1:$T$2252,5,FALSE)</f>
        <v>2020</v>
      </c>
      <c r="E857" s="15">
        <f ca="1">VLOOKUP(B857,'ALL DATABASES'!$A$1:$T$2252,10,FALSE)</f>
        <v>2020</v>
      </c>
      <c r="F857" s="54" t="str">
        <f ca="1">VLOOKUP(B857,'ALL DATABASES'!$A$1:$T$2252,14,FALSE)</f>
        <v>https://www.scopus.com/inward/record.uri?eid=2-s2.0-85090848681&amp;doi=10.1145%2f3383219.3383242&amp;partnerID=40&amp;md5=255b95a5553fedbbf3dfe916186b1aa3;http://dx.doi.org/10.1145/3383219.3383242</v>
      </c>
      <c r="G857" s="15" t="str">
        <f ca="1">VLOOKUP(B857,'ALL DATABASES'!$A$1:$T$2252,3,FALSE)</f>
        <v>Conference Paper</v>
      </c>
      <c r="H857" s="50" t="str">
        <f ca="1">VLOOKUP(B857,'ALL DATABASES'!$A$1:$T$2252,20,FALSE)</f>
        <v>SCOPUS</v>
      </c>
    </row>
    <row r="858" spans="1:8" ht="12.75" x14ac:dyDescent="0.2">
      <c r="A858">
        <v>857</v>
      </c>
      <c r="B858" s="15" t="str">
        <f ca="1">IFERROR(__xludf.DUMMYFUNCTION("""COMPUTED_VALUE"""),"How do i refactor this? An empirical study on refactoring trends and topics in Stack Overflow")</f>
        <v>How do i refactor this? An empirical study on refactoring trends and topics in Stack Overflow</v>
      </c>
      <c r="C858" s="15" t="str">
        <f ca="1">VLOOKUP(B858,'ALL DATABASES'!$A$1:$T$2252,2,FALSE)</f>
        <v>Anthony PerumaSteven SimmonsEman Abdullah AlOmarChristian D. NewmanMohamed Wiem MkaouerAli Ouni</v>
      </c>
      <c r="D858" s="15">
        <f ca="1">VLOOKUP(B858,'ALL DATABASES'!$A$1:$T$2252,5,FALSE)</f>
        <v>2021</v>
      </c>
      <c r="E858" s="15">
        <f ca="1">VLOOKUP(B858,'ALL DATABASES'!$A$1:$T$2252,10,FALSE)</f>
        <v>0</v>
      </c>
      <c r="F858" s="54" t="str">
        <f ca="1">VLOOKUP(B858,'ALL DATABASES'!$A$1:$T$2252,14,FALSE)</f>
        <v>http://link.springer.com/article/10.1007/s10664-021-10045-x</v>
      </c>
      <c r="G858" s="15" t="str">
        <f ca="1">VLOOKUP(B858,'ALL DATABASES'!$A$1:$T$2252,3,FALSE)</f>
        <v>Article</v>
      </c>
      <c r="H858" s="50" t="str">
        <f ca="1">VLOOKUP(B858,'ALL DATABASES'!$A$1:$T$2252,20,FALSE)</f>
        <v>SPRINGER</v>
      </c>
    </row>
    <row r="859" spans="1:8" ht="12.75" x14ac:dyDescent="0.2">
      <c r="A859">
        <v>858</v>
      </c>
      <c r="B859" s="15" t="str">
        <f ca="1">IFERROR(__xludf.DUMMYFUNCTION("""COMPUTED_VALUE"""),"How do Modelers Code Artificial Societies? Investigating Practices and Quality of Netlogo Codes from Large Repositories")</f>
        <v>How do Modelers Code Artificial Societies? Investigating Practices and Quality of Netlogo Codes from Large Repositories</v>
      </c>
      <c r="C859" s="15" t="str">
        <f ca="1">VLOOKUP(B859,'ALL DATABASES'!$A$1:$T$2252,2,FALSE)</f>
        <v>Vendome C,Rao DM,Giabbanelli PJ</v>
      </c>
      <c r="D859" s="15">
        <f ca="1">VLOOKUP(B859,'ALL DATABASES'!$A$1:$T$2252,5,FALSE)</f>
        <v>2020</v>
      </c>
      <c r="E859" s="55">
        <f ca="1">VLOOKUP(B859,'ALL DATABASES'!$A$1:$T$2252,10,FALSE)</f>
        <v>43952</v>
      </c>
      <c r="F859" s="54" t="str">
        <f ca="1">VLOOKUP(B859,'ALL DATABASES'!$A$1:$T$2252,14,FALSE)</f>
        <v>http://dx.doi.org/10.22360/SpringSim.2020.HSAA.007</v>
      </c>
      <c r="G859" s="15" t="str">
        <f ca="1">VLOOKUP(B859,'ALL DATABASES'!$A$1:$T$2252,3,FALSE)</f>
        <v>Conference Paper</v>
      </c>
      <c r="H859" s="50" t="str">
        <f ca="1">VLOOKUP(B859,'ALL DATABASES'!$A$1:$T$2252,20,FALSE)</f>
        <v>IEEE</v>
      </c>
    </row>
    <row r="860" spans="1:8" ht="12.75" x14ac:dyDescent="0.2">
      <c r="A860">
        <v>859</v>
      </c>
      <c r="B860" s="15" t="str">
        <f ca="1">IFERROR(__xludf.DUMMYFUNCTION("""COMPUTED_VALUE"""),"How Do Trivial Refactorings Affect Classification Prediction Models?")</f>
        <v>How Do Trivial Refactorings Affect Classification Prediction Models?</v>
      </c>
      <c r="C860" s="15" t="str">
        <f ca="1">VLOOKUP(B860,'ALL DATABASES'!$A$1:$T$2252,2,FALSE)</f>
        <v>Pinheiro D,Bezerra CI,Uchoa A</v>
      </c>
      <c r="D860" s="15">
        <f ca="1">VLOOKUP(B860,'ALL DATABASES'!$A$1:$T$2252,5,FALSE)</f>
        <v>2022</v>
      </c>
      <c r="E860" s="15">
        <f ca="1">VLOOKUP(B860,'ALL DATABASES'!$A$1:$T$2252,10,FALSE)</f>
        <v>2022</v>
      </c>
      <c r="F860" s="54" t="str">
        <f ca="1">VLOOKUP(B860,'ALL DATABASES'!$A$1:$T$2252,14,FALSE)</f>
        <v>https://doi.org/10.1145/3559712.3559720;http://dx.doi.org/10.1145/3559712.3559720</v>
      </c>
      <c r="G860" s="15" t="str">
        <f ca="1">VLOOKUP(B860,'ALL DATABASES'!$A$1:$T$2252,3,FALSE)</f>
        <v>Conference Paper</v>
      </c>
      <c r="H860" s="50" t="str">
        <f ca="1">VLOOKUP(B860,'ALL DATABASES'!$A$1:$T$2252,20,FALSE)</f>
        <v>ACM</v>
      </c>
    </row>
    <row r="861" spans="1:8" ht="12.75" x14ac:dyDescent="0.2">
      <c r="A861">
        <v>860</v>
      </c>
      <c r="B861" s="15" t="str">
        <f ca="1">IFERROR(__xludf.DUMMYFUNCTION("""COMPUTED_VALUE"""),"How do you Architect your Robots? State of the Practice and Guidelines for ROS-based Systems")</f>
        <v>How do you Architect your Robots? State of the Practice and Guidelines for ROS-based Systems</v>
      </c>
      <c r="C861" s="15" t="str">
        <f ca="1">VLOOKUP(B861,'ALL DATABASES'!$A$1:$T$2252,2,FALSE)</f>
        <v>Malavolta I,Lewis G,Schmerl B,Lago P,Garlan D</v>
      </c>
      <c r="D861" s="15">
        <f ca="1">VLOOKUP(B861,'ALL DATABASES'!$A$1:$T$2252,5,FALSE)</f>
        <v>2020</v>
      </c>
      <c r="E861" s="15">
        <f ca="1">VLOOKUP(B861,'ALL DATABASES'!$A$1:$T$2252,10,FALSE)</f>
        <v>2020</v>
      </c>
      <c r="F861" s="54" t="str">
        <f ca="1">VLOOKUP(B861,'ALL DATABASES'!$A$1:$T$2252,14,FALSE)</f>
        <v>https://doi.org/10.1145/3377813.3381358;http://dx.doi.org/10.1145/3377813.3381358</v>
      </c>
      <c r="G861" s="15" t="str">
        <f ca="1">VLOOKUP(B861,'ALL DATABASES'!$A$1:$T$2252,3,FALSE)</f>
        <v>Conference Paper</v>
      </c>
      <c r="H861" s="50" t="str">
        <f ca="1">VLOOKUP(B861,'ALL DATABASES'!$A$1:$T$2252,20,FALSE)</f>
        <v>ACM</v>
      </c>
    </row>
    <row r="862" spans="1:8" ht="12.75" x14ac:dyDescent="0.2">
      <c r="A862">
        <v>861</v>
      </c>
      <c r="B862" s="15" t="str">
        <f ca="1">IFERROR(__xludf.DUMMYFUNCTION("""COMPUTED_VALUE"""),"How does code readability change during software evolution?")</f>
        <v>How does code readability change during software evolution?</v>
      </c>
      <c r="C862" s="15" t="str">
        <f ca="1">VLOOKUP(B862,'ALL DATABASES'!$A$1:$T$2252,2,FALSE)</f>
        <v>Valentina PiantadosiFabiana FierroSimone ScalabrinoAlexander SerebrenikRocco Oliveto</v>
      </c>
      <c r="D862" s="15">
        <f ca="1">VLOOKUP(B862,'ALL DATABASES'!$A$1:$T$2252,5,FALSE)</f>
        <v>2020</v>
      </c>
      <c r="E862" s="15">
        <f ca="1">VLOOKUP(B862,'ALL DATABASES'!$A$1:$T$2252,10,FALSE)</f>
        <v>0</v>
      </c>
      <c r="F862" s="54" t="str">
        <f ca="1">VLOOKUP(B862,'ALL DATABASES'!$A$1:$T$2252,14,FALSE)</f>
        <v>http://link.springer.com/article/10.1007/s10664-020-09886-9</v>
      </c>
      <c r="G862" s="15" t="str">
        <f ca="1">VLOOKUP(B862,'ALL DATABASES'!$A$1:$T$2252,3,FALSE)</f>
        <v>Article</v>
      </c>
      <c r="H862" s="50" t="str">
        <f ca="1">VLOOKUP(B862,'ALL DATABASES'!$A$1:$T$2252,20,FALSE)</f>
        <v>SPRINGER</v>
      </c>
    </row>
    <row r="863" spans="1:8" ht="12.75" x14ac:dyDescent="0.2">
      <c r="A863">
        <v>862</v>
      </c>
      <c r="B863" s="15" t="str">
        <f ca="1">IFERROR(__xludf.DUMMYFUNCTION("""COMPUTED_VALUE"""),"How does contributors involvement influence open source systems")</f>
        <v>How does contributors involvement influence open source systems</v>
      </c>
      <c r="C863" s="15" t="str">
        <f ca="1">VLOOKUP(B863,'ALL DATABASES'!$A$1:$T$2252,2,FALSE)</f>
        <v>Alfayez R,Behnamghader P,Srisopha K,Boehm B</v>
      </c>
      <c r="D863" s="15">
        <f ca="1">VLOOKUP(B863,'ALL DATABASES'!$A$1:$T$2252,5,FALSE)</f>
        <v>2017</v>
      </c>
      <c r="E863" s="55">
        <f ca="1">VLOOKUP(B863,'ALL DATABASES'!$A$1:$T$2252,10,FALSE)</f>
        <v>42979</v>
      </c>
      <c r="F863" s="54" t="str">
        <f ca="1">VLOOKUP(B863,'ALL DATABASES'!$A$1:$T$2252,14,FALSE)</f>
        <v>http://dx.doi.org/10.1109/STC.2017.8234462</v>
      </c>
      <c r="G863" s="15" t="str">
        <f ca="1">VLOOKUP(B863,'ALL DATABASES'!$A$1:$T$2252,3,FALSE)</f>
        <v>Conference Paper</v>
      </c>
      <c r="H863" s="50" t="str">
        <f ca="1">VLOOKUP(B863,'ALL DATABASES'!$A$1:$T$2252,20,FALSE)</f>
        <v>IEEE</v>
      </c>
    </row>
    <row r="864" spans="1:8" ht="12.75" x14ac:dyDescent="0.2">
      <c r="A864">
        <v>863</v>
      </c>
      <c r="B864" s="15" t="str">
        <f ca="1">IFERROR(__xludf.DUMMYFUNCTION("""COMPUTED_VALUE"""),"How does Machine Learning Change Software Development Practices?")</f>
        <v>How does Machine Learning Change Software Development Practices?</v>
      </c>
      <c r="C864" s="15" t="str">
        <f ca="1">VLOOKUP(B864,'ALL DATABASES'!$A$1:$T$2252,2,FALSE)</f>
        <v>Wan Z,Xia X,Lo D,Murphy GC</v>
      </c>
      <c r="D864" s="15">
        <f ca="1">VLOOKUP(B864,'ALL DATABASES'!$A$1:$T$2252,5,FALSE)</f>
        <v>2021</v>
      </c>
      <c r="E864" s="55">
        <f ca="1">VLOOKUP(B864,'ALL DATABASES'!$A$1:$T$2252,10,FALSE)</f>
        <v>44440</v>
      </c>
      <c r="F864" s="54" t="str">
        <f ca="1">VLOOKUP(B864,'ALL DATABASES'!$A$1:$T$2252,14,FALSE)</f>
        <v>http://dx.doi.org/10.1109/TSE.2019.2937083</v>
      </c>
      <c r="G864" s="15" t="str">
        <f ca="1">VLOOKUP(B864,'ALL DATABASES'!$A$1:$T$2252,3,FALSE)</f>
        <v>Journal Article</v>
      </c>
      <c r="H864" s="50" t="str">
        <f ca="1">VLOOKUP(B864,'ALL DATABASES'!$A$1:$T$2252,20,FALSE)</f>
        <v>IEEE</v>
      </c>
    </row>
    <row r="865" spans="1:8" ht="12.75" x14ac:dyDescent="0.2">
      <c r="A865">
        <v>864</v>
      </c>
      <c r="B865" s="15" t="str">
        <f ca="1">IFERROR(__xludf.DUMMYFUNCTION("""COMPUTED_VALUE"""),"How Domain Experts Work with Data: Situating Data Science in the Practices and Settings of Craftwork")</f>
        <v>How Domain Experts Work with Data: Situating Data Science in the Practices and Settings of Craftwork</v>
      </c>
      <c r="C865" s="15" t="str">
        <f ca="1">VLOOKUP(B865,'ALL DATABASES'!$A$1:$T$2252,2,FALSE)</f>
        <v>Jung JY,Steinberger T,King JL,Ackerman MS</v>
      </c>
      <c r="D865" s="15">
        <f ca="1">VLOOKUP(B865,'ALL DATABASES'!$A$1:$T$2252,5,FALSE)</f>
        <v>2022</v>
      </c>
      <c r="E865" s="15">
        <f ca="1">VLOOKUP(B865,'ALL DATABASES'!$A$1:$T$2252,10,FALSE)</f>
        <v>2022</v>
      </c>
      <c r="F865" s="54" t="str">
        <f ca="1">VLOOKUP(B865,'ALL DATABASES'!$A$1:$T$2252,14,FALSE)</f>
        <v>https://www.scopus.com/inward/record.uri?eid=2-s2.0-85128418414&amp;doi=10.1145%2f3512905&amp;partnerID=40&amp;md5=5ddea5edbb7cda4f0fc36e84feef1893;http://dx.doi.org/10.1145/3512905</v>
      </c>
      <c r="G865" s="15" t="str">
        <f ca="1">VLOOKUP(B865,'ALL DATABASES'!$A$1:$T$2252,3,FALSE)</f>
        <v>Journal Article</v>
      </c>
      <c r="H865" s="50" t="str">
        <f ca="1">VLOOKUP(B865,'ALL DATABASES'!$A$1:$T$2252,20,FALSE)</f>
        <v>SCOPUS</v>
      </c>
    </row>
    <row r="866" spans="1:8" ht="12.75" x14ac:dyDescent="0.2">
      <c r="A866">
        <v>865</v>
      </c>
      <c r="B866" s="15" t="str">
        <f ca="1">IFERROR(__xludf.DUMMYFUNCTION("""COMPUTED_VALUE"""),"How Far Have We Progressed in Identifying Self-Admitted Technical Debts? A Comprehensive Empirical Study")</f>
        <v>How Far Have We Progressed in Identifying Self-Admitted Technical Debts? A Comprehensive Empirical Study</v>
      </c>
      <c r="C866" s="15" t="str">
        <f ca="1">VLOOKUP(B866,'ALL DATABASES'!$A$1:$T$2252,2,FALSE)</f>
        <v>Guo Z,Liu S,Liu J,Li Y,Chen L,Lu H,Zhou Y</v>
      </c>
      <c r="D866" s="15">
        <f ca="1">VLOOKUP(B866,'ALL DATABASES'!$A$1:$T$2252,5,FALSE)</f>
        <v>2021</v>
      </c>
      <c r="E866" s="55">
        <f ca="1">VLOOKUP(B866,'ALL DATABASES'!$A$1:$T$2252,10,FALSE)</f>
        <v>44378</v>
      </c>
      <c r="F866" s="54" t="str">
        <f ca="1">VLOOKUP(B866,'ALL DATABASES'!$A$1:$T$2252,14,FALSE)</f>
        <v>https://doi.org/10.1145/3447247;http://dx.doi.org/10.1145/3447247</v>
      </c>
      <c r="G866" s="15" t="str">
        <f ca="1">VLOOKUP(B866,'ALL DATABASES'!$A$1:$T$2252,3,FALSE)</f>
        <v>Journal Article</v>
      </c>
      <c r="H866" s="50" t="str">
        <f ca="1">VLOOKUP(B866,'ALL DATABASES'!$A$1:$T$2252,20,FALSE)</f>
        <v>ACM</v>
      </c>
    </row>
    <row r="867" spans="1:8" ht="12.75" x14ac:dyDescent="0.2">
      <c r="A867">
        <v>866</v>
      </c>
      <c r="B867" s="15" t="str">
        <f ca="1">IFERROR(__xludf.DUMMYFUNCTION("""COMPUTED_VALUE"""),"How have views on Software Quality differed over time? Research and practice viewpoints")</f>
        <v>How have views on Software Quality differed over time? Research and practice viewpoints</v>
      </c>
      <c r="C867" s="15" t="str">
        <f ca="1">VLOOKUP(B867,'ALL DATABASES'!$A$1:$T$2252,2,FALSE)</f>
        <v>Ndukwe IG,Licorish SA,Tahir A,MacDonell SG</v>
      </c>
      <c r="D867" s="15">
        <f ca="1">VLOOKUP(B867,'ALL DATABASES'!$A$1:$T$2252,5,FALSE)</f>
        <v>2023</v>
      </c>
      <c r="E867" s="15">
        <f ca="1">VLOOKUP(B867,'ALL DATABASES'!$A$1:$T$2252,10,FALSE)</f>
        <v>2023</v>
      </c>
      <c r="F867" s="54" t="str">
        <f ca="1">VLOOKUP(B867,'ALL DATABASES'!$A$1:$T$2252,14,FALSE)</f>
        <v>https://www.scopus.com/inward/record.uri?eid=2-s2.0-85140313968&amp;doi=10.1016%2fj.jss.2022.111524&amp;partnerID=40&amp;md5=e4388fc3234b17723764df2587024515;http://dx.doi.org/10.1016/j.jss.2022.111524</v>
      </c>
      <c r="G867" s="15" t="str">
        <f ca="1">VLOOKUP(B867,'ALL DATABASES'!$A$1:$T$2252,3,FALSE)</f>
        <v>Journal Article</v>
      </c>
      <c r="H867" s="50" t="str">
        <f ca="1">VLOOKUP(B867,'ALL DATABASES'!$A$1:$T$2252,20,FALSE)</f>
        <v>SCOPUS</v>
      </c>
    </row>
    <row r="868" spans="1:8" ht="12.75" x14ac:dyDescent="0.2">
      <c r="A868">
        <v>867</v>
      </c>
      <c r="B868" s="15" t="str">
        <f ca="1">IFERROR(__xludf.DUMMYFUNCTION("""COMPUTED_VALUE"""),"How long do junior developers take to remove technical debt items?")</f>
        <v>How long do junior developers take to remove technical debt items?</v>
      </c>
      <c r="C868" s="15" t="str">
        <f ca="1">VLOOKUP(B868,'ALL DATABASES'!$A$1:$T$2252,2,FALSE)</f>
        <v>Lenarduzzi V,Mandić V,Katin A,Taibi D</v>
      </c>
      <c r="D868" s="15">
        <f ca="1">VLOOKUP(B868,'ALL DATABASES'!$A$1:$T$2252,5,FALSE)</f>
        <v>2020</v>
      </c>
      <c r="E868" s="15">
        <f ca="1">VLOOKUP(B868,'ALL DATABASES'!$A$1:$T$2252,10,FALSE)</f>
        <v>2020</v>
      </c>
      <c r="F868" s="54" t="str">
        <f ca="1">VLOOKUP(B868,'ALL DATABASES'!$A$1:$T$2252,14,FALSE)</f>
        <v>https://www.scopus.com/inward/record.uri?eid=2-s2.0-85095828765&amp;doi=10.1145%2f3382494.3422169&amp;partnerID=40&amp;md5=201eb0948742fc5fe6b15371987b312d;http://dx.doi.org/10.1145/3382494.3422169</v>
      </c>
      <c r="G868" s="15" t="str">
        <f ca="1">VLOOKUP(B868,'ALL DATABASES'!$A$1:$T$2252,3,FALSE)</f>
        <v>Conference Paper</v>
      </c>
      <c r="H868" s="50" t="str">
        <f ca="1">VLOOKUP(B868,'ALL DATABASES'!$A$1:$T$2252,20,FALSE)</f>
        <v>SCOPUS</v>
      </c>
    </row>
    <row r="869" spans="1:8" ht="12.75" x14ac:dyDescent="0.2">
      <c r="A869">
        <v>868</v>
      </c>
      <c r="B869" s="15" t="str">
        <f ca="1">IFERROR(__xludf.DUMMYFUNCTION("""COMPUTED_VALUE"""),"How Regulations of Safety-Critical Software Affect Technical Debt")</f>
        <v>How Regulations of Safety-Critical Software Affect Technical Debt</v>
      </c>
      <c r="C869" s="15" t="str">
        <f ca="1">VLOOKUP(B869,'ALL DATABASES'!$A$1:$T$2252,2,FALSE)</f>
        <v>Besker T,Martini A,Bosch J</v>
      </c>
      <c r="D869" s="15">
        <f ca="1">VLOOKUP(B869,'ALL DATABASES'!$A$1:$T$2252,5,FALSE)</f>
        <v>2019</v>
      </c>
      <c r="E869" s="55">
        <f ca="1">VLOOKUP(B869,'ALL DATABASES'!$A$1:$T$2252,10,FALSE)</f>
        <v>43678</v>
      </c>
      <c r="F869" s="54" t="str">
        <f ca="1">VLOOKUP(B869,'ALL DATABASES'!$A$1:$T$2252,14,FALSE)</f>
        <v>http://dx.doi.org/10.1109/SEAA.2019.00020</v>
      </c>
      <c r="G869" s="15" t="str">
        <f ca="1">VLOOKUP(B869,'ALL DATABASES'!$A$1:$T$2252,3,FALSE)</f>
        <v>Conference Paper</v>
      </c>
      <c r="H869" s="50" t="str">
        <f ca="1">VLOOKUP(B869,'ALL DATABASES'!$A$1:$T$2252,20,FALSE)</f>
        <v>IEEE</v>
      </c>
    </row>
    <row r="870" spans="1:8" ht="12.75" x14ac:dyDescent="0.2">
      <c r="A870">
        <v>869</v>
      </c>
      <c r="B870" s="15" t="str">
        <f ca="1">IFERROR(__xludf.DUMMYFUNCTION("""COMPUTED_VALUE"""),"How Teams Communicate about the Quality of ML Models: A Case Study at an International Technology Company")</f>
        <v>How Teams Communicate about the Quality of ML Models: A Case Study at an International Technology Company</v>
      </c>
      <c r="C870" s="15" t="str">
        <f ca="1">VLOOKUP(B870,'ALL DATABASES'!$A$1:$T$2252,2,FALSE)</f>
        <v>Almahmoud J,Deline R,Drucker SM</v>
      </c>
      <c r="D870" s="15">
        <f ca="1">VLOOKUP(B870,'ALL DATABASES'!$A$1:$T$2252,5,FALSE)</f>
        <v>2021</v>
      </c>
      <c r="E870" s="15">
        <f ca="1">VLOOKUP(B870,'ALL DATABASES'!$A$1:$T$2252,10,FALSE)</f>
        <v>2021</v>
      </c>
      <c r="F870" s="54" t="str">
        <f ca="1">VLOOKUP(B870,'ALL DATABASES'!$A$1:$T$2252,14,FALSE)</f>
        <v>https://www.scopus.com/inward/record.uri?eid=2-s2.0-85110459361&amp;doi=10.1145%2f3463934&amp;partnerID=40&amp;md5=385ea0093a63086a0dbc8814e2f74ed6;http://dx.doi.org/10.1145/3463934</v>
      </c>
      <c r="G870" s="15" t="str">
        <f ca="1">VLOOKUP(B870,'ALL DATABASES'!$A$1:$T$2252,3,FALSE)</f>
        <v>Journal Article</v>
      </c>
      <c r="H870" s="50" t="str">
        <f ca="1">VLOOKUP(B870,'ALL DATABASES'!$A$1:$T$2252,20,FALSE)</f>
        <v>SCOPUS</v>
      </c>
    </row>
    <row r="871" spans="1:8" ht="12.75" x14ac:dyDescent="0.2">
      <c r="A871">
        <v>870</v>
      </c>
      <c r="B871" s="15" t="str">
        <f ca="1">IFERROR(__xludf.DUMMYFUNCTION("""COMPUTED_VALUE"""),"How to Find Actionable Static Analysis Warnings: A Case Study With FindBugs")</f>
        <v>How to Find Actionable Static Analysis Warnings: A Case Study With FindBugs</v>
      </c>
      <c r="C871" s="15" t="str">
        <f ca="1">VLOOKUP(B871,'ALL DATABASES'!$A$1:$T$2252,2,FALSE)</f>
        <v>Yedida R,Kang HJ,Tu H,Yang X,Lo D,Menzies T</v>
      </c>
      <c r="D871" s="15">
        <f ca="1">VLOOKUP(B871,'ALL DATABASES'!$A$1:$T$2252,5,FALSE)</f>
        <v>2023</v>
      </c>
      <c r="E871" s="15">
        <f ca="1">VLOOKUP(B871,'ALL DATABASES'!$A$1:$T$2252,10,FALSE)</f>
        <v>2023</v>
      </c>
      <c r="F871" s="54" t="str">
        <f ca="1">VLOOKUP(B871,'ALL DATABASES'!$A$1:$T$2252,14,FALSE)</f>
        <v>http://dx.doi.org/10.1109/TSE.2023.3234206</v>
      </c>
      <c r="G871" s="15" t="str">
        <f ca="1">VLOOKUP(B871,'ALL DATABASES'!$A$1:$T$2252,3,FALSE)</f>
        <v>Journal Article</v>
      </c>
      <c r="H871" s="50" t="str">
        <f ca="1">VLOOKUP(B871,'ALL DATABASES'!$A$1:$T$2252,20,FALSE)</f>
        <v>IEEE</v>
      </c>
    </row>
    <row r="872" spans="1:8" ht="12.75" x14ac:dyDescent="0.2">
      <c r="A872">
        <v>871</v>
      </c>
      <c r="B872" s="15" t="str">
        <f ca="1">IFERROR(__xludf.DUMMYFUNCTION("""COMPUTED_VALUE"""),"How to Improve Deep Learning for Software Analytics: (A Case Study with Code Smell Detection)")</f>
        <v>How to Improve Deep Learning for Software Analytics: (A Case Study with Code Smell Detection)</v>
      </c>
      <c r="C872" s="15" t="str">
        <f ca="1">VLOOKUP(B872,'ALL DATABASES'!$A$1:$T$2252,2,FALSE)</f>
        <v>Yedida R,Menzies T</v>
      </c>
      <c r="D872" s="15">
        <f ca="1">VLOOKUP(B872,'ALL DATABASES'!$A$1:$T$2252,5,FALSE)</f>
        <v>2022</v>
      </c>
      <c r="E872" s="55">
        <f ca="1">VLOOKUP(B872,'ALL DATABASES'!$A$1:$T$2252,10,FALSE)</f>
        <v>44682</v>
      </c>
      <c r="F872" s="54" t="str">
        <f ca="1">VLOOKUP(B872,'ALL DATABASES'!$A$1:$T$2252,14,FALSE)</f>
        <v>http://dx.doi.org/10.1145/3524842.3528458</v>
      </c>
      <c r="G872" s="15" t="str">
        <f ca="1">VLOOKUP(B872,'ALL DATABASES'!$A$1:$T$2252,3,FALSE)</f>
        <v>Conference Paper</v>
      </c>
      <c r="H872" s="50" t="str">
        <f ca="1">VLOOKUP(B872,'ALL DATABASES'!$A$1:$T$2252,20,FALSE)</f>
        <v>IEEE</v>
      </c>
    </row>
    <row r="873" spans="1:8" ht="12.75" x14ac:dyDescent="0.2">
      <c r="A873">
        <v>872</v>
      </c>
      <c r="B873" s="15" t="str">
        <f ca="1">IFERROR(__xludf.DUMMYFUNCTION("""COMPUTED_VALUE"""),"How to manage a task-oriented virtual assistant software project: an experience report")</f>
        <v>How to manage a task-oriented virtual assistant software project: an experience report</v>
      </c>
      <c r="C873" s="15" t="str">
        <f ca="1">VLOOKUP(B873,'ALL DATABASES'!$A$1:$T$2252,2,FALSE)</f>
        <v>Li S,Guo J,Gao Y,Lou J,Yang D,Xiao Y,Zhou Y,Liu T</v>
      </c>
      <c r="D873" s="15">
        <f ca="1">VLOOKUP(B873,'ALL DATABASES'!$A$1:$T$2252,5,FALSE)</f>
        <v>2022</v>
      </c>
      <c r="E873" s="15">
        <f ca="1">VLOOKUP(B873,'ALL DATABASES'!$A$1:$T$2252,10,FALSE)</f>
        <v>2022</v>
      </c>
      <c r="F873" s="54" t="str">
        <f ca="1">VLOOKUP(B873,'ALL DATABASES'!$A$1:$T$2252,14,FALSE)</f>
        <v>https://www.scopus.com/inward/record.uri?eid=2-s2.0-85130705823&amp;doi=10.1631%2fFITEE.2100467&amp;partnerID=40&amp;md5=5dd77d10e1754a20c5cce0c213fd2adc;http://dx.doi.org/10.1631/FITEE.2100467</v>
      </c>
      <c r="G873" s="15" t="str">
        <f ca="1">VLOOKUP(B873,'ALL DATABASES'!$A$1:$T$2252,3,FALSE)</f>
        <v>Journal Article</v>
      </c>
      <c r="H873" s="50" t="str">
        <f ca="1">VLOOKUP(B873,'ALL DATABASES'!$A$1:$T$2252,20,FALSE)</f>
        <v>SCOPUS</v>
      </c>
    </row>
    <row r="874" spans="1:8" ht="12.75" x14ac:dyDescent="0.2">
      <c r="A874">
        <v>873</v>
      </c>
      <c r="B874" s="15" t="str">
        <f ca="1">IFERROR(__xludf.DUMMYFUNCTION("""COMPUTED_VALUE"""),"How we refactor and how we document it? On the use of supervised machine learning algorithms to classify refactoring documentation")</f>
        <v>How we refactor and how we document it? On the use of supervised machine learning algorithms to classify refactoring documentation</v>
      </c>
      <c r="C874" s="15" t="str">
        <f ca="1">VLOOKUP(B874,'ALL DATABASES'!$A$1:$T$2252,2,FALSE)</f>
        <v>AlOmar EA,Peruma A,Mkaouer MW,Newman C,Ouni A,Kessentini M</v>
      </c>
      <c r="D874" s="15">
        <f ca="1">VLOOKUP(B874,'ALL DATABASES'!$A$1:$T$2252,5,FALSE)</f>
        <v>2021</v>
      </c>
      <c r="E874" s="15">
        <f ca="1">VLOOKUP(B874,'ALL DATABASES'!$A$1:$T$2252,10,FALSE)</f>
        <v>2021</v>
      </c>
      <c r="F874" s="54" t="str">
        <f ca="1">VLOOKUP(B874,'ALL DATABASES'!$A$1:$T$2252,14,FALSE)</f>
        <v>https://www.sciencedirect.com/science/article/pii/S095741742030912X;http://dx.doi.org/10.1016/j.eswa.2020.114176</v>
      </c>
      <c r="G874" s="15" t="str">
        <f ca="1">VLOOKUP(B874,'ALL DATABASES'!$A$1:$T$2252,3,FALSE)</f>
        <v>Journal Article</v>
      </c>
      <c r="H874" s="50" t="str">
        <f ca="1">VLOOKUP(B874,'ALL DATABASES'!$A$1:$T$2252,20,FALSE)</f>
        <v>SCIENCEDIRECT</v>
      </c>
    </row>
    <row r="875" spans="1:8" ht="12.75" x14ac:dyDescent="0.2">
      <c r="A875">
        <v>874</v>
      </c>
      <c r="B875" s="15" t="str">
        <f ca="1">IFERROR(__xludf.DUMMYFUNCTION("""COMPUTED_VALUE"""),"HQLgen: deep learning based HQL query generation from program context")</f>
        <v>HQLgen: deep learning based HQL query generation from program context</v>
      </c>
      <c r="C875" s="15" t="str">
        <f ca="1">VLOOKUP(B875,'ALL DATABASES'!$A$1:$T$2252,2,FALSE)</f>
        <v>Ziyi ZhouHuiqun YuGuisheng FanZijie HuangKang YangJiayin Zhang</v>
      </c>
      <c r="D875" s="15">
        <f ca="1">VLOOKUP(B875,'ALL DATABASES'!$A$1:$T$2252,5,FALSE)</f>
        <v>2022</v>
      </c>
      <c r="E875" s="15">
        <f ca="1">VLOOKUP(B875,'ALL DATABASES'!$A$1:$T$2252,10,FALSE)</f>
        <v>0</v>
      </c>
      <c r="F875" s="54" t="str">
        <f ca="1">VLOOKUP(B875,'ALL DATABASES'!$A$1:$T$2252,14,FALSE)</f>
        <v>http://link.springer.com/article/10.1007/s10515-022-00359-5</v>
      </c>
      <c r="G875" s="15" t="str">
        <f ca="1">VLOOKUP(B875,'ALL DATABASES'!$A$1:$T$2252,3,FALSE)</f>
        <v>Article</v>
      </c>
      <c r="H875" s="50" t="str">
        <f ca="1">VLOOKUP(B875,'ALL DATABASES'!$A$1:$T$2252,20,FALSE)</f>
        <v>SPRINGER</v>
      </c>
    </row>
    <row r="876" spans="1:8" ht="12.75" x14ac:dyDescent="0.2">
      <c r="A876">
        <v>875</v>
      </c>
      <c r="B876" s="15" t="str">
        <f ca="1">IFERROR(__xludf.DUMMYFUNCTION("""COMPUTED_VALUE"""),"Human-AI Teaming: STATE-OF-THE-ART AND RESEARCH NEEDS (2022)")</f>
        <v>Human-AI Teaming: STATE-OF-THE-ART AND RESEARCH NEEDS (2022)</v>
      </c>
      <c r="C876" s="15">
        <f ca="1">VLOOKUP(B876,'ALL DATABASES'!$A$1:$T$2252,2,FALSE)</f>
        <v>0</v>
      </c>
      <c r="D876" s="15">
        <f ca="1">VLOOKUP(B876,'ALL DATABASES'!$A$1:$T$2252,5,FALSE)</f>
        <v>2022</v>
      </c>
      <c r="E876" s="15">
        <f ca="1">VLOOKUP(B876,'ALL DATABASES'!$A$1:$T$2252,10,FALSE)</f>
        <v>2022</v>
      </c>
      <c r="F876" s="54" t="str">
        <f ca="1">VLOOKUP(B876,'ALL DATABASES'!$A$1:$T$2252,14,FALSE)</f>
        <v>https://www.scopus.com/inward/record.uri?eid=2-s2.0-85137870233&amp;doi=10.17226%2f26355&amp;partnerID=40&amp;md5=ef286727f97093c5b272d45d400b6d87;http://dx.doi.org/10.17226/26355</v>
      </c>
      <c r="G876" s="15" t="str">
        <f ca="1">VLOOKUP(B876,'ALL DATABASES'!$A$1:$T$2252,3,FALSE)</f>
        <v>Book</v>
      </c>
      <c r="H876" s="50" t="str">
        <f ca="1">VLOOKUP(B876,'ALL DATABASES'!$A$1:$T$2252,20,FALSE)</f>
        <v>SCOPUS</v>
      </c>
    </row>
    <row r="877" spans="1:8" ht="12.75" x14ac:dyDescent="0.2">
      <c r="A877">
        <v>876</v>
      </c>
      <c r="B877" s="15" t="str">
        <f ca="1">IFERROR(__xludf.DUMMYFUNCTION("""COMPUTED_VALUE"""),"HUNTER: AI based holistic resource management for sustainable cloud computing")</f>
        <v>HUNTER: AI based holistic resource management for sustainable cloud computing</v>
      </c>
      <c r="C877" s="15" t="str">
        <f ca="1">VLOOKUP(B877,'ALL DATABASES'!$A$1:$T$2252,2,FALSE)</f>
        <v>Tuli S,Gill SS,Xu M,Garraghan P,Bahsoon R,Dustdar S,Sakellariou R,Rana O,Buyya R,Casale G,Jennings NR</v>
      </c>
      <c r="D877" s="15">
        <f ca="1">VLOOKUP(B877,'ALL DATABASES'!$A$1:$T$2252,5,FALSE)</f>
        <v>2022</v>
      </c>
      <c r="E877" s="15">
        <f ca="1">VLOOKUP(B877,'ALL DATABASES'!$A$1:$T$2252,10,FALSE)</f>
        <v>2022</v>
      </c>
      <c r="F877" s="54" t="str">
        <f ca="1">VLOOKUP(B877,'ALL DATABASES'!$A$1:$T$2252,14,FALSE)</f>
        <v>https://www.sciencedirect.com/science/article/pii/S0164121221002211;http://dx.doi.org/10.1016/j.jss.2021.111124</v>
      </c>
      <c r="G877" s="15" t="str">
        <f ca="1">VLOOKUP(B877,'ALL DATABASES'!$A$1:$T$2252,3,FALSE)</f>
        <v>Journal Article</v>
      </c>
      <c r="H877" s="50" t="str">
        <f ca="1">VLOOKUP(B877,'ALL DATABASES'!$A$1:$T$2252,20,FALSE)</f>
        <v>SCIENCEDIRECT</v>
      </c>
    </row>
    <row r="878" spans="1:8" ht="12.75" x14ac:dyDescent="0.2">
      <c r="A878">
        <v>877</v>
      </c>
      <c r="B878" s="15" t="str">
        <f ca="1">IFERROR(__xludf.DUMMYFUNCTION("""COMPUTED_VALUE"""),"Hybrid Model with Multi-Level Code Representation for Multi-Label Code Smell Detection (077)")</f>
        <v>Hybrid Model with Multi-Level Code Representation for Multi-Label Code Smell Detection (077)</v>
      </c>
      <c r="C878" s="15" t="str">
        <f ca="1">VLOOKUP(B878,'ALL DATABASES'!$A$1:$T$2252,2,FALSE)</f>
        <v>Li Y,Liu A,Zhao L,Zhang X</v>
      </c>
      <c r="D878" s="15">
        <f ca="1">VLOOKUP(B878,'ALL DATABASES'!$A$1:$T$2252,5,FALSE)</f>
        <v>2022</v>
      </c>
      <c r="E878" s="15">
        <f ca="1">VLOOKUP(B878,'ALL DATABASES'!$A$1:$T$2252,10,FALSE)</f>
        <v>2022</v>
      </c>
      <c r="F878" s="54" t="str">
        <f ca="1">VLOOKUP(B878,'ALL DATABASES'!$A$1:$T$2252,14,FALSE)</f>
        <v>https://www.scopus.com/inward/record.uri?eid=2-s2.0-85144500788&amp;doi=10.1142%2fS0218194022500723&amp;partnerID=40&amp;md5=713fe1c3accb07320e0e1949420b2092;http://dx.doi.org/10.1142/S0218194022500723</v>
      </c>
      <c r="G878" s="15" t="str">
        <f ca="1">VLOOKUP(B878,'ALL DATABASES'!$A$1:$T$2252,3,FALSE)</f>
        <v>Journal Article</v>
      </c>
      <c r="H878" s="50" t="str">
        <f ca="1">VLOOKUP(B878,'ALL DATABASES'!$A$1:$T$2252,20,FALSE)</f>
        <v>SCOPUS</v>
      </c>
    </row>
    <row r="879" spans="1:8" ht="12.75" x14ac:dyDescent="0.2">
      <c r="A879">
        <v>878</v>
      </c>
      <c r="B879" s="15" t="str">
        <f ca="1">IFERROR(__xludf.DUMMYFUNCTION("""COMPUTED_VALUE"""),"ICDSMLA 2020")</f>
        <v>ICDSMLA 2020</v>
      </c>
      <c r="C879" s="15" t="str">
        <f ca="1">VLOOKUP(B879,'ALL DATABASES'!$A$1:$T$2252,2,FALSE)</f>
        <v>Dr. Amit KumarProf. Dr. Sabrina SenatoreAssoc. Prof. Vinit Kumar Gunjan</v>
      </c>
      <c r="D879" s="15">
        <f ca="1">VLOOKUP(B879,'ALL DATABASES'!$A$1:$T$2252,5,FALSE)</f>
        <v>2022</v>
      </c>
      <c r="E879" s="15">
        <f ca="1">VLOOKUP(B879,'ALL DATABASES'!$A$1:$T$2252,10,FALSE)</f>
        <v>0</v>
      </c>
      <c r="F879" s="54" t="str">
        <f ca="1">VLOOKUP(B879,'ALL DATABASES'!$A$1:$T$2252,14,FALSE)</f>
        <v>http://link.springer.com/book/10.1007/978-981-16-3690-5</v>
      </c>
      <c r="G879" s="15" t="str">
        <f ca="1">VLOOKUP(B879,'ALL DATABASES'!$A$1:$T$2252,3,FALSE)</f>
        <v>Book</v>
      </c>
      <c r="H879" s="50" t="str">
        <f ca="1">VLOOKUP(B879,'ALL DATABASES'!$A$1:$T$2252,20,FALSE)</f>
        <v>SPRINGER</v>
      </c>
    </row>
    <row r="880" spans="1:8" ht="12.75" x14ac:dyDescent="0.2">
      <c r="A880">
        <v>879</v>
      </c>
      <c r="B880" s="15" t="str">
        <f ca="1">IFERROR(__xludf.DUMMYFUNCTION("""COMPUTED_VALUE"""),"ICT Analysis and Applications")</f>
        <v>ICT Analysis and Applications</v>
      </c>
      <c r="C880" s="15" t="str">
        <f ca="1">VLOOKUP(B880,'ALL DATABASES'!$A$1:$T$2252,2,FALSE)</f>
        <v>Dr. Simon FongDr. Nilanjan DeyDr. Amit Joshi</v>
      </c>
      <c r="D880" s="15">
        <f ca="1">VLOOKUP(B880,'ALL DATABASES'!$A$1:$T$2252,5,FALSE)</f>
        <v>2022</v>
      </c>
      <c r="E880" s="15">
        <f ca="1">VLOOKUP(B880,'ALL DATABASES'!$A$1:$T$2252,10,FALSE)</f>
        <v>0</v>
      </c>
      <c r="F880" s="54" t="str">
        <f ca="1">VLOOKUP(B880,'ALL DATABASES'!$A$1:$T$2252,14,FALSE)</f>
        <v>http://link.springer.com/book/10.1007/978-981-16-5655-2</v>
      </c>
      <c r="G880" s="15" t="str">
        <f ca="1">VLOOKUP(B880,'ALL DATABASES'!$A$1:$T$2252,3,FALSE)</f>
        <v>Book</v>
      </c>
      <c r="H880" s="50" t="str">
        <f ca="1">VLOOKUP(B880,'ALL DATABASES'!$A$1:$T$2252,20,FALSE)</f>
        <v>SPRINGER</v>
      </c>
    </row>
    <row r="881" spans="1:8" ht="12.75" x14ac:dyDescent="0.2">
      <c r="A881">
        <v>880</v>
      </c>
      <c r="B881" s="15" t="str">
        <f ca="1">IFERROR(__xludf.DUMMYFUNCTION("""COMPUTED_VALUE"""),"Identification and measurement of Requirements Technical Debt in software development: A systematic literature review")</f>
        <v>Identification and measurement of Requirements Technical Debt in software development: A systematic literature review</v>
      </c>
      <c r="C881" s="15" t="str">
        <f ca="1">VLOOKUP(B881,'ALL DATABASES'!$A$1:$T$2252,2,FALSE)</f>
        <v>Melo A,Fagundes R,Lenarduzzi V,Santos WB</v>
      </c>
      <c r="D881" s="15">
        <f ca="1">VLOOKUP(B881,'ALL DATABASES'!$A$1:$T$2252,5,FALSE)</f>
        <v>2022</v>
      </c>
      <c r="E881" s="15">
        <f ca="1">VLOOKUP(B881,'ALL DATABASES'!$A$1:$T$2252,10,FALSE)</f>
        <v>2022</v>
      </c>
      <c r="F881" s="54" t="str">
        <f ca="1">VLOOKUP(B881,'ALL DATABASES'!$A$1:$T$2252,14,FALSE)</f>
        <v>https://www.scopus.com/inward/record.uri?eid=2-s2.0-85136734876&amp;doi=10.1016%2fj.jss.2022.111483&amp;partnerID=40&amp;md5=909b9bd77d3ee232970fab3ecc4ee05c;http://dx.doi.org/10.1016/j.jss.2022.111483</v>
      </c>
      <c r="G881" s="15" t="str">
        <f ca="1">VLOOKUP(B881,'ALL DATABASES'!$A$1:$T$2252,3,FALSE)</f>
        <v>Journal Article</v>
      </c>
      <c r="H881" s="50" t="str">
        <f ca="1">VLOOKUP(B881,'ALL DATABASES'!$A$1:$T$2252,20,FALSE)</f>
        <v>SCOPUS</v>
      </c>
    </row>
    <row r="882" spans="1:8" ht="12.75" x14ac:dyDescent="0.2">
      <c r="A882">
        <v>881</v>
      </c>
      <c r="B882" s="15" t="str">
        <f ca="1">IFERROR(__xludf.DUMMYFUNCTION("""COMPUTED_VALUE"""),"Identification and Remediation of Self-Admitted Technical Debt in Issue Trackers")</f>
        <v>Identification and Remediation of Self-Admitted Technical Debt in Issue Trackers</v>
      </c>
      <c r="C882" s="15" t="str">
        <f ca="1">VLOOKUP(B882,'ALL DATABASES'!$A$1:$T$2252,2,FALSE)</f>
        <v>Li Y,Soliman M,Avgeriou P</v>
      </c>
      <c r="D882" s="15">
        <f ca="1">VLOOKUP(B882,'ALL DATABASES'!$A$1:$T$2252,5,FALSE)</f>
        <v>2020</v>
      </c>
      <c r="E882" s="55">
        <f ca="1">VLOOKUP(B882,'ALL DATABASES'!$A$1:$T$2252,10,FALSE)</f>
        <v>44044</v>
      </c>
      <c r="F882" s="54" t="str">
        <f ca="1">VLOOKUP(B882,'ALL DATABASES'!$A$1:$T$2252,14,FALSE)</f>
        <v>http://dx.doi.org/10.1109/SEAA51224.2020.00083</v>
      </c>
      <c r="G882" s="15" t="str">
        <f ca="1">VLOOKUP(B882,'ALL DATABASES'!$A$1:$T$2252,3,FALSE)</f>
        <v>Conference Paper</v>
      </c>
      <c r="H882" s="50" t="str">
        <f ca="1">VLOOKUP(B882,'ALL DATABASES'!$A$1:$T$2252,20,FALSE)</f>
        <v>IEEE</v>
      </c>
    </row>
    <row r="883" spans="1:8" ht="12.75" x14ac:dyDescent="0.2">
      <c r="A883">
        <v>882</v>
      </c>
      <c r="B883" s="15" t="str">
        <f ca="1">IFERROR(__xludf.DUMMYFUNCTION("""COMPUTED_VALUE"""),"Identification of code smell using machine learning")</f>
        <v>Identification of code smell using machine learning</v>
      </c>
      <c r="C883" s="15" t="str">
        <f ca="1">VLOOKUP(B883,'ALL DATABASES'!$A$1:$T$2252,2,FALSE)</f>
        <v>Jesudoss A,Maneesha S,Lakshmi Naga Durga T</v>
      </c>
      <c r="D883" s="15">
        <f ca="1">VLOOKUP(B883,'ALL DATABASES'!$A$1:$T$2252,5,FALSE)</f>
        <v>2019</v>
      </c>
      <c r="E883" s="15">
        <f ca="1">VLOOKUP(B883,'ALL DATABASES'!$A$1:$T$2252,10,FALSE)</f>
        <v>2019</v>
      </c>
      <c r="F883" s="54" t="str">
        <f ca="1">VLOOKUP(B883,'ALL DATABASES'!$A$1:$T$2252,14,FALSE)</f>
        <v>https://www.scopus.com/inward/record.uri?eid=2-s2.0-85084085773&amp;doi=10.1109%2fICCS45141.2019.9065317&amp;partnerID=40&amp;md5=adb39e5d7f87fbbfb1b7e0a34875ace6;http://dx.doi.org/10.1109/ICCS45141.2019.9065317</v>
      </c>
      <c r="G883" s="15" t="str">
        <f ca="1">VLOOKUP(B883,'ALL DATABASES'!$A$1:$T$2252,3,FALSE)</f>
        <v>Conference Paper</v>
      </c>
      <c r="H883" s="50" t="str">
        <f ca="1">VLOOKUP(B883,'ALL DATABASES'!$A$1:$T$2252,20,FALSE)</f>
        <v>SCOPUS</v>
      </c>
    </row>
    <row r="884" spans="1:8" ht="12.75" x14ac:dyDescent="0.2">
      <c r="A884">
        <v>883</v>
      </c>
      <c r="B884" s="15" t="str">
        <f ca="1">IFERROR(__xludf.DUMMYFUNCTION("""COMPUTED_VALUE"""),"Identification of Self-Admitted Technical Debt Using Enhanced Feature Selection Based on Word Embedding")</f>
        <v>Identification of Self-Admitted Technical Debt Using Enhanced Feature Selection Based on Word Embedding</v>
      </c>
      <c r="C884" s="15" t="str">
        <f ca="1">VLOOKUP(B884,'ALL DATABASES'!$A$1:$T$2252,2,FALSE)</f>
        <v>Flisar J,Podgorelec V</v>
      </c>
      <c r="D884" s="15">
        <f ca="1">VLOOKUP(B884,'ALL DATABASES'!$A$1:$T$2252,5,FALSE)</f>
        <v>2019</v>
      </c>
      <c r="E884" s="15">
        <f ca="1">VLOOKUP(B884,'ALL DATABASES'!$A$1:$T$2252,10,FALSE)</f>
        <v>2019</v>
      </c>
      <c r="F884" s="54" t="str">
        <f ca="1">VLOOKUP(B884,'ALL DATABASES'!$A$1:$T$2252,14,FALSE)</f>
        <v>http://dx.doi.org/10.1109/ACCESS.2019.2933318</v>
      </c>
      <c r="G884" s="15" t="str">
        <f ca="1">VLOOKUP(B884,'ALL DATABASES'!$A$1:$T$2252,3,FALSE)</f>
        <v>Journal Article</v>
      </c>
      <c r="H884" s="50" t="str">
        <f ca="1">VLOOKUP(B884,'ALL DATABASES'!$A$1:$T$2252,20,FALSE)</f>
        <v>IEEE</v>
      </c>
    </row>
    <row r="885" spans="1:8" ht="12.75" x14ac:dyDescent="0.2">
      <c r="A885">
        <v>884</v>
      </c>
      <c r="B885" s="15" t="str">
        <f ca="1">IFERROR(__xludf.DUMMYFUNCTION("""COMPUTED_VALUE"""),"Identifying and Addressing 6 Key Questions when Using Data Driven Scrum")</f>
        <v>Identifying and Addressing 6 Key Questions when Using Data Driven Scrum</v>
      </c>
      <c r="C885" s="15" t="str">
        <f ca="1">VLOOKUP(B885,'ALL DATABASES'!$A$1:$T$2252,2,FALSE)</f>
        <v>Saltz JS,Sutherland A,Jombart T</v>
      </c>
      <c r="D885" s="15">
        <f ca="1">VLOOKUP(B885,'ALL DATABASES'!$A$1:$T$2252,5,FALSE)</f>
        <v>2021</v>
      </c>
      <c r="E885" s="53">
        <f ca="1">VLOOKUP(B885,'ALL DATABASES'!$A$1:$T$2252,10,FALSE)</f>
        <v>44531</v>
      </c>
      <c r="F885" s="54" t="str">
        <f ca="1">VLOOKUP(B885,'ALL DATABASES'!$A$1:$T$2252,14,FALSE)</f>
        <v>http://dx.doi.org/10.1109/BigData52589.2021.9671930</v>
      </c>
      <c r="G885" s="15" t="str">
        <f ca="1">VLOOKUP(B885,'ALL DATABASES'!$A$1:$T$2252,3,FALSE)</f>
        <v>Conference Paper</v>
      </c>
      <c r="H885" s="50" t="str">
        <f ca="1">VLOOKUP(B885,'ALL DATABASES'!$A$1:$T$2252,20,FALSE)</f>
        <v>IEEE</v>
      </c>
    </row>
    <row r="886" spans="1:8" ht="12.75" x14ac:dyDescent="0.2">
      <c r="A886">
        <v>885</v>
      </c>
      <c r="B886" s="15" t="str">
        <f ca="1">IFERROR(__xludf.DUMMYFUNCTION("""COMPUTED_VALUE"""),"Identifying and Analyzing Data Model Requirements and Technology Potentials of Machine Learning Systems in the Manufacturing Industry of the Future")</f>
        <v>Identifying and Analyzing Data Model Requirements and Technology Potentials of Machine Learning Systems in the Manufacturing Industry of the Future</v>
      </c>
      <c r="C886" s="15" t="str">
        <f ca="1">VLOOKUP(B886,'ALL DATABASES'!$A$1:$T$2252,2,FALSE)</f>
        <v>Schuh G,Scholz P,Leich T,May R</v>
      </c>
      <c r="D886" s="15">
        <f ca="1">VLOOKUP(B886,'ALL DATABASES'!$A$1:$T$2252,5,FALSE)</f>
        <v>2020</v>
      </c>
      <c r="E886" s="15">
        <f ca="1">VLOOKUP(B886,'ALL DATABASES'!$A$1:$T$2252,10,FALSE)</f>
        <v>2020</v>
      </c>
      <c r="F886" s="54" t="str">
        <f ca="1">VLOOKUP(B886,'ALL DATABASES'!$A$1:$T$2252,14,FALSE)</f>
        <v>https://www.scopus.com/inward/record.uri?eid=2-s2.0-85097975943&amp;doi=10.1109%2fITMS51158.2020.9259303&amp;partnerID=40&amp;md5=fb2031fe726dd2ad1a466cb0dddff442;http://dx.doi.org/10.1109/ITMS51158.2020.9259303</v>
      </c>
      <c r="G886" s="15" t="str">
        <f ca="1">VLOOKUP(B886,'ALL DATABASES'!$A$1:$T$2252,3,FALSE)</f>
        <v>Conference Paper</v>
      </c>
      <c r="H886" s="50" t="str">
        <f ca="1">VLOOKUP(B886,'ALL DATABASES'!$A$1:$T$2252,20,FALSE)</f>
        <v>SCOPUS</v>
      </c>
    </row>
    <row r="887" spans="1:8" ht="12.75" x14ac:dyDescent="0.2">
      <c r="A887">
        <v>886</v>
      </c>
      <c r="B887" s="15" t="str">
        <f ca="1">IFERROR(__xludf.DUMMYFUNCTION("""COMPUTED_VALUE"""),"Identifying Design and Requirement Self-Admitted Technical Debt Using N-gram IDF")</f>
        <v>Identifying Design and Requirement Self-Admitted Technical Debt Using N-gram IDF</v>
      </c>
      <c r="C887" s="15" t="str">
        <f ca="1">VLOOKUP(B887,'ALL DATABASES'!$A$1:$T$2252,2,FALSE)</f>
        <v>Wattanakriengkrai S,Maipradit R,Hata H,Choetkiertikul M,Sunetnanta T,Matsumoto K</v>
      </c>
      <c r="D887" s="15">
        <f ca="1">VLOOKUP(B887,'ALL DATABASES'!$A$1:$T$2252,5,FALSE)</f>
        <v>2018</v>
      </c>
      <c r="E887" s="53">
        <f ca="1">VLOOKUP(B887,'ALL DATABASES'!$A$1:$T$2252,10,FALSE)</f>
        <v>43435</v>
      </c>
      <c r="F887" s="54" t="str">
        <f ca="1">VLOOKUP(B887,'ALL DATABASES'!$A$1:$T$2252,14,FALSE)</f>
        <v>http://dx.doi.org/10.1109/IWESEP.2018.00010</v>
      </c>
      <c r="G887" s="15" t="str">
        <f ca="1">VLOOKUP(B887,'ALL DATABASES'!$A$1:$T$2252,3,FALSE)</f>
        <v>Conference Paper</v>
      </c>
      <c r="H887" s="50" t="str">
        <f ca="1">VLOOKUP(B887,'ALL DATABASES'!$A$1:$T$2252,20,FALSE)</f>
        <v>IEEE</v>
      </c>
    </row>
    <row r="888" spans="1:8" ht="12.75" x14ac:dyDescent="0.2">
      <c r="A888">
        <v>887</v>
      </c>
      <c r="B888" s="15" t="str">
        <f ca="1">IFERROR(__xludf.DUMMYFUNCTION("""COMPUTED_VALUE"""),"Identifying emerging smells in software designs based on predicting package dependencies")</f>
        <v>Identifying emerging smells in software designs based on predicting package dependencies</v>
      </c>
      <c r="C888" s="15" t="str">
        <f ca="1">VLOOKUP(B888,'ALL DATABASES'!$A$1:$T$2252,2,FALSE)</f>
        <v>Tommasel A,Diaz-Pace JA</v>
      </c>
      <c r="D888" s="15">
        <f ca="1">VLOOKUP(B888,'ALL DATABASES'!$A$1:$T$2252,5,FALSE)</f>
        <v>2022</v>
      </c>
      <c r="E888" s="15">
        <f ca="1">VLOOKUP(B888,'ALL DATABASES'!$A$1:$T$2252,10,FALSE)</f>
        <v>2022</v>
      </c>
      <c r="F888" s="54" t="str">
        <f ca="1">VLOOKUP(B888,'ALL DATABASES'!$A$1:$T$2252,14,FALSE)</f>
        <v>https://www.sciencedirect.com/science/article/pii/S0952197622002998;http://dx.doi.org/10.1016/j.engappai.2022.105209</v>
      </c>
      <c r="G888" s="15" t="str">
        <f ca="1">VLOOKUP(B888,'ALL DATABASES'!$A$1:$T$2252,3,FALSE)</f>
        <v>Journal Article</v>
      </c>
      <c r="H888" s="50" t="str">
        <f ca="1">VLOOKUP(B888,'ALL DATABASES'!$A$1:$T$2252,20,FALSE)</f>
        <v>SCIENCEDIRECT</v>
      </c>
    </row>
    <row r="889" spans="1:8" ht="12.75" x14ac:dyDescent="0.2">
      <c r="A889">
        <v>888</v>
      </c>
      <c r="B889" s="15" t="str">
        <f ca="1">IFERROR(__xludf.DUMMYFUNCTION("""COMPUTED_VALUE"""),"Identifying Experts in Software Libraries and Frameworks Among GitHub Users")</f>
        <v>Identifying Experts in Software Libraries and Frameworks Among GitHub Users</v>
      </c>
      <c r="C889" s="15" t="str">
        <f ca="1">VLOOKUP(B889,'ALL DATABASES'!$A$1:$T$2252,2,FALSE)</f>
        <v>Montandon JE,Lourdes Silva L,Valente MT</v>
      </c>
      <c r="D889" s="15">
        <f ca="1">VLOOKUP(B889,'ALL DATABASES'!$A$1:$T$2252,5,FALSE)</f>
        <v>2019</v>
      </c>
      <c r="E889" s="55">
        <f ca="1">VLOOKUP(B889,'ALL DATABASES'!$A$1:$T$2252,10,FALSE)</f>
        <v>43586</v>
      </c>
      <c r="F889" s="54" t="str">
        <f ca="1">VLOOKUP(B889,'ALL DATABASES'!$A$1:$T$2252,14,FALSE)</f>
        <v>http://dx.doi.org/10.1109/MSR.2019.00054</v>
      </c>
      <c r="G889" s="15" t="str">
        <f ca="1">VLOOKUP(B889,'ALL DATABASES'!$A$1:$T$2252,3,FALSE)</f>
        <v>Conference Paper</v>
      </c>
      <c r="H889" s="50" t="str">
        <f ca="1">VLOOKUP(B889,'ALL DATABASES'!$A$1:$T$2252,20,FALSE)</f>
        <v>IEEE</v>
      </c>
    </row>
    <row r="890" spans="1:8" ht="12.75" x14ac:dyDescent="0.2">
      <c r="A890">
        <v>889</v>
      </c>
      <c r="B890" s="15" t="str">
        <f ca="1">IFERROR(__xludf.DUMMYFUNCTION("""COMPUTED_VALUE"""),"Identifying self-admitted technical debt in issue tracking systems using machine learning")</f>
        <v>Identifying self-admitted technical debt in issue tracking systems using machine learning</v>
      </c>
      <c r="C890" s="15" t="str">
        <f ca="1">VLOOKUP(B890,'ALL DATABASES'!$A$1:$T$2252,2,FALSE)</f>
        <v>Li Y,Soliman M,Avgeriou P</v>
      </c>
      <c r="D890" s="15">
        <f ca="1">VLOOKUP(B890,'ALL DATABASES'!$A$1:$T$2252,5,FALSE)</f>
        <v>2022</v>
      </c>
      <c r="E890" s="15">
        <f ca="1">VLOOKUP(B890,'ALL DATABASES'!$A$1:$T$2252,10,FALSE)</f>
        <v>2022</v>
      </c>
      <c r="F890" s="54" t="str">
        <f ca="1">VLOOKUP(B890,'ALL DATABASES'!$A$1:$T$2252,14,FALSE)</f>
        <v>https://www.scopus.com/inward/record.uri?eid=2-s2.0-85133665305&amp;doi=10.1007%2fs10664-022-10128-3&amp;partnerID=40&amp;md5=fae815333129347784d1ffe275b716a1;http://dx.doi.org/10.1007/s10664-022-10128-3</v>
      </c>
      <c r="G890" s="15" t="str">
        <f ca="1">VLOOKUP(B890,'ALL DATABASES'!$A$1:$T$2252,3,FALSE)</f>
        <v>Journal Article</v>
      </c>
      <c r="H890" s="50" t="str">
        <f ca="1">VLOOKUP(B890,'ALL DATABASES'!$A$1:$T$2252,20,FALSE)</f>
        <v>SCOPUS</v>
      </c>
    </row>
    <row r="891" spans="1:8" ht="12.75" x14ac:dyDescent="0.2">
      <c r="A891">
        <v>890</v>
      </c>
      <c r="B891" s="15" t="str">
        <f ca="1">IFERROR(__xludf.DUMMYFUNCTION("""COMPUTED_VALUE"""),"Identifying self-admitted technical debt in open source projects using text mining")</f>
        <v>Identifying self-admitted technical debt in open source projects using text mining</v>
      </c>
      <c r="C891" s="15" t="str">
        <f ca="1">VLOOKUP(B891,'ALL DATABASES'!$A$1:$T$2252,2,FALSE)</f>
        <v>Huang Q,Shihab E,Xia X,Lo D,Li S</v>
      </c>
      <c r="D891" s="15">
        <f ca="1">VLOOKUP(B891,'ALL DATABASES'!$A$1:$T$2252,5,FALSE)</f>
        <v>2018</v>
      </c>
      <c r="E891" s="15">
        <f ca="1">VLOOKUP(B891,'ALL DATABASES'!$A$1:$T$2252,10,FALSE)</f>
        <v>2018</v>
      </c>
      <c r="F891" s="54" t="str">
        <f ca="1">VLOOKUP(B891,'ALL DATABASES'!$A$1:$T$2252,14,FALSE)</f>
        <v>https://www.scopus.com/inward/record.uri?eid=2-s2.0-85019111869&amp;doi=10.1007%2fs10664-017-9522-4&amp;partnerID=40&amp;md5=bf81dd210ee56c037ad5dcc46f13b901;http://dx.doi.org/10.1007/s10664-017-9522-4</v>
      </c>
      <c r="G891" s="15" t="str">
        <f ca="1">VLOOKUP(B891,'ALL DATABASES'!$A$1:$T$2252,3,FALSE)</f>
        <v>Journal Article</v>
      </c>
      <c r="H891" s="50" t="str">
        <f ca="1">VLOOKUP(B891,'ALL DATABASES'!$A$1:$T$2252,20,FALSE)</f>
        <v>SCOPUS</v>
      </c>
    </row>
    <row r="892" spans="1:8" ht="12.75" x14ac:dyDescent="0.2">
      <c r="A892">
        <v>891</v>
      </c>
      <c r="B892" s="15" t="str">
        <f ca="1">IFERROR(__xludf.DUMMYFUNCTION("""COMPUTED_VALUE"""),"Identifying self-admitted technical debt through code comment analysis with a contextualized vocabulary")</f>
        <v>Identifying self-admitted technical debt through code comment analysis with a contextualized vocabulary</v>
      </c>
      <c r="C892" s="15" t="str">
        <f ca="1">VLOOKUP(B892,'ALL DATABASES'!$A$1:$T$2252,2,FALSE)</f>
        <v>de Freitas Farias MA,de Mendonça Neto MG,Kalinowski M,Spínola RO</v>
      </c>
      <c r="D892" s="15">
        <f ca="1">VLOOKUP(B892,'ALL DATABASES'!$A$1:$T$2252,5,FALSE)</f>
        <v>2020</v>
      </c>
      <c r="E892" s="15">
        <f ca="1">VLOOKUP(B892,'ALL DATABASES'!$A$1:$T$2252,10,FALSE)</f>
        <v>2020</v>
      </c>
      <c r="F892" s="54" t="str">
        <f ca="1">VLOOKUP(B892,'ALL DATABASES'!$A$1:$T$2252,14,FALSE)</f>
        <v>https://www.sciencedirect.com/science/article/pii/S0950584920300203;http://dx.doi.org/10.1016/j.infsof.2020.106270</v>
      </c>
      <c r="G892" s="15" t="str">
        <f ca="1">VLOOKUP(B892,'ALL DATABASES'!$A$1:$T$2252,3,FALSE)</f>
        <v>Journal Article</v>
      </c>
      <c r="H892" s="50" t="str">
        <f ca="1">VLOOKUP(B892,'ALL DATABASES'!$A$1:$T$2252,20,FALSE)</f>
        <v>SCIENCEDIRECT</v>
      </c>
    </row>
    <row r="893" spans="1:8" ht="12.75" x14ac:dyDescent="0.2">
      <c r="A893">
        <v>892</v>
      </c>
      <c r="B893" s="15" t="str">
        <f ca="1">IFERROR(__xludf.DUMMYFUNCTION("""COMPUTED_VALUE"""),"Identifying Self-Admitted Technical Debts With Jitterbug: A Two-Step Approach")</f>
        <v>Identifying Self-Admitted Technical Debts With Jitterbug: A Two-Step Approach</v>
      </c>
      <c r="C893" s="15" t="str">
        <f ca="1">VLOOKUP(B893,'ALL DATABASES'!$A$1:$T$2252,2,FALSE)</f>
        <v>Yu Z,Fahid FM,Tu H,Menzies T</v>
      </c>
      <c r="D893" s="15">
        <f ca="1">VLOOKUP(B893,'ALL DATABASES'!$A$1:$T$2252,5,FALSE)</f>
        <v>2022</v>
      </c>
      <c r="E893" s="55">
        <f ca="1">VLOOKUP(B893,'ALL DATABASES'!$A$1:$T$2252,10,FALSE)</f>
        <v>44682</v>
      </c>
      <c r="F893" s="54" t="str">
        <f ca="1">VLOOKUP(B893,'ALL DATABASES'!$A$1:$T$2252,14,FALSE)</f>
        <v>http://dx.doi.org/10.1109/TSE.2020.3031401</v>
      </c>
      <c r="G893" s="15" t="str">
        <f ca="1">VLOOKUP(B893,'ALL DATABASES'!$A$1:$T$2252,3,FALSE)</f>
        <v>Journal Article</v>
      </c>
      <c r="H893" s="50" t="str">
        <f ca="1">VLOOKUP(B893,'ALL DATABASES'!$A$1:$T$2252,20,FALSE)</f>
        <v>IEEE</v>
      </c>
    </row>
    <row r="894" spans="1:8" ht="12.75" x14ac:dyDescent="0.2">
      <c r="A894">
        <v>893</v>
      </c>
      <c r="B894" s="15" t="str">
        <f ca="1">IFERROR(__xludf.DUMMYFUNCTION("""COMPUTED_VALUE"""),"Identifying Software Performance Changes Across Variants and Versions")</f>
        <v>Identifying Software Performance Changes Across Variants and Versions</v>
      </c>
      <c r="C894" s="15" t="str">
        <f ca="1">VLOOKUP(B894,'ALL DATABASES'!$A$1:$T$2252,2,FALSE)</f>
        <v>Mühlbauer S,Apel S,Siegmund N</v>
      </c>
      <c r="D894" s="15">
        <f ca="1">VLOOKUP(B894,'ALL DATABASES'!$A$1:$T$2252,5,FALSE)</f>
        <v>2021</v>
      </c>
      <c r="E894" s="15">
        <f ca="1">VLOOKUP(B894,'ALL DATABASES'!$A$1:$T$2252,10,FALSE)</f>
        <v>2021</v>
      </c>
      <c r="F894" s="54" t="str">
        <f ca="1">VLOOKUP(B894,'ALL DATABASES'!$A$1:$T$2252,14,FALSE)</f>
        <v>https://doi.org/10.1145/3324884.3416573;http://dx.doi.org/10.1145/3324884.3416573</v>
      </c>
      <c r="G894" s="15" t="str">
        <f ca="1">VLOOKUP(B894,'ALL DATABASES'!$A$1:$T$2252,3,FALSE)</f>
        <v>Conference Paper</v>
      </c>
      <c r="H894" s="50" t="str">
        <f ca="1">VLOOKUP(B894,'ALL DATABASES'!$A$1:$T$2252,20,FALSE)</f>
        <v>ACM</v>
      </c>
    </row>
    <row r="895" spans="1:8" ht="12.75" x14ac:dyDescent="0.2">
      <c r="A895">
        <v>894</v>
      </c>
      <c r="B895" s="15" t="str">
        <f ca="1">IFERROR(__xludf.DUMMYFUNCTION("""COMPUTED_VALUE"""),"Identifying sources of discrimination risk in the life cycle of machine intelligence applications under new European union regulations")</f>
        <v>Identifying sources of discrimination risk in the life cycle of machine intelligence applications under new European union regulations</v>
      </c>
      <c r="C895" s="15" t="str">
        <f ca="1">VLOOKUP(B895,'ALL DATABASES'!$A$1:$T$2252,2,FALSE)</f>
        <v>Rizvi SA,Van Heerden E,Salas A,Nyikosa F,Roberts SJ,Osborne MA,Rodriguez E</v>
      </c>
      <c r="D895" s="15">
        <f ca="1">VLOOKUP(B895,'ALL DATABASES'!$A$1:$T$2252,5,FALSE)</f>
        <v>2017</v>
      </c>
      <c r="E895" s="15">
        <f ca="1">VLOOKUP(B895,'ALL DATABASES'!$A$1:$T$2252,10,FALSE)</f>
        <v>2017</v>
      </c>
      <c r="F895" s="54" t="str">
        <f ca="1">VLOOKUP(B895,'ALL DATABASES'!$A$1:$T$2252,14,FALSE)</f>
        <v>https://www.scopus.com/inward/record.uri?eid=2-s2.0-85028690345&amp;partnerID=40&amp;md5=25f6e03953d7bf7041456caba1e2d45c</v>
      </c>
      <c r="G895" s="15" t="str">
        <f ca="1">VLOOKUP(B895,'ALL DATABASES'!$A$1:$T$2252,3,FALSE)</f>
        <v>Conference Paper</v>
      </c>
      <c r="H895" s="50" t="str">
        <f ca="1">VLOOKUP(B895,'ALL DATABASES'!$A$1:$T$2252,20,FALSE)</f>
        <v>SCOPUS</v>
      </c>
    </row>
    <row r="896" spans="1:8" ht="12.75" x14ac:dyDescent="0.2">
      <c r="A896">
        <v>895</v>
      </c>
      <c r="B896" s="15" t="str">
        <f ca="1">IFERROR(__xludf.DUMMYFUNCTION("""COMPUTED_VALUE"""),"Identifying Technical Debt in Database Normalization Using Association Rule Mining")</f>
        <v>Identifying Technical Debt in Database Normalization Using Association Rule Mining</v>
      </c>
      <c r="C896" s="15" t="str">
        <f ca="1">VLOOKUP(B896,'ALL DATABASES'!$A$1:$T$2252,2,FALSE)</f>
        <v>Albarak M,Alrazgan M,Bahsoon R</v>
      </c>
      <c r="D896" s="15">
        <f ca="1">VLOOKUP(B896,'ALL DATABASES'!$A$1:$T$2252,5,FALSE)</f>
        <v>2018</v>
      </c>
      <c r="E896" s="55">
        <f ca="1">VLOOKUP(B896,'ALL DATABASES'!$A$1:$T$2252,10,FALSE)</f>
        <v>43313</v>
      </c>
      <c r="F896" s="54" t="str">
        <f ca="1">VLOOKUP(B896,'ALL DATABASES'!$A$1:$T$2252,14,FALSE)</f>
        <v>http://dx.doi.org/10.1109/SEAA.2018.00077</v>
      </c>
      <c r="G896" s="15" t="str">
        <f ca="1">VLOOKUP(B896,'ALL DATABASES'!$A$1:$T$2252,3,FALSE)</f>
        <v>Conference Paper</v>
      </c>
      <c r="H896" s="50" t="str">
        <f ca="1">VLOOKUP(B896,'ALL DATABASES'!$A$1:$T$2252,20,FALSE)</f>
        <v>IEEE</v>
      </c>
    </row>
    <row r="897" spans="1:8" ht="12.75" x14ac:dyDescent="0.2">
      <c r="A897">
        <v>896</v>
      </c>
      <c r="B897" s="15" t="str">
        <f ca="1">IFERROR(__xludf.DUMMYFUNCTION("""COMPUTED_VALUE"""),"IEEE Computer Society Election")</f>
        <v>IEEE Computer Society Election</v>
      </c>
      <c r="C897" s="15">
        <f ca="1">VLOOKUP(B897,'ALL DATABASES'!$A$1:$T$2252,2,FALSE)</f>
        <v>0</v>
      </c>
      <c r="D897" s="15">
        <f ca="1">VLOOKUP(B897,'ALL DATABASES'!$A$1:$T$2252,5,FALSE)</f>
        <v>2021</v>
      </c>
      <c r="E897" s="55">
        <f ca="1">VLOOKUP(B897,'ALL DATABASES'!$A$1:$T$2252,10,FALSE)</f>
        <v>44440</v>
      </c>
      <c r="F897" s="54" t="str">
        <f ca="1">VLOOKUP(B897,'ALL DATABASES'!$A$1:$T$2252,14,FALSE)</f>
        <v>http://dx.doi.org/10.1109/MC.2021.3094960</v>
      </c>
      <c r="G897" s="15" t="str">
        <f ca="1">VLOOKUP(B897,'ALL DATABASES'!$A$1:$T$2252,3,FALSE)</f>
        <v>Journal Article</v>
      </c>
      <c r="H897" s="50" t="str">
        <f ca="1">VLOOKUP(B897,'ALL DATABASES'!$A$1:$T$2252,20,FALSE)</f>
        <v>IEEE</v>
      </c>
    </row>
    <row r="898" spans="1:8" ht="12.75" x14ac:dyDescent="0.2">
      <c r="A898">
        <v>897</v>
      </c>
      <c r="B898" s="15" t="str">
        <f ca="1">IFERROR(__xludf.DUMMYFUNCTION("""COMPUTED_VALUE"""),"IEEE Draft Recommended Practice for Implementation and Management Methodology for Software Based Intelligent Process Automation (SBIPA)")</f>
        <v>IEEE Draft Recommended Practice for Implementation and Management Methodology for Software Based Intelligent Process Automation (SBIPA)</v>
      </c>
      <c r="C898" s="15">
        <f ca="1">VLOOKUP(B898,'ALL DATABASES'!$A$1:$T$2252,2,FALSE)</f>
        <v>0</v>
      </c>
      <c r="D898" s="15">
        <f ca="1">VLOOKUP(B898,'ALL DATABASES'!$A$1:$T$2252,5,FALSE)</f>
        <v>2020</v>
      </c>
      <c r="E898" s="55">
        <f ca="1">VLOOKUP(B898,'ALL DATABASES'!$A$1:$T$2252,10,FALSE)</f>
        <v>44044</v>
      </c>
      <c r="F898" s="15">
        <f ca="1">VLOOKUP(B898,'ALL DATABASES'!$A$1:$T$2252,14,FALSE)</f>
        <v>0</v>
      </c>
      <c r="G898" s="15" t="str">
        <f ca="1">VLOOKUP(B898,'ALL DATABASES'!$A$1:$T$2252,3,FALSE)</f>
        <v>Journal Article</v>
      </c>
      <c r="H898" s="50" t="str">
        <f ca="1">VLOOKUP(B898,'ALL DATABASES'!$A$1:$T$2252,20,FALSE)</f>
        <v>IEEE</v>
      </c>
    </row>
    <row r="899" spans="1:8" ht="12.75" x14ac:dyDescent="0.2">
      <c r="A899">
        <v>898</v>
      </c>
      <c r="B899" s="15" t="str">
        <f ca="1">IFERROR(__xludf.DUMMYFUNCTION("""COMPUTED_VALUE"""),"IEEE Recommended Practice for Implementation and Management Methodology for Software-Based Intelligent Process Automation")</f>
        <v>IEEE Recommended Practice for Implementation and Management Methodology for Software-Based Intelligent Process Automation</v>
      </c>
      <c r="C899" s="15">
        <f ca="1">VLOOKUP(B899,'ALL DATABASES'!$A$1:$T$2252,2,FALSE)</f>
        <v>0</v>
      </c>
      <c r="D899" s="15">
        <f ca="1">VLOOKUP(B899,'ALL DATABASES'!$A$1:$T$2252,5,FALSE)</f>
        <v>2021</v>
      </c>
      <c r="E899" s="55">
        <f ca="1">VLOOKUP(B899,'ALL DATABASES'!$A$1:$T$2252,10,FALSE)</f>
        <v>44287</v>
      </c>
      <c r="F899" s="54" t="str">
        <f ca="1">VLOOKUP(B899,'ALL DATABASES'!$A$1:$T$2252,14,FALSE)</f>
        <v>http://dx.doi.org/10.1109/IEEESTD.2021.9404959</v>
      </c>
      <c r="G899" s="15" t="str">
        <f ca="1">VLOOKUP(B899,'ALL DATABASES'!$A$1:$T$2252,3,FALSE)</f>
        <v>Journal Article</v>
      </c>
      <c r="H899" s="50" t="str">
        <f ca="1">VLOOKUP(B899,'ALL DATABASES'!$A$1:$T$2252,20,FALSE)</f>
        <v>IEEE</v>
      </c>
    </row>
    <row r="900" spans="1:8" ht="12.75" x14ac:dyDescent="0.2">
      <c r="A900">
        <v>899</v>
      </c>
      <c r="B900" s="15" t="str">
        <f ca="1">IFERROR(__xludf.DUMMYFUNCTION("""COMPUTED_VALUE"""),"If You Want Better Empirical Research, Value Your Theory: On the Importance of Strong Theories for Progress in Empirical Software Engineering Research")</f>
        <v>If You Want Better Empirical Research, Value Your Theory: On the Importance of Strong Theories for Progress in Empirical Software Engineering Research</v>
      </c>
      <c r="C900" s="15" t="str">
        <f ca="1">VLOOKUP(B900,'ALL DATABASES'!$A$1:$T$2252,2,FALSE)</f>
        <v>Schmid K</v>
      </c>
      <c r="D900" s="15">
        <f ca="1">VLOOKUP(B900,'ALL DATABASES'!$A$1:$T$2252,5,FALSE)</f>
        <v>2021</v>
      </c>
      <c r="E900" s="15">
        <f ca="1">VLOOKUP(B900,'ALL DATABASES'!$A$1:$T$2252,10,FALSE)</f>
        <v>2021</v>
      </c>
      <c r="F900" s="54" t="str">
        <f ca="1">VLOOKUP(B900,'ALL DATABASES'!$A$1:$T$2252,14,FALSE)</f>
        <v>https://doi.org/10.1145/3463274.3463360;http://dx.doi.org/10.1145/3463274.3463360</v>
      </c>
      <c r="G900" s="15" t="str">
        <f ca="1">VLOOKUP(B900,'ALL DATABASES'!$A$1:$T$2252,3,FALSE)</f>
        <v>Conference Paper</v>
      </c>
      <c r="H900" s="50" t="str">
        <f ca="1">VLOOKUP(B900,'ALL DATABASES'!$A$1:$T$2252,20,FALSE)</f>
        <v>ACM</v>
      </c>
    </row>
    <row r="901" spans="1:8" ht="12.75" x14ac:dyDescent="0.2">
      <c r="A901">
        <v>900</v>
      </c>
      <c r="B901" s="15" t="str">
        <f ca="1">IFERROR(__xludf.DUMMYFUNCTION("""COMPUTED_VALUE"""),"Impact of historical software metric changes in predicting future maintainability trends in open-source software development")</f>
        <v>Impact of historical software metric changes in predicting future maintainability trends in open-source software development</v>
      </c>
      <c r="C901" s="15" t="str">
        <f ca="1">VLOOKUP(B901,'ALL DATABASES'!$A$1:$T$2252,2,FALSE)</f>
        <v>Gradišnik M,Beranič T,Karakatič S</v>
      </c>
      <c r="D901" s="15">
        <f ca="1">VLOOKUP(B901,'ALL DATABASES'!$A$1:$T$2252,5,FALSE)</f>
        <v>2020</v>
      </c>
      <c r="E901" s="15">
        <f ca="1">VLOOKUP(B901,'ALL DATABASES'!$A$1:$T$2252,10,FALSE)</f>
        <v>2020</v>
      </c>
      <c r="F901" s="54" t="str">
        <f ca="1">VLOOKUP(B901,'ALL DATABASES'!$A$1:$T$2252,14,FALSE)</f>
        <v>https://www.scopus.com/inward/record.uri?eid=2-s2.0-85087877670&amp;doi=10.3390%2fapp10134624&amp;partnerID=40&amp;md5=d62cc02ee8ba36134b4fb32172584ec1;http://dx.doi.org/10.3390/app10134624</v>
      </c>
      <c r="G901" s="15" t="str">
        <f ca="1">VLOOKUP(B901,'ALL DATABASES'!$A$1:$T$2252,3,FALSE)</f>
        <v>Journal Article</v>
      </c>
      <c r="H901" s="50" t="str">
        <f ca="1">VLOOKUP(B901,'ALL DATABASES'!$A$1:$T$2252,20,FALSE)</f>
        <v>SCOPUS</v>
      </c>
    </row>
    <row r="902" spans="1:8" ht="12.75" x14ac:dyDescent="0.2">
      <c r="A902">
        <v>901</v>
      </c>
      <c r="B902" s="15" t="str">
        <f ca="1">IFERROR(__xludf.DUMMYFUNCTION("""COMPUTED_VALUE"""),"Impact of Opportunistic Reuse Practices to Technical Debt")</f>
        <v>Impact of Opportunistic Reuse Practices to Technical Debt</v>
      </c>
      <c r="C902" s="15" t="str">
        <f ca="1">VLOOKUP(B902,'ALL DATABASES'!$A$1:$T$2252,2,FALSE)</f>
        <v>Capilla R,Mikkonen T,Carrillo C,Fontana FA,Pigazzini I,Lenarduzzi V</v>
      </c>
      <c r="D902" s="15">
        <f ca="1">VLOOKUP(B902,'ALL DATABASES'!$A$1:$T$2252,5,FALSE)</f>
        <v>2021</v>
      </c>
      <c r="E902" s="15">
        <f ca="1">VLOOKUP(B902,'ALL DATABASES'!$A$1:$T$2252,10,FALSE)</f>
        <v>2021</v>
      </c>
      <c r="F902" s="54" t="str">
        <f ca="1">VLOOKUP(B902,'ALL DATABASES'!$A$1:$T$2252,14,FALSE)</f>
        <v>https://www.scopus.com/inward/record.uri?eid=2-s2.0-85114827039&amp;doi=10.1109%2fTechDebt52882.2021.00011&amp;partnerID=40&amp;md5=934d9d466016810c9acf88a4b0612b8d;http://dx.doi.org/10.1109/TechDebt52882.2021.00011</v>
      </c>
      <c r="G902" s="15" t="str">
        <f ca="1">VLOOKUP(B902,'ALL DATABASES'!$A$1:$T$2252,3,FALSE)</f>
        <v>Conference Paper</v>
      </c>
      <c r="H902" s="50" t="str">
        <f ca="1">VLOOKUP(B902,'ALL DATABASES'!$A$1:$T$2252,20,FALSE)</f>
        <v>SCOPUS</v>
      </c>
    </row>
    <row r="903" spans="1:8" ht="12.75" x14ac:dyDescent="0.2">
      <c r="A903">
        <v>902</v>
      </c>
      <c r="B903" s="15" t="str">
        <f ca="1">IFERROR(__xludf.DUMMYFUNCTION("""COMPUTED_VALUE"""),"Impacts, causes, and solutions of architectural smells in microservices: An industrial investigation")</f>
        <v>Impacts, causes, and solutions of architectural smells in microservices: An industrial investigation</v>
      </c>
      <c r="C903" s="15" t="str">
        <f ca="1">VLOOKUP(B903,'ALL DATABASES'!$A$1:$T$2252,2,FALSE)</f>
        <v>Zhong C,Huang H,Zhang H,Li S</v>
      </c>
      <c r="D903" s="15">
        <f ca="1">VLOOKUP(B903,'ALL DATABASES'!$A$1:$T$2252,5,FALSE)</f>
        <v>2022</v>
      </c>
      <c r="E903" s="15">
        <f ca="1">VLOOKUP(B903,'ALL DATABASES'!$A$1:$T$2252,10,FALSE)</f>
        <v>2022</v>
      </c>
      <c r="F903" s="54" t="str">
        <f ca="1">VLOOKUP(B903,'ALL DATABASES'!$A$1:$T$2252,14,FALSE)</f>
        <v>https://www.scopus.com/inward/record.uri?eid=2-s2.0-85135893425&amp;doi=10.1002%2fspe.3138&amp;partnerID=40&amp;md5=81d2a407816f0eee2cee3b48947ce001;http://dx.doi.org/10.1002/spe.3138</v>
      </c>
      <c r="G903" s="15" t="str">
        <f ca="1">VLOOKUP(B903,'ALL DATABASES'!$A$1:$T$2252,3,FALSE)</f>
        <v>Journal Article</v>
      </c>
      <c r="H903" s="50" t="str">
        <f ca="1">VLOOKUP(B903,'ALL DATABASES'!$A$1:$T$2252,20,FALSE)</f>
        <v>SCOPUS</v>
      </c>
    </row>
    <row r="904" spans="1:8" ht="12.75" x14ac:dyDescent="0.2">
      <c r="A904">
        <v>903</v>
      </c>
      <c r="B904" s="15" t="str">
        <f ca="1">IFERROR(__xludf.DUMMYFUNCTION("""COMPUTED_VALUE"""),"Implementing game requirements using design patterns")</f>
        <v>Implementing game requirements using design patterns</v>
      </c>
      <c r="C904" s="15" t="str">
        <f ca="1">VLOOKUP(B904,'ALL DATABASES'!$A$1:$T$2252,2,FALSE)</f>
        <v>Paschali ME,Volioti C,Ampatzoglou A,Gkagkas A,Stamelos I,Chatzigeorgiou A</v>
      </c>
      <c r="D904" s="15">
        <f ca="1">VLOOKUP(B904,'ALL DATABASES'!$A$1:$T$2252,5,FALSE)</f>
        <v>2021</v>
      </c>
      <c r="E904" s="15">
        <f ca="1">VLOOKUP(B904,'ALL DATABASES'!$A$1:$T$2252,10,FALSE)</f>
        <v>2021</v>
      </c>
      <c r="F904" s="54" t="str">
        <f ca="1">VLOOKUP(B904,'ALL DATABASES'!$A$1:$T$2252,14,FALSE)</f>
        <v>https://www.scopus.com/inward/record.uri?eid=2-s2.0-85118479420&amp;doi=10.1002%2fsmr.2399&amp;partnerID=40&amp;md5=8b23b60c3e7565eb74045937f71d58cd;http://dx.doi.org/10.1002/smr.2399</v>
      </c>
      <c r="G904" s="15" t="str">
        <f ca="1">VLOOKUP(B904,'ALL DATABASES'!$A$1:$T$2252,3,FALSE)</f>
        <v>Journal Article</v>
      </c>
      <c r="H904" s="50" t="str">
        <f ca="1">VLOOKUP(B904,'ALL DATABASES'!$A$1:$T$2252,20,FALSE)</f>
        <v>SCOPUS</v>
      </c>
    </row>
    <row r="905" spans="1:8" ht="12.75" x14ac:dyDescent="0.2">
      <c r="A905">
        <v>904</v>
      </c>
      <c r="B905" s="15" t="str">
        <f ca="1">IFERROR(__xludf.DUMMYFUNCTION("""COMPUTED_VALUE"""),"Implementing Lean Principles in Scrum to Adapt to Remote Work in a Covid-19 Impacted Software Team")</f>
        <v>Implementing Lean Principles in Scrum to Adapt to Remote Work in a Covid-19 Impacted Software Team</v>
      </c>
      <c r="C905" s="15" t="str">
        <f ca="1">VLOOKUP(B905,'ALL DATABASES'!$A$1:$T$2252,2,FALSE)</f>
        <v>Leigh Griffin</v>
      </c>
      <c r="D905" s="15">
        <f ca="1">VLOOKUP(B905,'ALL DATABASES'!$A$1:$T$2252,5,FALSE)</f>
        <v>2021</v>
      </c>
      <c r="E905" s="15">
        <f ca="1">VLOOKUP(B905,'ALL DATABASES'!$A$1:$T$2252,10,FALSE)</f>
        <v>0</v>
      </c>
      <c r="F905" s="54" t="str">
        <f ca="1">VLOOKUP(B905,'ALL DATABASES'!$A$1:$T$2252,14,FALSE)</f>
        <v>http://link.springer.com/chapter/10.1007/978-3-030-67084-9_11</v>
      </c>
      <c r="G905" s="15" t="str">
        <f ca="1">VLOOKUP(B905,'ALL DATABASES'!$A$1:$T$2252,3,FALSE)</f>
        <v>Chapter</v>
      </c>
      <c r="H905" s="50" t="str">
        <f ca="1">VLOOKUP(B905,'ALL DATABASES'!$A$1:$T$2252,20,FALSE)</f>
        <v>SPRINGER</v>
      </c>
    </row>
    <row r="906" spans="1:8" ht="12.75" x14ac:dyDescent="0.2">
      <c r="A906">
        <v>905</v>
      </c>
      <c r="B906" s="15" t="str">
        <f ca="1">IFERROR(__xludf.DUMMYFUNCTION("""COMPUTED_VALUE"""),"Improving change prediction models with code smell-related information")</f>
        <v>Improving change prediction models with code smell-related information</v>
      </c>
      <c r="C906" s="15" t="str">
        <f ca="1">VLOOKUP(B906,'ALL DATABASES'!$A$1:$T$2252,2,FALSE)</f>
        <v>Catolino G,Palomba F,Fontana FA,De Lucia A,Zaidman A,Ferrucci F</v>
      </c>
      <c r="D906" s="15">
        <f ca="1">VLOOKUP(B906,'ALL DATABASES'!$A$1:$T$2252,5,FALSE)</f>
        <v>2020</v>
      </c>
      <c r="E906" s="15">
        <f ca="1">VLOOKUP(B906,'ALL DATABASES'!$A$1:$T$2252,10,FALSE)</f>
        <v>2020</v>
      </c>
      <c r="F906" s="54" t="str">
        <f ca="1">VLOOKUP(B906,'ALL DATABASES'!$A$1:$T$2252,14,FALSE)</f>
        <v>https://www.scopus.com/inward/record.uri?eid=2-s2.0-85070076631&amp;doi=10.1007%2fs10664-019-09739-0&amp;partnerID=40&amp;md5=7d5a5da57ef7db65063b149302c323d2;http://dx.doi.org/10.1007/s10664-019-09739-0</v>
      </c>
      <c r="G906" s="15" t="str">
        <f ca="1">VLOOKUP(B906,'ALL DATABASES'!$A$1:$T$2252,3,FALSE)</f>
        <v>Journal Article</v>
      </c>
      <c r="H906" s="50" t="str">
        <f ca="1">VLOOKUP(B906,'ALL DATABASES'!$A$1:$T$2252,20,FALSE)</f>
        <v>SCOPUS</v>
      </c>
    </row>
    <row r="907" spans="1:8" ht="12.75" x14ac:dyDescent="0.2">
      <c r="A907">
        <v>906</v>
      </c>
      <c r="B907" s="15" t="str">
        <f ca="1">IFERROR(__xludf.DUMMYFUNCTION("""COMPUTED_VALUE"""),"Improving Design Smell Detection for Adoption in Industry")</f>
        <v>Improving Design Smell Detection for Adoption in Industry</v>
      </c>
      <c r="C907" s="15" t="str">
        <f ca="1">VLOOKUP(B907,'ALL DATABASES'!$A$1:$T$2252,2,FALSE)</f>
        <v>Alkharabsheh K,Taboada JA,Crespo Y,Alzu'bi T</v>
      </c>
      <c r="D907" s="15">
        <f ca="1">VLOOKUP(B907,'ALL DATABASES'!$A$1:$T$2252,5,FALSE)</f>
        <v>2018</v>
      </c>
      <c r="E907" s="55">
        <f ca="1">VLOOKUP(B907,'ALL DATABASES'!$A$1:$T$2252,10,FALSE)</f>
        <v>43282</v>
      </c>
      <c r="F907" s="54" t="str">
        <f ca="1">VLOOKUP(B907,'ALL DATABASES'!$A$1:$T$2252,14,FALSE)</f>
        <v>http://dx.doi.org/10.1109/CSIT.2018.8486180</v>
      </c>
      <c r="G907" s="15" t="str">
        <f ca="1">VLOOKUP(B907,'ALL DATABASES'!$A$1:$T$2252,3,FALSE)</f>
        <v>Conference Paper</v>
      </c>
      <c r="H907" s="50" t="str">
        <f ca="1">VLOOKUP(B907,'ALL DATABASES'!$A$1:$T$2252,20,FALSE)</f>
        <v>IEEE</v>
      </c>
    </row>
    <row r="908" spans="1:8" ht="12.75" x14ac:dyDescent="0.2">
      <c r="A908">
        <v>907</v>
      </c>
      <c r="B908" s="15" t="str">
        <f ca="1">IFERROR(__xludf.DUMMYFUNCTION("""COMPUTED_VALUE"""),"Improving Enterprise Software Maintenance Efficiency through Mining Software Repositories in an Industry Context")</f>
        <v>Improving Enterprise Software Maintenance Efficiency through Mining Software Repositories in an Industry Context</v>
      </c>
      <c r="C908" s="15" t="str">
        <f ca="1">VLOOKUP(B908,'ALL DATABASES'!$A$1:$T$2252,2,FALSE)</f>
        <v>Mani S</v>
      </c>
      <c r="D908" s="15">
        <f ca="1">VLOOKUP(B908,'ALL DATABASES'!$A$1:$T$2252,5,FALSE)</f>
        <v>2014</v>
      </c>
      <c r="E908" s="15">
        <f ca="1">VLOOKUP(B908,'ALL DATABASES'!$A$1:$T$2252,10,FALSE)</f>
        <v>2014</v>
      </c>
      <c r="F908" s="54" t="str">
        <f ca="1">VLOOKUP(B908,'ALL DATABASES'!$A$1:$T$2252,14,FALSE)</f>
        <v>https://doi.org/10.1145/2591062.2591085;http://dx.doi.org/10.1145/2591062.2591085</v>
      </c>
      <c r="G908" s="15" t="str">
        <f ca="1">VLOOKUP(B908,'ALL DATABASES'!$A$1:$T$2252,3,FALSE)</f>
        <v>Conference Paper</v>
      </c>
      <c r="H908" s="50" t="str">
        <f ca="1">VLOOKUP(B908,'ALL DATABASES'!$A$1:$T$2252,20,FALSE)</f>
        <v>ACM</v>
      </c>
    </row>
    <row r="909" spans="1:8" ht="12.75" x14ac:dyDescent="0.2">
      <c r="A909">
        <v>908</v>
      </c>
      <c r="B909" s="15" t="str">
        <f ca="1">IFERROR(__xludf.DUMMYFUNCTION("""COMPUTED_VALUE"""),"Improving fairness in machine learning systems: What do industry practitioners need?")</f>
        <v>Improving fairness in machine learning systems: What do industry practitioners need?</v>
      </c>
      <c r="C909" s="15" t="str">
        <f ca="1">VLOOKUP(B909,'ALL DATABASES'!$A$1:$T$2252,2,FALSE)</f>
        <v>Holstein K,Vaughan JW,Daumé H,Dudík M,Wallach H</v>
      </c>
      <c r="D909" s="15">
        <f ca="1">VLOOKUP(B909,'ALL DATABASES'!$A$1:$T$2252,5,FALSE)</f>
        <v>2019</v>
      </c>
      <c r="E909" s="15">
        <f ca="1">VLOOKUP(B909,'ALL DATABASES'!$A$1:$T$2252,10,FALSE)</f>
        <v>2019</v>
      </c>
      <c r="F909" s="54" t="str">
        <f ca="1">VLOOKUP(B909,'ALL DATABASES'!$A$1:$T$2252,14,FALSE)</f>
        <v>https://www.scopus.com/inward/record.uri?eid=2-s2.0-85067631360&amp;doi=10.1145%2f3290605.3300830&amp;partnerID=40&amp;md5=f1365b81c262fe8ade9bfc485ab8ae11;http://dx.doi.org/10.1145/3290605.3300830</v>
      </c>
      <c r="G909" s="15" t="str">
        <f ca="1">VLOOKUP(B909,'ALL DATABASES'!$A$1:$T$2252,3,FALSE)</f>
        <v>Conference Paper</v>
      </c>
      <c r="H909" s="50" t="str">
        <f ca="1">VLOOKUP(B909,'ALL DATABASES'!$A$1:$T$2252,20,FALSE)</f>
        <v>SCOPUS</v>
      </c>
    </row>
    <row r="910" spans="1:8" ht="12.75" x14ac:dyDescent="0.2">
      <c r="A910">
        <v>909</v>
      </c>
      <c r="B910" s="15" t="str">
        <f ca="1">IFERROR(__xludf.DUMMYFUNCTION("""COMPUTED_VALUE"""),"Improving high-impact bug report prediction with combination of interactive machine learning and active learning")</f>
        <v>Improving high-impact bug report prediction with combination of interactive machine learning and active learning</v>
      </c>
      <c r="C910" s="15" t="str">
        <f ca="1">VLOOKUP(B910,'ALL DATABASES'!$A$1:$T$2252,2,FALSE)</f>
        <v>Wu X,Zheng W,Chen X,Zhao Y,Yu T,Mu D</v>
      </c>
      <c r="D910" s="15">
        <f ca="1">VLOOKUP(B910,'ALL DATABASES'!$A$1:$T$2252,5,FALSE)</f>
        <v>2021</v>
      </c>
      <c r="E910" s="15">
        <f ca="1">VLOOKUP(B910,'ALL DATABASES'!$A$1:$T$2252,10,FALSE)</f>
        <v>2021</v>
      </c>
      <c r="F910" s="54" t="str">
        <f ca="1">VLOOKUP(B910,'ALL DATABASES'!$A$1:$T$2252,14,FALSE)</f>
        <v>https://www.scopus.com/inward/record.uri?eid=2-s2.0-85099608821&amp;doi=10.1016%2fj.infsof.2021.106530&amp;partnerID=40&amp;md5=8e73ebfc3c2c2eac5674687b8bef289f;http://dx.doi.org/10.1016/j.infsof.2021.106530</v>
      </c>
      <c r="G910" s="15" t="str">
        <f ca="1">VLOOKUP(B910,'ALL DATABASES'!$A$1:$T$2252,3,FALSE)</f>
        <v>Journal Article</v>
      </c>
      <c r="H910" s="50" t="str">
        <f ca="1">VLOOKUP(B910,'ALL DATABASES'!$A$1:$T$2252,20,FALSE)</f>
        <v>SCOPUS</v>
      </c>
    </row>
    <row r="911" spans="1:8" ht="12.75" x14ac:dyDescent="0.2">
      <c r="A911">
        <v>910</v>
      </c>
      <c r="B911" s="15" t="str">
        <f ca="1">IFERROR(__xludf.DUMMYFUNCTION("""COMPUTED_VALUE"""),"Improving La Redoute's CI/CD Pipeline and DevOps Processes by Applying Machine Learning Techniques")</f>
        <v>Improving La Redoute's CI/CD Pipeline and DevOps Processes by Applying Machine Learning Techniques</v>
      </c>
      <c r="C911" s="15" t="str">
        <f ca="1">VLOOKUP(B911,'ALL DATABASES'!$A$1:$T$2252,2,FALSE)</f>
        <v>Nogueira AF,C.B. Ribeiro J,Zenha-Rela MA,Craske A</v>
      </c>
      <c r="D911" s="15">
        <f ca="1">VLOOKUP(B911,'ALL DATABASES'!$A$1:$T$2252,5,FALSE)</f>
        <v>2018</v>
      </c>
      <c r="E911" s="55">
        <f ca="1">VLOOKUP(B911,'ALL DATABASES'!$A$1:$T$2252,10,FALSE)</f>
        <v>43344</v>
      </c>
      <c r="F911" s="54" t="str">
        <f ca="1">VLOOKUP(B911,'ALL DATABASES'!$A$1:$T$2252,14,FALSE)</f>
        <v>http://dx.doi.org/10.1109/QUATIC.2018.00050</v>
      </c>
      <c r="G911" s="15" t="str">
        <f ca="1">VLOOKUP(B911,'ALL DATABASES'!$A$1:$T$2252,3,FALSE)</f>
        <v>Conference Paper</v>
      </c>
      <c r="H911" s="50" t="str">
        <f ca="1">VLOOKUP(B911,'ALL DATABASES'!$A$1:$T$2252,20,FALSE)</f>
        <v>IEEE</v>
      </c>
    </row>
    <row r="912" spans="1:8" ht="12.75" x14ac:dyDescent="0.2">
      <c r="A912">
        <v>911</v>
      </c>
      <c r="B912" s="15" t="str">
        <f ca="1">IFERROR(__xludf.DUMMYFUNCTION("""COMPUTED_VALUE"""),"Improving studentsâ€™ programming quality with the continuous inspection process: a social coding perspective")</f>
        <v>Improving studentsâ€™ programming quality with the continuous inspection process: a social coding perspective</v>
      </c>
      <c r="C912" s="15" t="str">
        <f ca="1">VLOOKUP(B912,'ALL DATABASES'!$A$1:$T$2252,2,FALSE)</f>
        <v>Yao LuXinjun MaoTao WangGang YinZude Li</v>
      </c>
      <c r="D912" s="15">
        <f ca="1">VLOOKUP(B912,'ALL DATABASES'!$A$1:$T$2252,5,FALSE)</f>
        <v>2020</v>
      </c>
      <c r="E912" s="15">
        <f ca="1">VLOOKUP(B912,'ALL DATABASES'!$A$1:$T$2252,10,FALSE)</f>
        <v>0</v>
      </c>
      <c r="F912" s="54" t="str">
        <f ca="1">VLOOKUP(B912,'ALL DATABASES'!$A$1:$T$2252,14,FALSE)</f>
        <v>http://link.springer.com/article/10.1007/s11704-019-9023-2</v>
      </c>
      <c r="G912" s="15" t="str">
        <f ca="1">VLOOKUP(B912,'ALL DATABASES'!$A$1:$T$2252,3,FALSE)</f>
        <v>Article</v>
      </c>
      <c r="H912" s="50" t="str">
        <f ca="1">VLOOKUP(B912,'ALL DATABASES'!$A$1:$T$2252,20,FALSE)</f>
        <v>SPRINGER</v>
      </c>
    </row>
    <row r="913" spans="1:8" ht="12.75" x14ac:dyDescent="0.2">
      <c r="A913">
        <v>912</v>
      </c>
      <c r="B913" s="15" t="str">
        <f ca="1">IFERROR(__xludf.DUMMYFUNCTION("""COMPUTED_VALUE"""),"Improving Test Case Generation for REST APIs Through Hierarchical Clustering")</f>
        <v>Improving Test Case Generation for REST APIs Through Hierarchical Clustering</v>
      </c>
      <c r="C913" s="15" t="str">
        <f ca="1">VLOOKUP(B913,'ALL DATABASES'!$A$1:$T$2252,2,FALSE)</f>
        <v>Stallenberg D,Olsthoorn M,Panichella A</v>
      </c>
      <c r="D913" s="15">
        <f ca="1">VLOOKUP(B913,'ALL DATABASES'!$A$1:$T$2252,5,FALSE)</f>
        <v>2021</v>
      </c>
      <c r="E913" s="15">
        <f ca="1">VLOOKUP(B913,'ALL DATABASES'!$A$1:$T$2252,10,FALSE)</f>
        <v>2021</v>
      </c>
      <c r="F913" s="54" t="str">
        <f ca="1">VLOOKUP(B913,'ALL DATABASES'!$A$1:$T$2252,14,FALSE)</f>
        <v>https://www.scopus.com/inward/record.uri?eid=2-s2.0-85125451472&amp;doi=10.1109%2fASE51524.2021.9678586&amp;partnerID=40&amp;md5=dfed15c08ee21e719233da1b8bf64a94;http://dx.doi.org/10.1109/ASE51524.2021.9678586</v>
      </c>
      <c r="G913" s="15" t="str">
        <f ca="1">VLOOKUP(B913,'ALL DATABASES'!$A$1:$T$2252,3,FALSE)</f>
        <v>Conference Paper</v>
      </c>
      <c r="H913" s="50" t="str">
        <f ca="1">VLOOKUP(B913,'ALL DATABASES'!$A$1:$T$2252,20,FALSE)</f>
        <v>SCOPUS</v>
      </c>
    </row>
    <row r="914" spans="1:8" ht="12.75" x14ac:dyDescent="0.2">
      <c r="A914">
        <v>913</v>
      </c>
      <c r="B914" s="15" t="str">
        <f ca="1">IFERROR(__xludf.DUMMYFUNCTION("""COMPUTED_VALUE"""),"Improving the Accuracy of Vulnerability Report Classification Using Term Frequency-Inverse Gravity Moment")</f>
        <v>Improving the Accuracy of Vulnerability Report Classification Using Term Frequency-Inverse Gravity Moment</v>
      </c>
      <c r="C914" s="15" t="str">
        <f ca="1">VLOOKUP(B914,'ALL DATABASES'!$A$1:$T$2252,2,FALSE)</f>
        <v>Kudjo PK,Chen J,Zhou M,Mensah S,Huang R</v>
      </c>
      <c r="D914" s="15">
        <f ca="1">VLOOKUP(B914,'ALL DATABASES'!$A$1:$T$2252,5,FALSE)</f>
        <v>2019</v>
      </c>
      <c r="E914" s="55">
        <f ca="1">VLOOKUP(B914,'ALL DATABASES'!$A$1:$T$2252,10,FALSE)</f>
        <v>43647</v>
      </c>
      <c r="F914" s="54" t="str">
        <f ca="1">VLOOKUP(B914,'ALL DATABASES'!$A$1:$T$2252,14,FALSE)</f>
        <v>http://dx.doi.org/10.1109/QRS.2019.00041</v>
      </c>
      <c r="G914" s="15" t="str">
        <f ca="1">VLOOKUP(B914,'ALL DATABASES'!$A$1:$T$2252,3,FALSE)</f>
        <v>Conference Paper</v>
      </c>
      <c r="H914" s="50" t="str">
        <f ca="1">VLOOKUP(B914,'ALL DATABASES'!$A$1:$T$2252,20,FALSE)</f>
        <v>IEEE</v>
      </c>
    </row>
    <row r="915" spans="1:8" ht="12.75" x14ac:dyDescent="0.2">
      <c r="A915">
        <v>914</v>
      </c>
      <c r="B915" s="15" t="str">
        <f ca="1">IFERROR(__xludf.DUMMYFUNCTION("""COMPUTED_VALUE"""),"Improving the experience for software-measurement system end-users: A story of two companies")</f>
        <v>Improving the experience for software-measurement system end-users: A story of two companies</v>
      </c>
      <c r="C915" s="15" t="str">
        <f ca="1">VLOOKUP(B915,'ALL DATABASES'!$A$1:$T$2252,2,FALSE)</f>
        <v>Wang H,Hebig R</v>
      </c>
      <c r="D915" s="15">
        <f ca="1">VLOOKUP(B915,'ALL DATABASES'!$A$1:$T$2252,5,FALSE)</f>
        <v>2018</v>
      </c>
      <c r="E915" s="15">
        <f ca="1">VLOOKUP(B915,'ALL DATABASES'!$A$1:$T$2252,10,FALSE)</f>
        <v>2018</v>
      </c>
      <c r="F915" s="54" t="str">
        <f ca="1">VLOOKUP(B915,'ALL DATABASES'!$A$1:$T$2252,14,FALSE)</f>
        <v>https://www.sciencedirect.com/science/article/pii/S0950584917305104;http://dx.doi.org/10.1016/j.infsof.2018.06.006</v>
      </c>
      <c r="G915" s="15" t="str">
        <f ca="1">VLOOKUP(B915,'ALL DATABASES'!$A$1:$T$2252,3,FALSE)</f>
        <v>Journal Article</v>
      </c>
      <c r="H915" s="50" t="str">
        <f ca="1">VLOOKUP(B915,'ALL DATABASES'!$A$1:$T$2252,20,FALSE)</f>
        <v>SCIENCEDIRECT</v>
      </c>
    </row>
    <row r="916" spans="1:8" ht="12.75" x14ac:dyDescent="0.2">
      <c r="A916">
        <v>915</v>
      </c>
      <c r="B916" s="15" t="str">
        <f ca="1">IFERROR(__xludf.DUMMYFUNCTION("""COMPUTED_VALUE"""),"Improving the Security of the IEEE 802.15.6 Standard for Medical BANs")</f>
        <v>Improving the Security of the IEEE 802.15.6 Standard for Medical BANs</v>
      </c>
      <c r="C916" s="15" t="str">
        <f ca="1">VLOOKUP(B916,'ALL DATABASES'!$A$1:$T$2252,2,FALSE)</f>
        <v>Siddiqi MA,Hahn G,Hamdioui S,Serdijn WA,Strydis C</v>
      </c>
      <c r="D916" s="15">
        <f ca="1">VLOOKUP(B916,'ALL DATABASES'!$A$1:$T$2252,5,FALSE)</f>
        <v>2022</v>
      </c>
      <c r="E916" s="15">
        <f ca="1">VLOOKUP(B916,'ALL DATABASES'!$A$1:$T$2252,10,FALSE)</f>
        <v>2022</v>
      </c>
      <c r="F916" s="54" t="str">
        <f ca="1">VLOOKUP(B916,'ALL DATABASES'!$A$1:$T$2252,14,FALSE)</f>
        <v>http://dx.doi.org/10.1109/ACCESS.2022.3181630</v>
      </c>
      <c r="G916" s="15" t="str">
        <f ca="1">VLOOKUP(B916,'ALL DATABASES'!$A$1:$T$2252,3,FALSE)</f>
        <v>Journal Article</v>
      </c>
      <c r="H916" s="50" t="str">
        <f ca="1">VLOOKUP(B916,'ALL DATABASES'!$A$1:$T$2252,20,FALSE)</f>
        <v>IEEE</v>
      </c>
    </row>
    <row r="917" spans="1:8" ht="12.75" x14ac:dyDescent="0.2">
      <c r="A917">
        <v>916</v>
      </c>
      <c r="B917" s="15" t="str">
        <f ca="1">IFERROR(__xludf.DUMMYFUNCTION("""COMPUTED_VALUE"""),"Improving Vulnerability Inspection Efficiency Using Active Learning")</f>
        <v>Improving Vulnerability Inspection Efficiency Using Active Learning</v>
      </c>
      <c r="C917" s="15" t="str">
        <f ca="1">VLOOKUP(B917,'ALL DATABASES'!$A$1:$T$2252,2,FALSE)</f>
        <v>Yu Z,Theisen C,Williams L,Menzies T</v>
      </c>
      <c r="D917" s="15">
        <f ca="1">VLOOKUP(B917,'ALL DATABASES'!$A$1:$T$2252,5,FALSE)</f>
        <v>2021</v>
      </c>
      <c r="E917" s="53">
        <f ca="1">VLOOKUP(B917,'ALL DATABASES'!$A$1:$T$2252,10,FALSE)</f>
        <v>44501</v>
      </c>
      <c r="F917" s="54" t="str">
        <f ca="1">VLOOKUP(B917,'ALL DATABASES'!$A$1:$T$2252,14,FALSE)</f>
        <v>http://dx.doi.org/10.1109/TSE.2019.2949275</v>
      </c>
      <c r="G917" s="15" t="str">
        <f ca="1">VLOOKUP(B917,'ALL DATABASES'!$A$1:$T$2252,3,FALSE)</f>
        <v>Journal Article</v>
      </c>
      <c r="H917" s="50" t="str">
        <f ca="1">VLOOKUP(B917,'ALL DATABASES'!$A$1:$T$2252,20,FALSE)</f>
        <v>IEEE</v>
      </c>
    </row>
    <row r="918" spans="1:8" ht="12.75" x14ac:dyDescent="0.2">
      <c r="A918">
        <v>917</v>
      </c>
      <c r="B918" s="15" t="str">
        <f ca="1">IFERROR(__xludf.DUMMYFUNCTION("""COMPUTED_VALUE"""),"In this issue")</f>
        <v>In this issue</v>
      </c>
      <c r="C918" s="15" t="str">
        <f ca="1">VLOOKUP(B918,'ALL DATABASES'!$A$1:$T$2252,2,FALSE)</f>
        <v>Rachel Harrison</v>
      </c>
      <c r="D918" s="15">
        <f ca="1">VLOOKUP(B918,'ALL DATABASES'!$A$1:$T$2252,5,FALSE)</f>
        <v>2020</v>
      </c>
      <c r="E918" s="15">
        <f ca="1">VLOOKUP(B918,'ALL DATABASES'!$A$1:$T$2252,10,FALSE)</f>
        <v>0</v>
      </c>
      <c r="F918" s="54" t="str">
        <f ca="1">VLOOKUP(B918,'ALL DATABASES'!$A$1:$T$2252,14,FALSE)</f>
        <v>http://link.springer.com/article/10.1007/s11219-020-09540-z</v>
      </c>
      <c r="G918" s="15" t="str">
        <f ca="1">VLOOKUP(B918,'ALL DATABASES'!$A$1:$T$2252,3,FALSE)</f>
        <v>Article</v>
      </c>
      <c r="H918" s="50" t="str">
        <f ca="1">VLOOKUP(B918,'ALL DATABASES'!$A$1:$T$2252,20,FALSE)</f>
        <v>SPRINGER</v>
      </c>
    </row>
    <row r="919" spans="1:8" ht="12.75" x14ac:dyDescent="0.2">
      <c r="A919">
        <v>918</v>
      </c>
      <c r="B919" s="15" t="str">
        <f ca="1">IFERROR(__xludf.DUMMYFUNCTION("""COMPUTED_VALUE"""),"Incorporating Altmetrics to Support Selection and Assessment of Publications during Literature Analyses")</f>
        <v>Incorporating Altmetrics to Support Selection and Assessment of Publications during Literature Analyses</v>
      </c>
      <c r="C919" s="15" t="str">
        <f ca="1">VLOOKUP(B919,'ALL DATABASES'!$A$1:$T$2252,2,FALSE)</f>
        <v>Shakeel Y,Alchokr R,Krüger J,Leich T,Saake G</v>
      </c>
      <c r="D919" s="15">
        <f ca="1">VLOOKUP(B919,'ALL DATABASES'!$A$1:$T$2252,5,FALSE)</f>
        <v>2022</v>
      </c>
      <c r="E919" s="15">
        <f ca="1">VLOOKUP(B919,'ALL DATABASES'!$A$1:$T$2252,10,FALSE)</f>
        <v>2022</v>
      </c>
      <c r="F919" s="54" t="str">
        <f ca="1">VLOOKUP(B919,'ALL DATABASES'!$A$1:$T$2252,14,FALSE)</f>
        <v>https://www.scopus.com/inward/record.uri?eid=2-s2.0-85132368307&amp;doi=10.1145%2f3530019.3530038&amp;partnerID=40&amp;md5=c3ec9d53f1a5f1f12c0265314c2709a9;http://dx.doi.org/10.1145/3530019.3530038</v>
      </c>
      <c r="G919" s="15" t="str">
        <f ca="1">VLOOKUP(B919,'ALL DATABASES'!$A$1:$T$2252,3,FALSE)</f>
        <v>Conference Paper</v>
      </c>
      <c r="H919" s="50" t="str">
        <f ca="1">VLOOKUP(B919,'ALL DATABASES'!$A$1:$T$2252,20,FALSE)</f>
        <v>SCOPUS</v>
      </c>
    </row>
    <row r="920" spans="1:8" ht="12.75" x14ac:dyDescent="0.2">
      <c r="A920">
        <v>919</v>
      </c>
      <c r="B920" s="15" t="str">
        <f ca="1">IFERROR(__xludf.DUMMYFUNCTION("""COMPUTED_VALUE"""),"Incorporating Pre-trained Transformer Models into TextCNN for Sentiment Analysis on Software Engineering Texts")</f>
        <v>Incorporating Pre-trained Transformer Models into TextCNN for Sentiment Analysis on Software Engineering Texts</v>
      </c>
      <c r="C920" s="15" t="str">
        <f ca="1">VLOOKUP(B920,'ALL DATABASES'!$A$1:$T$2252,2,FALSE)</f>
        <v>Sun K,Shi X,Gao H,Kuang H,Ma X,Rong G,Shao D,Zhao Z,Zhang H</v>
      </c>
      <c r="D920" s="15">
        <f ca="1">VLOOKUP(B920,'ALL DATABASES'!$A$1:$T$2252,5,FALSE)</f>
        <v>2022</v>
      </c>
      <c r="E920" s="15">
        <f ca="1">VLOOKUP(B920,'ALL DATABASES'!$A$1:$T$2252,10,FALSE)</f>
        <v>2022</v>
      </c>
      <c r="F920" s="54" t="str">
        <f ca="1">VLOOKUP(B920,'ALL DATABASES'!$A$1:$T$2252,14,FALSE)</f>
        <v>https://www.scopus.com/inward/record.uri?eid=2-s2.0-85139564518&amp;doi=10.1145%2f3545258.3545273&amp;partnerID=40&amp;md5=db5b95948075f89c5c9f286542a97339;http://dx.doi.org/10.1145/3545258.3545273</v>
      </c>
      <c r="G920" s="15" t="str">
        <f ca="1">VLOOKUP(B920,'ALL DATABASES'!$A$1:$T$2252,3,FALSE)</f>
        <v>Conference Paper</v>
      </c>
      <c r="H920" s="50" t="str">
        <f ca="1">VLOOKUP(B920,'ALL DATABASES'!$A$1:$T$2252,20,FALSE)</f>
        <v>SCOPUS</v>
      </c>
    </row>
    <row r="921" spans="1:8" ht="12.75" x14ac:dyDescent="0.2">
      <c r="A921">
        <v>920</v>
      </c>
      <c r="B921" s="15" t="str">
        <f ca="1">IFERROR(__xludf.DUMMYFUNCTION("""COMPUTED_VALUE"""),"Index")</f>
        <v>Index</v>
      </c>
      <c r="C921" s="15" t="str">
        <f ca="1">VLOOKUP(B921,'ALL DATABASES'!$A$1:$T$2252,2,FALSE)</f>
        <v>Anderson R</v>
      </c>
      <c r="D921" s="15">
        <f ca="1">VLOOKUP(B921,'ALL DATABASES'!$A$1:$T$2252,5,FALSE)</f>
        <v>2020</v>
      </c>
      <c r="E921" s="15">
        <f ca="1">VLOOKUP(B921,'ALL DATABASES'!$A$1:$T$2252,10,FALSE)</f>
        <v>2020</v>
      </c>
      <c r="F921" s="54" t="str">
        <f ca="1">VLOOKUP(B921,'ALL DATABASES'!$A$1:$T$2252,14,FALSE)</f>
        <v>https://ieeexplore.ieee.org/document/9822330;http://dx.doi.org/10.1002/9781119644682.index</v>
      </c>
      <c r="G921" s="15" t="str">
        <f ca="1">VLOOKUP(B921,'ALL DATABASES'!$A$1:$T$2252,3,FALSE)</f>
        <v>Book Chapter</v>
      </c>
      <c r="H921" s="50" t="str">
        <f ca="1">VLOOKUP(B921,'ALL DATABASES'!$A$1:$T$2252,20,FALSE)</f>
        <v>IEEE</v>
      </c>
    </row>
    <row r="922" spans="1:8" ht="12.75" x14ac:dyDescent="0.2">
      <c r="A922">
        <v>921</v>
      </c>
      <c r="B922" s="15" t="str">
        <f ca="1">IFERROR(__xludf.DUMMYFUNCTION("""COMPUTED_VALUE"""),"Industrial and OSS developersâ€™ profiles: a family of experiments to evaluate a pioneering neuro-linguistic method for preferred representational systems automatic detection")</f>
        <v>Industrial and OSS developersâ€™ profiles: a family of experiments to evaluate a pioneering neuro-linguistic method for preferred representational systems automatic detection</v>
      </c>
      <c r="C922" s="15" t="str">
        <f ca="1">VLOOKUP(B922,'ALL DATABASES'!$A$1:$T$2252,2,FALSE)</f>
        <v>Methanias ColaÃ§o JÃºniorBreno Santana SantosManoel MendonÃ§aDaniela CorumbaMario AndrÃ© de F. Farias</v>
      </c>
      <c r="D922" s="15">
        <f ca="1">VLOOKUP(B922,'ALL DATABASES'!$A$1:$T$2252,5,FALSE)</f>
        <v>2021</v>
      </c>
      <c r="E922" s="15">
        <f ca="1">VLOOKUP(B922,'ALL DATABASES'!$A$1:$T$2252,10,FALSE)</f>
        <v>0</v>
      </c>
      <c r="F922" s="54" t="str">
        <f ca="1">VLOOKUP(B922,'ALL DATABASES'!$A$1:$T$2252,14,FALSE)</f>
        <v>http://link.springer.com/article/10.1186/s13173-021-00107-9</v>
      </c>
      <c r="G922" s="15" t="str">
        <f ca="1">VLOOKUP(B922,'ALL DATABASES'!$A$1:$T$2252,3,FALSE)</f>
        <v>Article</v>
      </c>
      <c r="H922" s="50" t="str">
        <f ca="1">VLOOKUP(B922,'ALL DATABASES'!$A$1:$T$2252,20,FALSE)</f>
        <v>SPRINGER</v>
      </c>
    </row>
    <row r="923" spans="1:8" ht="12.75" x14ac:dyDescent="0.2">
      <c r="A923">
        <v>922</v>
      </c>
      <c r="B923" s="15" t="str">
        <f ca="1">IFERROR(__xludf.DUMMYFUNCTION("""COMPUTED_VALUE"""),"Industry 4.0 Asset-based Risk Mitigation for Production Operation")</f>
        <v>Industry 4.0 Asset-based Risk Mitigation for Production Operation</v>
      </c>
      <c r="C923" s="15" t="str">
        <f ca="1">VLOOKUP(B923,'ALL DATABASES'!$A$1:$T$2252,2,FALSE)</f>
        <v>Winkler D,Novak P,Vyskocil J,Meixner K,Biffl S</v>
      </c>
      <c r="D923" s="15">
        <f ca="1">VLOOKUP(B923,'ALL DATABASES'!$A$1:$T$2252,5,FALSE)</f>
        <v>2021</v>
      </c>
      <c r="E923" s="15">
        <f ca="1">VLOOKUP(B923,'ALL DATABASES'!$A$1:$T$2252,10,FALSE)</f>
        <v>2021</v>
      </c>
      <c r="F923" s="54" t="str">
        <f ca="1">VLOOKUP(B923,'ALL DATABASES'!$A$1:$T$2252,14,FALSE)</f>
        <v>https://www.scopus.com/inward/record.uri?eid=2-s2.0-85117021916&amp;doi=10.1109%2fCASE49439.2021.9551419&amp;partnerID=40&amp;md5=34a2402b07b2e40af452b20905260b9f;http://dx.doi.org/10.1109/CASE49439.2021.9551419</v>
      </c>
      <c r="G923" s="15" t="str">
        <f ca="1">VLOOKUP(B923,'ALL DATABASES'!$A$1:$T$2252,3,FALSE)</f>
        <v>Conference Paper</v>
      </c>
      <c r="H923" s="50" t="str">
        <f ca="1">VLOOKUP(B923,'ALL DATABASES'!$A$1:$T$2252,20,FALSE)</f>
        <v>SCOPUS</v>
      </c>
    </row>
    <row r="924" spans="1:8" ht="12.75" x14ac:dyDescent="0.2">
      <c r="A924">
        <v>923</v>
      </c>
      <c r="B924" s="15" t="str">
        <f ca="1">IFERROR(__xludf.DUMMYFUNCTION("""COMPUTED_VALUE"""),"Industry Connections Program--Need for Establishing Industrial AI Maturity Levels")</f>
        <v>Industry Connections Program--Need for Establishing Industrial AI Maturity Levels</v>
      </c>
      <c r="C924" s="15" t="str">
        <f ca="1">VLOOKUP(B924,'ALL DATABASES'!$A$1:$T$2252,2,FALSE)</f>
        <v>Bhat S,Deepti V,Sori H</v>
      </c>
      <c r="D924" s="15">
        <f ca="1">VLOOKUP(B924,'ALL DATABASES'!$A$1:$T$2252,5,FALSE)</f>
        <v>2022</v>
      </c>
      <c r="E924" s="55">
        <f ca="1">VLOOKUP(B924,'ALL DATABASES'!$A$1:$T$2252,10,FALSE)</f>
        <v>44774</v>
      </c>
      <c r="F924" s="15">
        <f ca="1">VLOOKUP(B924,'ALL DATABASES'!$A$1:$T$2252,14,FALSE)</f>
        <v>0</v>
      </c>
      <c r="G924" s="15" t="str">
        <f ca="1">VLOOKUP(B924,'ALL DATABASES'!$A$1:$T$2252,3,FALSE)</f>
        <v>Journal Article</v>
      </c>
      <c r="H924" s="50" t="str">
        <f ca="1">VLOOKUP(B924,'ALL DATABASES'!$A$1:$T$2252,20,FALSE)</f>
        <v>IEEE</v>
      </c>
    </row>
    <row r="925" spans="1:8" ht="12.75" x14ac:dyDescent="0.2">
      <c r="A925">
        <v>924</v>
      </c>
      <c r="B925" s="15" t="str">
        <f ca="1">IFERROR(__xludf.DUMMYFUNCTION("""COMPUTED_VALUE"""),"Industry Practices, Processes and Techniques Adopted in Education")</f>
        <v>Industry Practices, Processes and Techniques Adopted in Education</v>
      </c>
      <c r="C925" s="15" t="str">
        <f ca="1">VLOOKUP(B925,'ALL DATABASES'!$A$1:$T$2252,2,FALSE)</f>
        <v>Kathryn MacCallumDavid Parsons</v>
      </c>
      <c r="D925" s="15">
        <f ca="1">VLOOKUP(B925,'ALL DATABASES'!$A$1:$T$2252,5,FALSE)</f>
        <v>2022</v>
      </c>
      <c r="E925" s="15">
        <f ca="1">VLOOKUP(B925,'ALL DATABASES'!$A$1:$T$2252,10,FALSE)</f>
        <v>0</v>
      </c>
      <c r="F925" s="54" t="str">
        <f ca="1">VLOOKUP(B925,'ALL DATABASES'!$A$1:$T$2252,14,FALSE)</f>
        <v>http://link.springer.com/book/10.1007/978-981-19-3517-6</v>
      </c>
      <c r="G925" s="15" t="str">
        <f ca="1">VLOOKUP(B925,'ALL DATABASES'!$A$1:$T$2252,3,FALSE)</f>
        <v>Book</v>
      </c>
      <c r="H925" s="50" t="str">
        <f ca="1">VLOOKUP(B925,'ALL DATABASES'!$A$1:$T$2252,20,FALSE)</f>
        <v>SPRINGER</v>
      </c>
    </row>
    <row r="926" spans="1:8" ht="12.75" x14ac:dyDescent="0.2">
      <c r="A926">
        <v>925</v>
      </c>
      <c r="B926" s="15" t="str">
        <f ca="1">IFERROR(__xludf.DUMMYFUNCTION("""COMPUTED_VALUE"""),"Industry Survey: The Magic Triangle of the New Normal")</f>
        <v>Industry Survey: The Magic Triangle of the New Normal</v>
      </c>
      <c r="C926" s="15" t="str">
        <f ca="1">VLOOKUP(B926,'ALL DATABASES'!$A$1:$T$2252,2,FALSE)</f>
        <v>Ebert C,Montenbruck JM</v>
      </c>
      <c r="D926" s="15">
        <f ca="1">VLOOKUP(B926,'ALL DATABASES'!$A$1:$T$2252,5,FALSE)</f>
        <v>2022</v>
      </c>
      <c r="E926" s="55">
        <f ca="1">VLOOKUP(B926,'ALL DATABASES'!$A$1:$T$2252,10,FALSE)</f>
        <v>44682</v>
      </c>
      <c r="F926" s="54" t="str">
        <f ca="1">VLOOKUP(B926,'ALL DATABASES'!$A$1:$T$2252,14,FALSE)</f>
        <v>http://dx.doi.org/10.1109/MS.2022.3148928</v>
      </c>
      <c r="G926" s="15" t="str">
        <f ca="1">VLOOKUP(B926,'ALL DATABASES'!$A$1:$T$2252,3,FALSE)</f>
        <v>Journal Article</v>
      </c>
      <c r="H926" s="50" t="str">
        <f ca="1">VLOOKUP(B926,'ALL DATABASES'!$A$1:$T$2252,20,FALSE)</f>
        <v>IEEE</v>
      </c>
    </row>
    <row r="927" spans="1:8" ht="12.75" x14ac:dyDescent="0.2">
      <c r="A927">
        <v>926</v>
      </c>
      <c r="B927" s="15" t="str">
        <f ca="1">IFERROR(__xludf.DUMMYFUNCTION("""COMPUTED_VALUE"""),"Industry–Academia Research Collaboration and Knowledge Co-Creation: Patterns and Anti-Patterns")</f>
        <v>Industry–Academia Research Collaboration and Knowledge Co-Creation: Patterns and Anti-Patterns</v>
      </c>
      <c r="C927" s="15" t="str">
        <f ca="1">VLOOKUP(B927,'ALL DATABASES'!$A$1:$T$2252,2,FALSE)</f>
        <v>Marijan D,Sen S</v>
      </c>
      <c r="D927" s="15">
        <f ca="1">VLOOKUP(B927,'ALL DATABASES'!$A$1:$T$2252,5,FALSE)</f>
        <v>2022</v>
      </c>
      <c r="E927" s="55">
        <f ca="1">VLOOKUP(B927,'ALL DATABASES'!$A$1:$T$2252,10,FALSE)</f>
        <v>44621</v>
      </c>
      <c r="F927" s="54" t="str">
        <f ca="1">VLOOKUP(B927,'ALL DATABASES'!$A$1:$T$2252,14,FALSE)</f>
        <v>https://doi.org/10.1145/3494519;http://dx.doi.org/10.1145/3494519</v>
      </c>
      <c r="G927" s="15" t="str">
        <f ca="1">VLOOKUP(B927,'ALL DATABASES'!$A$1:$T$2252,3,FALSE)</f>
        <v>Journal Article</v>
      </c>
      <c r="H927" s="50" t="str">
        <f ca="1">VLOOKUP(B927,'ALL DATABASES'!$A$1:$T$2252,20,FALSE)</f>
        <v>ACM</v>
      </c>
    </row>
    <row r="928" spans="1:8" ht="12.75" x14ac:dyDescent="0.2">
      <c r="A928">
        <v>927</v>
      </c>
      <c r="B928" s="15" t="str">
        <f ca="1">IFERROR(__xludf.DUMMYFUNCTION("""COMPUTED_VALUE"""),"Infinite technical debt")</f>
        <v>Infinite technical debt</v>
      </c>
      <c r="C928" s="15" t="str">
        <f ca="1">VLOOKUP(B928,'ALL DATABASES'!$A$1:$T$2252,2,FALSE)</f>
        <v>Vidoni M,Codabux Z,Fard FH</v>
      </c>
      <c r="D928" s="15">
        <f ca="1">VLOOKUP(B928,'ALL DATABASES'!$A$1:$T$2252,5,FALSE)</f>
        <v>2022</v>
      </c>
      <c r="E928" s="15">
        <f ca="1">VLOOKUP(B928,'ALL DATABASES'!$A$1:$T$2252,10,FALSE)</f>
        <v>2022</v>
      </c>
      <c r="F928" s="54" t="str">
        <f ca="1">VLOOKUP(B928,'ALL DATABASES'!$A$1:$T$2252,14,FALSE)</f>
        <v>https://www.sciencedirect.com/science/article/pii/S0164121222000772;http://dx.doi.org/10.1016/j.jss.2022.111336</v>
      </c>
      <c r="G928" s="15" t="str">
        <f ca="1">VLOOKUP(B928,'ALL DATABASES'!$A$1:$T$2252,3,FALSE)</f>
        <v>Journal Article</v>
      </c>
      <c r="H928" s="50" t="str">
        <f ca="1">VLOOKUP(B928,'ALL DATABASES'!$A$1:$T$2252,20,FALSE)</f>
        <v>SCIENCEDIRECT</v>
      </c>
    </row>
    <row r="929" spans="1:8" ht="12.75" x14ac:dyDescent="0.2">
      <c r="A929">
        <v>928</v>
      </c>
      <c r="B929" s="15" t="str">
        <f ca="1">IFERROR(__xludf.DUMMYFUNCTION("""COMPUTED_VALUE"""),"Influences on regression testing strategies in agile software development environments")</f>
        <v>Influences on regression testing strategies in agile software development environments</v>
      </c>
      <c r="C929" s="15" t="str">
        <f ca="1">VLOOKUP(B929,'ALL DATABASES'!$A$1:$T$2252,2,FALSE)</f>
        <v>David ParsonsTeo SusnjakManfred Lange</v>
      </c>
      <c r="D929" s="15">
        <f ca="1">VLOOKUP(B929,'ALL DATABASES'!$A$1:$T$2252,5,FALSE)</f>
        <v>2014</v>
      </c>
      <c r="E929" s="15">
        <f ca="1">VLOOKUP(B929,'ALL DATABASES'!$A$1:$T$2252,10,FALSE)</f>
        <v>0</v>
      </c>
      <c r="F929" s="54" t="str">
        <f ca="1">VLOOKUP(B929,'ALL DATABASES'!$A$1:$T$2252,14,FALSE)</f>
        <v>http://link.springer.com/article/10.1007/s11219-013-9225-z</v>
      </c>
      <c r="G929" s="15" t="str">
        <f ca="1">VLOOKUP(B929,'ALL DATABASES'!$A$1:$T$2252,3,FALSE)</f>
        <v>Article</v>
      </c>
      <c r="H929" s="50" t="str">
        <f ca="1">VLOOKUP(B929,'ALL DATABASES'!$A$1:$T$2252,20,FALSE)</f>
        <v>SPRINGER</v>
      </c>
    </row>
    <row r="930" spans="1:8" ht="12.75" x14ac:dyDescent="0.2">
      <c r="A930">
        <v>929</v>
      </c>
      <c r="B930" s="15" t="str">
        <f ca="1">IFERROR(__xludf.DUMMYFUNCTION("""COMPUTED_VALUE"""),"Information Systems")</f>
        <v>Information Systems</v>
      </c>
      <c r="C930" s="15" t="str">
        <f ca="1">VLOOKUP(B930,'ALL DATABASES'!$A$1:$T$2252,2,FALSE)</f>
        <v>Prof. Marinos ThemistocleousDr. Maria Papadaki</v>
      </c>
      <c r="D930" s="15">
        <f ca="1">VLOOKUP(B930,'ALL DATABASES'!$A$1:$T$2252,5,FALSE)</f>
        <v>2022</v>
      </c>
      <c r="E930" s="15">
        <f ca="1">VLOOKUP(B930,'ALL DATABASES'!$A$1:$T$2252,10,FALSE)</f>
        <v>0</v>
      </c>
      <c r="F930" s="54" t="str">
        <f ca="1">VLOOKUP(B930,'ALL DATABASES'!$A$1:$T$2252,14,FALSE)</f>
        <v>http://link.springer.com/book/10.1007/978-3-030-95947-0</v>
      </c>
      <c r="G930" s="15" t="str">
        <f ca="1">VLOOKUP(B930,'ALL DATABASES'!$A$1:$T$2252,3,FALSE)</f>
        <v>Book</v>
      </c>
      <c r="H930" s="50" t="str">
        <f ca="1">VLOOKUP(B930,'ALL DATABASES'!$A$1:$T$2252,20,FALSE)</f>
        <v>SPRINGER</v>
      </c>
    </row>
    <row r="931" spans="1:8" ht="12.75" x14ac:dyDescent="0.2">
      <c r="A931">
        <v>930</v>
      </c>
      <c r="B931" s="15" t="str">
        <f ca="1">IFERROR(__xludf.DUMMYFUNCTION("""COMPUTED_VALUE"""),"Information Systems and Technologies")</f>
        <v>Information Systems and Technologies</v>
      </c>
      <c r="C931" s="15" t="str">
        <f ca="1">VLOOKUP(B931,'ALL DATABASES'!$A$1:$T$2252,2,FALSE)</f>
        <v>Alvaro RochaDr. Hojjat AdeliDr. Gintautas DzemydaProf. Fernando Moreira</v>
      </c>
      <c r="D931" s="15">
        <f ca="1">VLOOKUP(B931,'ALL DATABASES'!$A$1:$T$2252,5,FALSE)</f>
        <v>2022</v>
      </c>
      <c r="E931" s="15">
        <f ca="1">VLOOKUP(B931,'ALL DATABASES'!$A$1:$T$2252,10,FALSE)</f>
        <v>0</v>
      </c>
      <c r="F931" s="54" t="str">
        <f ca="1">VLOOKUP(B931,'ALL DATABASES'!$A$1:$T$2252,14,FALSE)</f>
        <v>http://link.springer.com/book/10.1007/978-3-031-04829-6</v>
      </c>
      <c r="G931" s="15" t="str">
        <f ca="1">VLOOKUP(B931,'ALL DATABASES'!$A$1:$T$2252,3,FALSE)</f>
        <v>Book</v>
      </c>
      <c r="H931" s="50" t="str">
        <f ca="1">VLOOKUP(B931,'ALL DATABASES'!$A$1:$T$2252,20,FALSE)</f>
        <v>SPRINGER</v>
      </c>
    </row>
    <row r="932" spans="1:8" ht="12.75" x14ac:dyDescent="0.2">
      <c r="A932">
        <v>931</v>
      </c>
      <c r="B932" s="15" t="str">
        <f ca="1">IFERROR(__xludf.DUMMYFUNCTION("""COMPUTED_VALUE"""),"Infrastructure Leaderâ€™s Guide to Google Cloud")</f>
        <v>Infrastructure Leaderâ€™s Guide to Google Cloud</v>
      </c>
      <c r="C932" s="15" t="str">
        <f ca="1">VLOOKUP(B932,'ALL DATABASES'!$A$1:$T$2252,2,FALSE)</f>
        <v>Jeremy Lloyd</v>
      </c>
      <c r="D932" s="15">
        <f ca="1">VLOOKUP(B932,'ALL DATABASES'!$A$1:$T$2252,5,FALSE)</f>
        <v>2023</v>
      </c>
      <c r="E932" s="15">
        <f ca="1">VLOOKUP(B932,'ALL DATABASES'!$A$1:$T$2252,10,FALSE)</f>
        <v>0</v>
      </c>
      <c r="F932" s="54" t="str">
        <f ca="1">VLOOKUP(B932,'ALL DATABASES'!$A$1:$T$2252,14,FALSE)</f>
        <v>http://link.springer.com/book/10.1007/978-1-4842-8820-7</v>
      </c>
      <c r="G932" s="15" t="str">
        <f ca="1">VLOOKUP(B932,'ALL DATABASES'!$A$1:$T$2252,3,FALSE)</f>
        <v>Book</v>
      </c>
      <c r="H932" s="50" t="str">
        <f ca="1">VLOOKUP(B932,'ALL DATABASES'!$A$1:$T$2252,20,FALSE)</f>
        <v>SPRINGER</v>
      </c>
    </row>
    <row r="933" spans="1:8" ht="12.75" x14ac:dyDescent="0.2">
      <c r="A933">
        <v>932</v>
      </c>
      <c r="B933" s="15" t="str">
        <f ca="1">IFERROR(__xludf.DUMMYFUNCTION("""COMPUTED_VALUE"""),"Innovation Mechanisms in Start-ups")</f>
        <v>Innovation Mechanisms in Start-ups</v>
      </c>
      <c r="C933" s="15" t="str">
        <f ca="1">VLOOKUP(B933,'ALL DATABASES'!$A$1:$T$2252,2,FALSE)</f>
        <v>Varun Gupta</v>
      </c>
      <c r="D933" s="15">
        <f ca="1">VLOOKUP(B933,'ALL DATABASES'!$A$1:$T$2252,5,FALSE)</f>
        <v>2023</v>
      </c>
      <c r="E933" s="15">
        <f ca="1">VLOOKUP(B933,'ALL DATABASES'!$A$1:$T$2252,10,FALSE)</f>
        <v>0</v>
      </c>
      <c r="F933" s="54" t="str">
        <f ca="1">VLOOKUP(B933,'ALL DATABASES'!$A$1:$T$2252,14,FALSE)</f>
        <v>http://link.springer.com/book/10.1007/978-3-031-19741-3</v>
      </c>
      <c r="G933" s="15" t="str">
        <f ca="1">VLOOKUP(B933,'ALL DATABASES'!$A$1:$T$2252,3,FALSE)</f>
        <v>Book</v>
      </c>
      <c r="H933" s="50" t="str">
        <f ca="1">VLOOKUP(B933,'ALL DATABASES'!$A$1:$T$2252,20,FALSE)</f>
        <v>SPRINGER</v>
      </c>
    </row>
    <row r="934" spans="1:8" ht="12.75" x14ac:dyDescent="0.2">
      <c r="A934">
        <v>933</v>
      </c>
      <c r="B934" s="15" t="str">
        <f ca="1">IFERROR(__xludf.DUMMYFUNCTION("""COMPUTED_VALUE"""),"Innovation Through Information Systems")</f>
        <v>Innovation Through Information Systems</v>
      </c>
      <c r="C934" s="15" t="str">
        <f ca="1">VLOOKUP(B934,'ALL DATABASES'!$A$1:$T$2252,2,FALSE)</f>
        <v>Prof. Dr. Frederik AhlemannProf. Dr. Reinhard SchÃ¼tteProf. Dr. Stefan Stieglitz</v>
      </c>
      <c r="D934" s="15">
        <f ca="1">VLOOKUP(B934,'ALL DATABASES'!$A$1:$T$2252,5,FALSE)</f>
        <v>2021</v>
      </c>
      <c r="E934" s="15">
        <f ca="1">VLOOKUP(B934,'ALL DATABASES'!$A$1:$T$2252,10,FALSE)</f>
        <v>0</v>
      </c>
      <c r="F934" s="54" t="str">
        <f ca="1">VLOOKUP(B934,'ALL DATABASES'!$A$1:$T$2252,14,FALSE)</f>
        <v>http://link.springer.com/book/10.1007/978-3-030-86797-3</v>
      </c>
      <c r="G934" s="15" t="str">
        <f ca="1">VLOOKUP(B934,'ALL DATABASES'!$A$1:$T$2252,3,FALSE)</f>
        <v>Book</v>
      </c>
      <c r="H934" s="50" t="str">
        <f ca="1">VLOOKUP(B934,'ALL DATABASES'!$A$1:$T$2252,20,FALSE)</f>
        <v>SPRINGER</v>
      </c>
    </row>
    <row r="935" spans="1:8" ht="12.75" x14ac:dyDescent="0.2">
      <c r="A935">
        <v>934</v>
      </c>
      <c r="B935" s="15" t="str">
        <f ca="1">IFERROR(__xludf.DUMMYFUNCTION("""COMPUTED_VALUE"""),"InSet: A Tool to Identify Architecture Smells Using Machine Learning")</f>
        <v>InSet: A Tool to Identify Architecture Smells Using Machine Learning</v>
      </c>
      <c r="C935" s="15" t="str">
        <f ca="1">VLOOKUP(B935,'ALL DATABASES'!$A$1:$T$2252,2,FALSE)</f>
        <v>Cunha WS,Armijo GA,De Camargo VV</v>
      </c>
      <c r="D935" s="15">
        <f ca="1">VLOOKUP(B935,'ALL DATABASES'!$A$1:$T$2252,5,FALSE)</f>
        <v>2020</v>
      </c>
      <c r="E935" s="15">
        <f ca="1">VLOOKUP(B935,'ALL DATABASES'!$A$1:$T$2252,10,FALSE)</f>
        <v>2020</v>
      </c>
      <c r="F935" s="54" t="str">
        <f ca="1">VLOOKUP(B935,'ALL DATABASES'!$A$1:$T$2252,14,FALSE)</f>
        <v>https://www.scopus.com/inward/record.uri?eid=2-s2.0-85099346050&amp;doi=10.1145%2f3422392.3422507&amp;partnerID=40&amp;md5=22b2f8671798677cb15537abdf48fd57;http://dx.doi.org/10.1145/3422392.3422507</v>
      </c>
      <c r="G935" s="15" t="str">
        <f ca="1">VLOOKUP(B935,'ALL DATABASES'!$A$1:$T$2252,3,FALSE)</f>
        <v>Conference Paper</v>
      </c>
      <c r="H935" s="50" t="str">
        <f ca="1">VLOOKUP(B935,'ALL DATABASES'!$A$1:$T$2252,20,FALSE)</f>
        <v>SCOPUS</v>
      </c>
    </row>
    <row r="936" spans="1:8" ht="12.75" x14ac:dyDescent="0.2">
      <c r="A936">
        <v>935</v>
      </c>
      <c r="B936" s="15" t="str">
        <f ca="1">IFERROR(__xludf.DUMMYFUNCTION("""COMPUTED_VALUE"""),"Integrated framework for incorporating sustainability design in software engineering life-cycle: An empirical study")</f>
        <v>Integrated framework for incorporating sustainability design in software engineering life-cycle: An empirical study</v>
      </c>
      <c r="C936" s="15" t="str">
        <f ca="1">VLOOKUP(B936,'ALL DATABASES'!$A$1:$T$2252,2,FALSE)</f>
        <v>Saputri TR,Lee SW</v>
      </c>
      <c r="D936" s="15">
        <f ca="1">VLOOKUP(B936,'ALL DATABASES'!$A$1:$T$2252,5,FALSE)</f>
        <v>2021</v>
      </c>
      <c r="E936" s="15">
        <f ca="1">VLOOKUP(B936,'ALL DATABASES'!$A$1:$T$2252,10,FALSE)</f>
        <v>2021</v>
      </c>
      <c r="F936" s="54" t="str">
        <f ca="1">VLOOKUP(B936,'ALL DATABASES'!$A$1:$T$2252,14,FALSE)</f>
        <v>https://www.sciencedirect.com/science/article/pii/S0950584920301701;http://dx.doi.org/10.1016/j.infsof.2020.106407</v>
      </c>
      <c r="G936" s="15" t="str">
        <f ca="1">VLOOKUP(B936,'ALL DATABASES'!$A$1:$T$2252,3,FALSE)</f>
        <v>Journal Article</v>
      </c>
      <c r="H936" s="50" t="str">
        <f ca="1">VLOOKUP(B936,'ALL DATABASES'!$A$1:$T$2252,20,FALSE)</f>
        <v>SCIENCEDIRECT</v>
      </c>
    </row>
    <row r="937" spans="1:8" ht="12.75" x14ac:dyDescent="0.2">
      <c r="A937">
        <v>936</v>
      </c>
      <c r="B937" s="15" t="str">
        <f ca="1">IFERROR(__xludf.DUMMYFUNCTION("""COMPUTED_VALUE"""),"Integrative Bioinformatics")</f>
        <v>Integrative Bioinformatics</v>
      </c>
      <c r="C937" s="15" t="str">
        <f ca="1">VLOOKUP(B937,'ALL DATABASES'!$A$1:$T$2252,2,FALSE)</f>
        <v>Prof. Dr. Ming ChenProf. Dr. Ralf HofestÃ¤dt</v>
      </c>
      <c r="D937" s="15">
        <f ca="1">VLOOKUP(B937,'ALL DATABASES'!$A$1:$T$2252,5,FALSE)</f>
        <v>2022</v>
      </c>
      <c r="E937" s="15">
        <f ca="1">VLOOKUP(B937,'ALL DATABASES'!$A$1:$T$2252,10,FALSE)</f>
        <v>0</v>
      </c>
      <c r="F937" s="54" t="str">
        <f ca="1">VLOOKUP(B937,'ALL DATABASES'!$A$1:$T$2252,14,FALSE)</f>
        <v>http://link.springer.com/book/10.1007/978-981-16-6795-4</v>
      </c>
      <c r="G937" s="15" t="str">
        <f ca="1">VLOOKUP(B937,'ALL DATABASES'!$A$1:$T$2252,3,FALSE)</f>
        <v>Book</v>
      </c>
      <c r="H937" s="50" t="str">
        <f ca="1">VLOOKUP(B937,'ALL DATABASES'!$A$1:$T$2252,20,FALSE)</f>
        <v>SPRINGER</v>
      </c>
    </row>
    <row r="938" spans="1:8" ht="12.75" x14ac:dyDescent="0.2">
      <c r="A938">
        <v>937</v>
      </c>
      <c r="B938" s="15" t="str">
        <f ca="1">IFERROR(__xludf.DUMMYFUNCTION("""COMPUTED_VALUE"""),"Intelligence of Things: Technologies and Applications")</f>
        <v>Intelligence of Things: Technologies and Applications</v>
      </c>
      <c r="C938" s="15" t="str">
        <f ca="1">VLOOKUP(B938,'ALL DATABASES'!$A$1:$T$2252,2,FALSE)</f>
        <v>Ngoc-Thanh NguyenNhu-Ngoc DaoQuang-Dung PhamHong Anh Le</v>
      </c>
      <c r="D938" s="15">
        <f ca="1">VLOOKUP(B938,'ALL DATABASES'!$A$1:$T$2252,5,FALSE)</f>
        <v>2022</v>
      </c>
      <c r="E938" s="15">
        <f ca="1">VLOOKUP(B938,'ALL DATABASES'!$A$1:$T$2252,10,FALSE)</f>
        <v>0</v>
      </c>
      <c r="F938" s="54" t="str">
        <f ca="1">VLOOKUP(B938,'ALL DATABASES'!$A$1:$T$2252,14,FALSE)</f>
        <v>http://link.springer.com/book/10.1007/978-3-031-15063-0</v>
      </c>
      <c r="G938" s="15" t="str">
        <f ca="1">VLOOKUP(B938,'ALL DATABASES'!$A$1:$T$2252,3,FALSE)</f>
        <v>Book</v>
      </c>
      <c r="H938" s="50" t="str">
        <f ca="1">VLOOKUP(B938,'ALL DATABASES'!$A$1:$T$2252,20,FALSE)</f>
        <v>SPRINGER</v>
      </c>
    </row>
    <row r="939" spans="1:8" ht="12.75" x14ac:dyDescent="0.2">
      <c r="A939">
        <v>938</v>
      </c>
      <c r="B939" s="15" t="str">
        <f ca="1">IFERROR(__xludf.DUMMYFUNCTION("""COMPUTED_VALUE"""),"Intelligent Computing")</f>
        <v>Intelligent Computing</v>
      </c>
      <c r="C939" s="15" t="str">
        <f ca="1">VLOOKUP(B939,'ALL DATABASES'!$A$1:$T$2252,2,FALSE)</f>
        <v>Prof. Dr. Kohei Arai</v>
      </c>
      <c r="D939" s="15">
        <f ca="1">VLOOKUP(B939,'ALL DATABASES'!$A$1:$T$2252,5,FALSE)</f>
        <v>2022</v>
      </c>
      <c r="E939" s="15">
        <f ca="1">VLOOKUP(B939,'ALL DATABASES'!$A$1:$T$2252,10,FALSE)</f>
        <v>0</v>
      </c>
      <c r="F939" s="54" t="str">
        <f ca="1">VLOOKUP(B939,'ALL DATABASES'!$A$1:$T$2252,14,FALSE)</f>
        <v>http://link.springer.com/book/10.1007/978-3-030-80119-9</v>
      </c>
      <c r="G939" s="15" t="str">
        <f ca="1">VLOOKUP(B939,'ALL DATABASES'!$A$1:$T$2252,3,FALSE)</f>
        <v>Book</v>
      </c>
      <c r="H939" s="50" t="str">
        <f ca="1">VLOOKUP(B939,'ALL DATABASES'!$A$1:$T$2252,20,FALSE)</f>
        <v>SPRINGER</v>
      </c>
    </row>
    <row r="940" spans="1:8" ht="12.75" x14ac:dyDescent="0.2">
      <c r="A940">
        <v>939</v>
      </c>
      <c r="B940" s="15" t="str">
        <f ca="1">IFERROR(__xludf.DUMMYFUNCTION("""COMPUTED_VALUE"""),"Inter-smell relations in industrial and open source systems: A replication and comparative analysis")</f>
        <v>Inter-smell relations in industrial and open source systems: A replication and comparative analysis</v>
      </c>
      <c r="C940" s="15" t="str">
        <f ca="1">VLOOKUP(B940,'ALL DATABASES'!$A$1:$T$2252,2,FALSE)</f>
        <v>Yamashita A,Zanoni M,Fontana FA,Walter B</v>
      </c>
      <c r="D940" s="15">
        <f ca="1">VLOOKUP(B940,'ALL DATABASES'!$A$1:$T$2252,5,FALSE)</f>
        <v>2015</v>
      </c>
      <c r="E940" s="15">
        <f ca="1">VLOOKUP(B940,'ALL DATABASES'!$A$1:$T$2252,10,FALSE)</f>
        <v>2015</v>
      </c>
      <c r="F940" s="54" t="str">
        <f ca="1">VLOOKUP(B940,'ALL DATABASES'!$A$1:$T$2252,14,FALSE)</f>
        <v>https://www.scopus.com/inward/record.uri?eid=2-s2.0-84961661955&amp;doi=10.1109%2fICSM.2015.7332458&amp;partnerID=40&amp;md5=f08ced87b7c6be23d92ee0cde4fda468;http://dx.doi.org/10.1109/ICSM.2015.7332458</v>
      </c>
      <c r="G940" s="15" t="str">
        <f ca="1">VLOOKUP(B940,'ALL DATABASES'!$A$1:$T$2252,3,FALSE)</f>
        <v>Conference Paper</v>
      </c>
      <c r="H940" s="50" t="str">
        <f ca="1">VLOOKUP(B940,'ALL DATABASES'!$A$1:$T$2252,20,FALSE)</f>
        <v>SCOPUS</v>
      </c>
    </row>
    <row r="941" spans="1:8" ht="12.75" x14ac:dyDescent="0.2">
      <c r="A941">
        <v>940</v>
      </c>
      <c r="B941" s="15" t="str">
        <f ca="1">IFERROR(__xludf.DUMMYFUNCTION("""COMPUTED_VALUE"""),"Interactive and guided architectural refactoring with search-based recommendation")</f>
        <v>Interactive and guided architectural refactoring with search-based recommendation</v>
      </c>
      <c r="C941" s="15" t="str">
        <f ca="1">VLOOKUP(B941,'ALL DATABASES'!$A$1:$T$2252,2,FALSE)</f>
        <v>Lin Y,Peng X,Cai Y,Dig D,Zheng D,Zhao W</v>
      </c>
      <c r="D941" s="15">
        <f ca="1">VLOOKUP(B941,'ALL DATABASES'!$A$1:$T$2252,5,FALSE)</f>
        <v>2016</v>
      </c>
      <c r="E941" s="15">
        <f ca="1">VLOOKUP(B941,'ALL DATABASES'!$A$1:$T$2252,10,FALSE)</f>
        <v>2016</v>
      </c>
      <c r="F941" s="54" t="str">
        <f ca="1">VLOOKUP(B941,'ALL DATABASES'!$A$1:$T$2252,14,FALSE)</f>
        <v>https://www.scopus.com/inward/record.uri?eid=2-s2.0-84997124483&amp;doi=10.1145%2f2950290.2950317&amp;partnerID=40&amp;md5=a398b600201d12b8e78ac14606f33ccb;http://dx.doi.org/10.1145/2950290.2950317</v>
      </c>
      <c r="G941" s="15" t="str">
        <f ca="1">VLOOKUP(B941,'ALL DATABASES'!$A$1:$T$2252,3,FALSE)</f>
        <v>Conference Paper</v>
      </c>
      <c r="H941" s="50" t="str">
        <f ca="1">VLOOKUP(B941,'ALL DATABASES'!$A$1:$T$2252,20,FALSE)</f>
        <v>SCOPUS</v>
      </c>
    </row>
    <row r="942" spans="1:8" ht="12.75" x14ac:dyDescent="0.2">
      <c r="A942">
        <v>941</v>
      </c>
      <c r="B942" s="15" t="str">
        <f ca="1">IFERROR(__xludf.DUMMYFUNCTION("""COMPUTED_VALUE"""),"Interest of Defect Technical Debt: An Exploratory Study on Apache Projects")</f>
        <v>Interest of Defect Technical Debt: An Exploratory Study on Apache Projects</v>
      </c>
      <c r="C942" s="15" t="str">
        <f ca="1">VLOOKUP(B942,'ALL DATABASES'!$A$1:$T$2252,2,FALSE)</f>
        <v>Li Z,Yu Q,Liang P,Mo R,Yang C</v>
      </c>
      <c r="D942" s="15">
        <f ca="1">VLOOKUP(B942,'ALL DATABASES'!$A$1:$T$2252,5,FALSE)</f>
        <v>2020</v>
      </c>
      <c r="E942" s="55">
        <f ca="1">VLOOKUP(B942,'ALL DATABASES'!$A$1:$T$2252,10,FALSE)</f>
        <v>44075</v>
      </c>
      <c r="F942" s="54" t="str">
        <f ca="1">VLOOKUP(B942,'ALL DATABASES'!$A$1:$T$2252,14,FALSE)</f>
        <v>http://dx.doi.org/10.1109/ICSME46990.2020.00065</v>
      </c>
      <c r="G942" s="15" t="str">
        <f ca="1">VLOOKUP(B942,'ALL DATABASES'!$A$1:$T$2252,3,FALSE)</f>
        <v>Conference Paper</v>
      </c>
      <c r="H942" s="50" t="str">
        <f ca="1">VLOOKUP(B942,'ALL DATABASES'!$A$1:$T$2252,20,FALSE)</f>
        <v>IEEE</v>
      </c>
    </row>
    <row r="943" spans="1:8" ht="12.75" x14ac:dyDescent="0.2">
      <c r="A943">
        <v>942</v>
      </c>
      <c r="B943" s="15" t="str">
        <f ca="1">IFERROR(__xludf.DUMMYFUNCTION("""COMPUTED_VALUE"""),"Internal Software Startups – A Multiple Case Study on Practices, Methods, and Success Factors")</f>
        <v>Internal Software Startups – A Multiple Case Study on Practices, Methods, and Success Factors</v>
      </c>
      <c r="C943" s="15" t="str">
        <f ca="1">VLOOKUP(B943,'ALL DATABASES'!$A$1:$T$2252,2,FALSE)</f>
        <v>Kemell KK,Risku J,Strandjord KE,Nguyen-Duc A,Wang X,Abrahamsson P</v>
      </c>
      <c r="D943" s="15">
        <f ca="1">VLOOKUP(B943,'ALL DATABASES'!$A$1:$T$2252,5,FALSE)</f>
        <v>2020</v>
      </c>
      <c r="E943" s="55">
        <f ca="1">VLOOKUP(B943,'ALL DATABASES'!$A$1:$T$2252,10,FALSE)</f>
        <v>44044</v>
      </c>
      <c r="F943" s="54" t="str">
        <f ca="1">VLOOKUP(B943,'ALL DATABASES'!$A$1:$T$2252,14,FALSE)</f>
        <v>http://dx.doi.org/10.1109/SEAA51224.2020.00061</v>
      </c>
      <c r="G943" s="15" t="str">
        <f ca="1">VLOOKUP(B943,'ALL DATABASES'!$A$1:$T$2252,3,FALSE)</f>
        <v>Conference Paper</v>
      </c>
      <c r="H943" s="50" t="str">
        <f ca="1">VLOOKUP(B943,'ALL DATABASES'!$A$1:$T$2252,20,FALSE)</f>
        <v>IEEE</v>
      </c>
    </row>
    <row r="944" spans="1:8" ht="12.75" x14ac:dyDescent="0.2">
      <c r="A944">
        <v>943</v>
      </c>
      <c r="B944" s="15" t="str">
        <f ca="1">IFERROR(__xludf.DUMMYFUNCTION("""COMPUTED_VALUE"""),"International Conference on Innovative Computing and Communications")</f>
        <v>International Conference on Innovative Computing and Communications</v>
      </c>
      <c r="C944" s="15" t="str">
        <f ca="1">VLOOKUP(B944,'ALL DATABASES'!$A$1:$T$2252,2,FALSE)</f>
        <v>Dr. Ashish KhannaDr. Deepak GuptaProf. Dr. Siddhartha BhattacharyyaProf. Aboul Ella HassanienDr. Sameer AnandDr. Ajay Jaiswal</v>
      </c>
      <c r="D944" s="15">
        <f ca="1">VLOOKUP(B944,'ALL DATABASES'!$A$1:$T$2252,5,FALSE)</f>
        <v>2022</v>
      </c>
      <c r="E944" s="15">
        <f ca="1">VLOOKUP(B944,'ALL DATABASES'!$A$1:$T$2252,10,FALSE)</f>
        <v>0</v>
      </c>
      <c r="F944" s="54" t="str">
        <f ca="1">VLOOKUP(B944,'ALL DATABASES'!$A$1:$T$2252,14,FALSE)</f>
        <v>http://link.springer.com/book/10.1007/978-981-16-2594-7</v>
      </c>
      <c r="G944" s="15" t="str">
        <f ca="1">VLOOKUP(B944,'ALL DATABASES'!$A$1:$T$2252,3,FALSE)</f>
        <v>Book</v>
      </c>
      <c r="H944" s="50" t="str">
        <f ca="1">VLOOKUP(B944,'ALL DATABASES'!$A$1:$T$2252,20,FALSE)</f>
        <v>SPRINGER</v>
      </c>
    </row>
    <row r="945" spans="1:8" ht="12.75" x14ac:dyDescent="0.2">
      <c r="A945">
        <v>944</v>
      </c>
      <c r="B945" s="15" t="str">
        <f ca="1">IFERROR(__xludf.DUMMYFUNCTION("""COMPUTED_VALUE"""),"Internetware '22: Proceedings of the 13th Asia-Pacific Symposium on Internetware")</f>
        <v>Internetware '22: Proceedings of the 13th Asia-Pacific Symposium on Internetware</v>
      </c>
      <c r="C945" s="15">
        <f ca="1">VLOOKUP(B945,'ALL DATABASES'!$A$1:$T$2252,2,FALSE)</f>
        <v>0</v>
      </c>
      <c r="D945" s="15">
        <f ca="1">VLOOKUP(B945,'ALL DATABASES'!$A$1:$T$2252,5,FALSE)</f>
        <v>2022</v>
      </c>
      <c r="E945" s="15">
        <f ca="1">VLOOKUP(B945,'ALL DATABASES'!$A$1:$T$2252,10,FALSE)</f>
        <v>2022</v>
      </c>
      <c r="F945" s="15">
        <f ca="1">VLOOKUP(B945,'ALL DATABASES'!$A$1:$T$2252,14,FALSE)</f>
        <v>0</v>
      </c>
      <c r="G945" s="15" t="str">
        <f ca="1">VLOOKUP(B945,'ALL DATABASES'!$A$1:$T$2252,3,FALSE)</f>
        <v>Book</v>
      </c>
      <c r="H945" s="50" t="str">
        <f ca="1">VLOOKUP(B945,'ALL DATABASES'!$A$1:$T$2252,20,FALSE)</f>
        <v>ACM</v>
      </c>
    </row>
    <row r="946" spans="1:8" ht="12.75" x14ac:dyDescent="0.2">
      <c r="A946">
        <v>945</v>
      </c>
      <c r="B946" s="15" t="str">
        <f ca="1">IFERROR(__xludf.DUMMYFUNCTION("""COMPUTED_VALUE"""),"Interpersonal Conflicts During Code Review: Developers' Experience and Practices")</f>
        <v>Interpersonal Conflicts During Code Review: Developers' Experience and Practices</v>
      </c>
      <c r="C946" s="15" t="str">
        <f ca="1">VLOOKUP(B946,'ALL DATABASES'!$A$1:$T$2252,2,FALSE)</f>
        <v>Wurzel Gonçalves P,Çalikli G,Bacchelli A</v>
      </c>
      <c r="D946" s="15">
        <f ca="1">VLOOKUP(B946,'ALL DATABASES'!$A$1:$T$2252,5,FALSE)</f>
        <v>2022</v>
      </c>
      <c r="E946" s="55">
        <f ca="1">VLOOKUP(B946,'ALL DATABASES'!$A$1:$T$2252,10,FALSE)</f>
        <v>44652</v>
      </c>
      <c r="F946" s="54" t="str">
        <f ca="1">VLOOKUP(B946,'ALL DATABASES'!$A$1:$T$2252,14,FALSE)</f>
        <v>https://doi.org/10.1145/3512945;http://dx.doi.org/10.1145/3512945</v>
      </c>
      <c r="G946" s="15" t="str">
        <f ca="1">VLOOKUP(B946,'ALL DATABASES'!$A$1:$T$2252,3,FALSE)</f>
        <v>Journal Article</v>
      </c>
      <c r="H946" s="50" t="str">
        <f ca="1">VLOOKUP(B946,'ALL DATABASES'!$A$1:$T$2252,20,FALSE)</f>
        <v>ACM</v>
      </c>
    </row>
    <row r="947" spans="1:8" ht="12.75" x14ac:dyDescent="0.2">
      <c r="A947">
        <v>946</v>
      </c>
      <c r="B947" s="15" t="str">
        <f ca="1">IFERROR(__xludf.DUMMYFUNCTION("""COMPUTED_VALUE"""),"Interplay of Machine Learning and Software Engineering for Quality Estimations")</f>
        <v>Interplay of Machine Learning and Software Engineering for Quality Estimations</v>
      </c>
      <c r="C947" s="15" t="str">
        <f ca="1">VLOOKUP(B947,'ALL DATABASES'!$A$1:$T$2252,2,FALSE)</f>
        <v>Abubakar H,Obaidat MS,Gupta A,Bhattacharya P,Tanwar S</v>
      </c>
      <c r="D947" s="15">
        <f ca="1">VLOOKUP(B947,'ALL DATABASES'!$A$1:$T$2252,5,FALSE)</f>
        <v>2020</v>
      </c>
      <c r="E947" s="53">
        <f ca="1">VLOOKUP(B947,'ALL DATABASES'!$A$1:$T$2252,10,FALSE)</f>
        <v>44136</v>
      </c>
      <c r="F947" s="54" t="str">
        <f ca="1">VLOOKUP(B947,'ALL DATABASES'!$A$1:$T$2252,14,FALSE)</f>
        <v>http://dx.doi.org/10.1109/CCCI49893.2020.9256507</v>
      </c>
      <c r="G947" s="15" t="str">
        <f ca="1">VLOOKUP(B947,'ALL DATABASES'!$A$1:$T$2252,3,FALSE)</f>
        <v>Conference Paper</v>
      </c>
      <c r="H947" s="50" t="str">
        <f ca="1">VLOOKUP(B947,'ALL DATABASES'!$A$1:$T$2252,20,FALSE)</f>
        <v>IEEE</v>
      </c>
    </row>
    <row r="948" spans="1:8" ht="12.75" x14ac:dyDescent="0.2">
      <c r="A948">
        <v>947</v>
      </c>
      <c r="B948" s="15" t="str">
        <f ca="1">IFERROR(__xludf.DUMMYFUNCTION("""COMPUTED_VALUE"""),"Interview beth holmes")</f>
        <v>Interview beth holmes</v>
      </c>
      <c r="C948" s="15" t="str">
        <f ca="1">VLOOKUP(B948,'ALL DATABASES'!$A$1:$T$2252,2,FALSE)</f>
        <v>Smith N</v>
      </c>
      <c r="D948" s="15">
        <f ca="1">VLOOKUP(B948,'ALL DATABASES'!$A$1:$T$2252,5,FALSE)</f>
        <v>2022</v>
      </c>
      <c r="E948" s="55">
        <f ca="1">VLOOKUP(B948,'ALL DATABASES'!$A$1:$T$2252,10,FALSE)</f>
        <v>44713</v>
      </c>
      <c r="F948" s="54" t="str">
        <f ca="1">VLOOKUP(B948,'ALL DATABASES'!$A$1:$T$2252,14,FALSE)</f>
        <v>http://dx.doi.org/10.1049/et.2022.0521</v>
      </c>
      <c r="G948" s="15" t="str">
        <f ca="1">VLOOKUP(B948,'ALL DATABASES'!$A$1:$T$2252,3,FALSE)</f>
        <v>Journal Article</v>
      </c>
      <c r="H948" s="50" t="str">
        <f ca="1">VLOOKUP(B948,'ALL DATABASES'!$A$1:$T$2252,20,FALSE)</f>
        <v>IEEE</v>
      </c>
    </row>
    <row r="949" spans="1:8" ht="12.75" x14ac:dyDescent="0.2">
      <c r="A949">
        <v>948</v>
      </c>
      <c r="B949" s="15" t="str">
        <f ca="1">IFERROR(__xludf.DUMMYFUNCTION("""COMPUTED_VALUE"""),"Interview with Harvinder Atwal")</f>
        <v>Interview with Harvinder Atwal</v>
      </c>
      <c r="C949" s="15" t="str">
        <f ca="1">VLOOKUP(B949,'ALL DATABASES'!$A$1:$T$2252,2,FALSE)</f>
        <v>Jesse Anderson</v>
      </c>
      <c r="D949" s="15">
        <f ca="1">VLOOKUP(B949,'ALL DATABASES'!$A$1:$T$2252,5,FALSE)</f>
        <v>2020</v>
      </c>
      <c r="E949" s="15">
        <f ca="1">VLOOKUP(B949,'ALL DATABASES'!$A$1:$T$2252,10,FALSE)</f>
        <v>0</v>
      </c>
      <c r="F949" s="54" t="str">
        <f ca="1">VLOOKUP(B949,'ALL DATABASES'!$A$1:$T$2252,14,FALSE)</f>
        <v>http://link.springer.com/chapter/10.1007/978-1-4842-6228-3_17</v>
      </c>
      <c r="G949" s="15" t="str">
        <f ca="1">VLOOKUP(B949,'ALL DATABASES'!$A$1:$T$2252,3,FALSE)</f>
        <v>Chapter</v>
      </c>
      <c r="H949" s="50" t="str">
        <f ca="1">VLOOKUP(B949,'ALL DATABASES'!$A$1:$T$2252,20,FALSE)</f>
        <v>SPRINGER</v>
      </c>
    </row>
    <row r="950" spans="1:8" ht="12.75" x14ac:dyDescent="0.2">
      <c r="A950">
        <v>949</v>
      </c>
      <c r="B950" s="15" t="str">
        <f ca="1">IFERROR(__xludf.DUMMYFUNCTION("""COMPUTED_VALUE"""),"Introducing Robotic Process Automation to Your Organization")</f>
        <v>Introducing Robotic Process Automation to Your Organization</v>
      </c>
      <c r="C950" s="15" t="str">
        <f ca="1">VLOOKUP(B950,'ALL DATABASES'!$A$1:$T$2252,2,FALSE)</f>
        <v>Robert FantinaAndriy StorozhukKamal Goyal</v>
      </c>
      <c r="D950" s="15">
        <f ca="1">VLOOKUP(B950,'ALL DATABASES'!$A$1:$T$2252,5,FALSE)</f>
        <v>2022</v>
      </c>
      <c r="E950" s="15">
        <f ca="1">VLOOKUP(B950,'ALL DATABASES'!$A$1:$T$2252,10,FALSE)</f>
        <v>0</v>
      </c>
      <c r="F950" s="54" t="str">
        <f ca="1">VLOOKUP(B950,'ALL DATABASES'!$A$1:$T$2252,14,FALSE)</f>
        <v>http://link.springer.com/book/10.1007/978-1-4842-7416-3</v>
      </c>
      <c r="G950" s="15" t="str">
        <f ca="1">VLOOKUP(B950,'ALL DATABASES'!$A$1:$T$2252,3,FALSE)</f>
        <v>Book</v>
      </c>
      <c r="H950" s="50" t="str">
        <f ca="1">VLOOKUP(B950,'ALL DATABASES'!$A$1:$T$2252,20,FALSE)</f>
        <v>SPRINGER</v>
      </c>
    </row>
    <row r="951" spans="1:8" ht="12.75" x14ac:dyDescent="0.2">
      <c r="A951">
        <v>950</v>
      </c>
      <c r="B951" s="15" t="str">
        <f ca="1">IFERROR(__xludf.DUMMYFUNCTION("""COMPUTED_VALUE"""),"Introduction and Challenges of Environment Architectures for Collective Intelligence Systems")</f>
        <v>Introduction and Challenges of Environment Architectures for Collective Intelligence Systems</v>
      </c>
      <c r="C951" s="15" t="str">
        <f ca="1">VLOOKUP(B951,'ALL DATABASES'!$A$1:$T$2252,2,FALSE)</f>
        <v>Juergen MusilAngelika MusilStefan Biffl</v>
      </c>
      <c r="D951" s="15">
        <f ca="1">VLOOKUP(B951,'ALL DATABASES'!$A$1:$T$2252,5,FALSE)</f>
        <v>2015</v>
      </c>
      <c r="E951" s="15">
        <f ca="1">VLOOKUP(B951,'ALL DATABASES'!$A$1:$T$2252,10,FALSE)</f>
        <v>0</v>
      </c>
      <c r="F951" s="54" t="str">
        <f ca="1">VLOOKUP(B951,'ALL DATABASES'!$A$1:$T$2252,14,FALSE)</f>
        <v>http://link.springer.com/chapter/10.1007/978-3-319-23850-0_6</v>
      </c>
      <c r="G951" s="15" t="str">
        <f ca="1">VLOOKUP(B951,'ALL DATABASES'!$A$1:$T$2252,3,FALSE)</f>
        <v>Chapter</v>
      </c>
      <c r="H951" s="50" t="str">
        <f ca="1">VLOOKUP(B951,'ALL DATABASES'!$A$1:$T$2252,20,FALSE)</f>
        <v>SPRINGER</v>
      </c>
    </row>
    <row r="952" spans="1:8" ht="12.75" x14ac:dyDescent="0.2">
      <c r="A952">
        <v>951</v>
      </c>
      <c r="B952" s="15" t="str">
        <f ca="1">IFERROR(__xludf.DUMMYFUNCTION("""COMPUTED_VALUE"""),"Introduction to â€œSystems Engineering and Artificial Intelligenceâ€ and the Chapters")</f>
        <v>Introduction to â€œSystems Engineering and Artificial Intelligenceâ€ and the Chapters</v>
      </c>
      <c r="C952" s="15" t="str">
        <f ca="1">VLOOKUP(B952,'ALL DATABASES'!$A$1:$T$2252,2,FALSE)</f>
        <v>William F. LawlessRanjeev MittuDonald A. SofgeThomas ShortellThomas A. McDermott</v>
      </c>
      <c r="D952" s="15">
        <f ca="1">VLOOKUP(B952,'ALL DATABASES'!$A$1:$T$2252,5,FALSE)</f>
        <v>2021</v>
      </c>
      <c r="E952" s="15">
        <f ca="1">VLOOKUP(B952,'ALL DATABASES'!$A$1:$T$2252,10,FALSE)</f>
        <v>0</v>
      </c>
      <c r="F952" s="54" t="str">
        <f ca="1">VLOOKUP(B952,'ALL DATABASES'!$A$1:$T$2252,14,FALSE)</f>
        <v>http://link.springer.com/chapter/10.1007/978-3-030-77283-3_1</v>
      </c>
      <c r="G952" s="15" t="str">
        <f ca="1">VLOOKUP(B952,'ALL DATABASES'!$A$1:$T$2252,3,FALSE)</f>
        <v>Chapter</v>
      </c>
      <c r="H952" s="50" t="str">
        <f ca="1">VLOOKUP(B952,'ALL DATABASES'!$A$1:$T$2252,20,FALSE)</f>
        <v>SPRINGER</v>
      </c>
    </row>
    <row r="953" spans="1:8" ht="12.75" x14ac:dyDescent="0.2">
      <c r="A953">
        <v>952</v>
      </c>
      <c r="B953" s="15" t="str">
        <f ca="1">IFERROR(__xludf.DUMMYFUNCTION("""COMPUTED_VALUE"""),"Investigating Bad Smells with Feature Selection and Machine Learning Approaches")</f>
        <v>Investigating Bad Smells with Feature Selection and Machine Learning Approaches</v>
      </c>
      <c r="C953" s="15" t="str">
        <f ca="1">VLOOKUP(B953,'ALL DATABASES'!$A$1:$T$2252,2,FALSE)</f>
        <v>Gupta A,Gandhi R,Kumar V</v>
      </c>
      <c r="D953" s="15">
        <f ca="1">VLOOKUP(B953,'ALL DATABASES'!$A$1:$T$2252,5,FALSE)</f>
        <v>2023</v>
      </c>
      <c r="E953" s="15">
        <f ca="1">VLOOKUP(B953,'ALL DATABASES'!$A$1:$T$2252,10,FALSE)</f>
        <v>2023</v>
      </c>
      <c r="F953" s="54" t="str">
        <f ca="1">VLOOKUP(B953,'ALL DATABASES'!$A$1:$T$2252,14,FALSE)</f>
        <v>https://www.scopus.com/inward/record.uri?eid=2-s2.0-85138138017&amp;doi=10.1007%2f978-3-031-05347-4_4&amp;partnerID=40&amp;md5=f9e68a6614f02b4b28c0c540c19fa754;http://dx.doi.org/10.1007/978-3-031-05347-4_4</v>
      </c>
      <c r="G953" s="15" t="str">
        <f ca="1">VLOOKUP(B953,'ALL DATABASES'!$A$1:$T$2252,3,FALSE)</f>
        <v>Journal Article</v>
      </c>
      <c r="H953" s="50" t="str">
        <f ca="1">VLOOKUP(B953,'ALL DATABASES'!$A$1:$T$2252,20,FALSE)</f>
        <v>SCOPUS</v>
      </c>
    </row>
    <row r="954" spans="1:8" ht="12.75" x14ac:dyDescent="0.2">
      <c r="A954">
        <v>953</v>
      </c>
      <c r="B954" s="15" t="str">
        <f ca="1">IFERROR(__xludf.DUMMYFUNCTION("""COMPUTED_VALUE"""),"Investigating code smell co-occurrences using association rule learning: A replicated study")</f>
        <v>Investigating code smell co-occurrences using association rule learning: A replicated study</v>
      </c>
      <c r="C954" s="15" t="str">
        <f ca="1">VLOOKUP(B954,'ALL DATABASES'!$A$1:$T$2252,2,FALSE)</f>
        <v>Palomba F,Oliveto R,De Lucia A</v>
      </c>
      <c r="D954" s="15">
        <f ca="1">VLOOKUP(B954,'ALL DATABASES'!$A$1:$T$2252,5,FALSE)</f>
        <v>2017</v>
      </c>
      <c r="E954" s="15">
        <f ca="1">VLOOKUP(B954,'ALL DATABASES'!$A$1:$T$2252,10,FALSE)</f>
        <v>2017</v>
      </c>
      <c r="F954" s="54" t="str">
        <f ca="1">VLOOKUP(B954,'ALL DATABASES'!$A$1:$T$2252,14,FALSE)</f>
        <v>https://www.scopus.com/inward/record.uri?eid=2-s2.0-85018335521&amp;doi=10.1109%2fMALTESQUE.2017.7882010&amp;partnerID=40&amp;md5=a6a21b4f125c8915806da549565f8ca7;http://dx.doi.org/10.1109/MALTESQUE.2017.7882010</v>
      </c>
      <c r="G954" s="15" t="str">
        <f ca="1">VLOOKUP(B954,'ALL DATABASES'!$A$1:$T$2252,3,FALSE)</f>
        <v>Conference Paper</v>
      </c>
      <c r="H954" s="50" t="str">
        <f ca="1">VLOOKUP(B954,'ALL DATABASES'!$A$1:$T$2252,20,FALSE)</f>
        <v>SCOPUS</v>
      </c>
    </row>
    <row r="955" spans="1:8" ht="12.75" x14ac:dyDescent="0.2">
      <c r="A955">
        <v>954</v>
      </c>
      <c r="B955" s="15" t="str">
        <f ca="1">IFERROR(__xludf.DUMMYFUNCTION("""COMPUTED_VALUE"""),"Investigating non-usually employed features in the identification of architectural smells: A machine learning-based approach")</f>
        <v>Investigating non-usually employed features in the identification of architectural smells: A machine learning-based approach</v>
      </c>
      <c r="C955" s="15" t="str">
        <f ca="1">VLOOKUP(B955,'ALL DATABASES'!$A$1:$T$2252,2,FALSE)</f>
        <v>Cunha WS,Armijo GA,De Camargo VV</v>
      </c>
      <c r="D955" s="15">
        <f ca="1">VLOOKUP(B955,'ALL DATABASES'!$A$1:$T$2252,5,FALSE)</f>
        <v>2020</v>
      </c>
      <c r="E955" s="15">
        <f ca="1">VLOOKUP(B955,'ALL DATABASES'!$A$1:$T$2252,10,FALSE)</f>
        <v>2020</v>
      </c>
      <c r="F955" s="54" t="str">
        <f ca="1">VLOOKUP(B955,'ALL DATABASES'!$A$1:$T$2252,14,FALSE)</f>
        <v>https://www.scopus.com/inward/record.uri?eid=2-s2.0-85095856937&amp;doi=10.1145%2f3425269.3425281&amp;partnerID=40&amp;md5=3fb2b8566d44c6b71f4aeac85cf65876;http://dx.doi.org/10.1145/3425269.3425281</v>
      </c>
      <c r="G955" s="15" t="str">
        <f ca="1">VLOOKUP(B955,'ALL DATABASES'!$A$1:$T$2252,3,FALSE)</f>
        <v>Conference Paper</v>
      </c>
      <c r="H955" s="50" t="str">
        <f ca="1">VLOOKUP(B955,'ALL DATABASES'!$A$1:$T$2252,20,FALSE)</f>
        <v>SCOPUS</v>
      </c>
    </row>
    <row r="956" spans="1:8" ht="12.75" x14ac:dyDescent="0.2">
      <c r="A956">
        <v>955</v>
      </c>
      <c r="B956" s="15" t="str">
        <f ca="1">IFERROR(__xludf.DUMMYFUNCTION("""COMPUTED_VALUE"""),"Investigating on the Impact of Software Clones on Technical Debt")</f>
        <v>Investigating on the Impact of Software Clones on Technical Debt</v>
      </c>
      <c r="C956" s="15" t="str">
        <f ca="1">VLOOKUP(B956,'ALL DATABASES'!$A$1:$T$2252,2,FALSE)</f>
        <v>Lerina A,Nardi L</v>
      </c>
      <c r="D956" s="15">
        <f ca="1">VLOOKUP(B956,'ALL DATABASES'!$A$1:$T$2252,5,FALSE)</f>
        <v>2019</v>
      </c>
      <c r="E956" s="15">
        <f ca="1">VLOOKUP(B956,'ALL DATABASES'!$A$1:$T$2252,10,FALSE)</f>
        <v>2019</v>
      </c>
      <c r="F956" s="54" t="str">
        <f ca="1">VLOOKUP(B956,'ALL DATABASES'!$A$1:$T$2252,14,FALSE)</f>
        <v>https://doi.org/10.1109/TechDebt.2019.00029;http://dx.doi.org/10.1109/TechDebt.2019.00029</v>
      </c>
      <c r="G956" s="15" t="str">
        <f ca="1">VLOOKUP(B956,'ALL DATABASES'!$A$1:$T$2252,3,FALSE)</f>
        <v>Conference Paper</v>
      </c>
      <c r="H956" s="50" t="str">
        <f ca="1">VLOOKUP(B956,'ALL DATABASES'!$A$1:$T$2252,20,FALSE)</f>
        <v>ACM</v>
      </c>
    </row>
    <row r="957" spans="1:8" ht="12.75" x14ac:dyDescent="0.2">
      <c r="A957">
        <v>956</v>
      </c>
      <c r="B957" s="15" t="str">
        <f ca="1">IFERROR(__xludf.DUMMYFUNCTION("""COMPUTED_VALUE"""),"Investigating on the impact of software clones on technical debt")</f>
        <v>Investigating on the impact of software clones on technical debt</v>
      </c>
      <c r="C957" s="15" t="str">
        <f ca="1">VLOOKUP(B957,'ALL DATABASES'!$A$1:$T$2252,2,FALSE)</f>
        <v>Lerina A,Nardi L</v>
      </c>
      <c r="D957" s="15">
        <f ca="1">VLOOKUP(B957,'ALL DATABASES'!$A$1:$T$2252,5,FALSE)</f>
        <v>2019</v>
      </c>
      <c r="E957" s="15">
        <f ca="1">VLOOKUP(B957,'ALL DATABASES'!$A$1:$T$2252,10,FALSE)</f>
        <v>2019</v>
      </c>
      <c r="F957" s="54" t="str">
        <f ca="1">VLOOKUP(B957,'ALL DATABASES'!$A$1:$T$2252,14,FALSE)</f>
        <v>https://doi.org/10.1109/TechDebt.2019.00029;http://dx.doi.org/10.1109/TechDebt.2019.00029</v>
      </c>
      <c r="G957" s="15" t="str">
        <f ca="1">VLOOKUP(B957,'ALL DATABASES'!$A$1:$T$2252,3,FALSE)</f>
        <v>Conference Paper</v>
      </c>
      <c r="H957" s="50" t="str">
        <f ca="1">VLOOKUP(B957,'ALL DATABASES'!$A$1:$T$2252,20,FALSE)</f>
        <v>ACM</v>
      </c>
    </row>
    <row r="958" spans="1:8" ht="12.75" x14ac:dyDescent="0.2">
      <c r="A958">
        <v>957</v>
      </c>
      <c r="B958" s="15" t="str">
        <f ca="1">IFERROR(__xludf.DUMMYFUNCTION("""COMPUTED_VALUE"""),"Investigating the Interaction between Energy Consumption, Quality of Service, Reliability, Security, and Maintainability of Computer Systems and Networks")</f>
        <v>Investigating the Interaction between Energy Consumption, Quality of Service, Reliability, Security, and Maintainability of Computer Systems and Networks</v>
      </c>
      <c r="C958" s="15" t="str">
        <f ca="1">VLOOKUP(B958,'ALL DATABASES'!$A$1:$T$2252,2,FALSE)</f>
        <v>Dionysios KehagiasMarija JankovicMiltiadis SiavvasErol Gelenbe</v>
      </c>
      <c r="D958" s="15">
        <f ca="1">VLOOKUP(B958,'ALL DATABASES'!$A$1:$T$2252,5,FALSE)</f>
        <v>2021</v>
      </c>
      <c r="E958" s="15">
        <f ca="1">VLOOKUP(B958,'ALL DATABASES'!$A$1:$T$2252,10,FALSE)</f>
        <v>0</v>
      </c>
      <c r="F958" s="54" t="str">
        <f ca="1">VLOOKUP(B958,'ALL DATABASES'!$A$1:$T$2252,14,FALSE)</f>
        <v>http://link.springer.com/article/10.1007/s42979-020-00404-8</v>
      </c>
      <c r="G958" s="15" t="str">
        <f ca="1">VLOOKUP(B958,'ALL DATABASES'!$A$1:$T$2252,3,FALSE)</f>
        <v>Article</v>
      </c>
      <c r="H958" s="50" t="str">
        <f ca="1">VLOOKUP(B958,'ALL DATABASES'!$A$1:$T$2252,20,FALSE)</f>
        <v>SPRINGER</v>
      </c>
    </row>
    <row r="959" spans="1:8" ht="12.75" x14ac:dyDescent="0.2">
      <c r="A959">
        <v>958</v>
      </c>
      <c r="B959" s="15" t="str">
        <f ca="1">IFERROR(__xludf.DUMMYFUNCTION("""COMPUTED_VALUE"""),"Investigating the relation between lexical smells and change- and fault-proneness: an empirical study")</f>
        <v>Investigating the relation between lexical smells and change- and fault-proneness: an empirical study</v>
      </c>
      <c r="C959" s="15" t="str">
        <f ca="1">VLOOKUP(B959,'ALL DATABASES'!$A$1:$T$2252,2,FALSE)</f>
        <v>Guerrouj L,Kermansaravi Z,Arnaoudova V,Fung BC,Khomh F,Antoniol G,Guéhéneuc YG</v>
      </c>
      <c r="D959" s="15">
        <f ca="1">VLOOKUP(B959,'ALL DATABASES'!$A$1:$T$2252,5,FALSE)</f>
        <v>2017</v>
      </c>
      <c r="E959" s="15">
        <f ca="1">VLOOKUP(B959,'ALL DATABASES'!$A$1:$T$2252,10,FALSE)</f>
        <v>2017</v>
      </c>
      <c r="F959" s="54" t="str">
        <f ca="1">VLOOKUP(B959,'ALL DATABASES'!$A$1:$T$2252,14,FALSE)</f>
        <v>https://www.scopus.com/inward/record.uri?eid=2-s2.0-84966659039&amp;doi=10.1007%2fs11219-016-9318-6&amp;partnerID=40&amp;md5=679f8af0dbafcf53bdea72619405f042;http://dx.doi.org/10.1007/s11219-016-9318-6</v>
      </c>
      <c r="G959" s="15" t="str">
        <f ca="1">VLOOKUP(B959,'ALL DATABASES'!$A$1:$T$2252,3,FALSE)</f>
        <v>Journal Article</v>
      </c>
      <c r="H959" s="50" t="str">
        <f ca="1">VLOOKUP(B959,'ALL DATABASES'!$A$1:$T$2252,20,FALSE)</f>
        <v>SCOPUS</v>
      </c>
    </row>
    <row r="960" spans="1:8" ht="12.75" x14ac:dyDescent="0.2">
      <c r="A960">
        <v>959</v>
      </c>
      <c r="B960" s="15" t="str">
        <f ca="1">IFERROR(__xludf.DUMMYFUNCTION("""COMPUTED_VALUE"""),"Investigating the Relationship between Co-occurring Technical Debt in Python")</f>
        <v>Investigating the Relationship between Co-occurring Technical Debt in Python</v>
      </c>
      <c r="C960" s="15" t="str">
        <f ca="1">VLOOKUP(B960,'ALL DATABASES'!$A$1:$T$2252,2,FALSE)</f>
        <v>Tan J,Feitosa D,Avgeriou P</v>
      </c>
      <c r="D960" s="15">
        <f ca="1">VLOOKUP(B960,'ALL DATABASES'!$A$1:$T$2252,5,FALSE)</f>
        <v>2020</v>
      </c>
      <c r="E960" s="55">
        <f ca="1">VLOOKUP(B960,'ALL DATABASES'!$A$1:$T$2252,10,FALSE)</f>
        <v>44044</v>
      </c>
      <c r="F960" s="54" t="str">
        <f ca="1">VLOOKUP(B960,'ALL DATABASES'!$A$1:$T$2252,14,FALSE)</f>
        <v>http://dx.doi.org/10.1109/SEAA51224.2020.00082</v>
      </c>
      <c r="G960" s="15" t="str">
        <f ca="1">VLOOKUP(B960,'ALL DATABASES'!$A$1:$T$2252,3,FALSE)</f>
        <v>Conference Paper</v>
      </c>
      <c r="H960" s="50" t="str">
        <f ca="1">VLOOKUP(B960,'ALL DATABASES'!$A$1:$T$2252,20,FALSE)</f>
        <v>IEEE</v>
      </c>
    </row>
    <row r="961" spans="1:8" ht="12.75" x14ac:dyDescent="0.2">
      <c r="A961">
        <v>960</v>
      </c>
      <c r="B961" s="15" t="str">
        <f ca="1">IFERROR(__xludf.DUMMYFUNCTION("""COMPUTED_VALUE"""),"Investigation of Empirical Researches in Software Engineering")</f>
        <v>Investigation of Empirical Researches in Software Engineering</v>
      </c>
      <c r="C961" s="15" t="str">
        <f ca="1">VLOOKUP(B961,'ALL DATABASES'!$A$1:$T$2252,2,FALSE)</f>
        <v>Zhang L,Pu MY,Liu YJ,Tian JH,Yue T,Jiang J</v>
      </c>
      <c r="D961" s="15">
        <f ca="1">VLOOKUP(B961,'ALL DATABASES'!$A$1:$T$2252,5,FALSE)</f>
        <v>2018</v>
      </c>
      <c r="E961" s="15">
        <f ca="1">VLOOKUP(B961,'ALL DATABASES'!$A$1:$T$2252,10,FALSE)</f>
        <v>2018</v>
      </c>
      <c r="F961" s="54" t="str">
        <f ca="1">VLOOKUP(B961,'ALL DATABASES'!$A$1:$T$2252,14,FALSE)</f>
        <v>https://www.scopus.com/inward/record.uri?eid=2-s2.0-85049555118&amp;doi=10.13328%2fj.cnki.jos.005520&amp;partnerID=40&amp;md5=02111ae26bb140f11169d60139a11bd7;http://dx.doi.org/10.13328/j.cnki.jos.005520</v>
      </c>
      <c r="G961" s="15" t="str">
        <f ca="1">VLOOKUP(B961,'ALL DATABASES'!$A$1:$T$2252,3,FALSE)</f>
        <v>Journal Article</v>
      </c>
      <c r="H961" s="50" t="str">
        <f ca="1">VLOOKUP(B961,'ALL DATABASES'!$A$1:$T$2252,20,FALSE)</f>
        <v>SCOPUS</v>
      </c>
    </row>
    <row r="962" spans="1:8" ht="12.75" x14ac:dyDescent="0.2">
      <c r="A962">
        <v>961</v>
      </c>
      <c r="B962" s="15" t="str">
        <f ca="1">IFERROR(__xludf.DUMMYFUNCTION("""COMPUTED_VALUE"""),"Investing in Alignment of Industrialisation and Innovation Engines")</f>
        <v>Investing in Alignment of Industrialisation and Innovation Engines</v>
      </c>
      <c r="C962" s="15" t="str">
        <f ca="1">VLOOKUP(B962,'ALL DATABASES'!$A$1:$T$2252,2,FALSE)</f>
        <v>Mohan Bhatia</v>
      </c>
      <c r="D962" s="15">
        <f ca="1">VLOOKUP(B962,'ALL DATABASES'!$A$1:$T$2252,5,FALSE)</f>
        <v>2022</v>
      </c>
      <c r="E962" s="15">
        <f ca="1">VLOOKUP(B962,'ALL DATABASES'!$A$1:$T$2252,10,FALSE)</f>
        <v>0</v>
      </c>
      <c r="F962" s="54" t="str">
        <f ca="1">VLOOKUP(B962,'ALL DATABASES'!$A$1:$T$2252,14,FALSE)</f>
        <v>http://link.springer.com/chapter/10.1007/978-981-16-6069-6_3</v>
      </c>
      <c r="G962" s="15" t="str">
        <f ca="1">VLOOKUP(B962,'ALL DATABASES'!$A$1:$T$2252,3,FALSE)</f>
        <v>Chapter</v>
      </c>
      <c r="H962" s="50" t="str">
        <f ca="1">VLOOKUP(B962,'ALL DATABASES'!$A$1:$T$2252,20,FALSE)</f>
        <v>SPRINGER</v>
      </c>
    </row>
    <row r="963" spans="1:8" ht="12.75" x14ac:dyDescent="0.2">
      <c r="A963">
        <v>962</v>
      </c>
      <c r="B963" s="15" t="str">
        <f ca="1">IFERROR(__xludf.DUMMYFUNCTION("""COMPUTED_VALUE"""),"Is Self-Admitted Technical Debt a Good Indicator of Architectural Divergences?")</f>
        <v>Is Self-Admitted Technical Debt a Good Indicator of Architectural Divergences?</v>
      </c>
      <c r="C963" s="15" t="str">
        <f ca="1">VLOOKUP(B963,'ALL DATABASES'!$A$1:$T$2252,2,FALSE)</f>
        <v>Sierra G,Tahmid A,Shihab E,Tsantalis N</v>
      </c>
      <c r="D963" s="15">
        <f ca="1">VLOOKUP(B963,'ALL DATABASES'!$A$1:$T$2252,5,FALSE)</f>
        <v>2019</v>
      </c>
      <c r="E963" s="55">
        <f ca="1">VLOOKUP(B963,'ALL DATABASES'!$A$1:$T$2252,10,FALSE)</f>
        <v>43497</v>
      </c>
      <c r="F963" s="54" t="str">
        <f ca="1">VLOOKUP(B963,'ALL DATABASES'!$A$1:$T$2252,14,FALSE)</f>
        <v>http://dx.doi.org/10.1109/SANER.2019.8667999</v>
      </c>
      <c r="G963" s="15" t="str">
        <f ca="1">VLOOKUP(B963,'ALL DATABASES'!$A$1:$T$2252,3,FALSE)</f>
        <v>Conference Paper</v>
      </c>
      <c r="H963" s="50" t="str">
        <f ca="1">VLOOKUP(B963,'ALL DATABASES'!$A$1:$T$2252,20,FALSE)</f>
        <v>IEEE</v>
      </c>
    </row>
    <row r="964" spans="1:8" ht="12.75" x14ac:dyDescent="0.2">
      <c r="A964">
        <v>963</v>
      </c>
      <c r="B964" s="15" t="str">
        <f ca="1">IFERROR(__xludf.DUMMYFUNCTION("""COMPUTED_VALUE"""),"Is There a Prophet Who Can Predict Software Vulnerabilities?")</f>
        <v>Is There a Prophet Who Can Predict Software Vulnerabilities?</v>
      </c>
      <c r="C964" s="15" t="str">
        <f ca="1">VLOOKUP(B964,'ALL DATABASES'!$A$1:$T$2252,2,FALSE)</f>
        <v>Michael T. ShroveEmil Jovanov</v>
      </c>
      <c r="D964" s="15">
        <f ca="1">VLOOKUP(B964,'ALL DATABASES'!$A$1:$T$2252,5,FALSE)</f>
        <v>2021</v>
      </c>
      <c r="E964" s="15">
        <f ca="1">VLOOKUP(B964,'ALL DATABASES'!$A$1:$T$2252,10,FALSE)</f>
        <v>0</v>
      </c>
      <c r="F964" s="54" t="str">
        <f ca="1">VLOOKUP(B964,'ALL DATABASES'!$A$1:$T$2252,14,FALSE)</f>
        <v>http://link.springer.com/chapter/10.1007/978-3-030-58703-1_17</v>
      </c>
      <c r="G964" s="15" t="str">
        <f ca="1">VLOOKUP(B964,'ALL DATABASES'!$A$1:$T$2252,3,FALSE)</f>
        <v>Chapter</v>
      </c>
      <c r="H964" s="50" t="str">
        <f ca="1">VLOOKUP(B964,'ALL DATABASES'!$A$1:$T$2252,20,FALSE)</f>
        <v>SPRINGER</v>
      </c>
    </row>
    <row r="965" spans="1:8" ht="12.75" x14ac:dyDescent="0.2">
      <c r="A965">
        <v>964</v>
      </c>
      <c r="B965" s="15" t="str">
        <f ca="1">IFERROR(__xludf.DUMMYFUNCTION("""COMPUTED_VALUE"""),"Is this GitHub project maintained? Measuring the level of maintenance activity of open-source projects")</f>
        <v>Is this GitHub project maintained? Measuring the level of maintenance activity of open-source projects</v>
      </c>
      <c r="C965" s="15" t="str">
        <f ca="1">VLOOKUP(B965,'ALL DATABASES'!$A$1:$T$2252,2,FALSE)</f>
        <v>Coelho J,Valente MT,Milen L,Silva LL</v>
      </c>
      <c r="D965" s="15">
        <f ca="1">VLOOKUP(B965,'ALL DATABASES'!$A$1:$T$2252,5,FALSE)</f>
        <v>2020</v>
      </c>
      <c r="E965" s="15">
        <f ca="1">VLOOKUP(B965,'ALL DATABASES'!$A$1:$T$2252,10,FALSE)</f>
        <v>2020</v>
      </c>
      <c r="F965" s="54" t="str">
        <f ca="1">VLOOKUP(B965,'ALL DATABASES'!$A$1:$T$2252,14,FALSE)</f>
        <v>https://www.sciencedirect.com/science/article/pii/S0950584920300240;http://dx.doi.org/10.1016/j.infsof.2020.106274</v>
      </c>
      <c r="G965" s="15" t="str">
        <f ca="1">VLOOKUP(B965,'ALL DATABASES'!$A$1:$T$2252,3,FALSE)</f>
        <v>Journal Article</v>
      </c>
      <c r="H965" s="50" t="str">
        <f ca="1">VLOOKUP(B965,'ALL DATABASES'!$A$1:$T$2252,20,FALSE)</f>
        <v>SCIENCEDIRECT</v>
      </c>
    </row>
    <row r="966" spans="1:8" ht="12.75" x14ac:dyDescent="0.2">
      <c r="A966">
        <v>965</v>
      </c>
      <c r="B966" s="15" t="str">
        <f ca="1">IFERROR(__xludf.DUMMYFUNCTION("""COMPUTED_VALUE"""),"Is Using Deep Learning Frameworks Free? Characterizing Technical Debt in Deep Learning Frameworks")</f>
        <v>Is Using Deep Learning Frameworks Free? Characterizing Technical Debt in Deep Learning Frameworks</v>
      </c>
      <c r="C966" s="15" t="str">
        <f ca="1">VLOOKUP(B966,'ALL DATABASES'!$A$1:$T$2252,2,FALSE)</f>
        <v>Liu J,Huang Q,Xia X,Shihab E,Lo D,Li S</v>
      </c>
      <c r="D966" s="15">
        <f ca="1">VLOOKUP(B966,'ALL DATABASES'!$A$1:$T$2252,5,FALSE)</f>
        <v>2020</v>
      </c>
      <c r="E966" s="15">
        <f ca="1">VLOOKUP(B966,'ALL DATABASES'!$A$1:$T$2252,10,FALSE)</f>
        <v>2020</v>
      </c>
      <c r="F966" s="54" t="str">
        <f ca="1">VLOOKUP(B966,'ALL DATABASES'!$A$1:$T$2252,14,FALSE)</f>
        <v>https://doi.org/10.1145/3377815.3381377;http://dx.doi.org/10.1145/3377815.3381377</v>
      </c>
      <c r="G966" s="15" t="str">
        <f ca="1">VLOOKUP(B966,'ALL DATABASES'!$A$1:$T$2252,3,FALSE)</f>
        <v>Conference Paper</v>
      </c>
      <c r="H966" s="50" t="str">
        <f ca="1">VLOOKUP(B966,'ALL DATABASES'!$A$1:$T$2252,20,FALSE)</f>
        <v>ACM</v>
      </c>
    </row>
    <row r="967" spans="1:8" ht="12.75" x14ac:dyDescent="0.2">
      <c r="A967">
        <v>966</v>
      </c>
      <c r="B967" s="15" t="str">
        <f ca="1">IFERROR(__xludf.DUMMYFUNCTION("""COMPUTED_VALUE"""),"ISO/IEC/IEEE Approved Draft International Standard - Systems and Software Engineering - Vocabulary")</f>
        <v>ISO/IEC/IEEE Approved Draft International Standard - Systems and Software Engineering - Vocabulary</v>
      </c>
      <c r="C967" s="15">
        <f ca="1">VLOOKUP(B967,'ALL DATABASES'!$A$1:$T$2252,2,FALSE)</f>
        <v>0</v>
      </c>
      <c r="D967" s="15">
        <f ca="1">VLOOKUP(B967,'ALL DATABASES'!$A$1:$T$2252,5,FALSE)</f>
        <v>2017</v>
      </c>
      <c r="E967" s="55">
        <f ca="1">VLOOKUP(B967,'ALL DATABASES'!$A$1:$T$2252,10,FALSE)</f>
        <v>42736</v>
      </c>
      <c r="F967" s="15">
        <f ca="1">VLOOKUP(B967,'ALL DATABASES'!$A$1:$T$2252,14,FALSE)</f>
        <v>0</v>
      </c>
      <c r="G967" s="15" t="str">
        <f ca="1">VLOOKUP(B967,'ALL DATABASES'!$A$1:$T$2252,3,FALSE)</f>
        <v>Journal Article</v>
      </c>
      <c r="H967" s="50" t="str">
        <f ca="1">VLOOKUP(B967,'ALL DATABASES'!$A$1:$T$2252,20,FALSE)</f>
        <v>IEEE</v>
      </c>
    </row>
    <row r="968" spans="1:8" ht="12.75" x14ac:dyDescent="0.2">
      <c r="A968">
        <v>967</v>
      </c>
      <c r="B968" s="15" t="str">
        <f ca="1">IFERROR(__xludf.DUMMYFUNCTION("""COMPUTED_VALUE"""),"ISO/IEC/IEEE Draft Systems and Software Engineering - Vocabulary")</f>
        <v>ISO/IEC/IEEE Draft Systems and Software Engineering - Vocabulary</v>
      </c>
      <c r="C968" s="15">
        <f ca="1">VLOOKUP(B968,'ALL DATABASES'!$A$1:$T$2252,2,FALSE)</f>
        <v>0</v>
      </c>
      <c r="D968" s="15">
        <f ca="1">VLOOKUP(B968,'ALL DATABASES'!$A$1:$T$2252,5,FALSE)</f>
        <v>2016</v>
      </c>
      <c r="E968" s="55">
        <f ca="1">VLOOKUP(B968,'ALL DATABASES'!$A$1:$T$2252,10,FALSE)</f>
        <v>42370</v>
      </c>
      <c r="F968" s="15">
        <f ca="1">VLOOKUP(B968,'ALL DATABASES'!$A$1:$T$2252,14,FALSE)</f>
        <v>0</v>
      </c>
      <c r="G968" s="15" t="str">
        <f ca="1">VLOOKUP(B968,'ALL DATABASES'!$A$1:$T$2252,3,FALSE)</f>
        <v>Journal Article</v>
      </c>
      <c r="H968" s="50" t="str">
        <f ca="1">VLOOKUP(B968,'ALL DATABASES'!$A$1:$T$2252,20,FALSE)</f>
        <v>IEEE</v>
      </c>
    </row>
    <row r="969" spans="1:8" ht="12.75" x14ac:dyDescent="0.2">
      <c r="A969">
        <v>968</v>
      </c>
      <c r="B969" s="15" t="str">
        <f ca="1">IFERROR(__xludf.DUMMYFUNCTION("""COMPUTED_VALUE"""),"ISO/IEC/IEEE International Standard - Systems and software engineering--Vocabulary")</f>
        <v>ISO/IEC/IEEE International Standard - Systems and software engineering--Vocabulary</v>
      </c>
      <c r="C969" s="15">
        <f ca="1">VLOOKUP(B969,'ALL DATABASES'!$A$1:$T$2252,2,FALSE)</f>
        <v>0</v>
      </c>
      <c r="D969" s="15">
        <f ca="1">VLOOKUP(B969,'ALL DATABASES'!$A$1:$T$2252,5,FALSE)</f>
        <v>2017</v>
      </c>
      <c r="E969" s="55">
        <f ca="1">VLOOKUP(B969,'ALL DATABASES'!$A$1:$T$2252,10,FALSE)</f>
        <v>42948</v>
      </c>
      <c r="F969" s="54" t="str">
        <f ca="1">VLOOKUP(B969,'ALL DATABASES'!$A$1:$T$2252,14,FALSE)</f>
        <v>http://dx.doi.org/10.1109/IEEESTD.2017.8016712</v>
      </c>
      <c r="G969" s="15" t="str">
        <f ca="1">VLOOKUP(B969,'ALL DATABASES'!$A$1:$T$2252,3,FALSE)</f>
        <v>Journal Article</v>
      </c>
      <c r="H969" s="50" t="str">
        <f ca="1">VLOOKUP(B969,'ALL DATABASES'!$A$1:$T$2252,20,FALSE)</f>
        <v>IEEE</v>
      </c>
    </row>
    <row r="970" spans="1:8" ht="12.75" x14ac:dyDescent="0.2">
      <c r="A970">
        <v>969</v>
      </c>
      <c r="B970" s="15" t="str">
        <f ca="1">IFERROR(__xludf.DUMMYFUNCTION("""COMPUTED_VALUE"""),"Issues in Requirements Specification in Malaysia‟s Public Sector: An Evidence from a Semi-Structured Survey and a Static Analysis")</f>
        <v>Issues in Requirements Specification in Malaysia‟s Public Sector: An Evidence from a Semi-Structured Survey and a Static Analysis</v>
      </c>
      <c r="C970" s="15" t="str">
        <f ca="1">VLOOKUP(B970,'ALL DATABASES'!$A$1:$T$2252,2,FALSE)</f>
        <v>Zahrin MF,Osman MH,Halin AA,Hassan S,Haron A</v>
      </c>
      <c r="D970" s="15">
        <f ca="1">VLOOKUP(B970,'ALL DATABASES'!$A$1:$T$2252,5,FALSE)</f>
        <v>2022</v>
      </c>
      <c r="E970" s="15">
        <f ca="1">VLOOKUP(B970,'ALL DATABASES'!$A$1:$T$2252,10,FALSE)</f>
        <v>2022</v>
      </c>
      <c r="F970" s="54" t="str">
        <f ca="1">VLOOKUP(B970,'ALL DATABASES'!$A$1:$T$2252,14,FALSE)</f>
        <v>https://www.scopus.com/inward/record.uri?eid=2-s2.0-85143878845&amp;doi=10.14569%2fIJACSA.2022.0131132&amp;partnerID=40&amp;md5=3559f9562be7ac2b9c30930c49fe73bc;http://dx.doi.org/10.14569/IJACSA.2022.0131132</v>
      </c>
      <c r="G970" s="15" t="str">
        <f ca="1">VLOOKUP(B970,'ALL DATABASES'!$A$1:$T$2252,3,FALSE)</f>
        <v>Journal Article</v>
      </c>
      <c r="H970" s="50" t="str">
        <f ca="1">VLOOKUP(B970,'ALL DATABASES'!$A$1:$T$2252,20,FALSE)</f>
        <v>SCOPUS</v>
      </c>
    </row>
    <row r="971" spans="1:8" ht="12.75" x14ac:dyDescent="0.2">
      <c r="A971">
        <v>970</v>
      </c>
      <c r="B971" s="15" t="str">
        <f ca="1">IFERROR(__xludf.DUMMYFUNCTION("""COMPUTED_VALUE"""),"It takes a Flywheel to Fly: Kickstarting and Growing the A/B testing Momentum at Scale")</f>
        <v>It takes a Flywheel to Fly: Kickstarting and Growing the A/B testing Momentum at Scale</v>
      </c>
      <c r="C971" s="15" t="str">
        <f ca="1">VLOOKUP(B971,'ALL DATABASES'!$A$1:$T$2252,2,FALSE)</f>
        <v>Fabijan A,Arai B,Dmitriev P,Vermeer L</v>
      </c>
      <c r="D971" s="15">
        <f ca="1">VLOOKUP(B971,'ALL DATABASES'!$A$1:$T$2252,5,FALSE)</f>
        <v>2021</v>
      </c>
      <c r="E971" s="55">
        <f ca="1">VLOOKUP(B971,'ALL DATABASES'!$A$1:$T$2252,10,FALSE)</f>
        <v>44440</v>
      </c>
      <c r="F971" s="54" t="str">
        <f ca="1">VLOOKUP(B971,'ALL DATABASES'!$A$1:$T$2252,14,FALSE)</f>
        <v>http://dx.doi.org/10.1109/SEAA53835.2021.00023</v>
      </c>
      <c r="G971" s="15" t="str">
        <f ca="1">VLOOKUP(B971,'ALL DATABASES'!$A$1:$T$2252,3,FALSE)</f>
        <v>Conference Paper</v>
      </c>
      <c r="H971" s="50" t="str">
        <f ca="1">VLOOKUP(B971,'ALL DATABASES'!$A$1:$T$2252,20,FALSE)</f>
        <v>IEEE</v>
      </c>
    </row>
    <row r="972" spans="1:8" ht="12.75" x14ac:dyDescent="0.2">
      <c r="A972">
        <v>971</v>
      </c>
      <c r="B972" s="15" t="str">
        <f ca="1">IFERROR(__xludf.DUMMYFUNCTION("""COMPUTED_VALUE"""),"IT-Operations in der Transformation")</f>
        <v>IT-Operations in der Transformation</v>
      </c>
      <c r="C972" s="15" t="str">
        <f ca="1">VLOOKUP(B972,'ALL DATABASES'!$A$1:$T$2252,2,FALSE)</f>
        <v>Hans-Peter FrÃ¶schleRalf OestereichNikolaus Schmidt</v>
      </c>
      <c r="D972" s="15">
        <f ca="1">VLOOKUP(B972,'ALL DATABASES'!$A$1:$T$2252,5,FALSE)</f>
        <v>2022</v>
      </c>
      <c r="E972" s="15">
        <f ca="1">VLOOKUP(B972,'ALL DATABASES'!$A$1:$T$2252,10,FALSE)</f>
        <v>0</v>
      </c>
      <c r="F972" s="54" t="str">
        <f ca="1">VLOOKUP(B972,'ALL DATABASES'!$A$1:$T$2252,14,FALSE)</f>
        <v>http://link.springer.com/book/10.1007/978-3-658-37324-5</v>
      </c>
      <c r="G972" s="15" t="str">
        <f ca="1">VLOOKUP(B972,'ALL DATABASES'!$A$1:$T$2252,3,FALSE)</f>
        <v>Book</v>
      </c>
      <c r="H972" s="50" t="str">
        <f ca="1">VLOOKUP(B972,'ALL DATABASES'!$A$1:$T$2252,20,FALSE)</f>
        <v>SPRINGER</v>
      </c>
    </row>
    <row r="973" spans="1:8" ht="12.75" x14ac:dyDescent="0.2">
      <c r="A973">
        <v>972</v>
      </c>
      <c r="B973" s="15" t="str">
        <f ca="1">IFERROR(__xludf.DUMMYFUNCTION("""COMPUTED_VALUE"""),"Iteration Causes, Impact, and Timing in Software Development Lifecycle: An SLR")</f>
        <v>Iteration Causes, Impact, and Timing in Software Development Lifecycle: An SLR</v>
      </c>
      <c r="C973" s="15" t="str">
        <f ca="1">VLOOKUP(B973,'ALL DATABASES'!$A$1:$T$2252,2,FALSE)</f>
        <v>Mumtaz M,Ahmad N,Usman Ashraf M,Alghamdi AM,Bahaddad AA,Almarhabi KA</v>
      </c>
      <c r="D973" s="15">
        <f ca="1">VLOOKUP(B973,'ALL DATABASES'!$A$1:$T$2252,5,FALSE)</f>
        <v>2022</v>
      </c>
      <c r="E973" s="15">
        <f ca="1">VLOOKUP(B973,'ALL DATABASES'!$A$1:$T$2252,10,FALSE)</f>
        <v>2022</v>
      </c>
      <c r="F973" s="54" t="str">
        <f ca="1">VLOOKUP(B973,'ALL DATABASES'!$A$1:$T$2252,14,FALSE)</f>
        <v>https://www.scopus.com/inward/record.uri?eid=2-s2.0-85132727772&amp;doi=10.1109%2fACCESS.2022.3182703&amp;partnerID=40&amp;md5=4c206ee666c5630048f6865e57257856;http://dx.doi.org/10.1109/ACCESS.2022.3182703</v>
      </c>
      <c r="G973" s="15" t="str">
        <f ca="1">VLOOKUP(B973,'ALL DATABASES'!$A$1:$T$2252,3,FALSE)</f>
        <v>Journal Article</v>
      </c>
      <c r="H973" s="50" t="str">
        <f ca="1">VLOOKUP(B973,'ALL DATABASES'!$A$1:$T$2252,20,FALSE)</f>
        <v>SCOPUS</v>
      </c>
    </row>
    <row r="974" spans="1:8" ht="12.75" x14ac:dyDescent="0.2">
      <c r="A974">
        <v>973</v>
      </c>
      <c r="B974" s="15" t="str">
        <f ca="1">IFERROR(__xludf.DUMMYFUNCTION("""COMPUTED_VALUE"""),"Jointly learning invocations and descriptions for context-aware mashup tagging with graph attention network")</f>
        <v>Jointly learning invocations and descriptions for context-aware mashup tagging with graph attention network</v>
      </c>
      <c r="C974" s="15" t="str">
        <f ca="1">VLOOKUP(B974,'ALL DATABASES'!$A$1:$T$2252,2,FALSE)</f>
        <v>Wang X,Liu X,Wu H,Liu J,Chen X,Xu Z</v>
      </c>
      <c r="D974" s="15">
        <f ca="1">VLOOKUP(B974,'ALL DATABASES'!$A$1:$T$2252,5,FALSE)</f>
        <v>2022</v>
      </c>
      <c r="E974" s="15">
        <f ca="1">VLOOKUP(B974,'ALL DATABASES'!$A$1:$T$2252,10,FALSE)</f>
        <v>2022</v>
      </c>
      <c r="F974" s="54" t="str">
        <f ca="1">VLOOKUP(B974,'ALL DATABASES'!$A$1:$T$2252,14,FALSE)</f>
        <v>https://www.scopus.com/inward/record.uri?eid=2-s2.0-85135860301&amp;doi=10.1007%2fs11280-022-01087-2&amp;partnerID=40&amp;md5=5746eca924cd50933c0b438f7a8f8bae;http://dx.doi.org/10.1007/s11280-022-01087-2</v>
      </c>
      <c r="G974" s="15" t="str">
        <f ca="1">VLOOKUP(B974,'ALL DATABASES'!$A$1:$T$2252,3,FALSE)</f>
        <v>Journal Article</v>
      </c>
      <c r="H974" s="50" t="str">
        <f ca="1">VLOOKUP(B974,'ALL DATABASES'!$A$1:$T$2252,20,FALSE)</f>
        <v>SCOPUS</v>
      </c>
    </row>
    <row r="975" spans="1:8" ht="12.75" x14ac:dyDescent="0.2">
      <c r="A975">
        <v>974</v>
      </c>
      <c r="B975" s="15" t="str">
        <f ca="1">IFERROR(__xludf.DUMMYFUNCTION("""COMPUTED_VALUE"""),"Jonathan Lenaghan")</f>
        <v>Jonathan Lenaghan</v>
      </c>
      <c r="C975" s="15" t="str">
        <f ca="1">VLOOKUP(B975,'ALL DATABASES'!$A$1:$T$2252,2,FALSE)</f>
        <v>Sebastian Gutierrez</v>
      </c>
      <c r="D975" s="15">
        <f ca="1">VLOOKUP(B975,'ALL DATABASES'!$A$1:$T$2252,5,FALSE)</f>
        <v>2014</v>
      </c>
      <c r="E975" s="15">
        <f ca="1">VLOOKUP(B975,'ALL DATABASES'!$A$1:$T$2252,10,FALSE)</f>
        <v>0</v>
      </c>
      <c r="F975" s="54" t="str">
        <f ca="1">VLOOKUP(B975,'ALL DATABASES'!$A$1:$T$2252,14,FALSE)</f>
        <v>http://link.springer.com/chapter/10.1007/978-1-4302-6599-3_9</v>
      </c>
      <c r="G975" s="15" t="str">
        <f ca="1">VLOOKUP(B975,'ALL DATABASES'!$A$1:$T$2252,3,FALSE)</f>
        <v>Chapter</v>
      </c>
      <c r="H975" s="50" t="str">
        <f ca="1">VLOOKUP(B975,'ALL DATABASES'!$A$1:$T$2252,20,FALSE)</f>
        <v>SPRINGER</v>
      </c>
    </row>
    <row r="976" spans="1:8" ht="12.75" x14ac:dyDescent="0.2">
      <c r="A976">
        <v>975</v>
      </c>
      <c r="B976" s="15" t="str">
        <f ca="1">IFERROR(__xludf.DUMMYFUNCTION("""COMPUTED_VALUE"""),"Journey towards agility: Three decades of research on agile information systems development")</f>
        <v>Journey towards agility: Three decades of research on agile information systems development</v>
      </c>
      <c r="C976" s="15" t="str">
        <f ca="1">VLOOKUP(B976,'ALL DATABASES'!$A$1:$T$2252,2,FALSE)</f>
        <v>Diegmann P,Binzer B,Dreesen T,Rosenkranz C</v>
      </c>
      <c r="D976" s="15">
        <f ca="1">VLOOKUP(B976,'ALL DATABASES'!$A$1:$T$2252,5,FALSE)</f>
        <v>2018</v>
      </c>
      <c r="E976" s="15">
        <f ca="1">VLOOKUP(B976,'ALL DATABASES'!$A$1:$T$2252,10,FALSE)</f>
        <v>2018</v>
      </c>
      <c r="F976" s="54" t="str">
        <f ca="1">VLOOKUP(B976,'ALL DATABASES'!$A$1:$T$2252,14,FALSE)</f>
        <v>https://www.scopus.com/inward/record.uri?eid=2-s2.0-85062505759&amp;partnerID=40&amp;md5=636a61064499fcd05da9d69617d70c0d</v>
      </c>
      <c r="G976" s="15" t="str">
        <f ca="1">VLOOKUP(B976,'ALL DATABASES'!$A$1:$T$2252,3,FALSE)</f>
        <v>Conference Paper</v>
      </c>
      <c r="H976" s="50" t="str">
        <f ca="1">VLOOKUP(B976,'ALL DATABASES'!$A$1:$T$2252,20,FALSE)</f>
        <v>SCOPUS</v>
      </c>
    </row>
    <row r="977" spans="1:8" ht="12.75" x14ac:dyDescent="0.2">
      <c r="A977">
        <v>976</v>
      </c>
      <c r="B977" s="15" t="str">
        <f ca="1">IFERROR(__xludf.DUMMYFUNCTION("""COMPUTED_VALUE"""),"Just-in-time software vulnerability detection: Are we there yet?")</f>
        <v>Just-in-time software vulnerability detection: Are we there yet?</v>
      </c>
      <c r="C977" s="15" t="str">
        <f ca="1">VLOOKUP(B977,'ALL DATABASES'!$A$1:$T$2252,2,FALSE)</f>
        <v>Lomio F,Iannone E,De Lucia A,Palomba F,Lenarduzzi V</v>
      </c>
      <c r="D977" s="15">
        <f ca="1">VLOOKUP(B977,'ALL DATABASES'!$A$1:$T$2252,5,FALSE)</f>
        <v>2022</v>
      </c>
      <c r="E977" s="15">
        <f ca="1">VLOOKUP(B977,'ALL DATABASES'!$A$1:$T$2252,10,FALSE)</f>
        <v>2022</v>
      </c>
      <c r="F977" s="54" t="str">
        <f ca="1">VLOOKUP(B977,'ALL DATABASES'!$A$1:$T$2252,14,FALSE)</f>
        <v>https://www.sciencedirect.com/science/article/pii/S0164121222000437;http://dx.doi.org/10.1016/j.jss.2022.111283</v>
      </c>
      <c r="G977" s="15" t="str">
        <f ca="1">VLOOKUP(B977,'ALL DATABASES'!$A$1:$T$2252,3,FALSE)</f>
        <v>Journal Article</v>
      </c>
      <c r="H977" s="50" t="str">
        <f ca="1">VLOOKUP(B977,'ALL DATABASES'!$A$1:$T$2252,20,FALSE)</f>
        <v>SCIENCEDIRECT</v>
      </c>
    </row>
    <row r="978" spans="1:8" ht="12.75" x14ac:dyDescent="0.2">
      <c r="A978">
        <v>977</v>
      </c>
      <c r="B978" s="15" t="str">
        <f ca="1">IFERROR(__xludf.DUMMYFUNCTION("""COMPUTED_VALUE"""),"Keystone ML: Optimizing pipelines for large-scale advanced analytics")</f>
        <v>Keystone ML: Optimizing pipelines for large-scale advanced analytics</v>
      </c>
      <c r="C978" s="15" t="str">
        <f ca="1">VLOOKUP(B978,'ALL DATABASES'!$A$1:$T$2252,2,FALSE)</f>
        <v>Sparks ER,Venkataraman S,Kaftan T,Franklin MJ,Recht B</v>
      </c>
      <c r="D978" s="15">
        <f ca="1">VLOOKUP(B978,'ALL DATABASES'!$A$1:$T$2252,5,FALSE)</f>
        <v>2017</v>
      </c>
      <c r="E978" s="15">
        <f ca="1">VLOOKUP(B978,'ALL DATABASES'!$A$1:$T$2252,10,FALSE)</f>
        <v>2017</v>
      </c>
      <c r="F978" s="54" t="str">
        <f ca="1">VLOOKUP(B978,'ALL DATABASES'!$A$1:$T$2252,14,FALSE)</f>
        <v>https://www.scopus.com/inward/record.uri?eid=2-s2.0-85021234082&amp;doi=10.1109%2fICDE.2017.109&amp;partnerID=40&amp;md5=1e7891b987436b8db39d3d8fb42b9c70;http://dx.doi.org/10.1109/ICDE.2017.109</v>
      </c>
      <c r="G978" s="15" t="str">
        <f ca="1">VLOOKUP(B978,'ALL DATABASES'!$A$1:$T$2252,3,FALSE)</f>
        <v>Conference Paper</v>
      </c>
      <c r="H978" s="50" t="str">
        <f ca="1">VLOOKUP(B978,'ALL DATABASES'!$A$1:$T$2252,20,FALSE)</f>
        <v>SCOPUS</v>
      </c>
    </row>
    <row r="979" spans="1:8" ht="12.75" x14ac:dyDescent="0.2">
      <c r="A979">
        <v>978</v>
      </c>
      <c r="B979" s="15" t="str">
        <f ca="1">IFERROR(__xludf.DUMMYFUNCTION("""COMPUTED_VALUE"""),"KI in Marketing &amp; Sales â€“ Erfolgsmodelle aus Forschung und Praxis")</f>
        <v>KI in Marketing &amp; Sales â€“ Erfolgsmodelle aus Forschung und Praxis</v>
      </c>
      <c r="C979" s="15" t="str">
        <f ca="1">VLOOKUP(B979,'ALL DATABASES'!$A$1:$T$2252,2,FALSE)</f>
        <v>Prof. Dr. Meike Terstiege</v>
      </c>
      <c r="D979" s="15">
        <f ca="1">VLOOKUP(B979,'ALL DATABASES'!$A$1:$T$2252,5,FALSE)</f>
        <v>2021</v>
      </c>
      <c r="E979" s="15">
        <f ca="1">VLOOKUP(B979,'ALL DATABASES'!$A$1:$T$2252,10,FALSE)</f>
        <v>0</v>
      </c>
      <c r="F979" s="54" t="str">
        <f ca="1">VLOOKUP(B979,'ALL DATABASES'!$A$1:$T$2252,14,FALSE)</f>
        <v>http://link.springer.com/book/10.1007/978-3-658-31519-1</v>
      </c>
      <c r="G979" s="15" t="str">
        <f ca="1">VLOOKUP(B979,'ALL DATABASES'!$A$1:$T$2252,3,FALSE)</f>
        <v>Book</v>
      </c>
      <c r="H979" s="50" t="str">
        <f ca="1">VLOOKUP(B979,'ALL DATABASES'!$A$1:$T$2252,20,FALSE)</f>
        <v>SPRINGER</v>
      </c>
    </row>
    <row r="980" spans="1:8" ht="12.75" x14ac:dyDescent="0.2">
      <c r="A980">
        <v>979</v>
      </c>
      <c r="B980" s="15" t="str">
        <f ca="1">IFERROR(__xludf.DUMMYFUNCTION("""COMPUTED_VALUE"""),"KI-Engineering – AI Systems Engineering")</f>
        <v>KI-Engineering – AI Systems Engineering</v>
      </c>
      <c r="C980" s="15" t="str">
        <f ca="1">VLOOKUP(B980,'ALL DATABASES'!$A$1:$T$2252,2,FALSE)</f>
        <v>Pfrommer J,Usländer T,Beyerer J</v>
      </c>
      <c r="D980" s="15">
        <f ca="1">VLOOKUP(B980,'ALL DATABASES'!$A$1:$T$2252,5,FALSE)</f>
        <v>2022</v>
      </c>
      <c r="E980" s="15">
        <f ca="1">VLOOKUP(B980,'ALL DATABASES'!$A$1:$T$2252,10,FALSE)</f>
        <v>2022</v>
      </c>
      <c r="F980" s="54" t="str">
        <f ca="1">VLOOKUP(B980,'ALL DATABASES'!$A$1:$T$2252,14,FALSE)</f>
        <v>https://www.scopus.com/inward/record.uri?eid=2-s2.0-85139069929&amp;doi=10.1515%2fauto-2022-0076&amp;partnerID=40&amp;md5=9320f12cb22195680926acd268700a72;http://dx.doi.org/10.1515/auto-2022-0076</v>
      </c>
      <c r="G980" s="15" t="str">
        <f ca="1">VLOOKUP(B980,'ALL DATABASES'!$A$1:$T$2252,3,FALSE)</f>
        <v>Journal Article</v>
      </c>
      <c r="H980" s="50" t="str">
        <f ca="1">VLOOKUP(B980,'ALL DATABASES'!$A$1:$T$2252,20,FALSE)</f>
        <v>SCOPUS</v>
      </c>
    </row>
    <row r="981" spans="1:8" ht="12.75" x14ac:dyDescent="0.2">
      <c r="A981">
        <v>980</v>
      </c>
      <c r="B981" s="15" t="str">
        <f ca="1">IFERROR(__xludf.DUMMYFUNCTION("""COMPUTED_VALUE"""),"Know-How in Programming Tasks: From Textual Tutorials to Task-Oriented Knowledge Graph")</f>
        <v>Know-How in Programming Tasks: From Textual Tutorials to Task-Oriented Knowledge Graph</v>
      </c>
      <c r="C981" s="15" t="str">
        <f ca="1">VLOOKUP(B981,'ALL DATABASES'!$A$1:$T$2252,2,FALSE)</f>
        <v>Sun J,Xing Z,Chu R,Bai H,Wang J,Peng X</v>
      </c>
      <c r="D981" s="15">
        <f ca="1">VLOOKUP(B981,'ALL DATABASES'!$A$1:$T$2252,5,FALSE)</f>
        <v>2019</v>
      </c>
      <c r="E981" s="15">
        <f ca="1">VLOOKUP(B981,'ALL DATABASES'!$A$1:$T$2252,10,FALSE)</f>
        <v>2019</v>
      </c>
      <c r="F981" s="54" t="str">
        <f ca="1">VLOOKUP(B981,'ALL DATABASES'!$A$1:$T$2252,14,FALSE)</f>
        <v>https://www.scopus.com/inward/record.uri?eid=2-s2.0-85077200772&amp;doi=10.1109%2fICSME.2019.00039&amp;partnerID=40&amp;md5=bc8feace6ae2a725fd69231f8ae76e07;http://dx.doi.org/10.1109/ICSME.2019.00039</v>
      </c>
      <c r="G981" s="15" t="str">
        <f ca="1">VLOOKUP(B981,'ALL DATABASES'!$A$1:$T$2252,3,FALSE)</f>
        <v>Conference Paper</v>
      </c>
      <c r="H981" s="50" t="str">
        <f ca="1">VLOOKUP(B981,'ALL DATABASES'!$A$1:$T$2252,20,FALSE)</f>
        <v>SCOPUS</v>
      </c>
    </row>
    <row r="982" spans="1:8" ht="12.75" x14ac:dyDescent="0.2">
      <c r="A982">
        <v>981</v>
      </c>
      <c r="B982" s="15" t="str">
        <f ca="1">IFERROR(__xludf.DUMMYFUNCTION("""COMPUTED_VALUE"""),"Knowledge diffusion trajectories of agile software development research: A main path analysis")</f>
        <v>Knowledge diffusion trajectories of agile software development research: A main path analysis</v>
      </c>
      <c r="C982" s="15" t="str">
        <f ca="1">VLOOKUP(B982,'ALL DATABASES'!$A$1:$T$2252,2,FALSE)</f>
        <v>Palopak Y,Huang SJ,Ratnasari W</v>
      </c>
      <c r="D982" s="15">
        <f ca="1">VLOOKUP(B982,'ALL DATABASES'!$A$1:$T$2252,5,FALSE)</f>
        <v>2023</v>
      </c>
      <c r="E982" s="15">
        <f ca="1">VLOOKUP(B982,'ALL DATABASES'!$A$1:$T$2252,10,FALSE)</f>
        <v>2023</v>
      </c>
      <c r="F982" s="54" t="str">
        <f ca="1">VLOOKUP(B982,'ALL DATABASES'!$A$1:$T$2252,14,FALSE)</f>
        <v>https://www.sciencedirect.com/science/article/pii/S0950584922002403;http://dx.doi.org/10.1016/j.infsof.2022.107131</v>
      </c>
      <c r="G982" s="15" t="str">
        <f ca="1">VLOOKUP(B982,'ALL DATABASES'!$A$1:$T$2252,3,FALSE)</f>
        <v>Journal Article</v>
      </c>
      <c r="H982" s="50" t="str">
        <f ca="1">VLOOKUP(B982,'ALL DATABASES'!$A$1:$T$2252,20,FALSE)</f>
        <v>SCIENCEDIRECT</v>
      </c>
    </row>
    <row r="983" spans="1:8" ht="12.75" x14ac:dyDescent="0.2">
      <c r="A983">
        <v>982</v>
      </c>
      <c r="B983" s="15" t="str">
        <f ca="1">IFERROR(__xludf.DUMMYFUNCTION("""COMPUTED_VALUE"""),"Knowledge transfer in modern code review")</f>
        <v>Knowledge transfer in modern code review</v>
      </c>
      <c r="C983" s="15" t="str">
        <f ca="1">VLOOKUP(B983,'ALL DATABASES'!$A$1:$T$2252,2,FALSE)</f>
        <v>Caulo M,Lin B,Bavota G,Scanniello G,Lanza M</v>
      </c>
      <c r="D983" s="15">
        <f ca="1">VLOOKUP(B983,'ALL DATABASES'!$A$1:$T$2252,5,FALSE)</f>
        <v>2020</v>
      </c>
      <c r="E983" s="15">
        <f ca="1">VLOOKUP(B983,'ALL DATABASES'!$A$1:$T$2252,10,FALSE)</f>
        <v>2020</v>
      </c>
      <c r="F983" s="54" t="str">
        <f ca="1">VLOOKUP(B983,'ALL DATABASES'!$A$1:$T$2252,14,FALSE)</f>
        <v>https://www.scopus.com/inward/record.uri?eid=2-s2.0-85091922666&amp;doi=10.1145%2f3387904.3389270&amp;partnerID=40&amp;md5=ffc68e239ccf6dfd7170b6e2a40e405c;http://dx.doi.org/10.1145/3387904.3389270</v>
      </c>
      <c r="G983" s="15" t="str">
        <f ca="1">VLOOKUP(B983,'ALL DATABASES'!$A$1:$T$2252,3,FALSE)</f>
        <v>Conference Paper</v>
      </c>
      <c r="H983" s="50" t="str">
        <f ca="1">VLOOKUP(B983,'ALL DATABASES'!$A$1:$T$2252,20,FALSE)</f>
        <v>SCOPUS</v>
      </c>
    </row>
    <row r="984" spans="1:8" ht="12.75" x14ac:dyDescent="0.2">
      <c r="A984">
        <v>983</v>
      </c>
      <c r="B984" s="15" t="str">
        <f ca="1">IFERROR(__xludf.DUMMYFUNCTION("""COMPUTED_VALUE"""),"Kode_Stylers: Author identification through naturalness of code: An ensemble approach")</f>
        <v>Kode_Stylers: Author identification through naturalness of code: An ensemble approach</v>
      </c>
      <c r="C984" s="15" t="str">
        <f ca="1">VLOOKUP(B984,'ALL DATABASES'!$A$1:$T$2252,2,FALSE)</f>
        <v>Sriiesaranusorn P,Wattanakriengkrai S,Son T,Tanaka T,Wiraatmaja C,Ishio T,Kula RG</v>
      </c>
      <c r="D984" s="15">
        <f ca="1">VLOOKUP(B984,'ALL DATABASES'!$A$1:$T$2252,5,FALSE)</f>
        <v>2020</v>
      </c>
      <c r="E984" s="15">
        <f ca="1">VLOOKUP(B984,'ALL DATABASES'!$A$1:$T$2252,10,FALSE)</f>
        <v>2020</v>
      </c>
      <c r="F984" s="54" t="str">
        <f ca="1">VLOOKUP(B984,'ALL DATABASES'!$A$1:$T$2252,14,FALSE)</f>
        <v>https://www.scopus.com/inward/record.uri?eid=2-s2.0-85102945976&amp;partnerID=40&amp;md5=b644e0188e4b966d56705452c75dc58a</v>
      </c>
      <c r="G984" s="15" t="str">
        <f ca="1">VLOOKUP(B984,'ALL DATABASES'!$A$1:$T$2252,3,FALSE)</f>
        <v>Conference Paper</v>
      </c>
      <c r="H984" s="50" t="str">
        <f ca="1">VLOOKUP(B984,'ALL DATABASES'!$A$1:$T$2252,20,FALSE)</f>
        <v>SCOPUS</v>
      </c>
    </row>
    <row r="985" spans="1:8" ht="12.75" x14ac:dyDescent="0.2">
      <c r="A985">
        <v>984</v>
      </c>
      <c r="B985" s="15" t="str">
        <f ca="1">IFERROR(__xludf.DUMMYFUNCTION("""COMPUTED_VALUE"""),"KPI’s for Evaluation of DevOps Teams")</f>
        <v>KPI’s for Evaluation of DevOps Teams</v>
      </c>
      <c r="C985" s="15" t="str">
        <f ca="1">VLOOKUP(B985,'ALL DATABASES'!$A$1:$T$2252,2,FALSE)</f>
        <v>Gomes M,Pereira R,Silva M,de Vasconcelos JB,Rocha Á</v>
      </c>
      <c r="D985" s="15">
        <f ca="1">VLOOKUP(B985,'ALL DATABASES'!$A$1:$T$2252,5,FALSE)</f>
        <v>2022</v>
      </c>
      <c r="E985" s="15">
        <f ca="1">VLOOKUP(B985,'ALL DATABASES'!$A$1:$T$2252,10,FALSE)</f>
        <v>2022</v>
      </c>
      <c r="F985" s="54" t="str">
        <f ca="1">VLOOKUP(B985,'ALL DATABASES'!$A$1:$T$2252,14,FALSE)</f>
        <v>https://www.scopus.com/inward/record.uri?eid=2-s2.0-85130230261&amp;doi=10.1007%2f978-3-031-04829-6_13&amp;partnerID=40&amp;md5=fa7d3f8c0353bd6e3bfe56c6fcee07df;http://dx.doi.org/10.1007/978-3-031-04829-6_13</v>
      </c>
      <c r="G985" s="15" t="str">
        <f ca="1">VLOOKUP(B985,'ALL DATABASES'!$A$1:$T$2252,3,FALSE)</f>
        <v>Journal Article</v>
      </c>
      <c r="H985" s="50" t="str">
        <f ca="1">VLOOKUP(B985,'ALL DATABASES'!$A$1:$T$2252,20,FALSE)</f>
        <v>SCOPUS</v>
      </c>
    </row>
    <row r="986" spans="1:8" ht="12.75" x14ac:dyDescent="0.2">
      <c r="A986">
        <v>985</v>
      </c>
      <c r="B986" s="15" t="str">
        <f ca="1">IFERROR(__xludf.DUMMYFUNCTION("""COMPUTED_VALUE"""),"Large scale distributed neural network training through online distillation")</f>
        <v>Large scale distributed neural network training through online distillation</v>
      </c>
      <c r="C986" s="15" t="str">
        <f ca="1">VLOOKUP(B986,'ALL DATABASES'!$A$1:$T$2252,2,FALSE)</f>
        <v>Anil R,Pereyra G,Passos A,Ormandi R,Dahl GE,Hinton GE</v>
      </c>
      <c r="D986" s="15">
        <f ca="1">VLOOKUP(B986,'ALL DATABASES'!$A$1:$T$2252,5,FALSE)</f>
        <v>2018</v>
      </c>
      <c r="E986" s="15">
        <f ca="1">VLOOKUP(B986,'ALL DATABASES'!$A$1:$T$2252,10,FALSE)</f>
        <v>2018</v>
      </c>
      <c r="F986" s="54" t="str">
        <f ca="1">VLOOKUP(B986,'ALL DATABASES'!$A$1:$T$2252,14,FALSE)</f>
        <v>https://www.scopus.com/inward/record.uri?eid=2-s2.0-85083954471&amp;partnerID=40&amp;md5=446c71b9443bcdefa6ad28aa652b3d0d</v>
      </c>
      <c r="G986" s="15" t="str">
        <f ca="1">VLOOKUP(B986,'ALL DATABASES'!$A$1:$T$2252,3,FALSE)</f>
        <v>Conference Paper</v>
      </c>
      <c r="H986" s="50" t="str">
        <f ca="1">VLOOKUP(B986,'ALL DATABASES'!$A$1:$T$2252,20,FALSE)</f>
        <v>SCOPUS</v>
      </c>
    </row>
    <row r="987" spans="1:8" ht="12.75" x14ac:dyDescent="0.2">
      <c r="A987">
        <v>986</v>
      </c>
      <c r="B987" s="15" t="str">
        <f ca="1">IFERROR(__xludf.DUMMYFUNCTION("""COMPUTED_VALUE"""),"Large-scale machine learning systems in real-world industrial settings: A review of challenges and solutions")</f>
        <v>Large-scale machine learning systems in real-world industrial settings: A review of challenges and solutions</v>
      </c>
      <c r="C987" s="15" t="str">
        <f ca="1">VLOOKUP(B987,'ALL DATABASES'!$A$1:$T$2252,2,FALSE)</f>
        <v>Lwakatare LE,Raj A,Crnkovic I,Bosch J,Olsson HH</v>
      </c>
      <c r="D987" s="15">
        <f ca="1">VLOOKUP(B987,'ALL DATABASES'!$A$1:$T$2252,5,FALSE)</f>
        <v>2020</v>
      </c>
      <c r="E987" s="15">
        <f ca="1">VLOOKUP(B987,'ALL DATABASES'!$A$1:$T$2252,10,FALSE)</f>
        <v>2020</v>
      </c>
      <c r="F987" s="54" t="str">
        <f ca="1">VLOOKUP(B987,'ALL DATABASES'!$A$1:$T$2252,14,FALSE)</f>
        <v>https://www.sciencedirect.com/science/article/pii/S0950584920301373;http://dx.doi.org/10.1016/j.infsof.2020.106368</v>
      </c>
      <c r="G987" s="15" t="str">
        <f ca="1">VLOOKUP(B987,'ALL DATABASES'!$A$1:$T$2252,3,FALSE)</f>
        <v>Journal Article</v>
      </c>
      <c r="H987" s="50" t="str">
        <f ca="1">VLOOKUP(B987,'ALL DATABASES'!$A$1:$T$2252,20,FALSE)</f>
        <v>SCIENCEDIRECT</v>
      </c>
    </row>
    <row r="988" spans="1:8" ht="12.75" x14ac:dyDescent="0.2">
      <c r="A988">
        <v>987</v>
      </c>
      <c r="B988" s="15" t="str">
        <f ca="1">IFERROR(__xludf.DUMMYFUNCTION("""COMPUTED_VALUE"""),"Lean and Agile Software Development")</f>
        <v>Lean and Agile Software Development</v>
      </c>
      <c r="C988" s="15" t="str">
        <f ca="1">VLOOKUP(B988,'ALL DATABASES'!$A$1:$T$2252,2,FALSE)</f>
        <v>Adam PrzybyÅ‚ekAleksander JarzÄ™bowiczIvan LukoviÄ‡Yen Ying Ng</v>
      </c>
      <c r="D988" s="15">
        <f ca="1">VLOOKUP(B988,'ALL DATABASES'!$A$1:$T$2252,5,FALSE)</f>
        <v>2022</v>
      </c>
      <c r="E988" s="15">
        <f ca="1">VLOOKUP(B988,'ALL DATABASES'!$A$1:$T$2252,10,FALSE)</f>
        <v>0</v>
      </c>
      <c r="F988" s="54" t="str">
        <f ca="1">VLOOKUP(B988,'ALL DATABASES'!$A$1:$T$2252,14,FALSE)</f>
        <v>http://link.springer.com/book/10.1007/978-3-030-94238-0</v>
      </c>
      <c r="G988" s="15" t="str">
        <f ca="1">VLOOKUP(B988,'ALL DATABASES'!$A$1:$T$2252,3,FALSE)</f>
        <v>Book</v>
      </c>
      <c r="H988" s="50" t="str">
        <f ca="1">VLOOKUP(B988,'ALL DATABASES'!$A$1:$T$2252,20,FALSE)</f>
        <v>SPRINGER</v>
      </c>
    </row>
    <row r="989" spans="1:8" ht="12.75" x14ac:dyDescent="0.2">
      <c r="A989">
        <v>988</v>
      </c>
      <c r="B989" s="15" t="str">
        <f ca="1">IFERROR(__xludf.DUMMYFUNCTION("""COMPUTED_VALUE"""),"Lean Thinking")</f>
        <v>Lean Thinking</v>
      </c>
      <c r="C989" s="15" t="str">
        <f ca="1">VLOOKUP(B989,'ALL DATABASES'!$A$1:$T$2252,2,FALSE)</f>
        <v>Harvinder Atwal</v>
      </c>
      <c r="D989" s="15">
        <f ca="1">VLOOKUP(B989,'ALL DATABASES'!$A$1:$T$2252,5,FALSE)</f>
        <v>2020</v>
      </c>
      <c r="E989" s="15">
        <f ca="1">VLOOKUP(B989,'ALL DATABASES'!$A$1:$T$2252,10,FALSE)</f>
        <v>0</v>
      </c>
      <c r="F989" s="54" t="str">
        <f ca="1">VLOOKUP(B989,'ALL DATABASES'!$A$1:$T$2252,14,FALSE)</f>
        <v>http://link.springer.com/chapter/10.1007/978-1-4842-5104-1_3</v>
      </c>
      <c r="G989" s="15" t="str">
        <f ca="1">VLOOKUP(B989,'ALL DATABASES'!$A$1:$T$2252,3,FALSE)</f>
        <v>Chapter</v>
      </c>
      <c r="H989" s="50" t="str">
        <f ca="1">VLOOKUP(B989,'ALL DATABASES'!$A$1:$T$2252,20,FALSE)</f>
        <v>SPRINGER</v>
      </c>
    </row>
    <row r="990" spans="1:8" ht="12.75" x14ac:dyDescent="0.2">
      <c r="A990">
        <v>989</v>
      </c>
      <c r="B990" s="15" t="str">
        <f ca="1">IFERROR(__xludf.DUMMYFUNCTION("""COMPUTED_VALUE"""),"Learning from optimization: A case study with apache ant")</f>
        <v>Learning from optimization: A case study with apache ant</v>
      </c>
      <c r="C990" s="15" t="str">
        <f ca="1">VLOOKUP(B990,'ALL DATABASES'!$A$1:$T$2252,2,FALSE)</f>
        <v>De Oliveira Barros M,De Almeida Farzat F,Travassos GH</v>
      </c>
      <c r="D990" s="15">
        <f ca="1">VLOOKUP(B990,'ALL DATABASES'!$A$1:$T$2252,5,FALSE)</f>
        <v>2015</v>
      </c>
      <c r="E990" s="15">
        <f ca="1">VLOOKUP(B990,'ALL DATABASES'!$A$1:$T$2252,10,FALSE)</f>
        <v>2015</v>
      </c>
      <c r="F990" s="54" t="str">
        <f ca="1">VLOOKUP(B990,'ALL DATABASES'!$A$1:$T$2252,14,FALSE)</f>
        <v>https://www.scopus.com/inward/record.uri?eid=2-s2.0-85027940986&amp;doi=10.1016%2fj.infsof.2014.07.015&amp;partnerID=40&amp;md5=d8607dcf354e5e19c2159057eb8c9b80;http://dx.doi.org/10.1016/j.infsof.2014.07.015</v>
      </c>
      <c r="G990" s="15" t="str">
        <f ca="1">VLOOKUP(B990,'ALL DATABASES'!$A$1:$T$2252,3,FALSE)</f>
        <v>Journal Article</v>
      </c>
      <c r="H990" s="50" t="str">
        <f ca="1">VLOOKUP(B990,'ALL DATABASES'!$A$1:$T$2252,20,FALSE)</f>
        <v>SCOPUS</v>
      </c>
    </row>
    <row r="991" spans="1:8" ht="12.75" x14ac:dyDescent="0.2">
      <c r="A991">
        <v>990</v>
      </c>
      <c r="B991" s="15" t="str">
        <f ca="1">IFERROR(__xludf.DUMMYFUNCTION("""COMPUTED_VALUE"""),"Learning in the Digital Era")</f>
        <v>Learning in the Digital Era</v>
      </c>
      <c r="C991" s="15" t="str">
        <f ca="1">VLOOKUP(B991,'ALL DATABASES'!$A$1:$T$2252,2,FALSE)</f>
        <v>Daryl John PowellDr. Erlend AlfnesMarte D. Q. HolmemoEivind Reke</v>
      </c>
      <c r="D991" s="15">
        <f ca="1">VLOOKUP(B991,'ALL DATABASES'!$A$1:$T$2252,5,FALSE)</f>
        <v>2021</v>
      </c>
      <c r="E991" s="15">
        <f ca="1">VLOOKUP(B991,'ALL DATABASES'!$A$1:$T$2252,10,FALSE)</f>
        <v>0</v>
      </c>
      <c r="F991" s="54" t="str">
        <f ca="1">VLOOKUP(B991,'ALL DATABASES'!$A$1:$T$2252,14,FALSE)</f>
        <v>http://link.springer.com/book/10.1007/978-3-030-92934-3</v>
      </c>
      <c r="G991" s="15" t="str">
        <f ca="1">VLOOKUP(B991,'ALL DATABASES'!$A$1:$T$2252,3,FALSE)</f>
        <v>Book</v>
      </c>
      <c r="H991" s="50" t="str">
        <f ca="1">VLOOKUP(B991,'ALL DATABASES'!$A$1:$T$2252,20,FALSE)</f>
        <v>SPRINGER</v>
      </c>
    </row>
    <row r="992" spans="1:8" ht="12.75" x14ac:dyDescent="0.2">
      <c r="A992">
        <v>991</v>
      </c>
      <c r="B992" s="15" t="str">
        <f ca="1">IFERROR(__xludf.DUMMYFUNCTION("""COMPUTED_VALUE"""),"Learning to detect community smells in open source software projects")</f>
        <v>Learning to detect community smells in open source software projects</v>
      </c>
      <c r="C992" s="15" t="str">
        <f ca="1">VLOOKUP(B992,'ALL DATABASES'!$A$1:$T$2252,2,FALSE)</f>
        <v>Almarimi N,Ouni A,Mkaouer MW</v>
      </c>
      <c r="D992" s="15">
        <f ca="1">VLOOKUP(B992,'ALL DATABASES'!$A$1:$T$2252,5,FALSE)</f>
        <v>2020</v>
      </c>
      <c r="E992" s="15">
        <f ca="1">VLOOKUP(B992,'ALL DATABASES'!$A$1:$T$2252,10,FALSE)</f>
        <v>2020</v>
      </c>
      <c r="F992" s="54" t="str">
        <f ca="1">VLOOKUP(B992,'ALL DATABASES'!$A$1:$T$2252,14,FALSE)</f>
        <v>https://www.sciencedirect.com/science/article/pii/S0950705120304226;http://dx.doi.org/10.1016/j.knosys.2020.106201</v>
      </c>
      <c r="G992" s="15" t="str">
        <f ca="1">VLOOKUP(B992,'ALL DATABASES'!$A$1:$T$2252,3,FALSE)</f>
        <v>Journal Article</v>
      </c>
      <c r="H992" s="50" t="str">
        <f ca="1">VLOOKUP(B992,'ALL DATABASES'!$A$1:$T$2252,20,FALSE)</f>
        <v>SCIENCEDIRECT</v>
      </c>
    </row>
    <row r="993" spans="1:8" ht="12.75" x14ac:dyDescent="0.2">
      <c r="A993">
        <v>992</v>
      </c>
      <c r="B993" s="15" t="str">
        <f ca="1">IFERROR(__xludf.DUMMYFUNCTION("""COMPUTED_VALUE"""),"Learning to rank developers for bug report assignment")</f>
        <v>Learning to rank developers for bug report assignment</v>
      </c>
      <c r="C993" s="15" t="str">
        <f ca="1">VLOOKUP(B993,'ALL DATABASES'!$A$1:$T$2252,2,FALSE)</f>
        <v>Alkhazi B,DiStasi A,Aljedaani W,Alrubaye H,Ye X,Mkaouer MW</v>
      </c>
      <c r="D993" s="15">
        <f ca="1">VLOOKUP(B993,'ALL DATABASES'!$A$1:$T$2252,5,FALSE)</f>
        <v>2020</v>
      </c>
      <c r="E993" s="15">
        <f ca="1">VLOOKUP(B993,'ALL DATABASES'!$A$1:$T$2252,10,FALSE)</f>
        <v>2020</v>
      </c>
      <c r="F993" s="54" t="str">
        <f ca="1">VLOOKUP(B993,'ALL DATABASES'!$A$1:$T$2252,14,FALSE)</f>
        <v>https://www.scopus.com/inward/record.uri?eid=2-s2.0-85090834563&amp;doi=10.1016%2fj.asoc.2020.106667&amp;partnerID=40&amp;md5=5be5bbaf90cecc5dfebc12710d37aed8;http://dx.doi.org/10.1016/j.asoc.2020.106667</v>
      </c>
      <c r="G993" s="15" t="str">
        <f ca="1">VLOOKUP(B993,'ALL DATABASES'!$A$1:$T$2252,3,FALSE)</f>
        <v>Journal Article</v>
      </c>
      <c r="H993" s="50" t="str">
        <f ca="1">VLOOKUP(B993,'ALL DATABASES'!$A$1:$T$2252,20,FALSE)</f>
        <v>SCOPUS</v>
      </c>
    </row>
    <row r="994" spans="1:8" ht="12.75" x14ac:dyDescent="0.2">
      <c r="A994">
        <v>993</v>
      </c>
      <c r="B994" s="15" t="str">
        <f ca="1">IFERROR(__xludf.DUMMYFUNCTION("""COMPUTED_VALUE"""),"Legal and Ethical Challenges of Artificial Intelligence from an International Law Perspective")</f>
        <v>Legal and Ethical Challenges of Artificial Intelligence from an International Law Perspective</v>
      </c>
      <c r="C994" s="15" t="str">
        <f ca="1">VLOOKUP(B994,'ALL DATABASES'!$A$1:$T$2252,2,FALSE)</f>
        <v>Themistoklis Tzimas</v>
      </c>
      <c r="D994" s="15">
        <f ca="1">VLOOKUP(B994,'ALL DATABASES'!$A$1:$T$2252,5,FALSE)</f>
        <v>2021</v>
      </c>
      <c r="E994" s="15">
        <f ca="1">VLOOKUP(B994,'ALL DATABASES'!$A$1:$T$2252,10,FALSE)</f>
        <v>0</v>
      </c>
      <c r="F994" s="54" t="str">
        <f ca="1">VLOOKUP(B994,'ALL DATABASES'!$A$1:$T$2252,14,FALSE)</f>
        <v>http://link.springer.com/book/10.1007/978-3-030-78585-7</v>
      </c>
      <c r="G994" s="15" t="str">
        <f ca="1">VLOOKUP(B994,'ALL DATABASES'!$A$1:$T$2252,3,FALSE)</f>
        <v>Book</v>
      </c>
      <c r="H994" s="50" t="str">
        <f ca="1">VLOOKUP(B994,'ALL DATABASES'!$A$1:$T$2252,20,FALSE)</f>
        <v>SPRINGER</v>
      </c>
    </row>
    <row r="995" spans="1:8" ht="12.75" x14ac:dyDescent="0.2">
      <c r="A995">
        <v>994</v>
      </c>
      <c r="B995" s="15" t="str">
        <f ca="1">IFERROR(__xludf.DUMMYFUNCTION("""COMPUTED_VALUE"""),"Less is More: From Multi-objective to Mono-objective Refactoring via Developer's Knowledge Extraction")</f>
        <v>Less is More: From Multi-objective to Mono-objective Refactoring via Developer's Knowledge Extraction</v>
      </c>
      <c r="C995" s="15" t="str">
        <f ca="1">VLOOKUP(B995,'ALL DATABASES'!$A$1:$T$2252,2,FALSE)</f>
        <v>Alizadeh V,Fehri H,Kessentini M</v>
      </c>
      <c r="D995" s="15">
        <f ca="1">VLOOKUP(B995,'ALL DATABASES'!$A$1:$T$2252,5,FALSE)</f>
        <v>2019</v>
      </c>
      <c r="E995" s="55">
        <f ca="1">VLOOKUP(B995,'ALL DATABASES'!$A$1:$T$2252,10,FALSE)</f>
        <v>43709</v>
      </c>
      <c r="F995" s="54" t="str">
        <f ca="1">VLOOKUP(B995,'ALL DATABASES'!$A$1:$T$2252,14,FALSE)</f>
        <v>http://dx.doi.org/10.1109/SCAM.2019.00029</v>
      </c>
      <c r="G995" s="15" t="str">
        <f ca="1">VLOOKUP(B995,'ALL DATABASES'!$A$1:$T$2252,3,FALSE)</f>
        <v>Conference Paper</v>
      </c>
      <c r="H995" s="50" t="str">
        <f ca="1">VLOOKUP(B995,'ALL DATABASES'!$A$1:$T$2252,20,FALSE)</f>
        <v>IEEE</v>
      </c>
    </row>
    <row r="996" spans="1:8" ht="12.75" x14ac:dyDescent="0.2">
      <c r="A996">
        <v>995</v>
      </c>
      <c r="B996" s="15" t="str">
        <f ca="1">IFERROR(__xludf.DUMMYFUNCTION("""COMPUTED_VALUE"""),"Less is more: Minimizing code reorganization using XTREE")</f>
        <v>Less is more: Minimizing code reorganization using XTREE</v>
      </c>
      <c r="C996" s="15" t="str">
        <f ca="1">VLOOKUP(B996,'ALL DATABASES'!$A$1:$T$2252,2,FALSE)</f>
        <v>Krishna R,Menzies T,Layman L</v>
      </c>
      <c r="D996" s="15">
        <f ca="1">VLOOKUP(B996,'ALL DATABASES'!$A$1:$T$2252,5,FALSE)</f>
        <v>2017</v>
      </c>
      <c r="E996" s="15">
        <f ca="1">VLOOKUP(B996,'ALL DATABASES'!$A$1:$T$2252,10,FALSE)</f>
        <v>2017</v>
      </c>
      <c r="F996" s="54" t="str">
        <f ca="1">VLOOKUP(B996,'ALL DATABASES'!$A$1:$T$2252,14,FALSE)</f>
        <v>https://www.scopus.com/inward/record.uri?eid=2-s2.0-85016444613&amp;doi=10.1016%2fj.infsof.2017.03.012&amp;partnerID=40&amp;md5=8b759acaa01c5136355d900e55157249;http://dx.doi.org/10.1016/j.infsof.2017.03.012</v>
      </c>
      <c r="G996" s="15" t="str">
        <f ca="1">VLOOKUP(B996,'ALL DATABASES'!$A$1:$T$2252,3,FALSE)</f>
        <v>Journal Article</v>
      </c>
      <c r="H996" s="50" t="str">
        <f ca="1">VLOOKUP(B996,'ALL DATABASES'!$A$1:$T$2252,20,FALSE)</f>
        <v>SCOPUS</v>
      </c>
    </row>
    <row r="997" spans="1:8" ht="12.75" x14ac:dyDescent="0.2">
      <c r="A997">
        <v>996</v>
      </c>
      <c r="B997" s="15" t="str">
        <f ca="1">IFERROR(__xludf.DUMMYFUNCTION("""COMPUTED_VALUE"""),"Lessons Learned from Hyper-Parameter Tuning for Microservice Candidate Identification")</f>
        <v>Lessons Learned from Hyper-Parameter Tuning for Microservice Candidate Identification</v>
      </c>
      <c r="C997" s="15" t="str">
        <f ca="1">VLOOKUP(B997,'ALL DATABASES'!$A$1:$T$2252,2,FALSE)</f>
        <v>Yedida R,Krishna R,Kalia A,Menzies T,Xiao J,Vukovic M</v>
      </c>
      <c r="D997" s="15">
        <f ca="1">VLOOKUP(B997,'ALL DATABASES'!$A$1:$T$2252,5,FALSE)</f>
        <v>2022</v>
      </c>
      <c r="E997" s="15">
        <f ca="1">VLOOKUP(B997,'ALL DATABASES'!$A$1:$T$2252,10,FALSE)</f>
        <v>2022</v>
      </c>
      <c r="F997" s="54" t="str">
        <f ca="1">VLOOKUP(B997,'ALL DATABASES'!$A$1:$T$2252,14,FALSE)</f>
        <v>https://doi.org/10.1109/ASE51524.2021.9678704;http://dx.doi.org/10.1109/ASE51524.2021.9678704</v>
      </c>
      <c r="G997" s="15" t="str">
        <f ca="1">VLOOKUP(B997,'ALL DATABASES'!$A$1:$T$2252,3,FALSE)</f>
        <v>Conference Paper</v>
      </c>
      <c r="H997" s="50" t="str">
        <f ca="1">VLOOKUP(B997,'ALL DATABASES'!$A$1:$T$2252,20,FALSE)</f>
        <v>ACM</v>
      </c>
    </row>
    <row r="998" spans="1:8" ht="12.75" x14ac:dyDescent="0.2">
      <c r="A998">
        <v>997</v>
      </c>
      <c r="B998" s="15" t="str">
        <f ca="1">IFERROR(__xludf.DUMMYFUNCTION("""COMPUTED_VALUE"""),"Lessons Learned from the ProDebt Research Project on Planning Technical Debt Strategically")</f>
        <v>Lessons Learned from the ProDebt Research Project on Planning Technical Debt Strategically</v>
      </c>
      <c r="C998" s="15" t="str">
        <f ca="1">VLOOKUP(B998,'ALL DATABASES'!$A$1:$T$2252,2,FALSE)</f>
        <v>Ciolkowski M,Guzmán L,Trendowicz A,Salfner F</v>
      </c>
      <c r="D998" s="15">
        <f ca="1">VLOOKUP(B998,'ALL DATABASES'!$A$1:$T$2252,5,FALSE)</f>
        <v>2017</v>
      </c>
      <c r="E998" s="15">
        <f ca="1">VLOOKUP(B998,'ALL DATABASES'!$A$1:$T$2252,10,FALSE)</f>
        <v>2017</v>
      </c>
      <c r="F998" s="54" t="str">
        <f ca="1">VLOOKUP(B998,'ALL DATABASES'!$A$1:$T$2252,14,FALSE)</f>
        <v>https://www.scopus.com/inward/record.uri?eid=2-s2.0-85034592026&amp;doi=10.1007%2f978-3-319-69926-4_42&amp;partnerID=40&amp;md5=facb84db639c6abe9bc241c2381f3668;http://dx.doi.org/10.1007/978-3-319-69926-4_42</v>
      </c>
      <c r="G998" s="15" t="str">
        <f ca="1">VLOOKUP(B998,'ALL DATABASES'!$A$1:$T$2252,3,FALSE)</f>
        <v>Journal Article</v>
      </c>
      <c r="H998" s="50" t="str">
        <f ca="1">VLOOKUP(B998,'ALL DATABASES'!$A$1:$T$2252,20,FALSE)</f>
        <v>SCOPUS</v>
      </c>
    </row>
    <row r="999" spans="1:8" ht="12.75" x14ac:dyDescent="0.2">
      <c r="A999">
        <v>998</v>
      </c>
      <c r="B999" s="15" t="str">
        <f ca="1">IFERROR(__xludf.DUMMYFUNCTION("""COMPUTED_VALUE"""),"Leveraging Applications of Formal Methods, Verification and Validation")</f>
        <v>Leveraging Applications of Formal Methods, Verification and Validation</v>
      </c>
      <c r="C999" s="15" t="str">
        <f ca="1">VLOOKUP(B999,'ALL DATABASES'!$A$1:$T$2252,2,FALSE)</f>
        <v>Tiziana MargariaProf. Dr. Bernhard Steffen</v>
      </c>
      <c r="D999" s="15">
        <f ca="1">VLOOKUP(B999,'ALL DATABASES'!$A$1:$T$2252,5,FALSE)</f>
        <v>2021</v>
      </c>
      <c r="E999" s="15">
        <f ca="1">VLOOKUP(B999,'ALL DATABASES'!$A$1:$T$2252,10,FALSE)</f>
        <v>0</v>
      </c>
      <c r="F999" s="54" t="str">
        <f ca="1">VLOOKUP(B999,'ALL DATABASES'!$A$1:$T$2252,14,FALSE)</f>
        <v>http://link.springer.com/book/10.1007/978-3-030-89159-6</v>
      </c>
      <c r="G999" s="15" t="str">
        <f ca="1">VLOOKUP(B999,'ALL DATABASES'!$A$1:$T$2252,3,FALSE)</f>
        <v>Book</v>
      </c>
      <c r="H999" s="50" t="str">
        <f ca="1">VLOOKUP(B999,'ALL DATABASES'!$A$1:$T$2252,20,FALSE)</f>
        <v>SPRINGER</v>
      </c>
    </row>
    <row r="1000" spans="1:8" ht="12.75" x14ac:dyDescent="0.2">
      <c r="A1000">
        <v>999</v>
      </c>
      <c r="B1000" s="15" t="str">
        <f ca="1">IFERROR(__xludf.DUMMYFUNCTION("""COMPUTED_VALUE"""),"Leveraging Applications of Formal Methods, Verification and Validation. Software Engineering")</f>
        <v>Leveraging Applications of Formal Methods, Verification and Validation. Software Engineering</v>
      </c>
      <c r="C1000" s="15" t="str">
        <f ca="1">VLOOKUP(B1000,'ALL DATABASES'!$A$1:$T$2252,2,FALSE)</f>
        <v>Tiziana MargariaBernhard Steffen</v>
      </c>
      <c r="D1000" s="15">
        <f ca="1">VLOOKUP(B1000,'ALL DATABASES'!$A$1:$T$2252,5,FALSE)</f>
        <v>2022</v>
      </c>
      <c r="E1000" s="15">
        <f ca="1">VLOOKUP(B1000,'ALL DATABASES'!$A$1:$T$2252,10,FALSE)</f>
        <v>0</v>
      </c>
      <c r="F1000" s="54" t="str">
        <f ca="1">VLOOKUP(B1000,'ALL DATABASES'!$A$1:$T$2252,14,FALSE)</f>
        <v>http://link.springer.com/book/10.1007/978-3-031-19756-7</v>
      </c>
      <c r="G1000" s="15" t="str">
        <f ca="1">VLOOKUP(B1000,'ALL DATABASES'!$A$1:$T$2252,3,FALSE)</f>
        <v>Book</v>
      </c>
      <c r="H1000" s="50" t="str">
        <f ca="1">VLOOKUP(B1000,'ALL DATABASES'!$A$1:$T$2252,20,FALSE)</f>
        <v>SPRINGER</v>
      </c>
    </row>
    <row r="1001" spans="1:8" ht="12.75" x14ac:dyDescent="0.2">
      <c r="A1001">
        <v>1000</v>
      </c>
      <c r="B1001" s="15" t="str">
        <f ca="1">IFERROR(__xludf.DUMMYFUNCTION("""COMPUTED_VALUE"""),"Leveraging Applications of Formal Methods, Verification and Validation. Verification Principles")</f>
        <v>Leveraging Applications of Formal Methods, Verification and Validation. Verification Principles</v>
      </c>
      <c r="C1001" s="15" t="str">
        <f ca="1">VLOOKUP(B1001,'ALL DATABASES'!$A$1:$T$2252,2,FALSE)</f>
        <v>Tiziana MargariaBernhard Steffen</v>
      </c>
      <c r="D1001" s="15">
        <f ca="1">VLOOKUP(B1001,'ALL DATABASES'!$A$1:$T$2252,5,FALSE)</f>
        <v>2022</v>
      </c>
      <c r="E1001" s="15">
        <f ca="1">VLOOKUP(B1001,'ALL DATABASES'!$A$1:$T$2252,10,FALSE)</f>
        <v>0</v>
      </c>
      <c r="F1001" s="54" t="str">
        <f ca="1">VLOOKUP(B1001,'ALL DATABASES'!$A$1:$T$2252,14,FALSE)</f>
        <v>http://link.springer.com/book/10.1007/978-3-031-19849-6</v>
      </c>
      <c r="G1001" s="15" t="str">
        <f ca="1">VLOOKUP(B1001,'ALL DATABASES'!$A$1:$T$2252,3,FALSE)</f>
        <v>Book</v>
      </c>
      <c r="H1001" s="50" t="str">
        <f ca="1">VLOOKUP(B1001,'ALL DATABASES'!$A$1:$T$2252,20,FALSE)</f>
        <v>SPRINGER</v>
      </c>
    </row>
    <row r="1002" spans="1:8" ht="12.75" x14ac:dyDescent="0.2">
      <c r="A1002">
        <v>1001</v>
      </c>
      <c r="B1002" s="15" t="str">
        <f ca="1">IFERROR(__xludf.DUMMYFUNCTION("""COMPUTED_VALUE"""),"Leveraging business transformation with machine learning experiments")</f>
        <v>Leveraging business transformation with machine learning experiments</v>
      </c>
      <c r="C1002" s="15" t="str">
        <f ca="1">VLOOKUP(B1002,'ALL DATABASES'!$A$1:$T$2252,2,FALSE)</f>
        <v>Mattos DI,Bosch J,Olsson HH</v>
      </c>
      <c r="D1002" s="15">
        <f ca="1">VLOOKUP(B1002,'ALL DATABASES'!$A$1:$T$2252,5,FALSE)</f>
        <v>2019</v>
      </c>
      <c r="E1002" s="15">
        <f ca="1">VLOOKUP(B1002,'ALL DATABASES'!$A$1:$T$2252,10,FALSE)</f>
        <v>2019</v>
      </c>
      <c r="F1002" s="54" t="str">
        <f ca="1">VLOOKUP(B1002,'ALL DATABASES'!$A$1:$T$2252,14,FALSE)</f>
        <v>https://www.scopus.com/inward/record.uri?eid=2-s2.0-85076134349&amp;doi=10.1007%2f978-3-030-33742-1_15&amp;partnerID=40&amp;md5=23cb0d39566949b76e1f6ff3bac7141a;http://dx.doi.org/10.1007/978-3-030-33742-1_15</v>
      </c>
      <c r="G1002" s="15" t="str">
        <f ca="1">VLOOKUP(B1002,'ALL DATABASES'!$A$1:$T$2252,3,FALSE)</f>
        <v>Journal Article</v>
      </c>
      <c r="H1002" s="50" t="str">
        <f ca="1">VLOOKUP(B1002,'ALL DATABASES'!$A$1:$T$2252,20,FALSE)</f>
        <v>SCOPUS</v>
      </c>
    </row>
    <row r="1003" spans="1:8" ht="12.75" x14ac:dyDescent="0.2">
      <c r="A1003">
        <v>1002</v>
      </c>
      <c r="B1003" s="15" t="str">
        <f ca="1">IFERROR(__xludf.DUMMYFUNCTION("""COMPUTED_VALUE"""),"Leveraging combinatorial testing for safety-critical computer vision datasets")</f>
        <v>Leveraging combinatorial testing for safety-critical computer vision datasets</v>
      </c>
      <c r="C1003" s="15" t="str">
        <f ca="1">VLOOKUP(B1003,'ALL DATABASES'!$A$1:$T$2252,2,FALSE)</f>
        <v>Gladisch C,Heinzemann C,Herrmann M,Woehrle M</v>
      </c>
      <c r="D1003" s="15">
        <f ca="1">VLOOKUP(B1003,'ALL DATABASES'!$A$1:$T$2252,5,FALSE)</f>
        <v>2020</v>
      </c>
      <c r="E1003" s="15">
        <f ca="1">VLOOKUP(B1003,'ALL DATABASES'!$A$1:$T$2252,10,FALSE)</f>
        <v>2020</v>
      </c>
      <c r="F1003" s="54" t="str">
        <f ca="1">VLOOKUP(B1003,'ALL DATABASES'!$A$1:$T$2252,14,FALSE)</f>
        <v>https://www.scopus.com/inward/record.uri?eid=2-s2.0-85090135552&amp;doi=10.1109%2fCVPRW50498.2020.00170&amp;partnerID=40&amp;md5=2402f64426e6e27cd11c23610714661a;http://dx.doi.org/10.1109/CVPRW50498.2020.00170</v>
      </c>
      <c r="G1003" s="15" t="str">
        <f ca="1">VLOOKUP(B1003,'ALL DATABASES'!$A$1:$T$2252,3,FALSE)</f>
        <v>Conference Paper</v>
      </c>
      <c r="H1003" s="50" t="str">
        <f ca="1">VLOOKUP(B1003,'ALL DATABASES'!$A$1:$T$2252,20,FALSE)</f>
        <v>SCOPUS</v>
      </c>
    </row>
    <row r="1004" spans="1:8" ht="12.75" x14ac:dyDescent="0.2">
      <c r="A1004">
        <v>1003</v>
      </c>
      <c r="B1004" s="15" t="str">
        <f ca="1">IFERROR(__xludf.DUMMYFUNCTION("""COMPUTED_VALUE"""),"Leveraging historical associations between requirements and source code to identify impacted classes")</f>
        <v>Leveraging historical associations between requirements and source code to identify impacted classes</v>
      </c>
      <c r="C1004" s="15" t="str">
        <f ca="1">VLOOKUP(B1004,'ALL DATABASES'!$A$1:$T$2252,2,FALSE)</f>
        <v>Falessi D,Roll J,Guo JL,Cleland-Huang J</v>
      </c>
      <c r="D1004" s="15">
        <f ca="1">VLOOKUP(B1004,'ALL DATABASES'!$A$1:$T$2252,5,FALSE)</f>
        <v>2020</v>
      </c>
      <c r="E1004" s="15">
        <f ca="1">VLOOKUP(B1004,'ALL DATABASES'!$A$1:$T$2252,10,FALSE)</f>
        <v>2020</v>
      </c>
      <c r="F1004" s="54" t="str">
        <f ca="1">VLOOKUP(B1004,'ALL DATABASES'!$A$1:$T$2252,14,FALSE)</f>
        <v>https://www.scopus.com/inward/record.uri?eid=2-s2.0-85050982730&amp;doi=10.1109%2fTSE.2018.2861735&amp;partnerID=40&amp;md5=2b87da1a7ab6367353d6b97d8b67b4ba;http://dx.doi.org/10.1109/TSE.2018.2861735</v>
      </c>
      <c r="G1004" s="15" t="str">
        <f ca="1">VLOOKUP(B1004,'ALL DATABASES'!$A$1:$T$2252,3,FALSE)</f>
        <v>Journal Article</v>
      </c>
      <c r="H1004" s="50" t="str">
        <f ca="1">VLOOKUP(B1004,'ALL DATABASES'!$A$1:$T$2252,20,FALSE)</f>
        <v>SCOPUS</v>
      </c>
    </row>
    <row r="1005" spans="1:8" ht="12.75" x14ac:dyDescent="0.2">
      <c r="A1005">
        <v>1004</v>
      </c>
      <c r="B1005" s="15" t="str">
        <f ca="1">IFERROR(__xludf.DUMMYFUNCTION("""COMPUTED_VALUE"""),"Lifelong Dynamic Optimization for Self-Adaptive Systems: Fact or Fiction?")</f>
        <v>Lifelong Dynamic Optimization for Self-Adaptive Systems: Fact or Fiction?</v>
      </c>
      <c r="C1005" s="15" t="str">
        <f ca="1">VLOOKUP(B1005,'ALL DATABASES'!$A$1:$T$2252,2,FALSE)</f>
        <v>Chen T</v>
      </c>
      <c r="D1005" s="15">
        <f ca="1">VLOOKUP(B1005,'ALL DATABASES'!$A$1:$T$2252,5,FALSE)</f>
        <v>2022</v>
      </c>
      <c r="E1005" s="15">
        <f ca="1">VLOOKUP(B1005,'ALL DATABASES'!$A$1:$T$2252,10,FALSE)</f>
        <v>2022</v>
      </c>
      <c r="F1005" s="54" t="str">
        <f ca="1">VLOOKUP(B1005,'ALL DATABASES'!$A$1:$T$2252,14,FALSE)</f>
        <v>https://www.scopus.com/inward/record.uri?eid=2-s2.0-85134078512&amp;doi=10.1109%2fSANER53432.2022.00022&amp;partnerID=40&amp;md5=83912dd89d5bb13fff0e59bf8748443b;http://dx.doi.org/10.1109/SANER53432.2022.00022</v>
      </c>
      <c r="G1005" s="15" t="str">
        <f ca="1">VLOOKUP(B1005,'ALL DATABASES'!$A$1:$T$2252,3,FALSE)</f>
        <v>Conference Paper</v>
      </c>
      <c r="H1005" s="50" t="str">
        <f ca="1">VLOOKUP(B1005,'ALL DATABASES'!$A$1:$T$2252,20,FALSE)</f>
        <v>SCOPUS</v>
      </c>
    </row>
    <row r="1006" spans="1:8" ht="12.75" x14ac:dyDescent="0.2">
      <c r="A1006">
        <v>1005</v>
      </c>
      <c r="B1006" s="15" t="str">
        <f ca="1">IFERROR(__xludf.DUMMYFUNCTION("""COMPUTED_VALUE"""),"Lightly-supervised representation learning with global interpretability")</f>
        <v>Lightly-supervised representation learning with global interpretability</v>
      </c>
      <c r="C1006" s="15" t="str">
        <f ca="1">VLOOKUP(B1006,'ALL DATABASES'!$A$1:$T$2252,2,FALSE)</f>
        <v>Zupon A,Alexeeva M,Valenzuela-Escárcega MA,Nagesh A,Surdeanu M</v>
      </c>
      <c r="D1006" s="15">
        <f ca="1">VLOOKUP(B1006,'ALL DATABASES'!$A$1:$T$2252,5,FALSE)</f>
        <v>2021</v>
      </c>
      <c r="E1006" s="15">
        <f ca="1">VLOOKUP(B1006,'ALL DATABASES'!$A$1:$T$2252,10,FALSE)</f>
        <v>2021</v>
      </c>
      <c r="F1006" s="54" t="str">
        <f ca="1">VLOOKUP(B1006,'ALL DATABASES'!$A$1:$T$2252,14,FALSE)</f>
        <v>https://www.scopus.com/inward/record.uri?eid=2-s2.0-85084229748&amp;partnerID=40&amp;md5=083c4b246ba4671ff93e574d57b0692d</v>
      </c>
      <c r="G1006" s="15" t="str">
        <f ca="1">VLOOKUP(B1006,'ALL DATABASES'!$A$1:$T$2252,3,FALSE)</f>
        <v>Conference Paper</v>
      </c>
      <c r="H1006" s="50" t="str">
        <f ca="1">VLOOKUP(B1006,'ALL DATABASES'!$A$1:$T$2252,20,FALSE)</f>
        <v>SCOPUS</v>
      </c>
    </row>
    <row r="1007" spans="1:8" ht="12.75" x14ac:dyDescent="0.2">
      <c r="A1007">
        <v>1006</v>
      </c>
      <c r="B1007" s="15" t="str">
        <f ca="1">IFERROR(__xludf.DUMMYFUNCTION("""COMPUTED_VALUE"""),"Lightweight Assessment of Test-Case Effectiveness Using Source-Code-Quality Indicators")</f>
        <v>Lightweight Assessment of Test-Case Effectiveness Using Source-Code-Quality Indicators</v>
      </c>
      <c r="C1007" s="15" t="str">
        <f ca="1">VLOOKUP(B1007,'ALL DATABASES'!$A$1:$T$2252,2,FALSE)</f>
        <v>Grano G,Palomba F,Gall HC</v>
      </c>
      <c r="D1007" s="15">
        <f ca="1">VLOOKUP(B1007,'ALL DATABASES'!$A$1:$T$2252,5,FALSE)</f>
        <v>2021</v>
      </c>
      <c r="E1007" s="55">
        <f ca="1">VLOOKUP(B1007,'ALL DATABASES'!$A$1:$T$2252,10,FALSE)</f>
        <v>44287</v>
      </c>
      <c r="F1007" s="54" t="str">
        <f ca="1">VLOOKUP(B1007,'ALL DATABASES'!$A$1:$T$2252,14,FALSE)</f>
        <v>http://dx.doi.org/10.1109/TSE.2019.2903057</v>
      </c>
      <c r="G1007" s="15" t="str">
        <f ca="1">VLOOKUP(B1007,'ALL DATABASES'!$A$1:$T$2252,3,FALSE)</f>
        <v>Journal Article</v>
      </c>
      <c r="H1007" s="50" t="str">
        <f ca="1">VLOOKUP(B1007,'ALL DATABASES'!$A$1:$T$2252,20,FALSE)</f>
        <v>IEEE</v>
      </c>
    </row>
    <row r="1008" spans="1:8" ht="12.75" x14ac:dyDescent="0.2">
      <c r="A1008">
        <v>1007</v>
      </c>
      <c r="B1008" s="15" t="str">
        <f ca="1">IFERROR(__xludf.DUMMYFUNCTION("""COMPUTED_VALUE"""),"Lightweight Software Architecture Evaluation for Industry: A Comprehensive Review")</f>
        <v>Lightweight Software Architecture Evaluation for Industry: A Comprehensive Review</v>
      </c>
      <c r="C1008" s="15" t="str">
        <f ca="1">VLOOKUP(B1008,'ALL DATABASES'!$A$1:$T$2252,2,FALSE)</f>
        <v>Sahlabadi M,Muniyandi RC,Shukur Z,Qamar F</v>
      </c>
      <c r="D1008" s="15">
        <f ca="1">VLOOKUP(B1008,'ALL DATABASES'!$A$1:$T$2252,5,FALSE)</f>
        <v>2022</v>
      </c>
      <c r="E1008" s="15">
        <f ca="1">VLOOKUP(B1008,'ALL DATABASES'!$A$1:$T$2252,10,FALSE)</f>
        <v>2022</v>
      </c>
      <c r="F1008" s="54" t="str">
        <f ca="1">VLOOKUP(B1008,'ALL DATABASES'!$A$1:$T$2252,14,FALSE)</f>
        <v>https://www.scopus.com/inward/record.uri?eid=2-s2.0-85124087646&amp;doi=10.3390%2fs22031252&amp;partnerID=40&amp;md5=3a859bf853571991698e1468de6a64d8;http://dx.doi.org/10.3390/s22031252</v>
      </c>
      <c r="G1008" s="15" t="str">
        <f ca="1">VLOOKUP(B1008,'ALL DATABASES'!$A$1:$T$2252,3,FALSE)</f>
        <v>Journal Article</v>
      </c>
      <c r="H1008" s="50" t="str">
        <f ca="1">VLOOKUP(B1008,'ALL DATABASES'!$A$1:$T$2252,20,FALSE)</f>
        <v>SCOPUS</v>
      </c>
    </row>
    <row r="1009" spans="1:8" ht="12.75" x14ac:dyDescent="0.2">
      <c r="A1009">
        <v>1008</v>
      </c>
      <c r="B1009" s="15" t="str">
        <f ca="1">IFERROR(__xludf.DUMMYFUNCTION("""COMPUTED_VALUE"""),"Linnaeus: A highly reusable and adaptable ML based log classification pipeline")</f>
        <v>Linnaeus: A highly reusable and adaptable ML based log classification pipeline</v>
      </c>
      <c r="C1009" s="15" t="str">
        <f ca="1">VLOOKUP(B1009,'ALL DATABASES'!$A$1:$T$2252,2,FALSE)</f>
        <v>Catovic A,Cartwright C,Gebreyesus YT,Ferlin S</v>
      </c>
      <c r="D1009" s="15">
        <f ca="1">VLOOKUP(B1009,'ALL DATABASES'!$A$1:$T$2252,5,FALSE)</f>
        <v>2021</v>
      </c>
      <c r="E1009" s="55">
        <f ca="1">VLOOKUP(B1009,'ALL DATABASES'!$A$1:$T$2252,10,FALSE)</f>
        <v>44317</v>
      </c>
      <c r="F1009" s="54" t="str">
        <f ca="1">VLOOKUP(B1009,'ALL DATABASES'!$A$1:$T$2252,14,FALSE)</f>
        <v>http://dx.doi.org/10.1109/WAIN52551.2021.00008</v>
      </c>
      <c r="G1009" s="15" t="str">
        <f ca="1">VLOOKUP(B1009,'ALL DATABASES'!$A$1:$T$2252,3,FALSE)</f>
        <v>Conference Paper</v>
      </c>
      <c r="H1009" s="50" t="str">
        <f ca="1">VLOOKUP(B1009,'ALL DATABASES'!$A$1:$T$2252,20,FALSE)</f>
        <v>IEEE</v>
      </c>
    </row>
    <row r="1010" spans="1:8" ht="12.75" x14ac:dyDescent="0.2">
      <c r="A1010">
        <v>1009</v>
      </c>
      <c r="B1010" s="15" t="str">
        <f ca="1">IFERROR(__xludf.DUMMYFUNCTION("""COMPUTED_VALUE"""),"Literature review of finding duplicate bugs in open source systems")</f>
        <v>Literature review of finding duplicate bugs in open source systems</v>
      </c>
      <c r="C1010" s="15" t="str">
        <f ca="1">VLOOKUP(B1010,'ALL DATABASES'!$A$1:$T$2252,2,FALSE)</f>
        <v>Bansal K,Rohil H</v>
      </c>
      <c r="D1010" s="15">
        <f ca="1">VLOOKUP(B1010,'ALL DATABASES'!$A$1:$T$2252,5,FALSE)</f>
        <v>2021</v>
      </c>
      <c r="E1010" s="15">
        <f ca="1">VLOOKUP(B1010,'ALL DATABASES'!$A$1:$T$2252,10,FALSE)</f>
        <v>2021</v>
      </c>
      <c r="F1010" s="54" t="str">
        <f ca="1">VLOOKUP(B1010,'ALL DATABASES'!$A$1:$T$2252,14,FALSE)</f>
        <v>https://www.scopus.com/inward/record.uri?eid=2-s2.0-85115089502&amp;doi=10.1109%2fCCICT53244.2021.00077&amp;partnerID=40&amp;md5=666b322f865fa7a27f1a09da66caf7f4;http://dx.doi.org/10.1109/CCICT53244.2021.00077</v>
      </c>
      <c r="G1010" s="15" t="str">
        <f ca="1">VLOOKUP(B1010,'ALL DATABASES'!$A$1:$T$2252,3,FALSE)</f>
        <v>Conference Paper</v>
      </c>
      <c r="H1010" s="50" t="str">
        <f ca="1">VLOOKUP(B1010,'ALL DATABASES'!$A$1:$T$2252,20,FALSE)</f>
        <v>SCOPUS</v>
      </c>
    </row>
    <row r="1011" spans="1:8" ht="12.75" x14ac:dyDescent="0.2">
      <c r="A1011">
        <v>1010</v>
      </c>
      <c r="B1011" s="15" t="str">
        <f ca="1">IFERROR(__xludf.DUMMYFUNCTION("""COMPUTED_VALUE"""),"Locality-based security bug report identification via active learning")</f>
        <v>Locality-based security bug report identification via active learning</v>
      </c>
      <c r="C1011" s="15" t="str">
        <f ca="1">VLOOKUP(B1011,'ALL DATABASES'!$A$1:$T$2252,2,FALSE)</f>
        <v>Ge X,Fang C,Qian M,Ge Y,Qing M</v>
      </c>
      <c r="D1011" s="15">
        <f ca="1">VLOOKUP(B1011,'ALL DATABASES'!$A$1:$T$2252,5,FALSE)</f>
        <v>2022</v>
      </c>
      <c r="E1011" s="15">
        <f ca="1">VLOOKUP(B1011,'ALL DATABASES'!$A$1:$T$2252,10,FALSE)</f>
        <v>2022</v>
      </c>
      <c r="F1011" s="54" t="str">
        <f ca="1">VLOOKUP(B1011,'ALL DATABASES'!$A$1:$T$2252,14,FALSE)</f>
        <v>https://www.scopus.com/inward/record.uri?eid=2-s2.0-85126326567&amp;doi=10.1016%2fj.infsof.2022.106899&amp;partnerID=40&amp;md5=e579bc75422f866aa090b43a06220ad5;http://dx.doi.org/10.1016/j.infsof.2022.106899</v>
      </c>
      <c r="G1011" s="15" t="str">
        <f ca="1">VLOOKUP(B1011,'ALL DATABASES'!$A$1:$T$2252,3,FALSE)</f>
        <v>Journal Article</v>
      </c>
      <c r="H1011" s="50" t="str">
        <f ca="1">VLOOKUP(B1011,'ALL DATABASES'!$A$1:$T$2252,20,FALSE)</f>
        <v>SCOPUS</v>
      </c>
    </row>
    <row r="1012" spans="1:8" ht="12.75" x14ac:dyDescent="0.2">
      <c r="A1012">
        <v>1011</v>
      </c>
      <c r="B1012" s="15" t="str">
        <f ca="1">IFERROR(__xludf.DUMMYFUNCTION("""COMPUTED_VALUE"""),"LogProv: Logging events as provenance of big data analytics pipelines with trustworthiness")</f>
        <v>LogProv: Logging events as provenance of big data analytics pipelines with trustworthiness</v>
      </c>
      <c r="C1012" s="15" t="str">
        <f ca="1">VLOOKUP(B1012,'ALL DATABASES'!$A$1:$T$2252,2,FALSE)</f>
        <v>Wang R,Sun D,Li G,Atif M,Nepal S</v>
      </c>
      <c r="D1012" s="15">
        <f ca="1">VLOOKUP(B1012,'ALL DATABASES'!$A$1:$T$2252,5,FALSE)</f>
        <v>2016</v>
      </c>
      <c r="E1012" s="15">
        <f ca="1">VLOOKUP(B1012,'ALL DATABASES'!$A$1:$T$2252,10,FALSE)</f>
        <v>2016</v>
      </c>
      <c r="F1012" s="54" t="str">
        <f ca="1">VLOOKUP(B1012,'ALL DATABASES'!$A$1:$T$2252,14,FALSE)</f>
        <v>https://www.scopus.com/inward/record.uri?eid=2-s2.0-85015176462&amp;doi=10.1109%2fBigData.2016.7840748&amp;partnerID=40&amp;md5=1561150575893c76c3a51217a41d1ab3;http://dx.doi.org/10.1109/BigData.2016.7840748</v>
      </c>
      <c r="G1012" s="15" t="str">
        <f ca="1">VLOOKUP(B1012,'ALL DATABASES'!$A$1:$T$2252,3,FALSE)</f>
        <v>Conference Paper</v>
      </c>
      <c r="H1012" s="50" t="str">
        <f ca="1">VLOOKUP(B1012,'ALL DATABASES'!$A$1:$T$2252,20,FALSE)</f>
        <v>SCOPUS</v>
      </c>
    </row>
    <row r="1013" spans="1:8" ht="12.75" x14ac:dyDescent="0.2">
      <c r="A1013">
        <v>1012</v>
      </c>
      <c r="B1013" s="15" t="str">
        <f ca="1">IFERROR(__xludf.DUMMYFUNCTION("""COMPUTED_VALUE"""),"Long term-short memory neural networks and word2vec for self-admitted technical debt detection")</f>
        <v>Long term-short memory neural networks and word2vec for self-admitted technical debt detection</v>
      </c>
      <c r="C1013" s="15" t="str">
        <f ca="1">VLOOKUP(B1013,'ALL DATABASES'!$A$1:$T$2252,2,FALSE)</f>
        <v>Santos RM,Santos IM,Rodrigues MC,de Mendonça Neto MG</v>
      </c>
      <c r="D1013" s="15">
        <f ca="1">VLOOKUP(B1013,'ALL DATABASES'!$A$1:$T$2252,5,FALSE)</f>
        <v>2020</v>
      </c>
      <c r="E1013" s="15">
        <f ca="1">VLOOKUP(B1013,'ALL DATABASES'!$A$1:$T$2252,10,FALSE)</f>
        <v>2020</v>
      </c>
      <c r="F1013" s="54" t="str">
        <f ca="1">VLOOKUP(B1013,'ALL DATABASES'!$A$1:$T$2252,14,FALSE)</f>
        <v>https://www.scopus.com/inward/record.uri?eid=2-s2.0-85091400625&amp;partnerID=40&amp;md5=f5f3ef9ca14d043c9945715ac9022a3f</v>
      </c>
      <c r="G1013" s="15" t="str">
        <f ca="1">VLOOKUP(B1013,'ALL DATABASES'!$A$1:$T$2252,3,FALSE)</f>
        <v>Conference Paper</v>
      </c>
      <c r="H1013" s="50" t="str">
        <f ca="1">VLOOKUP(B1013,'ALL DATABASES'!$A$1:$T$2252,20,FALSE)</f>
        <v>SCOPUS</v>
      </c>
    </row>
    <row r="1014" spans="1:8" ht="12.75" x14ac:dyDescent="0.2">
      <c r="A1014">
        <v>1013</v>
      </c>
      <c r="B1014" s="15" t="str">
        <f ca="1">IFERROR(__xludf.DUMMYFUNCTION("""COMPUTED_VALUE"""),"Long-Term Evaluation of Technical Debt in Open-Source Software")</f>
        <v>Long-Term Evaluation of Technical Debt in Open-Source Software</v>
      </c>
      <c r="C1014" s="15" t="str">
        <f ca="1">VLOOKUP(B1014,'ALL DATABASES'!$A$1:$T$2252,2,FALSE)</f>
        <v>Molnar AJ,Motogna S</v>
      </c>
      <c r="D1014" s="15">
        <f ca="1">VLOOKUP(B1014,'ALL DATABASES'!$A$1:$T$2252,5,FALSE)</f>
        <v>2020</v>
      </c>
      <c r="E1014" s="15">
        <f ca="1">VLOOKUP(B1014,'ALL DATABASES'!$A$1:$T$2252,10,FALSE)</f>
        <v>2020</v>
      </c>
      <c r="F1014" s="54" t="str">
        <f ca="1">VLOOKUP(B1014,'ALL DATABASES'!$A$1:$T$2252,14,FALSE)</f>
        <v>https://doi.org/10.1145/3382494.3410673;http://dx.doi.org/10.1145/3382494.3410673</v>
      </c>
      <c r="G1014" s="15" t="str">
        <f ca="1">VLOOKUP(B1014,'ALL DATABASES'!$A$1:$T$2252,3,FALSE)</f>
        <v>Conference Paper</v>
      </c>
      <c r="H1014" s="50" t="str">
        <f ca="1">VLOOKUP(B1014,'ALL DATABASES'!$A$1:$T$2252,20,FALSE)</f>
        <v>ACM</v>
      </c>
    </row>
    <row r="1015" spans="1:8" ht="12.75" x14ac:dyDescent="0.2">
      <c r="A1015">
        <v>1014</v>
      </c>
      <c r="B1015" s="15" t="str">
        <f ca="1">IFERROR(__xludf.DUMMYFUNCTION("""COMPUTED_VALUE"""),"Looper: An End-to-End ML Platform for Product Decisions")</f>
        <v>Looper: An End-to-End ML Platform for Product Decisions</v>
      </c>
      <c r="C1015" s="15" t="str">
        <f ca="1">VLOOKUP(B1015,'ALL DATABASES'!$A$1:$T$2252,2,FALSE)</f>
        <v>Markov IL,Wang H,Kasturi NS,Singh S,Garrard MR,Huang Y,Yuen SW,Tran S,Wang Z,Glotov I,Gupta T,Chen P,Huang B,Xie X,Belkin M,Uryasev S,Howie S,Bakshy E,Zhou N</v>
      </c>
      <c r="D1015" s="15">
        <f ca="1">VLOOKUP(B1015,'ALL DATABASES'!$A$1:$T$2252,5,FALSE)</f>
        <v>2022</v>
      </c>
      <c r="E1015" s="15">
        <f ca="1">VLOOKUP(B1015,'ALL DATABASES'!$A$1:$T$2252,10,FALSE)</f>
        <v>2022</v>
      </c>
      <c r="F1015" s="54" t="str">
        <f ca="1">VLOOKUP(B1015,'ALL DATABASES'!$A$1:$T$2252,14,FALSE)</f>
        <v>https://doi.org/10.1145/3534678.3539059;http://dx.doi.org/10.1145/3534678.3539059</v>
      </c>
      <c r="G1015" s="15" t="str">
        <f ca="1">VLOOKUP(B1015,'ALL DATABASES'!$A$1:$T$2252,3,FALSE)</f>
        <v>Conference Paper</v>
      </c>
      <c r="H1015" s="50" t="str">
        <f ca="1">VLOOKUP(B1015,'ALL DATABASES'!$A$1:$T$2252,20,FALSE)</f>
        <v>ACM</v>
      </c>
    </row>
    <row r="1016" spans="1:8" ht="12.75" x14ac:dyDescent="0.2">
      <c r="A1016">
        <v>1015</v>
      </c>
      <c r="B1016" s="15" t="str">
        <f ca="1">IFERROR(__xludf.DUMMYFUNCTION("""COMPUTED_VALUE"""),"Low-Code Is Often High-Code, So We Must Design Low-Code Platforms to Enable Proper Software Engineering")</f>
        <v>Low-Code Is Often High-Code, So We Must Design Low-Code Platforms to Enable Proper Software Engineering</v>
      </c>
      <c r="C1016" s="15" t="str">
        <f ca="1">VLOOKUP(B1016,'ALL DATABASES'!$A$1:$T$2252,2,FALSE)</f>
        <v>Timothy C. Lethbridge</v>
      </c>
      <c r="D1016" s="15">
        <f ca="1">VLOOKUP(B1016,'ALL DATABASES'!$A$1:$T$2252,5,FALSE)</f>
        <v>2021</v>
      </c>
      <c r="E1016" s="15">
        <f ca="1">VLOOKUP(B1016,'ALL DATABASES'!$A$1:$T$2252,10,FALSE)</f>
        <v>0</v>
      </c>
      <c r="F1016" s="54" t="str">
        <f ca="1">VLOOKUP(B1016,'ALL DATABASES'!$A$1:$T$2252,14,FALSE)</f>
        <v>http://link.springer.com/chapter/10.1007/978-3-030-89159-6_14</v>
      </c>
      <c r="G1016" s="15" t="str">
        <f ca="1">VLOOKUP(B1016,'ALL DATABASES'!$A$1:$T$2252,3,FALSE)</f>
        <v>Chapter</v>
      </c>
      <c r="H1016" s="50" t="str">
        <f ca="1">VLOOKUP(B1016,'ALL DATABASES'!$A$1:$T$2252,20,FALSE)</f>
        <v>SPRINGER</v>
      </c>
    </row>
    <row r="1017" spans="1:8" ht="12.75" x14ac:dyDescent="0.2">
      <c r="A1017">
        <v>1016</v>
      </c>
      <c r="B1017" s="15" t="str">
        <f ca="1">IFERROR(__xludf.DUMMYFUNCTION("""COMPUTED_VALUE"""),"M-Lean: An end-to-end development framework for predictive models in B2B scenarios")</f>
        <v>M-Lean: An end-to-end development framework for predictive models in B2B scenarios</v>
      </c>
      <c r="C1017" s="15" t="str">
        <f ca="1">VLOOKUP(B1017,'ALL DATABASES'!$A$1:$T$2252,2,FALSE)</f>
        <v>Nashaat M,Ghosh A,Miller J,Quader S,Marston C</v>
      </c>
      <c r="D1017" s="15">
        <f ca="1">VLOOKUP(B1017,'ALL DATABASES'!$A$1:$T$2252,5,FALSE)</f>
        <v>2019</v>
      </c>
      <c r="E1017" s="15">
        <f ca="1">VLOOKUP(B1017,'ALL DATABASES'!$A$1:$T$2252,10,FALSE)</f>
        <v>2019</v>
      </c>
      <c r="F1017" s="54" t="str">
        <f ca="1">VLOOKUP(B1017,'ALL DATABASES'!$A$1:$T$2252,14,FALSE)</f>
        <v>https://www.scopus.com/inward/record.uri?eid=2-s2.0-85066256743&amp;doi=10.1016%2fj.infsof.2019.05.009&amp;partnerID=40&amp;md5=a1ed98175a61323ea9e37c48e98e3b5d;http://dx.doi.org/10.1016/j.infsof.2019.05.009</v>
      </c>
      <c r="G1017" s="15" t="str">
        <f ca="1">VLOOKUP(B1017,'ALL DATABASES'!$A$1:$T$2252,3,FALSE)</f>
        <v>Journal Article</v>
      </c>
      <c r="H1017" s="50" t="str">
        <f ca="1">VLOOKUP(B1017,'ALL DATABASES'!$A$1:$T$2252,20,FALSE)</f>
        <v>SCOPUS</v>
      </c>
    </row>
    <row r="1018" spans="1:8" ht="12.75" x14ac:dyDescent="0.2">
      <c r="A1018">
        <v>1017</v>
      </c>
      <c r="B1018" s="15" t="str">
        <f ca="1">IFERROR(__xludf.DUMMYFUNCTION("""COMPUTED_VALUE"""),"Machine Learning")</f>
        <v>Machine Learning</v>
      </c>
      <c r="C1018" s="15" t="str">
        <f ca="1">VLOOKUP(B1018,'ALL DATABASES'!$A$1:$T$2252,2,FALSE)</f>
        <v>Louridas P,Ebert C</v>
      </c>
      <c r="D1018" s="15">
        <f ca="1">VLOOKUP(B1018,'ALL DATABASES'!$A$1:$T$2252,5,FALSE)</f>
        <v>2016</v>
      </c>
      <c r="E1018" s="55">
        <f ca="1">VLOOKUP(B1018,'ALL DATABASES'!$A$1:$T$2252,10,FALSE)</f>
        <v>42614</v>
      </c>
      <c r="F1018" s="54" t="str">
        <f ca="1">VLOOKUP(B1018,'ALL DATABASES'!$A$1:$T$2252,14,FALSE)</f>
        <v>http://dx.doi.org/10.1109/MS.2016.114</v>
      </c>
      <c r="G1018" s="15" t="str">
        <f ca="1">VLOOKUP(B1018,'ALL DATABASES'!$A$1:$T$2252,3,FALSE)</f>
        <v>Journal Article</v>
      </c>
      <c r="H1018" s="50" t="str">
        <f ca="1">VLOOKUP(B1018,'ALL DATABASES'!$A$1:$T$2252,20,FALSE)</f>
        <v>IEEE</v>
      </c>
    </row>
    <row r="1019" spans="1:8" ht="12.75" x14ac:dyDescent="0.2">
      <c r="A1019">
        <v>1018</v>
      </c>
      <c r="B1019" s="15" t="str">
        <f ca="1">IFERROR(__xludf.DUMMYFUNCTION("""COMPUTED_VALUE"""),"Machine learning and data mining methods for managing Parkinson’s disease")</f>
        <v>Machine learning and data mining methods for managing Parkinson’s disease</v>
      </c>
      <c r="C1019" s="15" t="str">
        <f ca="1">VLOOKUP(B1019,'ALL DATABASES'!$A$1:$T$2252,2,FALSE)</f>
        <v>Miljkovic D,Aleksovski D,Podpečan V,Lavrač N,Malle B,Holzinger A</v>
      </c>
      <c r="D1019" s="15">
        <f ca="1">VLOOKUP(B1019,'ALL DATABASES'!$A$1:$T$2252,5,FALSE)</f>
        <v>2016</v>
      </c>
      <c r="E1019" s="15">
        <f ca="1">VLOOKUP(B1019,'ALL DATABASES'!$A$1:$T$2252,10,FALSE)</f>
        <v>2016</v>
      </c>
      <c r="F1019" s="54" t="str">
        <f ca="1">VLOOKUP(B1019,'ALL DATABASES'!$A$1:$T$2252,14,FALSE)</f>
        <v>https://www.scopus.com/inward/record.uri?eid=2-s2.0-85006456778&amp;doi=10.1007%2f978-3-319-50478-0_10&amp;partnerID=40&amp;md5=4c4373897f09d45e54249bb2d656efc0;http://dx.doi.org/10.1007/978-3-319-50478-0_10</v>
      </c>
      <c r="G1019" s="15" t="str">
        <f ca="1">VLOOKUP(B1019,'ALL DATABASES'!$A$1:$T$2252,3,FALSE)</f>
        <v>Journal Article</v>
      </c>
      <c r="H1019" s="50" t="str">
        <f ca="1">VLOOKUP(B1019,'ALL DATABASES'!$A$1:$T$2252,20,FALSE)</f>
        <v>SCOPUS</v>
      </c>
    </row>
    <row r="1020" spans="1:8" ht="12.75" x14ac:dyDescent="0.2">
      <c r="A1020">
        <v>1019</v>
      </c>
      <c r="B1020" s="15" t="str">
        <f ca="1">IFERROR(__xludf.DUMMYFUNCTION("""COMPUTED_VALUE"""),"Machine Learning and Knowledge Extraction")</f>
        <v>Machine Learning and Knowledge Extraction</v>
      </c>
      <c r="C1020" s="15" t="str">
        <f ca="1">VLOOKUP(B1020,'ALL DATABASES'!$A$1:$T$2252,2,FALSE)</f>
        <v>Andreas HolzingerProf. Dr. Peter KiesebergProf. Dr. A Min TjoaEdgar Weippl</v>
      </c>
      <c r="D1020" s="15">
        <f ca="1">VLOOKUP(B1020,'ALL DATABASES'!$A$1:$T$2252,5,FALSE)</f>
        <v>2020</v>
      </c>
      <c r="E1020" s="15">
        <f ca="1">VLOOKUP(B1020,'ALL DATABASES'!$A$1:$T$2252,10,FALSE)</f>
        <v>0</v>
      </c>
      <c r="F1020" s="54" t="str">
        <f ca="1">VLOOKUP(B1020,'ALL DATABASES'!$A$1:$T$2252,14,FALSE)</f>
        <v>http://link.springer.com/book/10.1007/978-3-030-57321-8</v>
      </c>
      <c r="G1020" s="15" t="str">
        <f ca="1">VLOOKUP(B1020,'ALL DATABASES'!$A$1:$T$2252,3,FALSE)</f>
        <v>Book</v>
      </c>
      <c r="H1020" s="50" t="str">
        <f ca="1">VLOOKUP(B1020,'ALL DATABASES'!$A$1:$T$2252,20,FALSE)</f>
        <v>SPRINGER</v>
      </c>
    </row>
    <row r="1021" spans="1:8" ht="12.75" x14ac:dyDescent="0.2">
      <c r="A1021">
        <v>1020</v>
      </c>
      <c r="B1021" s="15" t="str">
        <f ca="1">IFERROR(__xludf.DUMMYFUNCTION("""COMPUTED_VALUE"""),"Machine learning and sonarqube KPIs to predict increasing bug resolution times")</f>
        <v>Machine learning and sonarqube KPIs to predict increasing bug resolution times</v>
      </c>
      <c r="C1021" s="15" t="str">
        <f ca="1">VLOOKUP(B1021,'ALL DATABASES'!$A$1:$T$2252,2,FALSE)</f>
        <v>Gustafsson T</v>
      </c>
      <c r="D1021" s="15">
        <f ca="1">VLOOKUP(B1021,'ALL DATABASES'!$A$1:$T$2252,5,FALSE)</f>
        <v>2019</v>
      </c>
      <c r="E1021" s="15">
        <f ca="1">VLOOKUP(B1021,'ALL DATABASES'!$A$1:$T$2252,10,FALSE)</f>
        <v>2019</v>
      </c>
      <c r="F1021" s="54" t="str">
        <f ca="1">VLOOKUP(B1021,'ALL DATABASES'!$A$1:$T$2252,14,FALSE)</f>
        <v>https://www.scopus.com/inward/record.uri?eid=2-s2.0-85077506321&amp;partnerID=40&amp;md5=43f19863d3fa8f4f7b006576f8398000</v>
      </c>
      <c r="G1021" s="15" t="str">
        <f ca="1">VLOOKUP(B1021,'ALL DATABASES'!$A$1:$T$2252,3,FALSE)</f>
        <v>Conference Paper</v>
      </c>
      <c r="H1021" s="50" t="str">
        <f ca="1">VLOOKUP(B1021,'ALL DATABASES'!$A$1:$T$2252,20,FALSE)</f>
        <v>SCOPUS</v>
      </c>
    </row>
    <row r="1022" spans="1:8" ht="12.75" x14ac:dyDescent="0.2">
      <c r="A1022">
        <v>1021</v>
      </c>
      <c r="B1022" s="15" t="str">
        <f ca="1">IFERROR(__xludf.DUMMYFUNCTION("""COMPUTED_VALUE"""),"Machine Learning for Change-Prone Class Prediction: A History-Based Approach")</f>
        <v>Machine Learning for Change-Prone Class Prediction: A History-Based Approach</v>
      </c>
      <c r="C1022" s="15" t="str">
        <f ca="1">VLOOKUP(B1022,'ALL DATABASES'!$A$1:$T$2252,2,FALSE)</f>
        <v>Silva RC,Farah PR,Vergilio SR</v>
      </c>
      <c r="D1022" s="15">
        <f ca="1">VLOOKUP(B1022,'ALL DATABASES'!$A$1:$T$2252,5,FALSE)</f>
        <v>2022</v>
      </c>
      <c r="E1022" s="15">
        <f ca="1">VLOOKUP(B1022,'ALL DATABASES'!$A$1:$T$2252,10,FALSE)</f>
        <v>2022</v>
      </c>
      <c r="F1022" s="54" t="str">
        <f ca="1">VLOOKUP(B1022,'ALL DATABASES'!$A$1:$T$2252,14,FALSE)</f>
        <v>https://www.scopus.com/inward/record.uri?eid=2-s2.0-85139116318&amp;doi=10.1145%2f3555228.3555249&amp;partnerID=40&amp;md5=6c3e2a2a7ec5b9c84c464e2b7e82c009;http://dx.doi.org/10.1145/3555228.3555249</v>
      </c>
      <c r="G1022" s="15" t="str">
        <f ca="1">VLOOKUP(B1022,'ALL DATABASES'!$A$1:$T$2252,3,FALSE)</f>
        <v>Conference Paper</v>
      </c>
      <c r="H1022" s="50" t="str">
        <f ca="1">VLOOKUP(B1022,'ALL DATABASES'!$A$1:$T$2252,20,FALSE)</f>
        <v>SCOPUS</v>
      </c>
    </row>
    <row r="1023" spans="1:8" ht="12.75" x14ac:dyDescent="0.2">
      <c r="A1023">
        <v>1022</v>
      </c>
      <c r="B1023" s="15" t="str">
        <f ca="1">IFERROR(__xludf.DUMMYFUNCTION("""COMPUTED_VALUE"""),"Machine learning for medical imaging: methodological failures and recommendations for the future")</f>
        <v>Machine learning for medical imaging: methodological failures and recommendations for the future</v>
      </c>
      <c r="C1023" s="15" t="str">
        <f ca="1">VLOOKUP(B1023,'ALL DATABASES'!$A$1:$T$2252,2,FALSE)</f>
        <v>Varoquaux G,Cheplygina V</v>
      </c>
      <c r="D1023" s="15">
        <f ca="1">VLOOKUP(B1023,'ALL DATABASES'!$A$1:$T$2252,5,FALSE)</f>
        <v>2022</v>
      </c>
      <c r="E1023" s="15">
        <f ca="1">VLOOKUP(B1023,'ALL DATABASES'!$A$1:$T$2252,10,FALSE)</f>
        <v>2022</v>
      </c>
      <c r="F1023" s="54" t="str">
        <f ca="1">VLOOKUP(B1023,'ALL DATABASES'!$A$1:$T$2252,14,FALSE)</f>
        <v>https://www.scopus.com/inward/record.uri?eid=2-s2.0-85128221731&amp;doi=10.1038%2fs41746-022-00592-y&amp;partnerID=40&amp;md5=505a4e8bb93249a2eebe325bbce17005;http://dx.doi.org/10.1038/s41746-022-00592-y</v>
      </c>
      <c r="G1023" s="15" t="str">
        <f ca="1">VLOOKUP(B1023,'ALL DATABASES'!$A$1:$T$2252,3,FALSE)</f>
        <v>Journal Article</v>
      </c>
      <c r="H1023" s="50" t="str">
        <f ca="1">VLOOKUP(B1023,'ALL DATABASES'!$A$1:$T$2252,20,FALSE)</f>
        <v>SCOPUS</v>
      </c>
    </row>
    <row r="1024" spans="1:8" ht="12.75" x14ac:dyDescent="0.2">
      <c r="A1024">
        <v>1023</v>
      </c>
      <c r="B1024" s="15" t="str">
        <f ca="1">IFERROR(__xludf.DUMMYFUNCTION("""COMPUTED_VALUE"""),"Machine Learning for Technical Debt Identification")</f>
        <v>Machine Learning for Technical Debt Identification</v>
      </c>
      <c r="C1024" s="15" t="str">
        <f ca="1">VLOOKUP(B1024,'ALL DATABASES'!$A$1:$T$2252,2,FALSE)</f>
        <v>Tsoukalas D,Mittas N,Chatzigeorgiou A,Kehagias D,Ampatzoglou A,Amanatidis T,Angelis L</v>
      </c>
      <c r="D1024" s="15">
        <f ca="1">VLOOKUP(B1024,'ALL DATABASES'!$A$1:$T$2252,5,FALSE)</f>
        <v>2022</v>
      </c>
      <c r="E1024" s="53">
        <f ca="1">VLOOKUP(B1024,'ALL DATABASES'!$A$1:$T$2252,10,FALSE)</f>
        <v>44896</v>
      </c>
      <c r="F1024" s="54" t="str">
        <f ca="1">VLOOKUP(B1024,'ALL DATABASES'!$A$1:$T$2252,14,FALSE)</f>
        <v>http://dx.doi.org/10.1109/TSE.2021.3129355</v>
      </c>
      <c r="G1024" s="15" t="str">
        <f ca="1">VLOOKUP(B1024,'ALL DATABASES'!$A$1:$T$2252,3,FALSE)</f>
        <v>Journal Article</v>
      </c>
      <c r="H1024" s="50" t="str">
        <f ca="1">VLOOKUP(B1024,'ALL DATABASES'!$A$1:$T$2252,20,FALSE)</f>
        <v>IEEE</v>
      </c>
    </row>
    <row r="1025" spans="1:8" ht="12.75" x14ac:dyDescent="0.2">
      <c r="A1025">
        <v>1024</v>
      </c>
      <c r="B1025" s="15" t="str">
        <f ca="1">IFERROR(__xludf.DUMMYFUNCTION("""COMPUTED_VALUE"""),"Machine Learning in CNC Machining: Best Practices")</f>
        <v>Machine Learning in CNC Machining: Best Practices</v>
      </c>
      <c r="C1025" s="15" t="str">
        <f ca="1">VLOOKUP(B1025,'ALL DATABASES'!$A$1:$T$2252,2,FALSE)</f>
        <v>von Hahn T,Mechefske CK</v>
      </c>
      <c r="D1025" s="15">
        <f ca="1">VLOOKUP(B1025,'ALL DATABASES'!$A$1:$T$2252,5,FALSE)</f>
        <v>2022</v>
      </c>
      <c r="E1025" s="15">
        <f ca="1">VLOOKUP(B1025,'ALL DATABASES'!$A$1:$T$2252,10,FALSE)</f>
        <v>2022</v>
      </c>
      <c r="F1025" s="54" t="str">
        <f ca="1">VLOOKUP(B1025,'ALL DATABASES'!$A$1:$T$2252,14,FALSE)</f>
        <v>https://www.scopus.com/inward/record.uri?eid=2-s2.0-85144704030&amp;doi=10.3390%2fmachines10121233&amp;partnerID=40&amp;md5=e5fa100d835fe550ee8f64a2c9407fa0;http://dx.doi.org/10.3390/machines10121233</v>
      </c>
      <c r="G1025" s="15" t="str">
        <f ca="1">VLOOKUP(B1025,'ALL DATABASES'!$A$1:$T$2252,3,FALSE)</f>
        <v>Journal Article</v>
      </c>
      <c r="H1025" s="50" t="str">
        <f ca="1">VLOOKUP(B1025,'ALL DATABASES'!$A$1:$T$2252,20,FALSE)</f>
        <v>SCOPUS</v>
      </c>
    </row>
    <row r="1026" spans="1:8" ht="12.75" x14ac:dyDescent="0.2">
      <c r="A1026">
        <v>1025</v>
      </c>
      <c r="B1026" s="15" t="str">
        <f ca="1">IFERROR(__xludf.DUMMYFUNCTION("""COMPUTED_VALUE"""),"Machine learning solution for iot big data")</f>
        <v>Machine learning solution for iot big data</v>
      </c>
      <c r="C1026" s="15" t="str">
        <f ca="1">VLOOKUP(B1026,'ALL DATABASES'!$A$1:$T$2252,2,FALSE)</f>
        <v>Dineva K,Atanasova T</v>
      </c>
      <c r="D1026" s="15">
        <f ca="1">VLOOKUP(B1026,'ALL DATABASES'!$A$1:$T$2252,5,FALSE)</f>
        <v>2020</v>
      </c>
      <c r="E1026" s="15">
        <f ca="1">VLOOKUP(B1026,'ALL DATABASES'!$A$1:$T$2252,10,FALSE)</f>
        <v>2020</v>
      </c>
      <c r="F1026" s="54" t="str">
        <f ca="1">VLOOKUP(B1026,'ALL DATABASES'!$A$1:$T$2252,14,FALSE)</f>
        <v>https://www.scopus.com/inward/record.uri?eid=2-s2.0-85099723672&amp;doi=10.5593%2fsgem2020%2f2.1%2fs07.027&amp;partnerID=40&amp;md5=a2c61d7ad9145169efb9c0e826a061dc;http://dx.doi.org/10.5593/sgem2020/2.1/s07.027</v>
      </c>
      <c r="G1026" s="15" t="str">
        <f ca="1">VLOOKUP(B1026,'ALL DATABASES'!$A$1:$T$2252,3,FALSE)</f>
        <v>Conference Paper</v>
      </c>
      <c r="H1026" s="50" t="str">
        <f ca="1">VLOOKUP(B1026,'ALL DATABASES'!$A$1:$T$2252,20,FALSE)</f>
        <v>SCOPUS</v>
      </c>
    </row>
    <row r="1027" spans="1:8" ht="12.75" x14ac:dyDescent="0.2">
      <c r="A1027">
        <v>1026</v>
      </c>
      <c r="B1027" s="15" t="str">
        <f ca="1">IFERROR(__xludf.DUMMYFUNCTION("""COMPUTED_VALUE"""),"Machine Learning System Architectural Pattern for Improving Operational Stability")</f>
        <v>Machine Learning System Architectural Pattern for Improving Operational Stability</v>
      </c>
      <c r="C1027" s="15" t="str">
        <f ca="1">VLOOKUP(B1027,'ALL DATABASES'!$A$1:$T$2252,2,FALSE)</f>
        <v>Yokoyama H</v>
      </c>
      <c r="D1027" s="15">
        <f ca="1">VLOOKUP(B1027,'ALL DATABASES'!$A$1:$T$2252,5,FALSE)</f>
        <v>2019</v>
      </c>
      <c r="E1027" s="15">
        <f ca="1">VLOOKUP(B1027,'ALL DATABASES'!$A$1:$T$2252,10,FALSE)</f>
        <v>2019</v>
      </c>
      <c r="F1027" s="54" t="str">
        <f ca="1">VLOOKUP(B1027,'ALL DATABASES'!$A$1:$T$2252,14,FALSE)</f>
        <v>https://www.scopus.com/inward/record.uri?eid=2-s2.0-85066469510&amp;doi=10.1109%2fICSA-C.2019.00055&amp;partnerID=40&amp;md5=c7a340258c4698a2627f1d507069d861;http://dx.doi.org/10.1109/ICSA-C.2019.00055</v>
      </c>
      <c r="G1027" s="15" t="str">
        <f ca="1">VLOOKUP(B1027,'ALL DATABASES'!$A$1:$T$2252,3,FALSE)</f>
        <v>Conference Paper</v>
      </c>
      <c r="H1027" s="50" t="str">
        <f ca="1">VLOOKUP(B1027,'ALL DATABASES'!$A$1:$T$2252,20,FALSE)</f>
        <v>SCOPUS</v>
      </c>
    </row>
    <row r="1028" spans="1:8" ht="12.75" x14ac:dyDescent="0.2">
      <c r="A1028">
        <v>1027</v>
      </c>
      <c r="B1028" s="15" t="str">
        <f ca="1">IFERROR(__xludf.DUMMYFUNCTION("""COMPUTED_VALUE"""),"Machine learning systems in the IoT: Trustworthiness trade-offs for edge intelligence")</f>
        <v>Machine learning systems in the IoT: Trustworthiness trade-offs for edge intelligence</v>
      </c>
      <c r="C1028" s="15" t="str">
        <f ca="1">VLOOKUP(B1028,'ALL DATABASES'!$A$1:$T$2252,2,FALSE)</f>
        <v>Toussaint W,Ding AY</v>
      </c>
      <c r="D1028" s="15">
        <f ca="1">VLOOKUP(B1028,'ALL DATABASES'!$A$1:$T$2252,5,FALSE)</f>
        <v>2020</v>
      </c>
      <c r="E1028" s="15">
        <f ca="1">VLOOKUP(B1028,'ALL DATABASES'!$A$1:$T$2252,10,FALSE)</f>
        <v>2020</v>
      </c>
      <c r="F1028" s="54" t="str">
        <f ca="1">VLOOKUP(B1028,'ALL DATABASES'!$A$1:$T$2252,14,FALSE)</f>
        <v>https://www.scopus.com/inward/record.uri?eid=2-s2.0-85100622799&amp;doi=10.1109%2fCogMI50398.2020.00030&amp;partnerID=40&amp;md5=c2b9239b0c65551bbc9d33aebe3d0d86;http://dx.doi.org/10.1109/CogMI50398.2020.00030</v>
      </c>
      <c r="G1028" s="15" t="str">
        <f ca="1">VLOOKUP(B1028,'ALL DATABASES'!$A$1:$T$2252,3,FALSE)</f>
        <v>Conference Paper</v>
      </c>
      <c r="H1028" s="50" t="str">
        <f ca="1">VLOOKUP(B1028,'ALL DATABASES'!$A$1:$T$2252,20,FALSE)</f>
        <v>SCOPUS</v>
      </c>
    </row>
    <row r="1029" spans="1:8" ht="12.75" x14ac:dyDescent="0.2">
      <c r="A1029">
        <v>1028</v>
      </c>
      <c r="B1029" s="15" t="str">
        <f ca="1">IFERROR(__xludf.DUMMYFUNCTION("""COMPUTED_VALUE"""),"Machine learning techniques for code smell detection: A systematic literature review and meta-analysis")</f>
        <v>Machine learning techniques for code smell detection: A systematic literature review and meta-analysis</v>
      </c>
      <c r="C1029" s="15" t="str">
        <f ca="1">VLOOKUP(B1029,'ALL DATABASES'!$A$1:$T$2252,2,FALSE)</f>
        <v>Azeem MI,Palomba F,Shi L,Wang Q</v>
      </c>
      <c r="D1029" s="15">
        <f ca="1">VLOOKUP(B1029,'ALL DATABASES'!$A$1:$T$2252,5,FALSE)</f>
        <v>2019</v>
      </c>
      <c r="E1029" s="15">
        <f ca="1">VLOOKUP(B1029,'ALL DATABASES'!$A$1:$T$2252,10,FALSE)</f>
        <v>2019</v>
      </c>
      <c r="F1029" s="54" t="str">
        <f ca="1">VLOOKUP(B1029,'ALL DATABASES'!$A$1:$T$2252,14,FALSE)</f>
        <v>https://www.sciencedirect.com/science/article/pii/S0950584918302623;http://dx.doi.org/10.1016/j.infsof.2018.12.009</v>
      </c>
      <c r="G1029" s="15" t="str">
        <f ca="1">VLOOKUP(B1029,'ALL DATABASES'!$A$1:$T$2252,3,FALSE)</f>
        <v>Journal Article</v>
      </c>
      <c r="H1029" s="50" t="str">
        <f ca="1">VLOOKUP(B1029,'ALL DATABASES'!$A$1:$T$2252,20,FALSE)</f>
        <v>SCIENCEDIRECT</v>
      </c>
    </row>
    <row r="1030" spans="1:8" ht="12.75" x14ac:dyDescent="0.2">
      <c r="A1030">
        <v>1029</v>
      </c>
      <c r="B1030" s="15" t="str">
        <f ca="1">IFERROR(__xludf.DUMMYFUNCTION("""COMPUTED_VALUE"""),"Machine Learning Testing: Survey, Landscapes and Horizons")</f>
        <v>Machine Learning Testing: Survey, Landscapes and Horizons</v>
      </c>
      <c r="C1030" s="15" t="str">
        <f ca="1">VLOOKUP(B1030,'ALL DATABASES'!$A$1:$T$2252,2,FALSE)</f>
        <v>Zhang JM,Harman M,Ma L,Liu Y</v>
      </c>
      <c r="D1030" s="15">
        <f ca="1">VLOOKUP(B1030,'ALL DATABASES'!$A$1:$T$2252,5,FALSE)</f>
        <v>2022</v>
      </c>
      <c r="E1030" s="15">
        <f ca="1">VLOOKUP(B1030,'ALL DATABASES'!$A$1:$T$2252,10,FALSE)</f>
        <v>2022</v>
      </c>
      <c r="F1030" s="54" t="str">
        <f ca="1">VLOOKUP(B1030,'ALL DATABASES'!$A$1:$T$2252,14,FALSE)</f>
        <v>https://www.scopus.com/inward/record.uri?eid=2-s2.0-85123224381&amp;doi=10.1109%2fTSE.2019.2962027&amp;partnerID=40&amp;md5=6bcb2de3ce3cbcef90ece1cf886dda83;http://dx.doi.org/10.1109/TSE.2019.2962027</v>
      </c>
      <c r="G1030" s="15" t="str">
        <f ca="1">VLOOKUP(B1030,'ALL DATABASES'!$A$1:$T$2252,3,FALSE)</f>
        <v>Journal Article</v>
      </c>
      <c r="H1030" s="50" t="str">
        <f ca="1">VLOOKUP(B1030,'ALL DATABASES'!$A$1:$T$2252,20,FALSE)</f>
        <v>SCOPUS</v>
      </c>
    </row>
    <row r="1031" spans="1:8" ht="12.75" x14ac:dyDescent="0.2">
      <c r="A1031">
        <v>1030</v>
      </c>
      <c r="B1031" s="15" t="str">
        <f ca="1">IFERROR(__xludf.DUMMYFUNCTION("""COMPUTED_VALUE"""),"Machine Learning Threatens 5G Security")</f>
        <v>Machine Learning Threatens 5G Security</v>
      </c>
      <c r="C1031" s="15" t="str">
        <f ca="1">VLOOKUP(B1031,'ALL DATABASES'!$A$1:$T$2252,2,FALSE)</f>
        <v>Suomalainen J,Juhola A,Shahabuddin S,Mämmelä A,Ahmad I</v>
      </c>
      <c r="D1031" s="15">
        <f ca="1">VLOOKUP(B1031,'ALL DATABASES'!$A$1:$T$2252,5,FALSE)</f>
        <v>2020</v>
      </c>
      <c r="E1031" s="15">
        <f ca="1">VLOOKUP(B1031,'ALL DATABASES'!$A$1:$T$2252,10,FALSE)</f>
        <v>2020</v>
      </c>
      <c r="F1031" s="54" t="str">
        <f ca="1">VLOOKUP(B1031,'ALL DATABASES'!$A$1:$T$2252,14,FALSE)</f>
        <v>https://www.scopus.com/inward/record.uri?eid=2-s2.0-85098319392&amp;doi=10.1109%2fACCESS.2020.3031966&amp;partnerID=40&amp;md5=4717a4f2a05e5ca9ebe049903e489060;http://dx.doi.org/10.1109/ACCESS.2020.3031966</v>
      </c>
      <c r="G1031" s="15" t="str">
        <f ca="1">VLOOKUP(B1031,'ALL DATABASES'!$A$1:$T$2252,3,FALSE)</f>
        <v>Journal Article</v>
      </c>
      <c r="H1031" s="50" t="str">
        <f ca="1">VLOOKUP(B1031,'ALL DATABASES'!$A$1:$T$2252,20,FALSE)</f>
        <v>SCOPUS</v>
      </c>
    </row>
    <row r="1032" spans="1:8" ht="12.75" x14ac:dyDescent="0.2">
      <c r="A1032">
        <v>1031</v>
      </c>
      <c r="B1032" s="15" t="str">
        <f ca="1">IFERROR(__xludf.DUMMYFUNCTION("""COMPUTED_VALUE"""),"Machine learning to evaluate evolvability defects: Code metrics thresholds for a given context")</f>
        <v>Machine learning to evaluate evolvability defects: Code metrics thresholds for a given context</v>
      </c>
      <c r="C1032" s="15" t="str">
        <f ca="1">VLOOKUP(B1032,'ALL DATABASES'!$A$1:$T$2252,2,FALSE)</f>
        <v>Tsuda N,Washizaki H,Fukazawa Y,Yasuda Y,Sugimura S</v>
      </c>
      <c r="D1032" s="15">
        <f ca="1">VLOOKUP(B1032,'ALL DATABASES'!$A$1:$T$2252,5,FALSE)</f>
        <v>2018</v>
      </c>
      <c r="E1032" s="15">
        <f ca="1">VLOOKUP(B1032,'ALL DATABASES'!$A$1:$T$2252,10,FALSE)</f>
        <v>2018</v>
      </c>
      <c r="F1032" s="54" t="str">
        <f ca="1">VLOOKUP(B1032,'ALL DATABASES'!$A$1:$T$2252,14,FALSE)</f>
        <v>https://www.scopus.com/inward/record.uri?eid=2-s2.0-85052334218&amp;doi=10.1109%2fQRS.2018.00022&amp;partnerID=40&amp;md5=23f508f0a35d3d0723c974f99d1a5d48;http://dx.doi.org/10.1109/QRS.2018.00022</v>
      </c>
      <c r="G1032" s="15" t="str">
        <f ca="1">VLOOKUP(B1032,'ALL DATABASES'!$A$1:$T$2252,3,FALSE)</f>
        <v>Conference Paper</v>
      </c>
      <c r="H1032" s="50" t="str">
        <f ca="1">VLOOKUP(B1032,'ALL DATABASES'!$A$1:$T$2252,20,FALSE)</f>
        <v>SCOPUS</v>
      </c>
    </row>
    <row r="1033" spans="1:8" ht="12.75" x14ac:dyDescent="0.2">
      <c r="A1033">
        <v>1032</v>
      </c>
      <c r="B1033" s="15" t="str">
        <f ca="1">IFERROR(__xludf.DUMMYFUNCTION("""COMPUTED_VALUE"""),"Machine Learning-based Estimation of Story Points in Agile Development: Industrial Experience and Lessons Learned")</f>
        <v>Machine Learning-based Estimation of Story Points in Agile Development: Industrial Experience and Lessons Learned</v>
      </c>
      <c r="C1033" s="15" t="str">
        <f ca="1">VLOOKUP(B1033,'ALL DATABASES'!$A$1:$T$2252,2,FALSE)</f>
        <v>Abadeer M,Sabetzadeh M</v>
      </c>
      <c r="D1033" s="15">
        <f ca="1">VLOOKUP(B1033,'ALL DATABASES'!$A$1:$T$2252,5,FALSE)</f>
        <v>2021</v>
      </c>
      <c r="E1033" s="55">
        <f ca="1">VLOOKUP(B1033,'ALL DATABASES'!$A$1:$T$2252,10,FALSE)</f>
        <v>44440</v>
      </c>
      <c r="F1033" s="54" t="str">
        <f ca="1">VLOOKUP(B1033,'ALL DATABASES'!$A$1:$T$2252,14,FALSE)</f>
        <v>http://dx.doi.org/10.1109/REW53955.2021.00022</v>
      </c>
      <c r="G1033" s="15" t="str">
        <f ca="1">VLOOKUP(B1033,'ALL DATABASES'!$A$1:$T$2252,3,FALSE)</f>
        <v>Conference Paper</v>
      </c>
      <c r="H1033" s="50" t="str">
        <f ca="1">VLOOKUP(B1033,'ALL DATABASES'!$A$1:$T$2252,20,FALSE)</f>
        <v>IEEE</v>
      </c>
    </row>
    <row r="1034" spans="1:8" ht="12.75" x14ac:dyDescent="0.2">
      <c r="A1034">
        <v>1033</v>
      </c>
      <c r="B1034" s="15" t="str">
        <f ca="1">IFERROR(__xludf.DUMMYFUNCTION("""COMPUTED_VALUE"""),"Maintainability Challenges in ML: A Systematic Literature Review")</f>
        <v>Maintainability Challenges in ML: A Systematic Literature Review</v>
      </c>
      <c r="C1034" s="15" t="str">
        <f ca="1">VLOOKUP(B1034,'ALL DATABASES'!$A$1:$T$2252,2,FALSE)</f>
        <v>Shivashankar K,Martini A</v>
      </c>
      <c r="D1034" s="15">
        <f ca="1">VLOOKUP(B1034,'ALL DATABASES'!$A$1:$T$2252,5,FALSE)</f>
        <v>2022</v>
      </c>
      <c r="E1034" s="55">
        <f ca="1">VLOOKUP(B1034,'ALL DATABASES'!$A$1:$T$2252,10,FALSE)</f>
        <v>44774</v>
      </c>
      <c r="F1034" s="54" t="str">
        <f ca="1">VLOOKUP(B1034,'ALL DATABASES'!$A$1:$T$2252,14,FALSE)</f>
        <v>http://dx.doi.org/10.1109/SEAA56994.2022.00018</v>
      </c>
      <c r="G1034" s="15" t="str">
        <f ca="1">VLOOKUP(B1034,'ALL DATABASES'!$A$1:$T$2252,3,FALSE)</f>
        <v>Conference Paper</v>
      </c>
      <c r="H1034" s="50" t="str">
        <f ca="1">VLOOKUP(B1034,'ALL DATABASES'!$A$1:$T$2252,20,FALSE)</f>
        <v>IEEE</v>
      </c>
    </row>
    <row r="1035" spans="1:8" ht="12.75" x14ac:dyDescent="0.2">
      <c r="A1035">
        <v>1034</v>
      </c>
      <c r="B1035" s="15" t="str">
        <f ca="1">IFERROR(__xludf.DUMMYFUNCTION("""COMPUTED_VALUE"""),"Maintenance process modeling and dynamic estimations based on Bayesian networks and association rules")</f>
        <v>Maintenance process modeling and dynamic estimations based on Bayesian networks and association rules</v>
      </c>
      <c r="C1035" s="15" t="str">
        <f ca="1">VLOOKUP(B1035,'ALL DATABASES'!$A$1:$T$2252,2,FALSE)</f>
        <v>Chatzimparmpas A,Bibi S</v>
      </c>
      <c r="D1035" s="15">
        <f ca="1">VLOOKUP(B1035,'ALL DATABASES'!$A$1:$T$2252,5,FALSE)</f>
        <v>2019</v>
      </c>
      <c r="E1035" s="15">
        <f ca="1">VLOOKUP(B1035,'ALL DATABASES'!$A$1:$T$2252,10,FALSE)</f>
        <v>2019</v>
      </c>
      <c r="F1035" s="54" t="str">
        <f ca="1">VLOOKUP(B1035,'ALL DATABASES'!$A$1:$T$2252,14,FALSE)</f>
        <v>https://www.scopus.com/inward/record.uri?eid=2-s2.0-85073519954&amp;doi=10.1002%2fsmr.2163&amp;partnerID=40&amp;md5=bac60aa852dc276f5e68e8afbf7cd867;http://dx.doi.org/10.1002/smr.2163</v>
      </c>
      <c r="G1035" s="15" t="str">
        <f ca="1">VLOOKUP(B1035,'ALL DATABASES'!$A$1:$T$2252,3,FALSE)</f>
        <v>Journal Article</v>
      </c>
      <c r="H1035" s="50" t="str">
        <f ca="1">VLOOKUP(B1035,'ALL DATABASES'!$A$1:$T$2252,20,FALSE)</f>
        <v>SCOPUS</v>
      </c>
    </row>
    <row r="1036" spans="1:8" ht="12.75" x14ac:dyDescent="0.2">
      <c r="A1036">
        <v>1035</v>
      </c>
      <c r="B1036" s="15" t="str">
        <f ca="1">IFERROR(__xludf.DUMMYFUNCTION("""COMPUTED_VALUE"""),"Maintenance-related concerns for post-deployed Ethereum smart contract development: issues, techniques, and future challenges")</f>
        <v>Maintenance-related concerns for post-deployed Ethereum smart contract development: issues, techniques, and future challenges</v>
      </c>
      <c r="C1036" s="15" t="str">
        <f ca="1">VLOOKUP(B1036,'ALL DATABASES'!$A$1:$T$2252,2,FALSE)</f>
        <v>Chen J,Xia X,Lo D,Grundy J,Yang X</v>
      </c>
      <c r="D1036" s="15">
        <f ca="1">VLOOKUP(B1036,'ALL DATABASES'!$A$1:$T$2252,5,FALSE)</f>
        <v>2021</v>
      </c>
      <c r="E1036" s="15">
        <f ca="1">VLOOKUP(B1036,'ALL DATABASES'!$A$1:$T$2252,10,FALSE)</f>
        <v>2021</v>
      </c>
      <c r="F1036" s="54" t="str">
        <f ca="1">VLOOKUP(B1036,'ALL DATABASES'!$A$1:$T$2252,14,FALSE)</f>
        <v>https://www.scopus.com/inward/record.uri?eid=2-s2.0-85113474504&amp;doi=10.1007%2fs10664-021-10018-0&amp;partnerID=40&amp;md5=6de027a2a0fa35df19a60344cfcc598e;http://dx.doi.org/10.1007/s10664-021-10018-0</v>
      </c>
      <c r="G1036" s="15" t="str">
        <f ca="1">VLOOKUP(B1036,'ALL DATABASES'!$A$1:$T$2252,3,FALSE)</f>
        <v>Journal Article</v>
      </c>
      <c r="H1036" s="50" t="str">
        <f ca="1">VLOOKUP(B1036,'ALL DATABASES'!$A$1:$T$2252,20,FALSE)</f>
        <v>SCOPUS</v>
      </c>
    </row>
    <row r="1037" spans="1:8" ht="12.75" x14ac:dyDescent="0.2">
      <c r="A1037">
        <v>1036</v>
      </c>
      <c r="B1037" s="15" t="str">
        <f ca="1">IFERROR(__xludf.DUMMYFUNCTION("""COMPUTED_VALUE"""),"Making Industrial Analytics work for Factory Automation Applications")</f>
        <v>Making Industrial Analytics work for Factory Automation Applications</v>
      </c>
      <c r="C1037" s="15" t="str">
        <f ca="1">VLOOKUP(B1037,'ALL DATABASES'!$A$1:$T$2252,2,FALSE)</f>
        <v>Markus Koester</v>
      </c>
      <c r="D1037" s="15">
        <f ca="1">VLOOKUP(B1037,'ALL DATABASES'!$A$1:$T$2252,5,FALSE)</f>
        <v>2019</v>
      </c>
      <c r="E1037" s="15">
        <f ca="1">VLOOKUP(B1037,'ALL DATABASES'!$A$1:$T$2252,10,FALSE)</f>
        <v>0</v>
      </c>
      <c r="F1037" s="54" t="str">
        <f ca="1">VLOOKUP(B1037,'ALL DATABASES'!$A$1:$T$2252,14,FALSE)</f>
        <v>http://link.springer.com/chapter/10.1007/978-3-662-58485-9_13</v>
      </c>
      <c r="G1037" s="15" t="str">
        <f ca="1">VLOOKUP(B1037,'ALL DATABASES'!$A$1:$T$2252,3,FALSE)</f>
        <v>Chapter</v>
      </c>
      <c r="H1037" s="50" t="str">
        <f ca="1">VLOOKUP(B1037,'ALL DATABASES'!$A$1:$T$2252,20,FALSE)</f>
        <v>SPRINGER</v>
      </c>
    </row>
    <row r="1038" spans="1:8" ht="12.75" x14ac:dyDescent="0.2">
      <c r="A1038">
        <v>1037</v>
      </c>
      <c r="B1038" s="15" t="str">
        <f ca="1">IFERROR(__xludf.DUMMYFUNCTION("""COMPUTED_VALUE"""),"Making Runtime Data Useful for Incident Diagnosis: An Experience Report")</f>
        <v>Making Runtime Data Useful for Incident Diagnosis: An Experience Report</v>
      </c>
      <c r="C1038" s="15" t="str">
        <f ca="1">VLOOKUP(B1038,'ALL DATABASES'!$A$1:$T$2252,2,FALSE)</f>
        <v>Florian LautenschlagerMarcus Ciolkowski</v>
      </c>
      <c r="D1038" s="15">
        <f ca="1">VLOOKUP(B1038,'ALL DATABASES'!$A$1:$T$2252,5,FALSE)</f>
        <v>2018</v>
      </c>
      <c r="E1038" s="15">
        <f ca="1">VLOOKUP(B1038,'ALL DATABASES'!$A$1:$T$2252,10,FALSE)</f>
        <v>0</v>
      </c>
      <c r="F1038" s="54" t="str">
        <f ca="1">VLOOKUP(B1038,'ALL DATABASES'!$A$1:$T$2252,14,FALSE)</f>
        <v>http://link.springer.com/chapter/10.1007/978-3-030-03673-7_33</v>
      </c>
      <c r="G1038" s="15" t="str">
        <f ca="1">VLOOKUP(B1038,'ALL DATABASES'!$A$1:$T$2252,3,FALSE)</f>
        <v>Chapter</v>
      </c>
      <c r="H1038" s="50" t="str">
        <f ca="1">VLOOKUP(B1038,'ALL DATABASES'!$A$1:$T$2252,20,FALSE)</f>
        <v>SPRINGER</v>
      </c>
    </row>
    <row r="1039" spans="1:8" ht="12.75" x14ac:dyDescent="0.2">
      <c r="A1039">
        <v>1038</v>
      </c>
      <c r="B1039" s="15" t="str">
        <f ca="1">IFERROR(__xludf.DUMMYFUNCTION("""COMPUTED_VALUE"""),"Making the case for safety of machine learning in highly automated driving")</f>
        <v>Making the case for safety of machine learning in highly automated driving</v>
      </c>
      <c r="C1039" s="15" t="str">
        <f ca="1">VLOOKUP(B1039,'ALL DATABASES'!$A$1:$T$2252,2,FALSE)</f>
        <v>Burton S,Gauerhof L,Heinzemann C</v>
      </c>
      <c r="D1039" s="15">
        <f ca="1">VLOOKUP(B1039,'ALL DATABASES'!$A$1:$T$2252,5,FALSE)</f>
        <v>2017</v>
      </c>
      <c r="E1039" s="15">
        <f ca="1">VLOOKUP(B1039,'ALL DATABASES'!$A$1:$T$2252,10,FALSE)</f>
        <v>2017</v>
      </c>
      <c r="F1039" s="54" t="str">
        <f ca="1">VLOOKUP(B1039,'ALL DATABASES'!$A$1:$T$2252,14,FALSE)</f>
        <v>https://www.scopus.com/inward/record.uri?eid=2-s2.0-85029515113&amp;doi=10.1007%2f978-3-319-66284-8_1&amp;partnerID=40&amp;md5=32d5292a0e6d26b3a4fb181066229bd3;http://dx.doi.org/10.1007/978-3-319-66284-8_1</v>
      </c>
      <c r="G1039" s="15" t="str">
        <f ca="1">VLOOKUP(B1039,'ALL DATABASES'!$A$1:$T$2252,3,FALSE)</f>
        <v>Journal Article</v>
      </c>
      <c r="H1039" s="50" t="str">
        <f ca="1">VLOOKUP(B1039,'ALL DATABASES'!$A$1:$T$2252,20,FALSE)</f>
        <v>SCOPUS</v>
      </c>
    </row>
    <row r="1040" spans="1:8" ht="12.75" x14ac:dyDescent="0.2">
      <c r="A1040">
        <v>1039</v>
      </c>
      <c r="B1040" s="15" t="str">
        <f ca="1">IFERROR(__xludf.DUMMYFUNCTION("""COMPUTED_VALUE"""),"Making the Most of Small Software Engineering Datasets with Modern Machine Learning")</f>
        <v>Making the Most of Small Software Engineering Datasets with Modern Machine Learning</v>
      </c>
      <c r="C1040" s="15" t="str">
        <f ca="1">VLOOKUP(B1040,'ALL DATABASES'!$A$1:$T$2252,2,FALSE)</f>
        <v>Prenner JA,Robbes R</v>
      </c>
      <c r="D1040" s="15">
        <f ca="1">VLOOKUP(B1040,'ALL DATABASES'!$A$1:$T$2252,5,FALSE)</f>
        <v>2022</v>
      </c>
      <c r="E1040" s="53">
        <f ca="1">VLOOKUP(B1040,'ALL DATABASES'!$A$1:$T$2252,10,FALSE)</f>
        <v>44896</v>
      </c>
      <c r="F1040" s="54" t="str">
        <f ca="1">VLOOKUP(B1040,'ALL DATABASES'!$A$1:$T$2252,14,FALSE)</f>
        <v>http://dx.doi.org/10.1109/TSE.2021.3135465</v>
      </c>
      <c r="G1040" s="15" t="str">
        <f ca="1">VLOOKUP(B1040,'ALL DATABASES'!$A$1:$T$2252,3,FALSE)</f>
        <v>Journal Article</v>
      </c>
      <c r="H1040" s="50" t="str">
        <f ca="1">VLOOKUP(B1040,'ALL DATABASES'!$A$1:$T$2252,20,FALSE)</f>
        <v>IEEE</v>
      </c>
    </row>
    <row r="1041" spans="1:8" ht="12.75" x14ac:dyDescent="0.2">
      <c r="A1041">
        <v>1040</v>
      </c>
      <c r="B1041" s="15" t="str">
        <f ca="1">IFERROR(__xludf.DUMMYFUNCTION("""COMPUTED_VALUE"""),"Making Your App Inclusive")</f>
        <v>Making Your App Inclusive</v>
      </c>
      <c r="C1041" s="15" t="str">
        <f ca="1">VLOOKUP(B1041,'ALL DATABASES'!$A$1:$T$2252,2,FALSE)</f>
        <v>Rob Whitaker</v>
      </c>
      <c r="D1041" s="15">
        <f ca="1">VLOOKUP(B1041,'ALL DATABASES'!$A$1:$T$2252,5,FALSE)</f>
        <v>2020</v>
      </c>
      <c r="E1041" s="15">
        <f ca="1">VLOOKUP(B1041,'ALL DATABASES'!$A$1:$T$2252,10,FALSE)</f>
        <v>0</v>
      </c>
      <c r="F1041" s="54" t="str">
        <f ca="1">VLOOKUP(B1041,'ALL DATABASES'!$A$1:$T$2252,14,FALSE)</f>
        <v>http://link.springer.com/chapter/10.1007/978-1-4842-5814-9_12</v>
      </c>
      <c r="G1041" s="15" t="str">
        <f ca="1">VLOOKUP(B1041,'ALL DATABASES'!$A$1:$T$2252,3,FALSE)</f>
        <v>Chapter</v>
      </c>
      <c r="H1041" s="50" t="str">
        <f ca="1">VLOOKUP(B1041,'ALL DATABASES'!$A$1:$T$2252,20,FALSE)</f>
        <v>SPRINGER</v>
      </c>
    </row>
    <row r="1042" spans="1:8" ht="12.75" x14ac:dyDescent="0.2">
      <c r="A1042">
        <v>1041</v>
      </c>
      <c r="B1042" s="15" t="str">
        <f ca="1">IFERROR(__xludf.DUMMYFUNCTION("""COMPUTED_VALUE"""),"MALTESQUE 2019 Workshop Summary")</f>
        <v>MALTESQUE 2019 Workshop Summary</v>
      </c>
      <c r="C1042" s="15" t="str">
        <f ca="1">VLOOKUP(B1042,'ALL DATABASES'!$A$1:$T$2252,2,FALSE)</f>
        <v>Fontana FA,Perrouin G,Ampatzoglou A,Archer M,Walter B,Cordy M,Palomba F,Devroey X</v>
      </c>
      <c r="D1042" s="15">
        <f ca="1">VLOOKUP(B1042,'ALL DATABASES'!$A$1:$T$2252,5,FALSE)</f>
        <v>2020</v>
      </c>
      <c r="E1042" s="55">
        <f ca="1">VLOOKUP(B1042,'ALL DATABASES'!$A$1:$T$2252,10,FALSE)</f>
        <v>43831</v>
      </c>
      <c r="F1042" s="54" t="str">
        <f ca="1">VLOOKUP(B1042,'ALL DATABASES'!$A$1:$T$2252,14,FALSE)</f>
        <v>https://doi.org/10.1145/3375572.3375582;http://dx.doi.org/10.1145/3375572.3375582</v>
      </c>
      <c r="G1042" s="15" t="str">
        <f ca="1">VLOOKUP(B1042,'ALL DATABASES'!$A$1:$T$2252,3,FALSE)</f>
        <v>Journal Article</v>
      </c>
      <c r="H1042" s="50" t="str">
        <f ca="1">VLOOKUP(B1042,'ALL DATABASES'!$A$1:$T$2252,20,FALSE)</f>
        <v>ACM</v>
      </c>
    </row>
    <row r="1043" spans="1:8" ht="12.75" x14ac:dyDescent="0.2">
      <c r="A1043">
        <v>1042</v>
      </c>
      <c r="B1043" s="15" t="str">
        <f ca="1">IFERROR(__xludf.DUMMYFUNCTION("""COMPUTED_VALUE"""),"MaLTeSQuE 2022 Workshop Summary")</f>
        <v>MaLTeSQuE 2022 Workshop Summary</v>
      </c>
      <c r="C1043" s="15" t="str">
        <f ca="1">VLOOKUP(B1043,'ALL DATABASES'!$A$1:$T$2252,2,FALSE)</f>
        <v>Cordy M,Xie X,Xu B,Stamatia B</v>
      </c>
      <c r="D1043" s="15">
        <f ca="1">VLOOKUP(B1043,'ALL DATABASES'!$A$1:$T$2252,5,FALSE)</f>
        <v>2023</v>
      </c>
      <c r="E1043" s="55">
        <f ca="1">VLOOKUP(B1043,'ALL DATABASES'!$A$1:$T$2252,10,FALSE)</f>
        <v>44927</v>
      </c>
      <c r="F1043" s="54" t="str">
        <f ca="1">VLOOKUP(B1043,'ALL DATABASES'!$A$1:$T$2252,14,FALSE)</f>
        <v>https://doi.org/10.1145/3573074.3573099;http://dx.doi.org/10.1145/3573074.3573099</v>
      </c>
      <c r="G1043" s="15" t="str">
        <f ca="1">VLOOKUP(B1043,'ALL DATABASES'!$A$1:$T$2252,3,FALSE)</f>
        <v>Journal Article</v>
      </c>
      <c r="H1043" s="50" t="str">
        <f ca="1">VLOOKUP(B1043,'ALL DATABASES'!$A$1:$T$2252,20,FALSE)</f>
        <v>ACM</v>
      </c>
    </row>
    <row r="1044" spans="1:8" ht="12.75" x14ac:dyDescent="0.2">
      <c r="A1044">
        <v>1043</v>
      </c>
      <c r="B1044" s="15" t="str">
        <f ca="1">IFERROR(__xludf.DUMMYFUNCTION("""COMPUTED_VALUE"""),"MaLTeSQuE 2022: Proceedings of the 6th International Workshop on Machine Learning Techniques for Software Quality Evaluation")</f>
        <v>MaLTeSQuE 2022: Proceedings of the 6th International Workshop on Machine Learning Techniques for Software Quality Evaluation</v>
      </c>
      <c r="C1044" s="15">
        <f ca="1">VLOOKUP(B1044,'ALL DATABASES'!$A$1:$T$2252,2,FALSE)</f>
        <v>0</v>
      </c>
      <c r="D1044" s="15">
        <f ca="1">VLOOKUP(B1044,'ALL DATABASES'!$A$1:$T$2252,5,FALSE)</f>
        <v>2022</v>
      </c>
      <c r="E1044" s="15">
        <f ca="1">VLOOKUP(B1044,'ALL DATABASES'!$A$1:$T$2252,10,FALSE)</f>
        <v>2022</v>
      </c>
      <c r="F1044" s="15">
        <f ca="1">VLOOKUP(B1044,'ALL DATABASES'!$A$1:$T$2252,14,FALSE)</f>
        <v>0</v>
      </c>
      <c r="G1044" s="15" t="str">
        <f ca="1">VLOOKUP(B1044,'ALL DATABASES'!$A$1:$T$2252,3,FALSE)</f>
        <v>Book</v>
      </c>
      <c r="H1044" s="50" t="str">
        <f ca="1">VLOOKUP(B1044,'ALL DATABASES'!$A$1:$T$2252,20,FALSE)</f>
        <v>ACM</v>
      </c>
    </row>
    <row r="1045" spans="1:8" ht="12.75" x14ac:dyDescent="0.2">
      <c r="A1045">
        <v>1044</v>
      </c>
      <c r="B1045" s="15" t="str">
        <f ca="1">IFERROR(__xludf.DUMMYFUNCTION("""COMPUTED_VALUE"""),"Management of quality requirements in agile and rapid software development: A systematic mapping study")</f>
        <v>Management of quality requirements in agile and rapid software development: A systematic mapping study</v>
      </c>
      <c r="C1045" s="15" t="str">
        <f ca="1">VLOOKUP(B1045,'ALL DATABASES'!$A$1:$T$2252,2,FALSE)</f>
        <v>Behutiye W,Karhapää P,López L,Burgués X,Martínez-Fernández S,Vollmer AM,Rodríguez P,Franch X,Oivo M</v>
      </c>
      <c r="D1045" s="15">
        <f ca="1">VLOOKUP(B1045,'ALL DATABASES'!$A$1:$T$2252,5,FALSE)</f>
        <v>2020</v>
      </c>
      <c r="E1045" s="15">
        <f ca="1">VLOOKUP(B1045,'ALL DATABASES'!$A$1:$T$2252,10,FALSE)</f>
        <v>2020</v>
      </c>
      <c r="F1045" s="54" t="str">
        <f ca="1">VLOOKUP(B1045,'ALL DATABASES'!$A$1:$T$2252,14,FALSE)</f>
        <v>https://www.sciencedirect.com/science/article/pii/S095058491930240X;http://dx.doi.org/10.1016/j.infsof.2019.106225</v>
      </c>
      <c r="G1045" s="15" t="str">
        <f ca="1">VLOOKUP(B1045,'ALL DATABASES'!$A$1:$T$2252,3,FALSE)</f>
        <v>Journal Article</v>
      </c>
      <c r="H1045" s="50" t="str">
        <f ca="1">VLOOKUP(B1045,'ALL DATABASES'!$A$1:$T$2252,20,FALSE)</f>
        <v>SCIENCEDIRECT</v>
      </c>
    </row>
    <row r="1046" spans="1:8" ht="12.75" x14ac:dyDescent="0.2">
      <c r="A1046">
        <v>1045</v>
      </c>
      <c r="B1046" s="15" t="str">
        <f ca="1">IFERROR(__xludf.DUMMYFUNCTION("""COMPUTED_VALUE"""),"Managing Technical Debt Under Uncertainty")</f>
        <v>Managing Technical Debt Under Uncertainty</v>
      </c>
      <c r="C1046" s="15" t="str">
        <f ca="1">VLOOKUP(B1046,'ALL DATABASES'!$A$1:$T$2252,2,FALSE)</f>
        <v>Fungprasertkul S,Bahsoon R</v>
      </c>
      <c r="D1046" s="15">
        <f ca="1">VLOOKUP(B1046,'ALL DATABASES'!$A$1:$T$2252,5,FALSE)</f>
        <v>2021</v>
      </c>
      <c r="E1046" s="53">
        <f ca="1">VLOOKUP(B1046,'ALL DATABASES'!$A$1:$T$2252,10,FALSE)</f>
        <v>44501</v>
      </c>
      <c r="F1046" s="54" t="str">
        <f ca="1">VLOOKUP(B1046,'ALL DATABASES'!$A$1:$T$2252,14,FALSE)</f>
        <v>http://dx.doi.org/10.1109/MS.2021.3101945</v>
      </c>
      <c r="G1046" s="15" t="str">
        <f ca="1">VLOOKUP(B1046,'ALL DATABASES'!$A$1:$T$2252,3,FALSE)</f>
        <v>Journal Article</v>
      </c>
      <c r="H1046" s="50" t="str">
        <f ca="1">VLOOKUP(B1046,'ALL DATABASES'!$A$1:$T$2252,20,FALSE)</f>
        <v>IEEE</v>
      </c>
    </row>
    <row r="1047" spans="1:8" ht="12.75" x14ac:dyDescent="0.2">
      <c r="A1047">
        <v>1046</v>
      </c>
      <c r="B1047" s="15" t="str">
        <f ca="1">IFERROR(__xludf.DUMMYFUNCTION("""COMPUTED_VALUE"""),"Managing Technical Debt Using Intelligent Techniques - A Systematic Mapping Study")</f>
        <v>Managing Technical Debt Using Intelligent Techniques - A Systematic Mapping Study</v>
      </c>
      <c r="C1047" s="15" t="str">
        <f ca="1">VLOOKUP(B1047,'ALL DATABASES'!$A$1:$T$2252,2,FALSE)</f>
        <v>Albuquerque D,Guimaraes E,Tonin G,Rodriguez P,Perkusich M,Almeida H,Perkusich A,Chagas F</v>
      </c>
      <c r="D1047" s="15">
        <f ca="1">VLOOKUP(B1047,'ALL DATABASES'!$A$1:$T$2252,5,FALSE)</f>
        <v>2022</v>
      </c>
      <c r="E1047" s="15">
        <f ca="1">VLOOKUP(B1047,'ALL DATABASES'!$A$1:$T$2252,10,FALSE)</f>
        <v>2022</v>
      </c>
      <c r="F1047" s="54" t="str">
        <f ca="1">VLOOKUP(B1047,'ALL DATABASES'!$A$1:$T$2252,14,FALSE)</f>
        <v>https://www.scopus.com/inward/record.uri?eid=2-s2.0-85140768355&amp;doi=10.1109%2fTSE.2022.3214764&amp;partnerID=40&amp;md5=9fce7275e531f9a22b02c8a6c8590670;http://dx.doi.org/10.1109/TSE.2022.3214764</v>
      </c>
      <c r="G1047" s="15" t="str">
        <f ca="1">VLOOKUP(B1047,'ALL DATABASES'!$A$1:$T$2252,3,FALSE)</f>
        <v>Journal Article</v>
      </c>
      <c r="H1047" s="50" t="str">
        <f ca="1">VLOOKUP(B1047,'ALL DATABASES'!$A$1:$T$2252,20,FALSE)</f>
        <v>SCOPUS</v>
      </c>
    </row>
    <row r="1048" spans="1:8" ht="12.75" x14ac:dyDescent="0.2">
      <c r="A1048">
        <v>1047</v>
      </c>
      <c r="B1048" s="15" t="str">
        <f ca="1">IFERROR(__xludf.DUMMYFUNCTION("""COMPUTED_VALUE"""),"Managing the Machine Learning Life Cycle")</f>
        <v>Managing the Machine Learning Life Cycle</v>
      </c>
      <c r="C1048" s="15" t="str">
        <f ca="1">VLOOKUP(B1048,'ALL DATABASES'!$A$1:$T$2252,2,FALSE)</f>
        <v>Hien Luu</v>
      </c>
      <c r="D1048" s="15">
        <f ca="1">VLOOKUP(B1048,'ALL DATABASES'!$A$1:$T$2252,5,FALSE)</f>
        <v>2021</v>
      </c>
      <c r="E1048" s="15">
        <f ca="1">VLOOKUP(B1048,'ALL DATABASES'!$A$1:$T$2252,10,FALSE)</f>
        <v>0</v>
      </c>
      <c r="F1048" s="54" t="str">
        <f ca="1">VLOOKUP(B1048,'ALL DATABASES'!$A$1:$T$2252,14,FALSE)</f>
        <v>http://link.springer.com/chapter/10.1007/978-1-4842-7383-8_9</v>
      </c>
      <c r="G1048" s="15" t="str">
        <f ca="1">VLOOKUP(B1048,'ALL DATABASES'!$A$1:$T$2252,3,FALSE)</f>
        <v>Chapter</v>
      </c>
      <c r="H1048" s="50" t="str">
        <f ca="1">VLOOKUP(B1048,'ALL DATABASES'!$A$1:$T$2252,20,FALSE)</f>
        <v>SPRINGER</v>
      </c>
    </row>
    <row r="1049" spans="1:8" ht="12.75" x14ac:dyDescent="0.2">
      <c r="A1049">
        <v>1048</v>
      </c>
      <c r="B1049" s="15" t="str">
        <f ca="1">IFERROR(__xludf.DUMMYFUNCTION("""COMPUTED_VALUE"""),"Mapping Architectural Decay Instances to Dependency Models")</f>
        <v>Mapping Architectural Decay Instances to Dependency Models</v>
      </c>
      <c r="C1049" s="15" t="str">
        <f ca="1">VLOOKUP(B1049,'ALL DATABASES'!$A$1:$T$2252,2,FALSE)</f>
        <v>Mo R,Garcia J,Cai Y,Medvidovic N</v>
      </c>
      <c r="D1049" s="15">
        <f ca="1">VLOOKUP(B1049,'ALL DATABASES'!$A$1:$T$2252,5,FALSE)</f>
        <v>2013</v>
      </c>
      <c r="E1049" s="15">
        <f ca="1">VLOOKUP(B1049,'ALL DATABASES'!$A$1:$T$2252,10,FALSE)</f>
        <v>2013</v>
      </c>
      <c r="F1049" s="15">
        <f ca="1">VLOOKUP(B1049,'ALL DATABASES'!$A$1:$T$2252,14,FALSE)</f>
        <v>0</v>
      </c>
      <c r="G1049" s="15" t="str">
        <f ca="1">VLOOKUP(B1049,'ALL DATABASES'!$A$1:$T$2252,3,FALSE)</f>
        <v>Conference Paper</v>
      </c>
      <c r="H1049" s="50" t="str">
        <f ca="1">VLOOKUP(B1049,'ALL DATABASES'!$A$1:$T$2252,20,FALSE)</f>
        <v>ACM</v>
      </c>
    </row>
    <row r="1050" spans="1:8" ht="12.75" x14ac:dyDescent="0.2">
      <c r="A1050">
        <v>1049</v>
      </c>
      <c r="B1050" s="15" t="str">
        <f ca="1">IFERROR(__xludf.DUMMYFUNCTION("""COMPUTED_VALUE"""),"Mapping program elements to layers using centrality measures and machine learning techniques")</f>
        <v>Mapping program elements to layers using centrality measures and machine learning techniques</v>
      </c>
      <c r="C1050" s="15" t="str">
        <f ca="1">VLOOKUP(B1050,'ALL DATABASES'!$A$1:$T$2252,2,FALSE)</f>
        <v>Thakre SB,Kiwelekar AW</v>
      </c>
      <c r="D1050" s="15">
        <f ca="1">VLOOKUP(B1050,'ALL DATABASES'!$A$1:$T$2252,5,FALSE)</f>
        <v>2021</v>
      </c>
      <c r="E1050" s="15">
        <f ca="1">VLOOKUP(B1050,'ALL DATABASES'!$A$1:$T$2252,10,FALSE)</f>
        <v>2021</v>
      </c>
      <c r="F1050" s="54" t="str">
        <f ca="1">VLOOKUP(B1050,'ALL DATABASES'!$A$1:$T$2252,14,FALSE)</f>
        <v>https://www.scopus.com/inward/record.uri?eid=2-s2.0-85117838230&amp;partnerID=40&amp;md5=4caf4199307476abec5f7e1dc08e661e</v>
      </c>
      <c r="G1050" s="15" t="str">
        <f ca="1">VLOOKUP(B1050,'ALL DATABASES'!$A$1:$T$2252,3,FALSE)</f>
        <v>Conference Paper</v>
      </c>
      <c r="H1050" s="50" t="str">
        <f ca="1">VLOOKUP(B1050,'ALL DATABASES'!$A$1:$T$2252,20,FALSE)</f>
        <v>SCOPUS</v>
      </c>
    </row>
    <row r="1051" spans="1:8" ht="12.75" x14ac:dyDescent="0.2">
      <c r="A1051">
        <v>1050</v>
      </c>
      <c r="B1051" s="15" t="str">
        <f ca="1">IFERROR(__xludf.DUMMYFUNCTION("""COMPUTED_VALUE"""),"Mapping Source Code toÂ Modular Architectures Using Keywords")</f>
        <v>Mapping Source Code toÂ Modular Architectures Using Keywords</v>
      </c>
      <c r="C1051" s="15" t="str">
        <f ca="1">VLOOKUP(B1051,'ALL DATABASES'!$A$1:$T$2252,2,FALSE)</f>
        <v>Tobias OlssonMorgan EricssonAnna Wingkvist</v>
      </c>
      <c r="D1051" s="15">
        <f ca="1">VLOOKUP(B1051,'ALL DATABASES'!$A$1:$T$2252,5,FALSE)</f>
        <v>2022</v>
      </c>
      <c r="E1051" s="15">
        <f ca="1">VLOOKUP(B1051,'ALL DATABASES'!$A$1:$T$2252,10,FALSE)</f>
        <v>0</v>
      </c>
      <c r="F1051" s="54" t="str">
        <f ca="1">VLOOKUP(B1051,'ALL DATABASES'!$A$1:$T$2252,14,FALSE)</f>
        <v>http://link.springer.com/chapter/10.1007/978-3-031-15116-3_4</v>
      </c>
      <c r="G1051" s="15" t="str">
        <f ca="1">VLOOKUP(B1051,'ALL DATABASES'!$A$1:$T$2252,3,FALSE)</f>
        <v>Chapter</v>
      </c>
      <c r="H1051" s="50" t="str">
        <f ca="1">VLOOKUP(B1051,'ALL DATABASES'!$A$1:$T$2252,20,FALSE)</f>
        <v>SPRINGER</v>
      </c>
    </row>
    <row r="1052" spans="1:8" ht="12.75" x14ac:dyDescent="0.2">
      <c r="A1052">
        <v>1051</v>
      </c>
      <c r="B1052" s="15" t="str">
        <f ca="1">IFERROR(__xludf.DUMMYFUNCTION("""COMPUTED_VALUE"""),"Massively Digitized Power Grid: Opportunities and Challenges of Use-Inspired AI")</f>
        <v>Massively Digitized Power Grid: Opportunities and Challenges of Use-Inspired AI</v>
      </c>
      <c r="C1052" s="15" t="str">
        <f ca="1">VLOOKUP(B1052,'ALL DATABASES'!$A$1:$T$2252,2,FALSE)</f>
        <v>Xie L,Zheng X,Sun Y,Huang T,Bruton T</v>
      </c>
      <c r="D1052" s="15">
        <f ca="1">VLOOKUP(B1052,'ALL DATABASES'!$A$1:$T$2252,5,FALSE)</f>
        <v>2022</v>
      </c>
      <c r="E1052" s="15">
        <f ca="1">VLOOKUP(B1052,'ALL DATABASES'!$A$1:$T$2252,10,FALSE)</f>
        <v>2022</v>
      </c>
      <c r="F1052" s="54" t="str">
        <f ca="1">VLOOKUP(B1052,'ALL DATABASES'!$A$1:$T$2252,14,FALSE)</f>
        <v>http://dx.doi.org/10.1109/JPROC.2022.3175070</v>
      </c>
      <c r="G1052" s="15" t="str">
        <f ca="1">VLOOKUP(B1052,'ALL DATABASES'!$A$1:$T$2252,3,FALSE)</f>
        <v>Journal Article</v>
      </c>
      <c r="H1052" s="50" t="str">
        <f ca="1">VLOOKUP(B1052,'ALL DATABASES'!$A$1:$T$2252,20,FALSE)</f>
        <v>IEEE</v>
      </c>
    </row>
    <row r="1053" spans="1:8" ht="12.75" x14ac:dyDescent="0.2">
      <c r="A1053">
        <v>1052</v>
      </c>
      <c r="B1053" s="15" t="str">
        <f ca="1">IFERROR(__xludf.DUMMYFUNCTION("""COMPUTED_VALUE"""),"Mathematical Modeling and Simulation of Systems")</f>
        <v>Mathematical Modeling and Simulation of Systems</v>
      </c>
      <c r="C1053" s="15" t="str">
        <f ca="1">VLOOKUP(B1053,'ALL DATABASES'!$A$1:$T$2252,2,FALSE)</f>
        <v>Prof. Dr. Serhiy ShkarletProf. Anatoliy MorozovProf. Alexander PalaginProf. Dmitri VinnikovAssoc. Prof. Nikolai StoianovDr. Mark ZhelezniakProf. Volodymyr Kazymyr</v>
      </c>
      <c r="D1053" s="15">
        <f ca="1">VLOOKUP(B1053,'ALL DATABASES'!$A$1:$T$2252,5,FALSE)</f>
        <v>2022</v>
      </c>
      <c r="E1053" s="15">
        <f ca="1">VLOOKUP(B1053,'ALL DATABASES'!$A$1:$T$2252,10,FALSE)</f>
        <v>0</v>
      </c>
      <c r="F1053" s="54" t="str">
        <f ca="1">VLOOKUP(B1053,'ALL DATABASES'!$A$1:$T$2252,14,FALSE)</f>
        <v>http://link.springer.com/book/10.1007/978-3-030-89902-8</v>
      </c>
      <c r="G1053" s="15" t="str">
        <f ca="1">VLOOKUP(B1053,'ALL DATABASES'!$A$1:$T$2252,3,FALSE)</f>
        <v>Book</v>
      </c>
      <c r="H1053" s="50" t="str">
        <f ca="1">VLOOKUP(B1053,'ALL DATABASES'!$A$1:$T$2252,20,FALSE)</f>
        <v>SPRINGER</v>
      </c>
    </row>
    <row r="1054" spans="1:8" ht="12.75" x14ac:dyDescent="0.2">
      <c r="A1054">
        <v>1053</v>
      </c>
      <c r="B1054" s="15" t="str">
        <f ca="1">IFERROR(__xludf.DUMMYFUNCTION("""COMPUTED_VALUE"""),"Mathematical, Computational Intelligence and Engineering Approaches for Tourism, Agriculture and Healthcare")</f>
        <v>Mathematical, Computational Intelligence and Engineering Approaches for Tourism, Agriculture and Healthcare</v>
      </c>
      <c r="C1054" s="15" t="str">
        <f ca="1">VLOOKUP(B1054,'ALL DATABASES'!$A$1:$T$2252,2,FALSE)</f>
        <v>Prof. Pankaj SrivastavaProf. S. S. ThakurDr. Georgia Irina OrosProf. Ali A. AlJarrahProf. Vichian Laohakosol</v>
      </c>
      <c r="D1054" s="15">
        <f ca="1">VLOOKUP(B1054,'ALL DATABASES'!$A$1:$T$2252,5,FALSE)</f>
        <v>2022</v>
      </c>
      <c r="E1054" s="15">
        <f ca="1">VLOOKUP(B1054,'ALL DATABASES'!$A$1:$T$2252,10,FALSE)</f>
        <v>0</v>
      </c>
      <c r="F1054" s="54" t="str">
        <f ca="1">VLOOKUP(B1054,'ALL DATABASES'!$A$1:$T$2252,14,FALSE)</f>
        <v>http://link.springer.com/book/10.1007/978-981-16-3807-7</v>
      </c>
      <c r="G1054" s="15" t="str">
        <f ca="1">VLOOKUP(B1054,'ALL DATABASES'!$A$1:$T$2252,3,FALSE)</f>
        <v>Book</v>
      </c>
      <c r="H1054" s="50" t="str">
        <f ca="1">VLOOKUP(B1054,'ALL DATABASES'!$A$1:$T$2252,20,FALSE)</f>
        <v>SPRINGER</v>
      </c>
    </row>
    <row r="1055" spans="1:8" ht="12.75" x14ac:dyDescent="0.2">
      <c r="A1055">
        <v>1054</v>
      </c>
      <c r="B1055" s="15" t="str">
        <f ca="1">IFERROR(__xludf.DUMMYFUNCTION("""COMPUTED_VALUE"""),"Measure it? Manage it? Ignore it? Software practitioners and technical debt")</f>
        <v>Measure it? Manage it? Ignore it? Software practitioners and technical debt</v>
      </c>
      <c r="C1055" s="15" t="str">
        <f ca="1">VLOOKUP(B1055,'ALL DATABASES'!$A$1:$T$2252,2,FALSE)</f>
        <v>Ernst NA,Bellomo S,Ozkaya I,Nord RL,Gorton I</v>
      </c>
      <c r="D1055" s="15">
        <f ca="1">VLOOKUP(B1055,'ALL DATABASES'!$A$1:$T$2252,5,FALSE)</f>
        <v>2015</v>
      </c>
      <c r="E1055" s="15">
        <f ca="1">VLOOKUP(B1055,'ALL DATABASES'!$A$1:$T$2252,10,FALSE)</f>
        <v>2015</v>
      </c>
      <c r="F1055" s="54" t="str">
        <f ca="1">VLOOKUP(B1055,'ALL DATABASES'!$A$1:$T$2252,14,FALSE)</f>
        <v>https://www.scopus.com/inward/record.uri?eid=2-s2.0-84960421324&amp;doi=10.1145%2f2786805.2786848&amp;partnerID=40&amp;md5=fb086ca8c559aa7ca2e20e0bd421c154;http://dx.doi.org/10.1145/2786805.2786848</v>
      </c>
      <c r="G1055" s="15" t="str">
        <f ca="1">VLOOKUP(B1055,'ALL DATABASES'!$A$1:$T$2252,3,FALSE)</f>
        <v>Conference Paper</v>
      </c>
      <c r="H1055" s="50" t="str">
        <f ca="1">VLOOKUP(B1055,'ALL DATABASES'!$A$1:$T$2252,20,FALSE)</f>
        <v>SCOPUS</v>
      </c>
    </row>
    <row r="1056" spans="1:8" ht="12.75" x14ac:dyDescent="0.2">
      <c r="A1056">
        <v>1055</v>
      </c>
      <c r="B1056" s="15" t="str">
        <f ca="1">IFERROR(__xludf.DUMMYFUNCTION("""COMPUTED_VALUE"""),"Measuring Architecture Quality by Structure plus History Analysis")</f>
        <v>Measuring Architecture Quality by Structure plus History Analysis</v>
      </c>
      <c r="C1056" s="15" t="str">
        <f ca="1">VLOOKUP(B1056,'ALL DATABASES'!$A$1:$T$2252,2,FALSE)</f>
        <v>Schwanke R,Xiao L,Cai Y</v>
      </c>
      <c r="D1056" s="15">
        <f ca="1">VLOOKUP(B1056,'ALL DATABASES'!$A$1:$T$2252,5,FALSE)</f>
        <v>2013</v>
      </c>
      <c r="E1056" s="15">
        <f ca="1">VLOOKUP(B1056,'ALL DATABASES'!$A$1:$T$2252,10,FALSE)</f>
        <v>2013</v>
      </c>
      <c r="F1056" s="15">
        <f ca="1">VLOOKUP(B1056,'ALL DATABASES'!$A$1:$T$2252,14,FALSE)</f>
        <v>0</v>
      </c>
      <c r="G1056" s="15" t="str">
        <f ca="1">VLOOKUP(B1056,'ALL DATABASES'!$A$1:$T$2252,3,FALSE)</f>
        <v>Conference Paper</v>
      </c>
      <c r="H1056" s="50" t="str">
        <f ca="1">VLOOKUP(B1056,'ALL DATABASES'!$A$1:$T$2252,20,FALSE)</f>
        <v>ACM</v>
      </c>
    </row>
    <row r="1057" spans="1:8" ht="12.75" x14ac:dyDescent="0.2">
      <c r="A1057">
        <v>1056</v>
      </c>
      <c r="B1057" s="15" t="str">
        <f ca="1">IFERROR(__xludf.DUMMYFUNCTION("""COMPUTED_VALUE"""),"Measuring discrimination to boost comparative testing for multiple deep learning models")</f>
        <v>Measuring discrimination to boost comparative testing for multiple deep learning models</v>
      </c>
      <c r="C1057" s="15" t="str">
        <f ca="1">VLOOKUP(B1057,'ALL DATABASES'!$A$1:$T$2252,2,FALSE)</f>
        <v>Meng L,Li Y,Chen L,Wang Z,Wu D,Zhou Y,Xu B</v>
      </c>
      <c r="D1057" s="15">
        <f ca="1">VLOOKUP(B1057,'ALL DATABASES'!$A$1:$T$2252,5,FALSE)</f>
        <v>2021</v>
      </c>
      <c r="E1057" s="15">
        <f ca="1">VLOOKUP(B1057,'ALL DATABASES'!$A$1:$T$2252,10,FALSE)</f>
        <v>2021</v>
      </c>
      <c r="F1057" s="54" t="str">
        <f ca="1">VLOOKUP(B1057,'ALL DATABASES'!$A$1:$T$2252,14,FALSE)</f>
        <v>https://www.scopus.com/inward/record.uri?eid=2-s2.0-85115682958&amp;doi=10.1109%2fICSE43902.2021.00045&amp;partnerID=40&amp;md5=b8cf36a834806fa4c837a5593efc5b27;http://dx.doi.org/10.1109/ICSE43902.2021.00045</v>
      </c>
      <c r="G1057" s="15" t="str">
        <f ca="1">VLOOKUP(B1057,'ALL DATABASES'!$A$1:$T$2252,3,FALSE)</f>
        <v>Conference Paper</v>
      </c>
      <c r="H1057" s="50" t="str">
        <f ca="1">VLOOKUP(B1057,'ALL DATABASES'!$A$1:$T$2252,20,FALSE)</f>
        <v>SCOPUS</v>
      </c>
    </row>
    <row r="1058" spans="1:8" ht="12.75" x14ac:dyDescent="0.2">
      <c r="A1058">
        <v>1057</v>
      </c>
      <c r="B1058" s="15" t="str">
        <f ca="1">IFERROR(__xludf.DUMMYFUNCTION("""COMPUTED_VALUE"""),"Measuring the Impact of Code Dependencies on Software Architecture Recovery Techniques")</f>
        <v>Measuring the Impact of Code Dependencies on Software Architecture Recovery Techniques</v>
      </c>
      <c r="C1058" s="15" t="str">
        <f ca="1">VLOOKUP(B1058,'ALL DATABASES'!$A$1:$T$2252,2,FALSE)</f>
        <v>Lutellier T,Chollak D,Garcia J,Tan L,Rayside D,Medvidovic N,Kroeger R</v>
      </c>
      <c r="D1058" s="15">
        <f ca="1">VLOOKUP(B1058,'ALL DATABASES'!$A$1:$T$2252,5,FALSE)</f>
        <v>2018</v>
      </c>
      <c r="E1058" s="15">
        <f ca="1">VLOOKUP(B1058,'ALL DATABASES'!$A$1:$T$2252,10,FALSE)</f>
        <v>2018</v>
      </c>
      <c r="F1058" s="54" t="str">
        <f ca="1">VLOOKUP(B1058,'ALL DATABASES'!$A$1:$T$2252,14,FALSE)</f>
        <v>https://www.scopus.com/inward/record.uri?eid=2-s2.0-85032433166&amp;doi=10.1109%2fTSE.2017.2671865&amp;partnerID=40&amp;md5=4db7eb5764a6022a18ba1a99cf9ec1bb;http://dx.doi.org/10.1109/TSE.2017.2671865</v>
      </c>
      <c r="G1058" s="15" t="str">
        <f ca="1">VLOOKUP(B1058,'ALL DATABASES'!$A$1:$T$2252,3,FALSE)</f>
        <v>Journal Article</v>
      </c>
      <c r="H1058" s="50" t="str">
        <f ca="1">VLOOKUP(B1058,'ALL DATABASES'!$A$1:$T$2252,20,FALSE)</f>
        <v>SCOPUS</v>
      </c>
    </row>
    <row r="1059" spans="1:8" ht="12.75" x14ac:dyDescent="0.2">
      <c r="A1059">
        <v>1058</v>
      </c>
      <c r="B1059" s="15" t="str">
        <f ca="1">IFERROR(__xludf.DUMMYFUNCTION("""COMPUTED_VALUE"""),"Measuring the Principal of Defect Debt")</f>
        <v>Measuring the Principal of Defect Debt</v>
      </c>
      <c r="C1059" s="15" t="str">
        <f ca="1">VLOOKUP(B1059,'ALL DATABASES'!$A$1:$T$2252,2,FALSE)</f>
        <v>Akbarinasaji S,Bener AB,Erdem A</v>
      </c>
      <c r="D1059" s="15">
        <f ca="1">VLOOKUP(B1059,'ALL DATABASES'!$A$1:$T$2252,5,FALSE)</f>
        <v>2016</v>
      </c>
      <c r="E1059" s="15">
        <f ca="1">VLOOKUP(B1059,'ALL DATABASES'!$A$1:$T$2252,10,FALSE)</f>
        <v>2016</v>
      </c>
      <c r="F1059" s="54" t="str">
        <f ca="1">VLOOKUP(B1059,'ALL DATABASES'!$A$1:$T$2252,14,FALSE)</f>
        <v>https://doi.org/10.1145/2896995.2896999;http://dx.doi.org/10.1145/2896995.2896999</v>
      </c>
      <c r="G1059" s="15" t="str">
        <f ca="1">VLOOKUP(B1059,'ALL DATABASES'!$A$1:$T$2252,3,FALSE)</f>
        <v>Conference Paper</v>
      </c>
      <c r="H1059" s="50" t="str">
        <f ca="1">VLOOKUP(B1059,'ALL DATABASES'!$A$1:$T$2252,20,FALSE)</f>
        <v>ACM</v>
      </c>
    </row>
    <row r="1060" spans="1:8" ht="12.75" x14ac:dyDescent="0.2">
      <c r="A1060">
        <v>1059</v>
      </c>
      <c r="B1060" s="15" t="str">
        <f ca="1">IFERROR(__xludf.DUMMYFUNCTION("""COMPUTED_VALUE"""),"Mensch-Maschine-Interaktion")</f>
        <v>Mensch-Maschine-Interaktion</v>
      </c>
      <c r="C1060" s="15" t="str">
        <f ca="1">VLOOKUP(B1060,'ALL DATABASES'!$A$1:$T$2252,2,FALSE)</f>
        <v>Kevin LiggieriDr. Oliver MÃ¼ller</v>
      </c>
      <c r="D1060" s="15">
        <f ca="1">VLOOKUP(B1060,'ALL DATABASES'!$A$1:$T$2252,5,FALSE)</f>
        <v>2019</v>
      </c>
      <c r="E1060" s="15">
        <f ca="1">VLOOKUP(B1060,'ALL DATABASES'!$A$1:$T$2252,10,FALSE)</f>
        <v>0</v>
      </c>
      <c r="F1060" s="54" t="str">
        <f ca="1">VLOOKUP(B1060,'ALL DATABASES'!$A$1:$T$2252,14,FALSE)</f>
        <v>http://link.springer.com/book/10.1007/978-3-476-05604-7</v>
      </c>
      <c r="G1060" s="15" t="str">
        <f ca="1">VLOOKUP(B1060,'ALL DATABASES'!$A$1:$T$2252,3,FALSE)</f>
        <v>Book</v>
      </c>
      <c r="H1060" s="50" t="str">
        <f ca="1">VLOOKUP(B1060,'ALL DATABASES'!$A$1:$T$2252,20,FALSE)</f>
        <v>SPRINGER</v>
      </c>
    </row>
    <row r="1061" spans="1:8" ht="12.75" x14ac:dyDescent="0.2">
      <c r="A1061">
        <v>1060</v>
      </c>
      <c r="B1061" s="15" t="str">
        <f ca="1">IFERROR(__xludf.DUMMYFUNCTION("""COMPUTED_VALUE"""),"Metadata and Semantic Research")</f>
        <v>Metadata and Semantic Research</v>
      </c>
      <c r="C1061" s="15" t="str">
        <f ca="1">VLOOKUP(B1061,'ALL DATABASES'!$A$1:$T$2252,2,FALSE)</f>
        <v>Dr. Emmanouel GaroufallouMarÃ­a-Antonia Ovalle-PerandonesAndreas Vlachidis</v>
      </c>
      <c r="D1061" s="15">
        <f ca="1">VLOOKUP(B1061,'ALL DATABASES'!$A$1:$T$2252,5,FALSE)</f>
        <v>2022</v>
      </c>
      <c r="E1061" s="15">
        <f ca="1">VLOOKUP(B1061,'ALL DATABASES'!$A$1:$T$2252,10,FALSE)</f>
        <v>0</v>
      </c>
      <c r="F1061" s="54" t="str">
        <f ca="1">VLOOKUP(B1061,'ALL DATABASES'!$A$1:$T$2252,14,FALSE)</f>
        <v>http://link.springer.com/book/10.1007/978-3-030-98876-0</v>
      </c>
      <c r="G1061" s="15" t="str">
        <f ca="1">VLOOKUP(B1061,'ALL DATABASES'!$A$1:$T$2252,3,FALSE)</f>
        <v>Book</v>
      </c>
      <c r="H1061" s="50" t="str">
        <f ca="1">VLOOKUP(B1061,'ALL DATABASES'!$A$1:$T$2252,20,FALSE)</f>
        <v>SPRINGER</v>
      </c>
    </row>
    <row r="1062" spans="1:8" ht="12.75" x14ac:dyDescent="0.2">
      <c r="A1062">
        <v>1061</v>
      </c>
      <c r="B1062" s="15" t="str">
        <f ca="1">IFERROR(__xludf.DUMMYFUNCTION("""COMPUTED_VALUE"""),"Method Cards for Prescriptive Machine-Learning Transparency")</f>
        <v>Method Cards for Prescriptive Machine-Learning Transparency</v>
      </c>
      <c r="C1062" s="15" t="str">
        <f ca="1">VLOOKUP(B1062,'ALL DATABASES'!$A$1:$T$2252,2,FALSE)</f>
        <v>Adkins D,Alsallakh B,Cheema A,Kokhlikyan N,McReynolds E,Mishra P,Procope C,Sawruk J,Wang E,Zvyagina P</v>
      </c>
      <c r="D1062" s="15">
        <f ca="1">VLOOKUP(B1062,'ALL DATABASES'!$A$1:$T$2252,5,FALSE)</f>
        <v>2022</v>
      </c>
      <c r="E1062" s="15">
        <f ca="1">VLOOKUP(B1062,'ALL DATABASES'!$A$1:$T$2252,10,FALSE)</f>
        <v>2022</v>
      </c>
      <c r="F1062" s="54" t="str">
        <f ca="1">VLOOKUP(B1062,'ALL DATABASES'!$A$1:$T$2252,14,FALSE)</f>
        <v>https://www.scopus.com/inward/record.uri?eid=2-s2.0-85133432739&amp;doi=10.1145%2f3522664.3528600&amp;partnerID=40&amp;md5=46e2f7c7db65fa8a996456de137f238d;http://dx.doi.org/10.1145/3522664.3528600</v>
      </c>
      <c r="G1062" s="15" t="str">
        <f ca="1">VLOOKUP(B1062,'ALL DATABASES'!$A$1:$T$2252,3,FALSE)</f>
        <v>Conference Paper</v>
      </c>
      <c r="H1062" s="50" t="str">
        <f ca="1">VLOOKUP(B1062,'ALL DATABASES'!$A$1:$T$2252,20,FALSE)</f>
        <v>SCOPUS</v>
      </c>
    </row>
    <row r="1063" spans="1:8" ht="12.75" x14ac:dyDescent="0.2">
      <c r="A1063">
        <v>1062</v>
      </c>
      <c r="B1063" s="15" t="str">
        <f ca="1">IFERROR(__xludf.DUMMYFUNCTION("""COMPUTED_VALUE"""),"Methodological problems of big data and artificial intelligence in the medical specialists training")</f>
        <v>Methodological problems of big data and artificial intelligence in the medical specialists training</v>
      </c>
      <c r="C1063" s="15" t="str">
        <f ca="1">VLOOKUP(B1063,'ALL DATABASES'!$A$1:$T$2252,2,FALSE)</f>
        <v>Mikhailenko OV,Dorrer GA</v>
      </c>
      <c r="D1063" s="15">
        <f ca="1">VLOOKUP(B1063,'ALL DATABASES'!$A$1:$T$2252,5,FALSE)</f>
        <v>2020</v>
      </c>
      <c r="E1063" s="15">
        <f ca="1">VLOOKUP(B1063,'ALL DATABASES'!$A$1:$T$2252,10,FALSE)</f>
        <v>2020</v>
      </c>
      <c r="F1063" s="54" t="str">
        <f ca="1">VLOOKUP(B1063,'ALL DATABASES'!$A$1:$T$2252,14,FALSE)</f>
        <v>https://www.scopus.com/inward/record.uri?eid=2-s2.0-85098050873&amp;doi=10.1088%2f1742-6596%2f1691%2f1%2f012009&amp;partnerID=40&amp;md5=ee73dc404e9a94a2a5ca8cafa13b1d9d;http://dx.doi.org/10.1088/1742-6596/1691/1/012009</v>
      </c>
      <c r="G1063" s="15" t="str">
        <f ca="1">VLOOKUP(B1063,'ALL DATABASES'!$A$1:$T$2252,3,FALSE)</f>
        <v>Conference Paper</v>
      </c>
      <c r="H1063" s="50" t="str">
        <f ca="1">VLOOKUP(B1063,'ALL DATABASES'!$A$1:$T$2252,20,FALSE)</f>
        <v>SCOPUS</v>
      </c>
    </row>
    <row r="1064" spans="1:8" ht="12.75" x14ac:dyDescent="0.2">
      <c r="A1064">
        <v>1063</v>
      </c>
      <c r="B1064" s="15" t="str">
        <f ca="1">IFERROR(__xludf.DUMMYFUNCTION("""COMPUTED_VALUE"""),"Methods and applications for Artificial Intelligence, Big Data, Internet of Things, and Blockchain in smart energy management")</f>
        <v>Methods and applications for Artificial Intelligence, Big Data, Internet of Things, and Blockchain in smart energy management</v>
      </c>
      <c r="C1064" s="15" t="str">
        <f ca="1">VLOOKUP(B1064,'ALL DATABASES'!$A$1:$T$2252,2,FALSE)</f>
        <v>Li J,Herdem MS,Nathwani J,Wen JZ</v>
      </c>
      <c r="D1064" s="15">
        <f ca="1">VLOOKUP(B1064,'ALL DATABASES'!$A$1:$T$2252,5,FALSE)</f>
        <v>2023</v>
      </c>
      <c r="E1064" s="15">
        <f ca="1">VLOOKUP(B1064,'ALL DATABASES'!$A$1:$T$2252,10,FALSE)</f>
        <v>2023</v>
      </c>
      <c r="F1064" s="54" t="str">
        <f ca="1">VLOOKUP(B1064,'ALL DATABASES'!$A$1:$T$2252,14,FALSE)</f>
        <v>https://www.sciencedirect.com/science/article/pii/S2666546822000544;http://dx.doi.org/10.1016/j.egyai.2022.100208</v>
      </c>
      <c r="G1064" s="15" t="str">
        <f ca="1">VLOOKUP(B1064,'ALL DATABASES'!$A$1:$T$2252,3,FALSE)</f>
        <v>Journal Article</v>
      </c>
      <c r="H1064" s="50" t="str">
        <f ca="1">VLOOKUP(B1064,'ALL DATABASES'!$A$1:$T$2252,20,FALSE)</f>
        <v>SCIENCEDIRECT</v>
      </c>
    </row>
    <row r="1065" spans="1:8" ht="12.75" x14ac:dyDescent="0.2">
      <c r="A1065">
        <v>1064</v>
      </c>
      <c r="B1065" s="15" t="str">
        <f ca="1">IFERROR(__xludf.DUMMYFUNCTION("""COMPUTED_VALUE"""),"Methods and Tools for TD Estimation and Forecasting: A State-of-the-art Survey")</f>
        <v>Methods and Tools for TD Estimation and Forecasting: A State-of-the-art Survey</v>
      </c>
      <c r="C1065" s="15" t="str">
        <f ca="1">VLOOKUP(B1065,'ALL DATABASES'!$A$1:$T$2252,2,FALSE)</f>
        <v>Tsoukalas D,Siavvas M,Jankovic M,Kehagias D,Chatzigeorgiou A,Tzovaras D</v>
      </c>
      <c r="D1065" s="15">
        <f ca="1">VLOOKUP(B1065,'ALL DATABASES'!$A$1:$T$2252,5,FALSE)</f>
        <v>2018</v>
      </c>
      <c r="E1065" s="55">
        <f ca="1">VLOOKUP(B1065,'ALL DATABASES'!$A$1:$T$2252,10,FALSE)</f>
        <v>43344</v>
      </c>
      <c r="F1065" s="54" t="str">
        <f ca="1">VLOOKUP(B1065,'ALL DATABASES'!$A$1:$T$2252,14,FALSE)</f>
        <v>http://dx.doi.org/10.1109/IS.2018.8710521</v>
      </c>
      <c r="G1065" s="15" t="str">
        <f ca="1">VLOOKUP(B1065,'ALL DATABASES'!$A$1:$T$2252,3,FALSE)</f>
        <v>Conference Paper</v>
      </c>
      <c r="H1065" s="50" t="str">
        <f ca="1">VLOOKUP(B1065,'ALL DATABASES'!$A$1:$T$2252,20,FALSE)</f>
        <v>IEEE</v>
      </c>
    </row>
    <row r="1066" spans="1:8" ht="12.75" x14ac:dyDescent="0.2">
      <c r="A1066">
        <v>1065</v>
      </c>
      <c r="B1066" s="15" t="str">
        <f ca="1">IFERROR(__xludf.DUMMYFUNCTION("""COMPUTED_VALUE"""),"Metrics for Software Process Quality Assessment in the Late Phases of SDLC")</f>
        <v>Metrics for Software Process Quality Assessment in the Late Phases of SDLC</v>
      </c>
      <c r="C1066" s="15" t="str">
        <f ca="1">VLOOKUP(B1066,'ALL DATABASES'!$A$1:$T$2252,2,FALSE)</f>
        <v>Dlamini G,Ergasheva S,Kholmatova Z,Kruglov A,Sadovykh A,Succi G,Timchenko A,Vasquez X,Zouev E</v>
      </c>
      <c r="D1066" s="15">
        <f ca="1">VLOOKUP(B1066,'ALL DATABASES'!$A$1:$T$2252,5,FALSE)</f>
        <v>2022</v>
      </c>
      <c r="E1066" s="15">
        <f ca="1">VLOOKUP(B1066,'ALL DATABASES'!$A$1:$T$2252,10,FALSE)</f>
        <v>2022</v>
      </c>
      <c r="F1066" s="54" t="str">
        <f ca="1">VLOOKUP(B1066,'ALL DATABASES'!$A$1:$T$2252,14,FALSE)</f>
        <v>https://www.scopus.com/inward/record.uri?eid=2-s2.0-85135055907&amp;doi=10.1007%2f978-3-031-10461-9_44&amp;partnerID=40&amp;md5=f779adfd5f5b27e1a5e2ca6ccd4c50a9;http://dx.doi.org/10.1007/978-3-031-10461-9_44</v>
      </c>
      <c r="G1066" s="15" t="str">
        <f ca="1">VLOOKUP(B1066,'ALL DATABASES'!$A$1:$T$2252,3,FALSE)</f>
        <v>Journal Article</v>
      </c>
      <c r="H1066" s="50" t="str">
        <f ca="1">VLOOKUP(B1066,'ALL DATABASES'!$A$1:$T$2252,20,FALSE)</f>
        <v>SCOPUS</v>
      </c>
    </row>
    <row r="1067" spans="1:8" ht="12.75" x14ac:dyDescent="0.2">
      <c r="A1067">
        <v>1066</v>
      </c>
      <c r="B1067" s="15" t="str">
        <f ca="1">IFERROR(__xludf.DUMMYFUNCTION("""COMPUTED_VALUE"""),"Metrics to Measure Code Complexity Based on Software Design: Practical Evaluation")</f>
        <v>Metrics to Measure Code Complexity Based on Software Design: Practical Evaluation</v>
      </c>
      <c r="C1067" s="15" t="str">
        <f ca="1">VLOOKUP(B1067,'ALL DATABASES'!$A$1:$T$2252,2,FALSE)</f>
        <v>Masmali O,Badreddin O,Khandoker R</v>
      </c>
      <c r="D1067" s="15">
        <f ca="1">VLOOKUP(B1067,'ALL DATABASES'!$A$1:$T$2252,5,FALSE)</f>
        <v>2021</v>
      </c>
      <c r="E1067" s="15">
        <f ca="1">VLOOKUP(B1067,'ALL DATABASES'!$A$1:$T$2252,10,FALSE)</f>
        <v>2021</v>
      </c>
      <c r="F1067" s="54" t="str">
        <f ca="1">VLOOKUP(B1067,'ALL DATABASES'!$A$1:$T$2252,14,FALSE)</f>
        <v>https://www.scopus.com/inward/record.uri?eid=2-s2.0-85105952800&amp;doi=10.1007%2f978-3-030-73103-8_9&amp;partnerID=40&amp;md5=cf09c02673d92fba921d1d138ff9e0b9;http://dx.doi.org/10.1007/978-3-030-73103-8_9</v>
      </c>
      <c r="G1067" s="15" t="str">
        <f ca="1">VLOOKUP(B1067,'ALL DATABASES'!$A$1:$T$2252,3,FALSE)</f>
        <v>Journal Article</v>
      </c>
      <c r="H1067" s="50" t="str">
        <f ca="1">VLOOKUP(B1067,'ALL DATABASES'!$A$1:$T$2252,20,FALSE)</f>
        <v>SCOPUS</v>
      </c>
    </row>
    <row r="1068" spans="1:8" ht="12.75" x14ac:dyDescent="0.2">
      <c r="A1068">
        <v>1067</v>
      </c>
      <c r="B1068" s="15" t="str">
        <f ca="1">IFERROR(__xludf.DUMMYFUNCTION("""COMPUTED_VALUE"""),"MICOSE4aPS: Industrially Applicable Maturity Metric to Improve Systematic Reuse of Control Software")</f>
        <v>MICOSE4aPS: Industrially Applicable Maturity Metric to Improve Systematic Reuse of Control Software</v>
      </c>
      <c r="C1068" s="15" t="str">
        <f ca="1">VLOOKUP(B1068,'ALL DATABASES'!$A$1:$T$2252,2,FALSE)</f>
        <v>Vogel-Heuser B,Neumann EM,Fischer J</v>
      </c>
      <c r="D1068" s="15">
        <f ca="1">VLOOKUP(B1068,'ALL DATABASES'!$A$1:$T$2252,5,FALSE)</f>
        <v>2021</v>
      </c>
      <c r="E1068" s="55">
        <f ca="1">VLOOKUP(B1068,'ALL DATABASES'!$A$1:$T$2252,10,FALSE)</f>
        <v>44440</v>
      </c>
      <c r="F1068" s="54" t="str">
        <f ca="1">VLOOKUP(B1068,'ALL DATABASES'!$A$1:$T$2252,14,FALSE)</f>
        <v>https://doi.org/10.1145/3467896;http://dx.doi.org/10.1145/3467896</v>
      </c>
      <c r="G1068" s="15" t="str">
        <f ca="1">VLOOKUP(B1068,'ALL DATABASES'!$A$1:$T$2252,3,FALSE)</f>
        <v>Journal Article</v>
      </c>
      <c r="H1068" s="50" t="str">
        <f ca="1">VLOOKUP(B1068,'ALL DATABASES'!$A$1:$T$2252,20,FALSE)</f>
        <v>ACM</v>
      </c>
    </row>
    <row r="1069" spans="1:8" ht="12.75" x14ac:dyDescent="0.2">
      <c r="A1069">
        <v>1068</v>
      </c>
      <c r="B1069" s="15" t="str">
        <f ca="1">IFERROR(__xludf.DUMMYFUNCTION("""COMPUTED_VALUE"""),"Microservice security: a systematic literature review")</f>
        <v>Microservice security: a systematic literature review</v>
      </c>
      <c r="C1069" s="15" t="str">
        <f ca="1">VLOOKUP(B1069,'ALL DATABASES'!$A$1:$T$2252,2,FALSE)</f>
        <v>Berardi D,Giallorenzo S,Melis A,Prandini M,Mauro J,Montesi F</v>
      </c>
      <c r="D1069" s="15">
        <f ca="1">VLOOKUP(B1069,'ALL DATABASES'!$A$1:$T$2252,5,FALSE)</f>
        <v>2022</v>
      </c>
      <c r="E1069" s="15">
        <f ca="1">VLOOKUP(B1069,'ALL DATABASES'!$A$1:$T$2252,10,FALSE)</f>
        <v>2022</v>
      </c>
      <c r="F1069" s="54" t="str">
        <f ca="1">VLOOKUP(B1069,'ALL DATABASES'!$A$1:$T$2252,14,FALSE)</f>
        <v>https://www.scopus.com/inward/record.uri?eid=2-s2.0-85124010553&amp;doi=10.7717%2fPEERJ-CS.779&amp;partnerID=40&amp;md5=2da6ad89b2502afe108635947f601ea9;http://dx.doi.org/10.7717/PEERJ-CS.779</v>
      </c>
      <c r="G1069" s="15" t="str">
        <f ca="1">VLOOKUP(B1069,'ALL DATABASES'!$A$1:$T$2252,3,FALSE)</f>
        <v>Journal Article</v>
      </c>
      <c r="H1069" s="50" t="str">
        <f ca="1">VLOOKUP(B1069,'ALL DATABASES'!$A$1:$T$2252,20,FALSE)</f>
        <v>SCOPUS</v>
      </c>
    </row>
    <row r="1070" spans="1:8" ht="12.75" x14ac:dyDescent="0.2">
      <c r="A1070">
        <v>1069</v>
      </c>
      <c r="B1070" s="15" t="str">
        <f ca="1">IFERROR(__xludf.DUMMYFUNCTION("""COMPUTED_VALUE"""),"Microservices Architecture and Design")</f>
        <v>Microservices Architecture and Design</v>
      </c>
      <c r="C1070" s="15" t="str">
        <f ca="1">VLOOKUP(B1070,'ALL DATABASES'!$A$1:$T$2252,2,FALSE)</f>
        <v>Shivakumar R Goniwada</v>
      </c>
      <c r="D1070" s="15">
        <f ca="1">VLOOKUP(B1070,'ALL DATABASES'!$A$1:$T$2252,5,FALSE)</f>
        <v>2022</v>
      </c>
      <c r="E1070" s="15">
        <f ca="1">VLOOKUP(B1070,'ALL DATABASES'!$A$1:$T$2252,10,FALSE)</f>
        <v>0</v>
      </c>
      <c r="F1070" s="54" t="str">
        <f ca="1">VLOOKUP(B1070,'ALL DATABASES'!$A$1:$T$2252,14,FALSE)</f>
        <v>http://link.springer.com/chapter/10.1007/978-1-4842-7226-8_5</v>
      </c>
      <c r="G1070" s="15" t="str">
        <f ca="1">VLOOKUP(B1070,'ALL DATABASES'!$A$1:$T$2252,3,FALSE)</f>
        <v>Chapter</v>
      </c>
      <c r="H1070" s="50" t="str">
        <f ca="1">VLOOKUP(B1070,'ALL DATABASES'!$A$1:$T$2252,20,FALSE)</f>
        <v>SPRINGER</v>
      </c>
    </row>
    <row r="1071" spans="1:8" ht="12.75" x14ac:dyDescent="0.2">
      <c r="A1071">
        <v>1070</v>
      </c>
      <c r="B1071" s="15" t="str">
        <f ca="1">IFERROR(__xludf.DUMMYFUNCTION("""COMPUTED_VALUE"""),"Microservices in Practice, Part 2: Service Integration and Sustainability")</f>
        <v>Microservices in Practice, Part 2: Service Integration and Sustainability</v>
      </c>
      <c r="C1071" s="15" t="str">
        <f ca="1">VLOOKUP(B1071,'ALL DATABASES'!$A$1:$T$2252,2,FALSE)</f>
        <v>Pautasso C,Zimmermann O,Amundsen M,Lewis J,Josuttis N</v>
      </c>
      <c r="D1071" s="15">
        <f ca="1">VLOOKUP(B1071,'ALL DATABASES'!$A$1:$T$2252,5,FALSE)</f>
        <v>2017</v>
      </c>
      <c r="E1071" s="55">
        <f ca="1">VLOOKUP(B1071,'ALL DATABASES'!$A$1:$T$2252,10,FALSE)</f>
        <v>42795</v>
      </c>
      <c r="F1071" s="54" t="str">
        <f ca="1">VLOOKUP(B1071,'ALL DATABASES'!$A$1:$T$2252,14,FALSE)</f>
        <v>http://dx.doi.org/10.1109/MS.2017.56</v>
      </c>
      <c r="G1071" s="15" t="str">
        <f ca="1">VLOOKUP(B1071,'ALL DATABASES'!$A$1:$T$2252,3,FALSE)</f>
        <v>Journal Article</v>
      </c>
      <c r="H1071" s="50" t="str">
        <f ca="1">VLOOKUP(B1071,'ALL DATABASES'!$A$1:$T$2252,20,FALSE)</f>
        <v>IEEE</v>
      </c>
    </row>
    <row r="1072" spans="1:8" ht="12.75" x14ac:dyDescent="0.2">
      <c r="A1072">
        <v>1071</v>
      </c>
      <c r="B1072" s="15" t="str">
        <f ca="1">IFERROR(__xludf.DUMMYFUNCTION("""COMPUTED_VALUE"""),"Mining commit messages to enhance software refactorings recommendation: A machine learning approach")</f>
        <v>Mining commit messages to enhance software refactorings recommendation: A machine learning approach</v>
      </c>
      <c r="C1072" s="15" t="str">
        <f ca="1">VLOOKUP(B1072,'ALL DATABASES'!$A$1:$T$2252,2,FALSE)</f>
        <v>Nyamawe AS</v>
      </c>
      <c r="D1072" s="15">
        <f ca="1">VLOOKUP(B1072,'ALL DATABASES'!$A$1:$T$2252,5,FALSE)</f>
        <v>2022</v>
      </c>
      <c r="E1072" s="15">
        <f ca="1">VLOOKUP(B1072,'ALL DATABASES'!$A$1:$T$2252,10,FALSE)</f>
        <v>2022</v>
      </c>
      <c r="F1072" s="54" t="str">
        <f ca="1">VLOOKUP(B1072,'ALL DATABASES'!$A$1:$T$2252,14,FALSE)</f>
        <v>https://www.sciencedirect.com/science/article/pii/S2666827022000354;http://dx.doi.org/10.1016/j.mlwa.2022.100316</v>
      </c>
      <c r="G1072" s="15" t="str">
        <f ca="1">VLOOKUP(B1072,'ALL DATABASES'!$A$1:$T$2252,3,FALSE)</f>
        <v>Journal Article</v>
      </c>
      <c r="H1072" s="50" t="str">
        <f ca="1">VLOOKUP(B1072,'ALL DATABASES'!$A$1:$T$2252,20,FALSE)</f>
        <v>SCIENCEDIRECT</v>
      </c>
    </row>
    <row r="1073" spans="1:8" ht="12.75" x14ac:dyDescent="0.2">
      <c r="A1073">
        <v>1072</v>
      </c>
      <c r="B1073" s="15" t="str">
        <f ca="1">IFERROR(__xludf.DUMMYFUNCTION("""COMPUTED_VALUE"""),"Mining guidelines for architecting robotics software")</f>
        <v>Mining guidelines for architecting robotics software</v>
      </c>
      <c r="C1073" s="15" t="str">
        <f ca="1">VLOOKUP(B1073,'ALL DATABASES'!$A$1:$T$2252,2,FALSE)</f>
        <v>Malavolta I,Lewis GA,Schmerl B,Lago P,Garlan D</v>
      </c>
      <c r="D1073" s="15">
        <f ca="1">VLOOKUP(B1073,'ALL DATABASES'!$A$1:$T$2252,5,FALSE)</f>
        <v>2021</v>
      </c>
      <c r="E1073" s="15">
        <f ca="1">VLOOKUP(B1073,'ALL DATABASES'!$A$1:$T$2252,10,FALSE)</f>
        <v>2021</v>
      </c>
      <c r="F1073" s="54" t="str">
        <f ca="1">VLOOKUP(B1073,'ALL DATABASES'!$A$1:$T$2252,14,FALSE)</f>
        <v>https://www.sciencedirect.com/science/article/pii/S0164121221000662;http://dx.doi.org/10.1016/j.jss.2021.110969</v>
      </c>
      <c r="G1073" s="15" t="str">
        <f ca="1">VLOOKUP(B1073,'ALL DATABASES'!$A$1:$T$2252,3,FALSE)</f>
        <v>Journal Article</v>
      </c>
      <c r="H1073" s="50" t="str">
        <f ca="1">VLOOKUP(B1073,'ALL DATABASES'!$A$1:$T$2252,20,FALSE)</f>
        <v>SCIENCEDIRECT</v>
      </c>
    </row>
    <row r="1074" spans="1:8" ht="12.75" x14ac:dyDescent="0.2">
      <c r="A1074">
        <v>1073</v>
      </c>
      <c r="B1074" s="15" t="str">
        <f ca="1">IFERROR(__xludf.DUMMYFUNCTION("""COMPUTED_VALUE"""),"Ml-Codesmell: A code smell prediction dataset for machine learning approaches")</f>
        <v>Ml-Codesmell: A code smell prediction dataset for machine learning approaches</v>
      </c>
      <c r="C1074" s="15" t="str">
        <f ca="1">VLOOKUP(B1074,'ALL DATABASES'!$A$1:$T$2252,2,FALSE)</f>
        <v>Nguyen Thanh B,Nguyen N. H M,Le Thi My H</v>
      </c>
      <c r="D1074" s="15">
        <f ca="1">VLOOKUP(B1074,'ALL DATABASES'!$A$1:$T$2252,5,FALSE)</f>
        <v>2022</v>
      </c>
      <c r="E1074" s="15">
        <f ca="1">VLOOKUP(B1074,'ALL DATABASES'!$A$1:$T$2252,10,FALSE)</f>
        <v>2022</v>
      </c>
      <c r="F1074" s="54" t="str">
        <f ca="1">VLOOKUP(B1074,'ALL DATABASES'!$A$1:$T$2252,14,FALSE)</f>
        <v>https://www.scopus.com/inward/record.uri?eid=2-s2.0-85143818622&amp;doi=10.1145%2f3568562.3568643&amp;partnerID=40&amp;md5=43139ace24d7194f74ebbc8119f0170f;http://dx.doi.org/10.1145/3568562.3568643</v>
      </c>
      <c r="G1074" s="15" t="str">
        <f ca="1">VLOOKUP(B1074,'ALL DATABASES'!$A$1:$T$2252,3,FALSE)</f>
        <v>Conference Paper</v>
      </c>
      <c r="H1074" s="50" t="str">
        <f ca="1">VLOOKUP(B1074,'ALL DATABASES'!$A$1:$T$2252,20,FALSE)</f>
        <v>SCOPUS</v>
      </c>
    </row>
    <row r="1075" spans="1:8" ht="12.75" x14ac:dyDescent="0.2">
      <c r="A1075">
        <v>1074</v>
      </c>
      <c r="B1075" s="15" t="str">
        <f ca="1">IFERROR(__xludf.DUMMYFUNCTION("""COMPUTED_VALUE"""),"MLCQ: Industry-Relevant Code Smell Data Set")</f>
        <v>MLCQ: Industry-Relevant Code Smell Data Set</v>
      </c>
      <c r="C1075" s="15" t="str">
        <f ca="1">VLOOKUP(B1075,'ALL DATABASES'!$A$1:$T$2252,2,FALSE)</f>
        <v>Madeyski L,Lewowski T</v>
      </c>
      <c r="D1075" s="15">
        <f ca="1">VLOOKUP(B1075,'ALL DATABASES'!$A$1:$T$2252,5,FALSE)</f>
        <v>2020</v>
      </c>
      <c r="E1075" s="15">
        <f ca="1">VLOOKUP(B1075,'ALL DATABASES'!$A$1:$T$2252,10,FALSE)</f>
        <v>2020</v>
      </c>
      <c r="F1075" s="54" t="str">
        <f ca="1">VLOOKUP(B1075,'ALL DATABASES'!$A$1:$T$2252,14,FALSE)</f>
        <v>https://www.scopus.com/inward/record.uri?eid=2-s2.0-85090854076&amp;doi=10.1145%2f3383219.3383264&amp;partnerID=40&amp;md5=5fbde590102722aa1df44b3e8fb10504;http://dx.doi.org/10.1145/3383219.3383264</v>
      </c>
      <c r="G1075" s="15" t="str">
        <f ca="1">VLOOKUP(B1075,'ALL DATABASES'!$A$1:$T$2252,3,FALSE)</f>
        <v>Conference Paper</v>
      </c>
      <c r="H1075" s="50" t="str">
        <f ca="1">VLOOKUP(B1075,'ALL DATABASES'!$A$1:$T$2252,20,FALSE)</f>
        <v>SCOPUS</v>
      </c>
    </row>
    <row r="1076" spans="1:8" ht="12.75" x14ac:dyDescent="0.2">
      <c r="A1076">
        <v>1075</v>
      </c>
      <c r="B1076" s="15" t="str">
        <f ca="1">IFERROR(__xludf.DUMMYFUNCTION("""COMPUTED_VALUE"""),"MLOps: A Guide to its Adoption in the Context of Responsible AI")</f>
        <v>MLOps: A Guide to its Adoption in the Context of Responsible AI</v>
      </c>
      <c r="C1076" s="15" t="str">
        <f ca="1">VLOOKUP(B1076,'ALL DATABASES'!$A$1:$T$2252,2,FALSE)</f>
        <v>Matsui BM,Goya DH</v>
      </c>
      <c r="D1076" s="15">
        <f ca="1">VLOOKUP(B1076,'ALL DATABASES'!$A$1:$T$2252,5,FALSE)</f>
        <v>2022</v>
      </c>
      <c r="E1076" s="55">
        <f ca="1">VLOOKUP(B1076,'ALL DATABASES'!$A$1:$T$2252,10,FALSE)</f>
        <v>44682</v>
      </c>
      <c r="F1076" s="54" t="str">
        <f ca="1">VLOOKUP(B1076,'ALL DATABASES'!$A$1:$T$2252,14,FALSE)</f>
        <v>http://dx.doi.org/10.1145/3526073.3527591</v>
      </c>
      <c r="G1076" s="15" t="str">
        <f ca="1">VLOOKUP(B1076,'ALL DATABASES'!$A$1:$T$2252,3,FALSE)</f>
        <v>Conference Paper</v>
      </c>
      <c r="H1076" s="50" t="str">
        <f ca="1">VLOOKUP(B1076,'ALL DATABASES'!$A$1:$T$2252,20,FALSE)</f>
        <v>IEEE</v>
      </c>
    </row>
    <row r="1077" spans="1:8" ht="12.75" x14ac:dyDescent="0.2">
      <c r="A1077">
        <v>1076</v>
      </c>
      <c r="B1077" s="15" t="str">
        <f ca="1">IFERROR(__xludf.DUMMYFUNCTION("""COMPUTED_VALUE"""),"MLOps: A Taxonomy and a Methodology")</f>
        <v>MLOps: A Taxonomy and a Methodology</v>
      </c>
      <c r="C1077" s="15" t="str">
        <f ca="1">VLOOKUP(B1077,'ALL DATABASES'!$A$1:$T$2252,2,FALSE)</f>
        <v>Testi M,Ballabio M,Frontoni E,Iannello G,Moccia S,Soda P,Vessio G</v>
      </c>
      <c r="D1077" s="15">
        <f ca="1">VLOOKUP(B1077,'ALL DATABASES'!$A$1:$T$2252,5,FALSE)</f>
        <v>2022</v>
      </c>
      <c r="E1077" s="15">
        <f ca="1">VLOOKUP(B1077,'ALL DATABASES'!$A$1:$T$2252,10,FALSE)</f>
        <v>2022</v>
      </c>
      <c r="F1077" s="54" t="str">
        <f ca="1">VLOOKUP(B1077,'ALL DATABASES'!$A$1:$T$2252,14,FALSE)</f>
        <v>https://www.scopus.com/inward/record.uri?eid=2-s2.0-85132730765&amp;doi=10.1109%2fACCESS.2022.3181730&amp;partnerID=40&amp;md5=a3eef8516db1852a0c7a8230031a8fa1;http://dx.doi.org/10.1109/ACCESS.2022.3181730</v>
      </c>
      <c r="G1077" s="15" t="str">
        <f ca="1">VLOOKUP(B1077,'ALL DATABASES'!$A$1:$T$2252,3,FALSE)</f>
        <v>Journal Article</v>
      </c>
      <c r="H1077" s="50" t="str">
        <f ca="1">VLOOKUP(B1077,'ALL DATABASES'!$A$1:$T$2252,20,FALSE)</f>
        <v>SCOPUS</v>
      </c>
    </row>
    <row r="1078" spans="1:8" ht="12.75" x14ac:dyDescent="0.2">
      <c r="A1078">
        <v>1077</v>
      </c>
      <c r="B1078" s="15" t="str">
        <f ca="1">IFERROR(__xludf.DUMMYFUNCTION("""COMPUTED_VALUE"""),"MLOps: Five Steps to Guide Its Effective Implementation")</f>
        <v>MLOps: Five Steps to Guide Its Effective Implementation</v>
      </c>
      <c r="C1078" s="15" t="str">
        <f ca="1">VLOOKUP(B1078,'ALL DATABASES'!$A$1:$T$2252,2,FALSE)</f>
        <v>Matsui BM,Goya DH</v>
      </c>
      <c r="D1078" s="15">
        <f ca="1">VLOOKUP(B1078,'ALL DATABASES'!$A$1:$T$2252,5,FALSE)</f>
        <v>2022</v>
      </c>
      <c r="E1078" s="15">
        <f ca="1">VLOOKUP(B1078,'ALL DATABASES'!$A$1:$T$2252,10,FALSE)</f>
        <v>2022</v>
      </c>
      <c r="F1078" s="54" t="str">
        <f ca="1">VLOOKUP(B1078,'ALL DATABASES'!$A$1:$T$2252,14,FALSE)</f>
        <v>https://doi.org/10.1145/3522664.3528611;http://dx.doi.org/10.1145/3522664.3528611</v>
      </c>
      <c r="G1078" s="15" t="str">
        <f ca="1">VLOOKUP(B1078,'ALL DATABASES'!$A$1:$T$2252,3,FALSE)</f>
        <v>Conference Paper</v>
      </c>
      <c r="H1078" s="50" t="str">
        <f ca="1">VLOOKUP(B1078,'ALL DATABASES'!$A$1:$T$2252,20,FALSE)</f>
        <v>ACM</v>
      </c>
    </row>
    <row r="1079" spans="1:8" ht="12.75" x14ac:dyDescent="0.2">
      <c r="A1079">
        <v>1078</v>
      </c>
      <c r="B1079" s="15" t="str">
        <f ca="1">IFERROR(__xludf.DUMMYFUNCTION("""COMPUTED_VALUE"""),"MLSmellHound: A Context-Aware Code Analysis Tool")</f>
        <v>MLSmellHound: A Context-Aware Code Analysis Tool</v>
      </c>
      <c r="C1079" s="15" t="str">
        <f ca="1">VLOOKUP(B1079,'ALL DATABASES'!$A$1:$T$2252,2,FALSE)</f>
        <v>Kannan J,Barnett S,Cruz L,Simmons A,Agarwal A</v>
      </c>
      <c r="D1079" s="15">
        <f ca="1">VLOOKUP(B1079,'ALL DATABASES'!$A$1:$T$2252,5,FALSE)</f>
        <v>2022</v>
      </c>
      <c r="E1079" s="15">
        <f ca="1">VLOOKUP(B1079,'ALL DATABASES'!$A$1:$T$2252,10,FALSE)</f>
        <v>2022</v>
      </c>
      <c r="F1079" s="54" t="str">
        <f ca="1">VLOOKUP(B1079,'ALL DATABASES'!$A$1:$T$2252,14,FALSE)</f>
        <v>https://doi.org/10.1145/3510455.3512773;http://dx.doi.org/10.1145/3510455.3512773</v>
      </c>
      <c r="G1079" s="15" t="str">
        <f ca="1">VLOOKUP(B1079,'ALL DATABASES'!$A$1:$T$2252,3,FALSE)</f>
        <v>Conference Paper</v>
      </c>
      <c r="H1079" s="50" t="str">
        <f ca="1">VLOOKUP(B1079,'ALL DATABASES'!$A$1:$T$2252,20,FALSE)</f>
        <v>ACM</v>
      </c>
    </row>
    <row r="1080" spans="1:8" ht="12.75" x14ac:dyDescent="0.2">
      <c r="A1080">
        <v>1079</v>
      </c>
      <c r="B1080" s="15" t="str">
        <f ca="1">IFERROR(__xludf.DUMMYFUNCTION("""COMPUTED_VALUE"""),"Mobility for Smart Cities and Regional Development - Challenges for Higher Education")</f>
        <v>Mobility for Smart Cities and Regional Development - Challenges for Higher Education</v>
      </c>
      <c r="C1080" s="15" t="str">
        <f ca="1">VLOOKUP(B1080,'ALL DATABASES'!$A$1:$T$2252,2,FALSE)</f>
        <v>Prof. Dr. Michael E. AuerProf. Dr. Hanno HortschProf. Dr. Oliver MichlerProf. Dr. Thomas KÃ¶hler</v>
      </c>
      <c r="D1080" s="15">
        <f ca="1">VLOOKUP(B1080,'ALL DATABASES'!$A$1:$T$2252,5,FALSE)</f>
        <v>2022</v>
      </c>
      <c r="E1080" s="15">
        <f ca="1">VLOOKUP(B1080,'ALL DATABASES'!$A$1:$T$2252,10,FALSE)</f>
        <v>0</v>
      </c>
      <c r="F1080" s="54" t="str">
        <f ca="1">VLOOKUP(B1080,'ALL DATABASES'!$A$1:$T$2252,14,FALSE)</f>
        <v>http://link.springer.com/book/10.1007/978-3-030-93907-6</v>
      </c>
      <c r="G1080" s="15" t="str">
        <f ca="1">VLOOKUP(B1080,'ALL DATABASES'!$A$1:$T$2252,3,FALSE)</f>
        <v>Book</v>
      </c>
      <c r="H1080" s="50" t="str">
        <f ca="1">VLOOKUP(B1080,'ALL DATABASES'!$A$1:$T$2252,20,FALSE)</f>
        <v>SPRINGER</v>
      </c>
    </row>
    <row r="1081" spans="1:8" ht="12.75" x14ac:dyDescent="0.2">
      <c r="A1081">
        <v>1080</v>
      </c>
      <c r="B1081" s="15" t="str">
        <f ca="1">IFERROR(__xludf.DUMMYFUNCTION("""COMPUTED_VALUE"""),"Model Provenance Management in MLOps Pipeline")</f>
        <v>Model Provenance Management in MLOps Pipeline</v>
      </c>
      <c r="C1081" s="15" t="str">
        <f ca="1">VLOOKUP(B1081,'ALL DATABASES'!$A$1:$T$2252,2,FALSE)</f>
        <v>Mei S,Liu C,Wang Q,Su H</v>
      </c>
      <c r="D1081" s="15">
        <f ca="1">VLOOKUP(B1081,'ALL DATABASES'!$A$1:$T$2252,5,FALSE)</f>
        <v>2022</v>
      </c>
      <c r="E1081" s="15">
        <f ca="1">VLOOKUP(B1081,'ALL DATABASES'!$A$1:$T$2252,10,FALSE)</f>
        <v>2022</v>
      </c>
      <c r="F1081" s="54" t="str">
        <f ca="1">VLOOKUP(B1081,'ALL DATABASES'!$A$1:$T$2252,14,FALSE)</f>
        <v>https://doi.org/10.1145/3512850.3512861;http://dx.doi.org/10.1145/3512850.3512861</v>
      </c>
      <c r="G1081" s="15" t="str">
        <f ca="1">VLOOKUP(B1081,'ALL DATABASES'!$A$1:$T$2252,3,FALSE)</f>
        <v>Conference Paper</v>
      </c>
      <c r="H1081" s="50" t="str">
        <f ca="1">VLOOKUP(B1081,'ALL DATABASES'!$A$1:$T$2252,20,FALSE)</f>
        <v>ACM</v>
      </c>
    </row>
    <row r="1082" spans="1:8" ht="12.75" x14ac:dyDescent="0.2">
      <c r="A1082">
        <v>1081</v>
      </c>
      <c r="B1082" s="15" t="str">
        <f ca="1">IFERROR(__xludf.DUMMYFUNCTION("""COMPUTED_VALUE"""),"Model Transformation Development Using Automated Requirements Analysis, Metamodel Matching, and Transformation by Example")</f>
        <v>Model Transformation Development Using Automated Requirements Analysis, Metamodel Matching, and Transformation by Example</v>
      </c>
      <c r="C1082" s="15" t="str">
        <f ca="1">VLOOKUP(B1082,'ALL DATABASES'!$A$1:$T$2252,2,FALSE)</f>
        <v>Lano K,Kolahdouz-Rahimi S,Fang S</v>
      </c>
      <c r="D1082" s="15">
        <f ca="1">VLOOKUP(B1082,'ALL DATABASES'!$A$1:$T$2252,5,FALSE)</f>
        <v>2022</v>
      </c>
      <c r="E1082" s="15">
        <f ca="1">VLOOKUP(B1082,'ALL DATABASES'!$A$1:$T$2252,10,FALSE)</f>
        <v>2022</v>
      </c>
      <c r="F1082" s="54" t="str">
        <f ca="1">VLOOKUP(B1082,'ALL DATABASES'!$A$1:$T$2252,14,FALSE)</f>
        <v>https://www.scopus.com/inward/record.uri?eid=2-s2.0-85130755580&amp;doi=10.1145%2f3471907&amp;partnerID=40&amp;md5=f15e997dedf7462b07afecd215b95b6a;http://dx.doi.org/10.1145/3471907</v>
      </c>
      <c r="G1082" s="15" t="str">
        <f ca="1">VLOOKUP(B1082,'ALL DATABASES'!$A$1:$T$2252,3,FALSE)</f>
        <v>Journal Article</v>
      </c>
      <c r="H1082" s="50" t="str">
        <f ca="1">VLOOKUP(B1082,'ALL DATABASES'!$A$1:$T$2252,20,FALSE)</f>
        <v>SCOPUS</v>
      </c>
    </row>
    <row r="1083" spans="1:8" ht="12.75" x14ac:dyDescent="0.2">
      <c r="A1083">
        <v>1082</v>
      </c>
      <c r="B1083" s="15" t="str">
        <f ca="1">IFERROR(__xludf.DUMMYFUNCTION("""COMPUTED_VALUE"""),"Model-Based Design for CPS with Learning-Enabled Components")</f>
        <v>Model-Based Design for CPS with Learning-Enabled Components</v>
      </c>
      <c r="C1083" s="15" t="str">
        <f ca="1">VLOOKUP(B1083,'ALL DATABASES'!$A$1:$T$2252,2,FALSE)</f>
        <v>Hartsell C,Mahadevan N,Ramakrishna S,Dubey A,Bapty T,Johnson T,Koutsoukos X,Sztipanovits J,Karsai G</v>
      </c>
      <c r="D1083" s="15">
        <f ca="1">VLOOKUP(B1083,'ALL DATABASES'!$A$1:$T$2252,5,FALSE)</f>
        <v>2019</v>
      </c>
      <c r="E1083" s="15">
        <f ca="1">VLOOKUP(B1083,'ALL DATABASES'!$A$1:$T$2252,10,FALSE)</f>
        <v>2019</v>
      </c>
      <c r="F1083" s="54" t="str">
        <f ca="1">VLOOKUP(B1083,'ALL DATABASES'!$A$1:$T$2252,14,FALSE)</f>
        <v>https://doi.org/10.1145/3313151.3313166;http://dx.doi.org/10.1145/3313151.3313166</v>
      </c>
      <c r="G1083" s="15" t="str">
        <f ca="1">VLOOKUP(B1083,'ALL DATABASES'!$A$1:$T$2252,3,FALSE)</f>
        <v>Conference Paper</v>
      </c>
      <c r="H1083" s="50" t="str">
        <f ca="1">VLOOKUP(B1083,'ALL DATABASES'!$A$1:$T$2252,20,FALSE)</f>
        <v>ACM</v>
      </c>
    </row>
    <row r="1084" spans="1:8" ht="12.75" x14ac:dyDescent="0.2">
      <c r="A1084">
        <v>1083</v>
      </c>
      <c r="B1084" s="15" t="str">
        <f ca="1">IFERROR(__xludf.DUMMYFUNCTION("""COMPUTED_VALUE"""),"Model-reuse attacks on deep learning systems")</f>
        <v>Model-reuse attacks on deep learning systems</v>
      </c>
      <c r="C1084" s="15" t="str">
        <f ca="1">VLOOKUP(B1084,'ALL DATABASES'!$A$1:$T$2252,2,FALSE)</f>
        <v>Ji Y,Zhang X,Ji S,Luo X,Wang T</v>
      </c>
      <c r="D1084" s="15">
        <f ca="1">VLOOKUP(B1084,'ALL DATABASES'!$A$1:$T$2252,5,FALSE)</f>
        <v>2018</v>
      </c>
      <c r="E1084" s="15">
        <f ca="1">VLOOKUP(B1084,'ALL DATABASES'!$A$1:$T$2252,10,FALSE)</f>
        <v>2018</v>
      </c>
      <c r="F1084" s="54" t="str">
        <f ca="1">VLOOKUP(B1084,'ALL DATABASES'!$A$1:$T$2252,14,FALSE)</f>
        <v>https://www.scopus.com/inward/record.uri?eid=2-s2.0-85056902261&amp;doi=10.1145%2f3243734.3243757&amp;partnerID=40&amp;md5=587121a954035999afcb6db28834402e;http://dx.doi.org/10.1145/3243734.3243757</v>
      </c>
      <c r="G1084" s="15" t="str">
        <f ca="1">VLOOKUP(B1084,'ALL DATABASES'!$A$1:$T$2252,3,FALSE)</f>
        <v>Conference Paper</v>
      </c>
      <c r="H1084" s="50" t="str">
        <f ca="1">VLOOKUP(B1084,'ALL DATABASES'!$A$1:$T$2252,20,FALSE)</f>
        <v>SCOPUS</v>
      </c>
    </row>
    <row r="1085" spans="1:8" ht="12.75" x14ac:dyDescent="0.2">
      <c r="A1085">
        <v>1084</v>
      </c>
      <c r="B1085" s="15" t="str">
        <f ca="1">IFERROR(__xludf.DUMMYFUNCTION("""COMPUTED_VALUE"""),"Modeling and Analyzing Architectural Diversity of Open Platforms")</f>
        <v>Modeling and Analyzing Architectural Diversity of Open Platforms</v>
      </c>
      <c r="C1085" s="15" t="str">
        <f ca="1">VLOOKUP(B1085,'ALL DATABASES'!$A$1:$T$2252,2,FALSE)</f>
        <v>Bahar JazayeriSimon SchwichtenbergJochen KÃ¼sterOlaf ZimmermannGregor Engels</v>
      </c>
      <c r="D1085" s="15">
        <f ca="1">VLOOKUP(B1085,'ALL DATABASES'!$A$1:$T$2252,5,FALSE)</f>
        <v>2020</v>
      </c>
      <c r="E1085" s="15">
        <f ca="1">VLOOKUP(B1085,'ALL DATABASES'!$A$1:$T$2252,10,FALSE)</f>
        <v>0</v>
      </c>
      <c r="F1085" s="54" t="str">
        <f ca="1">VLOOKUP(B1085,'ALL DATABASES'!$A$1:$T$2252,14,FALSE)</f>
        <v>http://link.springer.com/chapter/10.1007/978-3-030-49435-3_3</v>
      </c>
      <c r="G1085" s="15" t="str">
        <f ca="1">VLOOKUP(B1085,'ALL DATABASES'!$A$1:$T$2252,3,FALSE)</f>
        <v>Chapter</v>
      </c>
      <c r="H1085" s="50" t="str">
        <f ca="1">VLOOKUP(B1085,'ALL DATABASES'!$A$1:$T$2252,20,FALSE)</f>
        <v>SPRINGER</v>
      </c>
    </row>
    <row r="1086" spans="1:8" ht="12.75" x14ac:dyDescent="0.2">
      <c r="A1086">
        <v>1085</v>
      </c>
      <c r="B1086" s="15" t="str">
        <f ca="1">IFERROR(__xludf.DUMMYFUNCTION("""COMPUTED_VALUE"""),"Modeling continuous security: A conceptual model for automated DevSecOps using open-source software over cloud (ADOC)")</f>
        <v>Modeling continuous security: A conceptual model for automated DevSecOps using open-source software over cloud (ADOC)</v>
      </c>
      <c r="C1086" s="15" t="str">
        <f ca="1">VLOOKUP(B1086,'ALL DATABASES'!$A$1:$T$2252,2,FALSE)</f>
        <v>Kumar R,Goyal R</v>
      </c>
      <c r="D1086" s="15">
        <f ca="1">VLOOKUP(B1086,'ALL DATABASES'!$A$1:$T$2252,5,FALSE)</f>
        <v>2020</v>
      </c>
      <c r="E1086" s="15">
        <f ca="1">VLOOKUP(B1086,'ALL DATABASES'!$A$1:$T$2252,10,FALSE)</f>
        <v>2020</v>
      </c>
      <c r="F1086" s="54" t="str">
        <f ca="1">VLOOKUP(B1086,'ALL DATABASES'!$A$1:$T$2252,14,FALSE)</f>
        <v>https://www.sciencedirect.com/science/article/pii/S0167404820302406;http://dx.doi.org/10.1016/j.cose.2020.101967</v>
      </c>
      <c r="G1086" s="15" t="str">
        <f ca="1">VLOOKUP(B1086,'ALL DATABASES'!$A$1:$T$2252,3,FALSE)</f>
        <v>Journal Article</v>
      </c>
      <c r="H1086" s="50" t="str">
        <f ca="1">VLOOKUP(B1086,'ALL DATABASES'!$A$1:$T$2252,20,FALSE)</f>
        <v>SCIENCEDIRECT</v>
      </c>
    </row>
    <row r="1087" spans="1:8" ht="12.75" x14ac:dyDescent="0.2">
      <c r="A1087">
        <v>1086</v>
      </c>
      <c r="B1087" s="15" t="str">
        <f ca="1">IFERROR(__xludf.DUMMYFUNCTION("""COMPUTED_VALUE"""),"Modelling and Simulation of Scrum Team Strategies: A Multi-agent Approach")</f>
        <v>Modelling and Simulation of Scrum Team Strategies: A Multi-agent Approach</v>
      </c>
      <c r="C1087" s="15" t="str">
        <f ca="1">VLOOKUP(B1087,'ALL DATABASES'!$A$1:$T$2252,2,FALSE)</f>
        <v>Wang Z</v>
      </c>
      <c r="D1087" s="15">
        <f ca="1">VLOOKUP(B1087,'ALL DATABASES'!$A$1:$T$2252,5,FALSE)</f>
        <v>2020</v>
      </c>
      <c r="E1087" s="15">
        <f ca="1">VLOOKUP(B1087,'ALL DATABASES'!$A$1:$T$2252,10,FALSE)</f>
        <v>2020</v>
      </c>
      <c r="F1087" s="54" t="str">
        <f ca="1">VLOOKUP(B1087,'ALL DATABASES'!$A$1:$T$2252,14,FALSE)</f>
        <v>https://www.scopus.com/inward/record.uri?eid=2-s2.0-85098171792&amp;doi=10.1007%2f978-3-030-63322-6_4&amp;partnerID=40&amp;md5=bcb4cba359711f76a867d3f48e411765;http://dx.doi.org/10.1007/978-3-030-63322-6_4</v>
      </c>
      <c r="G1087" s="15" t="str">
        <f ca="1">VLOOKUP(B1087,'ALL DATABASES'!$A$1:$T$2252,3,FALSE)</f>
        <v>Journal Article</v>
      </c>
      <c r="H1087" s="50" t="str">
        <f ca="1">VLOOKUP(B1087,'ALL DATABASES'!$A$1:$T$2252,20,FALSE)</f>
        <v>SCOPUS</v>
      </c>
    </row>
    <row r="1088" spans="1:8" ht="12.75" x14ac:dyDescent="0.2">
      <c r="A1088">
        <v>1087</v>
      </c>
      <c r="B1088" s="15" t="str">
        <f ca="1">IFERROR(__xludf.DUMMYFUNCTION("""COMPUTED_VALUE"""),"ModelOps: Cloud-Based Lifecycle Management for Reliable and Trusted AI")</f>
        <v>ModelOps: Cloud-Based Lifecycle Management for Reliable and Trusted AI</v>
      </c>
      <c r="C1088" s="15" t="str">
        <f ca="1">VLOOKUP(B1088,'ALL DATABASES'!$A$1:$T$2252,2,FALSE)</f>
        <v>Hummer W,Muthusamy V,Rausch T,Dube P,El Maghraoui K,Murthi A,Oum P</v>
      </c>
      <c r="D1088" s="15">
        <f ca="1">VLOOKUP(B1088,'ALL DATABASES'!$A$1:$T$2252,5,FALSE)</f>
        <v>2019</v>
      </c>
      <c r="E1088" s="55">
        <f ca="1">VLOOKUP(B1088,'ALL DATABASES'!$A$1:$T$2252,10,FALSE)</f>
        <v>43617</v>
      </c>
      <c r="F1088" s="54" t="str">
        <f ca="1">VLOOKUP(B1088,'ALL DATABASES'!$A$1:$T$2252,14,FALSE)</f>
        <v>http://dx.doi.org/10.1109/IC2E.2019.00025</v>
      </c>
      <c r="G1088" s="15" t="str">
        <f ca="1">VLOOKUP(B1088,'ALL DATABASES'!$A$1:$T$2252,3,FALSE)</f>
        <v>Conference Paper</v>
      </c>
      <c r="H1088" s="50" t="str">
        <f ca="1">VLOOKUP(B1088,'ALL DATABASES'!$A$1:$T$2252,20,FALSE)</f>
        <v>IEEE</v>
      </c>
    </row>
    <row r="1089" spans="1:8" ht="12.75" x14ac:dyDescent="0.2">
      <c r="A1089">
        <v>1088</v>
      </c>
      <c r="B1089" s="15" t="str">
        <f ca="1">IFERROR(__xludf.DUMMYFUNCTION("""COMPUTED_VALUE"""),"ModelSet: a dataset for machine learning in model-driven engineering")</f>
        <v>ModelSet: a dataset for machine learning in model-driven engineering</v>
      </c>
      <c r="C1089" s="15" t="str">
        <f ca="1">VLOOKUP(B1089,'ALL DATABASES'!$A$1:$T$2252,2,FALSE)</f>
        <v>JosÃ© Antonio HernÃ¡ndez LÃ³pezJavier Luis CÃ¡novasÂ IzquierdoJesÃºs SÃ¡nchez Cuadrado</v>
      </c>
      <c r="D1089" s="15">
        <f ca="1">VLOOKUP(B1089,'ALL DATABASES'!$A$1:$T$2252,5,FALSE)</f>
        <v>2022</v>
      </c>
      <c r="E1089" s="15">
        <f ca="1">VLOOKUP(B1089,'ALL DATABASES'!$A$1:$T$2252,10,FALSE)</f>
        <v>0</v>
      </c>
      <c r="F1089" s="54" t="str">
        <f ca="1">VLOOKUP(B1089,'ALL DATABASES'!$A$1:$T$2252,14,FALSE)</f>
        <v>http://link.springer.com/article/10.1007/s10270-021-00929-3</v>
      </c>
      <c r="G1089" s="15" t="str">
        <f ca="1">VLOOKUP(B1089,'ALL DATABASES'!$A$1:$T$2252,3,FALSE)</f>
        <v>Article</v>
      </c>
      <c r="H1089" s="50" t="str">
        <f ca="1">VLOOKUP(B1089,'ALL DATABASES'!$A$1:$T$2252,20,FALSE)</f>
        <v>SPRINGER</v>
      </c>
    </row>
    <row r="1090" spans="1:8" ht="12.75" x14ac:dyDescent="0.2">
      <c r="A1090">
        <v>1089</v>
      </c>
      <c r="B1090" s="15" t="str">
        <f ca="1">IFERROR(__xludf.DUMMYFUNCTION("""COMPUTED_VALUE"""),"ModelVars2SPL: From UML Class Diagram Variants to Software Product Line Core Assets")</f>
        <v>ModelVars2SPL: From UML Class Diagram Variants to Software Product Line Core Assets</v>
      </c>
      <c r="C1090" s="15" t="str">
        <f ca="1">VLOOKUP(B1090,'ALL DATABASES'!$A$1:$T$2252,2,FALSE)</f>
        <v>Wesley K. G. AssunÃ§Ã£oSilvia R. VergilioRoberto E. Lopez-Herrejon</v>
      </c>
      <c r="D1090" s="15">
        <f ca="1">VLOOKUP(B1090,'ALL DATABASES'!$A$1:$T$2252,5,FALSE)</f>
        <v>2023</v>
      </c>
      <c r="E1090" s="15">
        <f ca="1">VLOOKUP(B1090,'ALL DATABASES'!$A$1:$T$2252,10,FALSE)</f>
        <v>0</v>
      </c>
      <c r="F1090" s="54" t="str">
        <f ca="1">VLOOKUP(B1090,'ALL DATABASES'!$A$1:$T$2252,14,FALSE)</f>
        <v>http://link.springer.com/chapter/10.1007/978-3-031-11686-5_9</v>
      </c>
      <c r="G1090" s="15" t="str">
        <f ca="1">VLOOKUP(B1090,'ALL DATABASES'!$A$1:$T$2252,3,FALSE)</f>
        <v>Chapter</v>
      </c>
      <c r="H1090" s="50" t="str">
        <f ca="1">VLOOKUP(B1090,'ALL DATABASES'!$A$1:$T$2252,20,FALSE)</f>
        <v>SPRINGER</v>
      </c>
    </row>
    <row r="1091" spans="1:8" ht="12.75" x14ac:dyDescent="0.2">
      <c r="A1091">
        <v>1090</v>
      </c>
      <c r="B1091" s="15" t="str">
        <f ca="1">IFERROR(__xludf.DUMMYFUNCTION("""COMPUTED_VALUE"""),"Modern Data Engineering with Apache Spark")</f>
        <v>Modern Data Engineering with Apache Spark</v>
      </c>
      <c r="C1091" s="15" t="str">
        <f ca="1">VLOOKUP(B1091,'ALL DATABASES'!$A$1:$T$2252,2,FALSE)</f>
        <v>Scott Haines</v>
      </c>
      <c r="D1091" s="15">
        <f ca="1">VLOOKUP(B1091,'ALL DATABASES'!$A$1:$T$2252,5,FALSE)</f>
        <v>2022</v>
      </c>
      <c r="E1091" s="15">
        <f ca="1">VLOOKUP(B1091,'ALL DATABASES'!$A$1:$T$2252,10,FALSE)</f>
        <v>0</v>
      </c>
      <c r="F1091" s="54" t="str">
        <f ca="1">VLOOKUP(B1091,'ALL DATABASES'!$A$1:$T$2252,14,FALSE)</f>
        <v>http://link.springer.com/book/10.1007/978-1-4842-7452-1</v>
      </c>
      <c r="G1091" s="15" t="str">
        <f ca="1">VLOOKUP(B1091,'ALL DATABASES'!$A$1:$T$2252,3,FALSE)</f>
        <v>Book</v>
      </c>
      <c r="H1091" s="50" t="str">
        <f ca="1">VLOOKUP(B1091,'ALL DATABASES'!$A$1:$T$2252,20,FALSE)</f>
        <v>SPRINGER</v>
      </c>
    </row>
    <row r="1092" spans="1:8" ht="12.75" x14ac:dyDescent="0.2">
      <c r="A1092">
        <v>1091</v>
      </c>
      <c r="B1092" s="15" t="str">
        <f ca="1">IFERROR(__xludf.DUMMYFUNCTION("""COMPUTED_VALUE"""),"Modernize Monolithic Applications to Cloud Native")</f>
        <v>Modernize Monolithic Applications to Cloud Native</v>
      </c>
      <c r="C1092" s="15" t="str">
        <f ca="1">VLOOKUP(B1092,'ALL DATABASES'!$A$1:$T$2252,2,FALSE)</f>
        <v>Shivakumar R Goniwada</v>
      </c>
      <c r="D1092" s="15">
        <f ca="1">VLOOKUP(B1092,'ALL DATABASES'!$A$1:$T$2252,5,FALSE)</f>
        <v>2022</v>
      </c>
      <c r="E1092" s="15">
        <f ca="1">VLOOKUP(B1092,'ALL DATABASES'!$A$1:$T$2252,10,FALSE)</f>
        <v>0</v>
      </c>
      <c r="F1092" s="54" t="str">
        <f ca="1">VLOOKUP(B1092,'ALL DATABASES'!$A$1:$T$2252,14,FALSE)</f>
        <v>http://link.springer.com/chapter/10.1007/978-1-4842-7226-8_10</v>
      </c>
      <c r="G1092" s="15" t="str">
        <f ca="1">VLOOKUP(B1092,'ALL DATABASES'!$A$1:$T$2252,3,FALSE)</f>
        <v>Chapter</v>
      </c>
      <c r="H1092" s="50" t="str">
        <f ca="1">VLOOKUP(B1092,'ALL DATABASES'!$A$1:$T$2252,20,FALSE)</f>
        <v>SPRINGER</v>
      </c>
    </row>
    <row r="1093" spans="1:8" ht="12.75" x14ac:dyDescent="0.2">
      <c r="A1093">
        <v>1092</v>
      </c>
      <c r="B1093" s="15" t="str">
        <f ca="1">IFERROR(__xludf.DUMMYFUNCTION("""COMPUTED_VALUE"""),"Monitoring machine learning models: a categorization of challenges and methods")</f>
        <v>Monitoring machine learning models: a categorization of challenges and methods</v>
      </c>
      <c r="C1093" s="15" t="str">
        <f ca="1">VLOOKUP(B1093,'ALL DATABASES'!$A$1:$T$2252,2,FALSE)</f>
        <v>Schröder T,Schulz M</v>
      </c>
      <c r="D1093" s="15">
        <f ca="1">VLOOKUP(B1093,'ALL DATABASES'!$A$1:$T$2252,5,FALSE)</f>
        <v>2022</v>
      </c>
      <c r="E1093" s="15">
        <f ca="1">VLOOKUP(B1093,'ALL DATABASES'!$A$1:$T$2252,10,FALSE)</f>
        <v>2022</v>
      </c>
      <c r="F1093" s="54" t="str">
        <f ca="1">VLOOKUP(B1093,'ALL DATABASES'!$A$1:$T$2252,14,FALSE)</f>
        <v>https://www.scopus.com/inward/record.uri?eid=2-s2.0-85138821813&amp;doi=10.1016%2fj.dsm.2022.07.004&amp;partnerID=40&amp;md5=348c88078d7989ba95bacfb5871756d6;http://dx.doi.org/10.1016/j.dsm.2022.07.004</v>
      </c>
      <c r="G1093" s="15" t="str">
        <f ca="1">VLOOKUP(B1093,'ALL DATABASES'!$A$1:$T$2252,3,FALSE)</f>
        <v>Journal Article</v>
      </c>
      <c r="H1093" s="50" t="str">
        <f ca="1">VLOOKUP(B1093,'ALL DATABASES'!$A$1:$T$2252,20,FALSE)</f>
        <v>SCOPUS</v>
      </c>
    </row>
    <row r="1094" spans="1:8" ht="12.75" x14ac:dyDescent="0.2">
      <c r="A1094">
        <v>1093</v>
      </c>
      <c r="B1094" s="15" t="str">
        <f ca="1">IFERROR(__xludf.DUMMYFUNCTION("""COMPUTED_VALUE"""),"Motivations for and Initiatives on AI Engineering")</f>
        <v>Motivations for and Initiatives on AI Engineering</v>
      </c>
      <c r="C1094" s="15" t="str">
        <f ca="1">VLOOKUP(B1094,'ALL DATABASES'!$A$1:$T$2252,2,FALSE)</f>
        <v>James Llinas</v>
      </c>
      <c r="D1094" s="15">
        <f ca="1">VLOOKUP(B1094,'ALL DATABASES'!$A$1:$T$2252,5,FALSE)</f>
        <v>2021</v>
      </c>
      <c r="E1094" s="15">
        <f ca="1">VLOOKUP(B1094,'ALL DATABASES'!$A$1:$T$2252,10,FALSE)</f>
        <v>0</v>
      </c>
      <c r="F1094" s="54" t="str">
        <f ca="1">VLOOKUP(B1094,'ALL DATABASES'!$A$1:$T$2252,14,FALSE)</f>
        <v>http://link.springer.com/chapter/10.1007/978-3-030-89385-9_1</v>
      </c>
      <c r="G1094" s="15" t="str">
        <f ca="1">VLOOKUP(B1094,'ALL DATABASES'!$A$1:$T$2252,3,FALSE)</f>
        <v>Chapter</v>
      </c>
      <c r="H1094" s="50" t="str">
        <f ca="1">VLOOKUP(B1094,'ALL DATABASES'!$A$1:$T$2252,20,FALSE)</f>
        <v>SPRINGER</v>
      </c>
    </row>
    <row r="1095" spans="1:8" ht="12.75" x14ac:dyDescent="0.2">
      <c r="A1095">
        <v>1094</v>
      </c>
      <c r="B1095" s="15" t="str">
        <f ca="1">IFERROR(__xludf.DUMMYFUNCTION("""COMPUTED_VALUE"""),"MPLR '22: Proceedings of the 19th International Conference on Managed Programming Languages and Runtimes")</f>
        <v>MPLR '22: Proceedings of the 19th International Conference on Managed Programming Languages and Runtimes</v>
      </c>
      <c r="C1095" s="15">
        <f ca="1">VLOOKUP(B1095,'ALL DATABASES'!$A$1:$T$2252,2,FALSE)</f>
        <v>0</v>
      </c>
      <c r="D1095" s="15">
        <f ca="1">VLOOKUP(B1095,'ALL DATABASES'!$A$1:$T$2252,5,FALSE)</f>
        <v>2022</v>
      </c>
      <c r="E1095" s="15">
        <f ca="1">VLOOKUP(B1095,'ALL DATABASES'!$A$1:$T$2252,10,FALSE)</f>
        <v>2022</v>
      </c>
      <c r="F1095" s="15">
        <f ca="1">VLOOKUP(B1095,'ALL DATABASES'!$A$1:$T$2252,14,FALSE)</f>
        <v>0</v>
      </c>
      <c r="G1095" s="15" t="str">
        <f ca="1">VLOOKUP(B1095,'ALL DATABASES'!$A$1:$T$2252,3,FALSE)</f>
        <v>Book</v>
      </c>
      <c r="H1095" s="50" t="str">
        <f ca="1">VLOOKUP(B1095,'ALL DATABASES'!$A$1:$T$2252,20,FALSE)</f>
        <v>ACM</v>
      </c>
    </row>
    <row r="1096" spans="1:8" ht="12.75" x14ac:dyDescent="0.2">
      <c r="A1096">
        <v>1095</v>
      </c>
      <c r="B1096" s="15" t="str">
        <f ca="1">IFERROR(__xludf.DUMMYFUNCTION("""COMPUTED_VALUE"""),"MSRBot: Using bots to answer questions from software repositories")</f>
        <v>MSRBot: Using bots to answer questions from software repositories</v>
      </c>
      <c r="C1096" s="15" t="str">
        <f ca="1">VLOOKUP(B1096,'ALL DATABASES'!$A$1:$T$2252,2,FALSE)</f>
        <v>Abdellatif A,Badran K,Shihab E</v>
      </c>
      <c r="D1096" s="15">
        <f ca="1">VLOOKUP(B1096,'ALL DATABASES'!$A$1:$T$2252,5,FALSE)</f>
        <v>2020</v>
      </c>
      <c r="E1096" s="15">
        <f ca="1">VLOOKUP(B1096,'ALL DATABASES'!$A$1:$T$2252,10,FALSE)</f>
        <v>2020</v>
      </c>
      <c r="F1096" s="54" t="str">
        <f ca="1">VLOOKUP(B1096,'ALL DATABASES'!$A$1:$T$2252,14,FALSE)</f>
        <v>https://www.scopus.com/inward/record.uri?eid=2-s2.0-85081634201&amp;doi=10.1007%2fs10664-019-09788-5&amp;partnerID=40&amp;md5=2cd209ad64b6d45955d9d90dfceaf6c6;http://dx.doi.org/10.1007/s10664-019-09788-5</v>
      </c>
      <c r="G1096" s="15" t="str">
        <f ca="1">VLOOKUP(B1096,'ALL DATABASES'!$A$1:$T$2252,3,FALSE)</f>
        <v>Journal Article</v>
      </c>
      <c r="H1096" s="50" t="str">
        <f ca="1">VLOOKUP(B1096,'ALL DATABASES'!$A$1:$T$2252,20,FALSE)</f>
        <v>SCOPUS</v>
      </c>
    </row>
    <row r="1097" spans="1:8" ht="12.75" x14ac:dyDescent="0.2">
      <c r="A1097">
        <v>1096</v>
      </c>
      <c r="B1097" s="15" t="str">
        <f ca="1">IFERROR(__xludf.DUMMYFUNCTION("""COMPUTED_VALUE"""),"Multi-agent Simulation of Agile Team Dynamics: Experiments on Team Strategies Comparisons")</f>
        <v>Multi-agent Simulation of Agile Team Dynamics: Experiments on Team Strategies Comparisons</v>
      </c>
      <c r="C1097" s="15" t="str">
        <f ca="1">VLOOKUP(B1097,'ALL DATABASES'!$A$1:$T$2252,2,FALSE)</f>
        <v>Zhe Wang</v>
      </c>
      <c r="D1097" s="15">
        <f ca="1">VLOOKUP(B1097,'ALL DATABASES'!$A$1:$T$2252,5,FALSE)</f>
        <v>2021</v>
      </c>
      <c r="E1097" s="15">
        <f ca="1">VLOOKUP(B1097,'ALL DATABASES'!$A$1:$T$2252,10,FALSE)</f>
        <v>0</v>
      </c>
      <c r="F1097" s="54" t="str">
        <f ca="1">VLOOKUP(B1097,'ALL DATABASES'!$A$1:$T$2252,14,FALSE)</f>
        <v>http://link.springer.com/chapter/10.1007/978-3-030-90318-3_24</v>
      </c>
      <c r="G1097" s="15" t="str">
        <f ca="1">VLOOKUP(B1097,'ALL DATABASES'!$A$1:$T$2252,3,FALSE)</f>
        <v>Chapter</v>
      </c>
      <c r="H1097" s="50" t="str">
        <f ca="1">VLOOKUP(B1097,'ALL DATABASES'!$A$1:$T$2252,20,FALSE)</f>
        <v>SPRINGER</v>
      </c>
    </row>
    <row r="1098" spans="1:8" ht="12.75" x14ac:dyDescent="0.2">
      <c r="A1098">
        <v>1097</v>
      </c>
      <c r="B1098" s="15" t="str">
        <f ca="1">IFERROR(__xludf.DUMMYFUNCTION("""COMPUTED_VALUE"""),"Multi-armed bandits in the wild: Pitfalls and strategies in online experiments")</f>
        <v>Multi-armed bandits in the wild: Pitfalls and strategies in online experiments</v>
      </c>
      <c r="C1098" s="15" t="str">
        <f ca="1">VLOOKUP(B1098,'ALL DATABASES'!$A$1:$T$2252,2,FALSE)</f>
        <v>Issa Mattos D,Bosch J,Olsson HH</v>
      </c>
      <c r="D1098" s="15">
        <f ca="1">VLOOKUP(B1098,'ALL DATABASES'!$A$1:$T$2252,5,FALSE)</f>
        <v>2019</v>
      </c>
      <c r="E1098" s="15">
        <f ca="1">VLOOKUP(B1098,'ALL DATABASES'!$A$1:$T$2252,10,FALSE)</f>
        <v>2019</v>
      </c>
      <c r="F1098" s="54" t="str">
        <f ca="1">VLOOKUP(B1098,'ALL DATABASES'!$A$1:$T$2252,14,FALSE)</f>
        <v>https://www.scopus.com/inward/record.uri?eid=2-s2.0-85065622242&amp;doi=10.1016%2fj.infsof.2019.05.004&amp;partnerID=40&amp;md5=fbb54ca801215a4397db0a4735bac5b1;http://dx.doi.org/10.1016/j.infsof.2019.05.004</v>
      </c>
      <c r="G1098" s="15" t="str">
        <f ca="1">VLOOKUP(B1098,'ALL DATABASES'!$A$1:$T$2252,3,FALSE)</f>
        <v>Journal Article</v>
      </c>
      <c r="H1098" s="50" t="str">
        <f ca="1">VLOOKUP(B1098,'ALL DATABASES'!$A$1:$T$2252,20,FALSE)</f>
        <v>SCOPUS</v>
      </c>
    </row>
    <row r="1099" spans="1:8" ht="12.75" x14ac:dyDescent="0.2">
      <c r="A1099">
        <v>1098</v>
      </c>
      <c r="B1099" s="15" t="str">
        <f ca="1">IFERROR(__xludf.DUMMYFUNCTION("""COMPUTED_VALUE"""),"Multi-granularity code smell detection using deep learning method based on abstract syntax tree")</f>
        <v>Multi-granularity code smell detection using deep learning method based on abstract syntax tree</v>
      </c>
      <c r="C1099" s="15" t="str">
        <f ca="1">VLOOKUP(B1099,'ALL DATABASES'!$A$1:$T$2252,2,FALSE)</f>
        <v>Xu W,Zhang X</v>
      </c>
      <c r="D1099" s="15">
        <f ca="1">VLOOKUP(B1099,'ALL DATABASES'!$A$1:$T$2252,5,FALSE)</f>
        <v>2021</v>
      </c>
      <c r="E1099" s="15">
        <f ca="1">VLOOKUP(B1099,'ALL DATABASES'!$A$1:$T$2252,10,FALSE)</f>
        <v>2021</v>
      </c>
      <c r="F1099" s="54" t="str">
        <f ca="1">VLOOKUP(B1099,'ALL DATABASES'!$A$1:$T$2252,14,FALSE)</f>
        <v>https://www.scopus.com/inward/record.uri?eid=2-s2.0-85114279916&amp;doi=10.18293%2fSEKE2021-014&amp;partnerID=40&amp;md5=4f914c5ed0bbf6d673686baa9098b413;http://dx.doi.org/10.18293/SEKE2021-014</v>
      </c>
      <c r="G1099" s="15" t="str">
        <f ca="1">VLOOKUP(B1099,'ALL DATABASES'!$A$1:$T$2252,3,FALSE)</f>
        <v>Conference Paper</v>
      </c>
      <c r="H1099" s="50" t="str">
        <f ca="1">VLOOKUP(B1099,'ALL DATABASES'!$A$1:$T$2252,20,FALSE)</f>
        <v>SCOPUS</v>
      </c>
    </row>
    <row r="1100" spans="1:8" ht="12.75" x14ac:dyDescent="0.2">
      <c r="A1100">
        <v>1099</v>
      </c>
      <c r="B1100" s="15" t="str">
        <f ca="1">IFERROR(__xludf.DUMMYFUNCTION("""COMPUTED_VALUE"""),"Multi-Label Code Smell Detection with Hybrid Model based on Deep Learning")</f>
        <v>Multi-Label Code Smell Detection with Hybrid Model based on Deep Learning</v>
      </c>
      <c r="C1100" s="15" t="str">
        <f ca="1">VLOOKUP(B1100,'ALL DATABASES'!$A$1:$T$2252,2,FALSE)</f>
        <v>Li Y,Zhang X</v>
      </c>
      <c r="D1100" s="15">
        <f ca="1">VLOOKUP(B1100,'ALL DATABASES'!$A$1:$T$2252,5,FALSE)</f>
        <v>2022</v>
      </c>
      <c r="E1100" s="15">
        <f ca="1">VLOOKUP(B1100,'ALL DATABASES'!$A$1:$T$2252,10,FALSE)</f>
        <v>2022</v>
      </c>
      <c r="F1100" s="54" t="str">
        <f ca="1">VLOOKUP(B1100,'ALL DATABASES'!$A$1:$T$2252,14,FALSE)</f>
        <v>https://www.scopus.com/inward/record.uri?eid=2-s2.0-85137169224&amp;doi=10.18293%2fSEKE2022-077&amp;partnerID=40&amp;md5=e695951cfd6d99c0f122334445dc3e2f;http://dx.doi.org/10.18293/SEKE2022-077</v>
      </c>
      <c r="G1100" s="15" t="str">
        <f ca="1">VLOOKUP(B1100,'ALL DATABASES'!$A$1:$T$2252,3,FALSE)</f>
        <v>Conference Paper</v>
      </c>
      <c r="H1100" s="50" t="str">
        <f ca="1">VLOOKUP(B1100,'ALL DATABASES'!$A$1:$T$2252,20,FALSE)</f>
        <v>SCOPUS</v>
      </c>
    </row>
    <row r="1101" spans="1:8" ht="12.75" x14ac:dyDescent="0.2">
      <c r="A1101">
        <v>1100</v>
      </c>
      <c r="B1101" s="15" t="str">
        <f ca="1">IFERROR(__xludf.DUMMYFUNCTION("""COMPUTED_VALUE"""),"Multi-objectivizing software configuration tuning")</f>
        <v>Multi-objectivizing software configuration tuning</v>
      </c>
      <c r="C1101" s="15" t="str">
        <f ca="1">VLOOKUP(B1101,'ALL DATABASES'!$A$1:$T$2252,2,FALSE)</f>
        <v>Chen T,Li M</v>
      </c>
      <c r="D1101" s="15">
        <f ca="1">VLOOKUP(B1101,'ALL DATABASES'!$A$1:$T$2252,5,FALSE)</f>
        <v>2021</v>
      </c>
      <c r="E1101" s="15">
        <f ca="1">VLOOKUP(B1101,'ALL DATABASES'!$A$1:$T$2252,10,FALSE)</f>
        <v>2021</v>
      </c>
      <c r="F1101" s="54" t="str">
        <f ca="1">VLOOKUP(B1101,'ALL DATABASES'!$A$1:$T$2252,14,FALSE)</f>
        <v>https://www.scopus.com/inward/record.uri?eid=2-s2.0-85116294210&amp;doi=10.1145%2f3468264.3468555&amp;partnerID=40&amp;md5=2789ae7f809557fa2e4a5b4cd7a7f1ca;http://dx.doi.org/10.1145/3468264.3468555</v>
      </c>
      <c r="G1101" s="15" t="str">
        <f ca="1">VLOOKUP(B1101,'ALL DATABASES'!$A$1:$T$2252,3,FALSE)</f>
        <v>Conference Paper</v>
      </c>
      <c r="H1101" s="50" t="str">
        <f ca="1">VLOOKUP(B1101,'ALL DATABASES'!$A$1:$T$2252,20,FALSE)</f>
        <v>SCOPUS</v>
      </c>
    </row>
    <row r="1102" spans="1:8" ht="12.75" x14ac:dyDescent="0.2">
      <c r="A1102">
        <v>1101</v>
      </c>
      <c r="B1102" s="15" t="str">
        <f ca="1">IFERROR(__xludf.DUMMYFUNCTION("""COMPUTED_VALUE"""),"Multi-Programming-Language Commits in OSS: An Empirical Study on Apache Projects")</f>
        <v>Multi-Programming-Language Commits in OSS: An Empirical Study on Apache Projects</v>
      </c>
      <c r="C1102" s="15" t="str">
        <f ca="1">VLOOKUP(B1102,'ALL DATABASES'!$A$1:$T$2252,2,FALSE)</f>
        <v>Li Z,Qi X,Yu Q,Liang P,Mo R,Yang C</v>
      </c>
      <c r="D1102" s="15">
        <f ca="1">VLOOKUP(B1102,'ALL DATABASES'!$A$1:$T$2252,5,FALSE)</f>
        <v>2021</v>
      </c>
      <c r="E1102" s="55">
        <f ca="1">VLOOKUP(B1102,'ALL DATABASES'!$A$1:$T$2252,10,FALSE)</f>
        <v>44317</v>
      </c>
      <c r="F1102" s="54" t="str">
        <f ca="1">VLOOKUP(B1102,'ALL DATABASES'!$A$1:$T$2252,14,FALSE)</f>
        <v>http://dx.doi.org/10.1109/ICPC52881.2021.00029</v>
      </c>
      <c r="G1102" s="15" t="str">
        <f ca="1">VLOOKUP(B1102,'ALL DATABASES'!$A$1:$T$2252,3,FALSE)</f>
        <v>Conference Paper</v>
      </c>
      <c r="H1102" s="50" t="str">
        <f ca="1">VLOOKUP(B1102,'ALL DATABASES'!$A$1:$T$2252,20,FALSE)</f>
        <v>IEEE</v>
      </c>
    </row>
    <row r="1103" spans="1:8" ht="12.75" x14ac:dyDescent="0.2">
      <c r="A1103">
        <v>1102</v>
      </c>
      <c r="B1103" s="15" t="str">
        <f ca="1">IFERROR(__xludf.DUMMYFUNCTION("""COMPUTED_VALUE"""),"Multiclass Classification for Self-Admitted Technical Debt Based on XGBoost")</f>
        <v>Multiclass Classification for Self-Admitted Technical Debt Based on XGBoost</v>
      </c>
      <c r="C1103" s="15" t="str">
        <f ca="1">VLOOKUP(B1103,'ALL DATABASES'!$A$1:$T$2252,2,FALSE)</f>
        <v>Chen X,Yu D,Fan X,Wang L,Chen J</v>
      </c>
      <c r="D1103" s="15">
        <f ca="1">VLOOKUP(B1103,'ALL DATABASES'!$A$1:$T$2252,5,FALSE)</f>
        <v>2022</v>
      </c>
      <c r="E1103" s="55">
        <f ca="1">VLOOKUP(B1103,'ALL DATABASES'!$A$1:$T$2252,10,FALSE)</f>
        <v>44805</v>
      </c>
      <c r="F1103" s="54" t="str">
        <f ca="1">VLOOKUP(B1103,'ALL DATABASES'!$A$1:$T$2252,14,FALSE)</f>
        <v>http://dx.doi.org/10.1109/TR.2021.3087864</v>
      </c>
      <c r="G1103" s="15" t="str">
        <f ca="1">VLOOKUP(B1103,'ALL DATABASES'!$A$1:$T$2252,3,FALSE)</f>
        <v>Journal Article</v>
      </c>
      <c r="H1103" s="50" t="str">
        <f ca="1">VLOOKUP(B1103,'ALL DATABASES'!$A$1:$T$2252,20,FALSE)</f>
        <v>IEEE</v>
      </c>
    </row>
    <row r="1104" spans="1:8" ht="12.75" x14ac:dyDescent="0.2">
      <c r="A1104">
        <v>1103</v>
      </c>
      <c r="B1104" s="15" t="str">
        <f ca="1">IFERROR(__xludf.DUMMYFUNCTION("""COMPUTED_VALUE"""),"MultiDimEr: A Multi-Dimensional Bug AnalyzEr")</f>
        <v>MultiDimEr: A Multi-Dimensional Bug AnalyzEr</v>
      </c>
      <c r="C1104" s="15" t="str">
        <f ca="1">VLOOKUP(B1104,'ALL DATABASES'!$A$1:$T$2252,2,FALSE)</f>
        <v>Silva L,Unterkalmsteiner M,Wnuk K</v>
      </c>
      <c r="D1104" s="15">
        <f ca="1">VLOOKUP(B1104,'ALL DATABASES'!$A$1:$T$2252,5,FALSE)</f>
        <v>2022</v>
      </c>
      <c r="E1104" s="55">
        <f ca="1">VLOOKUP(B1104,'ALL DATABASES'!$A$1:$T$2252,10,FALSE)</f>
        <v>44682</v>
      </c>
      <c r="F1104" s="54" t="str">
        <f ca="1">VLOOKUP(B1104,'ALL DATABASES'!$A$1:$T$2252,14,FALSE)</f>
        <v>http://dx.doi.org/10.1145/3524843.3528099</v>
      </c>
      <c r="G1104" s="15" t="str">
        <f ca="1">VLOOKUP(B1104,'ALL DATABASES'!$A$1:$T$2252,3,FALSE)</f>
        <v>Conference Paper</v>
      </c>
      <c r="H1104" s="50" t="str">
        <f ca="1">VLOOKUP(B1104,'ALL DATABASES'!$A$1:$T$2252,20,FALSE)</f>
        <v>IEEE</v>
      </c>
    </row>
    <row r="1105" spans="1:8" ht="12.75" x14ac:dyDescent="0.2">
      <c r="A1105">
        <v>1104</v>
      </c>
      <c r="B1105" s="15" t="str">
        <f ca="1">IFERROR(__xludf.DUMMYFUNCTION("""COMPUTED_VALUE"""),"Multilayered review of safety approaches for machine learning-based systems in the days of AI")</f>
        <v>Multilayered review of safety approaches for machine learning-based systems in the days of AI</v>
      </c>
      <c r="C1105" s="15" t="str">
        <f ca="1">VLOOKUP(B1105,'ALL DATABASES'!$A$1:$T$2252,2,FALSE)</f>
        <v>Dey S,Lee SW</v>
      </c>
      <c r="D1105" s="15">
        <f ca="1">VLOOKUP(B1105,'ALL DATABASES'!$A$1:$T$2252,5,FALSE)</f>
        <v>2021</v>
      </c>
      <c r="E1105" s="15">
        <f ca="1">VLOOKUP(B1105,'ALL DATABASES'!$A$1:$T$2252,10,FALSE)</f>
        <v>2021</v>
      </c>
      <c r="F1105" s="54" t="str">
        <f ca="1">VLOOKUP(B1105,'ALL DATABASES'!$A$1:$T$2252,14,FALSE)</f>
        <v>https://www.scopus.com/inward/record.uri?eid=2-s2.0-85102578152&amp;doi=10.1016%2fj.jss.2021.110941&amp;partnerID=40&amp;md5=dcbc0dc703f07e37f7f5fecc315e151d;http://dx.doi.org/10.1016/j.jss.2021.110941</v>
      </c>
      <c r="G1105" s="15" t="str">
        <f ca="1">VLOOKUP(B1105,'ALL DATABASES'!$A$1:$T$2252,3,FALSE)</f>
        <v>Journal Article</v>
      </c>
      <c r="H1105" s="50" t="str">
        <f ca="1">VLOOKUP(B1105,'ALL DATABASES'!$A$1:$T$2252,20,FALSE)</f>
        <v>SCOPUS</v>
      </c>
    </row>
    <row r="1106" spans="1:8" ht="12.75" x14ac:dyDescent="0.2">
      <c r="A1106">
        <v>1105</v>
      </c>
      <c r="B1106" s="15" t="str">
        <f ca="1">IFERROR(__xludf.DUMMYFUNCTION("""COMPUTED_VALUE"""),"Multiscale Deep Neural Network for Obstructive Sleep Apnea Detection Using RR Interval from Single-Lead ECG Signal")</f>
        <v>Multiscale Deep Neural Network for Obstructive Sleep Apnea Detection Using RR Interval from Single-Lead ECG Signal</v>
      </c>
      <c r="C1106" s="15" t="str">
        <f ca="1">VLOOKUP(B1106,'ALL DATABASES'!$A$1:$T$2252,2,FALSE)</f>
        <v>Shen Q,Qin H,Wei K,Liu G</v>
      </c>
      <c r="D1106" s="15">
        <f ca="1">VLOOKUP(B1106,'ALL DATABASES'!$A$1:$T$2252,5,FALSE)</f>
        <v>2021</v>
      </c>
      <c r="E1106" s="15">
        <f ca="1">VLOOKUP(B1106,'ALL DATABASES'!$A$1:$T$2252,10,FALSE)</f>
        <v>2021</v>
      </c>
      <c r="F1106" s="54" t="str">
        <f ca="1">VLOOKUP(B1106,'ALL DATABASES'!$A$1:$T$2252,14,FALSE)</f>
        <v>https://www.scopus.com/inward/record.uri?eid=2-s2.0-85102310792&amp;doi=10.1109%2fTIM.2021.3062414&amp;partnerID=40&amp;md5=e930b65b37ee8b67476c6350c271f4b2;http://dx.doi.org/10.1109/TIM.2021.3062414</v>
      </c>
      <c r="G1106" s="15" t="str">
        <f ca="1">VLOOKUP(B1106,'ALL DATABASES'!$A$1:$T$2252,3,FALSE)</f>
        <v>Journal Article</v>
      </c>
      <c r="H1106" s="50" t="str">
        <f ca="1">VLOOKUP(B1106,'ALL DATABASES'!$A$1:$T$2252,20,FALSE)</f>
        <v>SCOPUS</v>
      </c>
    </row>
    <row r="1107" spans="1:8" ht="12.75" x14ac:dyDescent="0.2">
      <c r="A1107">
        <v>1106</v>
      </c>
      <c r="B1107" s="15" t="str">
        <f ca="1">IFERROR(__xludf.DUMMYFUNCTION("""COMPUTED_VALUE"""),"Multitask defect prediction")</f>
        <v>Multitask defect prediction</v>
      </c>
      <c r="C1107" s="15" t="str">
        <f ca="1">VLOOKUP(B1107,'ALL DATABASES'!$A$1:$T$2252,2,FALSE)</f>
        <v>Ni C,Chen X,Xia X,Gu Q,Zhao Y</v>
      </c>
      <c r="D1107" s="15">
        <f ca="1">VLOOKUP(B1107,'ALL DATABASES'!$A$1:$T$2252,5,FALSE)</f>
        <v>2019</v>
      </c>
      <c r="E1107" s="15">
        <f ca="1">VLOOKUP(B1107,'ALL DATABASES'!$A$1:$T$2252,10,FALSE)</f>
        <v>2019</v>
      </c>
      <c r="F1107" s="54" t="str">
        <f ca="1">VLOOKUP(B1107,'ALL DATABASES'!$A$1:$T$2252,14,FALSE)</f>
        <v>https://www.scopus.com/inward/record.uri?eid=2-s2.0-85071777875&amp;doi=10.1002%2fsmr.2203&amp;partnerID=40&amp;md5=d35f88df732c6388924b13ceafe7b8d0;http://dx.doi.org/10.1002/smr.2203</v>
      </c>
      <c r="G1107" s="15" t="str">
        <f ca="1">VLOOKUP(B1107,'ALL DATABASES'!$A$1:$T$2252,3,FALSE)</f>
        <v>Journal Article</v>
      </c>
      <c r="H1107" s="50" t="str">
        <f ca="1">VLOOKUP(B1107,'ALL DATABASES'!$A$1:$T$2252,20,FALSE)</f>
        <v>SCOPUS</v>
      </c>
    </row>
    <row r="1108" spans="1:8" ht="12.75" x14ac:dyDescent="0.2">
      <c r="A1108">
        <v>1107</v>
      </c>
      <c r="B1108" s="15" t="str">
        <f ca="1">IFERROR(__xludf.DUMMYFUNCTION("""COMPUTED_VALUE"""),"Mutated Policies: Towards Proactive Attribute-Based Defenses for Access Control")</f>
        <v>Mutated Policies: Towards Proactive Attribute-Based Defenses for Access Control</v>
      </c>
      <c r="C1108" s="15" t="str">
        <f ca="1">VLOOKUP(B1108,'ALL DATABASES'!$A$1:$T$2252,2,FALSE)</f>
        <v>Rubio-Medrano CE,Lamp J,Doupé A,Zhao Z,Ahn GJ</v>
      </c>
      <c r="D1108" s="15">
        <f ca="1">VLOOKUP(B1108,'ALL DATABASES'!$A$1:$T$2252,5,FALSE)</f>
        <v>2017</v>
      </c>
      <c r="E1108" s="15">
        <f ca="1">VLOOKUP(B1108,'ALL DATABASES'!$A$1:$T$2252,10,FALSE)</f>
        <v>2017</v>
      </c>
      <c r="F1108" s="54" t="str">
        <f ca="1">VLOOKUP(B1108,'ALL DATABASES'!$A$1:$T$2252,14,FALSE)</f>
        <v>https://doi.org/10.1145/3140549.3140553;http://dx.doi.org/10.1145/3140549.3140553</v>
      </c>
      <c r="G1108" s="15" t="str">
        <f ca="1">VLOOKUP(B1108,'ALL DATABASES'!$A$1:$T$2252,3,FALSE)</f>
        <v>Conference Paper</v>
      </c>
      <c r="H1108" s="50" t="str">
        <f ca="1">VLOOKUP(B1108,'ALL DATABASES'!$A$1:$T$2252,20,FALSE)</f>
        <v>ACM</v>
      </c>
    </row>
    <row r="1109" spans="1:8" ht="12.75" x14ac:dyDescent="0.2">
      <c r="A1109">
        <v>1108</v>
      </c>
      <c r="B1109" s="15" t="str">
        <f ca="1">IFERROR(__xludf.DUMMYFUNCTION("""COMPUTED_VALUE"""),"National Cyber Summit (NCS) Research Track 2021")</f>
        <v>National Cyber Summit (NCS) Research Track 2021</v>
      </c>
      <c r="C1109" s="15" t="str">
        <f ca="1">VLOOKUP(B1109,'ALL DATABASES'!$A$1:$T$2252,2,FALSE)</f>
        <v>Kim-Kwang Raymond ChooProf. Tommy MorrisProf. Gilbert PetersonEric Imsand</v>
      </c>
      <c r="D1109" s="15">
        <f ca="1">VLOOKUP(B1109,'ALL DATABASES'!$A$1:$T$2252,5,FALSE)</f>
        <v>2022</v>
      </c>
      <c r="E1109" s="15">
        <f ca="1">VLOOKUP(B1109,'ALL DATABASES'!$A$1:$T$2252,10,FALSE)</f>
        <v>0</v>
      </c>
      <c r="F1109" s="54" t="str">
        <f ca="1">VLOOKUP(B1109,'ALL DATABASES'!$A$1:$T$2252,14,FALSE)</f>
        <v>http://link.springer.com/book/10.1007/978-3-030-84614-5</v>
      </c>
      <c r="G1109" s="15" t="str">
        <f ca="1">VLOOKUP(B1109,'ALL DATABASES'!$A$1:$T$2252,3,FALSE)</f>
        <v>Book</v>
      </c>
      <c r="H1109" s="50" t="str">
        <f ca="1">VLOOKUP(B1109,'ALL DATABASES'!$A$1:$T$2252,20,FALSE)</f>
        <v>SPRINGER</v>
      </c>
    </row>
    <row r="1110" spans="1:8" ht="12.75" x14ac:dyDescent="0.2">
      <c r="A1110">
        <v>1109</v>
      </c>
      <c r="B1110" s="15" t="str">
        <f ca="1">IFERROR(__xludf.DUMMYFUNCTION("""COMPUTED_VALUE"""),"Natural Language Processing Application on Commit Messages: A Case Study on HEP Software")</f>
        <v>Natural Language Processing Application on Commit Messages: A Case Study on HEP Software</v>
      </c>
      <c r="C1110" s="15" t="str">
        <f ca="1">VLOOKUP(B1110,'ALL DATABASES'!$A$1:$T$2252,2,FALSE)</f>
        <v>Yang Y,Ronchieri E,Canaparo M</v>
      </c>
      <c r="D1110" s="15">
        <f ca="1">VLOOKUP(B1110,'ALL DATABASES'!$A$1:$T$2252,5,FALSE)</f>
        <v>2022</v>
      </c>
      <c r="E1110" s="15">
        <f ca="1">VLOOKUP(B1110,'ALL DATABASES'!$A$1:$T$2252,10,FALSE)</f>
        <v>2022</v>
      </c>
      <c r="F1110" s="54" t="str">
        <f ca="1">VLOOKUP(B1110,'ALL DATABASES'!$A$1:$T$2252,14,FALSE)</f>
        <v>https://www.scopus.com/inward/record.uri?eid=2-s2.0-85141871666&amp;doi=10.3390%2fapp122110773&amp;partnerID=40&amp;md5=68da77451b330b3c748a87a531f560c2;http://dx.doi.org/10.3390/app122110773</v>
      </c>
      <c r="G1110" s="15" t="str">
        <f ca="1">VLOOKUP(B1110,'ALL DATABASES'!$A$1:$T$2252,3,FALSE)</f>
        <v>Journal Article</v>
      </c>
      <c r="H1110" s="50" t="str">
        <f ca="1">VLOOKUP(B1110,'ALL DATABASES'!$A$1:$T$2252,20,FALSE)</f>
        <v>SCOPUS</v>
      </c>
    </row>
    <row r="1111" spans="1:8" ht="12.75" x14ac:dyDescent="0.2">
      <c r="A1111">
        <v>1110</v>
      </c>
      <c r="B1111" s="15" t="str">
        <f ca="1">IFERROR(__xludf.DUMMYFUNCTION("""COMPUTED_VALUE"""),"Negligence Failures And Negligence Fixes. A Comparative Analysis Of Criminal Regulation Of AI And Autonomous Vehicles")</f>
        <v>Negligence Failures And Negligence Fixes. A Comparative Analysis Of Criminal Regulation Of AI And Autonomous Vehicles</v>
      </c>
      <c r="C1111" s="15" t="str">
        <f ca="1">VLOOKUP(B1111,'ALL DATABASES'!$A$1:$T$2252,2,FALSE)</f>
        <v>Alice GianniniJonathan Kwik</v>
      </c>
      <c r="D1111" s="15">
        <f ca="1">VLOOKUP(B1111,'ALL DATABASES'!$A$1:$T$2252,5,FALSE)</f>
        <v>2023</v>
      </c>
      <c r="E1111" s="15">
        <f ca="1">VLOOKUP(B1111,'ALL DATABASES'!$A$1:$T$2252,10,FALSE)</f>
        <v>0</v>
      </c>
      <c r="F1111" s="54" t="str">
        <f ca="1">VLOOKUP(B1111,'ALL DATABASES'!$A$1:$T$2252,14,FALSE)</f>
        <v>http://link.springer.com/article/10.1007/s10609-023-09451-1</v>
      </c>
      <c r="G1111" s="15" t="str">
        <f ca="1">VLOOKUP(B1111,'ALL DATABASES'!$A$1:$T$2252,3,FALSE)</f>
        <v>Article</v>
      </c>
      <c r="H1111" s="50" t="str">
        <f ca="1">VLOOKUP(B1111,'ALL DATABASES'!$A$1:$T$2252,20,FALSE)</f>
        <v>SPRINGER</v>
      </c>
    </row>
    <row r="1112" spans="1:8" ht="12.75" x14ac:dyDescent="0.2">
      <c r="A1112">
        <v>1111</v>
      </c>
      <c r="B1112" s="15" t="str">
        <f ca="1">IFERROR(__xludf.DUMMYFUNCTION("""COMPUTED_VALUE"""),"Neues Framework fÃ¼r messbasierte QualitÃ¤tsbewertung in der  Automotive-Softwareentwicklung")</f>
        <v>Neues Framework fÃ¼r messbasierte QualitÃ¤tsbewertung in der  Automotive-Softwareentwicklung</v>
      </c>
      <c r="C1112" s="15" t="str">
        <f ca="1">VLOOKUP(B1112,'ALL DATABASES'!$A$1:$T$2252,2,FALSE)</f>
        <v>Jens HeidrichAndreas MorgensternJochen QuanteThomas Grundler</v>
      </c>
      <c r="D1112" s="15">
        <f ca="1">VLOOKUP(B1112,'ALL DATABASES'!$A$1:$T$2252,5,FALSE)</f>
        <v>2022</v>
      </c>
      <c r="E1112" s="15">
        <f ca="1">VLOOKUP(B1112,'ALL DATABASES'!$A$1:$T$2252,10,FALSE)</f>
        <v>0</v>
      </c>
      <c r="F1112" s="54" t="str">
        <f ca="1">VLOOKUP(B1112,'ALL DATABASES'!$A$1:$T$2252,14,FALSE)</f>
        <v>http://link.springer.com/article/10.1007/s35658-021-0729-1</v>
      </c>
      <c r="G1112" s="15" t="str">
        <f ca="1">VLOOKUP(B1112,'ALL DATABASES'!$A$1:$T$2252,3,FALSE)</f>
        <v>Article</v>
      </c>
      <c r="H1112" s="50" t="str">
        <f ca="1">VLOOKUP(B1112,'ALL DATABASES'!$A$1:$T$2252,20,FALSE)</f>
        <v>SPRINGER</v>
      </c>
    </row>
    <row r="1113" spans="1:8" ht="12.75" x14ac:dyDescent="0.2">
      <c r="A1113">
        <v>1112</v>
      </c>
      <c r="B1113" s="15" t="str">
        <f ca="1">IFERROR(__xludf.DUMMYFUNCTION("""COMPUTED_VALUE"""),"Neural language models for code quality identification")</f>
        <v>Neural language models for code quality identification</v>
      </c>
      <c r="C1113" s="15" t="str">
        <f ca="1">VLOOKUP(B1113,'ALL DATABASES'!$A$1:$T$2252,2,FALSE)</f>
        <v>Sengamedu S,Zhao H</v>
      </c>
      <c r="D1113" s="15">
        <f ca="1">VLOOKUP(B1113,'ALL DATABASES'!$A$1:$T$2252,5,FALSE)</f>
        <v>2022</v>
      </c>
      <c r="E1113" s="15">
        <f ca="1">VLOOKUP(B1113,'ALL DATABASES'!$A$1:$T$2252,10,FALSE)</f>
        <v>2022</v>
      </c>
      <c r="F1113" s="54" t="str">
        <f ca="1">VLOOKUP(B1113,'ALL DATABASES'!$A$1:$T$2252,14,FALSE)</f>
        <v>https://www.scopus.com/inward/record.uri?eid=2-s2.0-85143199642&amp;doi=10.1145%2f3549034.3561175&amp;partnerID=40&amp;md5=d7c2c1efa13afe809fb522d39886fcb0;http://dx.doi.org/10.1145/3549034.3561175</v>
      </c>
      <c r="G1113" s="15" t="str">
        <f ca="1">VLOOKUP(B1113,'ALL DATABASES'!$A$1:$T$2252,3,FALSE)</f>
        <v>Conference Paper</v>
      </c>
      <c r="H1113" s="50" t="str">
        <f ca="1">VLOOKUP(B1113,'ALL DATABASES'!$A$1:$T$2252,20,FALSE)</f>
        <v>SCOPUS</v>
      </c>
    </row>
    <row r="1114" spans="1:8" ht="12.75" x14ac:dyDescent="0.2">
      <c r="A1114">
        <v>1113</v>
      </c>
      <c r="B1114" s="15" t="str">
        <f ca="1">IFERROR(__xludf.DUMMYFUNCTION("""COMPUTED_VALUE"""),"Neural Network-Based Detection of Self-Admitted Technical Debt: From Performance to Explainability")</f>
        <v>Neural Network-Based Detection of Self-Admitted Technical Debt: From Performance to Explainability</v>
      </c>
      <c r="C1114" s="15" t="str">
        <f ca="1">VLOOKUP(B1114,'ALL DATABASES'!$A$1:$T$2252,2,FALSE)</f>
        <v>Ren X,Xing Z,Xia X,Lo D,Wang X,Grundy J</v>
      </c>
      <c r="D1114" s="15">
        <f ca="1">VLOOKUP(B1114,'ALL DATABASES'!$A$1:$T$2252,5,FALSE)</f>
        <v>2019</v>
      </c>
      <c r="E1114" s="55">
        <f ca="1">VLOOKUP(B1114,'ALL DATABASES'!$A$1:$T$2252,10,FALSE)</f>
        <v>43647</v>
      </c>
      <c r="F1114" s="54" t="str">
        <f ca="1">VLOOKUP(B1114,'ALL DATABASES'!$A$1:$T$2252,14,FALSE)</f>
        <v>https://doi.org/10.1145/3324916;http://dx.doi.org/10.1145/3324916</v>
      </c>
      <c r="G1114" s="15" t="str">
        <f ca="1">VLOOKUP(B1114,'ALL DATABASES'!$A$1:$T$2252,3,FALSE)</f>
        <v>Journal Article</v>
      </c>
      <c r="H1114" s="50" t="str">
        <f ca="1">VLOOKUP(B1114,'ALL DATABASES'!$A$1:$T$2252,20,FALSE)</f>
        <v>ACM</v>
      </c>
    </row>
    <row r="1115" spans="1:8" ht="12.75" x14ac:dyDescent="0.2">
      <c r="A1115">
        <v>1114</v>
      </c>
      <c r="B1115" s="15" t="str">
        <f ca="1">IFERROR(__xludf.DUMMYFUNCTION("""COMPUTED_VALUE"""),"NeuRecover: Regression-Controlled Repair of Deep Neural Networks with Training History")</f>
        <v>NeuRecover: Regression-Controlled Repair of Deep Neural Networks with Training History</v>
      </c>
      <c r="C1115" s="15" t="str">
        <f ca="1">VLOOKUP(B1115,'ALL DATABASES'!$A$1:$T$2252,2,FALSE)</f>
        <v>Tokui S,Tokumoto S,Yoshii A,Ishikawa F,Nakagawa T,Munakata K,Kikuchi S</v>
      </c>
      <c r="D1115" s="15">
        <f ca="1">VLOOKUP(B1115,'ALL DATABASES'!$A$1:$T$2252,5,FALSE)</f>
        <v>2022</v>
      </c>
      <c r="E1115" s="15">
        <f ca="1">VLOOKUP(B1115,'ALL DATABASES'!$A$1:$T$2252,10,FALSE)</f>
        <v>2022</v>
      </c>
      <c r="F1115" s="54" t="str">
        <f ca="1">VLOOKUP(B1115,'ALL DATABASES'!$A$1:$T$2252,14,FALSE)</f>
        <v>https://www.scopus.com/inward/record.uri?eid=2-s2.0-85131034061&amp;doi=10.1109%2fSANER53432.2022.00128&amp;partnerID=40&amp;md5=347a90f993aa9b818a9cd39394d80740;http://dx.doi.org/10.1109/SANER53432.2022.00128</v>
      </c>
      <c r="G1115" s="15" t="str">
        <f ca="1">VLOOKUP(B1115,'ALL DATABASES'!$A$1:$T$2252,3,FALSE)</f>
        <v>Conference Paper</v>
      </c>
      <c r="H1115" s="50" t="str">
        <f ca="1">VLOOKUP(B1115,'ALL DATABASES'!$A$1:$T$2252,20,FALSE)</f>
        <v>SCOPUS</v>
      </c>
    </row>
    <row r="1116" spans="1:8" ht="12.75" x14ac:dyDescent="0.2">
      <c r="A1116">
        <v>1115</v>
      </c>
      <c r="B1116" s="15" t="str">
        <f ca="1">IFERROR(__xludf.DUMMYFUNCTION("""COMPUTED_VALUE"""),"Neuroscience Cloud Analysis As a Service: An open-source platform for scalable, reproducible data analysis")</f>
        <v>Neuroscience Cloud Analysis As a Service: An open-source platform for scalable, reproducible data analysis</v>
      </c>
      <c r="C1116" s="15" t="str">
        <f ca="1">VLOOKUP(B1116,'ALL DATABASES'!$A$1:$T$2252,2,FALSE)</f>
        <v>Abe T,Kinsella I,Saxena S,Buchanan EK,Couto J,Briggs J,Kitt SL,Glassman R,Zhou J,Paninski L,Cunningham JP</v>
      </c>
      <c r="D1116" s="15">
        <f ca="1">VLOOKUP(B1116,'ALL DATABASES'!$A$1:$T$2252,5,FALSE)</f>
        <v>2022</v>
      </c>
      <c r="E1116" s="15">
        <f ca="1">VLOOKUP(B1116,'ALL DATABASES'!$A$1:$T$2252,10,FALSE)</f>
        <v>2022</v>
      </c>
      <c r="F1116" s="54" t="str">
        <f ca="1">VLOOKUP(B1116,'ALL DATABASES'!$A$1:$T$2252,14,FALSE)</f>
        <v>https://www.scopus.com/inward/record.uri?eid=2-s2.0-85137070907&amp;doi=10.1016%2fj.neuron.2022.06.018&amp;partnerID=40&amp;md5=d95ad5c90342b00988ae7c7d5d9a9ea8;http://dx.doi.org/10.1016/j.neuron.2022.06.018</v>
      </c>
      <c r="G1116" s="15" t="str">
        <f ca="1">VLOOKUP(B1116,'ALL DATABASES'!$A$1:$T$2252,3,FALSE)</f>
        <v>Journal Article</v>
      </c>
      <c r="H1116" s="50" t="str">
        <f ca="1">VLOOKUP(B1116,'ALL DATABASES'!$A$1:$T$2252,20,FALSE)</f>
        <v>SCOPUS</v>
      </c>
    </row>
    <row r="1117" spans="1:8" ht="12.75" x14ac:dyDescent="0.2">
      <c r="A1117">
        <v>1116</v>
      </c>
      <c r="B1117" s="15" t="str">
        <f ca="1">IFERROR(__xludf.DUMMYFUNCTION("""COMPUTED_VALUE"""),"New Framework for Measurement-based Evaluation of Quality in Automotive Software Development")</f>
        <v>New Framework for Measurement-based Evaluation of Quality in Automotive Software Development</v>
      </c>
      <c r="C1117" s="15" t="str">
        <f ca="1">VLOOKUP(B1117,'ALL DATABASES'!$A$1:$T$2252,2,FALSE)</f>
        <v>Jens HeidrichAndreas MorgensternJochen QuanteThomas Grundler</v>
      </c>
      <c r="D1117" s="15">
        <f ca="1">VLOOKUP(B1117,'ALL DATABASES'!$A$1:$T$2252,5,FALSE)</f>
        <v>2022</v>
      </c>
      <c r="E1117" s="15">
        <f ca="1">VLOOKUP(B1117,'ALL DATABASES'!$A$1:$T$2252,10,FALSE)</f>
        <v>0</v>
      </c>
      <c r="F1117" s="54" t="str">
        <f ca="1">VLOOKUP(B1117,'ALL DATABASES'!$A$1:$T$2252,14,FALSE)</f>
        <v>http://link.springer.com/article/10.1007/s38314-021-0733-5</v>
      </c>
      <c r="G1117" s="15" t="str">
        <f ca="1">VLOOKUP(B1117,'ALL DATABASES'!$A$1:$T$2252,3,FALSE)</f>
        <v>Article</v>
      </c>
      <c r="H1117" s="50" t="str">
        <f ca="1">VLOOKUP(B1117,'ALL DATABASES'!$A$1:$T$2252,20,FALSE)</f>
        <v>SPRINGER</v>
      </c>
    </row>
    <row r="1118" spans="1:8" ht="12.75" x14ac:dyDescent="0.2">
      <c r="A1118">
        <v>1117</v>
      </c>
      <c r="B1118" s="15" t="str">
        <f ca="1">IFERROR(__xludf.DUMMYFUNCTION("""COMPUTED_VALUE"""),"New Perspectives in Software Engineering")</f>
        <v>New Perspectives in Software Engineering</v>
      </c>
      <c r="C1118" s="15" t="str">
        <f ca="1">VLOOKUP(B1118,'ALL DATABASES'!$A$1:$T$2252,2,FALSE)</f>
        <v>Jezreel MejiaMirna MuÃ±ozÃlvaro RochaVÃ­ctor HernÃ¡ndez-Nava</v>
      </c>
      <c r="D1118" s="15">
        <f ca="1">VLOOKUP(B1118,'ALL DATABASES'!$A$1:$T$2252,5,FALSE)</f>
        <v>2023</v>
      </c>
      <c r="E1118" s="15">
        <f ca="1">VLOOKUP(B1118,'ALL DATABASES'!$A$1:$T$2252,10,FALSE)</f>
        <v>0</v>
      </c>
      <c r="F1118" s="54" t="str">
        <f ca="1">VLOOKUP(B1118,'ALL DATABASES'!$A$1:$T$2252,14,FALSE)</f>
        <v>http://link.springer.com/book/10.1007/978-3-031-20322-0</v>
      </c>
      <c r="G1118" s="15" t="str">
        <f ca="1">VLOOKUP(B1118,'ALL DATABASES'!$A$1:$T$2252,3,FALSE)</f>
        <v>Book</v>
      </c>
      <c r="H1118" s="50" t="str">
        <f ca="1">VLOOKUP(B1118,'ALL DATABASES'!$A$1:$T$2252,20,FALSE)</f>
        <v>SPRINGER</v>
      </c>
    </row>
    <row r="1119" spans="1:8" ht="12.75" x14ac:dyDescent="0.2">
      <c r="A1119">
        <v>1118</v>
      </c>
      <c r="B1119" s="15" t="str">
        <f ca="1">IFERROR(__xludf.DUMMYFUNCTION("""COMPUTED_VALUE"""),"New Techniques")</f>
        <v>New Techniques</v>
      </c>
      <c r="C1119" s="15" t="str">
        <f ca="1">VLOOKUP(B1119,'ALL DATABASES'!$A$1:$T$2252,2,FALSE)</f>
        <v>Miroslaw StaronWilhelm Meding</v>
      </c>
      <c r="D1119" s="15">
        <f ca="1">VLOOKUP(B1119,'ALL DATABASES'!$A$1:$T$2252,5,FALSE)</f>
        <v>2018</v>
      </c>
      <c r="E1119" s="15">
        <f ca="1">VLOOKUP(B1119,'ALL DATABASES'!$A$1:$T$2252,10,FALSE)</f>
        <v>0</v>
      </c>
      <c r="F1119" s="54" t="str">
        <f ca="1">VLOOKUP(B1119,'ALL DATABASES'!$A$1:$T$2252,14,FALSE)</f>
        <v>http://link.springer.com/chapter/10.1007/978-3-319-91836-5_7</v>
      </c>
      <c r="G1119" s="15" t="str">
        <f ca="1">VLOOKUP(B1119,'ALL DATABASES'!$A$1:$T$2252,3,FALSE)</f>
        <v>Chapter</v>
      </c>
      <c r="H1119" s="50" t="str">
        <f ca="1">VLOOKUP(B1119,'ALL DATABASES'!$A$1:$T$2252,20,FALSE)</f>
        <v>SPRINGER</v>
      </c>
    </row>
    <row r="1120" spans="1:8" ht="12.75" x14ac:dyDescent="0.2">
      <c r="A1120">
        <v>1119</v>
      </c>
      <c r="B1120" s="15" t="str">
        <f ca="1">IFERROR(__xludf.DUMMYFUNCTION("""COMPUTED_VALUE"""),"Next-paradigm programming languages: What will they look like and what changes will they bring?")</f>
        <v>Next-paradigm programming languages: What will they look like and what changes will they bring?</v>
      </c>
      <c r="C1120" s="15" t="str">
        <f ca="1">VLOOKUP(B1120,'ALL DATABASES'!$A$1:$T$2252,2,FALSE)</f>
        <v>Smaragdakis Y</v>
      </c>
      <c r="D1120" s="15">
        <f ca="1">VLOOKUP(B1120,'ALL DATABASES'!$A$1:$T$2252,5,FALSE)</f>
        <v>2019</v>
      </c>
      <c r="E1120" s="15">
        <f ca="1">VLOOKUP(B1120,'ALL DATABASES'!$A$1:$T$2252,10,FALSE)</f>
        <v>2019</v>
      </c>
      <c r="F1120" s="54" t="str">
        <f ca="1">VLOOKUP(B1120,'ALL DATABASES'!$A$1:$T$2252,14,FALSE)</f>
        <v>https://www.scopus.com/inward/record.uri?eid=2-s2.0-85076755704&amp;doi=10.1145%2f3359591.3359739&amp;partnerID=40&amp;md5=a65381c51f81f6139909c2f22fb6b6b6;http://dx.doi.org/10.1145/3359591.3359739</v>
      </c>
      <c r="G1120" s="15" t="str">
        <f ca="1">VLOOKUP(B1120,'ALL DATABASES'!$A$1:$T$2252,3,FALSE)</f>
        <v>Conference Paper</v>
      </c>
      <c r="H1120" s="50" t="str">
        <f ca="1">VLOOKUP(B1120,'ALL DATABASES'!$A$1:$T$2252,20,FALSE)</f>
        <v>SCOPUS</v>
      </c>
    </row>
    <row r="1121" spans="1:8" ht="12.75" x14ac:dyDescent="0.2">
      <c r="A1121">
        <v>1120</v>
      </c>
      <c r="B1121" s="15" t="str">
        <f ca="1">IFERROR(__xludf.DUMMYFUNCTION("""COMPUTED_VALUE"""),"Non-functional requirements for machine learning: understanding current use and challenges among practitioners")</f>
        <v>Non-functional requirements for machine learning: understanding current use and challenges among practitioners</v>
      </c>
      <c r="C1121" s="15" t="str">
        <f ca="1">VLOOKUP(B1121,'ALL DATABASES'!$A$1:$T$2252,2,FALSE)</f>
        <v>Habibullah KM,Gay G,Horkoff J</v>
      </c>
      <c r="D1121" s="15">
        <f ca="1">VLOOKUP(B1121,'ALL DATABASES'!$A$1:$T$2252,5,FALSE)</f>
        <v>2023</v>
      </c>
      <c r="E1121" s="15">
        <f ca="1">VLOOKUP(B1121,'ALL DATABASES'!$A$1:$T$2252,10,FALSE)</f>
        <v>2023</v>
      </c>
      <c r="F1121" s="54" t="str">
        <f ca="1">VLOOKUP(B1121,'ALL DATABASES'!$A$1:$T$2252,14,FALSE)</f>
        <v>https://www.scopus.com/inward/record.uri?eid=2-s2.0-85145825727&amp;doi=10.1007%2fs00766-022-00395-3&amp;partnerID=40&amp;md5=4a5638f6e5bce046053ffbabdadcdb06;http://dx.doi.org/10.1007/s00766-022-00395-3</v>
      </c>
      <c r="G1121" s="15" t="str">
        <f ca="1">VLOOKUP(B1121,'ALL DATABASES'!$A$1:$T$2252,3,FALSE)</f>
        <v>Journal Article</v>
      </c>
      <c r="H1121" s="50" t="str">
        <f ca="1">VLOOKUP(B1121,'ALL DATABASES'!$A$1:$T$2252,20,FALSE)</f>
        <v>SCOPUS</v>
      </c>
    </row>
    <row r="1122" spans="1:8" ht="12.75" x14ac:dyDescent="0.2">
      <c r="A1122">
        <v>1121</v>
      </c>
      <c r="B1122" s="15" t="str">
        <f ca="1">IFERROR(__xludf.DUMMYFUNCTION("""COMPUTED_VALUE"""),"Non-functional Requirements for Machine Learning: Understanding Current Use and Challenges in Industry")</f>
        <v>Non-functional Requirements for Machine Learning: Understanding Current Use and Challenges in Industry</v>
      </c>
      <c r="C1122" s="15" t="str">
        <f ca="1">VLOOKUP(B1122,'ALL DATABASES'!$A$1:$T$2252,2,FALSE)</f>
        <v>Habibullah KM,Horkoff J</v>
      </c>
      <c r="D1122" s="15">
        <f ca="1">VLOOKUP(B1122,'ALL DATABASES'!$A$1:$T$2252,5,FALSE)</f>
        <v>2021</v>
      </c>
      <c r="E1122" s="55">
        <f ca="1">VLOOKUP(B1122,'ALL DATABASES'!$A$1:$T$2252,10,FALSE)</f>
        <v>44440</v>
      </c>
      <c r="F1122" s="54" t="str">
        <f ca="1">VLOOKUP(B1122,'ALL DATABASES'!$A$1:$T$2252,14,FALSE)</f>
        <v>http://dx.doi.org/10.1109/RE51729.2021.00009</v>
      </c>
      <c r="G1122" s="15" t="str">
        <f ca="1">VLOOKUP(B1122,'ALL DATABASES'!$A$1:$T$2252,3,FALSE)</f>
        <v>Conference Paper</v>
      </c>
      <c r="H1122" s="50" t="str">
        <f ca="1">VLOOKUP(B1122,'ALL DATABASES'!$A$1:$T$2252,20,FALSE)</f>
        <v>IEEE</v>
      </c>
    </row>
    <row r="1123" spans="1:8" ht="12.75" x14ac:dyDescent="0.2">
      <c r="A1123">
        <v>1122</v>
      </c>
      <c r="B1123" s="15" t="str">
        <f ca="1">IFERROR(__xludf.DUMMYFUNCTION("""COMPUTED_VALUE"""),"Not all bugs are the same: Understanding, characterizing, and classifying bug types")</f>
        <v>Not all bugs are the same: Understanding, characterizing, and classifying bug types</v>
      </c>
      <c r="C1123" s="15" t="str">
        <f ca="1">VLOOKUP(B1123,'ALL DATABASES'!$A$1:$T$2252,2,FALSE)</f>
        <v>Catolino G,Palomba F,Zaidman A,Ferrucci F</v>
      </c>
      <c r="D1123" s="15">
        <f ca="1">VLOOKUP(B1123,'ALL DATABASES'!$A$1:$T$2252,5,FALSE)</f>
        <v>2019</v>
      </c>
      <c r="E1123" s="15">
        <f ca="1">VLOOKUP(B1123,'ALL DATABASES'!$A$1:$T$2252,10,FALSE)</f>
        <v>2019</v>
      </c>
      <c r="F1123" s="54" t="str">
        <f ca="1">VLOOKUP(B1123,'ALL DATABASES'!$A$1:$T$2252,14,FALSE)</f>
        <v>https://www.sciencedirect.com/science/article/pii/S0164121219300536;http://dx.doi.org/10.1016/j.jss.2019.03.002</v>
      </c>
      <c r="G1123" s="15" t="str">
        <f ca="1">VLOOKUP(B1123,'ALL DATABASES'!$A$1:$T$2252,3,FALSE)</f>
        <v>Journal Article</v>
      </c>
      <c r="H1123" s="50" t="str">
        <f ca="1">VLOOKUP(B1123,'ALL DATABASES'!$A$1:$T$2252,20,FALSE)</f>
        <v>SCIENCEDIRECT</v>
      </c>
    </row>
    <row r="1124" spans="1:8" ht="12.75" x14ac:dyDescent="0.2">
      <c r="A1124">
        <v>1123</v>
      </c>
      <c r="B1124" s="15" t="str">
        <f ca="1">IFERROR(__xludf.DUMMYFUNCTION("""COMPUTED_VALUE"""),"Omniscient devops analytics")</f>
        <v>Omniscient devops analytics</v>
      </c>
      <c r="C1124" s="15" t="str">
        <f ca="1">VLOOKUP(B1124,'ALL DATABASES'!$A$1:$T$2252,2,FALSE)</f>
        <v>Tamburri DA,Di Nucci D,Di Giacomo L,Palomba F</v>
      </c>
      <c r="D1124" s="15">
        <f ca="1">VLOOKUP(B1124,'ALL DATABASES'!$A$1:$T$2252,5,FALSE)</f>
        <v>2019</v>
      </c>
      <c r="E1124" s="15">
        <f ca="1">VLOOKUP(B1124,'ALL DATABASES'!$A$1:$T$2252,10,FALSE)</f>
        <v>2019</v>
      </c>
      <c r="F1124" s="54" t="str">
        <f ca="1">VLOOKUP(B1124,'ALL DATABASES'!$A$1:$T$2252,14,FALSE)</f>
        <v>https://www.scopus.com/inward/record.uri?eid=2-s2.0-85061105307&amp;doi=10.1007%2f978-3-030-06019-0_4&amp;partnerID=40&amp;md5=fe967be5b739bd55d54da635437930df;http://dx.doi.org/10.1007/978-3-030-06019-0_4</v>
      </c>
      <c r="G1124" s="15" t="str">
        <f ca="1">VLOOKUP(B1124,'ALL DATABASES'!$A$1:$T$2252,3,FALSE)</f>
        <v>Journal Article</v>
      </c>
      <c r="H1124" s="50" t="str">
        <f ca="1">VLOOKUP(B1124,'ALL DATABASES'!$A$1:$T$2252,20,FALSE)</f>
        <v>SCOPUS</v>
      </c>
    </row>
    <row r="1125" spans="1:8" ht="12.75" x14ac:dyDescent="0.2">
      <c r="A1125">
        <v>1124</v>
      </c>
      <c r="B1125" s="15" t="str">
        <f ca="1">IFERROR(__xludf.DUMMYFUNCTION("""COMPUTED_VALUE"""),"On Automatic Detection of Performance Bugs")</f>
        <v>On Automatic Detection of Performance Bugs</v>
      </c>
      <c r="C1125" s="15" t="str">
        <f ca="1">VLOOKUP(B1125,'ALL DATABASES'!$A$1:$T$2252,2,FALSE)</f>
        <v>Tsakiltsidis S,Miranskyy A,Mazzawi E</v>
      </c>
      <c r="D1125" s="15">
        <f ca="1">VLOOKUP(B1125,'ALL DATABASES'!$A$1:$T$2252,5,FALSE)</f>
        <v>2016</v>
      </c>
      <c r="E1125" s="15">
        <f ca="1">VLOOKUP(B1125,'ALL DATABASES'!$A$1:$T$2252,10,FALSE)</f>
        <v>2016</v>
      </c>
      <c r="F1125" s="54" t="str">
        <f ca="1">VLOOKUP(B1125,'ALL DATABASES'!$A$1:$T$2252,14,FALSE)</f>
        <v>https://www.scopus.com/inward/record.uri?eid=2-s2.0-85009812066&amp;doi=10.1109%2fISSREW.2016.43&amp;partnerID=40&amp;md5=ff20df4eca8118cbca210f65f564b65b;http://dx.doi.org/10.1109/ISSREW.2016.43</v>
      </c>
      <c r="G1125" s="15" t="str">
        <f ca="1">VLOOKUP(B1125,'ALL DATABASES'!$A$1:$T$2252,3,FALSE)</f>
        <v>Conference Paper</v>
      </c>
      <c r="H1125" s="50" t="str">
        <f ca="1">VLOOKUP(B1125,'ALL DATABASES'!$A$1:$T$2252,20,FALSE)</f>
        <v>SCOPUS</v>
      </c>
    </row>
    <row r="1126" spans="1:8" ht="12.75" x14ac:dyDescent="0.2">
      <c r="A1126">
        <v>1125</v>
      </c>
      <c r="B1126" s="15" t="str">
        <f ca="1">IFERROR(__xludf.DUMMYFUNCTION("""COMPUTED_VALUE"""),"On business adoption and use of reproducible builds for open and closed source software")</f>
        <v>On business adoption and use of reproducible builds for open and closed source software</v>
      </c>
      <c r="C1126" s="15" t="str">
        <f ca="1">VLOOKUP(B1126,'ALL DATABASES'!$A$1:$T$2252,2,FALSE)</f>
        <v>Simon ButlerJonas GamalielssonBjÃ¶rn LundellChristoffer BraxAnders MattssonTomas GustavssonJonas FeistBengt KvarnstrÃ¶mErik LÃ¶nroth</v>
      </c>
      <c r="D1126" s="15">
        <f ca="1">VLOOKUP(B1126,'ALL DATABASES'!$A$1:$T$2252,5,FALSE)</f>
        <v>2022</v>
      </c>
      <c r="E1126" s="15">
        <f ca="1">VLOOKUP(B1126,'ALL DATABASES'!$A$1:$T$2252,10,FALSE)</f>
        <v>0</v>
      </c>
      <c r="F1126" s="54" t="str">
        <f ca="1">VLOOKUP(B1126,'ALL DATABASES'!$A$1:$T$2252,14,FALSE)</f>
        <v>http://link.springer.com/article/10.1007/s11219-022-09607-z</v>
      </c>
      <c r="G1126" s="15" t="str">
        <f ca="1">VLOOKUP(B1126,'ALL DATABASES'!$A$1:$T$2252,3,FALSE)</f>
        <v>Article</v>
      </c>
      <c r="H1126" s="50" t="str">
        <f ca="1">VLOOKUP(B1126,'ALL DATABASES'!$A$1:$T$2252,20,FALSE)</f>
        <v>SPRINGER</v>
      </c>
    </row>
    <row r="1127" spans="1:8" ht="12.75" x14ac:dyDescent="0.2">
      <c r="A1127">
        <v>1126</v>
      </c>
      <c r="B1127" s="15" t="str">
        <f ca="1">IFERROR(__xludf.DUMMYFUNCTION("""COMPUTED_VALUE"""),"On Combining IR Methods to Improve Bug Localization")</f>
        <v>On Combining IR Methods to Improve Bug Localization</v>
      </c>
      <c r="C1127" s="15" t="str">
        <f ca="1">VLOOKUP(B1127,'ALL DATABASES'!$A$1:$T$2252,2,FALSE)</f>
        <v>Khatiwada S,Tushev M,Mahmoud A</v>
      </c>
      <c r="D1127" s="15">
        <f ca="1">VLOOKUP(B1127,'ALL DATABASES'!$A$1:$T$2252,5,FALSE)</f>
        <v>2020</v>
      </c>
      <c r="E1127" s="15">
        <f ca="1">VLOOKUP(B1127,'ALL DATABASES'!$A$1:$T$2252,10,FALSE)</f>
        <v>2020</v>
      </c>
      <c r="F1127" s="54" t="str">
        <f ca="1">VLOOKUP(B1127,'ALL DATABASES'!$A$1:$T$2252,14,FALSE)</f>
        <v>https://doi.org/10.1145/3387904.3389280;http://dx.doi.org/10.1145/3387904.3389280</v>
      </c>
      <c r="G1127" s="15" t="str">
        <f ca="1">VLOOKUP(B1127,'ALL DATABASES'!$A$1:$T$2252,3,FALSE)</f>
        <v>Conference Paper</v>
      </c>
      <c r="H1127" s="50" t="str">
        <f ca="1">VLOOKUP(B1127,'ALL DATABASES'!$A$1:$T$2252,20,FALSE)</f>
        <v>ACM</v>
      </c>
    </row>
    <row r="1128" spans="1:8" ht="12.75" x14ac:dyDescent="0.2">
      <c r="A1128">
        <v>1127</v>
      </c>
      <c r="B1128" s="15" t="str">
        <f ca="1">IFERROR(__xludf.DUMMYFUNCTION("""COMPUTED_VALUE"""),"On comment patterns that are good indicators of the presence of self-admitted technical debt and those that lead to false positive items")</f>
        <v>On comment patterns that are good indicators of the presence of self-admitted technical debt and those that lead to false positive items</v>
      </c>
      <c r="C1128" s="15" t="str">
        <f ca="1">VLOOKUP(B1128,'ALL DATABASES'!$A$1:$T$2252,2,FALSE)</f>
        <v>Farias M,Mendes TS,Mendonça MG,Spínola RO</v>
      </c>
      <c r="D1128" s="15">
        <f ca="1">VLOOKUP(B1128,'ALL DATABASES'!$A$1:$T$2252,5,FALSE)</f>
        <v>2021</v>
      </c>
      <c r="E1128" s="15">
        <f ca="1">VLOOKUP(B1128,'ALL DATABASES'!$A$1:$T$2252,10,FALSE)</f>
        <v>2021</v>
      </c>
      <c r="F1128" s="54" t="str">
        <f ca="1">VLOOKUP(B1128,'ALL DATABASES'!$A$1:$T$2252,14,FALSE)</f>
        <v>https://www.scopus.com/inward/record.uri?eid=2-s2.0-85118631068&amp;partnerID=40&amp;md5=2195f60fd0617a0087df6aa8fcb55489</v>
      </c>
      <c r="G1128" s="15" t="str">
        <f ca="1">VLOOKUP(B1128,'ALL DATABASES'!$A$1:$T$2252,3,FALSE)</f>
        <v>Conference Paper</v>
      </c>
      <c r="H1128" s="50" t="str">
        <f ca="1">VLOOKUP(B1128,'ALL DATABASES'!$A$1:$T$2252,20,FALSE)</f>
        <v>SCOPUS</v>
      </c>
    </row>
    <row r="1129" spans="1:8" ht="12.75" x14ac:dyDescent="0.2">
      <c r="A1129">
        <v>1128</v>
      </c>
      <c r="B1129" s="15" t="str">
        <f ca="1">IFERROR(__xludf.DUMMYFUNCTION("""COMPUTED_VALUE"""),"On Company Contributions to Community Open Source Software Projects")</f>
        <v>On Company Contributions to Community Open Source Software Projects</v>
      </c>
      <c r="C1129" s="15" t="str">
        <f ca="1">VLOOKUP(B1129,'ALL DATABASES'!$A$1:$T$2252,2,FALSE)</f>
        <v>Butler S,Gamalielsson J,Lundell B,Brax C,Sjöberg J,Mattsson A,Gustavsson T,Feist J,Lönroth E</v>
      </c>
      <c r="D1129" s="15">
        <f ca="1">VLOOKUP(B1129,'ALL DATABASES'!$A$1:$T$2252,5,FALSE)</f>
        <v>2021</v>
      </c>
      <c r="E1129" s="55">
        <f ca="1">VLOOKUP(B1129,'ALL DATABASES'!$A$1:$T$2252,10,FALSE)</f>
        <v>44378</v>
      </c>
      <c r="F1129" s="54" t="str">
        <f ca="1">VLOOKUP(B1129,'ALL DATABASES'!$A$1:$T$2252,14,FALSE)</f>
        <v>http://dx.doi.org/10.1109/TSE.2019.2919305</v>
      </c>
      <c r="G1129" s="15" t="str">
        <f ca="1">VLOOKUP(B1129,'ALL DATABASES'!$A$1:$T$2252,3,FALSE)</f>
        <v>Journal Article</v>
      </c>
      <c r="H1129" s="50" t="str">
        <f ca="1">VLOOKUP(B1129,'ALL DATABASES'!$A$1:$T$2252,20,FALSE)</f>
        <v>IEEE</v>
      </c>
    </row>
    <row r="1130" spans="1:8" ht="12.75" x14ac:dyDescent="0.2">
      <c r="A1130">
        <v>1129</v>
      </c>
      <c r="B1130" s="15" t="str">
        <f ca="1">IFERROR(__xludf.DUMMYFUNCTION("""COMPUTED_VALUE"""),"On Continuous Integration / Continuous Delivery for Automated Deployment of Machine Learning Models using MLOps")</f>
        <v>On Continuous Integration / Continuous Delivery for Automated Deployment of Machine Learning Models using MLOps</v>
      </c>
      <c r="C1130" s="15" t="str">
        <f ca="1">VLOOKUP(B1130,'ALL DATABASES'!$A$1:$T$2252,2,FALSE)</f>
        <v>Garg S,Pundir P,Rathee G,Gupta PK,Garg S,Ahlawat S</v>
      </c>
      <c r="D1130" s="15">
        <f ca="1">VLOOKUP(B1130,'ALL DATABASES'!$A$1:$T$2252,5,FALSE)</f>
        <v>2021</v>
      </c>
      <c r="E1130" s="15">
        <f ca="1">VLOOKUP(B1130,'ALL DATABASES'!$A$1:$T$2252,10,FALSE)</f>
        <v>2021</v>
      </c>
      <c r="F1130" s="54" t="str">
        <f ca="1">VLOOKUP(B1130,'ALL DATABASES'!$A$1:$T$2252,14,FALSE)</f>
        <v>https://www.scopus.com/inward/record.uri?eid=2-s2.0-85127693591&amp;doi=10.1109%2fAIKE52691.2021.00010&amp;partnerID=40&amp;md5=ab80be2a0ca9fc311ecc098c76e85efe;http://dx.doi.org/10.1109/AIKE52691.2021.00010</v>
      </c>
      <c r="G1130" s="15" t="str">
        <f ca="1">VLOOKUP(B1130,'ALL DATABASES'!$A$1:$T$2252,3,FALSE)</f>
        <v>Conference Paper</v>
      </c>
      <c r="H1130" s="50" t="str">
        <f ca="1">VLOOKUP(B1130,'ALL DATABASES'!$A$1:$T$2252,20,FALSE)</f>
        <v>SCOPUS</v>
      </c>
    </row>
    <row r="1131" spans="1:8" ht="12.75" x14ac:dyDescent="0.2">
      <c r="A1131">
        <v>1130</v>
      </c>
      <c r="B1131" s="15" t="str">
        <f ca="1">IFERROR(__xludf.DUMMYFUNCTION("""COMPUTED_VALUE"""),"On Data Analysis of Software Repositories")</f>
        <v>On Data Analysis of Software Repositories</v>
      </c>
      <c r="C1131" s="15" t="str">
        <f ca="1">VLOOKUP(B1131,'ALL DATABASES'!$A$1:$T$2252,2,FALSE)</f>
        <v>Dmitry NamiotVladimir Romanov</v>
      </c>
      <c r="D1131" s="15">
        <f ca="1">VLOOKUP(B1131,'ALL DATABASES'!$A$1:$T$2252,5,FALSE)</f>
        <v>2020</v>
      </c>
      <c r="E1131" s="15">
        <f ca="1">VLOOKUP(B1131,'ALL DATABASES'!$A$1:$T$2252,10,FALSE)</f>
        <v>0</v>
      </c>
      <c r="F1131" s="54" t="str">
        <f ca="1">VLOOKUP(B1131,'ALL DATABASES'!$A$1:$T$2252,14,FALSE)</f>
        <v>http://link.springer.com/chapter/10.1007/978-3-030-37436-5_24</v>
      </c>
      <c r="G1131" s="15" t="str">
        <f ca="1">VLOOKUP(B1131,'ALL DATABASES'!$A$1:$T$2252,3,FALSE)</f>
        <v>Chapter</v>
      </c>
      <c r="H1131" s="50" t="str">
        <f ca="1">VLOOKUP(B1131,'ALL DATABASES'!$A$1:$T$2252,20,FALSE)</f>
        <v>SPRINGER</v>
      </c>
    </row>
    <row r="1132" spans="1:8" ht="12.75" x14ac:dyDescent="0.2">
      <c r="A1132">
        <v>1131</v>
      </c>
      <c r="B1132" s="15" t="str">
        <f ca="1">IFERROR(__xludf.DUMMYFUNCTION("""COMPUTED_VALUE"""),"On Indirectly Dependent Documentation in the Context of Code Evolution: A Study")</f>
        <v>On Indirectly Dependent Documentation in the Context of Code Evolution: A Study</v>
      </c>
      <c r="C1132" s="15" t="str">
        <f ca="1">VLOOKUP(B1132,'ALL DATABASES'!$A$1:$T$2252,2,FALSE)</f>
        <v>Sondhi D,Gupta A,Purandare S,Rana A,Kaushal D,Purandare R</v>
      </c>
      <c r="D1132" s="15">
        <f ca="1">VLOOKUP(B1132,'ALL DATABASES'!$A$1:$T$2252,5,FALSE)</f>
        <v>2021</v>
      </c>
      <c r="E1132" s="15">
        <f ca="1">VLOOKUP(B1132,'ALL DATABASES'!$A$1:$T$2252,10,FALSE)</f>
        <v>2021</v>
      </c>
      <c r="F1132" s="54" t="str">
        <f ca="1">VLOOKUP(B1132,'ALL DATABASES'!$A$1:$T$2252,14,FALSE)</f>
        <v>https://doi.org/10.1109/ICSE43902.2021.00134;http://dx.doi.org/10.1109/ICSE43902.2021.00134</v>
      </c>
      <c r="G1132" s="15" t="str">
        <f ca="1">VLOOKUP(B1132,'ALL DATABASES'!$A$1:$T$2252,3,FALSE)</f>
        <v>Conference Paper</v>
      </c>
      <c r="H1132" s="50" t="str">
        <f ca="1">VLOOKUP(B1132,'ALL DATABASES'!$A$1:$T$2252,20,FALSE)</f>
        <v>ACM</v>
      </c>
    </row>
    <row r="1133" spans="1:8" ht="12.75" x14ac:dyDescent="0.2">
      <c r="A1133">
        <v>1132</v>
      </c>
      <c r="B1133" s="15" t="str">
        <f ca="1">IFERROR(__xludf.DUMMYFUNCTION("""COMPUTED_VALUE"""),"On microservice analysis and architecture evolution: A systematic mapping study")</f>
        <v>On microservice analysis and architecture evolution: A systematic mapping study</v>
      </c>
      <c r="C1133" s="15" t="str">
        <f ca="1">VLOOKUP(B1133,'ALL DATABASES'!$A$1:$T$2252,2,FALSE)</f>
        <v>Bushong V,Abdelfattah AS,Maruf AA,Das D,Lehman A,Jaroszewski E,Coffey M,Cerny T,Frajtak K,Tisnovsky P,Bures M</v>
      </c>
      <c r="D1133" s="15">
        <f ca="1">VLOOKUP(B1133,'ALL DATABASES'!$A$1:$T$2252,5,FALSE)</f>
        <v>2021</v>
      </c>
      <c r="E1133" s="15">
        <f ca="1">VLOOKUP(B1133,'ALL DATABASES'!$A$1:$T$2252,10,FALSE)</f>
        <v>2021</v>
      </c>
      <c r="F1133" s="54" t="str">
        <f ca="1">VLOOKUP(B1133,'ALL DATABASES'!$A$1:$T$2252,14,FALSE)</f>
        <v>https://www.scopus.com/inward/record.uri?eid=2-s2.0-85114092290&amp;doi=10.3390%2fapp11177856&amp;partnerID=40&amp;md5=79ee91293fdde1ec01f229442d4c5e8d;http://dx.doi.org/10.3390/app11177856</v>
      </c>
      <c r="G1133" s="15" t="str">
        <f ca="1">VLOOKUP(B1133,'ALL DATABASES'!$A$1:$T$2252,3,FALSE)</f>
        <v>Journal Article</v>
      </c>
      <c r="H1133" s="50" t="str">
        <f ca="1">VLOOKUP(B1133,'ALL DATABASES'!$A$1:$T$2252,20,FALSE)</f>
        <v>SCOPUS</v>
      </c>
    </row>
    <row r="1134" spans="1:8" ht="12.75" x14ac:dyDescent="0.2">
      <c r="A1134">
        <v>1133</v>
      </c>
      <c r="B1134" s="15" t="str">
        <f ca="1">IFERROR(__xludf.DUMMYFUNCTION("""COMPUTED_VALUE"""),"On misbehaviour and fault tolerance in machine learning systems")</f>
        <v>On misbehaviour and fault tolerance in machine learning systems</v>
      </c>
      <c r="C1134" s="15" t="str">
        <f ca="1">VLOOKUP(B1134,'ALL DATABASES'!$A$1:$T$2252,2,FALSE)</f>
        <v>Myllyaho L,Raatikainen M,Männistö T,Nurminen JK,Mikkonen T</v>
      </c>
      <c r="D1134" s="15">
        <f ca="1">VLOOKUP(B1134,'ALL DATABASES'!$A$1:$T$2252,5,FALSE)</f>
        <v>2022</v>
      </c>
      <c r="E1134" s="15">
        <f ca="1">VLOOKUP(B1134,'ALL DATABASES'!$A$1:$T$2252,10,FALSE)</f>
        <v>2022</v>
      </c>
      <c r="F1134" s="54" t="str">
        <f ca="1">VLOOKUP(B1134,'ALL DATABASES'!$A$1:$T$2252,14,FALSE)</f>
        <v>https://www.scopus.com/inward/record.uri?eid=2-s2.0-85116351574&amp;doi=10.1016%2fj.jss.2021.111096&amp;partnerID=40&amp;md5=8c5aa6e19ea2dc2cba467254b20cb554;http://dx.doi.org/10.1016/j.jss.2021.111096</v>
      </c>
      <c r="G1134" s="15" t="str">
        <f ca="1">VLOOKUP(B1134,'ALL DATABASES'!$A$1:$T$2252,3,FALSE)</f>
        <v>Journal Article</v>
      </c>
      <c r="H1134" s="50" t="str">
        <f ca="1">VLOOKUP(B1134,'ALL DATABASES'!$A$1:$T$2252,20,FALSE)</f>
        <v>SCOPUS</v>
      </c>
    </row>
    <row r="1135" spans="1:8" ht="12.75" x14ac:dyDescent="0.2">
      <c r="A1135">
        <v>1134</v>
      </c>
      <c r="B1135" s="15" t="str">
        <f ca="1">IFERROR(__xludf.DUMMYFUNCTION("""COMPUTED_VALUE"""),"On revisiting energy and performance in microservices applications: A cloud elasticity-driven approach")</f>
        <v>On revisiting energy and performance in microservices applications: A cloud elasticity-driven approach</v>
      </c>
      <c r="C1135" s="15" t="str">
        <f ca="1">VLOOKUP(B1135,'ALL DATABASES'!$A$1:$T$2252,2,FALSE)</f>
        <v>Fontana de Nardin I,da Rosa Righi R,Lima Lopes TR,André da Costa C,Yeom HY,Köstler H</v>
      </c>
      <c r="D1135" s="15">
        <f ca="1">VLOOKUP(B1135,'ALL DATABASES'!$A$1:$T$2252,5,FALSE)</f>
        <v>2021</v>
      </c>
      <c r="E1135" s="15">
        <f ca="1">VLOOKUP(B1135,'ALL DATABASES'!$A$1:$T$2252,10,FALSE)</f>
        <v>2021</v>
      </c>
      <c r="F1135" s="54" t="str">
        <f ca="1">VLOOKUP(B1135,'ALL DATABASES'!$A$1:$T$2252,14,FALSE)</f>
        <v>https://www.scopus.com/inward/record.uri?eid=2-s2.0-85117368062&amp;doi=10.1016%2fj.parco.2021.102858&amp;partnerID=40&amp;md5=cd2fc1322467a84cd684103e180284ac;http://dx.doi.org/10.1016/j.parco.2021.102858</v>
      </c>
      <c r="G1135" s="15" t="str">
        <f ca="1">VLOOKUP(B1135,'ALL DATABASES'!$A$1:$T$2252,3,FALSE)</f>
        <v>Journal Article</v>
      </c>
      <c r="H1135" s="50" t="str">
        <f ca="1">VLOOKUP(B1135,'ALL DATABASES'!$A$1:$T$2252,20,FALSE)</f>
        <v>SCOPUS</v>
      </c>
    </row>
    <row r="1136" spans="1:8" ht="12.75" x14ac:dyDescent="0.2">
      <c r="A1136">
        <v>1135</v>
      </c>
      <c r="B1136" s="15" t="str">
        <f ca="1">IFERROR(__xludf.DUMMYFUNCTION("""COMPUTED_VALUE"""),"On technical debt in mathematical programming: An exploratory study")</f>
        <v>On technical debt in mathematical programming: An exploratory study</v>
      </c>
      <c r="C1136" s="15" t="str">
        <f ca="1">VLOOKUP(B1136,'ALL DATABASES'!$A$1:$T$2252,2,FALSE)</f>
        <v>Vidoni M,Cunico ML</v>
      </c>
      <c r="D1136" s="15">
        <f ca="1">VLOOKUP(B1136,'ALL DATABASES'!$A$1:$T$2252,5,FALSE)</f>
        <v>2022</v>
      </c>
      <c r="E1136" s="15">
        <f ca="1">VLOOKUP(B1136,'ALL DATABASES'!$A$1:$T$2252,10,FALSE)</f>
        <v>2022</v>
      </c>
      <c r="F1136" s="54" t="str">
        <f ca="1">VLOOKUP(B1136,'ALL DATABASES'!$A$1:$T$2252,14,FALSE)</f>
        <v>https://www.scopus.com/inward/record.uri?eid=2-s2.0-85135494534&amp;doi=10.1007%2fs12532-022-00225-1&amp;partnerID=40&amp;md5=1e4c72f3a4ebd7dbef859d32d04d3331;http://dx.doi.org/10.1007/s12532-022-00225-1</v>
      </c>
      <c r="G1136" s="15" t="str">
        <f ca="1">VLOOKUP(B1136,'ALL DATABASES'!$A$1:$T$2252,3,FALSE)</f>
        <v>Journal Article</v>
      </c>
      <c r="H1136" s="50" t="str">
        <f ca="1">VLOOKUP(B1136,'ALL DATABASES'!$A$1:$T$2252,20,FALSE)</f>
        <v>SCOPUS</v>
      </c>
    </row>
    <row r="1137" spans="1:8" ht="12.75" x14ac:dyDescent="0.2">
      <c r="A1137">
        <v>1136</v>
      </c>
      <c r="B1137" s="15" t="str">
        <f ca="1">IFERROR(__xludf.DUMMYFUNCTION("""COMPUTED_VALUE"""),"On Technical Debt in Software Testing - Observations from Industry")</f>
        <v>On Technical Debt in Software Testing - Observations from Industry</v>
      </c>
      <c r="C1137" s="15" t="str">
        <f ca="1">VLOOKUP(B1137,'ALL DATABASES'!$A$1:$T$2252,2,FALSE)</f>
        <v>Eldh S</v>
      </c>
      <c r="D1137" s="15">
        <f ca="1">VLOOKUP(B1137,'ALL DATABASES'!$A$1:$T$2252,5,FALSE)</f>
        <v>2022</v>
      </c>
      <c r="E1137" s="15">
        <f ca="1">VLOOKUP(B1137,'ALL DATABASES'!$A$1:$T$2252,10,FALSE)</f>
        <v>2022</v>
      </c>
      <c r="F1137" s="54" t="str">
        <f ca="1">VLOOKUP(B1137,'ALL DATABASES'!$A$1:$T$2252,14,FALSE)</f>
        <v>https://www.scopus.com/inward/record.uri?eid=2-s2.0-85142686832&amp;doi=10.1007%2f978-3-031-19756-7_17&amp;partnerID=40&amp;md5=e7512dbcb4102e5308e13e7d16800931;http://dx.doi.org/10.1007/978-3-031-19756-7_17</v>
      </c>
      <c r="G1137" s="15" t="str">
        <f ca="1">VLOOKUP(B1137,'ALL DATABASES'!$A$1:$T$2252,3,FALSE)</f>
        <v>Journal Article</v>
      </c>
      <c r="H1137" s="50" t="str">
        <f ca="1">VLOOKUP(B1137,'ALL DATABASES'!$A$1:$T$2252,20,FALSE)</f>
        <v>SCOPUS</v>
      </c>
    </row>
    <row r="1138" spans="1:8" ht="12.75" x14ac:dyDescent="0.2">
      <c r="A1138">
        <v>1137</v>
      </c>
      <c r="B1138" s="15" t="str">
        <f ca="1">IFERROR(__xludf.DUMMYFUNCTION("""COMPUTED_VALUE"""),"On testing machine learning programs")</f>
        <v>On testing machine learning programs</v>
      </c>
      <c r="C1138" s="15" t="str">
        <f ca="1">VLOOKUP(B1138,'ALL DATABASES'!$A$1:$T$2252,2,FALSE)</f>
        <v>Braiek HB,Khomh F</v>
      </c>
      <c r="D1138" s="15">
        <f ca="1">VLOOKUP(B1138,'ALL DATABASES'!$A$1:$T$2252,5,FALSE)</f>
        <v>2020</v>
      </c>
      <c r="E1138" s="15">
        <f ca="1">VLOOKUP(B1138,'ALL DATABASES'!$A$1:$T$2252,10,FALSE)</f>
        <v>2020</v>
      </c>
      <c r="F1138" s="54" t="str">
        <f ca="1">VLOOKUP(B1138,'ALL DATABASES'!$A$1:$T$2252,14,FALSE)</f>
        <v>https://www.scopus.com/inward/record.uri?eid=2-s2.0-85081030171&amp;doi=10.1016%2fj.jss.2020.110542&amp;partnerID=40&amp;md5=0019441a753439c6d2a0513d3a102029;http://dx.doi.org/10.1016/j.jss.2020.110542</v>
      </c>
      <c r="G1138" s="15" t="str">
        <f ca="1">VLOOKUP(B1138,'ALL DATABASES'!$A$1:$T$2252,3,FALSE)</f>
        <v>Journal Article</v>
      </c>
      <c r="H1138" s="50" t="str">
        <f ca="1">VLOOKUP(B1138,'ALL DATABASES'!$A$1:$T$2252,20,FALSE)</f>
        <v>SCOPUS</v>
      </c>
    </row>
    <row r="1139" spans="1:8" ht="12.75" x14ac:dyDescent="0.2">
      <c r="A1139">
        <v>1138</v>
      </c>
      <c r="B1139" s="15" t="str">
        <f ca="1">IFERROR(__xludf.DUMMYFUNCTION("""COMPUTED_VALUE"""),"On the adequacy of static analysis warnings with respect to code smell prediction")</f>
        <v>On the adequacy of static analysis warnings with respect to code smell prediction</v>
      </c>
      <c r="C1139" s="15" t="str">
        <f ca="1">VLOOKUP(B1139,'ALL DATABASES'!$A$1:$T$2252,2,FALSE)</f>
        <v>Fabiano PecorelliSavanna LujanValentina LenarduzziFabio PalombaAndrea De Lucia</v>
      </c>
      <c r="D1139" s="15">
        <f ca="1">VLOOKUP(B1139,'ALL DATABASES'!$A$1:$T$2252,5,FALSE)</f>
        <v>2022</v>
      </c>
      <c r="E1139" s="15">
        <f ca="1">VLOOKUP(B1139,'ALL DATABASES'!$A$1:$T$2252,10,FALSE)</f>
        <v>0</v>
      </c>
      <c r="F1139" s="54" t="str">
        <f ca="1">VLOOKUP(B1139,'ALL DATABASES'!$A$1:$T$2252,14,FALSE)</f>
        <v>http://link.springer.com/article/10.1007/s10664-022-10126-5</v>
      </c>
      <c r="G1139" s="15" t="str">
        <f ca="1">VLOOKUP(B1139,'ALL DATABASES'!$A$1:$T$2252,3,FALSE)</f>
        <v>Article</v>
      </c>
      <c r="H1139" s="50" t="str">
        <f ca="1">VLOOKUP(B1139,'ALL DATABASES'!$A$1:$T$2252,20,FALSE)</f>
        <v>SPRINGER</v>
      </c>
    </row>
    <row r="1140" spans="1:8" ht="12.75" x14ac:dyDescent="0.2">
      <c r="A1140">
        <v>1139</v>
      </c>
      <c r="B1140" s="15" t="str">
        <f ca="1">IFERROR(__xludf.DUMMYFUNCTION("""COMPUTED_VALUE"""),"On the alleviation of imminent technical and business challenges of long-lasting functional digital twins")</f>
        <v>On the alleviation of imminent technical and business challenges of long-lasting functional digital twins</v>
      </c>
      <c r="C1140" s="15" t="str">
        <f ca="1">VLOOKUP(B1140,'ALL DATABASES'!$A$1:$T$2252,2,FALSE)</f>
        <v>Zeb A,Kortelainen J,Rantala T,Saunila M,Ukko J</v>
      </c>
      <c r="D1140" s="15">
        <f ca="1">VLOOKUP(B1140,'ALL DATABASES'!$A$1:$T$2252,5,FALSE)</f>
        <v>2022</v>
      </c>
      <c r="E1140" s="15">
        <f ca="1">VLOOKUP(B1140,'ALL DATABASES'!$A$1:$T$2252,10,FALSE)</f>
        <v>2022</v>
      </c>
      <c r="F1140" s="54" t="str">
        <f ca="1">VLOOKUP(B1140,'ALL DATABASES'!$A$1:$T$2252,14,FALSE)</f>
        <v>https://www.sciencedirect.com/science/article/pii/S0166361522000987;http://dx.doi.org/10.1016/j.compind.2022.103701</v>
      </c>
      <c r="G1140" s="15" t="str">
        <f ca="1">VLOOKUP(B1140,'ALL DATABASES'!$A$1:$T$2252,3,FALSE)</f>
        <v>Journal Article</v>
      </c>
      <c r="H1140" s="50" t="str">
        <f ca="1">VLOOKUP(B1140,'ALL DATABASES'!$A$1:$T$2252,20,FALSE)</f>
        <v>SCIENCEDIRECT</v>
      </c>
    </row>
    <row r="1141" spans="1:8" ht="12.75" x14ac:dyDescent="0.2">
      <c r="A1141">
        <v>1140</v>
      </c>
      <c r="B1141" s="15" t="str">
        <f ca="1">IFERROR(__xludf.DUMMYFUNCTION("""COMPUTED_VALUE"""),"On the challenges of translating NLP research into commercial products")</f>
        <v>On the challenges of translating NLP research into commercial products</v>
      </c>
      <c r="C1141" s="15" t="str">
        <f ca="1">VLOOKUP(B1141,'ALL DATABASES'!$A$1:$T$2252,2,FALSE)</f>
        <v>Dahlmeier D</v>
      </c>
      <c r="D1141" s="15">
        <f ca="1">VLOOKUP(B1141,'ALL DATABASES'!$A$1:$T$2252,5,FALSE)</f>
        <v>2017</v>
      </c>
      <c r="E1141" s="15">
        <f ca="1">VLOOKUP(B1141,'ALL DATABASES'!$A$1:$T$2252,10,FALSE)</f>
        <v>2017</v>
      </c>
      <c r="F1141" s="54" t="str">
        <f ca="1">VLOOKUP(B1141,'ALL DATABASES'!$A$1:$T$2252,14,FALSE)</f>
        <v>https://www.scopus.com/inward/record.uri?eid=2-s2.0-85040565964&amp;doi=10.18653%2fv1%2fP17-2015&amp;partnerID=40&amp;md5=9e60a9624e4d86031cf60ec90c63360e;http://dx.doi.org/10.18653/v1/P17-2015</v>
      </c>
      <c r="G1141" s="15" t="str">
        <f ca="1">VLOOKUP(B1141,'ALL DATABASES'!$A$1:$T$2252,3,FALSE)</f>
        <v>Conference Paper</v>
      </c>
      <c r="H1141" s="50" t="str">
        <f ca="1">VLOOKUP(B1141,'ALL DATABASES'!$A$1:$T$2252,20,FALSE)</f>
        <v>SCOPUS</v>
      </c>
    </row>
    <row r="1142" spans="1:8" ht="12.75" x14ac:dyDescent="0.2">
      <c r="A1142">
        <v>1141</v>
      </c>
      <c r="B1142" s="15" t="str">
        <f ca="1">IFERROR(__xludf.DUMMYFUNCTION("""COMPUTED_VALUE"""),"On the Co-evolution of ML Pipelines and Source Code - Empirical Study of DVC Projects")</f>
        <v>On the Co-evolution of ML Pipelines and Source Code - Empirical Study of DVC Projects</v>
      </c>
      <c r="C1142" s="15" t="str">
        <f ca="1">VLOOKUP(B1142,'ALL DATABASES'!$A$1:$T$2252,2,FALSE)</f>
        <v>Barrak A,Eghan EE,Adams B</v>
      </c>
      <c r="D1142" s="15">
        <f ca="1">VLOOKUP(B1142,'ALL DATABASES'!$A$1:$T$2252,5,FALSE)</f>
        <v>2021</v>
      </c>
      <c r="E1142" s="15">
        <f ca="1">VLOOKUP(B1142,'ALL DATABASES'!$A$1:$T$2252,10,FALSE)</f>
        <v>2021</v>
      </c>
      <c r="F1142" s="54" t="str">
        <f ca="1">VLOOKUP(B1142,'ALL DATABASES'!$A$1:$T$2252,14,FALSE)</f>
        <v>https://www.scopus.com/inward/record.uri?eid=2-s2.0-85106644733&amp;doi=10.1109%2fSANER50967.2021.00046&amp;partnerID=40&amp;md5=24398e798fb42d6a1cc6b0c74b476dfd;http://dx.doi.org/10.1109/SANER50967.2021.00046</v>
      </c>
      <c r="G1142" s="15" t="str">
        <f ca="1">VLOOKUP(B1142,'ALL DATABASES'!$A$1:$T$2252,3,FALSE)</f>
        <v>Conference Paper</v>
      </c>
      <c r="H1142" s="50" t="str">
        <f ca="1">VLOOKUP(B1142,'ALL DATABASES'!$A$1:$T$2252,20,FALSE)</f>
        <v>SCOPUS</v>
      </c>
    </row>
    <row r="1143" spans="1:8" ht="12.75" x14ac:dyDescent="0.2">
      <c r="A1143">
        <v>1142</v>
      </c>
      <c r="B1143" s="15" t="str">
        <f ca="1">IFERROR(__xludf.DUMMYFUNCTION("""COMPUTED_VALUE"""),"On the Current Practices for Specifying Sustainability Requirements")</f>
        <v>On the Current Practices for Specifying Sustainability Requirements</v>
      </c>
      <c r="C1143" s="15" t="str">
        <f ca="1">VLOOKUP(B1143,'ALL DATABASES'!$A$1:$T$2252,2,FALSE)</f>
        <v>Salvador MendesJoÃ£o AraujoAna Moreira</v>
      </c>
      <c r="D1143" s="15">
        <f ca="1">VLOOKUP(B1143,'ALL DATABASES'!$A$1:$T$2252,5,FALSE)</f>
        <v>2022</v>
      </c>
      <c r="E1143" s="15">
        <f ca="1">VLOOKUP(B1143,'ALL DATABASES'!$A$1:$T$2252,10,FALSE)</f>
        <v>0</v>
      </c>
      <c r="F1143" s="54" t="str">
        <f ca="1">VLOOKUP(B1143,'ALL DATABASES'!$A$1:$T$2252,14,FALSE)</f>
        <v>http://link.springer.com/chapter/10.1007/978-3-031-05760-1_25</v>
      </c>
      <c r="G1143" s="15" t="str">
        <f ca="1">VLOOKUP(B1143,'ALL DATABASES'!$A$1:$T$2252,3,FALSE)</f>
        <v>Chapter</v>
      </c>
      <c r="H1143" s="50" t="str">
        <f ca="1">VLOOKUP(B1143,'ALL DATABASES'!$A$1:$T$2252,20,FALSE)</f>
        <v>SPRINGER</v>
      </c>
    </row>
    <row r="1144" spans="1:8" ht="12.75" x14ac:dyDescent="0.2">
      <c r="A1144">
        <v>1143</v>
      </c>
      <c r="B1144" s="15" t="str">
        <f ca="1">IFERROR(__xludf.DUMMYFUNCTION("""COMPUTED_VALUE"""),"On the Detection of Community Smells Using Genetic Programming-Based Ensemble Classifier Chain")</f>
        <v>On the Detection of Community Smells Using Genetic Programming-Based Ensemble Classifier Chain</v>
      </c>
      <c r="C1144" s="15" t="str">
        <f ca="1">VLOOKUP(B1144,'ALL DATABASES'!$A$1:$T$2252,2,FALSE)</f>
        <v>Almarimi N,Ouni A,Chouchen M,Saidani I,Mkaouer MW</v>
      </c>
      <c r="D1144" s="15">
        <f ca="1">VLOOKUP(B1144,'ALL DATABASES'!$A$1:$T$2252,5,FALSE)</f>
        <v>2020</v>
      </c>
      <c r="E1144" s="15">
        <f ca="1">VLOOKUP(B1144,'ALL DATABASES'!$A$1:$T$2252,10,FALSE)</f>
        <v>2020</v>
      </c>
      <c r="F1144" s="54" t="str">
        <f ca="1">VLOOKUP(B1144,'ALL DATABASES'!$A$1:$T$2252,14,FALSE)</f>
        <v>https://doi.org/10.1145/3372787.3390439;http://dx.doi.org/10.1145/3372787.3390439</v>
      </c>
      <c r="G1144" s="15" t="str">
        <f ca="1">VLOOKUP(B1144,'ALL DATABASES'!$A$1:$T$2252,3,FALSE)</f>
        <v>Conference Paper</v>
      </c>
      <c r="H1144" s="50" t="str">
        <f ca="1">VLOOKUP(B1144,'ALL DATABASES'!$A$1:$T$2252,20,FALSE)</f>
        <v>ACM</v>
      </c>
    </row>
    <row r="1145" spans="1:8" ht="12.75" x14ac:dyDescent="0.2">
      <c r="A1145">
        <v>1144</v>
      </c>
      <c r="B1145" s="15" t="str">
        <f ca="1">IFERROR(__xludf.DUMMYFUNCTION("""COMPUTED_VALUE"""),"On the Diffuseness of Code Technical Debt in Java Projects of the Apache Ecosystem")</f>
        <v>On the Diffuseness of Code Technical Debt in Java Projects of the Apache Ecosystem</v>
      </c>
      <c r="C1145" s="15" t="str">
        <f ca="1">VLOOKUP(B1145,'ALL DATABASES'!$A$1:$T$2252,2,FALSE)</f>
        <v>Saarimäki N,Lenarduzzi V,Taibi D</v>
      </c>
      <c r="D1145" s="15">
        <f ca="1">VLOOKUP(B1145,'ALL DATABASES'!$A$1:$T$2252,5,FALSE)</f>
        <v>2019</v>
      </c>
      <c r="E1145" s="15">
        <f ca="1">VLOOKUP(B1145,'ALL DATABASES'!$A$1:$T$2252,10,FALSE)</f>
        <v>2019</v>
      </c>
      <c r="F1145" s="54" t="str">
        <f ca="1">VLOOKUP(B1145,'ALL DATABASES'!$A$1:$T$2252,14,FALSE)</f>
        <v>https://doi.org/10.1109/TechDebt.2019.00028;http://dx.doi.org/10.1109/TechDebt.2019.00028</v>
      </c>
      <c r="G1145" s="15" t="str">
        <f ca="1">VLOOKUP(B1145,'ALL DATABASES'!$A$1:$T$2252,3,FALSE)</f>
        <v>Conference Paper</v>
      </c>
      <c r="H1145" s="50" t="str">
        <f ca="1">VLOOKUP(B1145,'ALL DATABASES'!$A$1:$T$2252,20,FALSE)</f>
        <v>ACM</v>
      </c>
    </row>
    <row r="1146" spans="1:8" ht="12.75" x14ac:dyDescent="0.2">
      <c r="A1146">
        <v>1145</v>
      </c>
      <c r="B1146" s="15" t="str">
        <f ca="1">IFERROR(__xludf.DUMMYFUNCTION("""COMPUTED_VALUE"""),"On the diffuseness of technical debt items and accuracy of remediation time when using SonarQube")</f>
        <v>On the diffuseness of technical debt items and accuracy of remediation time when using SonarQube</v>
      </c>
      <c r="C1146" s="15" t="str">
        <f ca="1">VLOOKUP(B1146,'ALL DATABASES'!$A$1:$T$2252,2,FALSE)</f>
        <v>Baldassarre MT,Lenarduzzi V,Romano S,Saarimäki N</v>
      </c>
      <c r="D1146" s="15">
        <f ca="1">VLOOKUP(B1146,'ALL DATABASES'!$A$1:$T$2252,5,FALSE)</f>
        <v>2020</v>
      </c>
      <c r="E1146" s="15">
        <f ca="1">VLOOKUP(B1146,'ALL DATABASES'!$A$1:$T$2252,10,FALSE)</f>
        <v>2020</v>
      </c>
      <c r="F1146" s="54" t="str">
        <f ca="1">VLOOKUP(B1146,'ALL DATABASES'!$A$1:$T$2252,14,FALSE)</f>
        <v>https://www.scopus.com/inward/record.uri?eid=2-s2.0-85088664918&amp;doi=10.1016%2fj.infsof.2020.106377&amp;partnerID=40&amp;md5=4df408d610ac5bacdaf9baf6816d7607;http://dx.doi.org/10.1016/j.infsof.2020.106377</v>
      </c>
      <c r="G1146" s="15" t="str">
        <f ca="1">VLOOKUP(B1146,'ALL DATABASES'!$A$1:$T$2252,3,FALSE)</f>
        <v>Journal Article</v>
      </c>
      <c r="H1146" s="50" t="str">
        <f ca="1">VLOOKUP(B1146,'ALL DATABASES'!$A$1:$T$2252,20,FALSE)</f>
        <v>SCOPUS</v>
      </c>
    </row>
    <row r="1147" spans="1:8" ht="12.75" x14ac:dyDescent="0.2">
      <c r="A1147">
        <v>1146</v>
      </c>
      <c r="B1147" s="15" t="str">
        <f ca="1">IFERROR(__xludf.DUMMYFUNCTION("""COMPUTED_VALUE"""),"On the documentation of refactoring types")</f>
        <v>On the documentation of refactoring types</v>
      </c>
      <c r="C1147" s="15" t="str">
        <f ca="1">VLOOKUP(B1147,'ALL DATABASES'!$A$1:$T$2252,2,FALSE)</f>
        <v>AlOmar EA,Liu J,Addo K,Mkaouer MW,Newman C,Ouni A,Yu Z</v>
      </c>
      <c r="D1147" s="15">
        <f ca="1">VLOOKUP(B1147,'ALL DATABASES'!$A$1:$T$2252,5,FALSE)</f>
        <v>2022</v>
      </c>
      <c r="E1147" s="15">
        <f ca="1">VLOOKUP(B1147,'ALL DATABASES'!$A$1:$T$2252,10,FALSE)</f>
        <v>2022</v>
      </c>
      <c r="F1147" s="54" t="str">
        <f ca="1">VLOOKUP(B1147,'ALL DATABASES'!$A$1:$T$2252,14,FALSE)</f>
        <v>https://www.scopus.com/inward/record.uri?eid=2-s2.0-85122086312&amp;doi=10.1007%2fs10515-021-00314-w&amp;partnerID=40&amp;md5=21ab1e846b58b044f8c0976ad0d90046;http://dx.doi.org/10.1007/s10515-021-00314-w</v>
      </c>
      <c r="G1147" s="15" t="str">
        <f ca="1">VLOOKUP(B1147,'ALL DATABASES'!$A$1:$T$2252,3,FALSE)</f>
        <v>Journal Article</v>
      </c>
      <c r="H1147" s="50" t="str">
        <f ca="1">VLOOKUP(B1147,'ALL DATABASES'!$A$1:$T$2252,20,FALSE)</f>
        <v>SCOPUS</v>
      </c>
    </row>
    <row r="1148" spans="1:8" ht="12.75" x14ac:dyDescent="0.2">
      <c r="A1148">
        <v>1147</v>
      </c>
      <c r="B1148" s="15" t="str">
        <f ca="1">IFERROR(__xludf.DUMMYFUNCTION("""COMPUTED_VALUE"""),"On the documentation of self-admitted technical debt in issues")</f>
        <v>On the documentation of self-admitted technical debt in issues</v>
      </c>
      <c r="C1148" s="15" t="str">
        <f ca="1">VLOOKUP(B1148,'ALL DATABASES'!$A$1:$T$2252,2,FALSE)</f>
        <v>Laerte XavierJoÃ£o Eduardo MontandonFabio FerreiraRodrigo BritoMarco Tulio Valente</v>
      </c>
      <c r="D1148" s="15">
        <f ca="1">VLOOKUP(B1148,'ALL DATABASES'!$A$1:$T$2252,5,FALSE)</f>
        <v>2022</v>
      </c>
      <c r="E1148" s="15">
        <f ca="1">VLOOKUP(B1148,'ALL DATABASES'!$A$1:$T$2252,10,FALSE)</f>
        <v>0</v>
      </c>
      <c r="F1148" s="54" t="str">
        <f ca="1">VLOOKUP(B1148,'ALL DATABASES'!$A$1:$T$2252,14,FALSE)</f>
        <v>http://link.springer.com/article/10.1007/s10664-022-10203-9</v>
      </c>
      <c r="G1148" s="15" t="str">
        <f ca="1">VLOOKUP(B1148,'ALL DATABASES'!$A$1:$T$2252,3,FALSE)</f>
        <v>Article</v>
      </c>
      <c r="H1148" s="50" t="str">
        <f ca="1">VLOOKUP(B1148,'ALL DATABASES'!$A$1:$T$2252,20,FALSE)</f>
        <v>SPRINGER</v>
      </c>
    </row>
    <row r="1149" spans="1:8" ht="12.75" x14ac:dyDescent="0.2">
      <c r="A1149">
        <v>1148</v>
      </c>
      <c r="B1149" s="15" t="str">
        <f ca="1">IFERROR(__xludf.DUMMYFUNCTION("""COMPUTED_VALUE"""),"On the evolution and impact of architectural smellsâ€”an industrial case study")</f>
        <v>On the evolution and impact of architectural smellsâ€”an industrial case study</v>
      </c>
      <c r="C1149" s="15" t="str">
        <f ca="1">VLOOKUP(B1149,'ALL DATABASES'!$A$1:$T$2252,2,FALSE)</f>
        <v>Darius SasParis AvgeriouUmut Uyumaz</v>
      </c>
      <c r="D1149" s="15">
        <f ca="1">VLOOKUP(B1149,'ALL DATABASES'!$A$1:$T$2252,5,FALSE)</f>
        <v>2022</v>
      </c>
      <c r="E1149" s="15">
        <f ca="1">VLOOKUP(B1149,'ALL DATABASES'!$A$1:$T$2252,10,FALSE)</f>
        <v>0</v>
      </c>
      <c r="F1149" s="54" t="str">
        <f ca="1">VLOOKUP(B1149,'ALL DATABASES'!$A$1:$T$2252,14,FALSE)</f>
        <v>http://link.springer.com/article/10.1007/s10664-022-10132-7</v>
      </c>
      <c r="G1149" s="15" t="str">
        <f ca="1">VLOOKUP(B1149,'ALL DATABASES'!$A$1:$T$2252,3,FALSE)</f>
        <v>Article</v>
      </c>
      <c r="H1149" s="50" t="str">
        <f ca="1">VLOOKUP(B1149,'ALL DATABASES'!$A$1:$T$2252,20,FALSE)</f>
        <v>SPRINGER</v>
      </c>
    </row>
    <row r="1150" spans="1:8" ht="12.75" x14ac:dyDescent="0.2">
      <c r="A1150">
        <v>1149</v>
      </c>
      <c r="B1150" s="15" t="str">
        <f ca="1">IFERROR(__xludf.DUMMYFUNCTION("""COMPUTED_VALUE"""),"On the Evolution of Inheritance and Delegation Mechanisms and Their Impact on Code Quality")</f>
        <v>On the Evolution of Inheritance and Delegation Mechanisms and Their Impact on Code Quality</v>
      </c>
      <c r="C1150" s="15" t="str">
        <f ca="1">VLOOKUP(B1150,'ALL DATABASES'!$A$1:$T$2252,2,FALSE)</f>
        <v>Giordano G,Fasulo A,Catolino G,Palomba F,Ferrucci F,Gravino C</v>
      </c>
      <c r="D1150" s="15">
        <f ca="1">VLOOKUP(B1150,'ALL DATABASES'!$A$1:$T$2252,5,FALSE)</f>
        <v>2022</v>
      </c>
      <c r="E1150" s="15">
        <f ca="1">VLOOKUP(B1150,'ALL DATABASES'!$A$1:$T$2252,10,FALSE)</f>
        <v>2022</v>
      </c>
      <c r="F1150" s="54" t="str">
        <f ca="1">VLOOKUP(B1150,'ALL DATABASES'!$A$1:$T$2252,14,FALSE)</f>
        <v>https://www.scopus.com/inward/record.uri?eid=2-s2.0-85135795681&amp;doi=10.1109%2fSANER53432.2022.00113&amp;partnerID=40&amp;md5=adfadeb536fc69a0106a71907100f942;http://dx.doi.org/10.1109/SANER53432.2022.00113</v>
      </c>
      <c r="G1150" s="15" t="str">
        <f ca="1">VLOOKUP(B1150,'ALL DATABASES'!$A$1:$T$2252,3,FALSE)</f>
        <v>Conference Paper</v>
      </c>
      <c r="H1150" s="50" t="str">
        <f ca="1">VLOOKUP(B1150,'ALL DATABASES'!$A$1:$T$2252,20,FALSE)</f>
        <v>SCOPUS</v>
      </c>
    </row>
    <row r="1151" spans="1:8" ht="12.75" x14ac:dyDescent="0.2">
      <c r="A1151">
        <v>1150</v>
      </c>
      <c r="B1151" s="15" t="str">
        <f ca="1">IFERROR(__xludf.DUMMYFUNCTION("""COMPUTED_VALUE"""),"On the Impact of ML use cases on Industrial Data Pipelines")</f>
        <v>On the Impact of ML use cases on Industrial Data Pipelines</v>
      </c>
      <c r="C1151" s="15" t="str">
        <f ca="1">VLOOKUP(B1151,'ALL DATABASES'!$A$1:$T$2252,2,FALSE)</f>
        <v>Aiswarya Raj M,Bosch J,Olsson HH,Jansson A</v>
      </c>
      <c r="D1151" s="15">
        <f ca="1">VLOOKUP(B1151,'ALL DATABASES'!$A$1:$T$2252,5,FALSE)</f>
        <v>2021</v>
      </c>
      <c r="E1151" s="15">
        <f ca="1">VLOOKUP(B1151,'ALL DATABASES'!$A$1:$T$2252,10,FALSE)</f>
        <v>2021</v>
      </c>
      <c r="F1151" s="54" t="str">
        <f ca="1">VLOOKUP(B1151,'ALL DATABASES'!$A$1:$T$2252,14,FALSE)</f>
        <v>https://www.scopus.com/inward/record.uri?eid=2-s2.0-85126188892&amp;doi=10.1109%2fAPSEC53868.2021.00053&amp;partnerID=40&amp;md5=4b0fa57084bd877975395b330124edde;http://dx.doi.org/10.1109/APSEC53868.2021.00053</v>
      </c>
      <c r="G1151" s="15" t="str">
        <f ca="1">VLOOKUP(B1151,'ALL DATABASES'!$A$1:$T$2252,3,FALSE)</f>
        <v>Conference Paper</v>
      </c>
      <c r="H1151" s="50" t="str">
        <f ca="1">VLOOKUP(B1151,'ALL DATABASES'!$A$1:$T$2252,20,FALSE)</f>
        <v>SCOPUS</v>
      </c>
    </row>
    <row r="1152" spans="1:8" ht="12.75" x14ac:dyDescent="0.2">
      <c r="A1152">
        <v>1151</v>
      </c>
      <c r="B1152" s="15" t="str">
        <f ca="1">IFERROR(__xludf.DUMMYFUNCTION("""COMPUTED_VALUE"""),"On the Influential Interactive Factors on Degrees of Design Decay: A Multi-Project Study")</f>
        <v>On the Influential Interactive Factors on Degrees of Design Decay: A Multi-Project Study</v>
      </c>
      <c r="C1152" s="15" t="str">
        <f ca="1">VLOOKUP(B1152,'ALL DATABASES'!$A$1:$T$2252,2,FALSE)</f>
        <v>Coutinho D,Uchoa A,Barbosa C,Soares V,Garcia A,Schots M,Pereira J,Assuncao WK</v>
      </c>
      <c r="D1152" s="15">
        <f ca="1">VLOOKUP(B1152,'ALL DATABASES'!$A$1:$T$2252,5,FALSE)</f>
        <v>2022</v>
      </c>
      <c r="E1152" s="15">
        <f ca="1">VLOOKUP(B1152,'ALL DATABASES'!$A$1:$T$2252,10,FALSE)</f>
        <v>2022</v>
      </c>
      <c r="F1152" s="54" t="str">
        <f ca="1">VLOOKUP(B1152,'ALL DATABASES'!$A$1:$T$2252,14,FALSE)</f>
        <v>https://www.scopus.com/inward/record.uri?eid=2-s2.0-85135844683&amp;doi=10.1109%2fSANER53432.2022.00093&amp;partnerID=40&amp;md5=62bde2afe6ae815cd0a60e016081683d;http://dx.doi.org/10.1109/SANER53432.2022.00093</v>
      </c>
      <c r="G1152" s="15" t="str">
        <f ca="1">VLOOKUP(B1152,'ALL DATABASES'!$A$1:$T$2252,3,FALSE)</f>
        <v>Conference Paper</v>
      </c>
      <c r="H1152" s="50" t="str">
        <f ca="1">VLOOKUP(B1152,'ALL DATABASES'!$A$1:$T$2252,20,FALSE)</f>
        <v>SCOPUS</v>
      </c>
    </row>
    <row r="1153" spans="1:8" ht="12.75" x14ac:dyDescent="0.2">
      <c r="A1153">
        <v>1152</v>
      </c>
      <c r="B1153" s="15" t="str">
        <f ca="1">IFERROR(__xludf.DUMMYFUNCTION("""COMPUTED_VALUE"""),"On the interaction effects between prediction and clustering")</f>
        <v>On the interaction effects between prediction and clustering</v>
      </c>
      <c r="C1153" s="15" t="str">
        <f ca="1">VLOOKUP(B1153,'ALL DATABASES'!$A$1:$T$2252,2,FALSE)</f>
        <v>Barnes M,Dubrawski A</v>
      </c>
      <c r="D1153" s="15">
        <f ca="1">VLOOKUP(B1153,'ALL DATABASES'!$A$1:$T$2252,5,FALSE)</f>
        <v>2020</v>
      </c>
      <c r="E1153" s="15">
        <f ca="1">VLOOKUP(B1153,'ALL DATABASES'!$A$1:$T$2252,10,FALSE)</f>
        <v>2020</v>
      </c>
      <c r="F1153" s="54" t="str">
        <f ca="1">VLOOKUP(B1153,'ALL DATABASES'!$A$1:$T$2252,14,FALSE)</f>
        <v>https://www.scopus.com/inward/record.uri?eid=2-s2.0-85084979078&amp;partnerID=40&amp;md5=f79ee9b00beaa673b49155e8ec7d7c95</v>
      </c>
      <c r="G1153" s="15" t="str">
        <f ca="1">VLOOKUP(B1153,'ALL DATABASES'!$A$1:$T$2252,3,FALSE)</f>
        <v>Conference Paper</v>
      </c>
      <c r="H1153" s="50" t="str">
        <f ca="1">VLOOKUP(B1153,'ALL DATABASES'!$A$1:$T$2252,20,FALSE)</f>
        <v>SCOPUS</v>
      </c>
    </row>
    <row r="1154" spans="1:8" ht="12.75" x14ac:dyDescent="0.2">
      <c r="A1154">
        <v>1153</v>
      </c>
      <c r="B1154" s="15" t="str">
        <f ca="1">IFERROR(__xludf.DUMMYFUNCTION("""COMPUTED_VALUE"""),"On the Interplay of Smells Large Class, Complex Class and Duplicate Code")</f>
        <v>On the Interplay of Smells Large Class, Complex Class and Duplicate Code</v>
      </c>
      <c r="C1154" s="15" t="str">
        <f ca="1">VLOOKUP(B1154,'ALL DATABASES'!$A$1:$T$2252,2,FALSE)</f>
        <v>Sobrinho E,Maia M</v>
      </c>
      <c r="D1154" s="15">
        <f ca="1">VLOOKUP(B1154,'ALL DATABASES'!$A$1:$T$2252,5,FALSE)</f>
        <v>2021</v>
      </c>
      <c r="E1154" s="15">
        <f ca="1">VLOOKUP(B1154,'ALL DATABASES'!$A$1:$T$2252,10,FALSE)</f>
        <v>2021</v>
      </c>
      <c r="F1154" s="54" t="str">
        <f ca="1">VLOOKUP(B1154,'ALL DATABASES'!$A$1:$T$2252,14,FALSE)</f>
        <v>https://www.scopus.com/inward/record.uri?eid=2-s2.0-85117107487&amp;doi=10.1145%2f3474624.3474716&amp;partnerID=40&amp;md5=ac7d1b466b1109700dbed4017e4dd0d8;http://dx.doi.org/10.1145/3474624.3474716</v>
      </c>
      <c r="G1154" s="15" t="str">
        <f ca="1">VLOOKUP(B1154,'ALL DATABASES'!$A$1:$T$2252,3,FALSE)</f>
        <v>Conference Paper</v>
      </c>
      <c r="H1154" s="50" t="str">
        <f ca="1">VLOOKUP(B1154,'ALL DATABASES'!$A$1:$T$2252,20,FALSE)</f>
        <v>SCOPUS</v>
      </c>
    </row>
    <row r="1155" spans="1:8" ht="12.75" x14ac:dyDescent="0.2">
      <c r="A1155">
        <v>1154</v>
      </c>
      <c r="B1155" s="15" t="str">
        <f ca="1">IFERROR(__xludf.DUMMYFUNCTION("""COMPUTED_VALUE"""),"On the naturalness of hardware descriptions")</f>
        <v>On the naturalness of hardware descriptions</v>
      </c>
      <c r="C1155" s="15" t="str">
        <f ca="1">VLOOKUP(B1155,'ALL DATABASES'!$A$1:$T$2252,2,FALSE)</f>
        <v>Lee J,Nie P,Li JJ,Gligoric M</v>
      </c>
      <c r="D1155" s="15">
        <f ca="1">VLOOKUP(B1155,'ALL DATABASES'!$A$1:$T$2252,5,FALSE)</f>
        <v>2020</v>
      </c>
      <c r="E1155" s="15">
        <f ca="1">VLOOKUP(B1155,'ALL DATABASES'!$A$1:$T$2252,10,FALSE)</f>
        <v>2020</v>
      </c>
      <c r="F1155" s="54" t="str">
        <f ca="1">VLOOKUP(B1155,'ALL DATABASES'!$A$1:$T$2252,14,FALSE)</f>
        <v>https://www.scopus.com/inward/record.uri?eid=2-s2.0-85097139899&amp;doi=10.1145%2f3368089.3409692&amp;partnerID=40&amp;md5=cb82bb570d4a68ad5d6e39d28086f867;http://dx.doi.org/10.1145/3368089.3409692</v>
      </c>
      <c r="G1155" s="15" t="str">
        <f ca="1">VLOOKUP(B1155,'ALL DATABASES'!$A$1:$T$2252,3,FALSE)</f>
        <v>Conference Paper</v>
      </c>
      <c r="H1155" s="50" t="str">
        <f ca="1">VLOOKUP(B1155,'ALL DATABASES'!$A$1:$T$2252,20,FALSE)</f>
        <v>SCOPUS</v>
      </c>
    </row>
    <row r="1156" spans="1:8" ht="12.75" x14ac:dyDescent="0.2">
      <c r="A1156">
        <v>1155</v>
      </c>
      <c r="B1156" s="15" t="str">
        <f ca="1">IFERROR(__xludf.DUMMYFUNCTION("""COMPUTED_VALUE"""),"On the nature and types of anomalies: a review of deviations in data")</f>
        <v>On the nature and types of anomalies: a review of deviations in data</v>
      </c>
      <c r="C1156" s="15" t="str">
        <f ca="1">VLOOKUP(B1156,'ALL DATABASES'!$A$1:$T$2252,2,FALSE)</f>
        <v>Foorthuis R</v>
      </c>
      <c r="D1156" s="15">
        <f ca="1">VLOOKUP(B1156,'ALL DATABASES'!$A$1:$T$2252,5,FALSE)</f>
        <v>2021</v>
      </c>
      <c r="E1156" s="15">
        <f ca="1">VLOOKUP(B1156,'ALL DATABASES'!$A$1:$T$2252,10,FALSE)</f>
        <v>2021</v>
      </c>
      <c r="F1156" s="54" t="str">
        <f ca="1">VLOOKUP(B1156,'ALL DATABASES'!$A$1:$T$2252,14,FALSE)</f>
        <v>https://www.scopus.com/inward/record.uri?eid=2-s2.0-85111796535&amp;doi=10.1007%2fs41060-021-00265-1&amp;partnerID=40&amp;md5=e331f62f57ae194d27d91ea3dea0744b;http://dx.doi.org/10.1007/s41060-021-00265-1</v>
      </c>
      <c r="G1156" s="15" t="str">
        <f ca="1">VLOOKUP(B1156,'ALL DATABASES'!$A$1:$T$2252,3,FALSE)</f>
        <v>Journal Article</v>
      </c>
      <c r="H1156" s="50" t="str">
        <f ca="1">VLOOKUP(B1156,'ALL DATABASES'!$A$1:$T$2252,20,FALSE)</f>
        <v>SCOPUS</v>
      </c>
    </row>
    <row r="1157" spans="1:8" ht="12.75" x14ac:dyDescent="0.2">
      <c r="A1157">
        <v>1156</v>
      </c>
      <c r="B1157" s="15" t="str">
        <f ca="1">IFERROR(__xludf.DUMMYFUNCTION("""COMPUTED_VALUE"""),"On the nature of issues in five open source microservices systems: An empirical study")</f>
        <v>On the nature of issues in five open source microservices systems: An empirical study</v>
      </c>
      <c r="C1157" s="15" t="str">
        <f ca="1">VLOOKUP(B1157,'ALL DATABASES'!$A$1:$T$2252,2,FALSE)</f>
        <v>Waseem M,Liang P,Shahin M,Ahmad A,Nassab AR</v>
      </c>
      <c r="D1157" s="15">
        <f ca="1">VLOOKUP(B1157,'ALL DATABASES'!$A$1:$T$2252,5,FALSE)</f>
        <v>2021</v>
      </c>
      <c r="E1157" s="15">
        <f ca="1">VLOOKUP(B1157,'ALL DATABASES'!$A$1:$T$2252,10,FALSE)</f>
        <v>2021</v>
      </c>
      <c r="F1157" s="54" t="str">
        <f ca="1">VLOOKUP(B1157,'ALL DATABASES'!$A$1:$T$2252,14,FALSE)</f>
        <v>https://www.scopus.com/inward/record.uri?eid=2-s2.0-85108903083&amp;doi=10.1145%2f3463274.3463337&amp;partnerID=40&amp;md5=43cbb812acb1d1ca47f4aba0f2e52851;http://dx.doi.org/10.1145/3463274.3463337</v>
      </c>
      <c r="G1157" s="15" t="str">
        <f ca="1">VLOOKUP(B1157,'ALL DATABASES'!$A$1:$T$2252,3,FALSE)</f>
        <v>Conference Paper</v>
      </c>
      <c r="H1157" s="50" t="str">
        <f ca="1">VLOOKUP(B1157,'ALL DATABASES'!$A$1:$T$2252,20,FALSE)</f>
        <v>SCOPUS</v>
      </c>
    </row>
    <row r="1158" spans="1:8" ht="12.75" x14ac:dyDescent="0.2">
      <c r="A1158">
        <v>1157</v>
      </c>
      <c r="B1158" s="15" t="str">
        <f ca="1">IFERROR(__xludf.DUMMYFUNCTION("""COMPUTED_VALUE"""),"On the practitioners’ understanding of coupling smells — A grey literature based Grounded-Theory study")</f>
        <v>On the practitioners’ understanding of coupling smells — A grey literature based Grounded-Theory study</v>
      </c>
      <c r="C1158" s="15" t="str">
        <f ca="1">VLOOKUP(B1158,'ALL DATABASES'!$A$1:$T$2252,2,FALSE)</f>
        <v>Singjai A,Simhandl G,Zdun U</v>
      </c>
      <c r="D1158" s="15">
        <f ca="1">VLOOKUP(B1158,'ALL DATABASES'!$A$1:$T$2252,5,FALSE)</f>
        <v>2021</v>
      </c>
      <c r="E1158" s="15">
        <f ca="1">VLOOKUP(B1158,'ALL DATABASES'!$A$1:$T$2252,10,FALSE)</f>
        <v>2021</v>
      </c>
      <c r="F1158" s="54" t="str">
        <f ca="1">VLOOKUP(B1158,'ALL DATABASES'!$A$1:$T$2252,14,FALSE)</f>
        <v>https://www.sciencedirect.com/science/article/pii/S0950584921000264;http://dx.doi.org/10.1016/j.infsof.2021.106539</v>
      </c>
      <c r="G1158" s="15" t="str">
        <f ca="1">VLOOKUP(B1158,'ALL DATABASES'!$A$1:$T$2252,3,FALSE)</f>
        <v>Journal Article</v>
      </c>
      <c r="H1158" s="50" t="str">
        <f ca="1">VLOOKUP(B1158,'ALL DATABASES'!$A$1:$T$2252,20,FALSE)</f>
        <v>SCIENCEDIRECT</v>
      </c>
    </row>
    <row r="1159" spans="1:8" ht="12.75" x14ac:dyDescent="0.2">
      <c r="A1159">
        <v>1158</v>
      </c>
      <c r="B1159" s="15" t="str">
        <f ca="1">IFERROR(__xludf.DUMMYFUNCTION("""COMPUTED_VALUE"""),"On the relationship between self-admitted technical debt removals and technical debt measures")</f>
        <v>On the relationship between self-admitted technical debt removals and technical debt measures</v>
      </c>
      <c r="C1159" s="15" t="str">
        <f ca="1">VLOOKUP(B1159,'ALL DATABASES'!$A$1:$T$2252,2,FALSE)</f>
        <v>Aversano L,Iammarino M,Carapella M,Vecchio A,Nardi L</v>
      </c>
      <c r="D1159" s="15">
        <f ca="1">VLOOKUP(B1159,'ALL DATABASES'!$A$1:$T$2252,5,FALSE)</f>
        <v>2020</v>
      </c>
      <c r="E1159" s="15">
        <f ca="1">VLOOKUP(B1159,'ALL DATABASES'!$A$1:$T$2252,10,FALSE)</f>
        <v>2020</v>
      </c>
      <c r="F1159" s="54" t="str">
        <f ca="1">VLOOKUP(B1159,'ALL DATABASES'!$A$1:$T$2252,14,FALSE)</f>
        <v>https://www.scopus.com/inward/record.uri?eid=2-s2.0-85115401194&amp;doi=10.3390%2fA13070168&amp;partnerID=40&amp;md5=a8f01368e1ef5c76a8c1c712dab274e5;http://dx.doi.org/10.3390/A13070168</v>
      </c>
      <c r="G1159" s="15" t="str">
        <f ca="1">VLOOKUP(B1159,'ALL DATABASES'!$A$1:$T$2252,3,FALSE)</f>
        <v>Journal Article</v>
      </c>
      <c r="H1159" s="50" t="str">
        <f ca="1">VLOOKUP(B1159,'ALL DATABASES'!$A$1:$T$2252,20,FALSE)</f>
        <v>SCOPUS</v>
      </c>
    </row>
    <row r="1160" spans="1:8" ht="12.75" x14ac:dyDescent="0.2">
      <c r="A1160">
        <v>1159</v>
      </c>
      <c r="B1160" s="15" t="str">
        <f ca="1">IFERROR(__xludf.DUMMYFUNCTION("""COMPUTED_VALUE"""),"On the relationship between source-code metrics and cognitive load: A Systematic Tertiary Review")</f>
        <v>On the relationship between source-code metrics and cognitive load: A Systematic Tertiary Review</v>
      </c>
      <c r="C1160" s="15" t="str">
        <f ca="1">VLOOKUP(B1160,'ALL DATABASES'!$A$1:$T$2252,2,FALSE)</f>
        <v>Abbad-Andaloussi A</v>
      </c>
      <c r="D1160" s="15">
        <f ca="1">VLOOKUP(B1160,'ALL DATABASES'!$A$1:$T$2252,5,FALSE)</f>
        <v>2023</v>
      </c>
      <c r="E1160" s="15">
        <f ca="1">VLOOKUP(B1160,'ALL DATABASES'!$A$1:$T$2252,10,FALSE)</f>
        <v>2023</v>
      </c>
      <c r="F1160" s="54" t="str">
        <f ca="1">VLOOKUP(B1160,'ALL DATABASES'!$A$1:$T$2252,14,FALSE)</f>
        <v>https://www.sciencedirect.com/science/article/pii/S0164121223000146;http://dx.doi.org/10.1016/j.jss.2023.111619</v>
      </c>
      <c r="G1160" s="15" t="str">
        <f ca="1">VLOOKUP(B1160,'ALL DATABASES'!$A$1:$T$2252,3,FALSE)</f>
        <v>Journal Article</v>
      </c>
      <c r="H1160" s="50" t="str">
        <f ca="1">VLOOKUP(B1160,'ALL DATABASES'!$A$1:$T$2252,20,FALSE)</f>
        <v>SCIENCEDIRECT</v>
      </c>
    </row>
    <row r="1161" spans="1:8" ht="12.75" x14ac:dyDescent="0.2">
      <c r="A1161">
        <v>1160</v>
      </c>
      <c r="B1161" s="15" t="str">
        <f ca="1">IFERROR(__xludf.DUMMYFUNCTION("""COMPUTED_VALUE"""),"On the Reproducibility and Replicability of Deep Learning in Software Engineering")</f>
        <v>On the Reproducibility and Replicability of Deep Learning in Software Engineering</v>
      </c>
      <c r="C1161" s="15" t="str">
        <f ca="1">VLOOKUP(B1161,'ALL DATABASES'!$A$1:$T$2252,2,FALSE)</f>
        <v>Liu C,Gao C,Xia X,Lo D,Grundy J,Yang X</v>
      </c>
      <c r="D1161" s="15">
        <f ca="1">VLOOKUP(B1161,'ALL DATABASES'!$A$1:$T$2252,5,FALSE)</f>
        <v>2021</v>
      </c>
      <c r="E1161" s="53">
        <f ca="1">VLOOKUP(B1161,'ALL DATABASES'!$A$1:$T$2252,10,FALSE)</f>
        <v>44470</v>
      </c>
      <c r="F1161" s="54" t="str">
        <f ca="1">VLOOKUP(B1161,'ALL DATABASES'!$A$1:$T$2252,14,FALSE)</f>
        <v>https://doi.org/10.1145/3477535;http://dx.doi.org/10.1145/3477535</v>
      </c>
      <c r="G1161" s="15" t="str">
        <f ca="1">VLOOKUP(B1161,'ALL DATABASES'!$A$1:$T$2252,3,FALSE)</f>
        <v>Journal Article</v>
      </c>
      <c r="H1161" s="50" t="str">
        <f ca="1">VLOOKUP(B1161,'ALL DATABASES'!$A$1:$T$2252,20,FALSE)</f>
        <v>ACM</v>
      </c>
    </row>
    <row r="1162" spans="1:8" ht="12.75" x14ac:dyDescent="0.2">
      <c r="A1162">
        <v>1161</v>
      </c>
      <c r="B1162" s="15" t="str">
        <f ca="1">IFERROR(__xludf.DUMMYFUNCTION("""COMPUTED_VALUE"""),"On the Resilience of Network-Based Moving Target Defense Techniques Against Host Profiling Attacks")</f>
        <v>On the Resilience of Network-Based Moving Target Defense Techniques Against Host Profiling Attacks</v>
      </c>
      <c r="C1162" s="15" t="str">
        <f ca="1">VLOOKUP(B1162,'ALL DATABASES'!$A$1:$T$2252,2,FALSE)</f>
        <v>Piskozub M,Spolaor R,Conti M,Martinovic I</v>
      </c>
      <c r="D1162" s="15">
        <f ca="1">VLOOKUP(B1162,'ALL DATABASES'!$A$1:$T$2252,5,FALSE)</f>
        <v>2019</v>
      </c>
      <c r="E1162" s="15">
        <f ca="1">VLOOKUP(B1162,'ALL DATABASES'!$A$1:$T$2252,10,FALSE)</f>
        <v>2019</v>
      </c>
      <c r="F1162" s="54" t="str">
        <f ca="1">VLOOKUP(B1162,'ALL DATABASES'!$A$1:$T$2252,14,FALSE)</f>
        <v>https://doi.org/10.1145/3338468.3356825;http://dx.doi.org/10.1145/3338468.3356825</v>
      </c>
      <c r="G1162" s="15" t="str">
        <f ca="1">VLOOKUP(B1162,'ALL DATABASES'!$A$1:$T$2252,3,FALSE)</f>
        <v>Conference Paper</v>
      </c>
      <c r="H1162" s="50" t="str">
        <f ca="1">VLOOKUP(B1162,'ALL DATABASES'!$A$1:$T$2252,20,FALSE)</f>
        <v>ACM</v>
      </c>
    </row>
    <row r="1163" spans="1:8" ht="12.75" x14ac:dyDescent="0.2">
      <c r="A1163">
        <v>1162</v>
      </c>
      <c r="B1163" s="15" t="str">
        <f ca="1">IFERROR(__xludf.DUMMYFUNCTION("""COMPUTED_VALUE"""),"On the Role of Data Balancing for Machine Learning-Based Code Smell Detection")</f>
        <v>On the Role of Data Balancing for Machine Learning-Based Code Smell Detection</v>
      </c>
      <c r="C1163" s="15" t="str">
        <f ca="1">VLOOKUP(B1163,'ALL DATABASES'!$A$1:$T$2252,2,FALSE)</f>
        <v>Pecorelli F,Di Nucci D,De Roover C,De Lucia A</v>
      </c>
      <c r="D1163" s="15">
        <f ca="1">VLOOKUP(B1163,'ALL DATABASES'!$A$1:$T$2252,5,FALSE)</f>
        <v>2019</v>
      </c>
      <c r="E1163" s="15">
        <f ca="1">VLOOKUP(B1163,'ALL DATABASES'!$A$1:$T$2252,10,FALSE)</f>
        <v>2019</v>
      </c>
      <c r="F1163" s="54" t="str">
        <f ca="1">VLOOKUP(B1163,'ALL DATABASES'!$A$1:$T$2252,14,FALSE)</f>
        <v>https://doi.org/10.1145/3340482.3342744;http://dx.doi.org/10.1145/3340482.3342744</v>
      </c>
      <c r="G1163" s="15" t="str">
        <f ca="1">VLOOKUP(B1163,'ALL DATABASES'!$A$1:$T$2252,3,FALSE)</f>
        <v>Conference Paper</v>
      </c>
      <c r="H1163" s="50" t="str">
        <f ca="1">VLOOKUP(B1163,'ALL DATABASES'!$A$1:$T$2252,20,FALSE)</f>
        <v>ACM</v>
      </c>
    </row>
    <row r="1164" spans="1:8" ht="12.75" x14ac:dyDescent="0.2">
      <c r="A1164">
        <v>1163</v>
      </c>
      <c r="B1164" s="15" t="str">
        <f ca="1">IFERROR(__xludf.DUMMYFUNCTION("""COMPUTED_VALUE"""),"On the role of data balancing for machine learning-based code smell detection")</f>
        <v>On the role of data balancing for machine learning-based code smell detection</v>
      </c>
      <c r="C1164" s="15" t="str">
        <f ca="1">VLOOKUP(B1164,'ALL DATABASES'!$A$1:$T$2252,2,FALSE)</f>
        <v>Pecorelli F,Di Nucci D,De Roover C,De Lucia A</v>
      </c>
      <c r="D1164" s="15">
        <f ca="1">VLOOKUP(B1164,'ALL DATABASES'!$A$1:$T$2252,5,FALSE)</f>
        <v>2019</v>
      </c>
      <c r="E1164" s="15">
        <f ca="1">VLOOKUP(B1164,'ALL DATABASES'!$A$1:$T$2252,10,FALSE)</f>
        <v>2019</v>
      </c>
      <c r="F1164" s="54" t="str">
        <f ca="1">VLOOKUP(B1164,'ALL DATABASES'!$A$1:$T$2252,14,FALSE)</f>
        <v>https://doi.org/10.1145/3340482.3342744;http://dx.doi.org/10.1145/3340482.3342744</v>
      </c>
      <c r="G1164" s="15" t="str">
        <f ca="1">VLOOKUP(B1164,'ALL DATABASES'!$A$1:$T$2252,3,FALSE)</f>
        <v>Conference Paper</v>
      </c>
      <c r="H1164" s="50" t="str">
        <f ca="1">VLOOKUP(B1164,'ALL DATABASES'!$A$1:$T$2252,20,FALSE)</f>
        <v>ACM</v>
      </c>
    </row>
    <row r="1165" spans="1:8" ht="12.75" x14ac:dyDescent="0.2">
      <c r="A1165">
        <v>1164</v>
      </c>
      <c r="B1165" s="15" t="str">
        <f ca="1">IFERROR(__xludf.DUMMYFUNCTION("""COMPUTED_VALUE"""),"On the Technical Debt Prioritization and Cost Estimation with SonarQube Tool")</f>
        <v>On the Technical Debt Prioritization and Cost Estimation with SonarQube Tool</v>
      </c>
      <c r="C1165" s="15" t="str">
        <f ca="1">VLOOKUP(B1165,'ALL DATABASES'!$A$1:$T$2252,2,FALSE)</f>
        <v>Andrej KatinValentina LenarduzziDavide TaibiVladimir MandiÄ‡</v>
      </c>
      <c r="D1165" s="15">
        <f ca="1">VLOOKUP(B1165,'ALL DATABASES'!$A$1:$T$2252,5,FALSE)</f>
        <v>2022</v>
      </c>
      <c r="E1165" s="15">
        <f ca="1">VLOOKUP(B1165,'ALL DATABASES'!$A$1:$T$2252,10,FALSE)</f>
        <v>0</v>
      </c>
      <c r="F1165" s="54" t="str">
        <f ca="1">VLOOKUP(B1165,'ALL DATABASES'!$A$1:$T$2252,14,FALSE)</f>
        <v>http://link.springer.com/chapter/10.1007/978-3-030-97947-8_40</v>
      </c>
      <c r="G1165" s="15" t="str">
        <f ca="1">VLOOKUP(B1165,'ALL DATABASES'!$A$1:$T$2252,3,FALSE)</f>
        <v>Chapter</v>
      </c>
      <c r="H1165" s="50" t="str">
        <f ca="1">VLOOKUP(B1165,'ALL DATABASES'!$A$1:$T$2252,20,FALSE)</f>
        <v>SPRINGER</v>
      </c>
    </row>
    <row r="1166" spans="1:8" ht="12.75" x14ac:dyDescent="0.2">
      <c r="A1166">
        <v>1165</v>
      </c>
      <c r="B1166" s="15" t="str">
        <f ca="1">IFERROR(__xludf.DUMMYFUNCTION("""COMPUTED_VALUE"""),"On the usage and development of deep learning compilers: an empirical study on TVM")</f>
        <v>On the usage and development of deep learning compilers: an empirical study on TVM</v>
      </c>
      <c r="C1166" s="15" t="str">
        <f ca="1">VLOOKUP(B1166,'ALL DATABASES'!$A$1:$T$2252,2,FALSE)</f>
        <v>Xiongfei WuJinqiu YangLei MaYinxing XueJianjun Zhao</v>
      </c>
      <c r="D1166" s="15">
        <f ca="1">VLOOKUP(B1166,'ALL DATABASES'!$A$1:$T$2252,5,FALSE)</f>
        <v>2022</v>
      </c>
      <c r="E1166" s="15">
        <f ca="1">VLOOKUP(B1166,'ALL DATABASES'!$A$1:$T$2252,10,FALSE)</f>
        <v>0</v>
      </c>
      <c r="F1166" s="54" t="str">
        <f ca="1">VLOOKUP(B1166,'ALL DATABASES'!$A$1:$T$2252,14,FALSE)</f>
        <v>http://link.springer.com/article/10.1007/s10664-022-10221-7</v>
      </c>
      <c r="G1166" s="15" t="str">
        <f ca="1">VLOOKUP(B1166,'ALL DATABASES'!$A$1:$T$2252,3,FALSE)</f>
        <v>Article</v>
      </c>
      <c r="H1166" s="50" t="str">
        <f ca="1">VLOOKUP(B1166,'ALL DATABASES'!$A$1:$T$2252,20,FALSE)</f>
        <v>SPRINGER</v>
      </c>
    </row>
    <row r="1167" spans="1:8" ht="12.75" x14ac:dyDescent="0.2">
      <c r="A1167">
        <v>1166</v>
      </c>
      <c r="B1167" s="15" t="str">
        <f ca="1">IFERROR(__xludf.DUMMYFUNCTION("""COMPUTED_VALUE"""),"On the use of artificial intelligence to deal with privacy in IoT systems: A systematic literature review")</f>
        <v>On the use of artificial intelligence to deal with privacy in IoT systems: A systematic literature review</v>
      </c>
      <c r="C1167" s="15" t="str">
        <f ca="1">VLOOKUP(B1167,'ALL DATABASES'!$A$1:$T$2252,2,FALSE)</f>
        <v>Giordano G,Palomba F,Ferrucci F</v>
      </c>
      <c r="D1167" s="15">
        <f ca="1">VLOOKUP(B1167,'ALL DATABASES'!$A$1:$T$2252,5,FALSE)</f>
        <v>2022</v>
      </c>
      <c r="E1167" s="15">
        <f ca="1">VLOOKUP(B1167,'ALL DATABASES'!$A$1:$T$2252,10,FALSE)</f>
        <v>2022</v>
      </c>
      <c r="F1167" s="54" t="str">
        <f ca="1">VLOOKUP(B1167,'ALL DATABASES'!$A$1:$T$2252,14,FALSE)</f>
        <v>https://www.scopus.com/inward/record.uri?eid=2-s2.0-85136467284&amp;doi=10.1016%2fj.jss.2022.111475&amp;partnerID=40&amp;md5=9e3462d0a71d4fe859f0ab8331727169;http://dx.doi.org/10.1016/j.jss.2022.111475</v>
      </c>
      <c r="G1167" s="15" t="str">
        <f ca="1">VLOOKUP(B1167,'ALL DATABASES'!$A$1:$T$2252,3,FALSE)</f>
        <v>Journal Article</v>
      </c>
      <c r="H1167" s="50" t="str">
        <f ca="1">VLOOKUP(B1167,'ALL DATABASES'!$A$1:$T$2252,20,FALSE)</f>
        <v>SCOPUS</v>
      </c>
    </row>
    <row r="1168" spans="1:8" ht="12.75" x14ac:dyDescent="0.2">
      <c r="A1168">
        <v>1167</v>
      </c>
      <c r="B1168" s="15" t="str">
        <f ca="1">IFERROR(__xludf.DUMMYFUNCTION("""COMPUTED_VALUE"""),"On the use of textual feature extraction techniques to support the automated detection of refactoring documentation")</f>
        <v>On the use of textual feature extraction techniques to support the automated detection of refactoring documentation</v>
      </c>
      <c r="C1168" s="15" t="str">
        <f ca="1">VLOOKUP(B1168,'ALL DATABASES'!$A$1:$T$2252,2,FALSE)</f>
        <v>Licelot MarmolejosEman Abdullah AlOmarMohamed Wiem MkaouerChristian NewmanAli Ouni</v>
      </c>
      <c r="D1168" s="15">
        <f ca="1">VLOOKUP(B1168,'ALL DATABASES'!$A$1:$T$2252,5,FALSE)</f>
        <v>2022</v>
      </c>
      <c r="E1168" s="15">
        <f ca="1">VLOOKUP(B1168,'ALL DATABASES'!$A$1:$T$2252,10,FALSE)</f>
        <v>0</v>
      </c>
      <c r="F1168" s="54" t="str">
        <f ca="1">VLOOKUP(B1168,'ALL DATABASES'!$A$1:$T$2252,14,FALSE)</f>
        <v>http://link.springer.com/article/10.1007/s11334-021-00388-5</v>
      </c>
      <c r="G1168" s="15" t="str">
        <f ca="1">VLOOKUP(B1168,'ALL DATABASES'!$A$1:$T$2252,3,FALSE)</f>
        <v>Article</v>
      </c>
      <c r="H1168" s="50" t="str">
        <f ca="1">VLOOKUP(B1168,'ALL DATABASES'!$A$1:$T$2252,20,FALSE)</f>
        <v>SPRINGER</v>
      </c>
    </row>
    <row r="1169" spans="1:8" ht="12.75" x14ac:dyDescent="0.2">
      <c r="A1169">
        <v>1168</v>
      </c>
      <c r="B1169" s="15" t="str">
        <f ca="1">IFERROR(__xludf.DUMMYFUNCTION("""COMPUTED_VALUE"""),"On the Use of Time Series and Search Based Software Engineering for Refactoring Recommendation")</f>
        <v>On the Use of Time Series and Search Based Software Engineering for Refactoring Recommendation</v>
      </c>
      <c r="C1169" s="15" t="str">
        <f ca="1">VLOOKUP(B1169,'ALL DATABASES'!$A$1:$T$2252,2,FALSE)</f>
        <v>Wang H,Kessentini M,Grosky W,Meddeb H</v>
      </c>
      <c r="D1169" s="15">
        <f ca="1">VLOOKUP(B1169,'ALL DATABASES'!$A$1:$T$2252,5,FALSE)</f>
        <v>2015</v>
      </c>
      <c r="E1169" s="15">
        <f ca="1">VLOOKUP(B1169,'ALL DATABASES'!$A$1:$T$2252,10,FALSE)</f>
        <v>2015</v>
      </c>
      <c r="F1169" s="54" t="str">
        <f ca="1">VLOOKUP(B1169,'ALL DATABASES'!$A$1:$T$2252,14,FALSE)</f>
        <v>https://doi.org/10.1145/2857218.2857224;http://dx.doi.org/10.1145/2857218.2857224</v>
      </c>
      <c r="G1169" s="15" t="str">
        <f ca="1">VLOOKUP(B1169,'ALL DATABASES'!$A$1:$T$2252,3,FALSE)</f>
        <v>Conference Paper</v>
      </c>
      <c r="H1169" s="50" t="str">
        <f ca="1">VLOOKUP(B1169,'ALL DATABASES'!$A$1:$T$2252,20,FALSE)</f>
        <v>ACM</v>
      </c>
    </row>
    <row r="1170" spans="1:8" ht="12.75" x14ac:dyDescent="0.2">
      <c r="A1170">
        <v>1169</v>
      </c>
      <c r="B1170" s="15" t="str">
        <f ca="1">IFERROR(__xludf.DUMMYFUNCTION("""COMPUTED_VALUE"""),"On the value of a prioritization scheme for resolving Self-admitted technical debt")</f>
        <v>On the value of a prioritization scheme for resolving Self-admitted technical debt</v>
      </c>
      <c r="C1170" s="15" t="str">
        <f ca="1">VLOOKUP(B1170,'ALL DATABASES'!$A$1:$T$2252,2,FALSE)</f>
        <v>Mensah S,Keung J,Svajlenko J,Bennin KE,Mi Q</v>
      </c>
      <c r="D1170" s="15">
        <f ca="1">VLOOKUP(B1170,'ALL DATABASES'!$A$1:$T$2252,5,FALSE)</f>
        <v>2018</v>
      </c>
      <c r="E1170" s="15">
        <f ca="1">VLOOKUP(B1170,'ALL DATABASES'!$A$1:$T$2252,10,FALSE)</f>
        <v>2018</v>
      </c>
      <c r="F1170" s="54" t="str">
        <f ca="1">VLOOKUP(B1170,'ALL DATABASES'!$A$1:$T$2252,14,FALSE)</f>
        <v>https://www.scopus.com/inward/record.uri?eid=2-s2.0-85031008685&amp;doi=10.1016%2fj.jss.2017.09.026&amp;partnerID=40&amp;md5=38bde174d903e196f4c42505e21c36f7;http://dx.doi.org/10.1016/j.jss.2017.09.026</v>
      </c>
      <c r="G1170" s="15" t="str">
        <f ca="1">VLOOKUP(B1170,'ALL DATABASES'!$A$1:$T$2252,3,FALSE)</f>
        <v>Journal Article</v>
      </c>
      <c r="H1170" s="50" t="str">
        <f ca="1">VLOOKUP(B1170,'ALL DATABASES'!$A$1:$T$2252,20,FALSE)</f>
        <v>SCOPUS</v>
      </c>
    </row>
    <row r="1171" spans="1:8" ht="12.75" x14ac:dyDescent="0.2">
      <c r="A1171">
        <v>1170</v>
      </c>
      <c r="B1171" s="15" t="str">
        <f ca="1">IFERROR(__xludf.DUMMYFUNCTION("""COMPUTED_VALUE"""),"On the Violation of Honesty in Mobile Apps: Automated Detection and Categories")</f>
        <v>On the Violation of Honesty in Mobile Apps: Automated Detection and Categories</v>
      </c>
      <c r="C1171" s="15" t="str">
        <f ca="1">VLOOKUP(B1171,'ALL DATABASES'!$A$1:$T$2252,2,FALSE)</f>
        <v>Obie HO,Ilekura I,Du H,Shahin M,Grundy J,Li L,Whittle J,Turhan B</v>
      </c>
      <c r="D1171" s="15">
        <f ca="1">VLOOKUP(B1171,'ALL DATABASES'!$A$1:$T$2252,5,FALSE)</f>
        <v>2022</v>
      </c>
      <c r="E1171" s="15">
        <f ca="1">VLOOKUP(B1171,'ALL DATABASES'!$A$1:$T$2252,10,FALSE)</f>
        <v>2022</v>
      </c>
      <c r="F1171" s="54" t="str">
        <f ca="1">VLOOKUP(B1171,'ALL DATABASES'!$A$1:$T$2252,14,FALSE)</f>
        <v>https://www.scopus.com/inward/record.uri?eid=2-s2.0-85134042003&amp;doi=10.1145%2f3524842.3527937&amp;partnerID=40&amp;md5=d5aa7d9cefbac729dd7cd036b97d408a;http://dx.doi.org/10.1145/3524842.3527937</v>
      </c>
      <c r="G1171" s="15" t="str">
        <f ca="1">VLOOKUP(B1171,'ALL DATABASES'!$A$1:$T$2252,3,FALSE)</f>
        <v>Conference Paper</v>
      </c>
      <c r="H1171" s="50" t="str">
        <f ca="1">VLOOKUP(B1171,'ALL DATABASES'!$A$1:$T$2252,20,FALSE)</f>
        <v>SCOPUS</v>
      </c>
    </row>
    <row r="1172" spans="1:8" ht="12.75" x14ac:dyDescent="0.2">
      <c r="A1172">
        <v>1171</v>
      </c>
      <c r="B1172" s="15" t="str">
        <f ca="1">IFERROR(__xludf.DUMMYFUNCTION("""COMPUTED_VALUE"""),"One Step Further: Investigating Problematic Files of Architecture Anti-patterns")</f>
        <v>One Step Further: Investigating Problematic Files of Architecture Anti-patterns</v>
      </c>
      <c r="C1172" s="15" t="str">
        <f ca="1">VLOOKUP(B1172,'ALL DATABASES'!$A$1:$T$2252,2,FALSE)</f>
        <v>Liu J,Jin W,Feng Q,Zhang X,Dai Y</v>
      </c>
      <c r="D1172" s="15">
        <f ca="1">VLOOKUP(B1172,'ALL DATABASES'!$A$1:$T$2252,5,FALSE)</f>
        <v>2021</v>
      </c>
      <c r="E1172" s="15">
        <f ca="1">VLOOKUP(B1172,'ALL DATABASES'!$A$1:$T$2252,10,FALSE)</f>
        <v>2021</v>
      </c>
      <c r="F1172" s="54" t="str">
        <f ca="1">VLOOKUP(B1172,'ALL DATABASES'!$A$1:$T$2252,14,FALSE)</f>
        <v>https://www.scopus.com/inward/record.uri?eid=2-s2.0-85126395572&amp;doi=10.1109%2fISSRE52982.2021.00060&amp;partnerID=40&amp;md5=5661c4850ef1cd8e40447551b32def6a;http://dx.doi.org/10.1109/ISSRE52982.2021.00060</v>
      </c>
      <c r="G1172" s="15" t="str">
        <f ca="1">VLOOKUP(B1172,'ALL DATABASES'!$A$1:$T$2252,3,FALSE)</f>
        <v>Conference Paper</v>
      </c>
      <c r="H1172" s="50" t="str">
        <f ca="1">VLOOKUP(B1172,'ALL DATABASES'!$A$1:$T$2252,20,FALSE)</f>
        <v>SCOPUS</v>
      </c>
    </row>
    <row r="1173" spans="1:8" ht="12.75" x14ac:dyDescent="0.2">
      <c r="A1173">
        <v>1172</v>
      </c>
      <c r="B1173" s="15" t="str">
        <f ca="1">IFERROR(__xludf.DUMMYFUNCTION("""COMPUTED_VALUE"""),"Online Algorithms for Adaptive Cyber Defense on Bayesian Attack Graphs")</f>
        <v>Online Algorithms for Adaptive Cyber Defense on Bayesian Attack Graphs</v>
      </c>
      <c r="C1173" s="15" t="str">
        <f ca="1">VLOOKUP(B1173,'ALL DATABASES'!$A$1:$T$2252,2,FALSE)</f>
        <v>Hu Z,Zhu M,Liu P</v>
      </c>
      <c r="D1173" s="15">
        <f ca="1">VLOOKUP(B1173,'ALL DATABASES'!$A$1:$T$2252,5,FALSE)</f>
        <v>2017</v>
      </c>
      <c r="E1173" s="15">
        <f ca="1">VLOOKUP(B1173,'ALL DATABASES'!$A$1:$T$2252,10,FALSE)</f>
        <v>2017</v>
      </c>
      <c r="F1173" s="54" t="str">
        <f ca="1">VLOOKUP(B1173,'ALL DATABASES'!$A$1:$T$2252,14,FALSE)</f>
        <v>https://doi.org/10.1145/3140549.3140556;http://dx.doi.org/10.1145/3140549.3140556</v>
      </c>
      <c r="G1173" s="15" t="str">
        <f ca="1">VLOOKUP(B1173,'ALL DATABASES'!$A$1:$T$2252,3,FALSE)</f>
        <v>Conference Paper</v>
      </c>
      <c r="H1173" s="50" t="str">
        <f ca="1">VLOOKUP(B1173,'ALL DATABASES'!$A$1:$T$2252,20,FALSE)</f>
        <v>ACM</v>
      </c>
    </row>
    <row r="1174" spans="1:8" ht="12.75" x14ac:dyDescent="0.2">
      <c r="A1174">
        <v>1173</v>
      </c>
      <c r="B1174" s="15" t="str">
        <f ca="1">IFERROR(__xludf.DUMMYFUNCTION("""COMPUTED_VALUE"""),"Opacity thought through: on the intransparency of computer simulations")</f>
        <v>Opacity thought through: on the intransparency of computer simulations</v>
      </c>
      <c r="C1174" s="15" t="str">
        <f ca="1">VLOOKUP(B1174,'ALL DATABASES'!$A$1:$T$2252,2,FALSE)</f>
        <v>Beisbart C</v>
      </c>
      <c r="D1174" s="15">
        <f ca="1">VLOOKUP(B1174,'ALL DATABASES'!$A$1:$T$2252,5,FALSE)</f>
        <v>2021</v>
      </c>
      <c r="E1174" s="15">
        <f ca="1">VLOOKUP(B1174,'ALL DATABASES'!$A$1:$T$2252,10,FALSE)</f>
        <v>2021</v>
      </c>
      <c r="F1174" s="54" t="str">
        <f ca="1">VLOOKUP(B1174,'ALL DATABASES'!$A$1:$T$2252,14,FALSE)</f>
        <v>https://www.scopus.com/inward/record.uri?eid=2-s2.0-85110456711&amp;doi=10.1007%2fs11229-021-03305-2&amp;partnerID=40&amp;md5=7049dcdbefb9f1ad30a067d78bc0453b;http://dx.doi.org/10.1007/s11229-021-03305-2</v>
      </c>
      <c r="G1174" s="15" t="str">
        <f ca="1">VLOOKUP(B1174,'ALL DATABASES'!$A$1:$T$2252,3,FALSE)</f>
        <v>Journal Article</v>
      </c>
      <c r="H1174" s="50" t="str">
        <f ca="1">VLOOKUP(B1174,'ALL DATABASES'!$A$1:$T$2252,20,FALSE)</f>
        <v>SCOPUS</v>
      </c>
    </row>
    <row r="1175" spans="1:8" ht="12.75" x14ac:dyDescent="0.2">
      <c r="A1175">
        <v>1174</v>
      </c>
      <c r="B1175" s="15" t="str">
        <f ca="1">IFERROR(__xludf.DUMMYFUNCTION("""COMPUTED_VALUE"""),"OPEN SOURCE SOFTWARE MAINTENANCE EFFORT ESTIMATION: A SYSTEMATIC MAPPING STUDY")</f>
        <v>OPEN SOURCE SOFTWARE MAINTENANCE EFFORT ESTIMATION: A SYSTEMATIC MAPPING STUDY</v>
      </c>
      <c r="C1175" s="15" t="str">
        <f ca="1">VLOOKUP(B1175,'ALL DATABASES'!$A$1:$T$2252,2,FALSE)</f>
        <v>Miloudi C,Cheikhi L,Abran A,Idri A</v>
      </c>
      <c r="D1175" s="15">
        <f ca="1">VLOOKUP(B1175,'ALL DATABASES'!$A$1:$T$2252,5,FALSE)</f>
        <v>2022</v>
      </c>
      <c r="E1175" s="15">
        <f ca="1">VLOOKUP(B1175,'ALL DATABASES'!$A$1:$T$2252,10,FALSE)</f>
        <v>2022</v>
      </c>
      <c r="F1175" s="54" t="str">
        <f ca="1">VLOOKUP(B1175,'ALL DATABASES'!$A$1:$T$2252,14,FALSE)</f>
        <v>https://www.scopus.com/inward/record.uri?eid=2-s2.0-85142894372&amp;partnerID=40&amp;md5=34601942019f57b92637bce02323ce72</v>
      </c>
      <c r="G1175" s="15" t="str">
        <f ca="1">VLOOKUP(B1175,'ALL DATABASES'!$A$1:$T$2252,3,FALSE)</f>
        <v>Journal Article</v>
      </c>
      <c r="H1175" s="50" t="str">
        <f ca="1">VLOOKUP(B1175,'ALL DATABASES'!$A$1:$T$2252,20,FALSE)</f>
        <v>SCOPUS</v>
      </c>
    </row>
    <row r="1176" spans="1:8" ht="12.75" x14ac:dyDescent="0.2">
      <c r="A1176">
        <v>1175</v>
      </c>
      <c r="B1176" s="15" t="str">
        <f ca="1">IFERROR(__xludf.DUMMYFUNCTION("""COMPUTED_VALUE"""),"Open-Source Practices for Music Signal Processing Research: Recommendations for Transparent, Sustainable, and Reproducible Audio Research")</f>
        <v>Open-Source Practices for Music Signal Processing Research: Recommendations for Transparent, Sustainable, and Reproducible Audio Research</v>
      </c>
      <c r="C1176" s="15" t="str">
        <f ca="1">VLOOKUP(B1176,'ALL DATABASES'!$A$1:$T$2252,2,FALSE)</f>
        <v>McFee B,Kim JW,Cartwright M,Salamon J,Bittner RM,Bello JP</v>
      </c>
      <c r="D1176" s="15">
        <f ca="1">VLOOKUP(B1176,'ALL DATABASES'!$A$1:$T$2252,5,FALSE)</f>
        <v>2019</v>
      </c>
      <c r="E1176" s="55">
        <f ca="1">VLOOKUP(B1176,'ALL DATABASES'!$A$1:$T$2252,10,FALSE)</f>
        <v>43466</v>
      </c>
      <c r="F1176" s="54" t="str">
        <f ca="1">VLOOKUP(B1176,'ALL DATABASES'!$A$1:$T$2252,14,FALSE)</f>
        <v>http://dx.doi.org/10.1109/MSP.2018.2875349</v>
      </c>
      <c r="G1176" s="15" t="str">
        <f ca="1">VLOOKUP(B1176,'ALL DATABASES'!$A$1:$T$2252,3,FALSE)</f>
        <v>Journal Article</v>
      </c>
      <c r="H1176" s="50" t="str">
        <f ca="1">VLOOKUP(B1176,'ALL DATABASES'!$A$1:$T$2252,20,FALSE)</f>
        <v>IEEE</v>
      </c>
    </row>
    <row r="1177" spans="1:8" ht="12.75" x14ac:dyDescent="0.2">
      <c r="A1177">
        <v>1176</v>
      </c>
      <c r="B1177" s="15" t="str">
        <f ca="1">IFERROR(__xludf.DUMMYFUNCTION("""COMPUTED_VALUE"""),"Opening the software engineering toolbox for the assessment of trustworthy AI")</f>
        <v>Opening the software engineering toolbox for the assessment of trustworthy AI</v>
      </c>
      <c r="C1177" s="15" t="str">
        <f ca="1">VLOOKUP(B1177,'ALL DATABASES'!$A$1:$T$2252,2,FALSE)</f>
        <v>Ahuja MK,Belaid MB,Bernab P,Collet M,Gotlieb A,Lal C,Marijan D,Sen S,Sharif A,Spieker H</v>
      </c>
      <c r="D1177" s="15">
        <f ca="1">VLOOKUP(B1177,'ALL DATABASES'!$A$1:$T$2252,5,FALSE)</f>
        <v>2020</v>
      </c>
      <c r="E1177" s="15">
        <f ca="1">VLOOKUP(B1177,'ALL DATABASES'!$A$1:$T$2252,10,FALSE)</f>
        <v>2020</v>
      </c>
      <c r="F1177" s="54" t="str">
        <f ca="1">VLOOKUP(B1177,'ALL DATABASES'!$A$1:$T$2252,14,FALSE)</f>
        <v>https://www.scopus.com/inward/record.uri?eid=2-s2.0-85090901906&amp;partnerID=40&amp;md5=053ba6b4c8911ffab65c6cb88fe8c0ac</v>
      </c>
      <c r="G1177" s="15" t="str">
        <f ca="1">VLOOKUP(B1177,'ALL DATABASES'!$A$1:$T$2252,3,FALSE)</f>
        <v>Conference Paper</v>
      </c>
      <c r="H1177" s="50" t="str">
        <f ca="1">VLOOKUP(B1177,'ALL DATABASES'!$A$1:$T$2252,20,FALSE)</f>
        <v>SCOPUS</v>
      </c>
    </row>
    <row r="1178" spans="1:8" ht="12.75" x14ac:dyDescent="0.2">
      <c r="A1178">
        <v>1177</v>
      </c>
      <c r="B1178" s="15" t="str">
        <f ca="1">IFERROR(__xludf.DUMMYFUNCTION("""COMPUTED_VALUE"""),"OpenSZZ: A free, open-source, web-accessible implementation of the SZZ algorithm")</f>
        <v>OpenSZZ: A free, open-source, web-accessible implementation of the SZZ algorithm</v>
      </c>
      <c r="C1178" s="15" t="str">
        <f ca="1">VLOOKUP(B1178,'ALL DATABASES'!$A$1:$T$2252,2,FALSE)</f>
        <v>Lenarduzzi V,Palomba F,Taibi D,Tamburri DA</v>
      </c>
      <c r="D1178" s="15">
        <f ca="1">VLOOKUP(B1178,'ALL DATABASES'!$A$1:$T$2252,5,FALSE)</f>
        <v>2020</v>
      </c>
      <c r="E1178" s="15">
        <f ca="1">VLOOKUP(B1178,'ALL DATABASES'!$A$1:$T$2252,10,FALSE)</f>
        <v>2020</v>
      </c>
      <c r="F1178" s="54" t="str">
        <f ca="1">VLOOKUP(B1178,'ALL DATABASES'!$A$1:$T$2252,14,FALSE)</f>
        <v>https://www.scopus.com/inward/record.uri?eid=2-s2.0-85091933740&amp;doi=10.1145%2f3387904.3389295&amp;partnerID=40&amp;md5=ed9f3b769b9b0983eb421776bb759588;http://dx.doi.org/10.1145/3387904.3389295</v>
      </c>
      <c r="G1178" s="15" t="str">
        <f ca="1">VLOOKUP(B1178,'ALL DATABASES'!$A$1:$T$2252,3,FALSE)</f>
        <v>Conference Paper</v>
      </c>
      <c r="H1178" s="50" t="str">
        <f ca="1">VLOOKUP(B1178,'ALL DATABASES'!$A$1:$T$2252,20,FALSE)</f>
        <v>SCOPUS</v>
      </c>
    </row>
    <row r="1179" spans="1:8" ht="12.75" x14ac:dyDescent="0.2">
      <c r="A1179">
        <v>1178</v>
      </c>
      <c r="B1179" s="15" t="str">
        <f ca="1">IFERROR(__xludf.DUMMYFUNCTION("""COMPUTED_VALUE"""),"Operationalizing Machine Learning Models - A Systematic Literature Review")</f>
        <v>Operationalizing Machine Learning Models - A Systematic Literature Review</v>
      </c>
      <c r="C1179" s="15" t="str">
        <f ca="1">VLOOKUP(B1179,'ALL DATABASES'!$A$1:$T$2252,2,FALSE)</f>
        <v>Kolltveit AB,Li J</v>
      </c>
      <c r="D1179" s="15">
        <f ca="1">VLOOKUP(B1179,'ALL DATABASES'!$A$1:$T$2252,5,FALSE)</f>
        <v>2022</v>
      </c>
      <c r="E1179" s="55">
        <f ca="1">VLOOKUP(B1179,'ALL DATABASES'!$A$1:$T$2252,10,FALSE)</f>
        <v>44682</v>
      </c>
      <c r="F1179" s="54" t="str">
        <f ca="1">VLOOKUP(B1179,'ALL DATABASES'!$A$1:$T$2252,14,FALSE)</f>
        <v>http://dx.doi.org/10.1145/3526073.3527584</v>
      </c>
      <c r="G1179" s="15" t="str">
        <f ca="1">VLOOKUP(B1179,'ALL DATABASES'!$A$1:$T$2252,3,FALSE)</f>
        <v>Conference Paper</v>
      </c>
      <c r="H1179" s="50" t="str">
        <f ca="1">VLOOKUP(B1179,'ALL DATABASES'!$A$1:$T$2252,20,FALSE)</f>
        <v>IEEE</v>
      </c>
    </row>
    <row r="1180" spans="1:8" ht="12.75" x14ac:dyDescent="0.2">
      <c r="A1180">
        <v>1179</v>
      </c>
      <c r="B1180" s="15" t="str">
        <f ca="1">IFERROR(__xludf.DUMMYFUNCTION("""COMPUTED_VALUE"""),"Oracles of Bad Smells: A Systematic Literature Review")</f>
        <v>Oracles of Bad Smells: A Systematic Literature Review</v>
      </c>
      <c r="C1180" s="15" t="str">
        <f ca="1">VLOOKUP(B1180,'ALL DATABASES'!$A$1:$T$2252,2,FALSE)</f>
        <v>Trindade RP,Da Silva Bigonha MA,Ferreira KA</v>
      </c>
      <c r="D1180" s="15">
        <f ca="1">VLOOKUP(B1180,'ALL DATABASES'!$A$1:$T$2252,5,FALSE)</f>
        <v>2020</v>
      </c>
      <c r="E1180" s="15">
        <f ca="1">VLOOKUP(B1180,'ALL DATABASES'!$A$1:$T$2252,10,FALSE)</f>
        <v>2020</v>
      </c>
      <c r="F1180" s="54" t="str">
        <f ca="1">VLOOKUP(B1180,'ALL DATABASES'!$A$1:$T$2252,14,FALSE)</f>
        <v>https://www.scopus.com/inward/record.uri?eid=2-s2.0-85099402946&amp;doi=10.1145%2f3422392.3422415&amp;partnerID=40&amp;md5=b7cd8b2a91002fcb780a0cd33e6d7718;http://dx.doi.org/10.1145/3422392.3422415</v>
      </c>
      <c r="G1180" s="15" t="str">
        <f ca="1">VLOOKUP(B1180,'ALL DATABASES'!$A$1:$T$2252,3,FALSE)</f>
        <v>Conference Paper</v>
      </c>
      <c r="H1180" s="50" t="str">
        <f ca="1">VLOOKUP(B1180,'ALL DATABASES'!$A$1:$T$2252,20,FALSE)</f>
        <v>SCOPUS</v>
      </c>
    </row>
    <row r="1181" spans="1:8" ht="12.75" x14ac:dyDescent="0.2">
      <c r="A1181">
        <v>1180</v>
      </c>
      <c r="B1181" s="15" t="str">
        <f ca="1">IFERROR(__xludf.DUMMYFUNCTION("""COMPUTED_VALUE"""),"Orchestrating Agile IT Quality Management for Complex Solution Development Through Topic-Specific Partnerships in Large Enterprises â€“ An Example on the EFIS Framework")</f>
        <v>Orchestrating Agile IT Quality Management for Complex Solution Development Through Topic-Specific Partnerships in Large Enterprises â€“ An Example on the EFIS Framework</v>
      </c>
      <c r="C1181" s="15" t="str">
        <f ca="1">VLOOKUP(B1181,'ALL DATABASES'!$A$1:$T$2252,2,FALSE)</f>
        <v>Alexander PothMario KottkeAndreas Riel</v>
      </c>
      <c r="D1181" s="15">
        <f ca="1">VLOOKUP(B1181,'ALL DATABASES'!$A$1:$T$2252,5,FALSE)</f>
        <v>2021</v>
      </c>
      <c r="E1181" s="15">
        <f ca="1">VLOOKUP(B1181,'ALL DATABASES'!$A$1:$T$2252,10,FALSE)</f>
        <v>0</v>
      </c>
      <c r="F1181" s="54" t="str">
        <f ca="1">VLOOKUP(B1181,'ALL DATABASES'!$A$1:$T$2252,14,FALSE)</f>
        <v>http://link.springer.com/chapter/10.1007/978-3-030-85521-5_7</v>
      </c>
      <c r="G1181" s="15" t="str">
        <f ca="1">VLOOKUP(B1181,'ALL DATABASES'!$A$1:$T$2252,3,FALSE)</f>
        <v>Chapter</v>
      </c>
      <c r="H1181" s="50" t="str">
        <f ca="1">VLOOKUP(B1181,'ALL DATABASES'!$A$1:$T$2252,20,FALSE)</f>
        <v>SPRINGER</v>
      </c>
    </row>
    <row r="1182" spans="1:8" ht="12.75" x14ac:dyDescent="0.2">
      <c r="A1182">
        <v>1181</v>
      </c>
      <c r="B1182" s="15" t="str">
        <f ca="1">IFERROR(__xludf.DUMMYFUNCTION("""COMPUTED_VALUE"""),"Orfeon: An AIOps framework for the goal-driven operationalization of distributed analytical pipelines")</f>
        <v>Orfeon: An AIOps framework for the goal-driven operationalization of distributed analytical pipelines</v>
      </c>
      <c r="C1182" s="15" t="str">
        <f ca="1">VLOOKUP(B1182,'ALL DATABASES'!$A$1:$T$2252,2,FALSE)</f>
        <v>Díaz-de-Arcaya J,Torre-Bastida AI,Miñón R,Almeida A</v>
      </c>
      <c r="D1182" s="15">
        <f ca="1">VLOOKUP(B1182,'ALL DATABASES'!$A$1:$T$2252,5,FALSE)</f>
        <v>2023</v>
      </c>
      <c r="E1182" s="15">
        <f ca="1">VLOOKUP(B1182,'ALL DATABASES'!$A$1:$T$2252,10,FALSE)</f>
        <v>2023</v>
      </c>
      <c r="F1182" s="54" t="str">
        <f ca="1">VLOOKUP(B1182,'ALL DATABASES'!$A$1:$T$2252,14,FALSE)</f>
        <v>https://www.sciencedirect.com/science/article/pii/S0167739X22003223;http://dx.doi.org/10.1016/j.future.2022.10.008</v>
      </c>
      <c r="G1182" s="15" t="str">
        <f ca="1">VLOOKUP(B1182,'ALL DATABASES'!$A$1:$T$2252,3,FALSE)</f>
        <v>Journal Article</v>
      </c>
      <c r="H1182" s="50" t="str">
        <f ca="1">VLOOKUP(B1182,'ALL DATABASES'!$A$1:$T$2252,20,FALSE)</f>
        <v>SCIENCEDIRECT</v>
      </c>
    </row>
    <row r="1183" spans="1:8" ht="12.75" x14ac:dyDescent="0.2">
      <c r="A1183">
        <v>1182</v>
      </c>
      <c r="B1183" s="15" t="str">
        <f ca="1">IFERROR(__xludf.DUMMYFUNCTION("""COMPUTED_VALUE"""),"Organization and Leadership in Disruptive Times")</f>
        <v>Organization and Leadership in Disruptive Times</v>
      </c>
      <c r="C1183" s="15" t="str">
        <f ca="1">VLOOKUP(B1183,'ALL DATABASES'!$A$1:$T$2252,2,FALSE)</f>
        <v>Peter WollmannFrank KÃ¼hnMichael KempfReto PÃ¼ringer</v>
      </c>
      <c r="D1183" s="15">
        <f ca="1">VLOOKUP(B1183,'ALL DATABASES'!$A$1:$T$2252,5,FALSE)</f>
        <v>2021</v>
      </c>
      <c r="E1183" s="15">
        <f ca="1">VLOOKUP(B1183,'ALL DATABASES'!$A$1:$T$2252,10,FALSE)</f>
        <v>0</v>
      </c>
      <c r="F1183" s="54" t="str">
        <f ca="1">VLOOKUP(B1183,'ALL DATABASES'!$A$1:$T$2252,14,FALSE)</f>
        <v>http://link.springer.com/book/10.1007/978-3-030-63034-8</v>
      </c>
      <c r="G1183" s="15" t="str">
        <f ca="1">VLOOKUP(B1183,'ALL DATABASES'!$A$1:$T$2252,3,FALSE)</f>
        <v>Book</v>
      </c>
      <c r="H1183" s="50" t="str">
        <f ca="1">VLOOKUP(B1183,'ALL DATABASES'!$A$1:$T$2252,20,FALSE)</f>
        <v>SPRINGER</v>
      </c>
    </row>
    <row r="1184" spans="1:8" ht="12.75" x14ac:dyDescent="0.2">
      <c r="A1184">
        <v>1183</v>
      </c>
      <c r="B1184" s="15" t="str">
        <f ca="1">IFERROR(__xludf.DUMMYFUNCTION("""COMPUTED_VALUE"""),"Organizing for DataOps")</f>
        <v>Organizing for DataOps</v>
      </c>
      <c r="C1184" s="15" t="str">
        <f ca="1">VLOOKUP(B1184,'ALL DATABASES'!$A$1:$T$2252,2,FALSE)</f>
        <v>Harvinder Atwal</v>
      </c>
      <c r="D1184" s="15">
        <f ca="1">VLOOKUP(B1184,'ALL DATABASES'!$A$1:$T$2252,5,FALSE)</f>
        <v>2020</v>
      </c>
      <c r="E1184" s="15">
        <f ca="1">VLOOKUP(B1184,'ALL DATABASES'!$A$1:$T$2252,10,FALSE)</f>
        <v>0</v>
      </c>
      <c r="F1184" s="54" t="str">
        <f ca="1">VLOOKUP(B1184,'ALL DATABASES'!$A$1:$T$2252,14,FALSE)</f>
        <v>http://link.springer.com/chapter/10.1007/978-1-4842-5104-1_8</v>
      </c>
      <c r="G1184" s="15" t="str">
        <f ca="1">VLOOKUP(B1184,'ALL DATABASES'!$A$1:$T$2252,3,FALSE)</f>
        <v>Chapter</v>
      </c>
      <c r="H1184" s="50" t="str">
        <f ca="1">VLOOKUP(B1184,'ALL DATABASES'!$A$1:$T$2252,20,FALSE)</f>
        <v>SPRINGER</v>
      </c>
    </row>
    <row r="1185" spans="1:8" ht="12.75" x14ac:dyDescent="0.2">
      <c r="A1185">
        <v>1184</v>
      </c>
      <c r="B1185" s="15" t="str">
        <f ca="1">IFERROR(__xludf.DUMMYFUNCTION("""COMPUTED_VALUE"""),"Organizing the Technical Debt Landscape")</f>
        <v>Organizing the Technical Debt Landscape</v>
      </c>
      <c r="C1185" s="15" t="str">
        <f ca="1">VLOOKUP(B1185,'ALL DATABASES'!$A$1:$T$2252,2,FALSE)</f>
        <v>Izurieta C,Vetrò A,Zazworka N,Cai Y,Seaman C,Shull F</v>
      </c>
      <c r="D1185" s="15">
        <f ca="1">VLOOKUP(B1185,'ALL DATABASES'!$A$1:$T$2252,5,FALSE)</f>
        <v>2012</v>
      </c>
      <c r="E1185" s="15">
        <f ca="1">VLOOKUP(B1185,'ALL DATABASES'!$A$1:$T$2252,10,FALSE)</f>
        <v>2012</v>
      </c>
      <c r="F1185" s="15">
        <f ca="1">VLOOKUP(B1185,'ALL DATABASES'!$A$1:$T$2252,14,FALSE)</f>
        <v>0</v>
      </c>
      <c r="G1185" s="15" t="str">
        <f ca="1">VLOOKUP(B1185,'ALL DATABASES'!$A$1:$T$2252,3,FALSE)</f>
        <v>Conference Paper</v>
      </c>
      <c r="H1185" s="50" t="str">
        <f ca="1">VLOOKUP(B1185,'ALL DATABASES'!$A$1:$T$2252,20,FALSE)</f>
        <v>ACM</v>
      </c>
    </row>
    <row r="1186" spans="1:8" ht="12.75" x14ac:dyDescent="0.2">
      <c r="A1186">
        <v>1185</v>
      </c>
      <c r="B1186" s="15" t="str">
        <f ca="1">IFERROR(__xludf.DUMMYFUNCTION("""COMPUTED_VALUE"""),"Overcoming Language Dichotomies: Toward Effective Program Comprehension for Mobile App Development")</f>
        <v>Overcoming Language Dichotomies: Toward Effective Program Comprehension for Mobile App Development</v>
      </c>
      <c r="C1186" s="15" t="str">
        <f ca="1">VLOOKUP(B1186,'ALL DATABASES'!$A$1:$T$2252,2,FALSE)</f>
        <v>Moran K,Bernal-Cárdenas C,Linares-Vásquez M,Poshyvanyk D</v>
      </c>
      <c r="D1186" s="15">
        <f ca="1">VLOOKUP(B1186,'ALL DATABASES'!$A$1:$T$2252,5,FALSE)</f>
        <v>2018</v>
      </c>
      <c r="E1186" s="15">
        <f ca="1">VLOOKUP(B1186,'ALL DATABASES'!$A$1:$T$2252,10,FALSE)</f>
        <v>2018</v>
      </c>
      <c r="F1186" s="54" t="str">
        <f ca="1">VLOOKUP(B1186,'ALL DATABASES'!$A$1:$T$2252,14,FALSE)</f>
        <v>https://doi.org/10.1145/3196321.3196322;http://dx.doi.org/10.1145/3196321.3196322</v>
      </c>
      <c r="G1186" s="15" t="str">
        <f ca="1">VLOOKUP(B1186,'ALL DATABASES'!$A$1:$T$2252,3,FALSE)</f>
        <v>Conference Paper</v>
      </c>
      <c r="H1186" s="50" t="str">
        <f ca="1">VLOOKUP(B1186,'ALL DATABASES'!$A$1:$T$2252,20,FALSE)</f>
        <v>ACM</v>
      </c>
    </row>
    <row r="1187" spans="1:8" ht="12.75" x14ac:dyDescent="0.2">
      <c r="A1187">
        <v>1186</v>
      </c>
      <c r="B1187" s="15" t="str">
        <f ca="1">IFERROR(__xludf.DUMMYFUNCTION("""COMPUTED_VALUE"""),"Part III - Information Systems")</f>
        <v>Part III - Information Systems</v>
      </c>
      <c r="C1187" s="15" t="str">
        <f ca="1">VLOOKUP(B1187,'ALL DATABASES'!$A$1:$T$2252,2,FALSE)</f>
        <v>Luisi JV</v>
      </c>
      <c r="D1187" s="15">
        <f ca="1">VLOOKUP(B1187,'ALL DATABASES'!$A$1:$T$2252,5,FALSE)</f>
        <v>2014</v>
      </c>
      <c r="E1187" s="15">
        <f ca="1">VLOOKUP(B1187,'ALL DATABASES'!$A$1:$T$2252,10,FALSE)</f>
        <v>2014</v>
      </c>
      <c r="F1187" s="54" t="str">
        <f ca="1">VLOOKUP(B1187,'ALL DATABASES'!$A$1:$T$2252,14,FALSE)</f>
        <v>https://www.sciencedirect.com/science/article/pii/B9780128002056000032;http://dx.doi.org/10.1016/B978-0-12-800205-6.00003-2</v>
      </c>
      <c r="G1187" s="15" t="str">
        <f ca="1">VLOOKUP(B1187,'ALL DATABASES'!$A$1:$T$2252,3,FALSE)</f>
        <v>Book Chapter</v>
      </c>
      <c r="H1187" s="50" t="str">
        <f ca="1">VLOOKUP(B1187,'ALL DATABASES'!$A$1:$T$2252,20,FALSE)</f>
        <v>SCIENCEDIRECT</v>
      </c>
    </row>
    <row r="1188" spans="1:8" ht="12.75" x14ac:dyDescent="0.2">
      <c r="A1188">
        <v>1187</v>
      </c>
      <c r="B1188" s="15" t="str">
        <f ca="1">IFERROR(__xludf.DUMMYFUNCTION("""COMPUTED_VALUE"""),"Pathways for statically mining the Model-View-Controller software architecture on mobile applications")</f>
        <v>Pathways for statically mining the Model-View-Controller software architecture on mobile applications</v>
      </c>
      <c r="C1188" s="15" t="str">
        <f ca="1">VLOOKUP(B1188,'ALL DATABASES'!$A$1:$T$2252,2,FALSE)</f>
        <v>DragoÅŸ DobreanLaura DioÅŸan</v>
      </c>
      <c r="D1188" s="15">
        <f ca="1">VLOOKUP(B1188,'ALL DATABASES'!$A$1:$T$2252,5,FALSE)</f>
        <v>2022</v>
      </c>
      <c r="E1188" s="15">
        <f ca="1">VLOOKUP(B1188,'ALL DATABASES'!$A$1:$T$2252,10,FALSE)</f>
        <v>0</v>
      </c>
      <c r="F1188" s="54" t="str">
        <f ca="1">VLOOKUP(B1188,'ALL DATABASES'!$A$1:$T$2252,14,FALSE)</f>
        <v>http://link.springer.com/article/10.1007/s00500-022-06908-0</v>
      </c>
      <c r="G1188" s="15" t="str">
        <f ca="1">VLOOKUP(B1188,'ALL DATABASES'!$A$1:$T$2252,3,FALSE)</f>
        <v>Article</v>
      </c>
      <c r="H1188" s="50" t="str">
        <f ca="1">VLOOKUP(B1188,'ALL DATABASES'!$A$1:$T$2252,20,FALSE)</f>
        <v>SPRINGER</v>
      </c>
    </row>
    <row r="1189" spans="1:8" ht="12.75" x14ac:dyDescent="0.2">
      <c r="A1189">
        <v>1188</v>
      </c>
      <c r="B1189" s="15" t="str">
        <f ca="1">IFERROR(__xludf.DUMMYFUNCTION("""COMPUTED_VALUE"""),"Pattern Catalog")</f>
        <v>Pattern Catalog</v>
      </c>
      <c r="C1189" s="15" t="str">
        <f ca="1">VLOOKUP(B1189,'ALL DATABASES'!$A$1:$T$2252,2,FALSE)</f>
        <v>Ingo Arnold</v>
      </c>
      <c r="D1189" s="15">
        <f ca="1">VLOOKUP(B1189,'ALL DATABASES'!$A$1:$T$2252,5,FALSE)</f>
        <v>2022</v>
      </c>
      <c r="E1189" s="15">
        <f ca="1">VLOOKUP(B1189,'ALL DATABASES'!$A$1:$T$2252,10,FALSE)</f>
        <v>0</v>
      </c>
      <c r="F1189" s="54" t="str">
        <f ca="1">VLOOKUP(B1189,'ALL DATABASES'!$A$1:$T$2252,14,FALSE)</f>
        <v>http://link.springer.com/chapter/10.1007/978-3-030-84589-6_6</v>
      </c>
      <c r="G1189" s="15" t="str">
        <f ca="1">VLOOKUP(B1189,'ALL DATABASES'!$A$1:$T$2252,3,FALSE)</f>
        <v>Chapter</v>
      </c>
      <c r="H1189" s="50" t="str">
        <f ca="1">VLOOKUP(B1189,'ALL DATABASES'!$A$1:$T$2252,20,FALSE)</f>
        <v>SPRINGER</v>
      </c>
    </row>
    <row r="1190" spans="1:8" ht="12.75" x14ac:dyDescent="0.2">
      <c r="A1190">
        <v>1189</v>
      </c>
      <c r="B1190" s="15" t="str">
        <f ca="1">IFERROR(__xludf.DUMMYFUNCTION("""COMPUTED_VALUE"""),"Pattern Language for Designing Distributed AI Systems")</f>
        <v>Pattern Language for Designing Distributed AI Systems</v>
      </c>
      <c r="C1190" s="15" t="str">
        <f ca="1">VLOOKUP(B1190,'ALL DATABASES'!$A$1:$T$2252,2,FALSE)</f>
        <v>Satish Mahadevan SrinivasanShahed MahbubRaghvinder S. SangwanYouakim BadrPartha Mukherjee</v>
      </c>
      <c r="D1190" s="15">
        <f ca="1">VLOOKUP(B1190,'ALL DATABASES'!$A$1:$T$2252,5,FALSE)</f>
        <v>2022</v>
      </c>
      <c r="E1190" s="15">
        <f ca="1">VLOOKUP(B1190,'ALL DATABASES'!$A$1:$T$2252,10,FALSE)</f>
        <v>0</v>
      </c>
      <c r="F1190" s="54" t="str">
        <f ca="1">VLOOKUP(B1190,'ALL DATABASES'!$A$1:$T$2252,14,FALSE)</f>
        <v>http://link.springer.com/chapter/10.1007/978-3-031-15644-1_34</v>
      </c>
      <c r="G1190" s="15" t="str">
        <f ca="1">VLOOKUP(B1190,'ALL DATABASES'!$A$1:$T$2252,3,FALSE)</f>
        <v>Chapter</v>
      </c>
      <c r="H1190" s="50" t="str">
        <f ca="1">VLOOKUP(B1190,'ALL DATABASES'!$A$1:$T$2252,20,FALSE)</f>
        <v>SPRINGER</v>
      </c>
    </row>
    <row r="1191" spans="1:8" ht="12.75" x14ac:dyDescent="0.2">
      <c r="A1191">
        <v>1190</v>
      </c>
      <c r="B1191" s="15" t="str">
        <f ca="1">IFERROR(__xludf.DUMMYFUNCTION("""COMPUTED_VALUE"""),"Pattern Recognition and Artificial Intelligence")</f>
        <v>Pattern Recognition and Artificial Intelligence</v>
      </c>
      <c r="C1191" s="15" t="str">
        <f ca="1">VLOOKUP(B1191,'ALL DATABASES'!$A$1:$T$2252,2,FALSE)</f>
        <v>MounÃ®m El YacoubiProf. Eric GrangerPh.D. Pong Chi YuenUmapada PalNicole Vincent</v>
      </c>
      <c r="D1191" s="15">
        <f ca="1">VLOOKUP(B1191,'ALL DATABASES'!$A$1:$T$2252,5,FALSE)</f>
        <v>2022</v>
      </c>
      <c r="E1191" s="15">
        <f ca="1">VLOOKUP(B1191,'ALL DATABASES'!$A$1:$T$2252,10,FALSE)</f>
        <v>0</v>
      </c>
      <c r="F1191" s="54" t="str">
        <f ca="1">VLOOKUP(B1191,'ALL DATABASES'!$A$1:$T$2252,14,FALSE)</f>
        <v>http://link.springer.com/book/10.1007/978-3-031-09282-4</v>
      </c>
      <c r="G1191" s="15" t="str">
        <f ca="1">VLOOKUP(B1191,'ALL DATABASES'!$A$1:$T$2252,3,FALSE)</f>
        <v>Book</v>
      </c>
      <c r="H1191" s="50" t="str">
        <f ca="1">VLOOKUP(B1191,'ALL DATABASES'!$A$1:$T$2252,20,FALSE)</f>
        <v>SPRINGER</v>
      </c>
    </row>
    <row r="1192" spans="1:8" ht="12.75" x14ac:dyDescent="0.2">
      <c r="A1192">
        <v>1191</v>
      </c>
      <c r="B1192" s="15" t="str">
        <f ca="1">IFERROR(__xludf.DUMMYFUNCTION("""COMPUTED_VALUE"""),"Patterns for Implementing Software Analytics in Development Teams")</f>
        <v>Patterns for Implementing Software Analytics in Development Teams</v>
      </c>
      <c r="C1192" s="15" t="str">
        <f ca="1">VLOOKUP(B1192,'ALL DATABASES'!$A$1:$T$2252,2,FALSE)</f>
        <v>Choma J,Guerra EM,Da Silva TS</v>
      </c>
      <c r="D1192" s="15">
        <f ca="1">VLOOKUP(B1192,'ALL DATABASES'!$A$1:$T$2252,5,FALSE)</f>
        <v>2017</v>
      </c>
      <c r="E1192" s="15">
        <f ca="1">VLOOKUP(B1192,'ALL DATABASES'!$A$1:$T$2252,10,FALSE)</f>
        <v>2017</v>
      </c>
      <c r="F1192" s="15">
        <f ca="1">VLOOKUP(B1192,'ALL DATABASES'!$A$1:$T$2252,14,FALSE)</f>
        <v>0</v>
      </c>
      <c r="G1192" s="15" t="str">
        <f ca="1">VLOOKUP(B1192,'ALL DATABASES'!$A$1:$T$2252,3,FALSE)</f>
        <v>Conference Paper</v>
      </c>
      <c r="H1192" s="50" t="str">
        <f ca="1">VLOOKUP(B1192,'ALL DATABASES'!$A$1:$T$2252,20,FALSE)</f>
        <v>ACM</v>
      </c>
    </row>
    <row r="1193" spans="1:8" ht="12.75" x14ac:dyDescent="0.2">
      <c r="A1193">
        <v>1192</v>
      </c>
      <c r="B1193" s="15" t="str">
        <f ca="1">IFERROR(__xludf.DUMMYFUNCTION("""COMPUTED_VALUE"""),"Patterns of continuous requirements clarification")</f>
        <v>Patterns of continuous requirements clarification</v>
      </c>
      <c r="C1193" s="15" t="str">
        <f ca="1">VLOOKUP(B1193,'ALL DATABASES'!$A$1:$T$2252,2,FALSE)</f>
        <v>Eric KnaussDaniela DamianJane Cleland-HuangRemko Helms</v>
      </c>
      <c r="D1193" s="15">
        <f ca="1">VLOOKUP(B1193,'ALL DATABASES'!$A$1:$T$2252,5,FALSE)</f>
        <v>2015</v>
      </c>
      <c r="E1193" s="15">
        <f ca="1">VLOOKUP(B1193,'ALL DATABASES'!$A$1:$T$2252,10,FALSE)</f>
        <v>0</v>
      </c>
      <c r="F1193" s="54" t="str">
        <f ca="1">VLOOKUP(B1193,'ALL DATABASES'!$A$1:$T$2252,14,FALSE)</f>
        <v>http://link.springer.com/article/10.1007/s00766-014-0205-z</v>
      </c>
      <c r="G1193" s="15" t="str">
        <f ca="1">VLOOKUP(B1193,'ALL DATABASES'!$A$1:$T$2252,3,FALSE)</f>
        <v>Article</v>
      </c>
      <c r="H1193" s="50" t="str">
        <f ca="1">VLOOKUP(B1193,'ALL DATABASES'!$A$1:$T$2252,20,FALSE)</f>
        <v>SPRINGER</v>
      </c>
    </row>
    <row r="1194" spans="1:8" ht="12.75" x14ac:dyDescent="0.2">
      <c r="A1194">
        <v>1193</v>
      </c>
      <c r="B1194" s="15" t="str">
        <f ca="1">IFERROR(__xludf.DUMMYFUNCTION("""COMPUTED_VALUE"""),"Paul Butcher on Fuzz Testing")</f>
        <v>Paul Butcher on Fuzz Testing</v>
      </c>
      <c r="C1194" s="15" t="str">
        <f ca="1">VLOOKUP(B1194,'ALL DATABASES'!$A$1:$T$2252,2,FALSE)</f>
        <v>Winston P</v>
      </c>
      <c r="D1194" s="15">
        <f ca="1">VLOOKUP(B1194,'ALL DATABASES'!$A$1:$T$2252,5,FALSE)</f>
        <v>2022</v>
      </c>
      <c r="E1194" s="55">
        <f ca="1">VLOOKUP(B1194,'ALL DATABASES'!$A$1:$T$2252,10,FALSE)</f>
        <v>44562</v>
      </c>
      <c r="F1194" s="54" t="str">
        <f ca="1">VLOOKUP(B1194,'ALL DATABASES'!$A$1:$T$2252,14,FALSE)</f>
        <v>http://dx.doi.org/10.1109/MS.2021.3118906</v>
      </c>
      <c r="G1194" s="15" t="str">
        <f ca="1">VLOOKUP(B1194,'ALL DATABASES'!$A$1:$T$2252,3,FALSE)</f>
        <v>Journal Article</v>
      </c>
      <c r="H1194" s="50" t="str">
        <f ca="1">VLOOKUP(B1194,'ALL DATABASES'!$A$1:$T$2252,20,FALSE)</f>
        <v>IEEE</v>
      </c>
    </row>
    <row r="1195" spans="1:8" ht="12.75" x14ac:dyDescent="0.2">
      <c r="A1195">
        <v>1194</v>
      </c>
      <c r="B1195" s="15" t="str">
        <f ca="1">IFERROR(__xludf.DUMMYFUNCTION("""COMPUTED_VALUE"""),"PDFFigures 2.0: Mining figures from research papers")</f>
        <v>PDFFigures 2.0: Mining figures from research papers</v>
      </c>
      <c r="C1195" s="15" t="str">
        <f ca="1">VLOOKUP(B1195,'ALL DATABASES'!$A$1:$T$2252,2,FALSE)</f>
        <v>Clark C,Divvala S</v>
      </c>
      <c r="D1195" s="15">
        <f ca="1">VLOOKUP(B1195,'ALL DATABASES'!$A$1:$T$2252,5,FALSE)</f>
        <v>2016</v>
      </c>
      <c r="E1195" s="15">
        <f ca="1">VLOOKUP(B1195,'ALL DATABASES'!$A$1:$T$2252,10,FALSE)</f>
        <v>2016</v>
      </c>
      <c r="F1195" s="54" t="str">
        <f ca="1">VLOOKUP(B1195,'ALL DATABASES'!$A$1:$T$2252,14,FALSE)</f>
        <v>https://www.scopus.com/inward/record.uri?eid=2-s2.0-84989960497&amp;doi=10.1145%2f2910896.2910904&amp;partnerID=40&amp;md5=0fb5f4d318a0d7ba5d6a5a314d6be2f3;http://dx.doi.org/10.1145/2910896.2910904</v>
      </c>
      <c r="G1195" s="15" t="str">
        <f ca="1">VLOOKUP(B1195,'ALL DATABASES'!$A$1:$T$2252,3,FALSE)</f>
        <v>Conference Paper</v>
      </c>
      <c r="H1195" s="50" t="str">
        <f ca="1">VLOOKUP(B1195,'ALL DATABASES'!$A$1:$T$2252,20,FALSE)</f>
        <v>SCOPUS</v>
      </c>
    </row>
    <row r="1196" spans="1:8" ht="12.75" x14ac:dyDescent="0.2">
      <c r="A1196">
        <v>1195</v>
      </c>
      <c r="B1196" s="15" t="str">
        <f ca="1">IFERROR(__xludf.DUMMYFUNCTION("""COMPUTED_VALUE"""),"Perceptions on the Utility of Community Question and Answer Websites Like Stack Overflow to Software Developers")</f>
        <v>Perceptions on the Utility of Community Question and Answer Websites Like Stack Overflow to Software Developers</v>
      </c>
      <c r="C1196" s="15" t="str">
        <f ca="1">VLOOKUP(B1196,'ALL DATABASES'!$A$1:$T$2252,2,FALSE)</f>
        <v>Ndukwe IG,Licorish SA,MacDonell SG</v>
      </c>
      <c r="D1196" s="15">
        <f ca="1">VLOOKUP(B1196,'ALL DATABASES'!$A$1:$T$2252,5,FALSE)</f>
        <v>2022</v>
      </c>
      <c r="E1196" s="15">
        <f ca="1">VLOOKUP(B1196,'ALL DATABASES'!$A$1:$T$2252,10,FALSE)</f>
        <v>2022</v>
      </c>
      <c r="F1196" s="54" t="str">
        <f ca="1">VLOOKUP(B1196,'ALL DATABASES'!$A$1:$T$2252,14,FALSE)</f>
        <v>http://dx.doi.org/10.1109/TSE.2022.3220236</v>
      </c>
      <c r="G1196" s="15" t="str">
        <f ca="1">VLOOKUP(B1196,'ALL DATABASES'!$A$1:$T$2252,3,FALSE)</f>
        <v>Journal Article</v>
      </c>
      <c r="H1196" s="50" t="str">
        <f ca="1">VLOOKUP(B1196,'ALL DATABASES'!$A$1:$T$2252,20,FALSE)</f>
        <v>IEEE</v>
      </c>
    </row>
    <row r="1197" spans="1:8" ht="12.75" x14ac:dyDescent="0.2">
      <c r="A1197">
        <v>1196</v>
      </c>
      <c r="B1197" s="15" t="str">
        <f ca="1">IFERROR(__xludf.DUMMYFUNCTION("""COMPUTED_VALUE"""),"Performance Comprehension at WiredTiger")</f>
        <v>Performance Comprehension at WiredTiger</v>
      </c>
      <c r="C1197" s="15" t="str">
        <f ca="1">VLOOKUP(B1197,'ALL DATABASES'!$A$1:$T$2252,2,FALSE)</f>
        <v>Fedorova A,Mustard C,Beschastnikh I,Rubin J,Wong A,Miucin S,Ye L</v>
      </c>
      <c r="D1197" s="15">
        <f ca="1">VLOOKUP(B1197,'ALL DATABASES'!$A$1:$T$2252,5,FALSE)</f>
        <v>2018</v>
      </c>
      <c r="E1197" s="15">
        <f ca="1">VLOOKUP(B1197,'ALL DATABASES'!$A$1:$T$2252,10,FALSE)</f>
        <v>2018</v>
      </c>
      <c r="F1197" s="54" t="str">
        <f ca="1">VLOOKUP(B1197,'ALL DATABASES'!$A$1:$T$2252,14,FALSE)</f>
        <v>https://doi.org/10.1145/3236024.3236081;http://dx.doi.org/10.1145/3236024.3236081</v>
      </c>
      <c r="G1197" s="15" t="str">
        <f ca="1">VLOOKUP(B1197,'ALL DATABASES'!$A$1:$T$2252,3,FALSE)</f>
        <v>Conference Paper</v>
      </c>
      <c r="H1197" s="50" t="str">
        <f ca="1">VLOOKUP(B1197,'ALL DATABASES'!$A$1:$T$2252,20,FALSE)</f>
        <v>ACM</v>
      </c>
    </row>
    <row r="1198" spans="1:8" ht="12.75" x14ac:dyDescent="0.2">
      <c r="A1198">
        <v>1197</v>
      </c>
      <c r="B1198" s="15" t="str">
        <f ca="1">IFERROR(__xludf.DUMMYFUNCTION("""COMPUTED_VALUE"""),"Performance-portable autotuning of OpenCL kernels for convolutional layers of deep neural networks")</f>
        <v>Performance-portable autotuning of OpenCL kernels for convolutional layers of deep neural networks</v>
      </c>
      <c r="C1198" s="15" t="str">
        <f ca="1">VLOOKUP(B1198,'ALL DATABASES'!$A$1:$T$2252,2,FALSE)</f>
        <v>Tsai YM,Luszczek P,Kurzak J,Dongarra J</v>
      </c>
      <c r="D1198" s="15">
        <f ca="1">VLOOKUP(B1198,'ALL DATABASES'!$A$1:$T$2252,5,FALSE)</f>
        <v>2016</v>
      </c>
      <c r="E1198" s="15">
        <f ca="1">VLOOKUP(B1198,'ALL DATABASES'!$A$1:$T$2252,10,FALSE)</f>
        <v>2016</v>
      </c>
      <c r="F1198" s="54" t="str">
        <f ca="1">VLOOKUP(B1198,'ALL DATABASES'!$A$1:$T$2252,14,FALSE)</f>
        <v>https://www.scopus.com/inward/record.uri?eid=2-s2.0-85015243309&amp;doi=10.1109%2fMLHPC.2016.5&amp;partnerID=40&amp;md5=53b01289abb7fa59831d4d91be1eef23;http://dx.doi.org/10.1109/MLHPC.2016.5</v>
      </c>
      <c r="G1198" s="15" t="str">
        <f ca="1">VLOOKUP(B1198,'ALL DATABASES'!$A$1:$T$2252,3,FALSE)</f>
        <v>Conference Paper</v>
      </c>
      <c r="H1198" s="50" t="str">
        <f ca="1">VLOOKUP(B1198,'ALL DATABASES'!$A$1:$T$2252,20,FALSE)</f>
        <v>SCOPUS</v>
      </c>
    </row>
    <row r="1199" spans="1:8" ht="12.75" x14ac:dyDescent="0.2">
      <c r="A1199">
        <v>1198</v>
      </c>
      <c r="B1199" s="15" t="str">
        <f ca="1">IFERROR(__xludf.DUMMYFUNCTION("""COMPUTED_VALUE"""),"Personality Research and Assessment in the Era of Machine Learning")</f>
        <v>Personality Research and Assessment in the Era of Machine Learning</v>
      </c>
      <c r="C1199" s="15" t="str">
        <f ca="1">VLOOKUP(B1199,'ALL DATABASES'!$A$1:$T$2252,2,FALSE)</f>
        <v>Stachl C,Pargent F,Hilbert S,Harari GM,Schoedel R,Vaid S,Gosling SD,Bühner M</v>
      </c>
      <c r="D1199" s="15">
        <f ca="1">VLOOKUP(B1199,'ALL DATABASES'!$A$1:$T$2252,5,FALSE)</f>
        <v>2020</v>
      </c>
      <c r="E1199" s="15">
        <f ca="1">VLOOKUP(B1199,'ALL DATABASES'!$A$1:$T$2252,10,FALSE)</f>
        <v>2020</v>
      </c>
      <c r="F1199" s="54" t="str">
        <f ca="1">VLOOKUP(B1199,'ALL DATABASES'!$A$1:$T$2252,14,FALSE)</f>
        <v>https://www.scopus.com/inward/record.uri?eid=2-s2.0-85085562707&amp;doi=10.1002%2fper.2257&amp;partnerID=40&amp;md5=3bc73dab710dc511252df487e134dc05;http://dx.doi.org/10.1002/per.2257</v>
      </c>
      <c r="G1199" s="15" t="str">
        <f ca="1">VLOOKUP(B1199,'ALL DATABASES'!$A$1:$T$2252,3,FALSE)</f>
        <v>Journal Article</v>
      </c>
      <c r="H1199" s="50" t="str">
        <f ca="1">VLOOKUP(B1199,'ALL DATABASES'!$A$1:$T$2252,20,FALSE)</f>
        <v>SCOPUS</v>
      </c>
    </row>
    <row r="1200" spans="1:8" ht="12.75" x14ac:dyDescent="0.2">
      <c r="A1200">
        <v>1199</v>
      </c>
      <c r="B1200" s="15" t="str">
        <f ca="1">IFERROR(__xludf.DUMMYFUNCTION("""COMPUTED_VALUE"""),"Pillars for Establishing a Durable and Future-Proof IT Architecture Maturing Along with the NSC: Approaches from Continuous Integration to Service Mesh")</f>
        <v>Pillars for Establishing a Durable and Future-Proof IT Architecture Maturing Along with the NSC: Approaches from Continuous Integration to Service Mesh</v>
      </c>
      <c r="C1200" s="15" t="str">
        <f ca="1">VLOOKUP(B1200,'ALL DATABASES'!$A$1:$T$2252,2,FALSE)</f>
        <v>Bernd KratzFlorian WieduwiltMaxim Saveliev</v>
      </c>
      <c r="D1200" s="15">
        <f ca="1">VLOOKUP(B1200,'ALL DATABASES'!$A$1:$T$2252,5,FALSE)</f>
        <v>2022</v>
      </c>
      <c r="E1200" s="15">
        <f ca="1">VLOOKUP(B1200,'ALL DATABASES'!$A$1:$T$2252,10,FALSE)</f>
        <v>0</v>
      </c>
      <c r="F1200" s="54" t="str">
        <f ca="1">VLOOKUP(B1200,'ALL DATABASES'!$A$1:$T$2252,14,FALSE)</f>
        <v>http://link.springer.com/chapter/10.1007/978-3-030-89902-8_4</v>
      </c>
      <c r="G1200" s="15" t="str">
        <f ca="1">VLOOKUP(B1200,'ALL DATABASES'!$A$1:$T$2252,3,FALSE)</f>
        <v>Chapter</v>
      </c>
      <c r="H1200" s="50" t="str">
        <f ca="1">VLOOKUP(B1200,'ALL DATABASES'!$A$1:$T$2252,20,FALSE)</f>
        <v>SPRINGER</v>
      </c>
    </row>
    <row r="1201" spans="1:8" ht="12.75" x14ac:dyDescent="0.2">
      <c r="A1201">
        <v>1200</v>
      </c>
      <c r="B1201" s="15" t="str">
        <f ca="1">IFERROR(__xludf.DUMMYFUNCTION("""COMPUTED_VALUE"""),"PILOT: Synergy between Text Processing and Neural Networks to Detect Self-Admitted Technical Debt")</f>
        <v>PILOT: Synergy between Text Processing and Neural Networks to Detect Self-Admitted Technical Debt</v>
      </c>
      <c r="C1201" s="15" t="str">
        <f ca="1">VLOOKUP(B1201,'ALL DATABASES'!$A$1:$T$2252,2,FALSE)</f>
        <v>Di Salle A,Rota A,Nguyen PT,Di Ruscio D,Fontana FA,Sala I</v>
      </c>
      <c r="D1201" s="15">
        <f ca="1">VLOOKUP(B1201,'ALL DATABASES'!$A$1:$T$2252,5,FALSE)</f>
        <v>2022</v>
      </c>
      <c r="E1201" s="15">
        <f ca="1">VLOOKUP(B1201,'ALL DATABASES'!$A$1:$T$2252,10,FALSE)</f>
        <v>2022</v>
      </c>
      <c r="F1201" s="54" t="str">
        <f ca="1">VLOOKUP(B1201,'ALL DATABASES'!$A$1:$T$2252,14,FALSE)</f>
        <v>https://doi.org/10.1145/3524843.3528093;http://dx.doi.org/10.1145/3524843.3528093</v>
      </c>
      <c r="G1201" s="15" t="str">
        <f ca="1">VLOOKUP(B1201,'ALL DATABASES'!$A$1:$T$2252,3,FALSE)</f>
        <v>Conference Paper</v>
      </c>
      <c r="H1201" s="50" t="str">
        <f ca="1">VLOOKUP(B1201,'ALL DATABASES'!$A$1:$T$2252,20,FALSE)</f>
        <v>ACM</v>
      </c>
    </row>
    <row r="1202" spans="1:8" ht="12.75" x14ac:dyDescent="0.2">
      <c r="A1202">
        <v>1201</v>
      </c>
      <c r="B1202" s="15" t="str">
        <f ca="1">IFERROR(__xludf.DUMMYFUNCTION("""COMPUTED_VALUE"""),"Pitfalls and guidelines for using time-based Git data")</f>
        <v>Pitfalls and guidelines for using time-based Git data</v>
      </c>
      <c r="C1202" s="15" t="str">
        <f ca="1">VLOOKUP(B1202,'ALL DATABASES'!$A$1:$T$2252,2,FALSE)</f>
        <v>Samuel W. FlintJigyasa ChauhanRobert Dyer</v>
      </c>
      <c r="D1202" s="15">
        <f ca="1">VLOOKUP(B1202,'ALL DATABASES'!$A$1:$T$2252,5,FALSE)</f>
        <v>2022</v>
      </c>
      <c r="E1202" s="15">
        <f ca="1">VLOOKUP(B1202,'ALL DATABASES'!$A$1:$T$2252,10,FALSE)</f>
        <v>0</v>
      </c>
      <c r="F1202" s="54" t="str">
        <f ca="1">VLOOKUP(B1202,'ALL DATABASES'!$A$1:$T$2252,14,FALSE)</f>
        <v>http://link.springer.com/article/10.1007/s10664-022-10200-y</v>
      </c>
      <c r="G1202" s="15" t="str">
        <f ca="1">VLOOKUP(B1202,'ALL DATABASES'!$A$1:$T$2252,3,FALSE)</f>
        <v>Article</v>
      </c>
      <c r="H1202" s="50" t="str">
        <f ca="1">VLOOKUP(B1202,'ALL DATABASES'!$A$1:$T$2252,20,FALSE)</f>
        <v>SPRINGER</v>
      </c>
    </row>
    <row r="1203" spans="1:8" ht="12.75" x14ac:dyDescent="0.2">
      <c r="A1203">
        <v>1202</v>
      </c>
      <c r="B1203" s="15" t="str">
        <f ca="1">IFERROR(__xludf.DUMMYFUNCTION("""COMPUTED_VALUE"""),"Planning for the enhancement of an ad mediation software with machine learning capabilities; [Bir Reklam Arac Yazn Makine Örenmesi Yetenekleriyle yiletirilmesi için Planlama]")</f>
        <v>Planning for the enhancement of an ad mediation software with machine learning capabilities; [Bir Reklam Arac Yazn Makine Örenmesi Yetenekleriyle yiletirilmesi için Planlama]</v>
      </c>
      <c r="C1203" s="15" t="str">
        <f ca="1">VLOOKUP(B1203,'ALL DATABASES'!$A$1:$T$2252,2,FALSE)</f>
        <v>Giray G,Ünalr MO,Çatkka C</v>
      </c>
      <c r="D1203" s="15">
        <f ca="1">VLOOKUP(B1203,'ALL DATABASES'!$A$1:$T$2252,5,FALSE)</f>
        <v>2018</v>
      </c>
      <c r="E1203" s="15">
        <f ca="1">VLOOKUP(B1203,'ALL DATABASES'!$A$1:$T$2252,10,FALSE)</f>
        <v>2018</v>
      </c>
      <c r="F1203" s="54" t="str">
        <f ca="1">VLOOKUP(B1203,'ALL DATABASES'!$A$1:$T$2252,14,FALSE)</f>
        <v>https://www.scopus.com/inward/record.uri?eid=2-s2.0-85060254810&amp;partnerID=40&amp;md5=01ebbc18f8a113b3506a1517367862f0</v>
      </c>
      <c r="G1203" s="15" t="str">
        <f ca="1">VLOOKUP(B1203,'ALL DATABASES'!$A$1:$T$2252,3,FALSE)</f>
        <v>Conference Paper</v>
      </c>
      <c r="H1203" s="50" t="str">
        <f ca="1">VLOOKUP(B1203,'ALL DATABASES'!$A$1:$T$2252,20,FALSE)</f>
        <v>SCOPUS</v>
      </c>
    </row>
    <row r="1204" spans="1:8" ht="12.75" x14ac:dyDescent="0.2">
      <c r="A1204">
        <v>1203</v>
      </c>
      <c r="B1204" s="15" t="str">
        <f ca="1">IFERROR(__xludf.DUMMYFUNCTION("""COMPUTED_VALUE"""),"Practical Data Science with Python 3")</f>
        <v>Practical Data Science with Python 3</v>
      </c>
      <c r="C1204" s="15" t="str">
        <f ca="1">VLOOKUP(B1204,'ALL DATABASES'!$A$1:$T$2252,2,FALSE)</f>
        <v>Ervin Varga</v>
      </c>
      <c r="D1204" s="15">
        <f ca="1">VLOOKUP(B1204,'ALL DATABASES'!$A$1:$T$2252,5,FALSE)</f>
        <v>2019</v>
      </c>
      <c r="E1204" s="15">
        <f ca="1">VLOOKUP(B1204,'ALL DATABASES'!$A$1:$T$2252,10,FALSE)</f>
        <v>0</v>
      </c>
      <c r="F1204" s="54" t="str">
        <f ca="1">VLOOKUP(B1204,'ALL DATABASES'!$A$1:$T$2252,14,FALSE)</f>
        <v>http://link.springer.com/book/10.1007/978-1-4842-4859-1</v>
      </c>
      <c r="G1204" s="15" t="str">
        <f ca="1">VLOOKUP(B1204,'ALL DATABASES'!$A$1:$T$2252,3,FALSE)</f>
        <v>Book</v>
      </c>
      <c r="H1204" s="50" t="str">
        <f ca="1">VLOOKUP(B1204,'ALL DATABASES'!$A$1:$T$2252,20,FALSE)</f>
        <v>SPRINGER</v>
      </c>
    </row>
    <row r="1205" spans="1:8" ht="12.75" x14ac:dyDescent="0.2">
      <c r="A1205">
        <v>1204</v>
      </c>
      <c r="B1205" s="15" t="str">
        <f ca="1">IFERROR(__xludf.DUMMYFUNCTION("""COMPUTED_VALUE"""),"Practical machine learning for cloud intrusion detection challenges and the way forward")</f>
        <v>Practical machine learning for cloud intrusion detection challenges and the way forward</v>
      </c>
      <c r="C1205" s="15" t="str">
        <f ca="1">VLOOKUP(B1205,'ALL DATABASES'!$A$1:$T$2252,2,FALSE)</f>
        <v>Siva Kumar RS,Wicker A,Swann M</v>
      </c>
      <c r="D1205" s="15">
        <f ca="1">VLOOKUP(B1205,'ALL DATABASES'!$A$1:$T$2252,5,FALSE)</f>
        <v>2017</v>
      </c>
      <c r="E1205" s="15">
        <f ca="1">VLOOKUP(B1205,'ALL DATABASES'!$A$1:$T$2252,10,FALSE)</f>
        <v>2017</v>
      </c>
      <c r="F1205" s="54" t="str">
        <f ca="1">VLOOKUP(B1205,'ALL DATABASES'!$A$1:$T$2252,14,FALSE)</f>
        <v>https://www.scopus.com/inward/record.uri?eid=2-s2.0-85037371130&amp;doi=10.1145%2f3128572.3140445&amp;partnerID=40&amp;md5=c6eda95cfe08816b6178fe6e7bec7716;http://dx.doi.org/10.1145/3128572.3140445</v>
      </c>
      <c r="G1205" s="15" t="str">
        <f ca="1">VLOOKUP(B1205,'ALL DATABASES'!$A$1:$T$2252,3,FALSE)</f>
        <v>Conference Paper</v>
      </c>
      <c r="H1205" s="50" t="str">
        <f ca="1">VLOOKUP(B1205,'ALL DATABASES'!$A$1:$T$2252,20,FALSE)</f>
        <v>SCOPUS</v>
      </c>
    </row>
    <row r="1206" spans="1:8" ht="12.75" x14ac:dyDescent="0.2">
      <c r="A1206">
        <v>1205</v>
      </c>
      <c r="B1206" s="15" t="str">
        <f ca="1">IFERROR(__xludf.DUMMYFUNCTION("""COMPUTED_VALUE"""),"Practical relevance of software engineering research: synthesizing the communityâ€™s voice")</f>
        <v>Practical relevance of software engineering research: synthesizing the communityâ€™s voice</v>
      </c>
      <c r="C1206" s="15" t="str">
        <f ca="1">VLOOKUP(B1206,'ALL DATABASES'!$A$1:$T$2252,2,FALSE)</f>
        <v>Vahid GarousiMarkus BorgMarkku Oivo</v>
      </c>
      <c r="D1206" s="15">
        <f ca="1">VLOOKUP(B1206,'ALL DATABASES'!$A$1:$T$2252,5,FALSE)</f>
        <v>2020</v>
      </c>
      <c r="E1206" s="15">
        <f ca="1">VLOOKUP(B1206,'ALL DATABASES'!$A$1:$T$2252,10,FALSE)</f>
        <v>0</v>
      </c>
      <c r="F1206" s="54" t="str">
        <f ca="1">VLOOKUP(B1206,'ALL DATABASES'!$A$1:$T$2252,14,FALSE)</f>
        <v>http://link.springer.com/article/10.1007/s10664-020-09803-0</v>
      </c>
      <c r="G1206" s="15" t="str">
        <f ca="1">VLOOKUP(B1206,'ALL DATABASES'!$A$1:$T$2252,3,FALSE)</f>
        <v>Article</v>
      </c>
      <c r="H1206" s="50" t="str">
        <f ca="1">VLOOKUP(B1206,'ALL DATABASES'!$A$1:$T$2252,20,FALSE)</f>
        <v>SPRINGER</v>
      </c>
    </row>
    <row r="1207" spans="1:8" ht="12.75" x14ac:dyDescent="0.2">
      <c r="A1207">
        <v>1206</v>
      </c>
      <c r="B1207" s="15" t="str">
        <f ca="1">IFERROR(__xludf.DUMMYFUNCTION("""COMPUTED_VALUE"""),"Practices for engineering trustworthy machine learning applications")</f>
        <v>Practices for engineering trustworthy machine learning applications</v>
      </c>
      <c r="C1207" s="15" t="str">
        <f ca="1">VLOOKUP(B1207,'ALL DATABASES'!$A$1:$T$2252,2,FALSE)</f>
        <v>Serban A,Van Der Blom K,Hoos H,Visser J</v>
      </c>
      <c r="D1207" s="15">
        <f ca="1">VLOOKUP(B1207,'ALL DATABASES'!$A$1:$T$2252,5,FALSE)</f>
        <v>2021</v>
      </c>
      <c r="E1207" s="15">
        <f ca="1">VLOOKUP(B1207,'ALL DATABASES'!$A$1:$T$2252,10,FALSE)</f>
        <v>2021</v>
      </c>
      <c r="F1207" s="54" t="str">
        <f ca="1">VLOOKUP(B1207,'ALL DATABASES'!$A$1:$T$2252,14,FALSE)</f>
        <v>https://www.scopus.com/inward/record.uri?eid=2-s2.0-85112118148&amp;doi=10.1109%2fWAIN52551.2021.00021&amp;partnerID=40&amp;md5=bef0767bd5dd2ab693e846ac4e0988d8;http://dx.doi.org/10.1109/WAIN52551.2021.00021</v>
      </c>
      <c r="G1207" s="15" t="str">
        <f ca="1">VLOOKUP(B1207,'ALL DATABASES'!$A$1:$T$2252,3,FALSE)</f>
        <v>Conference Paper</v>
      </c>
      <c r="H1207" s="50" t="str">
        <f ca="1">VLOOKUP(B1207,'ALL DATABASES'!$A$1:$T$2252,20,FALSE)</f>
        <v>SCOPUS</v>
      </c>
    </row>
    <row r="1208" spans="1:8" ht="12.75" x14ac:dyDescent="0.2">
      <c r="A1208">
        <v>1207</v>
      </c>
      <c r="B1208" s="15" t="str">
        <f ca="1">IFERROR(__xludf.DUMMYFUNCTION("""COMPUTED_VALUE"""),"Praxisleitfaden fÃ¼r KÃ¼nstliche Intelligenz in Marketing und Vertrieb")</f>
        <v>Praxisleitfaden fÃ¼r KÃ¼nstliche Intelligenz in Marketing und Vertrieb</v>
      </c>
      <c r="C1208" s="15" t="str">
        <f ca="1">VLOOKUP(B1208,'ALL DATABASES'!$A$1:$T$2252,2,FALSE)</f>
        <v>Laurenz Wuttke</v>
      </c>
      <c r="D1208" s="15">
        <f ca="1">VLOOKUP(B1208,'ALL DATABASES'!$A$1:$T$2252,5,FALSE)</f>
        <v>2022</v>
      </c>
      <c r="E1208" s="15">
        <f ca="1">VLOOKUP(B1208,'ALL DATABASES'!$A$1:$T$2252,10,FALSE)</f>
        <v>0</v>
      </c>
      <c r="F1208" s="54" t="str">
        <f ca="1">VLOOKUP(B1208,'ALL DATABASES'!$A$1:$T$2252,14,FALSE)</f>
        <v>http://link.springer.com/book/10.1007/978-3-658-35626-2</v>
      </c>
      <c r="G1208" s="15" t="str">
        <f ca="1">VLOOKUP(B1208,'ALL DATABASES'!$A$1:$T$2252,3,FALSE)</f>
        <v>Book</v>
      </c>
      <c r="H1208" s="50" t="str">
        <f ca="1">VLOOKUP(B1208,'ALL DATABASES'!$A$1:$T$2252,20,FALSE)</f>
        <v>SPRINGER</v>
      </c>
    </row>
    <row r="1209" spans="1:8" ht="12.75" x14ac:dyDescent="0.2">
      <c r="A1209">
        <v>1208</v>
      </c>
      <c r="B1209" s="15" t="str">
        <f ca="1">IFERROR(__xludf.DUMMYFUNCTION("""COMPUTED_VALUE"""),"Predicting bug-fixing time: A replication study using an open source software project")</f>
        <v>Predicting bug-fixing time: A replication study using an open source software project</v>
      </c>
      <c r="C1209" s="15" t="str">
        <f ca="1">VLOOKUP(B1209,'ALL DATABASES'!$A$1:$T$2252,2,FALSE)</f>
        <v>Akbarinasaji S,Caglayan B,Bener A</v>
      </c>
      <c r="D1209" s="15">
        <f ca="1">VLOOKUP(B1209,'ALL DATABASES'!$A$1:$T$2252,5,FALSE)</f>
        <v>2018</v>
      </c>
      <c r="E1209" s="15">
        <f ca="1">VLOOKUP(B1209,'ALL DATABASES'!$A$1:$T$2252,10,FALSE)</f>
        <v>2018</v>
      </c>
      <c r="F1209" s="54" t="str">
        <f ca="1">VLOOKUP(B1209,'ALL DATABASES'!$A$1:$T$2252,14,FALSE)</f>
        <v>https://www.scopus.com/inward/record.uri?eid=2-s2.0-85014053590&amp;doi=10.1016%2fj.jss.2017.02.021&amp;partnerID=40&amp;md5=247b29b699e29dbd357cf9dc95e3354c;http://dx.doi.org/10.1016/j.jss.2017.02.021</v>
      </c>
      <c r="G1209" s="15" t="str">
        <f ca="1">VLOOKUP(B1209,'ALL DATABASES'!$A$1:$T$2252,3,FALSE)</f>
        <v>Journal Article</v>
      </c>
      <c r="H1209" s="50" t="str">
        <f ca="1">VLOOKUP(B1209,'ALL DATABASES'!$A$1:$T$2252,20,FALSE)</f>
        <v>SCOPUS</v>
      </c>
    </row>
    <row r="1210" spans="1:8" ht="12.75" x14ac:dyDescent="0.2">
      <c r="A1210">
        <v>1209</v>
      </c>
      <c r="B1210" s="15" t="str">
        <f ca="1">IFERROR(__xludf.DUMMYFUNCTION("""COMPUTED_VALUE"""),"Predicting Code Hotspots in Open-Source Software from Object-Oriented Metrics Using Machine Learning")</f>
        <v>Predicting Code Hotspots in Open-Source Software from Object-Oriented Metrics Using Machine Learning</v>
      </c>
      <c r="C1210" s="15" t="str">
        <f ca="1">VLOOKUP(B1210,'ALL DATABASES'!$A$1:$T$2252,2,FALSE)</f>
        <v>Hilton R,Gethner E</v>
      </c>
      <c r="D1210" s="15">
        <f ca="1">VLOOKUP(B1210,'ALL DATABASES'!$A$1:$T$2252,5,FALSE)</f>
        <v>2018</v>
      </c>
      <c r="E1210" s="15">
        <f ca="1">VLOOKUP(B1210,'ALL DATABASES'!$A$1:$T$2252,10,FALSE)</f>
        <v>2018</v>
      </c>
      <c r="F1210" s="54" t="str">
        <f ca="1">VLOOKUP(B1210,'ALL DATABASES'!$A$1:$T$2252,14,FALSE)</f>
        <v>https://www.scopus.com/inward/record.uri?eid=2-s2.0-85044588917&amp;doi=10.1142%2fS0218194018500110&amp;partnerID=40&amp;md5=335e5d58beca7a7c80f3679e24738fad;http://dx.doi.org/10.1142/S0218194018500110</v>
      </c>
      <c r="G1210" s="15" t="str">
        <f ca="1">VLOOKUP(B1210,'ALL DATABASES'!$A$1:$T$2252,3,FALSE)</f>
        <v>Journal Article</v>
      </c>
      <c r="H1210" s="50" t="str">
        <f ca="1">VLOOKUP(B1210,'ALL DATABASES'!$A$1:$T$2252,20,FALSE)</f>
        <v>SCOPUS</v>
      </c>
    </row>
    <row r="1211" spans="1:8" ht="12.75" x14ac:dyDescent="0.2">
      <c r="A1211">
        <v>1210</v>
      </c>
      <c r="B1211" s="15" t="str">
        <f ca="1">IFERROR(__xludf.DUMMYFUNCTION("""COMPUTED_VALUE"""),"Predicting Code Smells and Analysis of Predictions: Using Machine Learning Techniques and Software Metrics")</f>
        <v>Predicting Code Smells and Analysis of Predictions: Using Machine Learning Techniques and Software Metrics</v>
      </c>
      <c r="C1211" s="15" t="str">
        <f ca="1">VLOOKUP(B1211,'ALL DATABASES'!$A$1:$T$2252,2,FALSE)</f>
        <v>Mhawish MY,Gupta M</v>
      </c>
      <c r="D1211" s="15">
        <f ca="1">VLOOKUP(B1211,'ALL DATABASES'!$A$1:$T$2252,5,FALSE)</f>
        <v>2020</v>
      </c>
      <c r="E1211" s="15">
        <f ca="1">VLOOKUP(B1211,'ALL DATABASES'!$A$1:$T$2252,10,FALSE)</f>
        <v>2020</v>
      </c>
      <c r="F1211" s="54" t="str">
        <f ca="1">VLOOKUP(B1211,'ALL DATABASES'!$A$1:$T$2252,14,FALSE)</f>
        <v>https://www.scopus.com/inward/record.uri?eid=2-s2.0-85097228042&amp;doi=10.1007%2fs11390-020-0323-7&amp;partnerID=40&amp;md5=610a2545ea68c1e95fc2dd2c2c6d9fab;http://dx.doi.org/10.1007/s11390-020-0323-7</v>
      </c>
      <c r="G1211" s="15" t="str">
        <f ca="1">VLOOKUP(B1211,'ALL DATABASES'!$A$1:$T$2252,3,FALSE)</f>
        <v>Journal Article</v>
      </c>
      <c r="H1211" s="50" t="str">
        <f ca="1">VLOOKUP(B1211,'ALL DATABASES'!$A$1:$T$2252,20,FALSE)</f>
        <v>SCOPUS</v>
      </c>
    </row>
    <row r="1212" spans="1:8" ht="12.75" x14ac:dyDescent="0.2">
      <c r="A1212">
        <v>1211</v>
      </c>
      <c r="B1212" s="15" t="str">
        <f ca="1">IFERROR(__xludf.DUMMYFUNCTION("""COMPUTED_VALUE"""),"Predicting Community Smells' Occurrence on Individual Developers by Sentiments")</f>
        <v>Predicting Community Smells' Occurrence on Individual Developers by Sentiments</v>
      </c>
      <c r="C1212" s="15" t="str">
        <f ca="1">VLOOKUP(B1212,'ALL DATABASES'!$A$1:$T$2252,2,FALSE)</f>
        <v>Huang Z,Shao Z,Fan G,Gao J,Zhou Z,Yang K,Yang X</v>
      </c>
      <c r="D1212" s="15">
        <f ca="1">VLOOKUP(B1212,'ALL DATABASES'!$A$1:$T$2252,5,FALSE)</f>
        <v>2021</v>
      </c>
      <c r="E1212" s="15">
        <f ca="1">VLOOKUP(B1212,'ALL DATABASES'!$A$1:$T$2252,10,FALSE)</f>
        <v>2021</v>
      </c>
      <c r="F1212" s="54" t="str">
        <f ca="1">VLOOKUP(B1212,'ALL DATABASES'!$A$1:$T$2252,14,FALSE)</f>
        <v>https://www.scopus.com/inward/record.uri?eid=2-s2.0-85113249384&amp;doi=10.1109%2fICPC52881.2021.00030&amp;partnerID=40&amp;md5=4b077e0808597059c1a86172d30efe7a;http://dx.doi.org/10.1109/ICPC52881.2021.00030</v>
      </c>
      <c r="G1212" s="15" t="str">
        <f ca="1">VLOOKUP(B1212,'ALL DATABASES'!$A$1:$T$2252,3,FALSE)</f>
        <v>Conference Paper</v>
      </c>
      <c r="H1212" s="50" t="str">
        <f ca="1">VLOOKUP(B1212,'ALL DATABASES'!$A$1:$T$2252,20,FALSE)</f>
        <v>SCOPUS</v>
      </c>
    </row>
    <row r="1213" spans="1:8" ht="12.75" x14ac:dyDescent="0.2">
      <c r="A1213">
        <v>1212</v>
      </c>
      <c r="B1213" s="15" t="str">
        <f ca="1">IFERROR(__xludf.DUMMYFUNCTION("""COMPUTED_VALUE"""),"Predicting design impactful changes in modern code review: A large-scale empirical study")</f>
        <v>Predicting design impactful changes in modern code review: A large-scale empirical study</v>
      </c>
      <c r="C1213" s="15" t="str">
        <f ca="1">VLOOKUP(B1213,'ALL DATABASES'!$A$1:$T$2252,2,FALSE)</f>
        <v>Uchoa A,Barbosa C,Coutinho D,Oizumi W,Assuncao WK,Vergilio SR,Pereira JA,Oliveira A,Garcia A</v>
      </c>
      <c r="D1213" s="15">
        <f ca="1">VLOOKUP(B1213,'ALL DATABASES'!$A$1:$T$2252,5,FALSE)</f>
        <v>2021</v>
      </c>
      <c r="E1213" s="15">
        <f ca="1">VLOOKUP(B1213,'ALL DATABASES'!$A$1:$T$2252,10,FALSE)</f>
        <v>2021</v>
      </c>
      <c r="F1213" s="54" t="str">
        <f ca="1">VLOOKUP(B1213,'ALL DATABASES'!$A$1:$T$2252,14,FALSE)</f>
        <v>https://www.scopus.com/inward/record.uri?eid=2-s2.0-85113692154&amp;doi=10.1109%2fMSR52588.2021.00059&amp;partnerID=40&amp;md5=e3b61bb3742bb8a903734d99f7ac9a6f;http://dx.doi.org/10.1109/MSR52588.2021.00059</v>
      </c>
      <c r="G1213" s="15" t="str">
        <f ca="1">VLOOKUP(B1213,'ALL DATABASES'!$A$1:$T$2252,3,FALSE)</f>
        <v>Conference Paper</v>
      </c>
      <c r="H1213" s="50" t="str">
        <f ca="1">VLOOKUP(B1213,'ALL DATABASES'!$A$1:$T$2252,20,FALSE)</f>
        <v>SCOPUS</v>
      </c>
    </row>
    <row r="1214" spans="1:8" ht="12.75" x14ac:dyDescent="0.2">
      <c r="A1214">
        <v>1213</v>
      </c>
      <c r="B1214" s="15" t="str">
        <f ca="1">IFERROR(__xludf.DUMMYFUNCTION("""COMPUTED_VALUE"""),"Predicting developers' IDE commands with machine learning")</f>
        <v>Predicting developers' IDE commands with machine learning</v>
      </c>
      <c r="C1214" s="15" t="str">
        <f ca="1">VLOOKUP(B1214,'ALL DATABASES'!$A$1:$T$2252,2,FALSE)</f>
        <v>Bulmer T,Montgomery L,Damian D</v>
      </c>
      <c r="D1214" s="15">
        <f ca="1">VLOOKUP(B1214,'ALL DATABASES'!$A$1:$T$2252,5,FALSE)</f>
        <v>2018</v>
      </c>
      <c r="E1214" s="15">
        <f ca="1">VLOOKUP(B1214,'ALL DATABASES'!$A$1:$T$2252,10,FALSE)</f>
        <v>2018</v>
      </c>
      <c r="F1214" s="54" t="str">
        <f ca="1">VLOOKUP(B1214,'ALL DATABASES'!$A$1:$T$2252,14,FALSE)</f>
        <v>https://www.scopus.com/inward/record.uri?eid=2-s2.0-85051654015&amp;doi=10.1145%2f3196398.3196459&amp;partnerID=40&amp;md5=68ae9396be10178693fabb42ae333235;http://dx.doi.org/10.1145/3196398.3196459</v>
      </c>
      <c r="G1214" s="15" t="str">
        <f ca="1">VLOOKUP(B1214,'ALL DATABASES'!$A$1:$T$2252,3,FALSE)</f>
        <v>Conference Paper</v>
      </c>
      <c r="H1214" s="50" t="str">
        <f ca="1">VLOOKUP(B1214,'ALL DATABASES'!$A$1:$T$2252,20,FALSE)</f>
        <v>SCOPUS</v>
      </c>
    </row>
    <row r="1215" spans="1:8" ht="12.75" x14ac:dyDescent="0.2">
      <c r="A1215">
        <v>1214</v>
      </c>
      <c r="B1215" s="15" t="str">
        <f ca="1">IFERROR(__xludf.DUMMYFUNCTION("""COMPUTED_VALUE"""),"Predicting Node Failures in an Ultra-Large-Scale Cloud Computing Platform")</f>
        <v>Predicting Node Failures in an Ultra-Large-Scale Cloud Computing Platform</v>
      </c>
      <c r="C1215" s="15" t="str">
        <f ca="1">VLOOKUP(B1215,'ALL DATABASES'!$A$1:$T$2252,2,FALSE)</f>
        <v>Li Y,Jiang ZM,Li H,Hassan AE,He C,Huang R,Zeng Z,Wang M,Chen P</v>
      </c>
      <c r="D1215" s="15">
        <f ca="1">VLOOKUP(B1215,'ALL DATABASES'!$A$1:$T$2252,5,FALSE)</f>
        <v>2020</v>
      </c>
      <c r="E1215" s="15">
        <f ca="1">VLOOKUP(B1215,'ALL DATABASES'!$A$1:$T$2252,10,FALSE)</f>
        <v>2020</v>
      </c>
      <c r="F1215" s="54" t="str">
        <f ca="1">VLOOKUP(B1215,'ALL DATABASES'!$A$1:$T$2252,14,FALSE)</f>
        <v>https://www.scopus.com/inward/record.uri?eid=2-s2.0-85084928234&amp;doi=10.1145%2f3385187&amp;partnerID=40&amp;md5=2cdbd4ded79597910530cffb23e1df31;http://dx.doi.org/10.1145/3385187</v>
      </c>
      <c r="G1215" s="15" t="str">
        <f ca="1">VLOOKUP(B1215,'ALL DATABASES'!$A$1:$T$2252,3,FALSE)</f>
        <v>Journal Article</v>
      </c>
      <c r="H1215" s="50" t="str">
        <f ca="1">VLOOKUP(B1215,'ALL DATABASES'!$A$1:$T$2252,20,FALSE)</f>
        <v>SCOPUS</v>
      </c>
    </row>
    <row r="1216" spans="1:8" s="71" customFormat="1" ht="12.75" x14ac:dyDescent="0.2">
      <c r="A1216">
        <v>1215</v>
      </c>
      <c r="B1216" s="68" t="str">
        <f ca="1">IFERROR(__xludf.DUMMYFUNCTION("""COMPUTED_VALUE"""),"Predicting provisioning and booting times in a Metal-as-a-service system")</f>
        <v>Predicting provisioning and booting times in a Metal-as-a-service system</v>
      </c>
      <c r="C1216" s="68" t="str">
        <f ca="1">VLOOKUP(B1216,'ALL DATABASES'!$A$1:$T$2252,2,FALSE)</f>
        <v>Sîrbu A,Pop C,Şerbănescu C,Pop F</v>
      </c>
      <c r="D1216" s="68">
        <f ca="1">VLOOKUP(B1216,'ALL DATABASES'!$A$1:$T$2252,5,FALSE)</f>
        <v>2017</v>
      </c>
      <c r="E1216" s="68">
        <f ca="1">VLOOKUP(B1216,'ALL DATABASES'!$A$1:$T$2252,10,FALSE)</f>
        <v>2017</v>
      </c>
      <c r="F1216" s="69" t="str">
        <f ca="1">VLOOKUP(B1216,'ALL DATABASES'!$A$1:$T$2252,14,FALSE)</f>
        <v>https://www.scopus.com/inward/record.uri?eid=2-s2.0-84995404176&amp;doi=10.1016%2fj.future.2016.07.001&amp;partnerID=40&amp;md5=6e519449c0dce7eb03fba5233bd1cb0e;http://dx.doi.org/10.1016/j.future.2016.07.001</v>
      </c>
      <c r="G1216" s="68" t="str">
        <f ca="1">VLOOKUP(B1216,'ALL DATABASES'!$A$1:$T$2252,3,FALSE)</f>
        <v>Journal Article</v>
      </c>
      <c r="H1216" s="70" t="str">
        <f ca="1">VLOOKUP(B1216,'ALL DATABASES'!$A$1:$T$2252,20,FALSE)</f>
        <v>SCOPUS</v>
      </c>
    </row>
    <row r="1217" spans="1:8" ht="12.75" x14ac:dyDescent="0.2">
      <c r="A1217">
        <v>1216</v>
      </c>
      <c r="B1217" s="15" t="str">
        <f ca="1">IFERROR(__xludf.DUMMYFUNCTION("""COMPUTED_VALUE"""),"Predicting purchasing intent: Automatic feature learning using recurrent neural networks")</f>
        <v>Predicting purchasing intent: Automatic feature learning using recurrent neural networks</v>
      </c>
      <c r="C1217" s="15" t="str">
        <f ca="1">VLOOKUP(B1217,'ALL DATABASES'!$A$1:$T$2252,2,FALSE)</f>
        <v>Sheil H,Rana O,Reilly R</v>
      </c>
      <c r="D1217" s="15">
        <f ca="1">VLOOKUP(B1217,'ALL DATABASES'!$A$1:$T$2252,5,FALSE)</f>
        <v>2018</v>
      </c>
      <c r="E1217" s="15">
        <f ca="1">VLOOKUP(B1217,'ALL DATABASES'!$A$1:$T$2252,10,FALSE)</f>
        <v>2018</v>
      </c>
      <c r="F1217" s="54" t="str">
        <f ca="1">VLOOKUP(B1217,'ALL DATABASES'!$A$1:$T$2252,14,FALSE)</f>
        <v>https://www.scopus.com/inward/record.uri?eid=2-s2.0-85062324873&amp;partnerID=40&amp;md5=362500e663e18919bb737be67017b1ef</v>
      </c>
      <c r="G1217" s="15" t="str">
        <f ca="1">VLOOKUP(B1217,'ALL DATABASES'!$A$1:$T$2252,3,FALSE)</f>
        <v>Conference Paper</v>
      </c>
      <c r="H1217" s="50" t="str">
        <f ca="1">VLOOKUP(B1217,'ALL DATABASES'!$A$1:$T$2252,20,FALSE)</f>
        <v>SCOPUS</v>
      </c>
    </row>
    <row r="1218" spans="1:8" ht="12.75" x14ac:dyDescent="0.2">
      <c r="A1218">
        <v>1217</v>
      </c>
      <c r="B1218" s="15" t="str">
        <f ca="1">IFERROR(__xludf.DUMMYFUNCTION("""COMPUTED_VALUE"""),"Predicting Relative Thresholds for Object Oriented Metrics")</f>
        <v>Predicting Relative Thresholds for Object Oriented Metrics</v>
      </c>
      <c r="C1218" s="15" t="str">
        <f ca="1">VLOOKUP(B1218,'ALL DATABASES'!$A$1:$T$2252,2,FALSE)</f>
        <v>Alhusain S</v>
      </c>
      <c r="D1218" s="15">
        <f ca="1">VLOOKUP(B1218,'ALL DATABASES'!$A$1:$T$2252,5,FALSE)</f>
        <v>2021</v>
      </c>
      <c r="E1218" s="15">
        <f ca="1">VLOOKUP(B1218,'ALL DATABASES'!$A$1:$T$2252,10,FALSE)</f>
        <v>2021</v>
      </c>
      <c r="F1218" s="54" t="str">
        <f ca="1">VLOOKUP(B1218,'ALL DATABASES'!$A$1:$T$2252,14,FALSE)</f>
        <v>https://www.scopus.com/inward/record.uri?eid=2-s2.0-85114787941&amp;doi=10.1109%2fTechDebt52882.2021.00015&amp;partnerID=40&amp;md5=07e01d870b606471858b7d8d55d4f1f8;http://dx.doi.org/10.1109/TechDebt52882.2021.00015</v>
      </c>
      <c r="G1218" s="15" t="str">
        <f ca="1">VLOOKUP(B1218,'ALL DATABASES'!$A$1:$T$2252,3,FALSE)</f>
        <v>Conference Paper</v>
      </c>
      <c r="H1218" s="50" t="str">
        <f ca="1">VLOOKUP(B1218,'ALL DATABASES'!$A$1:$T$2252,20,FALSE)</f>
        <v>SCOPUS</v>
      </c>
    </row>
    <row r="1219" spans="1:8" ht="12.75" x14ac:dyDescent="0.2">
      <c r="A1219">
        <v>1218</v>
      </c>
      <c r="B1219" s="15" t="str">
        <f ca="1">IFERROR(__xludf.DUMMYFUNCTION("""COMPUTED_VALUE"""),"Predicting Software Defects with Explainable Machine Learning")</f>
        <v>Predicting Software Defects with Explainable Machine Learning</v>
      </c>
      <c r="C1219" s="15" t="str">
        <f ca="1">VLOOKUP(B1219,'ALL DATABASES'!$A$1:$T$2252,2,FALSE)</f>
        <v>Santos G,Figueiredo E,Veloso A,Viggiato M,Ziviani N</v>
      </c>
      <c r="D1219" s="15">
        <f ca="1">VLOOKUP(B1219,'ALL DATABASES'!$A$1:$T$2252,5,FALSE)</f>
        <v>2020</v>
      </c>
      <c r="E1219" s="15">
        <f ca="1">VLOOKUP(B1219,'ALL DATABASES'!$A$1:$T$2252,10,FALSE)</f>
        <v>2020</v>
      </c>
      <c r="F1219" s="54" t="str">
        <f ca="1">VLOOKUP(B1219,'ALL DATABASES'!$A$1:$T$2252,14,FALSE)</f>
        <v>https://www.scopus.com/inward/record.uri?eid=2-s2.0-85102859382&amp;doi=10.1145%2f3439961.3439979&amp;partnerID=40&amp;md5=2f0fed42c9599c582f1ea1cf29dfafa1;http://dx.doi.org/10.1145/3439961.3439979</v>
      </c>
      <c r="G1219" s="15" t="str">
        <f ca="1">VLOOKUP(B1219,'ALL DATABASES'!$A$1:$T$2252,3,FALSE)</f>
        <v>Conference Paper</v>
      </c>
      <c r="H1219" s="50" t="str">
        <f ca="1">VLOOKUP(B1219,'ALL DATABASES'!$A$1:$T$2252,20,FALSE)</f>
        <v>SCOPUS</v>
      </c>
    </row>
    <row r="1220" spans="1:8" ht="12.75" x14ac:dyDescent="0.2">
      <c r="A1220">
        <v>1219</v>
      </c>
      <c r="B1220" s="15" t="str">
        <f ca="1">IFERROR(__xludf.DUMMYFUNCTION("""COMPUTED_VALUE"""),"Predicting technical debt from commit contents: reproduction and extension with automated feature selection")</f>
        <v>Predicting technical debt from commit contents: reproduction and extension with automated feature selection</v>
      </c>
      <c r="C1220" s="15" t="str">
        <f ca="1">VLOOKUP(B1220,'ALL DATABASES'!$A$1:$T$2252,2,FALSE)</f>
        <v>Leevi RantalaMika MÃ¤ntylÃ¤</v>
      </c>
      <c r="D1220" s="15">
        <f ca="1">VLOOKUP(B1220,'ALL DATABASES'!$A$1:$T$2252,5,FALSE)</f>
        <v>2020</v>
      </c>
      <c r="E1220" s="15">
        <f ca="1">VLOOKUP(B1220,'ALL DATABASES'!$A$1:$T$2252,10,FALSE)</f>
        <v>0</v>
      </c>
      <c r="F1220" s="54" t="str">
        <f ca="1">VLOOKUP(B1220,'ALL DATABASES'!$A$1:$T$2252,14,FALSE)</f>
        <v>http://link.springer.com/article/10.1007/s11219-020-09520-3</v>
      </c>
      <c r="G1220" s="15" t="str">
        <f ca="1">VLOOKUP(B1220,'ALL DATABASES'!$A$1:$T$2252,3,FALSE)</f>
        <v>Article</v>
      </c>
      <c r="H1220" s="50" t="str">
        <f ca="1">VLOOKUP(B1220,'ALL DATABASES'!$A$1:$T$2252,20,FALSE)</f>
        <v>SPRINGER</v>
      </c>
    </row>
    <row r="1221" spans="1:8" ht="12.75" x14ac:dyDescent="0.2">
      <c r="A1221">
        <v>1220</v>
      </c>
      <c r="B1221" s="15" t="str">
        <f ca="1">IFERROR(__xludf.DUMMYFUNCTION("""COMPUTED_VALUE"""),"Predicting the emergence of community smells using socio-technical metrics: A machine-learning approach")</f>
        <v>Predicting the emergence of community smells using socio-technical metrics: A machine-learning approach</v>
      </c>
      <c r="C1221" s="15" t="str">
        <f ca="1">VLOOKUP(B1221,'ALL DATABASES'!$A$1:$T$2252,2,FALSE)</f>
        <v>Palomba F,Tamburri DA</v>
      </c>
      <c r="D1221" s="15">
        <f ca="1">VLOOKUP(B1221,'ALL DATABASES'!$A$1:$T$2252,5,FALSE)</f>
        <v>2021</v>
      </c>
      <c r="E1221" s="15">
        <f ca="1">VLOOKUP(B1221,'ALL DATABASES'!$A$1:$T$2252,10,FALSE)</f>
        <v>2021</v>
      </c>
      <c r="F1221" s="54" t="str">
        <f ca="1">VLOOKUP(B1221,'ALL DATABASES'!$A$1:$T$2252,14,FALSE)</f>
        <v>https://www.sciencedirect.com/science/article/pii/S0164121220302375;http://dx.doi.org/10.1016/j.jss.2020.110847</v>
      </c>
      <c r="G1221" s="15" t="str">
        <f ca="1">VLOOKUP(B1221,'ALL DATABASES'!$A$1:$T$2252,3,FALSE)</f>
        <v>Journal Article</v>
      </c>
      <c r="H1221" s="50" t="str">
        <f ca="1">VLOOKUP(B1221,'ALL DATABASES'!$A$1:$T$2252,20,FALSE)</f>
        <v>SCIENCEDIRECT</v>
      </c>
    </row>
    <row r="1222" spans="1:8" ht="12.75" x14ac:dyDescent="0.2">
      <c r="A1222">
        <v>1221</v>
      </c>
      <c r="B1222" s="15" t="str">
        <f ca="1">IFERROR(__xludf.DUMMYFUNCTION("""COMPUTED_VALUE"""),"Predicting vulnerable software components via bellwethers")</f>
        <v>Predicting vulnerable software components via bellwethers</v>
      </c>
      <c r="C1222" s="15" t="str">
        <f ca="1">VLOOKUP(B1222,'ALL DATABASES'!$A$1:$T$2252,2,FALSE)</f>
        <v>Kudjo PK,Chen J,Mensah S,Amankwah R</v>
      </c>
      <c r="D1222" s="15">
        <f ca="1">VLOOKUP(B1222,'ALL DATABASES'!$A$1:$T$2252,5,FALSE)</f>
        <v>2019</v>
      </c>
      <c r="E1222" s="15">
        <f ca="1">VLOOKUP(B1222,'ALL DATABASES'!$A$1:$T$2252,10,FALSE)</f>
        <v>2019</v>
      </c>
      <c r="F1222" s="54" t="str">
        <f ca="1">VLOOKUP(B1222,'ALL DATABASES'!$A$1:$T$2252,14,FALSE)</f>
        <v>https://www.scopus.com/inward/record.uri?eid=2-s2.0-85060212333&amp;doi=10.1007%2f978-981-13-5913-2_24&amp;partnerID=40&amp;md5=9d68dfe503ebe0dfdcc2600d7b769c9b;http://dx.doi.org/10.1007/978-981-13-5913-2_24</v>
      </c>
      <c r="G1222" s="15" t="str">
        <f ca="1">VLOOKUP(B1222,'ALL DATABASES'!$A$1:$T$2252,3,FALSE)</f>
        <v>Journal Article</v>
      </c>
      <c r="H1222" s="50" t="str">
        <f ca="1">VLOOKUP(B1222,'ALL DATABASES'!$A$1:$T$2252,20,FALSE)</f>
        <v>SCOPUS</v>
      </c>
    </row>
    <row r="1223" spans="1:8" ht="12.75" x14ac:dyDescent="0.2">
      <c r="A1223">
        <v>1222</v>
      </c>
      <c r="B1223" s="15" t="str">
        <f ca="1">IFERROR(__xludf.DUMMYFUNCTION("""COMPUTED_VALUE"""),"Prediction Of Accuracy On Open Source Java Projects Using Class Level Refactoring")</f>
        <v>Prediction Of Accuracy On Open Source Java Projects Using Class Level Refactoring</v>
      </c>
      <c r="C1223" s="15" t="str">
        <f ca="1">VLOOKUP(B1223,'ALL DATABASES'!$A$1:$T$2252,2,FALSE)</f>
        <v>Patnaik A,Panigrahi R,Padhy N</v>
      </c>
      <c r="D1223" s="15">
        <f ca="1">VLOOKUP(B1223,'ALL DATABASES'!$A$1:$T$2252,5,FALSE)</f>
        <v>2020</v>
      </c>
      <c r="E1223" s="55">
        <f ca="1">VLOOKUP(B1223,'ALL DATABASES'!$A$1:$T$2252,10,FALSE)</f>
        <v>43891</v>
      </c>
      <c r="F1223" s="54" t="str">
        <f ca="1">VLOOKUP(B1223,'ALL DATABASES'!$A$1:$T$2252,14,FALSE)</f>
        <v>http://dx.doi.org/10.1109/ICCSEA49143.2020.9132886</v>
      </c>
      <c r="G1223" s="15" t="str">
        <f ca="1">VLOOKUP(B1223,'ALL DATABASES'!$A$1:$T$2252,3,FALSE)</f>
        <v>Conference Paper</v>
      </c>
      <c r="H1223" s="50" t="str">
        <f ca="1">VLOOKUP(B1223,'ALL DATABASES'!$A$1:$T$2252,20,FALSE)</f>
        <v>IEEE</v>
      </c>
    </row>
    <row r="1224" spans="1:8" ht="12.75" x14ac:dyDescent="0.2">
      <c r="A1224">
        <v>1223</v>
      </c>
      <c r="B1224" s="15" t="str">
        <f ca="1">IFERROR(__xludf.DUMMYFUNCTION("""COMPUTED_VALUE"""),"Predictive Analytics in System Reliability")</f>
        <v>Predictive Analytics in System Reliability</v>
      </c>
      <c r="C1224" s="15" t="str">
        <f ca="1">VLOOKUP(B1224,'ALL DATABASES'!$A$1:$T$2252,2,FALSE)</f>
        <v>Vijay KumarHoang Pham</v>
      </c>
      <c r="D1224" s="15">
        <f ca="1">VLOOKUP(B1224,'ALL DATABASES'!$A$1:$T$2252,5,FALSE)</f>
        <v>2023</v>
      </c>
      <c r="E1224" s="15">
        <f ca="1">VLOOKUP(B1224,'ALL DATABASES'!$A$1:$T$2252,10,FALSE)</f>
        <v>0</v>
      </c>
      <c r="F1224" s="54" t="str">
        <f ca="1">VLOOKUP(B1224,'ALL DATABASES'!$A$1:$T$2252,14,FALSE)</f>
        <v>http://link.springer.com/book/10.1007/978-3-031-05347-4</v>
      </c>
      <c r="G1224" s="15" t="str">
        <f ca="1">VLOOKUP(B1224,'ALL DATABASES'!$A$1:$T$2252,3,FALSE)</f>
        <v>Book</v>
      </c>
      <c r="H1224" s="50" t="str">
        <f ca="1">VLOOKUP(B1224,'ALL DATABASES'!$A$1:$T$2252,20,FALSE)</f>
        <v>SPRINGER</v>
      </c>
    </row>
    <row r="1225" spans="1:8" ht="12.75" x14ac:dyDescent="0.2">
      <c r="A1225">
        <v>1224</v>
      </c>
      <c r="B1225" s="15" t="str">
        <f ca="1">IFERROR(__xludf.DUMMYFUNCTION("""COMPUTED_VALUE"""),"Predictive Models in Software Engineering: Challenges and Opportunities")</f>
        <v>Predictive Models in Software Engineering: Challenges and Opportunities</v>
      </c>
      <c r="C1225" s="15" t="str">
        <f ca="1">VLOOKUP(B1225,'ALL DATABASES'!$A$1:$T$2252,2,FALSE)</f>
        <v>Yang Y,Xia X,Lo D,Bi T,Grundy J,Yang X</v>
      </c>
      <c r="D1225" s="15">
        <f ca="1">VLOOKUP(B1225,'ALL DATABASES'!$A$1:$T$2252,5,FALSE)</f>
        <v>2022</v>
      </c>
      <c r="E1225" s="55">
        <f ca="1">VLOOKUP(B1225,'ALL DATABASES'!$A$1:$T$2252,10,FALSE)</f>
        <v>44652</v>
      </c>
      <c r="F1225" s="54" t="str">
        <f ca="1">VLOOKUP(B1225,'ALL DATABASES'!$A$1:$T$2252,14,FALSE)</f>
        <v>https://doi.org/10.1145/3503509;http://dx.doi.org/10.1145/3503509</v>
      </c>
      <c r="G1225" s="15" t="str">
        <f ca="1">VLOOKUP(B1225,'ALL DATABASES'!$A$1:$T$2252,3,FALSE)</f>
        <v>Journal Article</v>
      </c>
      <c r="H1225" s="50" t="str">
        <f ca="1">VLOOKUP(B1225,'ALL DATABASES'!$A$1:$T$2252,20,FALSE)</f>
        <v>ACM</v>
      </c>
    </row>
    <row r="1226" spans="1:8" ht="12.75" x14ac:dyDescent="0.2">
      <c r="A1226">
        <v>1225</v>
      </c>
      <c r="B1226" s="15" t="str">
        <f ca="1">IFERROR(__xludf.DUMMYFUNCTION("""COMPUTED_VALUE"""),"Prescriptive and Descriptive Approaches to Machine-Learning Transparency")</f>
        <v>Prescriptive and Descriptive Approaches to Machine-Learning Transparency</v>
      </c>
      <c r="C1226" s="15" t="str">
        <f ca="1">VLOOKUP(B1226,'ALL DATABASES'!$A$1:$T$2252,2,FALSE)</f>
        <v>Adkins D,Alsallakh B,Cheema A,Kokhlikyan N,McReynolds E,Mishra P,Procope C,Sawruk J,Wang E,Zvyagina P</v>
      </c>
      <c r="D1226" s="15">
        <f ca="1">VLOOKUP(B1226,'ALL DATABASES'!$A$1:$T$2252,5,FALSE)</f>
        <v>2022</v>
      </c>
      <c r="E1226" s="15">
        <f ca="1">VLOOKUP(B1226,'ALL DATABASES'!$A$1:$T$2252,10,FALSE)</f>
        <v>2022</v>
      </c>
      <c r="F1226" s="54" t="str">
        <f ca="1">VLOOKUP(B1226,'ALL DATABASES'!$A$1:$T$2252,14,FALSE)</f>
        <v>https://www.scopus.com/inward/record.uri?eid=2-s2.0-85129765694&amp;doi=10.1145%2f3491101.3519724&amp;partnerID=40&amp;md5=78845bac017e1f1e34591118a2c1221c;http://dx.doi.org/10.1145/3491101.3519724</v>
      </c>
      <c r="G1226" s="15" t="str">
        <f ca="1">VLOOKUP(B1226,'ALL DATABASES'!$A$1:$T$2252,3,FALSE)</f>
        <v>Conference Paper</v>
      </c>
      <c r="H1226" s="50" t="str">
        <f ca="1">VLOOKUP(B1226,'ALL DATABASES'!$A$1:$T$2252,20,FALSE)</f>
        <v>SCOPUS</v>
      </c>
    </row>
    <row r="1227" spans="1:8" ht="12.75" x14ac:dyDescent="0.2">
      <c r="A1227">
        <v>1226</v>
      </c>
      <c r="B1227" s="15" t="str">
        <f ca="1">IFERROR(__xludf.DUMMYFUNCTION("""COMPUTED_VALUE"""),"Preserving Privacy in the Globalized Smart Home: The SIFIS-Home Project")</f>
        <v>Preserving Privacy in the Globalized Smart Home: The SIFIS-Home Project</v>
      </c>
      <c r="C1227" s="15" t="str">
        <f ca="1">VLOOKUP(B1227,'ALL DATABASES'!$A$1:$T$2252,2,FALSE)</f>
        <v>Ardito L,Barbato L,Mori P,Saracino A</v>
      </c>
      <c r="D1227" s="15">
        <f ca="1">VLOOKUP(B1227,'ALL DATABASES'!$A$1:$T$2252,5,FALSE)</f>
        <v>2022</v>
      </c>
      <c r="E1227" s="55">
        <f ca="1">VLOOKUP(B1227,'ALL DATABASES'!$A$1:$T$2252,10,FALSE)</f>
        <v>44562</v>
      </c>
      <c r="F1227" s="54" t="str">
        <f ca="1">VLOOKUP(B1227,'ALL DATABASES'!$A$1:$T$2252,14,FALSE)</f>
        <v>http://dx.doi.org/10.1109/MSEC.2021.3118561</v>
      </c>
      <c r="G1227" s="15" t="str">
        <f ca="1">VLOOKUP(B1227,'ALL DATABASES'!$A$1:$T$2252,3,FALSE)</f>
        <v>Journal Article</v>
      </c>
      <c r="H1227" s="50" t="str">
        <f ca="1">VLOOKUP(B1227,'ALL DATABASES'!$A$1:$T$2252,20,FALSE)</f>
        <v>IEEE</v>
      </c>
    </row>
    <row r="1228" spans="1:8" ht="12.75" x14ac:dyDescent="0.2">
      <c r="A1228">
        <v>1227</v>
      </c>
      <c r="B1228" s="15" t="str">
        <f ca="1">IFERROR(__xludf.DUMMYFUNCTION("""COMPUTED_VALUE"""),"Prevalence, Contents and Automatic Detection of KL-SATD")</f>
        <v>Prevalence, Contents and Automatic Detection of KL-SATD</v>
      </c>
      <c r="C1228" s="15" t="str">
        <f ca="1">VLOOKUP(B1228,'ALL DATABASES'!$A$1:$T$2252,2,FALSE)</f>
        <v>Rantala L,Mantyla M,Lo D</v>
      </c>
      <c r="D1228" s="15">
        <f ca="1">VLOOKUP(B1228,'ALL DATABASES'!$A$1:$T$2252,5,FALSE)</f>
        <v>2020</v>
      </c>
      <c r="E1228" s="15">
        <f ca="1">VLOOKUP(B1228,'ALL DATABASES'!$A$1:$T$2252,10,FALSE)</f>
        <v>2020</v>
      </c>
      <c r="F1228" s="54" t="str">
        <f ca="1">VLOOKUP(B1228,'ALL DATABASES'!$A$1:$T$2252,14,FALSE)</f>
        <v>https://www.scopus.com/inward/record.uri?eid=2-s2.0-85096567372&amp;doi=10.1109%2fSEAA51224.2020.00069&amp;partnerID=40&amp;md5=fa864c8485e6cb62bd4f1b41b258269e;http://dx.doi.org/10.1109/SEAA51224.2020.00069</v>
      </c>
      <c r="G1228" s="15" t="str">
        <f ca="1">VLOOKUP(B1228,'ALL DATABASES'!$A$1:$T$2252,3,FALSE)</f>
        <v>Conference Paper</v>
      </c>
      <c r="H1228" s="50" t="str">
        <f ca="1">VLOOKUP(B1228,'ALL DATABASES'!$A$1:$T$2252,20,FALSE)</f>
        <v>SCOPUS</v>
      </c>
    </row>
    <row r="1229" spans="1:8" ht="12.75" x14ac:dyDescent="0.2">
      <c r="A1229">
        <v>1228</v>
      </c>
      <c r="B1229" s="15" t="str">
        <f ca="1">IFERROR(__xludf.DUMMYFUNCTION("""COMPUTED_VALUE"""),"Principles for Security")</f>
        <v>Principles for Security</v>
      </c>
      <c r="C1229" s="15" t="str">
        <f ca="1">VLOOKUP(B1229,'ALL DATABASES'!$A$1:$T$2252,2,FALSE)</f>
        <v>Frank J. Furrer</v>
      </c>
      <c r="D1229" s="15">
        <f ca="1">VLOOKUP(B1229,'ALL DATABASES'!$A$1:$T$2252,5,FALSE)</f>
        <v>2022</v>
      </c>
      <c r="E1229" s="15">
        <f ca="1">VLOOKUP(B1229,'ALL DATABASES'!$A$1:$T$2252,10,FALSE)</f>
        <v>0</v>
      </c>
      <c r="F1229" s="54" t="str">
        <f ca="1">VLOOKUP(B1229,'ALL DATABASES'!$A$1:$T$2252,14,FALSE)</f>
        <v>http://link.springer.com/chapter/10.1007/978-3-658-37182-1_11</v>
      </c>
      <c r="G1229" s="15" t="str">
        <f ca="1">VLOOKUP(B1229,'ALL DATABASES'!$A$1:$T$2252,3,FALSE)</f>
        <v>Chapter</v>
      </c>
      <c r="H1229" s="50" t="str">
        <f ca="1">VLOOKUP(B1229,'ALL DATABASES'!$A$1:$T$2252,20,FALSE)</f>
        <v>SPRINGER</v>
      </c>
    </row>
    <row r="1230" spans="1:8" ht="12.75" x14ac:dyDescent="0.2">
      <c r="A1230">
        <v>1229</v>
      </c>
      <c r="B1230" s="15" t="str">
        <f ca="1">IFERROR(__xludf.DUMMYFUNCTION("""COMPUTED_VALUE"""),"Prioritization of god class design smell: A multi-criteria based approach")</f>
        <v>Prioritization of god class design smell: A multi-criteria based approach</v>
      </c>
      <c r="C1230" s="15" t="str">
        <f ca="1">VLOOKUP(B1230,'ALL DATABASES'!$A$1:$T$2252,2,FALSE)</f>
        <v>Alkharabsheh K,Alawadi S,Ignaim K,Zanoon N,Crespo Y,Manso E,Taboada JA</v>
      </c>
      <c r="D1230" s="15">
        <f ca="1">VLOOKUP(B1230,'ALL DATABASES'!$A$1:$T$2252,5,FALSE)</f>
        <v>2022</v>
      </c>
      <c r="E1230" s="15">
        <f ca="1">VLOOKUP(B1230,'ALL DATABASES'!$A$1:$T$2252,10,FALSE)</f>
        <v>2022</v>
      </c>
      <c r="F1230" s="54" t="str">
        <f ca="1">VLOOKUP(B1230,'ALL DATABASES'!$A$1:$T$2252,14,FALSE)</f>
        <v>https://www.scopus.com/inward/record.uri?eid=2-s2.0-85139724292&amp;doi=10.1016%2fj.jksuci.2022.09.011&amp;partnerID=40&amp;md5=8e0853d562e8df7a8e1c751e9bebddee;http://dx.doi.org/10.1016/j.jksuci.2022.09.011</v>
      </c>
      <c r="G1230" s="15" t="str">
        <f ca="1">VLOOKUP(B1230,'ALL DATABASES'!$A$1:$T$2252,3,FALSE)</f>
        <v>Journal Article</v>
      </c>
      <c r="H1230" s="50" t="str">
        <f ca="1">VLOOKUP(B1230,'ALL DATABASES'!$A$1:$T$2252,20,FALSE)</f>
        <v>SCOPUS</v>
      </c>
    </row>
    <row r="1231" spans="1:8" ht="12.75" x14ac:dyDescent="0.2">
      <c r="A1231">
        <v>1230</v>
      </c>
      <c r="B1231" s="15" t="str">
        <f ca="1">IFERROR(__xludf.DUMMYFUNCTION("""COMPUTED_VALUE"""),"Prioritize Technical Debt in Large-Scale Systems Using Codescene")</f>
        <v>Prioritize Technical Debt in Large-Scale Systems Using Codescene</v>
      </c>
      <c r="C1231" s="15" t="str">
        <f ca="1">VLOOKUP(B1231,'ALL DATABASES'!$A$1:$T$2252,2,FALSE)</f>
        <v>Tornhill A</v>
      </c>
      <c r="D1231" s="15">
        <f ca="1">VLOOKUP(B1231,'ALL DATABASES'!$A$1:$T$2252,5,FALSE)</f>
        <v>2018</v>
      </c>
      <c r="E1231" s="15">
        <f ca="1">VLOOKUP(B1231,'ALL DATABASES'!$A$1:$T$2252,10,FALSE)</f>
        <v>2018</v>
      </c>
      <c r="F1231" s="54" t="str">
        <f ca="1">VLOOKUP(B1231,'ALL DATABASES'!$A$1:$T$2252,14,FALSE)</f>
        <v>https://doi.org/10.1145/3194164.3194187;http://dx.doi.org/10.1145/3194164.3194187</v>
      </c>
      <c r="G1231" s="15" t="str">
        <f ca="1">VLOOKUP(B1231,'ALL DATABASES'!$A$1:$T$2252,3,FALSE)</f>
        <v>Conference Paper</v>
      </c>
      <c r="H1231" s="50" t="str">
        <f ca="1">VLOOKUP(B1231,'ALL DATABASES'!$A$1:$T$2252,20,FALSE)</f>
        <v>ACM</v>
      </c>
    </row>
    <row r="1232" spans="1:8" ht="12.75" x14ac:dyDescent="0.2">
      <c r="A1232">
        <v>1231</v>
      </c>
      <c r="B1232" s="15" t="str">
        <f ca="1">IFERROR(__xludf.DUMMYFUNCTION("""COMPUTED_VALUE"""),"Prioritizing Lingering Bugs")</f>
        <v>Prioritizing Lingering Bugs</v>
      </c>
      <c r="C1232" s="15" t="str">
        <f ca="1">VLOOKUP(B1232,'ALL DATABASES'!$A$1:$T$2252,2,FALSE)</f>
        <v>Akbarinasaji S</v>
      </c>
      <c r="D1232" s="15">
        <f ca="1">VLOOKUP(B1232,'ALL DATABASES'!$A$1:$T$2252,5,FALSE)</f>
        <v>2018</v>
      </c>
      <c r="E1232" s="55">
        <f ca="1">VLOOKUP(B1232,'ALL DATABASES'!$A$1:$T$2252,10,FALSE)</f>
        <v>43160</v>
      </c>
      <c r="F1232" s="54" t="str">
        <f ca="1">VLOOKUP(B1232,'ALL DATABASES'!$A$1:$T$2252,14,FALSE)</f>
        <v>https://doi.org/10.1145/3178315.3178326;http://dx.doi.org/10.1145/3178315.3178326</v>
      </c>
      <c r="G1232" s="15" t="str">
        <f ca="1">VLOOKUP(B1232,'ALL DATABASES'!$A$1:$T$2252,3,FALSE)</f>
        <v>Journal Article</v>
      </c>
      <c r="H1232" s="50" t="str">
        <f ca="1">VLOOKUP(B1232,'ALL DATABASES'!$A$1:$T$2252,20,FALSE)</f>
        <v>ACM</v>
      </c>
    </row>
    <row r="1233" spans="1:8" ht="12.75" x14ac:dyDescent="0.2">
      <c r="A1233">
        <v>1232</v>
      </c>
      <c r="B1233" s="15" t="str">
        <f ca="1">IFERROR(__xludf.DUMMYFUNCTION("""COMPUTED_VALUE"""),"Prioritizing Python Code Smells for Efficient Refactoring Using Multi-criteria Decision-Making Approach")</f>
        <v>Prioritizing Python Code Smells for Efficient Refactoring Using Multi-criteria Decision-Making Approach</v>
      </c>
      <c r="C1233" s="15" t="str">
        <f ca="1">VLOOKUP(B1233,'ALL DATABASES'!$A$1:$T$2252,2,FALSE)</f>
        <v>Aakanshi GuptaDeepanshu SharmaKritika Phulli</v>
      </c>
      <c r="D1233" s="15">
        <f ca="1">VLOOKUP(B1233,'ALL DATABASES'!$A$1:$T$2252,5,FALSE)</f>
        <v>2022</v>
      </c>
      <c r="E1233" s="15">
        <f ca="1">VLOOKUP(B1233,'ALL DATABASES'!$A$1:$T$2252,10,FALSE)</f>
        <v>0</v>
      </c>
      <c r="F1233" s="54" t="str">
        <f ca="1">VLOOKUP(B1233,'ALL DATABASES'!$A$1:$T$2252,14,FALSE)</f>
        <v>http://link.springer.com/chapter/10.1007/978-981-16-2594-7_9</v>
      </c>
      <c r="G1233" s="15" t="str">
        <f ca="1">VLOOKUP(B1233,'ALL DATABASES'!$A$1:$T$2252,3,FALSE)</f>
        <v>Chapter</v>
      </c>
      <c r="H1233" s="50" t="str">
        <f ca="1">VLOOKUP(B1233,'ALL DATABASES'!$A$1:$T$2252,20,FALSE)</f>
        <v>SPRINGER</v>
      </c>
    </row>
    <row r="1234" spans="1:8" ht="12.75" x14ac:dyDescent="0.2">
      <c r="A1234">
        <v>1233</v>
      </c>
      <c r="B1234" s="15" t="str">
        <f ca="1">IFERROR(__xludf.DUMMYFUNCTION("""COMPUTED_VALUE"""),"Prioritizing Software Components Risk: Towards a Machine Learning-Based Approach")</f>
        <v>Prioritizing Software Components Risk: Towards a Machine Learning-Based Approach</v>
      </c>
      <c r="C1234" s="15" t="str">
        <f ca="1">VLOOKUP(B1234,'ALL DATABASES'!$A$1:$T$2252,2,FALSE)</f>
        <v>BenIdris M,Ammar H,Dzielski D,Benamer WH</v>
      </c>
      <c r="D1234" s="15">
        <f ca="1">VLOOKUP(B1234,'ALL DATABASES'!$A$1:$T$2252,5,FALSE)</f>
        <v>2020</v>
      </c>
      <c r="E1234" s="15">
        <f ca="1">VLOOKUP(B1234,'ALL DATABASES'!$A$1:$T$2252,10,FALSE)</f>
        <v>2020</v>
      </c>
      <c r="F1234" s="54" t="str">
        <f ca="1">VLOOKUP(B1234,'ALL DATABASES'!$A$1:$T$2252,14,FALSE)</f>
        <v>https://doi.org/10.1145/3410352.3410730;http://dx.doi.org/10.1145/3410352.3410730</v>
      </c>
      <c r="G1234" s="15" t="str">
        <f ca="1">VLOOKUP(B1234,'ALL DATABASES'!$A$1:$T$2252,3,FALSE)</f>
        <v>Conference Paper</v>
      </c>
      <c r="H1234" s="50" t="str">
        <f ca="1">VLOOKUP(B1234,'ALL DATABASES'!$A$1:$T$2252,20,FALSE)</f>
        <v>ACM</v>
      </c>
    </row>
    <row r="1235" spans="1:8" ht="12.75" x14ac:dyDescent="0.2">
      <c r="A1235">
        <v>1234</v>
      </c>
      <c r="B1235" s="15" t="str">
        <f ca="1">IFERROR(__xludf.DUMMYFUNCTION("""COMPUTED_VALUE"""),"Privacy and Identity Management. Data for Better Living: AI and Privacy")</f>
        <v>Privacy and Identity Management. Data for Better Living: AI and Privacy</v>
      </c>
      <c r="C1235" s="15" t="str">
        <f ca="1">VLOOKUP(B1235,'ALL DATABASES'!$A$1:$T$2252,2,FALSE)</f>
        <v>Dr. Michael FriedewaldMelek Ã–nenProf. Dr. Eva LievensStephan KrennSamuel Fricker</v>
      </c>
      <c r="D1235" s="15">
        <f ca="1">VLOOKUP(B1235,'ALL DATABASES'!$A$1:$T$2252,5,FALSE)</f>
        <v>2020</v>
      </c>
      <c r="E1235" s="15">
        <f ca="1">VLOOKUP(B1235,'ALL DATABASES'!$A$1:$T$2252,10,FALSE)</f>
        <v>0</v>
      </c>
      <c r="F1235" s="54" t="str">
        <f ca="1">VLOOKUP(B1235,'ALL DATABASES'!$A$1:$T$2252,14,FALSE)</f>
        <v>http://link.springer.com/book/10.1007/978-3-030-42504-3</v>
      </c>
      <c r="G1235" s="15" t="str">
        <f ca="1">VLOOKUP(B1235,'ALL DATABASES'!$A$1:$T$2252,3,FALSE)</f>
        <v>Book</v>
      </c>
      <c r="H1235" s="50" t="str">
        <f ca="1">VLOOKUP(B1235,'ALL DATABASES'!$A$1:$T$2252,20,FALSE)</f>
        <v>SPRINGER</v>
      </c>
    </row>
    <row r="1236" spans="1:8" ht="12.75" x14ac:dyDescent="0.2">
      <c r="A1236">
        <v>1235</v>
      </c>
      <c r="B1236" s="15" t="str">
        <f ca="1">IFERROR(__xludf.DUMMYFUNCTION("""COMPUTED_VALUE"""),"Pro Data Visualization Using R and JavaScript")</f>
        <v>Pro Data Visualization Using R and JavaScript</v>
      </c>
      <c r="C1236" s="15" t="str">
        <f ca="1">VLOOKUP(B1236,'ALL DATABASES'!$A$1:$T$2252,2,FALSE)</f>
        <v>Tom BarkerJon Westfall</v>
      </c>
      <c r="D1236" s="15">
        <f ca="1">VLOOKUP(B1236,'ALL DATABASES'!$A$1:$T$2252,5,FALSE)</f>
        <v>2022</v>
      </c>
      <c r="E1236" s="15">
        <f ca="1">VLOOKUP(B1236,'ALL DATABASES'!$A$1:$T$2252,10,FALSE)</f>
        <v>0</v>
      </c>
      <c r="F1236" s="54" t="str">
        <f ca="1">VLOOKUP(B1236,'ALL DATABASES'!$A$1:$T$2252,14,FALSE)</f>
        <v>http://link.springer.com/book/10.1007/978-1-4842-7202-2</v>
      </c>
      <c r="G1236" s="15" t="str">
        <f ca="1">VLOOKUP(B1236,'ALL DATABASES'!$A$1:$T$2252,3,FALSE)</f>
        <v>Book</v>
      </c>
      <c r="H1236" s="50" t="str">
        <f ca="1">VLOOKUP(B1236,'ALL DATABASES'!$A$1:$T$2252,20,FALSE)</f>
        <v>SPRINGER</v>
      </c>
    </row>
    <row r="1237" spans="1:8" ht="12.75" x14ac:dyDescent="0.2">
      <c r="A1237">
        <v>1236</v>
      </c>
      <c r="B1237" s="15" t="str">
        <f ca="1">IFERROR(__xludf.DUMMYFUNCTION("""COMPUTED_VALUE"""),"Pro Microservices in .NET 6")</f>
        <v>Pro Microservices in .NET 6</v>
      </c>
      <c r="C1237" s="15" t="str">
        <f ca="1">VLOOKUP(B1237,'ALL DATABASES'!$A$1:$T$2252,2,FALSE)</f>
        <v>Sean WhitesellRob RichardsonMatthew D. Groves</v>
      </c>
      <c r="D1237" s="15">
        <f ca="1">VLOOKUP(B1237,'ALL DATABASES'!$A$1:$T$2252,5,FALSE)</f>
        <v>2022</v>
      </c>
      <c r="E1237" s="15">
        <f ca="1">VLOOKUP(B1237,'ALL DATABASES'!$A$1:$T$2252,10,FALSE)</f>
        <v>0</v>
      </c>
      <c r="F1237" s="54" t="str">
        <f ca="1">VLOOKUP(B1237,'ALL DATABASES'!$A$1:$T$2252,14,FALSE)</f>
        <v>http://link.springer.com/book/10.1007/978-1-4842-7833-8</v>
      </c>
      <c r="G1237" s="15" t="str">
        <f ca="1">VLOOKUP(B1237,'ALL DATABASES'!$A$1:$T$2252,3,FALSE)</f>
        <v>Book</v>
      </c>
      <c r="H1237" s="50" t="str">
        <f ca="1">VLOOKUP(B1237,'ALL DATABASES'!$A$1:$T$2252,20,FALSE)</f>
        <v>SPRINGER</v>
      </c>
    </row>
    <row r="1238" spans="1:8" ht="12.75" x14ac:dyDescent="0.2">
      <c r="A1238">
        <v>1237</v>
      </c>
      <c r="B1238" s="15" t="str">
        <f ca="1">IFERROR(__xludf.DUMMYFUNCTION("""COMPUTED_VALUE"""),"Pro Oracle SQL Development")</f>
        <v>Pro Oracle SQL Development</v>
      </c>
      <c r="C1238" s="15" t="str">
        <f ca="1">VLOOKUP(B1238,'ALL DATABASES'!$A$1:$T$2252,2,FALSE)</f>
        <v>Jon Heller</v>
      </c>
      <c r="D1238" s="15">
        <f ca="1">VLOOKUP(B1238,'ALL DATABASES'!$A$1:$T$2252,5,FALSE)</f>
        <v>2023</v>
      </c>
      <c r="E1238" s="15">
        <f ca="1">VLOOKUP(B1238,'ALL DATABASES'!$A$1:$T$2252,10,FALSE)</f>
        <v>0</v>
      </c>
      <c r="F1238" s="54" t="str">
        <f ca="1">VLOOKUP(B1238,'ALL DATABASES'!$A$1:$T$2252,14,FALSE)</f>
        <v>http://link.springer.com/book/10.1007/978-1-4842-8867-2</v>
      </c>
      <c r="G1238" s="15" t="str">
        <f ca="1">VLOOKUP(B1238,'ALL DATABASES'!$A$1:$T$2252,3,FALSE)</f>
        <v>Book</v>
      </c>
      <c r="H1238" s="50" t="str">
        <f ca="1">VLOOKUP(B1238,'ALL DATABASES'!$A$1:$T$2252,20,FALSE)</f>
        <v>SPRINGER</v>
      </c>
    </row>
    <row r="1239" spans="1:8" ht="12.75" x14ac:dyDescent="0.2">
      <c r="A1239">
        <v>1238</v>
      </c>
      <c r="B1239" s="15" t="str">
        <f ca="1">IFERROR(__xludf.DUMMYFUNCTION("""COMPUTED_VALUE"""),"Proceedings of Sixth International Congress on Information and Communication Technology")</f>
        <v>Proceedings of Sixth International Congress on Information and Communication Technology</v>
      </c>
      <c r="C1239" s="15" t="str">
        <f ca="1">VLOOKUP(B1239,'ALL DATABASES'!$A$1:$T$2252,2,FALSE)</f>
        <v>Dr. Xin-She YangDr. Simon SherrattDr. Nilanjan DeyDr. Amit Joshi</v>
      </c>
      <c r="D1239" s="15">
        <f ca="1">VLOOKUP(B1239,'ALL DATABASES'!$A$1:$T$2252,5,FALSE)</f>
        <v>2022</v>
      </c>
      <c r="E1239" s="15">
        <f ca="1">VLOOKUP(B1239,'ALL DATABASES'!$A$1:$T$2252,10,FALSE)</f>
        <v>0</v>
      </c>
      <c r="F1239" s="54" t="str">
        <f ca="1">VLOOKUP(B1239,'ALL DATABASES'!$A$1:$T$2252,14,FALSE)</f>
        <v>http://link.springer.com/book/10.1007/978-981-16-2102-4</v>
      </c>
      <c r="G1239" s="15" t="str">
        <f ca="1">VLOOKUP(B1239,'ALL DATABASES'!$A$1:$T$2252,3,FALSE)</f>
        <v>Book</v>
      </c>
      <c r="H1239" s="50" t="str">
        <f ca="1">VLOOKUP(B1239,'ALL DATABASES'!$A$1:$T$2252,20,FALSE)</f>
        <v>SPRINGER</v>
      </c>
    </row>
    <row r="1240" spans="1:8" ht="12.75" x14ac:dyDescent="0.2">
      <c r="A1240">
        <v>1239</v>
      </c>
      <c r="B1240" s="15" t="str">
        <f ca="1">IFERROR(__xludf.DUMMYFUNCTION("""COMPUTED_VALUE"""),"Proceedings of the 5th International Conference on Signal Processing and Information Communications")</f>
        <v>Proceedings of the 5th International Conference on Signal Processing and Information Communications</v>
      </c>
      <c r="C1240" s="15" t="str">
        <f ca="1">VLOOKUP(B1240,'ALL DATABASES'!$A$1:$T$2252,2,FALSE)</f>
        <v>Chua-Chin WangArumugam Nallanathan</v>
      </c>
      <c r="D1240" s="15">
        <f ca="1">VLOOKUP(B1240,'ALL DATABASES'!$A$1:$T$2252,5,FALSE)</f>
        <v>2022</v>
      </c>
      <c r="E1240" s="15">
        <f ca="1">VLOOKUP(B1240,'ALL DATABASES'!$A$1:$T$2252,10,FALSE)</f>
        <v>0</v>
      </c>
      <c r="F1240" s="54" t="str">
        <f ca="1">VLOOKUP(B1240,'ALL DATABASES'!$A$1:$T$2252,14,FALSE)</f>
        <v>http://link.springer.com/book/10.1007/978-3-031-13181-3</v>
      </c>
      <c r="G1240" s="15" t="str">
        <f ca="1">VLOOKUP(B1240,'ALL DATABASES'!$A$1:$T$2252,3,FALSE)</f>
        <v>Book</v>
      </c>
      <c r="H1240" s="50" t="str">
        <f ca="1">VLOOKUP(B1240,'ALL DATABASES'!$A$1:$T$2252,20,FALSE)</f>
        <v>SPRINGER</v>
      </c>
    </row>
    <row r="1241" spans="1:8" ht="12.75" x14ac:dyDescent="0.2">
      <c r="A1241">
        <v>1240</v>
      </c>
      <c r="B1241" s="15" t="str">
        <f ca="1">IFERROR(__xludf.DUMMYFUNCTION("""COMPUTED_VALUE"""),"Proceedings of the First International Workshop on Intelligent Software Automation")</f>
        <v>Proceedings of the First International Workshop on Intelligent Software Automation</v>
      </c>
      <c r="C1241" s="15" t="str">
        <f ca="1">VLOOKUP(B1241,'ALL DATABASES'!$A$1:$T$2252,2,FALSE)</f>
        <v>Sajid AnwarDr. Abdul Rauf</v>
      </c>
      <c r="D1241" s="15">
        <f ca="1">VLOOKUP(B1241,'ALL DATABASES'!$A$1:$T$2252,5,FALSE)</f>
        <v>2021</v>
      </c>
      <c r="E1241" s="15">
        <f ca="1">VLOOKUP(B1241,'ALL DATABASES'!$A$1:$T$2252,10,FALSE)</f>
        <v>0</v>
      </c>
      <c r="F1241" s="54" t="str">
        <f ca="1">VLOOKUP(B1241,'ALL DATABASES'!$A$1:$T$2252,14,FALSE)</f>
        <v>http://link.springer.com/book/10.1007/978-981-16-1045-5</v>
      </c>
      <c r="G1241" s="15" t="str">
        <f ca="1">VLOOKUP(B1241,'ALL DATABASES'!$A$1:$T$2252,3,FALSE)</f>
        <v>Book</v>
      </c>
      <c r="H1241" s="50" t="str">
        <f ca="1">VLOOKUP(B1241,'ALL DATABASES'!$A$1:$T$2252,20,FALSE)</f>
        <v>SPRINGER</v>
      </c>
    </row>
    <row r="1242" spans="1:8" ht="12.75" x14ac:dyDescent="0.2">
      <c r="A1242">
        <v>1241</v>
      </c>
      <c r="B1242" s="15" t="str">
        <f ca="1">IFERROR(__xludf.DUMMYFUNCTION("""COMPUTED_VALUE"""),"Proceedings of the Future Technologies Conference (FTC) 2022, Volume 1")</f>
        <v>Proceedings of the Future Technologies Conference (FTC) 2022, Volume 1</v>
      </c>
      <c r="C1242" s="15" t="str">
        <f ca="1">VLOOKUP(B1242,'ALL DATABASES'!$A$1:$T$2252,2,FALSE)</f>
        <v>Kohei Arai</v>
      </c>
      <c r="D1242" s="15">
        <f ca="1">VLOOKUP(B1242,'ALL DATABASES'!$A$1:$T$2252,5,FALSE)</f>
        <v>2023</v>
      </c>
      <c r="E1242" s="15">
        <f ca="1">VLOOKUP(B1242,'ALL DATABASES'!$A$1:$T$2252,10,FALSE)</f>
        <v>0</v>
      </c>
      <c r="F1242" s="54" t="str">
        <f ca="1">VLOOKUP(B1242,'ALL DATABASES'!$A$1:$T$2252,14,FALSE)</f>
        <v>http://link.springer.com/book/10.1007/978-3-031-18461-1</v>
      </c>
      <c r="G1242" s="15" t="str">
        <f ca="1">VLOOKUP(B1242,'ALL DATABASES'!$A$1:$T$2252,3,FALSE)</f>
        <v>Book</v>
      </c>
      <c r="H1242" s="50" t="str">
        <f ca="1">VLOOKUP(B1242,'ALL DATABASES'!$A$1:$T$2252,20,FALSE)</f>
        <v>SPRINGER</v>
      </c>
    </row>
    <row r="1243" spans="1:8" ht="12.75" x14ac:dyDescent="0.2">
      <c r="A1243">
        <v>1242</v>
      </c>
      <c r="B1243" s="15" t="str">
        <f ca="1">IFERROR(__xludf.DUMMYFUNCTION("""COMPUTED_VALUE"""),"Proceedings on 18th International Conference on Industrial Systems â€“ ISâ€™20")</f>
        <v>Proceedings on 18th International Conference on Industrial Systems â€“ ISâ€™20</v>
      </c>
      <c r="C1243" s="15" t="str">
        <f ca="1">VLOOKUP(B1243,'ALL DATABASES'!$A$1:$T$2252,2,FALSE)</f>
        <v>Assoc. Prof. Bojan LalicAssist. Prof. Danijela GracaninAssist. Prof. Nemanja TasicAssoc. Prof. Nenad SimeunoviÄ‡</v>
      </c>
      <c r="D1243" s="15">
        <f ca="1">VLOOKUP(B1243,'ALL DATABASES'!$A$1:$T$2252,5,FALSE)</f>
        <v>2022</v>
      </c>
      <c r="E1243" s="15">
        <f ca="1">VLOOKUP(B1243,'ALL DATABASES'!$A$1:$T$2252,10,FALSE)</f>
        <v>0</v>
      </c>
      <c r="F1243" s="54" t="str">
        <f ca="1">VLOOKUP(B1243,'ALL DATABASES'!$A$1:$T$2252,14,FALSE)</f>
        <v>http://link.springer.com/book/10.1007/978-3-030-97947-8</v>
      </c>
      <c r="G1243" s="15" t="str">
        <f ca="1">VLOOKUP(B1243,'ALL DATABASES'!$A$1:$T$2252,3,FALSE)</f>
        <v>Book</v>
      </c>
      <c r="H1243" s="50" t="str">
        <f ca="1">VLOOKUP(B1243,'ALL DATABASES'!$A$1:$T$2252,20,FALSE)</f>
        <v>SPRINGER</v>
      </c>
    </row>
    <row r="1244" spans="1:8" ht="12.75" x14ac:dyDescent="0.2">
      <c r="A1244">
        <v>1243</v>
      </c>
      <c r="B1244" s="15" t="str">
        <f ca="1">IFERROR(__xludf.DUMMYFUNCTION("""COMPUTED_VALUE"""),"Process Mining Handbook")</f>
        <v>Process Mining Handbook</v>
      </c>
      <c r="C1244" s="15" t="str">
        <f ca="1">VLOOKUP(B1244,'ALL DATABASES'!$A$1:$T$2252,2,FALSE)</f>
        <v>Wil M. P. van der AalstJosep Carmona</v>
      </c>
      <c r="D1244" s="15">
        <f ca="1">VLOOKUP(B1244,'ALL DATABASES'!$A$1:$T$2252,5,FALSE)</f>
        <v>2022</v>
      </c>
      <c r="E1244" s="15">
        <f ca="1">VLOOKUP(B1244,'ALL DATABASES'!$A$1:$T$2252,10,FALSE)</f>
        <v>0</v>
      </c>
      <c r="F1244" s="54" t="str">
        <f ca="1">VLOOKUP(B1244,'ALL DATABASES'!$A$1:$T$2252,14,FALSE)</f>
        <v>http://link.springer.com/book/10.1007/978-3-031-08848-3</v>
      </c>
      <c r="G1244" s="15" t="str">
        <f ca="1">VLOOKUP(B1244,'ALL DATABASES'!$A$1:$T$2252,3,FALSE)</f>
        <v>Book</v>
      </c>
      <c r="H1244" s="50" t="str">
        <f ca="1">VLOOKUP(B1244,'ALL DATABASES'!$A$1:$T$2252,20,FALSE)</f>
        <v>SPRINGER</v>
      </c>
    </row>
    <row r="1245" spans="1:8" ht="12.75" x14ac:dyDescent="0.2">
      <c r="A1245">
        <v>1244</v>
      </c>
      <c r="B1245" s="15" t="str">
        <f ca="1">IFERROR(__xludf.DUMMYFUNCTION("""COMPUTED_VALUE"""),"Product and Service Quality Risk Design Considerations â€“ Integration into Solution Architecture Methods")</f>
        <v>Product and Service Quality Risk Design Considerations â€“ Integration into Solution Architecture Methods</v>
      </c>
      <c r="C1245" s="15" t="str">
        <f ca="1">VLOOKUP(B1245,'ALL DATABASES'!$A$1:$T$2252,2,FALSE)</f>
        <v>Alexander PothSimon FieldMarc Koesling</v>
      </c>
      <c r="D1245" s="15">
        <f ca="1">VLOOKUP(B1245,'ALL DATABASES'!$A$1:$T$2252,5,FALSE)</f>
        <v>2022</v>
      </c>
      <c r="E1245" s="15">
        <f ca="1">VLOOKUP(B1245,'ALL DATABASES'!$A$1:$T$2252,10,FALSE)</f>
        <v>0</v>
      </c>
      <c r="F1245" s="54" t="str">
        <f ca="1">VLOOKUP(B1245,'ALL DATABASES'!$A$1:$T$2252,14,FALSE)</f>
        <v>http://link.springer.com/chapter/10.1007/978-3-031-15559-8_7</v>
      </c>
      <c r="G1245" s="15" t="str">
        <f ca="1">VLOOKUP(B1245,'ALL DATABASES'!$A$1:$T$2252,3,FALSE)</f>
        <v>Chapter</v>
      </c>
      <c r="H1245" s="50" t="str">
        <f ca="1">VLOOKUP(B1245,'ALL DATABASES'!$A$1:$T$2252,20,FALSE)</f>
        <v>SPRINGER</v>
      </c>
    </row>
    <row r="1246" spans="1:8" ht="12.75" x14ac:dyDescent="0.2">
      <c r="A1246">
        <v>1245</v>
      </c>
      <c r="B1246" s="15" t="str">
        <f ca="1">IFERROR(__xludf.DUMMYFUNCTION("""COMPUTED_VALUE"""),"Product-Focused Software Process Improvement")</f>
        <v>Product-Focused Software Process Improvement</v>
      </c>
      <c r="C1246" s="15" t="str">
        <f ca="1">VLOOKUP(B1246,'ALL DATABASES'!$A$1:$T$2252,2,FALSE)</f>
        <v>Davide TaibiMarco KuhrmannTommi MikkonenJil KlÃ¼nderPekka Abrahamsson</v>
      </c>
      <c r="D1246" s="15">
        <f ca="1">VLOOKUP(B1246,'ALL DATABASES'!$A$1:$T$2252,5,FALSE)</f>
        <v>2022</v>
      </c>
      <c r="E1246" s="15">
        <f ca="1">VLOOKUP(B1246,'ALL DATABASES'!$A$1:$T$2252,10,FALSE)</f>
        <v>0</v>
      </c>
      <c r="F1246" s="54" t="str">
        <f ca="1">VLOOKUP(B1246,'ALL DATABASES'!$A$1:$T$2252,14,FALSE)</f>
        <v>http://link.springer.com/book/10.1007/978-3-031-21388-5</v>
      </c>
      <c r="G1246" s="15" t="str">
        <f ca="1">VLOOKUP(B1246,'ALL DATABASES'!$A$1:$T$2252,3,FALSE)</f>
        <v>Book</v>
      </c>
      <c r="H1246" s="50" t="str">
        <f ca="1">VLOOKUP(B1246,'ALL DATABASES'!$A$1:$T$2252,20,FALSE)</f>
        <v>SPRINGER</v>
      </c>
    </row>
    <row r="1247" spans="1:8" ht="12.75" x14ac:dyDescent="0.2">
      <c r="A1247">
        <v>1246</v>
      </c>
      <c r="B1247" s="15" t="str">
        <f ca="1">IFERROR(__xludf.DUMMYFUNCTION("""COMPUTED_VALUE"""),"Production Machine Learning Pipelines: Empirical Analysis and Optimization Opportunities")</f>
        <v>Production Machine Learning Pipelines: Empirical Analysis and Optimization Opportunities</v>
      </c>
      <c r="C1247" s="15" t="str">
        <f ca="1">VLOOKUP(B1247,'ALL DATABASES'!$A$1:$T$2252,2,FALSE)</f>
        <v>Xin D,Miao H,Parameswaran A,Polyzotis N</v>
      </c>
      <c r="D1247" s="15">
        <f ca="1">VLOOKUP(B1247,'ALL DATABASES'!$A$1:$T$2252,5,FALSE)</f>
        <v>2021</v>
      </c>
      <c r="E1247" s="15">
        <f ca="1">VLOOKUP(B1247,'ALL DATABASES'!$A$1:$T$2252,10,FALSE)</f>
        <v>2021</v>
      </c>
      <c r="F1247" s="54" t="str">
        <f ca="1">VLOOKUP(B1247,'ALL DATABASES'!$A$1:$T$2252,14,FALSE)</f>
        <v>https://www.scopus.com/inward/record.uri?eid=2-s2.0-85108962461&amp;doi=10.1145%2f3448016.3457566&amp;partnerID=40&amp;md5=5457d9aba01d113608abd8913c746563;http://dx.doi.org/10.1145/3448016.3457566</v>
      </c>
      <c r="G1247" s="15" t="str">
        <f ca="1">VLOOKUP(B1247,'ALL DATABASES'!$A$1:$T$2252,3,FALSE)</f>
        <v>Conference Paper</v>
      </c>
      <c r="H1247" s="50" t="str">
        <f ca="1">VLOOKUP(B1247,'ALL DATABASES'!$A$1:$T$2252,20,FALSE)</f>
        <v>SCOPUS</v>
      </c>
    </row>
    <row r="1248" spans="1:8" ht="12.75" x14ac:dyDescent="0.2">
      <c r="A1248">
        <v>1247</v>
      </c>
      <c r="B1248" s="15" t="str">
        <f ca="1">IFERROR(__xludf.DUMMYFUNCTION("""COMPUTED_VALUE"""),"Productionizing AI")</f>
        <v>Productionizing AI</v>
      </c>
      <c r="C1248" s="15" t="str">
        <f ca="1">VLOOKUP(B1248,'ALL DATABASES'!$A$1:$T$2252,2,FALSE)</f>
        <v>Barry Walsh</v>
      </c>
      <c r="D1248" s="15">
        <f ca="1">VLOOKUP(B1248,'ALL DATABASES'!$A$1:$T$2252,5,FALSE)</f>
        <v>2023</v>
      </c>
      <c r="E1248" s="15">
        <f ca="1">VLOOKUP(B1248,'ALL DATABASES'!$A$1:$T$2252,10,FALSE)</f>
        <v>0</v>
      </c>
      <c r="F1248" s="54" t="str">
        <f ca="1">VLOOKUP(B1248,'ALL DATABASES'!$A$1:$T$2252,14,FALSE)</f>
        <v>http://link.springer.com/book/10.1007/978-1-4842-8817-7</v>
      </c>
      <c r="G1248" s="15" t="str">
        <f ca="1">VLOOKUP(B1248,'ALL DATABASES'!$A$1:$T$2252,3,FALSE)</f>
        <v>Book</v>
      </c>
      <c r="H1248" s="50" t="str">
        <f ca="1">VLOOKUP(B1248,'ALL DATABASES'!$A$1:$T$2252,20,FALSE)</f>
        <v>SPRINGER</v>
      </c>
    </row>
    <row r="1249" spans="1:8" ht="12.75" x14ac:dyDescent="0.2">
      <c r="A1249">
        <v>1248</v>
      </c>
      <c r="B1249" s="15" t="str">
        <f ca="1">IFERROR(__xludf.DUMMYFUNCTION("""COMPUTED_VALUE"""),"Profiling Developers to Predict Vulnerable Code Changes")</f>
        <v>Profiling Developers to Predict Vulnerable Code Changes</v>
      </c>
      <c r="C1249" s="15" t="str">
        <f ca="1">VLOOKUP(B1249,'ALL DATABASES'!$A$1:$T$2252,2,FALSE)</f>
        <v>Coskun T,Halepmollasi R,Hanifi K,Fouladi RF,De Cnudde PC,Tosun A</v>
      </c>
      <c r="D1249" s="15">
        <f ca="1">VLOOKUP(B1249,'ALL DATABASES'!$A$1:$T$2252,5,FALSE)</f>
        <v>2022</v>
      </c>
      <c r="E1249" s="15">
        <f ca="1">VLOOKUP(B1249,'ALL DATABASES'!$A$1:$T$2252,10,FALSE)</f>
        <v>2022</v>
      </c>
      <c r="F1249" s="54" t="str">
        <f ca="1">VLOOKUP(B1249,'ALL DATABASES'!$A$1:$T$2252,14,FALSE)</f>
        <v>https://doi.org/10.1145/3558489.3559069;http://dx.doi.org/10.1145/3558489.3559069</v>
      </c>
      <c r="G1249" s="15" t="str">
        <f ca="1">VLOOKUP(B1249,'ALL DATABASES'!$A$1:$T$2252,3,FALSE)</f>
        <v>Conference Paper</v>
      </c>
      <c r="H1249" s="50" t="str">
        <f ca="1">VLOOKUP(B1249,'ALL DATABASES'!$A$1:$T$2252,20,FALSE)</f>
        <v>ACM</v>
      </c>
    </row>
    <row r="1250" spans="1:8" ht="12.75" x14ac:dyDescent="0.2">
      <c r="A1250">
        <v>1249</v>
      </c>
      <c r="B1250" s="15" t="str">
        <f ca="1">IFERROR(__xludf.DUMMYFUNCTION("""COMPUTED_VALUE"""),"Programming cobots by voice: A human-centered, web-based approach")</f>
        <v>Programming cobots by voice: A human-centered, web-based approach</v>
      </c>
      <c r="C1250" s="15" t="str">
        <f ca="1">VLOOKUP(B1250,'ALL DATABASES'!$A$1:$T$2252,2,FALSE)</f>
        <v>Ionescu TB,Schlund S</v>
      </c>
      <c r="D1250" s="15">
        <f ca="1">VLOOKUP(B1250,'ALL DATABASES'!$A$1:$T$2252,5,FALSE)</f>
        <v>2021</v>
      </c>
      <c r="E1250" s="15">
        <f ca="1">VLOOKUP(B1250,'ALL DATABASES'!$A$1:$T$2252,10,FALSE)</f>
        <v>2021</v>
      </c>
      <c r="F1250" s="54" t="str">
        <f ca="1">VLOOKUP(B1250,'ALL DATABASES'!$A$1:$T$2252,14,FALSE)</f>
        <v>https://www.sciencedirect.com/science/article/pii/S2212827120314347;http://dx.doi.org/10.1016/j.procir.2020.05.213</v>
      </c>
      <c r="G1250" s="15" t="str">
        <f ca="1">VLOOKUP(B1250,'ALL DATABASES'!$A$1:$T$2252,3,FALSE)</f>
        <v>Journal Article</v>
      </c>
      <c r="H1250" s="50" t="str">
        <f ca="1">VLOOKUP(B1250,'ALL DATABASES'!$A$1:$T$2252,20,FALSE)</f>
        <v>SCIENCEDIRECT</v>
      </c>
    </row>
    <row r="1251" spans="1:8" ht="12.75" x14ac:dyDescent="0.2">
      <c r="A1251">
        <v>1250</v>
      </c>
      <c r="B1251" s="15" t="str">
        <f ca="1">IFERROR(__xludf.DUMMYFUNCTION("""COMPUTED_VALUE"""),"Programming with neural surrogates of programs")</f>
        <v>Programming with neural surrogates of programs</v>
      </c>
      <c r="C1251" s="15" t="str">
        <f ca="1">VLOOKUP(B1251,'ALL DATABASES'!$A$1:$T$2252,2,FALSE)</f>
        <v>Renda A,Ding Y,Carbin M</v>
      </c>
      <c r="D1251" s="15">
        <f ca="1">VLOOKUP(B1251,'ALL DATABASES'!$A$1:$T$2252,5,FALSE)</f>
        <v>2021</v>
      </c>
      <c r="E1251" s="15">
        <f ca="1">VLOOKUP(B1251,'ALL DATABASES'!$A$1:$T$2252,10,FALSE)</f>
        <v>2021</v>
      </c>
      <c r="F1251" s="54" t="str">
        <f ca="1">VLOOKUP(B1251,'ALL DATABASES'!$A$1:$T$2252,14,FALSE)</f>
        <v>https://www.scopus.com/inward/record.uri?eid=2-s2.0-85119054640&amp;doi=10.1145%2f3486607.3486748&amp;partnerID=40&amp;md5=e0fd265593d5f7ba6d534bc11202e392;http://dx.doi.org/10.1145/3486607.3486748</v>
      </c>
      <c r="G1251" s="15" t="str">
        <f ca="1">VLOOKUP(B1251,'ALL DATABASES'!$A$1:$T$2252,3,FALSE)</f>
        <v>Conference Paper</v>
      </c>
      <c r="H1251" s="50" t="str">
        <f ca="1">VLOOKUP(B1251,'ALL DATABASES'!$A$1:$T$2252,20,FALSE)</f>
        <v>SCOPUS</v>
      </c>
    </row>
    <row r="1252" spans="1:8" ht="12.75" x14ac:dyDescent="0.2">
      <c r="A1252">
        <v>1251</v>
      </c>
      <c r="B1252" s="15" t="str">
        <f ca="1">IFERROR(__xludf.DUMMYFUNCTION("""COMPUTED_VALUE"""),"Project Smells: Experiences in Analysing the Software Quality of ML Projects with Mllint")</f>
        <v>Project Smells: Experiences in Analysing the Software Quality of ML Projects with Mllint</v>
      </c>
      <c r="C1252" s="15" t="str">
        <f ca="1">VLOOKUP(B1252,'ALL DATABASES'!$A$1:$T$2252,2,FALSE)</f>
        <v>van Oort B,Cruz L,Loni B,van Deursen A</v>
      </c>
      <c r="D1252" s="15">
        <f ca="1">VLOOKUP(B1252,'ALL DATABASES'!$A$1:$T$2252,5,FALSE)</f>
        <v>2022</v>
      </c>
      <c r="E1252" s="15">
        <f ca="1">VLOOKUP(B1252,'ALL DATABASES'!$A$1:$T$2252,10,FALSE)</f>
        <v>2022</v>
      </c>
      <c r="F1252" s="54" t="str">
        <f ca="1">VLOOKUP(B1252,'ALL DATABASES'!$A$1:$T$2252,14,FALSE)</f>
        <v>https://doi.org/10.1145/3510457.3513041;http://dx.doi.org/10.1145/3510457.3513041</v>
      </c>
      <c r="G1252" s="15" t="str">
        <f ca="1">VLOOKUP(B1252,'ALL DATABASES'!$A$1:$T$2252,3,FALSE)</f>
        <v>Conference Paper</v>
      </c>
      <c r="H1252" s="50" t="str">
        <f ca="1">VLOOKUP(B1252,'ALL DATABASES'!$A$1:$T$2252,20,FALSE)</f>
        <v>ACM</v>
      </c>
    </row>
    <row r="1253" spans="1:8" ht="12.75" x14ac:dyDescent="0.2">
      <c r="A1253">
        <v>1252</v>
      </c>
      <c r="B1253" s="15" t="str">
        <f ca="1">IFERROR(__xludf.DUMMYFUNCTION("""COMPUTED_VALUE"""),"PROMISE 2022: Proceedings of the 18th International Conference on Predictive Models and Data Analytics in Software Engineering")</f>
        <v>PROMISE 2022: Proceedings of the 18th International Conference on Predictive Models and Data Analytics in Software Engineering</v>
      </c>
      <c r="C1253" s="15">
        <f ca="1">VLOOKUP(B1253,'ALL DATABASES'!$A$1:$T$2252,2,FALSE)</f>
        <v>0</v>
      </c>
      <c r="D1253" s="15">
        <f ca="1">VLOOKUP(B1253,'ALL DATABASES'!$A$1:$T$2252,5,FALSE)</f>
        <v>2022</v>
      </c>
      <c r="E1253" s="15">
        <f ca="1">VLOOKUP(B1253,'ALL DATABASES'!$A$1:$T$2252,10,FALSE)</f>
        <v>2022</v>
      </c>
      <c r="F1253" s="15">
        <f ca="1">VLOOKUP(B1253,'ALL DATABASES'!$A$1:$T$2252,14,FALSE)</f>
        <v>0</v>
      </c>
      <c r="G1253" s="15" t="str">
        <f ca="1">VLOOKUP(B1253,'ALL DATABASES'!$A$1:$T$2252,3,FALSE)</f>
        <v>Book</v>
      </c>
      <c r="H1253" s="50" t="str">
        <f ca="1">VLOOKUP(B1253,'ALL DATABASES'!$A$1:$T$2252,20,FALSE)</f>
        <v>ACM</v>
      </c>
    </row>
    <row r="1254" spans="1:8" ht="12.75" x14ac:dyDescent="0.2">
      <c r="A1254">
        <v>1253</v>
      </c>
      <c r="B1254" s="15" t="str">
        <f ca="1">IFERROR(__xludf.DUMMYFUNCTION("""COMPUTED_VALUE"""),"Promises and challenges of microservices: an exploratory study")</f>
        <v>Promises and challenges of microservices: an exploratory study</v>
      </c>
      <c r="C1254" s="15" t="str">
        <f ca="1">VLOOKUP(B1254,'ALL DATABASES'!$A$1:$T$2252,2,FALSE)</f>
        <v>Yingying WangHarshavardhan KadiyalaJulia Rubin</v>
      </c>
      <c r="D1254" s="15">
        <f ca="1">VLOOKUP(B1254,'ALL DATABASES'!$A$1:$T$2252,5,FALSE)</f>
        <v>2021</v>
      </c>
      <c r="E1254" s="15">
        <f ca="1">VLOOKUP(B1254,'ALL DATABASES'!$A$1:$T$2252,10,FALSE)</f>
        <v>0</v>
      </c>
      <c r="F1254" s="54" t="str">
        <f ca="1">VLOOKUP(B1254,'ALL DATABASES'!$A$1:$T$2252,14,FALSE)</f>
        <v>http://link.springer.com/article/10.1007/s10664-020-09910-y</v>
      </c>
      <c r="G1254" s="15" t="str">
        <f ca="1">VLOOKUP(B1254,'ALL DATABASES'!$A$1:$T$2252,3,FALSE)</f>
        <v>Article</v>
      </c>
      <c r="H1254" s="50" t="str">
        <f ca="1">VLOOKUP(B1254,'ALL DATABASES'!$A$1:$T$2252,20,FALSE)</f>
        <v>SPRINGER</v>
      </c>
    </row>
    <row r="1255" spans="1:8" ht="12.75" x14ac:dyDescent="0.2">
      <c r="A1255">
        <v>1254</v>
      </c>
      <c r="B1255" s="15" t="str">
        <f ca="1">IFERROR(__xludf.DUMMYFUNCTION("""COMPUTED_VALUE"""),"PROTEUS: Scalable online machine learning for predictive analytics and real-time interactive visualization")</f>
        <v>PROTEUS: Scalable online machine learning for predictive analytics and real-time interactive visualization</v>
      </c>
      <c r="C1255" s="15" t="str">
        <f ca="1">VLOOKUP(B1255,'ALL DATABASES'!$A$1:$T$2252,2,FALSE)</f>
        <v>Del Monte B,Karimov J,Mahdiraji AR,Rabl T,Markl V,Huang HX,Thomsen C</v>
      </c>
      <c r="D1255" s="15">
        <f ca="1">VLOOKUP(B1255,'ALL DATABASES'!$A$1:$T$2252,5,FALSE)</f>
        <v>2017</v>
      </c>
      <c r="E1255" s="15">
        <f ca="1">VLOOKUP(B1255,'ALL DATABASES'!$A$1:$T$2252,10,FALSE)</f>
        <v>2017</v>
      </c>
      <c r="F1255" s="54" t="str">
        <f ca="1">VLOOKUP(B1255,'ALL DATABASES'!$A$1:$T$2252,14,FALSE)</f>
        <v>https://www.scopus.com/inward/record.uri?eid=2-s2.0-85017153682&amp;partnerID=40&amp;md5=d9d0a2a0f0bf6a407ddf95fc0b47c9ac</v>
      </c>
      <c r="G1255" s="15" t="str">
        <f ca="1">VLOOKUP(B1255,'ALL DATABASES'!$A$1:$T$2252,3,FALSE)</f>
        <v>Conference Paper</v>
      </c>
      <c r="H1255" s="50" t="str">
        <f ca="1">VLOOKUP(B1255,'ALL DATABASES'!$A$1:$T$2252,20,FALSE)</f>
        <v>SCOPUS</v>
      </c>
    </row>
    <row r="1256" spans="1:8" ht="12.75" x14ac:dyDescent="0.2">
      <c r="A1256">
        <v>1255</v>
      </c>
      <c r="B1256" s="15" t="str">
        <f ca="1">IFERROR(__xludf.DUMMYFUNCTION("""COMPUTED_VALUE"""),"Providing upgrade plans for third-party libraries: a recommender system using migration graphs")</f>
        <v>Providing upgrade plans for third-party libraries: a recommender system using migration graphs</v>
      </c>
      <c r="C1256" s="15" t="str">
        <f ca="1">VLOOKUP(B1256,'ALL DATABASES'!$A$1:$T$2252,2,FALSE)</f>
        <v>Riccardo RubeiDavide Di RuscioClaudio Di SipioJuri Di RoccoPhuong T. Nguyen</v>
      </c>
      <c r="D1256" s="15">
        <f ca="1">VLOOKUP(B1256,'ALL DATABASES'!$A$1:$T$2252,5,FALSE)</f>
        <v>2022</v>
      </c>
      <c r="E1256" s="15">
        <f ca="1">VLOOKUP(B1256,'ALL DATABASES'!$A$1:$T$2252,10,FALSE)</f>
        <v>0</v>
      </c>
      <c r="F1256" s="54" t="str">
        <f ca="1">VLOOKUP(B1256,'ALL DATABASES'!$A$1:$T$2252,14,FALSE)</f>
        <v>http://link.springer.com/article/10.1007/s10489-021-02911-4</v>
      </c>
      <c r="G1256" s="15" t="str">
        <f ca="1">VLOOKUP(B1256,'ALL DATABASES'!$A$1:$T$2252,3,FALSE)</f>
        <v>Article</v>
      </c>
      <c r="H1256" s="50" t="str">
        <f ca="1">VLOOKUP(B1256,'ALL DATABASES'!$A$1:$T$2252,20,FALSE)</f>
        <v>SPRINGER</v>
      </c>
    </row>
    <row r="1257" spans="1:8" ht="12.75" x14ac:dyDescent="0.2">
      <c r="A1257">
        <v>1256</v>
      </c>
      <c r="B1257" s="15" t="str">
        <f ca="1">IFERROR(__xludf.DUMMYFUNCTION("""COMPUTED_VALUE"""),"Psic-net: Pixel-wise segmentation and image-wise classification network for surface defects")</f>
        <v>Psic-net: Pixel-wise segmentation and image-wise classification network for surface defects</v>
      </c>
      <c r="C1257" s="15" t="str">
        <f ca="1">VLOOKUP(B1257,'ALL DATABASES'!$A$1:$T$2252,2,FALSE)</f>
        <v>Lei L,Sun S,Zhang Y,Liu H,Xu W</v>
      </c>
      <c r="D1257" s="15">
        <f ca="1">VLOOKUP(B1257,'ALL DATABASES'!$A$1:$T$2252,5,FALSE)</f>
        <v>2021</v>
      </c>
      <c r="E1257" s="15">
        <f ca="1">VLOOKUP(B1257,'ALL DATABASES'!$A$1:$T$2252,10,FALSE)</f>
        <v>2021</v>
      </c>
      <c r="F1257" s="54" t="str">
        <f ca="1">VLOOKUP(B1257,'ALL DATABASES'!$A$1:$T$2252,14,FALSE)</f>
        <v>https://www.scopus.com/inward/record.uri?eid=2-s2.0-85116431854&amp;doi=10.3390%2fmachines9100221&amp;partnerID=40&amp;md5=a71bf41a66e5e3a04601d285a26887b1;http://dx.doi.org/10.3390/machines9100221</v>
      </c>
      <c r="G1257" s="15" t="str">
        <f ca="1">VLOOKUP(B1257,'ALL DATABASES'!$A$1:$T$2252,3,FALSE)</f>
        <v>Journal Article</v>
      </c>
      <c r="H1257" s="50" t="str">
        <f ca="1">VLOOKUP(B1257,'ALL DATABASES'!$A$1:$T$2252,20,FALSE)</f>
        <v>SCOPUS</v>
      </c>
    </row>
    <row r="1258" spans="1:8" ht="12.75" x14ac:dyDescent="0.2">
      <c r="A1258">
        <v>1257</v>
      </c>
      <c r="B1258" s="15" t="str">
        <f ca="1">IFERROR(__xludf.DUMMYFUNCTION("""COMPUTED_VALUE"""),"Public procurement of artificial intelligence systems: new risks and future proofing")</f>
        <v>Public procurement of artificial intelligence systems: new risks and future proofing</v>
      </c>
      <c r="C1258" s="15" t="str">
        <f ca="1">VLOOKUP(B1258,'ALL DATABASES'!$A$1:$T$2252,2,FALSE)</f>
        <v>Hickok M</v>
      </c>
      <c r="D1258" s="15">
        <f ca="1">VLOOKUP(B1258,'ALL DATABASES'!$A$1:$T$2252,5,FALSE)</f>
        <v>2022</v>
      </c>
      <c r="E1258" s="15">
        <f ca="1">VLOOKUP(B1258,'ALL DATABASES'!$A$1:$T$2252,10,FALSE)</f>
        <v>2022</v>
      </c>
      <c r="F1258" s="54" t="str">
        <f ca="1">VLOOKUP(B1258,'ALL DATABASES'!$A$1:$T$2252,14,FALSE)</f>
        <v>https://www.scopus.com/inward/record.uri?eid=2-s2.0-85139714305&amp;doi=10.1007%2fs00146-022-01572-2&amp;partnerID=40&amp;md5=79f4bcde3e95971b7b4e890873c722cc;http://dx.doi.org/10.1007/s00146-022-01572-2</v>
      </c>
      <c r="G1258" s="15" t="str">
        <f ca="1">VLOOKUP(B1258,'ALL DATABASES'!$A$1:$T$2252,3,FALSE)</f>
        <v>Journal Article</v>
      </c>
      <c r="H1258" s="50" t="str">
        <f ca="1">VLOOKUP(B1258,'ALL DATABASES'!$A$1:$T$2252,20,FALSE)</f>
        <v>SCOPUS</v>
      </c>
    </row>
    <row r="1259" spans="1:8" ht="12.75" x14ac:dyDescent="0.2">
      <c r="A1259">
        <v>1258</v>
      </c>
      <c r="B1259" s="15" t="str">
        <f ca="1">IFERROR(__xludf.DUMMYFUNCTION("""COMPUTED_VALUE"""),"Pull Request Governance in Open Source Communities")</f>
        <v>Pull Request Governance in Open Source Communities</v>
      </c>
      <c r="C1259" s="15" t="str">
        <f ca="1">VLOOKUP(B1259,'ALL DATABASES'!$A$1:$T$2252,2,FALSE)</f>
        <v>Alami A,Pardo R,Cohn ML,Wasowski A</v>
      </c>
      <c r="D1259" s="15">
        <f ca="1">VLOOKUP(B1259,'ALL DATABASES'!$A$1:$T$2252,5,FALSE)</f>
        <v>2022</v>
      </c>
      <c r="E1259" s="15">
        <f ca="1">VLOOKUP(B1259,'ALL DATABASES'!$A$1:$T$2252,10,FALSE)</f>
        <v>2022</v>
      </c>
      <c r="F1259" s="54" t="str">
        <f ca="1">VLOOKUP(B1259,'ALL DATABASES'!$A$1:$T$2252,14,FALSE)</f>
        <v>https://www.scopus.com/inward/record.uri?eid=2-s2.0-85126671710&amp;doi=10.1109%2fTSE.2021.3128356&amp;partnerID=40&amp;md5=2373adee78cf4a2e38c603d43371032a;http://dx.doi.org/10.1109/TSE.2021.3128356</v>
      </c>
      <c r="G1259" s="15" t="str">
        <f ca="1">VLOOKUP(B1259,'ALL DATABASES'!$A$1:$T$2252,3,FALSE)</f>
        <v>Journal Article</v>
      </c>
      <c r="H1259" s="50" t="str">
        <f ca="1">VLOOKUP(B1259,'ALL DATABASES'!$A$1:$T$2252,20,FALSE)</f>
        <v>SCOPUS</v>
      </c>
    </row>
    <row r="1260" spans="1:8" ht="12.75" x14ac:dyDescent="0.2">
      <c r="A1260">
        <v>1259</v>
      </c>
      <c r="B1260" s="15" t="str">
        <f ca="1">IFERROR(__xludf.DUMMYFUNCTION("""COMPUTED_VALUE"""),"Putting All Things Together")</f>
        <v>Putting All Things Together</v>
      </c>
      <c r="C1260" s="15" t="str">
        <f ca="1">VLOOKUP(B1260,'ALL DATABASES'!$A$1:$T$2252,2,FALSE)</f>
        <v>Omar Alonso</v>
      </c>
      <c r="D1260" s="15">
        <f ca="1">VLOOKUP(B1260,'ALL DATABASES'!$A$1:$T$2252,5,FALSE)</f>
        <v>2019</v>
      </c>
      <c r="E1260" s="15">
        <f ca="1">VLOOKUP(B1260,'ALL DATABASES'!$A$1:$T$2252,10,FALSE)</f>
        <v>0</v>
      </c>
      <c r="F1260" s="54" t="str">
        <f ca="1">VLOOKUP(B1260,'ALL DATABASES'!$A$1:$T$2252,14,FALSE)</f>
        <v>http://link.springer.com/chapter/10.1007/978-3-031-02318-7_6</v>
      </c>
      <c r="G1260" s="15" t="str">
        <f ca="1">VLOOKUP(B1260,'ALL DATABASES'!$A$1:$T$2252,3,FALSE)</f>
        <v>Chapter</v>
      </c>
      <c r="H1260" s="50" t="str">
        <f ca="1">VLOOKUP(B1260,'ALL DATABASES'!$A$1:$T$2252,20,FALSE)</f>
        <v>SPRINGER</v>
      </c>
    </row>
    <row r="1261" spans="1:8" ht="12.75" x14ac:dyDescent="0.2">
      <c r="A1261">
        <v>1260</v>
      </c>
      <c r="B1261" s="15" t="str">
        <f ca="1">IFERROR(__xludf.DUMMYFUNCTION("""COMPUTED_VALUE"""),"Putting the Semantics into Semantic Versioning")</f>
        <v>Putting the Semantics into Semantic Versioning</v>
      </c>
      <c r="C1261" s="15" t="str">
        <f ca="1">VLOOKUP(B1261,'ALL DATABASES'!$A$1:$T$2252,2,FALSE)</f>
        <v>Lam P,Dietrich J,Pearce DJ</v>
      </c>
      <c r="D1261" s="15">
        <f ca="1">VLOOKUP(B1261,'ALL DATABASES'!$A$1:$T$2252,5,FALSE)</f>
        <v>2020</v>
      </c>
      <c r="E1261" s="15">
        <f ca="1">VLOOKUP(B1261,'ALL DATABASES'!$A$1:$T$2252,10,FALSE)</f>
        <v>2020</v>
      </c>
      <c r="F1261" s="54" t="str">
        <f ca="1">VLOOKUP(B1261,'ALL DATABASES'!$A$1:$T$2252,14,FALSE)</f>
        <v>https://doi.org/10.1145/3426428.3426922;http://dx.doi.org/10.1145/3426428.3426922</v>
      </c>
      <c r="G1261" s="15" t="str">
        <f ca="1">VLOOKUP(B1261,'ALL DATABASES'!$A$1:$T$2252,3,FALSE)</f>
        <v>Conference Paper</v>
      </c>
      <c r="H1261" s="50" t="str">
        <f ca="1">VLOOKUP(B1261,'ALL DATABASES'!$A$1:$T$2252,20,FALSE)</f>
        <v>ACM</v>
      </c>
    </row>
    <row r="1262" spans="1:8" ht="12.75" x14ac:dyDescent="0.2">
      <c r="A1262">
        <v>1261</v>
      </c>
      <c r="B1262" s="15" t="str">
        <f ca="1">IFERROR(__xludf.DUMMYFUNCTION("""COMPUTED_VALUE"""),"Pynblint: A Static Analyzer for Python Jupyter Notebooks")</f>
        <v>Pynblint: A Static Analyzer for Python Jupyter Notebooks</v>
      </c>
      <c r="C1262" s="15" t="str">
        <f ca="1">VLOOKUP(B1262,'ALL DATABASES'!$A$1:$T$2252,2,FALSE)</f>
        <v>Quaranta L,Calefato F,Lanubile F</v>
      </c>
      <c r="D1262" s="15">
        <f ca="1">VLOOKUP(B1262,'ALL DATABASES'!$A$1:$T$2252,5,FALSE)</f>
        <v>2022</v>
      </c>
      <c r="E1262" s="15">
        <f ca="1">VLOOKUP(B1262,'ALL DATABASES'!$A$1:$T$2252,10,FALSE)</f>
        <v>2022</v>
      </c>
      <c r="F1262" s="54" t="str">
        <f ca="1">VLOOKUP(B1262,'ALL DATABASES'!$A$1:$T$2252,14,FALSE)</f>
        <v>https://doi.org/10.1145/3522664.3528612;http://dx.doi.org/10.1145/3522664.3528612</v>
      </c>
      <c r="G1262" s="15" t="str">
        <f ca="1">VLOOKUP(B1262,'ALL DATABASES'!$A$1:$T$2252,3,FALSE)</f>
        <v>Conference Paper</v>
      </c>
      <c r="H1262" s="50" t="str">
        <f ca="1">VLOOKUP(B1262,'ALL DATABASES'!$A$1:$T$2252,20,FALSE)</f>
        <v>ACM</v>
      </c>
    </row>
    <row r="1263" spans="1:8" ht="12.75" x14ac:dyDescent="0.2">
      <c r="A1263">
        <v>1262</v>
      </c>
      <c r="B1263" s="15" t="str">
        <f ca="1">IFERROR(__xludf.DUMMYFUNCTION("""COMPUTED_VALUE"""),"QATCH - An adaptive framework for software product quality assessment")</f>
        <v>QATCH - An adaptive framework for software product quality assessment</v>
      </c>
      <c r="C1263" s="15" t="str">
        <f ca="1">VLOOKUP(B1263,'ALL DATABASES'!$A$1:$T$2252,2,FALSE)</f>
        <v>Siavvas MG,Chatzidimitriou KC,Symeonidis AL</v>
      </c>
      <c r="D1263" s="15">
        <f ca="1">VLOOKUP(B1263,'ALL DATABASES'!$A$1:$T$2252,5,FALSE)</f>
        <v>2017</v>
      </c>
      <c r="E1263" s="15">
        <f ca="1">VLOOKUP(B1263,'ALL DATABASES'!$A$1:$T$2252,10,FALSE)</f>
        <v>2017</v>
      </c>
      <c r="F1263" s="54" t="str">
        <f ca="1">VLOOKUP(B1263,'ALL DATABASES'!$A$1:$T$2252,14,FALSE)</f>
        <v>https://www.sciencedirect.com/science/article/pii/S0957417417303883;http://dx.doi.org/10.1016/j.eswa.2017.05.060</v>
      </c>
      <c r="G1263" s="15" t="str">
        <f ca="1">VLOOKUP(B1263,'ALL DATABASES'!$A$1:$T$2252,3,FALSE)</f>
        <v>Journal Article</v>
      </c>
      <c r="H1263" s="50" t="str">
        <f ca="1">VLOOKUP(B1263,'ALL DATABASES'!$A$1:$T$2252,20,FALSE)</f>
        <v>SCIENCEDIRECT</v>
      </c>
    </row>
    <row r="1264" spans="1:8" ht="12.75" x14ac:dyDescent="0.2">
      <c r="A1264">
        <v>1263</v>
      </c>
      <c r="B1264" s="15" t="str">
        <f ca="1">IFERROR(__xludf.DUMMYFUNCTION("""COMPUTED_VALUE"""),"QScored: A Large Dataset of Code Smells and Quality Metrics")</f>
        <v>QScored: A Large Dataset of Code Smells and Quality Metrics</v>
      </c>
      <c r="C1264" s="15" t="str">
        <f ca="1">VLOOKUP(B1264,'ALL DATABASES'!$A$1:$T$2252,2,FALSE)</f>
        <v>Sharma T,Kessentini M</v>
      </c>
      <c r="D1264" s="15">
        <f ca="1">VLOOKUP(B1264,'ALL DATABASES'!$A$1:$T$2252,5,FALSE)</f>
        <v>2021</v>
      </c>
      <c r="E1264" s="55">
        <f ca="1">VLOOKUP(B1264,'ALL DATABASES'!$A$1:$T$2252,10,FALSE)</f>
        <v>44317</v>
      </c>
      <c r="F1264" s="54" t="str">
        <f ca="1">VLOOKUP(B1264,'ALL DATABASES'!$A$1:$T$2252,14,FALSE)</f>
        <v>http://dx.doi.org/10.1109/MSR52588.2021.00080</v>
      </c>
      <c r="G1264" s="15" t="str">
        <f ca="1">VLOOKUP(B1264,'ALL DATABASES'!$A$1:$T$2252,3,FALSE)</f>
        <v>Conference Paper</v>
      </c>
      <c r="H1264" s="50" t="str">
        <f ca="1">VLOOKUP(B1264,'ALL DATABASES'!$A$1:$T$2252,20,FALSE)</f>
        <v>IEEE</v>
      </c>
    </row>
    <row r="1265" spans="1:8" ht="12.75" x14ac:dyDescent="0.2">
      <c r="A1265">
        <v>1264</v>
      </c>
      <c r="B1265" s="15" t="str">
        <f ca="1">IFERROR(__xludf.DUMMYFUNCTION("""COMPUTED_VALUE"""),"Qualitative assessment of the impact of manufacturing-specific influences on Machine Learning Operations")</f>
        <v>Qualitative assessment of the impact of manufacturing-specific influences on Machine Learning Operations</v>
      </c>
      <c r="C1265" s="15" t="str">
        <f ca="1">VLOOKUP(B1265,'ALL DATABASES'!$A$1:$T$2252,2,FALSE)</f>
        <v>Raffin T,Reichenstein T,Klier D,Kühl A,Franke J</v>
      </c>
      <c r="D1265" s="15">
        <f ca="1">VLOOKUP(B1265,'ALL DATABASES'!$A$1:$T$2252,5,FALSE)</f>
        <v>2022</v>
      </c>
      <c r="E1265" s="15">
        <f ca="1">VLOOKUP(B1265,'ALL DATABASES'!$A$1:$T$2252,10,FALSE)</f>
        <v>2022</v>
      </c>
      <c r="F1265" s="54" t="str">
        <f ca="1">VLOOKUP(B1265,'ALL DATABASES'!$A$1:$T$2252,14,FALSE)</f>
        <v>https://www.sciencedirect.com/science/article/pii/S2212827122014986;http://dx.doi.org/10.1016/j.procir.2022.10.063</v>
      </c>
      <c r="G1265" s="15" t="str">
        <f ca="1">VLOOKUP(B1265,'ALL DATABASES'!$A$1:$T$2252,3,FALSE)</f>
        <v>Journal Article</v>
      </c>
      <c r="H1265" s="50" t="str">
        <f ca="1">VLOOKUP(B1265,'ALL DATABASES'!$A$1:$T$2252,20,FALSE)</f>
        <v>SCIENCEDIRECT</v>
      </c>
    </row>
    <row r="1266" spans="1:8" ht="12.75" x14ac:dyDescent="0.2">
      <c r="A1266">
        <v>1265</v>
      </c>
      <c r="B1266" s="15" t="str">
        <f ca="1">IFERROR(__xludf.DUMMYFUNCTION("""COMPUTED_VALUE"""),"Qualitatively Analyzing PR Rejection Reasons from Conversations in Open-Source Projects")</f>
        <v>Qualitatively Analyzing PR Rejection Reasons from Conversations in Open-Source Projects</v>
      </c>
      <c r="C1266" s="15" t="str">
        <f ca="1">VLOOKUP(B1266,'ALL DATABASES'!$A$1:$T$2252,2,FALSE)</f>
        <v>Gottigundala T,Sereesathien S,Da Silva B</v>
      </c>
      <c r="D1266" s="15">
        <f ca="1">VLOOKUP(B1266,'ALL DATABASES'!$A$1:$T$2252,5,FALSE)</f>
        <v>2021</v>
      </c>
      <c r="E1266" s="15">
        <f ca="1">VLOOKUP(B1266,'ALL DATABASES'!$A$1:$T$2252,10,FALSE)</f>
        <v>2021</v>
      </c>
      <c r="F1266" s="54" t="str">
        <f ca="1">VLOOKUP(B1266,'ALL DATABASES'!$A$1:$T$2252,14,FALSE)</f>
        <v>https://www.scopus.com/inward/record.uri?eid=2-s2.0-85113641285&amp;doi=10.1109%2fCHASE52884.2021.00021&amp;partnerID=40&amp;md5=264d946ee693a1ffb5e33eb2946a9490;http://dx.doi.org/10.1109/CHASE52884.2021.00021</v>
      </c>
      <c r="G1266" s="15" t="str">
        <f ca="1">VLOOKUP(B1266,'ALL DATABASES'!$A$1:$T$2252,3,FALSE)</f>
        <v>Conference Paper</v>
      </c>
      <c r="H1266" s="50" t="str">
        <f ca="1">VLOOKUP(B1266,'ALL DATABASES'!$A$1:$T$2252,20,FALSE)</f>
        <v>SCOPUS</v>
      </c>
    </row>
    <row r="1267" spans="1:8" ht="12.75" x14ac:dyDescent="0.2">
      <c r="A1267">
        <v>1266</v>
      </c>
      <c r="B1267" s="15" t="str">
        <f ca="1">IFERROR(__xludf.DUMMYFUNCTION("""COMPUTED_VALUE"""),"Quality assessment methods for textual conversational interfaces: A multivocal literature review")</f>
        <v>Quality assessment methods for textual conversational interfaces: A multivocal literature review</v>
      </c>
      <c r="C1267" s="15" t="str">
        <f ca="1">VLOOKUP(B1267,'ALL DATABASES'!$A$1:$T$2252,2,FALSE)</f>
        <v>Coppola R,Ardito L</v>
      </c>
      <c r="D1267" s="15">
        <f ca="1">VLOOKUP(B1267,'ALL DATABASES'!$A$1:$T$2252,5,FALSE)</f>
        <v>2021</v>
      </c>
      <c r="E1267" s="15">
        <f ca="1">VLOOKUP(B1267,'ALL DATABASES'!$A$1:$T$2252,10,FALSE)</f>
        <v>2021</v>
      </c>
      <c r="F1267" s="54" t="str">
        <f ca="1">VLOOKUP(B1267,'ALL DATABASES'!$A$1:$T$2252,14,FALSE)</f>
        <v>https://www.scopus.com/inward/record.uri?eid=2-s2.0-85118863045&amp;doi=10.3390%2finfo12110437&amp;partnerID=40&amp;md5=e38a833f0d268ecacdb0bc53af1c48d4;http://dx.doi.org/10.3390/info12110437</v>
      </c>
      <c r="G1267" s="15" t="str">
        <f ca="1">VLOOKUP(B1267,'ALL DATABASES'!$A$1:$T$2252,3,FALSE)</f>
        <v>Journal Article</v>
      </c>
      <c r="H1267" s="50" t="str">
        <f ca="1">VLOOKUP(B1267,'ALL DATABASES'!$A$1:$T$2252,20,FALSE)</f>
        <v>SCOPUS</v>
      </c>
    </row>
    <row r="1268" spans="1:8" ht="12.75" x14ac:dyDescent="0.2">
      <c r="A1268">
        <v>1267</v>
      </c>
      <c r="B1268" s="15" t="str">
        <f ca="1">IFERROR(__xludf.DUMMYFUNCTION("""COMPUTED_VALUE"""),"Quality Assessment of CFD Software Using Workflows and Decision Trees")</f>
        <v>Quality Assessment of CFD Software Using Workflows and Decision Trees</v>
      </c>
      <c r="C1268" s="15" t="str">
        <f ca="1">VLOOKUP(B1268,'ALL DATABASES'!$A$1:$T$2252,2,FALSE)</f>
        <v>Evdokimov I,Haensch S</v>
      </c>
      <c r="D1268" s="15">
        <f ca="1">VLOOKUP(B1268,'ALL DATABASES'!$A$1:$T$2252,5,FALSE)</f>
        <v>2021</v>
      </c>
      <c r="E1268" s="53">
        <f ca="1">VLOOKUP(B1268,'ALL DATABASES'!$A$1:$T$2252,10,FALSE)</f>
        <v>44531</v>
      </c>
      <c r="F1268" s="54" t="str">
        <f ca="1">VLOOKUP(B1268,'ALL DATABASES'!$A$1:$T$2252,14,FALSE)</f>
        <v>http://dx.doi.org/10.1109/ISPRAS53967.2021.00027</v>
      </c>
      <c r="G1268" s="15" t="str">
        <f ca="1">VLOOKUP(B1268,'ALL DATABASES'!$A$1:$T$2252,3,FALSE)</f>
        <v>Conference Paper</v>
      </c>
      <c r="H1268" s="50" t="str">
        <f ca="1">VLOOKUP(B1268,'ALL DATABASES'!$A$1:$T$2252,20,FALSE)</f>
        <v>IEEE</v>
      </c>
    </row>
    <row r="1269" spans="1:8" ht="12.75" x14ac:dyDescent="0.2">
      <c r="A1269">
        <v>1268</v>
      </c>
      <c r="B1269" s="15" t="str">
        <f ca="1">IFERROR(__xludf.DUMMYFUNCTION("""COMPUTED_VALUE"""),"Quality Assurance Challenges For Machine Learning Software Applications During Software Development Life Cycle Phases")</f>
        <v>Quality Assurance Challenges For Machine Learning Software Applications During Software Development Life Cycle Phases</v>
      </c>
      <c r="C1269" s="15" t="str">
        <f ca="1">VLOOKUP(B1269,'ALL DATABASES'!$A$1:$T$2252,2,FALSE)</f>
        <v>Al Alamin MA,Uddin G</v>
      </c>
      <c r="D1269" s="15">
        <f ca="1">VLOOKUP(B1269,'ALL DATABASES'!$A$1:$T$2252,5,FALSE)</f>
        <v>2021</v>
      </c>
      <c r="E1269" s="55">
        <f ca="1">VLOOKUP(B1269,'ALL DATABASES'!$A$1:$T$2252,10,FALSE)</f>
        <v>44409</v>
      </c>
      <c r="F1269" s="54" t="str">
        <f ca="1">VLOOKUP(B1269,'ALL DATABASES'!$A$1:$T$2252,14,FALSE)</f>
        <v>http://dx.doi.org/10.1109/ICAS49788.2021.9551151</v>
      </c>
      <c r="G1269" s="15" t="str">
        <f ca="1">VLOOKUP(B1269,'ALL DATABASES'!$A$1:$T$2252,3,FALSE)</f>
        <v>Conference Paper</v>
      </c>
      <c r="H1269" s="50" t="str">
        <f ca="1">VLOOKUP(B1269,'ALL DATABASES'!$A$1:$T$2252,20,FALSE)</f>
        <v>IEEE</v>
      </c>
    </row>
    <row r="1270" spans="1:8" ht="12.75" x14ac:dyDescent="0.2">
      <c r="A1270">
        <v>1269</v>
      </c>
      <c r="B1270" s="15" t="str">
        <f ca="1">IFERROR(__xludf.DUMMYFUNCTION("""COMPUTED_VALUE"""),"Quality Assurance for AI-Based Systems: Overview and Challenges (Introduction to Interactive Session)")</f>
        <v>Quality Assurance for AI-Based Systems: Overview and Challenges (Introduction to Interactive Session)</v>
      </c>
      <c r="C1270" s="15" t="str">
        <f ca="1">VLOOKUP(B1270,'ALL DATABASES'!$A$1:$T$2252,2,FALSE)</f>
        <v>Felderer M,Ramler R</v>
      </c>
      <c r="D1270" s="15">
        <f ca="1">VLOOKUP(B1270,'ALL DATABASES'!$A$1:$T$2252,5,FALSE)</f>
        <v>2021</v>
      </c>
      <c r="E1270" s="15">
        <f ca="1">VLOOKUP(B1270,'ALL DATABASES'!$A$1:$T$2252,10,FALSE)</f>
        <v>2021</v>
      </c>
      <c r="F1270" s="54" t="str">
        <f ca="1">VLOOKUP(B1270,'ALL DATABASES'!$A$1:$T$2252,14,FALSE)</f>
        <v>https://www.scopus.com/inward/record.uri?eid=2-s2.0-85101556271&amp;doi=10.1007%2f978-3-030-65854-0_3&amp;partnerID=40&amp;md5=cbc8930e2218bd056ff8c0f95dfea4c4;http://dx.doi.org/10.1007/978-3-030-65854-0_3</v>
      </c>
      <c r="G1270" s="15" t="str">
        <f ca="1">VLOOKUP(B1270,'ALL DATABASES'!$A$1:$T$2252,3,FALSE)</f>
        <v>Journal Article</v>
      </c>
      <c r="H1270" s="50" t="str">
        <f ca="1">VLOOKUP(B1270,'ALL DATABASES'!$A$1:$T$2252,20,FALSE)</f>
        <v>SCOPUS</v>
      </c>
    </row>
    <row r="1271" spans="1:8" ht="12.75" x14ac:dyDescent="0.2">
      <c r="A1271">
        <v>1270</v>
      </c>
      <c r="B1271" s="15" t="str">
        <f ca="1">IFERROR(__xludf.DUMMYFUNCTION("""COMPUTED_VALUE"""),"Quality Assurance for Machine Learning – an approach to function and system safeguarding")</f>
        <v>Quality Assurance for Machine Learning – an approach to function and system safeguarding</v>
      </c>
      <c r="C1271" s="15" t="str">
        <f ca="1">VLOOKUP(B1271,'ALL DATABASES'!$A$1:$T$2252,2,FALSE)</f>
        <v>Poth A,Meyer B,Schlicht P,Riel A</v>
      </c>
      <c r="D1271" s="15">
        <f ca="1">VLOOKUP(B1271,'ALL DATABASES'!$A$1:$T$2252,5,FALSE)</f>
        <v>2020</v>
      </c>
      <c r="E1271" s="53">
        <f ca="1">VLOOKUP(B1271,'ALL DATABASES'!$A$1:$T$2252,10,FALSE)</f>
        <v>44166</v>
      </c>
      <c r="F1271" s="54" t="str">
        <f ca="1">VLOOKUP(B1271,'ALL DATABASES'!$A$1:$T$2252,14,FALSE)</f>
        <v>http://dx.doi.org/10.1109/QRS51102.2020.00016</v>
      </c>
      <c r="G1271" s="15" t="str">
        <f ca="1">VLOOKUP(B1271,'ALL DATABASES'!$A$1:$T$2252,3,FALSE)</f>
        <v>Conference Paper</v>
      </c>
      <c r="H1271" s="50" t="str">
        <f ca="1">VLOOKUP(B1271,'ALL DATABASES'!$A$1:$T$2252,20,FALSE)</f>
        <v>IEEE</v>
      </c>
    </row>
    <row r="1272" spans="1:8" ht="12.75" x14ac:dyDescent="0.2">
      <c r="A1272">
        <v>1271</v>
      </c>
      <c r="B1272" s="15" t="str">
        <f ca="1">IFERROR(__xludf.DUMMYFUNCTION("""COMPUTED_VALUE"""),"Quality Assurance of Generative Dialog Models in an Evolving Conversational Agent Used for Swedish Language Practice")</f>
        <v>Quality Assurance of Generative Dialog Models in an Evolving Conversational Agent Used for Swedish Language Practice</v>
      </c>
      <c r="C1272" s="15" t="str">
        <f ca="1">VLOOKUP(B1272,'ALL DATABASES'!$A$1:$T$2252,2,FALSE)</f>
        <v>Borg M,Bengtsson J,Osterling H,Hagelborn A,Gagner I,Tomaszewski P</v>
      </c>
      <c r="D1272" s="15">
        <f ca="1">VLOOKUP(B1272,'ALL DATABASES'!$A$1:$T$2252,5,FALSE)</f>
        <v>2022</v>
      </c>
      <c r="E1272" s="15">
        <f ca="1">VLOOKUP(B1272,'ALL DATABASES'!$A$1:$T$2252,10,FALSE)</f>
        <v>2022</v>
      </c>
      <c r="F1272" s="54" t="str">
        <f ca="1">VLOOKUP(B1272,'ALL DATABASES'!$A$1:$T$2252,14,FALSE)</f>
        <v>https://www.scopus.com/inward/record.uri?eid=2-s2.0-85133467455&amp;doi=10.1145%2f3522664.3528592&amp;partnerID=40&amp;md5=c96498e5deeae9915eb8823bccdbb00d;http://dx.doi.org/10.1145/3522664.3528592</v>
      </c>
      <c r="G1272" s="15" t="str">
        <f ca="1">VLOOKUP(B1272,'ALL DATABASES'!$A$1:$T$2252,3,FALSE)</f>
        <v>Conference Paper</v>
      </c>
      <c r="H1272" s="50" t="str">
        <f ca="1">VLOOKUP(B1272,'ALL DATABASES'!$A$1:$T$2252,20,FALSE)</f>
        <v>SCOPUS</v>
      </c>
    </row>
    <row r="1273" spans="1:8" ht="12.75" x14ac:dyDescent="0.2">
      <c r="A1273">
        <v>1272</v>
      </c>
      <c r="B1273" s="15" t="str">
        <f ca="1">IFERROR(__xludf.DUMMYFUNCTION("""COMPUTED_VALUE"""),"Quality at Scale")</f>
        <v>Quality at Scale</v>
      </c>
      <c r="C1273" s="15" t="str">
        <f ca="1">VLOOKUP(B1273,'ALL DATABASES'!$A$1:$T$2252,2,FALSE)</f>
        <v>Navid Nader-Rezvani</v>
      </c>
      <c r="D1273" s="15">
        <f ca="1">VLOOKUP(B1273,'ALL DATABASES'!$A$1:$T$2252,5,FALSE)</f>
        <v>2019</v>
      </c>
      <c r="E1273" s="15">
        <f ca="1">VLOOKUP(B1273,'ALL DATABASES'!$A$1:$T$2252,10,FALSE)</f>
        <v>0</v>
      </c>
      <c r="F1273" s="54" t="str">
        <f ca="1">VLOOKUP(B1273,'ALL DATABASES'!$A$1:$T$2252,14,FALSE)</f>
        <v>http://link.springer.com/chapter/10.1007/978-1-4842-3751-9_9</v>
      </c>
      <c r="G1273" s="15" t="str">
        <f ca="1">VLOOKUP(B1273,'ALL DATABASES'!$A$1:$T$2252,3,FALSE)</f>
        <v>Chapter</v>
      </c>
      <c r="H1273" s="50" t="str">
        <f ca="1">VLOOKUP(B1273,'ALL DATABASES'!$A$1:$T$2252,20,FALSE)</f>
        <v>SPRINGER</v>
      </c>
    </row>
    <row r="1274" spans="1:8" ht="12.75" x14ac:dyDescent="0.2">
      <c r="A1274">
        <v>1273</v>
      </c>
      <c r="B1274" s="15" t="str">
        <f ca="1">IFERROR(__xludf.DUMMYFUNCTION("""COMPUTED_VALUE"""),"Quality attribute trade-offs in the embedded systems industry: an exploratory case study")</f>
        <v>Quality attribute trade-offs in the embedded systems industry: an exploratory case study</v>
      </c>
      <c r="C1274" s="15" t="str">
        <f ca="1">VLOOKUP(B1274,'ALL DATABASES'!$A$1:$T$2252,2,FALSE)</f>
        <v>Darius SasParis Avgeriou</v>
      </c>
      <c r="D1274" s="15">
        <f ca="1">VLOOKUP(B1274,'ALL DATABASES'!$A$1:$T$2252,5,FALSE)</f>
        <v>2020</v>
      </c>
      <c r="E1274" s="15">
        <f ca="1">VLOOKUP(B1274,'ALL DATABASES'!$A$1:$T$2252,10,FALSE)</f>
        <v>0</v>
      </c>
      <c r="F1274" s="54" t="str">
        <f ca="1">VLOOKUP(B1274,'ALL DATABASES'!$A$1:$T$2252,14,FALSE)</f>
        <v>http://link.springer.com/article/10.1007/s11219-019-09478-x</v>
      </c>
      <c r="G1274" s="15" t="str">
        <f ca="1">VLOOKUP(B1274,'ALL DATABASES'!$A$1:$T$2252,3,FALSE)</f>
        <v>Article</v>
      </c>
      <c r="H1274" s="50" t="str">
        <f ca="1">VLOOKUP(B1274,'ALL DATABASES'!$A$1:$T$2252,20,FALSE)</f>
        <v>SPRINGER</v>
      </c>
    </row>
    <row r="1275" spans="1:8" ht="12.75" x14ac:dyDescent="0.2">
      <c r="A1275">
        <v>1274</v>
      </c>
      <c r="B1275" s="15" t="str">
        <f ca="1">IFERROR(__xludf.DUMMYFUNCTION("""COMPUTED_VALUE"""),"Quality Management of Machine Learning Systems")</f>
        <v>Quality Management of Machine Learning Systems</v>
      </c>
      <c r="C1275" s="15" t="str">
        <f ca="1">VLOOKUP(B1275,'ALL DATABASES'!$A$1:$T$2252,2,FALSE)</f>
        <v>Santhanam P</v>
      </c>
      <c r="D1275" s="15">
        <f ca="1">VLOOKUP(B1275,'ALL DATABASES'!$A$1:$T$2252,5,FALSE)</f>
        <v>2020</v>
      </c>
      <c r="E1275" s="15">
        <f ca="1">VLOOKUP(B1275,'ALL DATABASES'!$A$1:$T$2252,10,FALSE)</f>
        <v>2020</v>
      </c>
      <c r="F1275" s="54" t="str">
        <f ca="1">VLOOKUP(B1275,'ALL DATABASES'!$A$1:$T$2252,14,FALSE)</f>
        <v>https://www.scopus.com/inward/record.uri?eid=2-s2.0-85097427859&amp;doi=10.1007%2f978-3-030-62144-5_1&amp;partnerID=40&amp;md5=3cc753e5bbf244b2eeddf32777ea406e;http://dx.doi.org/10.1007/978-3-030-62144-5_1</v>
      </c>
      <c r="G1275" s="15" t="str">
        <f ca="1">VLOOKUP(B1275,'ALL DATABASES'!$A$1:$T$2252,3,FALSE)</f>
        <v>Journal Article</v>
      </c>
      <c r="H1275" s="50" t="str">
        <f ca="1">VLOOKUP(B1275,'ALL DATABASES'!$A$1:$T$2252,20,FALSE)</f>
        <v>SCOPUS</v>
      </c>
    </row>
    <row r="1276" spans="1:8" ht="12.75" x14ac:dyDescent="0.2">
      <c r="A1276">
        <v>1275</v>
      </c>
      <c r="B1276" s="15" t="str">
        <f ca="1">IFERROR(__xludf.DUMMYFUNCTION("""COMPUTED_VALUE"""),"Quality of Information and Communications Technology")</f>
        <v>Quality of Information and Communications Technology</v>
      </c>
      <c r="C1276" s="15" t="str">
        <f ca="1">VLOOKUP(B1276,'ALL DATABASES'!$A$1:$T$2252,2,FALSE)</f>
        <v>Antonio VallecilloJoost VisserRicardo PÃ©rez-Castillo</v>
      </c>
      <c r="D1276" s="15">
        <f ca="1">VLOOKUP(B1276,'ALL DATABASES'!$A$1:$T$2252,5,FALSE)</f>
        <v>2022</v>
      </c>
      <c r="E1276" s="15">
        <f ca="1">VLOOKUP(B1276,'ALL DATABASES'!$A$1:$T$2252,10,FALSE)</f>
        <v>0</v>
      </c>
      <c r="F1276" s="54" t="str">
        <f ca="1">VLOOKUP(B1276,'ALL DATABASES'!$A$1:$T$2252,14,FALSE)</f>
        <v>http://link.springer.com/book/10.1007/978-3-031-14179-9</v>
      </c>
      <c r="G1276" s="15" t="str">
        <f ca="1">VLOOKUP(B1276,'ALL DATABASES'!$A$1:$T$2252,3,FALSE)</f>
        <v>Book</v>
      </c>
      <c r="H1276" s="50" t="str">
        <f ca="1">VLOOKUP(B1276,'ALL DATABASES'!$A$1:$T$2252,20,FALSE)</f>
        <v>SPRINGER</v>
      </c>
    </row>
    <row r="1277" spans="1:8" ht="12.75" x14ac:dyDescent="0.2">
      <c r="A1277">
        <v>1276</v>
      </c>
      <c r="B1277" s="15" t="str">
        <f ca="1">IFERROR(__xludf.DUMMYFUNCTION("""COMPUTED_VALUE"""),"Quality-Aware Rapid Software Development Project: The Q-Rapids Project")</f>
        <v>Quality-Aware Rapid Software Development Project: The Q-Rapids Project</v>
      </c>
      <c r="C1277" s="15" t="str">
        <f ca="1">VLOOKUP(B1277,'ALL DATABASES'!$A$1:$T$2252,2,FALSE)</f>
        <v>Xavier FranchLidia LopezSilverio MartÃ­nez-FernÃ¡ndezMarc OriolPilar RodrÃ­guezAdam Trendowicz</v>
      </c>
      <c r="D1277" s="15">
        <f ca="1">VLOOKUP(B1277,'ALL DATABASES'!$A$1:$T$2252,5,FALSE)</f>
        <v>2019</v>
      </c>
      <c r="E1277" s="15">
        <f ca="1">VLOOKUP(B1277,'ALL DATABASES'!$A$1:$T$2252,10,FALSE)</f>
        <v>0</v>
      </c>
      <c r="F1277" s="54" t="str">
        <f ca="1">VLOOKUP(B1277,'ALL DATABASES'!$A$1:$T$2252,14,FALSE)</f>
        <v>http://link.springer.com/chapter/10.1007/978-3-030-29852-4_32</v>
      </c>
      <c r="G1277" s="15" t="str">
        <f ca="1">VLOOKUP(B1277,'ALL DATABASES'!$A$1:$T$2252,3,FALSE)</f>
        <v>Chapter</v>
      </c>
      <c r="H1277" s="50" t="str">
        <f ca="1">VLOOKUP(B1277,'ALL DATABASES'!$A$1:$T$2252,20,FALSE)</f>
        <v>SPRINGER</v>
      </c>
    </row>
    <row r="1278" spans="1:8" ht="12.75" x14ac:dyDescent="0.2">
      <c r="A1278">
        <v>1277</v>
      </c>
      <c r="B1278" s="15" t="str">
        <f ca="1">IFERROR(__xludf.DUMMYFUNCTION("""COMPUTED_VALUE"""),"Quantitative software change prediction in open source web projects using time series forecasting")</f>
        <v>Quantitative software change prediction in open source web projects using time series forecasting</v>
      </c>
      <c r="C1278" s="15" t="str">
        <f ca="1">VLOOKUP(B1278,'ALL DATABASES'!$A$1:$T$2252,2,FALSE)</f>
        <v>Rhmann W</v>
      </c>
      <c r="D1278" s="15">
        <f ca="1">VLOOKUP(B1278,'ALL DATABASES'!$A$1:$T$2252,5,FALSE)</f>
        <v>2021</v>
      </c>
      <c r="E1278" s="15">
        <f ca="1">VLOOKUP(B1278,'ALL DATABASES'!$A$1:$T$2252,10,FALSE)</f>
        <v>2021</v>
      </c>
      <c r="F1278" s="54" t="str">
        <f ca="1">VLOOKUP(B1278,'ALL DATABASES'!$A$1:$T$2252,14,FALSE)</f>
        <v>https://www.scopus.com/inward/record.uri?eid=2-s2.0-85107594454&amp;doi=10.4018%2fIJOSSP.2021040103&amp;partnerID=40&amp;md5=7bba65bb666a08cde582889021508a38;http://dx.doi.org/10.4018/IJOSSP.2021040103</v>
      </c>
      <c r="G1278" s="15" t="str">
        <f ca="1">VLOOKUP(B1278,'ALL DATABASES'!$A$1:$T$2252,3,FALSE)</f>
        <v>Journal Article</v>
      </c>
      <c r="H1278" s="50" t="str">
        <f ca="1">VLOOKUP(B1278,'ALL DATABASES'!$A$1:$T$2252,20,FALSE)</f>
        <v>SCOPUS</v>
      </c>
    </row>
    <row r="1279" spans="1:8" ht="12.75" x14ac:dyDescent="0.2">
      <c r="A1279">
        <v>1278</v>
      </c>
      <c r="B1279" s="15" t="str">
        <f ca="1">IFERROR(__xludf.DUMMYFUNCTION("""COMPUTED_VALUE"""),"Quick remedy commits and their impact on mining software repositories")</f>
        <v>Quick remedy commits and their impact on mining software repositories</v>
      </c>
      <c r="C1279" s="15" t="str">
        <f ca="1">VLOOKUP(B1279,'ALL DATABASES'!$A$1:$T$2252,2,FALSE)</f>
        <v>Wen F,Nagy C,Lanza M,Bavota G</v>
      </c>
      <c r="D1279" s="15">
        <f ca="1">VLOOKUP(B1279,'ALL DATABASES'!$A$1:$T$2252,5,FALSE)</f>
        <v>2022</v>
      </c>
      <c r="E1279" s="15">
        <f ca="1">VLOOKUP(B1279,'ALL DATABASES'!$A$1:$T$2252,10,FALSE)</f>
        <v>2022</v>
      </c>
      <c r="F1279" s="54" t="str">
        <f ca="1">VLOOKUP(B1279,'ALL DATABASES'!$A$1:$T$2252,14,FALSE)</f>
        <v>https://www.scopus.com/inward/record.uri?eid=2-s2.0-85118233931&amp;doi=10.1007%2fs10664-021-10051-z&amp;partnerID=40&amp;md5=60ee8216c8d94a47bf71be4b24839ff1;http://dx.doi.org/10.1007/s10664-021-10051-z</v>
      </c>
      <c r="G1279" s="15" t="str">
        <f ca="1">VLOOKUP(B1279,'ALL DATABASES'!$A$1:$T$2252,3,FALSE)</f>
        <v>Journal Article</v>
      </c>
      <c r="H1279" s="50" t="str">
        <f ca="1">VLOOKUP(B1279,'ALL DATABASES'!$A$1:$T$2252,20,FALSE)</f>
        <v>SCOPUS</v>
      </c>
    </row>
    <row r="1280" spans="1:8" ht="12.75" x14ac:dyDescent="0.2">
      <c r="A1280">
        <v>1279</v>
      </c>
      <c r="B1280" s="15" t="str">
        <f ca="1">IFERROR(__xludf.DUMMYFUNCTION("""COMPUTED_VALUE"""),"RADON: rational decomposition and orchestration for serverless computing")</f>
        <v>RADON: rational decomposition and orchestration for serverless computing</v>
      </c>
      <c r="C1280" s="15" t="str">
        <f ca="1">VLOOKUP(B1280,'ALL DATABASES'!$A$1:$T$2252,2,FALSE)</f>
        <v>G. CasaleM. ArtaÄW.-J. van den HeuvelA. van HoornP. JakovitsF. LeymannM. LongV. PapanikolaouD. PresenzaA. RussoS. N. SriramaD. A. TamburriM. WursterL. Zhu</v>
      </c>
      <c r="D1280" s="15">
        <f ca="1">VLOOKUP(B1280,'ALL DATABASES'!$A$1:$T$2252,5,FALSE)</f>
        <v>2020</v>
      </c>
      <c r="E1280" s="15">
        <f ca="1">VLOOKUP(B1280,'ALL DATABASES'!$A$1:$T$2252,10,FALSE)</f>
        <v>0</v>
      </c>
      <c r="F1280" s="54" t="str">
        <f ca="1">VLOOKUP(B1280,'ALL DATABASES'!$A$1:$T$2252,14,FALSE)</f>
        <v>http://link.springer.com/article/10.1007/s00450-019-00413-w</v>
      </c>
      <c r="G1280" s="15" t="str">
        <f ca="1">VLOOKUP(B1280,'ALL DATABASES'!$A$1:$T$2252,3,FALSE)</f>
        <v>Article</v>
      </c>
      <c r="H1280" s="50" t="str">
        <f ca="1">VLOOKUP(B1280,'ALL DATABASES'!$A$1:$T$2252,20,FALSE)</f>
        <v>SPRINGER</v>
      </c>
    </row>
    <row r="1281" spans="1:8" ht="12.75" x14ac:dyDescent="0.2">
      <c r="A1281">
        <v>1280</v>
      </c>
      <c r="B1281" s="15" t="str">
        <f ca="1">IFERROR(__xludf.DUMMYFUNCTION("""COMPUTED_VALUE"""),"Rafiki: Machine learning as an analytics service system")</f>
        <v>Rafiki: Machine learning as an analytics service system</v>
      </c>
      <c r="C1281" s="15" t="str">
        <f ca="1">VLOOKUP(B1281,'ALL DATABASES'!$A$1:$T$2252,2,FALSE)</f>
        <v>Wang W,Gao J,Zhang M,Wang S,Chen G,Ng TK,Ooi BC,Shao J,Reyad M</v>
      </c>
      <c r="D1281" s="15">
        <f ca="1">VLOOKUP(B1281,'ALL DATABASES'!$A$1:$T$2252,5,FALSE)</f>
        <v>2018</v>
      </c>
      <c r="E1281" s="15">
        <f ca="1">VLOOKUP(B1281,'ALL DATABASES'!$A$1:$T$2252,10,FALSE)</f>
        <v>2018</v>
      </c>
      <c r="F1281" s="54" t="str">
        <f ca="1">VLOOKUP(B1281,'ALL DATABASES'!$A$1:$T$2252,14,FALSE)</f>
        <v>https://www.scopus.com/inward/record.uri?eid=2-s2.0-85061759520&amp;doi=10.14778%2f3282495.3282499&amp;partnerID=40&amp;md5=a22d5fef39e21569f72e25db07226865;http://dx.doi.org/10.14778/3282495.3282499</v>
      </c>
      <c r="G1281" s="15" t="str">
        <f ca="1">VLOOKUP(B1281,'ALL DATABASES'!$A$1:$T$2252,3,FALSE)</f>
        <v>Conference Paper</v>
      </c>
      <c r="H1281" s="50" t="str">
        <f ca="1">VLOOKUP(B1281,'ALL DATABASES'!$A$1:$T$2252,20,FALSE)</f>
        <v>SCOPUS</v>
      </c>
    </row>
    <row r="1282" spans="1:8" ht="12.75" x14ac:dyDescent="0.2">
      <c r="A1282">
        <v>1281</v>
      </c>
      <c r="B1282" s="15" t="str">
        <f ca="1">IFERROR(__xludf.DUMMYFUNCTION("""COMPUTED_VALUE"""),"Ranking architecturally critical agglomerations of code smells")</f>
        <v>Ranking architecturally critical agglomerations of code smells</v>
      </c>
      <c r="C1282" s="15" t="str">
        <f ca="1">VLOOKUP(B1282,'ALL DATABASES'!$A$1:$T$2252,2,FALSE)</f>
        <v>Vidal S,Oizumi W,Garcia A,Díaz Pace A,Marcos C</v>
      </c>
      <c r="D1282" s="15">
        <f ca="1">VLOOKUP(B1282,'ALL DATABASES'!$A$1:$T$2252,5,FALSE)</f>
        <v>2019</v>
      </c>
      <c r="E1282" s="15">
        <f ca="1">VLOOKUP(B1282,'ALL DATABASES'!$A$1:$T$2252,10,FALSE)</f>
        <v>2019</v>
      </c>
      <c r="F1282" s="54" t="str">
        <f ca="1">VLOOKUP(B1282,'ALL DATABASES'!$A$1:$T$2252,14,FALSE)</f>
        <v>https://www.scopus.com/inward/record.uri?eid=2-s2.0-85069681117&amp;doi=10.1016%2fj.scico.2019.07.003&amp;partnerID=40&amp;md5=86ac2ef03678b1c57070981a2c3f964d;http://dx.doi.org/10.1016/j.scico.2019.07.003</v>
      </c>
      <c r="G1282" s="15" t="str">
        <f ca="1">VLOOKUP(B1282,'ALL DATABASES'!$A$1:$T$2252,3,FALSE)</f>
        <v>Journal Article</v>
      </c>
      <c r="H1282" s="50" t="str">
        <f ca="1">VLOOKUP(B1282,'ALL DATABASES'!$A$1:$T$2252,20,FALSE)</f>
        <v>SCOPUS</v>
      </c>
    </row>
    <row r="1283" spans="1:8" ht="12.75" x14ac:dyDescent="0.2">
      <c r="A1283">
        <v>1282</v>
      </c>
      <c r="B1283" s="15" t="str">
        <f ca="1">IFERROR(__xludf.DUMMYFUNCTION("""COMPUTED_VALUE"""),"Rapid quality assurance with Requirements Smells")</f>
        <v>Rapid quality assurance with Requirements Smells</v>
      </c>
      <c r="C1283" s="15" t="str">
        <f ca="1">VLOOKUP(B1283,'ALL DATABASES'!$A$1:$T$2252,2,FALSE)</f>
        <v>Femmer H,Méndez Fernández D,Wagner S,Eder S</v>
      </c>
      <c r="D1283" s="15">
        <f ca="1">VLOOKUP(B1283,'ALL DATABASES'!$A$1:$T$2252,5,FALSE)</f>
        <v>2017</v>
      </c>
      <c r="E1283" s="15">
        <f ca="1">VLOOKUP(B1283,'ALL DATABASES'!$A$1:$T$2252,10,FALSE)</f>
        <v>2017</v>
      </c>
      <c r="F1283" s="54" t="str">
        <f ca="1">VLOOKUP(B1283,'ALL DATABASES'!$A$1:$T$2252,14,FALSE)</f>
        <v>https://www.sciencedirect.com/science/article/pii/S0164121216000789;http://dx.doi.org/10.1016/j.jss.2016.02.047</v>
      </c>
      <c r="G1283" s="15" t="str">
        <f ca="1">VLOOKUP(B1283,'ALL DATABASES'!$A$1:$T$2252,3,FALSE)</f>
        <v>Journal Article</v>
      </c>
      <c r="H1283" s="50" t="str">
        <f ca="1">VLOOKUP(B1283,'ALL DATABASES'!$A$1:$T$2252,20,FALSE)</f>
        <v>SCIENCEDIRECT</v>
      </c>
    </row>
    <row r="1284" spans="1:8" ht="12.75" x14ac:dyDescent="0.2">
      <c r="A1284">
        <v>1283</v>
      </c>
      <c r="B1284" s="15" t="str">
        <f ca="1">IFERROR(__xludf.DUMMYFUNCTION("""COMPUTED_VALUE"""),"Recent Advances in Data Engineering for Networking")</f>
        <v>Recent Advances in Data Engineering for Networking</v>
      </c>
      <c r="C1284" s="15" t="str">
        <f ca="1">VLOOKUP(B1284,'ALL DATABASES'!$A$1:$T$2252,2,FALSE)</f>
        <v>Zeydan E,Mangues-Bafalluy J</v>
      </c>
      <c r="D1284" s="15">
        <f ca="1">VLOOKUP(B1284,'ALL DATABASES'!$A$1:$T$2252,5,FALSE)</f>
        <v>2022</v>
      </c>
      <c r="E1284" s="15">
        <f ca="1">VLOOKUP(B1284,'ALL DATABASES'!$A$1:$T$2252,10,FALSE)</f>
        <v>2022</v>
      </c>
      <c r="F1284" s="54" t="str">
        <f ca="1">VLOOKUP(B1284,'ALL DATABASES'!$A$1:$T$2252,14,FALSE)</f>
        <v>https://www.scopus.com/inward/record.uri?eid=2-s2.0-85127505809&amp;doi=10.1109%2fACCESS.2022.3162863&amp;partnerID=40&amp;md5=0728d4f1754264db03e8492a6dee1ef2;http://dx.doi.org/10.1109/ACCESS.2022.3162863</v>
      </c>
      <c r="G1284" s="15" t="str">
        <f ca="1">VLOOKUP(B1284,'ALL DATABASES'!$A$1:$T$2252,3,FALSE)</f>
        <v>Journal Article</v>
      </c>
      <c r="H1284" s="50" t="str">
        <f ca="1">VLOOKUP(B1284,'ALL DATABASES'!$A$1:$T$2252,20,FALSE)</f>
        <v>SCOPUS</v>
      </c>
    </row>
    <row r="1285" spans="1:8" ht="12.75" x14ac:dyDescent="0.2">
      <c r="A1285">
        <v>1284</v>
      </c>
      <c r="B1285" s="15" t="str">
        <f ca="1">IFERROR(__xludf.DUMMYFUNCTION("""COMPUTED_VALUE"""),"Recommendations for all: Solving thousands of recommendation problems daily")</f>
        <v>Recommendations for all: Solving thousands of recommendation problems daily</v>
      </c>
      <c r="C1285" s="15" t="str">
        <f ca="1">VLOOKUP(B1285,'ALL DATABASES'!$A$1:$T$2252,2,FALSE)</f>
        <v>Kanagal B,Tata S</v>
      </c>
      <c r="D1285" s="15">
        <f ca="1">VLOOKUP(B1285,'ALL DATABASES'!$A$1:$T$2252,5,FALSE)</f>
        <v>2018</v>
      </c>
      <c r="E1285" s="15">
        <f ca="1">VLOOKUP(B1285,'ALL DATABASES'!$A$1:$T$2252,10,FALSE)</f>
        <v>2018</v>
      </c>
      <c r="F1285" s="54" t="str">
        <f ca="1">VLOOKUP(B1285,'ALL DATABASES'!$A$1:$T$2252,14,FALSE)</f>
        <v>https://www.scopus.com/inward/record.uri?eid=2-s2.0-85057113704&amp;doi=10.1109%2fICDE.2018.00159&amp;partnerID=40&amp;md5=9f84eeae9e2f154f00c81fbded42d099;http://dx.doi.org/10.1109/ICDE.2018.00159</v>
      </c>
      <c r="G1285" s="15" t="str">
        <f ca="1">VLOOKUP(B1285,'ALL DATABASES'!$A$1:$T$2252,3,FALSE)</f>
        <v>Conference Paper</v>
      </c>
      <c r="H1285" s="50" t="str">
        <f ca="1">VLOOKUP(B1285,'ALL DATABASES'!$A$1:$T$2252,20,FALSE)</f>
        <v>SCOPUS</v>
      </c>
    </row>
    <row r="1286" spans="1:8" ht="12.75" x14ac:dyDescent="0.2">
      <c r="A1286">
        <v>1285</v>
      </c>
      <c r="B1286" s="15" t="str">
        <f ca="1">IFERROR(__xludf.DUMMYFUNCTION("""COMPUTED_VALUE"""),"Recommending refactorings via commit message analysis")</f>
        <v>Recommending refactorings via commit message analysis</v>
      </c>
      <c r="C1286" s="15" t="str">
        <f ca="1">VLOOKUP(B1286,'ALL DATABASES'!$A$1:$T$2252,2,FALSE)</f>
        <v>Rebai S,Kessentini M,Alizadeh V,Sghaier OB,Kazman R</v>
      </c>
      <c r="D1286" s="15">
        <f ca="1">VLOOKUP(B1286,'ALL DATABASES'!$A$1:$T$2252,5,FALSE)</f>
        <v>2020</v>
      </c>
      <c r="E1286" s="15">
        <f ca="1">VLOOKUP(B1286,'ALL DATABASES'!$A$1:$T$2252,10,FALSE)</f>
        <v>2020</v>
      </c>
      <c r="F1286" s="54" t="str">
        <f ca="1">VLOOKUP(B1286,'ALL DATABASES'!$A$1:$T$2252,14,FALSE)</f>
        <v>https://www.sciencedirect.com/science/article/pii/S0950584920300914;http://dx.doi.org/10.1016/j.infsof.2020.106332</v>
      </c>
      <c r="G1286" s="15" t="str">
        <f ca="1">VLOOKUP(B1286,'ALL DATABASES'!$A$1:$T$2252,3,FALSE)</f>
        <v>Journal Article</v>
      </c>
      <c r="H1286" s="50" t="str">
        <f ca="1">VLOOKUP(B1286,'ALL DATABASES'!$A$1:$T$2252,20,FALSE)</f>
        <v>SCIENCEDIRECT</v>
      </c>
    </row>
    <row r="1287" spans="1:8" ht="12.75" x14ac:dyDescent="0.2">
      <c r="A1287">
        <v>1286</v>
      </c>
      <c r="B1287" s="15" t="str">
        <f ca="1">IFERROR(__xludf.DUMMYFUNCTION("""COMPUTED_VALUE"""),"Recommending when Design Technical Debt Should be Self-Admitted")</f>
        <v>Recommending when Design Technical Debt Should be Self-Admitted</v>
      </c>
      <c r="C1287" s="15" t="str">
        <f ca="1">VLOOKUP(B1287,'ALL DATABASES'!$A$1:$T$2252,2,FALSE)</f>
        <v>Zampetti F,Noiseux C,Antoniol G,Khomh F,Di Penta M</v>
      </c>
      <c r="D1287" s="15">
        <f ca="1">VLOOKUP(B1287,'ALL DATABASES'!$A$1:$T$2252,5,FALSE)</f>
        <v>2017</v>
      </c>
      <c r="E1287" s="55">
        <f ca="1">VLOOKUP(B1287,'ALL DATABASES'!$A$1:$T$2252,10,FALSE)</f>
        <v>42979</v>
      </c>
      <c r="F1287" s="54" t="str">
        <f ca="1">VLOOKUP(B1287,'ALL DATABASES'!$A$1:$T$2252,14,FALSE)</f>
        <v>http://dx.doi.org/10.1109/ICSME.2017.44</v>
      </c>
      <c r="G1287" s="15" t="str">
        <f ca="1">VLOOKUP(B1287,'ALL DATABASES'!$A$1:$T$2252,3,FALSE)</f>
        <v>Conference Paper</v>
      </c>
      <c r="H1287" s="50" t="str">
        <f ca="1">VLOOKUP(B1287,'ALL DATABASES'!$A$1:$T$2252,20,FALSE)</f>
        <v>IEEE</v>
      </c>
    </row>
    <row r="1288" spans="1:8" ht="12.75" x14ac:dyDescent="0.2">
      <c r="A1288">
        <v>1287</v>
      </c>
      <c r="B1288" s="15" t="str">
        <f ca="1">IFERROR(__xludf.DUMMYFUNCTION("""COMPUTED_VALUE"""),"Recover and RELAX: Concern-Oriented Software Architecture Recovery for Systems Development and Maintenance")</f>
        <v>Recover and RELAX: Concern-Oriented Software Architecture Recovery for Systems Development and Maintenance</v>
      </c>
      <c r="C1288" s="15" t="str">
        <f ca="1">VLOOKUP(B1288,'ALL DATABASES'!$A$1:$T$2252,2,FALSE)</f>
        <v>Link D,Behnamghader P,Moazeni R,Boehm B</v>
      </c>
      <c r="D1288" s="15">
        <f ca="1">VLOOKUP(B1288,'ALL DATABASES'!$A$1:$T$2252,5,FALSE)</f>
        <v>2019</v>
      </c>
      <c r="E1288" s="15">
        <f ca="1">VLOOKUP(B1288,'ALL DATABASES'!$A$1:$T$2252,10,FALSE)</f>
        <v>2019</v>
      </c>
      <c r="F1288" s="54" t="str">
        <f ca="1">VLOOKUP(B1288,'ALL DATABASES'!$A$1:$T$2252,14,FALSE)</f>
        <v>https://doi.org/10.1109/ICSSP.2019.00018;http://dx.doi.org/10.1109/ICSSP.2019.00018</v>
      </c>
      <c r="G1288" s="15" t="str">
        <f ca="1">VLOOKUP(B1288,'ALL DATABASES'!$A$1:$T$2252,3,FALSE)</f>
        <v>Conference Paper</v>
      </c>
      <c r="H1288" s="50" t="str">
        <f ca="1">VLOOKUP(B1288,'ALL DATABASES'!$A$1:$T$2252,20,FALSE)</f>
        <v>ACM</v>
      </c>
    </row>
    <row r="1289" spans="1:8" ht="12.75" x14ac:dyDescent="0.2">
      <c r="A1289">
        <v>1288</v>
      </c>
      <c r="B1289" s="15" t="str">
        <f ca="1">IFERROR(__xludf.DUMMYFUNCTION("""COMPUTED_VALUE"""),"Reducing Friction in Software Development")</f>
        <v>Reducing Friction in Software Development</v>
      </c>
      <c r="C1289" s="15" t="str">
        <f ca="1">VLOOKUP(B1289,'ALL DATABASES'!$A$1:$T$2252,2,FALSE)</f>
        <v>Avgeriou P,Kruchten P,Nord RL,Ozkaya I,Seaman C</v>
      </c>
      <c r="D1289" s="15">
        <f ca="1">VLOOKUP(B1289,'ALL DATABASES'!$A$1:$T$2252,5,FALSE)</f>
        <v>2016</v>
      </c>
      <c r="E1289" s="55">
        <f ca="1">VLOOKUP(B1289,'ALL DATABASES'!$A$1:$T$2252,10,FALSE)</f>
        <v>42370</v>
      </c>
      <c r="F1289" s="54" t="str">
        <f ca="1">VLOOKUP(B1289,'ALL DATABASES'!$A$1:$T$2252,14,FALSE)</f>
        <v>http://dx.doi.org/10.1109/MS.2016.13</v>
      </c>
      <c r="G1289" s="15" t="str">
        <f ca="1">VLOOKUP(B1289,'ALL DATABASES'!$A$1:$T$2252,3,FALSE)</f>
        <v>Journal Article</v>
      </c>
      <c r="H1289" s="50" t="str">
        <f ca="1">VLOOKUP(B1289,'ALL DATABASES'!$A$1:$T$2252,20,FALSE)</f>
        <v>IEEE</v>
      </c>
    </row>
    <row r="1290" spans="1:8" ht="12.75" x14ac:dyDescent="0.2">
      <c r="A1290">
        <v>1289</v>
      </c>
      <c r="B1290" s="15" t="str">
        <f ca="1">IFERROR(__xludf.DUMMYFUNCTION("""COMPUTED_VALUE"""),"Refactoring Cost Estimation for Architectural Technical Debt")</f>
        <v>Refactoring Cost Estimation for Architectural Technical Debt</v>
      </c>
      <c r="C1290" s="15" t="str">
        <f ca="1">VLOOKUP(B1290,'ALL DATABASES'!$A$1:$T$2252,2,FALSE)</f>
        <v>Deeb S,Benidris M,Ammar H,Dzielski D</v>
      </c>
      <c r="D1290" s="15">
        <f ca="1">VLOOKUP(B1290,'ALL DATABASES'!$A$1:$T$2252,5,FALSE)</f>
        <v>2021</v>
      </c>
      <c r="E1290" s="15">
        <f ca="1">VLOOKUP(B1290,'ALL DATABASES'!$A$1:$T$2252,10,FALSE)</f>
        <v>2021</v>
      </c>
      <c r="F1290" s="54" t="str">
        <f ca="1">VLOOKUP(B1290,'ALL DATABASES'!$A$1:$T$2252,14,FALSE)</f>
        <v>https://www.scopus.com/inward/record.uri?eid=2-s2.0-85102010209&amp;doi=10.1142%2fS021819402150008X&amp;partnerID=40&amp;md5=dbf2dc671d419b196d65a4aa0bb0126e;http://dx.doi.org/10.1142/S021819402150008X</v>
      </c>
      <c r="G1290" s="15" t="str">
        <f ca="1">VLOOKUP(B1290,'ALL DATABASES'!$A$1:$T$2252,3,FALSE)</f>
        <v>Journal Article</v>
      </c>
      <c r="H1290" s="50" t="str">
        <f ca="1">VLOOKUP(B1290,'ALL DATABASES'!$A$1:$T$2252,20,FALSE)</f>
        <v>SCOPUS</v>
      </c>
    </row>
    <row r="1291" spans="1:8" ht="12.75" x14ac:dyDescent="0.2">
      <c r="A1291">
        <v>1290</v>
      </c>
      <c r="B1291" s="15" t="str">
        <f ca="1">IFERROR(__xludf.DUMMYFUNCTION("""COMPUTED_VALUE"""),"Refactoring Debt: Myth or Reality? An Exploratory Study on the Relationship between Technical Debt and Refactoring")</f>
        <v>Refactoring Debt: Myth or Reality? An Exploratory Study on the Relationship between Technical Debt and Refactoring</v>
      </c>
      <c r="C1291" s="15" t="str">
        <f ca="1">VLOOKUP(B1291,'ALL DATABASES'!$A$1:$T$2252,2,FALSE)</f>
        <v>Peruma A,Alomar EA,Newman CD,Mkaouer MW,Ouni A</v>
      </c>
      <c r="D1291" s="15">
        <f ca="1">VLOOKUP(B1291,'ALL DATABASES'!$A$1:$T$2252,5,FALSE)</f>
        <v>2022</v>
      </c>
      <c r="E1291" s="15">
        <f ca="1">VLOOKUP(B1291,'ALL DATABASES'!$A$1:$T$2252,10,FALSE)</f>
        <v>2022</v>
      </c>
      <c r="F1291" s="54" t="str">
        <f ca="1">VLOOKUP(B1291,'ALL DATABASES'!$A$1:$T$2252,14,FALSE)</f>
        <v>https://www.scopus.com/inward/record.uri?eid=2-s2.0-85134067292&amp;doi=10.1145%2f3524842.3528527&amp;partnerID=40&amp;md5=2f1e84d0830061e07690e5dc2defc3c2;http://dx.doi.org/10.1145/3524842.3528527</v>
      </c>
      <c r="G1291" s="15" t="str">
        <f ca="1">VLOOKUP(B1291,'ALL DATABASES'!$A$1:$T$2252,3,FALSE)</f>
        <v>Conference Paper</v>
      </c>
      <c r="H1291" s="50" t="str">
        <f ca="1">VLOOKUP(B1291,'ALL DATABASES'!$A$1:$T$2252,20,FALSE)</f>
        <v>SCOPUS</v>
      </c>
    </row>
    <row r="1292" spans="1:8" ht="12.75" x14ac:dyDescent="0.2">
      <c r="A1292">
        <v>1291</v>
      </c>
      <c r="B1292" s="15" t="str">
        <f ca="1">IFERROR(__xludf.DUMMYFUNCTION("""COMPUTED_VALUE"""),"Refactoring for reuse: an empirical study")</f>
        <v>Refactoring for reuse: an empirical study</v>
      </c>
      <c r="C1292" s="15" t="str">
        <f ca="1">VLOOKUP(B1292,'ALL DATABASES'!$A$1:$T$2252,2,FALSE)</f>
        <v>Alomar EA,Wang T,Raut V,Mkaouer MW,Newman C,Ouni A</v>
      </c>
      <c r="D1292" s="15">
        <f ca="1">VLOOKUP(B1292,'ALL DATABASES'!$A$1:$T$2252,5,FALSE)</f>
        <v>2022</v>
      </c>
      <c r="E1292" s="15">
        <f ca="1">VLOOKUP(B1292,'ALL DATABASES'!$A$1:$T$2252,10,FALSE)</f>
        <v>2022</v>
      </c>
      <c r="F1292" s="54" t="str">
        <f ca="1">VLOOKUP(B1292,'ALL DATABASES'!$A$1:$T$2252,14,FALSE)</f>
        <v>https://www.scopus.com/inward/record.uri?eid=2-s2.0-85123066032&amp;doi=10.1007%2fs11334-021-00422-6&amp;partnerID=40&amp;md5=3fff891353aeee11ee10e74f82f79508;http://dx.doi.org/10.1007/s11334-021-00422-6</v>
      </c>
      <c r="G1292" s="15" t="str">
        <f ca="1">VLOOKUP(B1292,'ALL DATABASES'!$A$1:$T$2252,3,FALSE)</f>
        <v>Journal Article</v>
      </c>
      <c r="H1292" s="50" t="str">
        <f ca="1">VLOOKUP(B1292,'ALL DATABASES'!$A$1:$T$2252,20,FALSE)</f>
        <v>SCOPUS</v>
      </c>
    </row>
    <row r="1293" spans="1:8" ht="12.75" x14ac:dyDescent="0.2">
      <c r="A1293">
        <v>1292</v>
      </c>
      <c r="B1293" s="15" t="str">
        <f ca="1">IFERROR(__xludf.DUMMYFUNCTION("""COMPUTED_VALUE"""),"Refactoring in Computational Notebooks")</f>
        <v>Refactoring in Computational Notebooks</v>
      </c>
      <c r="C1293" s="15" t="str">
        <f ca="1">VLOOKUP(B1293,'ALL DATABASES'!$A$1:$T$2252,2,FALSE)</f>
        <v>Liu ES,Lukes DA,Griswold WG</v>
      </c>
      <c r="D1293" s="15">
        <f ca="1">VLOOKUP(B1293,'ALL DATABASES'!$A$1:$T$2252,5,FALSE)</f>
        <v>2022</v>
      </c>
      <c r="E1293" s="53">
        <f ca="1">VLOOKUP(B1293,'ALL DATABASES'!$A$1:$T$2252,10,FALSE)</f>
        <v>44896</v>
      </c>
      <c r="F1293" s="54" t="str">
        <f ca="1">VLOOKUP(B1293,'ALL DATABASES'!$A$1:$T$2252,14,FALSE)</f>
        <v>https://doi.org/10.1145/3576036;http://dx.doi.org/10.1145/3576036</v>
      </c>
      <c r="G1293" s="15" t="str">
        <f ca="1">VLOOKUP(B1293,'ALL DATABASES'!$A$1:$T$2252,3,FALSE)</f>
        <v>Journal Article</v>
      </c>
      <c r="H1293" s="50" t="str">
        <f ca="1">VLOOKUP(B1293,'ALL DATABASES'!$A$1:$T$2252,20,FALSE)</f>
        <v>ACM</v>
      </c>
    </row>
    <row r="1294" spans="1:8" ht="12.75" x14ac:dyDescent="0.2">
      <c r="A1294">
        <v>1293</v>
      </c>
      <c r="B1294" s="15" t="str">
        <f ca="1">IFERROR(__xludf.DUMMYFUNCTION("""COMPUTED_VALUE"""),"RefactoringMiner 2.0")</f>
        <v>RefactoringMiner 2.0</v>
      </c>
      <c r="C1294" s="15" t="str">
        <f ca="1">VLOOKUP(B1294,'ALL DATABASES'!$A$1:$T$2252,2,FALSE)</f>
        <v>Tsantalis N,Ketkar A,Dig D</v>
      </c>
      <c r="D1294" s="15">
        <f ca="1">VLOOKUP(B1294,'ALL DATABASES'!$A$1:$T$2252,5,FALSE)</f>
        <v>2022</v>
      </c>
      <c r="E1294" s="55">
        <f ca="1">VLOOKUP(B1294,'ALL DATABASES'!$A$1:$T$2252,10,FALSE)</f>
        <v>44621</v>
      </c>
      <c r="F1294" s="54" t="str">
        <f ca="1">VLOOKUP(B1294,'ALL DATABASES'!$A$1:$T$2252,14,FALSE)</f>
        <v>http://dx.doi.org/10.1109/TSE.2020.3007722</v>
      </c>
      <c r="G1294" s="15" t="str">
        <f ca="1">VLOOKUP(B1294,'ALL DATABASES'!$A$1:$T$2252,3,FALSE)</f>
        <v>Journal Article</v>
      </c>
      <c r="H1294" s="50" t="str">
        <f ca="1">VLOOKUP(B1294,'ALL DATABASES'!$A$1:$T$2252,20,FALSE)</f>
        <v>IEEE</v>
      </c>
    </row>
    <row r="1295" spans="1:8" ht="12.75" x14ac:dyDescent="0.2">
      <c r="A1295">
        <v>1294</v>
      </c>
      <c r="B1295" s="15" t="str">
        <f ca="1">IFERROR(__xludf.DUMMYFUNCTION("""COMPUTED_VALUE"""),"Reg-SA-UNet++: A Lightweight Landslide Detection Network Based on Single-Temporal Images Captured Postlandslide")</f>
        <v>Reg-SA-UNet++: A Lightweight Landslide Detection Network Based on Single-Temporal Images Captured Postlandslide</v>
      </c>
      <c r="C1295" s="15" t="str">
        <f ca="1">VLOOKUP(B1295,'ALL DATABASES'!$A$1:$T$2252,2,FALSE)</f>
        <v>Niu C,Gao O,Lu W,Liu W,Lai T</v>
      </c>
      <c r="D1295" s="15">
        <f ca="1">VLOOKUP(B1295,'ALL DATABASES'!$A$1:$T$2252,5,FALSE)</f>
        <v>2022</v>
      </c>
      <c r="E1295" s="15">
        <f ca="1">VLOOKUP(B1295,'ALL DATABASES'!$A$1:$T$2252,10,FALSE)</f>
        <v>2022</v>
      </c>
      <c r="F1295" s="54" t="str">
        <f ca="1">VLOOKUP(B1295,'ALL DATABASES'!$A$1:$T$2252,14,FALSE)</f>
        <v>https://www.scopus.com/inward/record.uri?eid=2-s2.0-85141605926&amp;doi=10.1109%2fJSTARS.2022.3219897&amp;partnerID=40&amp;md5=8666402555025111c6b3fde9268cef8b;http://dx.doi.org/10.1109/JSTARS.2022.3219897</v>
      </c>
      <c r="G1295" s="15" t="str">
        <f ca="1">VLOOKUP(B1295,'ALL DATABASES'!$A$1:$T$2252,3,FALSE)</f>
        <v>Journal Article</v>
      </c>
      <c r="H1295" s="50" t="str">
        <f ca="1">VLOOKUP(B1295,'ALL DATABASES'!$A$1:$T$2252,20,FALSE)</f>
        <v>SCOPUS</v>
      </c>
    </row>
    <row r="1296" spans="1:8" ht="12.75" x14ac:dyDescent="0.2">
      <c r="A1296">
        <v>1295</v>
      </c>
      <c r="B1296" s="15" t="str">
        <f ca="1">IFERROR(__xludf.DUMMYFUNCTION("""COMPUTED_VALUE"""),"Regressing Towards Simpler Prediction Systems")</f>
        <v>Regressing Towards Simpler Prediction Systems</v>
      </c>
      <c r="C1296" s="15" t="str">
        <f ca="1">VLOOKUP(B1296,'ALL DATABASES'!$A$1:$T$2252,2,FALSE)</f>
        <v>Chandra T</v>
      </c>
      <c r="D1296" s="15">
        <f ca="1">VLOOKUP(B1296,'ALL DATABASES'!$A$1:$T$2252,5,FALSE)</f>
        <v>2015</v>
      </c>
      <c r="E1296" s="15">
        <f ca="1">VLOOKUP(B1296,'ALL DATABASES'!$A$1:$T$2252,10,FALSE)</f>
        <v>2015</v>
      </c>
      <c r="F1296" s="54" t="str">
        <f ca="1">VLOOKUP(B1296,'ALL DATABASES'!$A$1:$T$2252,14,FALSE)</f>
        <v>https://doi.org/10.1145/2684822.2697045;http://dx.doi.org/10.1145/2684822.2697045</v>
      </c>
      <c r="G1296" s="15" t="str">
        <f ca="1">VLOOKUP(B1296,'ALL DATABASES'!$A$1:$T$2252,3,FALSE)</f>
        <v>Conference Paper</v>
      </c>
      <c r="H1296" s="50" t="str">
        <f ca="1">VLOOKUP(B1296,'ALL DATABASES'!$A$1:$T$2252,20,FALSE)</f>
        <v>ACM</v>
      </c>
    </row>
    <row r="1297" spans="1:8" ht="12.75" x14ac:dyDescent="0.2">
      <c r="A1297">
        <v>1296</v>
      </c>
      <c r="B1297" s="15" t="str">
        <f ca="1">IFERROR(__xludf.DUMMYFUNCTION("""COMPUTED_VALUE"""),"Regression in Estimation of Software Attributes: A Systematic Literature Review")</f>
        <v>Regression in Estimation of Software Attributes: A Systematic Literature Review</v>
      </c>
      <c r="C1297" s="15" t="str">
        <f ca="1">VLOOKUP(B1297,'ALL DATABASES'!$A$1:$T$2252,2,FALSE)</f>
        <v>Gonzalez-Hemandez S,Sanchez-Garcia AJ,Cortes-Verdin K,Perez-Arriaga JC</v>
      </c>
      <c r="D1297" s="15">
        <f ca="1">VLOOKUP(B1297,'ALL DATABASES'!$A$1:$T$2252,5,FALSE)</f>
        <v>2021</v>
      </c>
      <c r="E1297" s="15">
        <f ca="1">VLOOKUP(B1297,'ALL DATABASES'!$A$1:$T$2252,10,FALSE)</f>
        <v>2021</v>
      </c>
      <c r="F1297" s="54" t="str">
        <f ca="1">VLOOKUP(B1297,'ALL DATABASES'!$A$1:$T$2252,14,FALSE)</f>
        <v>https://www.scopus.com/inward/record.uri?eid=2-s2.0-85124486693&amp;doi=10.1109%2fCONISOFT52520.2021.00019&amp;partnerID=40&amp;md5=02d7704db1cf13e7541b254e7543afb6;http://dx.doi.org/10.1109/CONISOFT52520.2021.00019</v>
      </c>
      <c r="G1297" s="15" t="str">
        <f ca="1">VLOOKUP(B1297,'ALL DATABASES'!$A$1:$T$2252,3,FALSE)</f>
        <v>Conference Paper</v>
      </c>
      <c r="H1297" s="50" t="str">
        <f ca="1">VLOOKUP(B1297,'ALL DATABASES'!$A$1:$T$2252,20,FALSE)</f>
        <v>SCOPUS</v>
      </c>
    </row>
    <row r="1298" spans="1:8" ht="12.75" x14ac:dyDescent="0.2">
      <c r="A1298">
        <v>1297</v>
      </c>
      <c r="B1298" s="15" t="str">
        <f ca="1">IFERROR(__xludf.DUMMYFUNCTION("""COMPUTED_VALUE"""),"Regularity or Anomaly? On The Use of Anomaly Detection for Fine-Grained JIT Defect Prediction")</f>
        <v>Regularity or Anomaly? On The Use of Anomaly Detection for Fine-Grained JIT Defect Prediction</v>
      </c>
      <c r="C1298" s="15" t="str">
        <f ca="1">VLOOKUP(B1298,'ALL DATABASES'!$A$1:$T$2252,2,FALSE)</f>
        <v>Lomio F,Pascarella L,Palomba F,Lenarduzzi V</v>
      </c>
      <c r="D1298" s="15">
        <f ca="1">VLOOKUP(B1298,'ALL DATABASES'!$A$1:$T$2252,5,FALSE)</f>
        <v>2022</v>
      </c>
      <c r="E1298" s="55">
        <f ca="1">VLOOKUP(B1298,'ALL DATABASES'!$A$1:$T$2252,10,FALSE)</f>
        <v>44774</v>
      </c>
      <c r="F1298" s="54" t="str">
        <f ca="1">VLOOKUP(B1298,'ALL DATABASES'!$A$1:$T$2252,14,FALSE)</f>
        <v>http://dx.doi.org/10.1109/SEAA56994.2022.00049</v>
      </c>
      <c r="G1298" s="15" t="str">
        <f ca="1">VLOOKUP(B1298,'ALL DATABASES'!$A$1:$T$2252,3,FALSE)</f>
        <v>Conference Paper</v>
      </c>
      <c r="H1298" s="50" t="str">
        <f ca="1">VLOOKUP(B1298,'ALL DATABASES'!$A$1:$T$2252,20,FALSE)</f>
        <v>IEEE</v>
      </c>
    </row>
    <row r="1299" spans="1:8" ht="12.75" x14ac:dyDescent="0.2">
      <c r="A1299">
        <v>1298</v>
      </c>
      <c r="B1299" s="15" t="str">
        <f ca="1">IFERROR(__xludf.DUMMYFUNCTION("""COMPUTED_VALUE"""),"Relationships between software architecture and source code in practice: An exploratory survey and interview")</f>
        <v>Relationships between software architecture and source code in practice: An exploratory survey and interview</v>
      </c>
      <c r="C1299" s="15" t="str">
        <f ca="1">VLOOKUP(B1299,'ALL DATABASES'!$A$1:$T$2252,2,FALSE)</f>
        <v>Tian F,Liang P,Babar MA</v>
      </c>
      <c r="D1299" s="15">
        <f ca="1">VLOOKUP(B1299,'ALL DATABASES'!$A$1:$T$2252,5,FALSE)</f>
        <v>2022</v>
      </c>
      <c r="E1299" s="15">
        <f ca="1">VLOOKUP(B1299,'ALL DATABASES'!$A$1:$T$2252,10,FALSE)</f>
        <v>2022</v>
      </c>
      <c r="F1299" s="54" t="str">
        <f ca="1">VLOOKUP(B1299,'ALL DATABASES'!$A$1:$T$2252,14,FALSE)</f>
        <v>https://www.sciencedirect.com/science/article/pii/S0950584921001580;http://dx.doi.org/10.1016/j.infsof.2021.106705</v>
      </c>
      <c r="G1299" s="15" t="str">
        <f ca="1">VLOOKUP(B1299,'ALL DATABASES'!$A$1:$T$2252,3,FALSE)</f>
        <v>Journal Article</v>
      </c>
      <c r="H1299" s="50" t="str">
        <f ca="1">VLOOKUP(B1299,'ALL DATABASES'!$A$1:$T$2252,20,FALSE)</f>
        <v>SCIENCEDIRECT</v>
      </c>
    </row>
    <row r="1300" spans="1:8" ht="12.75" x14ac:dyDescent="0.2">
      <c r="A1300">
        <v>1299</v>
      </c>
      <c r="B1300" s="15" t="str">
        <f ca="1">IFERROR(__xludf.DUMMYFUNCTION("""COMPUTED_VALUE"""),"Repairing Deep Neural Networks: Fix Patterns and Challenges")</f>
        <v>Repairing Deep Neural Networks: Fix Patterns and Challenges</v>
      </c>
      <c r="C1300" s="15" t="str">
        <f ca="1">VLOOKUP(B1300,'ALL DATABASES'!$A$1:$T$2252,2,FALSE)</f>
        <v>Islam MJ,Pan R,Nguyen G,Rajan H</v>
      </c>
      <c r="D1300" s="15">
        <f ca="1">VLOOKUP(B1300,'ALL DATABASES'!$A$1:$T$2252,5,FALSE)</f>
        <v>2020</v>
      </c>
      <c r="E1300" s="15">
        <f ca="1">VLOOKUP(B1300,'ALL DATABASES'!$A$1:$T$2252,10,FALSE)</f>
        <v>2020</v>
      </c>
      <c r="F1300" s="54" t="str">
        <f ca="1">VLOOKUP(B1300,'ALL DATABASES'!$A$1:$T$2252,14,FALSE)</f>
        <v>https://doi.org/10.1145/3377811.3380378;http://dx.doi.org/10.1145/3377811.3380378</v>
      </c>
      <c r="G1300" s="15" t="str">
        <f ca="1">VLOOKUP(B1300,'ALL DATABASES'!$A$1:$T$2252,3,FALSE)</f>
        <v>Conference Paper</v>
      </c>
      <c r="H1300" s="50" t="str">
        <f ca="1">VLOOKUP(B1300,'ALL DATABASES'!$A$1:$T$2252,20,FALSE)</f>
        <v>ACM</v>
      </c>
    </row>
    <row r="1301" spans="1:8" ht="12.75" x14ac:dyDescent="0.2">
      <c r="A1301">
        <v>1300</v>
      </c>
      <c r="B1301" s="15" t="str">
        <f ca="1">IFERROR(__xludf.DUMMYFUNCTION("""COMPUTED_VALUE"""),"Replication of Studies in Empirical Software Engineering: A Systematic Mapping Study, from 2013 to 2018")</f>
        <v>Replication of Studies in Empirical Software Engineering: A Systematic Mapping Study, from 2013 to 2018</v>
      </c>
      <c r="C1301" s="15" t="str">
        <f ca="1">VLOOKUP(B1301,'ALL DATABASES'!$A$1:$T$2252,2,FALSE)</f>
        <v>Cruz M,Bernardez B,Duran A,Galindo JA,Ruiz-Cortes A</v>
      </c>
      <c r="D1301" s="15">
        <f ca="1">VLOOKUP(B1301,'ALL DATABASES'!$A$1:$T$2252,5,FALSE)</f>
        <v>2020</v>
      </c>
      <c r="E1301" s="15">
        <f ca="1">VLOOKUP(B1301,'ALL DATABASES'!$A$1:$T$2252,10,FALSE)</f>
        <v>2020</v>
      </c>
      <c r="F1301" s="54" t="str">
        <f ca="1">VLOOKUP(B1301,'ALL DATABASES'!$A$1:$T$2252,14,FALSE)</f>
        <v>https://www.scopus.com/inward/record.uri?eid=2-s2.0-85081158422&amp;doi=10.1109%2fACCESS.2019.2952191&amp;partnerID=40&amp;md5=cb8d4bc14bd2f5ceda66a5fba9dd24f7;http://dx.doi.org/10.1109/ACCESS.2019.2952191</v>
      </c>
      <c r="G1301" s="15" t="str">
        <f ca="1">VLOOKUP(B1301,'ALL DATABASES'!$A$1:$T$2252,3,FALSE)</f>
        <v>Journal Article</v>
      </c>
      <c r="H1301" s="50" t="str">
        <f ca="1">VLOOKUP(B1301,'ALL DATABASES'!$A$1:$T$2252,20,FALSE)</f>
        <v>SCOPUS</v>
      </c>
    </row>
    <row r="1302" spans="1:8" ht="12.75" x14ac:dyDescent="0.2">
      <c r="A1302">
        <v>1301</v>
      </c>
      <c r="B1302" s="15" t="str">
        <f ca="1">IFERROR(__xludf.DUMMYFUNCTION("""COMPUTED_VALUE"""),"RepoVis: Visual Overviews and Full-Text Search in Software Repositories")</f>
        <v>RepoVis: Visual Overviews and Full-Text Search in Software Repositories</v>
      </c>
      <c r="C1302" s="15" t="str">
        <f ca="1">VLOOKUP(B1302,'ALL DATABASES'!$A$1:$T$2252,2,FALSE)</f>
        <v>Feiner J,Andrews K</v>
      </c>
      <c r="D1302" s="15">
        <f ca="1">VLOOKUP(B1302,'ALL DATABASES'!$A$1:$T$2252,5,FALSE)</f>
        <v>2018</v>
      </c>
      <c r="E1302" s="55">
        <f ca="1">VLOOKUP(B1302,'ALL DATABASES'!$A$1:$T$2252,10,FALSE)</f>
        <v>43344</v>
      </c>
      <c r="F1302" s="54" t="str">
        <f ca="1">VLOOKUP(B1302,'ALL DATABASES'!$A$1:$T$2252,14,FALSE)</f>
        <v>http://dx.doi.org/10.1109/VISSOFT.2018.00009</v>
      </c>
      <c r="G1302" s="15" t="str">
        <f ca="1">VLOOKUP(B1302,'ALL DATABASES'!$A$1:$T$2252,3,FALSE)</f>
        <v>Conference Paper</v>
      </c>
      <c r="H1302" s="50" t="str">
        <f ca="1">VLOOKUP(B1302,'ALL DATABASES'!$A$1:$T$2252,20,FALSE)</f>
        <v>IEEE</v>
      </c>
    </row>
    <row r="1303" spans="1:8" ht="12.75" x14ac:dyDescent="0.2">
      <c r="A1303">
        <v>1302</v>
      </c>
      <c r="B1303" s="15" t="str">
        <f ca="1">IFERROR(__xludf.DUMMYFUNCTION("""COMPUTED_VALUE"""),"Requirements Engineering Challenges for Social Sector Software Development: Insights from Multiple Case Studies")</f>
        <v>Requirements Engineering Challenges for Social Sector Software Development: Insights from Multiple Case Studies</v>
      </c>
      <c r="C1303" s="15" t="str">
        <f ca="1">VLOOKUP(B1303,'ALL DATABASES'!$A$1:$T$2252,2,FALSE)</f>
        <v>Varun Gupta</v>
      </c>
      <c r="D1303" s="15">
        <f ca="1">VLOOKUP(B1303,'ALL DATABASES'!$A$1:$T$2252,5,FALSE)</f>
        <v>2021</v>
      </c>
      <c r="E1303" s="15">
        <f ca="1">VLOOKUP(B1303,'ALL DATABASES'!$A$1:$T$2252,10,FALSE)</f>
        <v>0</v>
      </c>
      <c r="F1303" s="54" t="str">
        <f ca="1">VLOOKUP(B1303,'ALL DATABASES'!$A$1:$T$2252,14,FALSE)</f>
        <v>http://link.springer.com/chapter/10.1007/978-3-030-83549-1_3</v>
      </c>
      <c r="G1303" s="15" t="str">
        <f ca="1">VLOOKUP(B1303,'ALL DATABASES'!$A$1:$T$2252,3,FALSE)</f>
        <v>Chapter</v>
      </c>
      <c r="H1303" s="50" t="str">
        <f ca="1">VLOOKUP(B1303,'ALL DATABASES'!$A$1:$T$2252,20,FALSE)</f>
        <v>SPRINGER</v>
      </c>
    </row>
    <row r="1304" spans="1:8" ht="12.75" x14ac:dyDescent="0.2">
      <c r="A1304">
        <v>1303</v>
      </c>
      <c r="B1304" s="15" t="str">
        <f ca="1">IFERROR(__xludf.DUMMYFUNCTION("""COMPUTED_VALUE"""),"Requirements engineering challenges in building ai-based complex systems")</f>
        <v>Requirements engineering challenges in building ai-based complex systems</v>
      </c>
      <c r="C1304" s="15" t="str">
        <f ca="1">VLOOKUP(B1304,'ALL DATABASES'!$A$1:$T$2252,2,FALSE)</f>
        <v>Belani H,Vukovic M,Car Z</v>
      </c>
      <c r="D1304" s="15">
        <f ca="1">VLOOKUP(B1304,'ALL DATABASES'!$A$1:$T$2252,5,FALSE)</f>
        <v>2019</v>
      </c>
      <c r="E1304" s="15">
        <f ca="1">VLOOKUP(B1304,'ALL DATABASES'!$A$1:$T$2252,10,FALSE)</f>
        <v>2019</v>
      </c>
      <c r="F1304" s="54" t="str">
        <f ca="1">VLOOKUP(B1304,'ALL DATABASES'!$A$1:$T$2252,14,FALSE)</f>
        <v>https://www.scopus.com/inward/record.uri?eid=2-s2.0-85078014264&amp;doi=10.1109%2fREW.2019.00051&amp;partnerID=40&amp;md5=c2d8478e36cff3758d045a4abd5180ba;http://dx.doi.org/10.1109/REW.2019.00051</v>
      </c>
      <c r="G1304" s="15" t="str">
        <f ca="1">VLOOKUP(B1304,'ALL DATABASES'!$A$1:$T$2252,3,FALSE)</f>
        <v>Conference Paper</v>
      </c>
      <c r="H1304" s="50" t="str">
        <f ca="1">VLOOKUP(B1304,'ALL DATABASES'!$A$1:$T$2252,20,FALSE)</f>
        <v>SCOPUS</v>
      </c>
    </row>
    <row r="1305" spans="1:8" ht="12.75" x14ac:dyDescent="0.2">
      <c r="A1305">
        <v>1304</v>
      </c>
      <c r="B1305" s="15" t="str">
        <f ca="1">IFERROR(__xludf.DUMMYFUNCTION("""COMPUTED_VALUE"""),"Requirements engineering for machine learning: Perspectives from data scientists")</f>
        <v>Requirements engineering for machine learning: Perspectives from data scientists</v>
      </c>
      <c r="C1305" s="15" t="str">
        <f ca="1">VLOOKUP(B1305,'ALL DATABASES'!$A$1:$T$2252,2,FALSE)</f>
        <v>Belani H,Vukovic M,Car Ž</v>
      </c>
      <c r="D1305" s="15">
        <f ca="1">VLOOKUP(B1305,'ALL DATABASES'!$A$1:$T$2252,5,FALSE)</f>
        <v>2019</v>
      </c>
      <c r="E1305" s="55">
        <f ca="1">VLOOKUP(B1305,'ALL DATABASES'!$A$1:$T$2252,10,FALSE)</f>
        <v>43709</v>
      </c>
      <c r="F1305" s="54" t="str">
        <f ca="1">VLOOKUP(B1305,'ALL DATABASES'!$A$1:$T$2252,14,FALSE)</f>
        <v>http://dx.doi.org/10.1109/REW.2019.00051</v>
      </c>
      <c r="G1305" s="15" t="str">
        <f ca="1">VLOOKUP(B1305,'ALL DATABASES'!$A$1:$T$2252,3,FALSE)</f>
        <v>Conference Paper</v>
      </c>
      <c r="H1305" s="50" t="str">
        <f ca="1">VLOOKUP(B1305,'ALL DATABASES'!$A$1:$T$2252,20,FALSE)</f>
        <v>IEEE</v>
      </c>
    </row>
    <row r="1306" spans="1:8" ht="12.75" x14ac:dyDescent="0.2">
      <c r="A1306">
        <v>1305</v>
      </c>
      <c r="B1306" s="15" t="str">
        <f ca="1">IFERROR(__xludf.DUMMYFUNCTION("""COMPUTED_VALUE"""),"Requirements Engineering for Social Sector Software Applications")</f>
        <v>Requirements Engineering for Social Sector Software Applications</v>
      </c>
      <c r="C1306" s="15" t="str">
        <f ca="1">VLOOKUP(B1306,'ALL DATABASES'!$A$1:$T$2252,2,FALSE)</f>
        <v>Dr. Varun Gupta</v>
      </c>
      <c r="D1306" s="15">
        <f ca="1">VLOOKUP(B1306,'ALL DATABASES'!$A$1:$T$2252,5,FALSE)</f>
        <v>2021</v>
      </c>
      <c r="E1306" s="15">
        <f ca="1">VLOOKUP(B1306,'ALL DATABASES'!$A$1:$T$2252,10,FALSE)</f>
        <v>0</v>
      </c>
      <c r="F1306" s="54" t="str">
        <f ca="1">VLOOKUP(B1306,'ALL DATABASES'!$A$1:$T$2252,14,FALSE)</f>
        <v>http://link.springer.com/book/10.1007/978-3-030-83549-1</v>
      </c>
      <c r="G1306" s="15" t="str">
        <f ca="1">VLOOKUP(B1306,'ALL DATABASES'!$A$1:$T$2252,3,FALSE)</f>
        <v>Book</v>
      </c>
      <c r="H1306" s="50" t="str">
        <f ca="1">VLOOKUP(B1306,'ALL DATABASES'!$A$1:$T$2252,20,FALSE)</f>
        <v>SPRINGER</v>
      </c>
    </row>
    <row r="1307" spans="1:8" ht="12.75" x14ac:dyDescent="0.2">
      <c r="A1307">
        <v>1306</v>
      </c>
      <c r="B1307" s="15" t="str">
        <f ca="1">IFERROR(__xludf.DUMMYFUNCTION("""COMPUTED_VALUE"""),"Requirements Engineering: The Quest for Meaningful Metrics: Time for a Change?")</f>
        <v>Requirements Engineering: The Quest for Meaningful Metrics: Time for a Change?</v>
      </c>
      <c r="C1307" s="15" t="str">
        <f ca="1">VLOOKUP(B1307,'ALL DATABASES'!$A$1:$T$2252,2,FALSE)</f>
        <v>Gregory S</v>
      </c>
      <c r="D1307" s="15">
        <f ca="1">VLOOKUP(B1307,'ALL DATABASES'!$A$1:$T$2252,5,FALSE)</f>
        <v>2019</v>
      </c>
      <c r="E1307" s="53">
        <f ca="1">VLOOKUP(B1307,'ALL DATABASES'!$A$1:$T$2252,10,FALSE)</f>
        <v>43770</v>
      </c>
      <c r="F1307" s="54" t="str">
        <f ca="1">VLOOKUP(B1307,'ALL DATABASES'!$A$1:$T$2252,14,FALSE)</f>
        <v>http://dx.doi.org/10.1109/MS.2019.2933685</v>
      </c>
      <c r="G1307" s="15" t="str">
        <f ca="1">VLOOKUP(B1307,'ALL DATABASES'!$A$1:$T$2252,3,FALSE)</f>
        <v>Journal Article</v>
      </c>
      <c r="H1307" s="50" t="str">
        <f ca="1">VLOOKUP(B1307,'ALL DATABASES'!$A$1:$T$2252,20,FALSE)</f>
        <v>IEEE</v>
      </c>
    </row>
    <row r="1308" spans="1:8" ht="12.75" x14ac:dyDescent="0.2">
      <c r="A1308">
        <v>1307</v>
      </c>
      <c r="B1308" s="15" t="str">
        <f ca="1">IFERROR(__xludf.DUMMYFUNCTION("""COMPUTED_VALUE"""),"Requirements-driven method to determine quality characteristics and measurements for machine learning software and its evaluation")</f>
        <v>Requirements-driven method to determine quality characteristics and measurements for machine learning software and its evaluation</v>
      </c>
      <c r="C1308" s="15" t="str">
        <f ca="1">VLOOKUP(B1308,'ALL DATABASES'!$A$1:$T$2252,2,FALSE)</f>
        <v>Nakamichi K,Ohashi K,Namba I,Yamamoto R,Aoyama M,Joeckel L,Siebert J,Heidrich J</v>
      </c>
      <c r="D1308" s="15">
        <f ca="1">VLOOKUP(B1308,'ALL DATABASES'!$A$1:$T$2252,5,FALSE)</f>
        <v>2020</v>
      </c>
      <c r="E1308" s="15">
        <f ca="1">VLOOKUP(B1308,'ALL DATABASES'!$A$1:$T$2252,10,FALSE)</f>
        <v>2020</v>
      </c>
      <c r="F1308" s="54" t="str">
        <f ca="1">VLOOKUP(B1308,'ALL DATABASES'!$A$1:$T$2252,14,FALSE)</f>
        <v>https://www.scopus.com/inward/record.uri?eid=2-s2.0-85093964684&amp;doi=10.1109%2fRE48521.2020.00036&amp;partnerID=40&amp;md5=a14be906604d55cdce31df0f8abf399e;http://dx.doi.org/10.1109/RE48521.2020.00036</v>
      </c>
      <c r="G1308" s="15" t="str">
        <f ca="1">VLOOKUP(B1308,'ALL DATABASES'!$A$1:$T$2252,3,FALSE)</f>
        <v>Conference Paper</v>
      </c>
      <c r="H1308" s="50" t="str">
        <f ca="1">VLOOKUP(B1308,'ALL DATABASES'!$A$1:$T$2252,20,FALSE)</f>
        <v>SCOPUS</v>
      </c>
    </row>
    <row r="1309" spans="1:8" ht="12.75" x14ac:dyDescent="0.2">
      <c r="A1309">
        <v>1308</v>
      </c>
      <c r="B1309" s="15" t="str">
        <f ca="1">IFERROR(__xludf.DUMMYFUNCTION("""COMPUTED_VALUE"""),"Research Challenges in Information Science")</f>
        <v>Research Challenges in Information Science</v>
      </c>
      <c r="C1309" s="15" t="str">
        <f ca="1">VLOOKUP(B1309,'ALL DATABASES'!$A$1:$T$2252,2,FALSE)</f>
        <v>Renata GuizzardiDr. Jolita RalytÃ©Prof. Dr. Xavier Franch</v>
      </c>
      <c r="D1309" s="15">
        <f ca="1">VLOOKUP(B1309,'ALL DATABASES'!$A$1:$T$2252,5,FALSE)</f>
        <v>2022</v>
      </c>
      <c r="E1309" s="15">
        <f ca="1">VLOOKUP(B1309,'ALL DATABASES'!$A$1:$T$2252,10,FALSE)</f>
        <v>0</v>
      </c>
      <c r="F1309" s="54" t="str">
        <f ca="1">VLOOKUP(B1309,'ALL DATABASES'!$A$1:$T$2252,14,FALSE)</f>
        <v>http://link.springer.com/book/10.1007/978-3-031-05760-1</v>
      </c>
      <c r="G1309" s="15" t="str">
        <f ca="1">VLOOKUP(B1309,'ALL DATABASES'!$A$1:$T$2252,3,FALSE)</f>
        <v>Book</v>
      </c>
      <c r="H1309" s="50" t="str">
        <f ca="1">VLOOKUP(B1309,'ALL DATABASES'!$A$1:$T$2252,20,FALSE)</f>
        <v>SPRINGER</v>
      </c>
    </row>
    <row r="1310" spans="1:8" ht="12.75" x14ac:dyDescent="0.2">
      <c r="A1310">
        <v>1309</v>
      </c>
      <c r="B1310" s="15" t="str">
        <f ca="1">IFERROR(__xludf.DUMMYFUNCTION("""COMPUTED_VALUE"""),"Research in System Reliability and Risk Analysis under development at the Naval Architecture and Ocean Engineering Department from University of São Paulo")</f>
        <v>Research in System Reliability and Risk Analysis under development at the Naval Architecture and Ocean Engineering Department from University of São Paulo</v>
      </c>
      <c r="C1310" s="15" t="str">
        <f ca="1">VLOOKUP(B1310,'ALL DATABASES'!$A$1:$T$2252,2,FALSE)</f>
        <v>Abreu DT,Barraza JE,Clavijo MV,Maturana MC,Santos JR,Schleder AM,Martins MR</v>
      </c>
      <c r="D1310" s="15">
        <f ca="1">VLOOKUP(B1310,'ALL DATABASES'!$A$1:$T$2252,5,FALSE)</f>
        <v>2022</v>
      </c>
      <c r="E1310" s="15">
        <f ca="1">VLOOKUP(B1310,'ALL DATABASES'!$A$1:$T$2252,10,FALSE)</f>
        <v>2022</v>
      </c>
      <c r="F1310" s="54" t="str">
        <f ca="1">VLOOKUP(B1310,'ALL DATABASES'!$A$1:$T$2252,14,FALSE)</f>
        <v>https://www.sciencedirect.com/science/article/pii/S2405896322014239;http://dx.doi.org/10.1016/j.ifacol.2022.09.206</v>
      </c>
      <c r="G1310" s="15" t="str">
        <f ca="1">VLOOKUP(B1310,'ALL DATABASES'!$A$1:$T$2252,3,FALSE)</f>
        <v>Journal Article</v>
      </c>
      <c r="H1310" s="50" t="str">
        <f ca="1">VLOOKUP(B1310,'ALL DATABASES'!$A$1:$T$2252,20,FALSE)</f>
        <v>SCIENCEDIRECT</v>
      </c>
    </row>
    <row r="1311" spans="1:8" ht="12.75" x14ac:dyDescent="0.2">
      <c r="A1311">
        <v>1310</v>
      </c>
      <c r="B1311" s="15" t="str">
        <f ca="1">IFERROR(__xludf.DUMMYFUNCTION("""COMPUTED_VALUE"""),"Research on rapid development platform of PLC control system")</f>
        <v>Research on rapid development platform of PLC control system</v>
      </c>
      <c r="C1311" s="15" t="str">
        <f ca="1">VLOOKUP(B1311,'ALL DATABASES'!$A$1:$T$2252,2,FALSE)</f>
        <v>Wang X,Tang X,Dong Z,Zhen L</v>
      </c>
      <c r="D1311" s="15">
        <f ca="1">VLOOKUP(B1311,'ALL DATABASES'!$A$1:$T$2252,5,FALSE)</f>
        <v>2021</v>
      </c>
      <c r="E1311" s="15">
        <f ca="1">VLOOKUP(B1311,'ALL DATABASES'!$A$1:$T$2252,10,FALSE)</f>
        <v>2021</v>
      </c>
      <c r="F1311" s="54" t="str">
        <f ca="1">VLOOKUP(B1311,'ALL DATABASES'!$A$1:$T$2252,14,FALSE)</f>
        <v>https://www.scopus.com/inward/record.uri?eid=2-s2.0-85108729050&amp;doi=10.3772%2fj.issn.1006-6748.2021.02.012&amp;partnerID=40&amp;md5=e7497e1fd7258da8b532a4783feea21e;http://dx.doi.org/10.3772/j.issn.1006-6748.2021.02.012</v>
      </c>
      <c r="G1311" s="15" t="str">
        <f ca="1">VLOOKUP(B1311,'ALL DATABASES'!$A$1:$T$2252,3,FALSE)</f>
        <v>Journal Article</v>
      </c>
      <c r="H1311" s="50" t="str">
        <f ca="1">VLOOKUP(B1311,'ALL DATABASES'!$A$1:$T$2252,20,FALSE)</f>
        <v>SCOPUS</v>
      </c>
    </row>
    <row r="1312" spans="1:8" ht="12.75" x14ac:dyDescent="0.2">
      <c r="A1312">
        <v>1311</v>
      </c>
      <c r="B1312" s="15" t="str">
        <f ca="1">IFERROR(__xludf.DUMMYFUNCTION("""COMPUTED_VALUE"""),"Research on software project developer behaviors with K-means clustering analysis")</f>
        <v>Research on software project developer behaviors with K-means clustering analysis</v>
      </c>
      <c r="C1312" s="15" t="str">
        <f ca="1">VLOOKUP(B1312,'ALL DATABASES'!$A$1:$T$2252,2,FALSE)</f>
        <v>Li X</v>
      </c>
      <c r="D1312" s="15">
        <f ca="1">VLOOKUP(B1312,'ALL DATABASES'!$A$1:$T$2252,5,FALSE)</f>
        <v>2019</v>
      </c>
      <c r="E1312" s="15">
        <f ca="1">VLOOKUP(B1312,'ALL DATABASES'!$A$1:$T$2252,10,FALSE)</f>
        <v>2019</v>
      </c>
      <c r="F1312" s="54" t="str">
        <f ca="1">VLOOKUP(B1312,'ALL DATABASES'!$A$1:$T$2252,14,FALSE)</f>
        <v>https://www.scopus.com/inward/record.uri?eid=2-s2.0-85077510435&amp;partnerID=40&amp;md5=70bfd4c4b4d7d9d7a5a883c200ea9df0</v>
      </c>
      <c r="G1312" s="15" t="str">
        <f ca="1">VLOOKUP(B1312,'ALL DATABASES'!$A$1:$T$2252,3,FALSE)</f>
        <v>Conference Paper</v>
      </c>
      <c r="H1312" s="50" t="str">
        <f ca="1">VLOOKUP(B1312,'ALL DATABASES'!$A$1:$T$2252,20,FALSE)</f>
        <v>SCOPUS</v>
      </c>
    </row>
    <row r="1313" spans="1:8" ht="12.75" x14ac:dyDescent="0.2">
      <c r="A1313">
        <v>1312</v>
      </c>
      <c r="B1313" s="15" t="str">
        <f ca="1">IFERROR(__xludf.DUMMYFUNCTION("""COMPUTED_VALUE"""),"Resolution of English Event Pronouns Based on Machine Learning")</f>
        <v>Resolution of English Event Pronouns Based on Machine Learning</v>
      </c>
      <c r="C1313" s="15" t="str">
        <f ca="1">VLOOKUP(B1313,'ALL DATABASES'!$A$1:$T$2252,2,FALSE)</f>
        <v>Qiu L,Feng W</v>
      </c>
      <c r="D1313" s="15">
        <f ca="1">VLOOKUP(B1313,'ALL DATABASES'!$A$1:$T$2252,5,FALSE)</f>
        <v>2022</v>
      </c>
      <c r="E1313" s="15">
        <f ca="1">VLOOKUP(B1313,'ALL DATABASES'!$A$1:$T$2252,10,FALSE)</f>
        <v>2022</v>
      </c>
      <c r="F1313" s="54" t="str">
        <f ca="1">VLOOKUP(B1313,'ALL DATABASES'!$A$1:$T$2252,14,FALSE)</f>
        <v>https://www.scopus.com/inward/record.uri?eid=2-s2.0-85136567400&amp;doi=10.1155%2f2022%2f8560873&amp;partnerID=40&amp;md5=c00f8c72198b883b144bc0dd914ea843;http://dx.doi.org/10.1155/2022/8560873</v>
      </c>
      <c r="G1313" s="15" t="str">
        <f ca="1">VLOOKUP(B1313,'ALL DATABASES'!$A$1:$T$2252,3,FALSE)</f>
        <v>Journal Article</v>
      </c>
      <c r="H1313" s="50" t="str">
        <f ca="1">VLOOKUP(B1313,'ALL DATABASES'!$A$1:$T$2252,20,FALSE)</f>
        <v>SCOPUS</v>
      </c>
    </row>
    <row r="1314" spans="1:8" ht="12.75" x14ac:dyDescent="0.2">
      <c r="A1314">
        <v>1313</v>
      </c>
      <c r="B1314" s="15" t="str">
        <f ca="1">IFERROR(__xludf.DUMMYFUNCTION("""COMPUTED_VALUE"""),"Resource management of mobile cloud computing networks and environments")</f>
        <v>Resource management of mobile cloud computing networks and environments</v>
      </c>
      <c r="C1314" s="15" t="str">
        <f ca="1">VLOOKUP(B1314,'ALL DATABASES'!$A$1:$T$2252,2,FALSE)</f>
        <v>Mastorakis G,Mavromoustakis CX,Pallis E</v>
      </c>
      <c r="D1314" s="15">
        <f ca="1">VLOOKUP(B1314,'ALL DATABASES'!$A$1:$T$2252,5,FALSE)</f>
        <v>2015</v>
      </c>
      <c r="E1314" s="15">
        <f ca="1">VLOOKUP(B1314,'ALL DATABASES'!$A$1:$T$2252,10,FALSE)</f>
        <v>2015</v>
      </c>
      <c r="F1314" s="54" t="str">
        <f ca="1">VLOOKUP(B1314,'ALL DATABASES'!$A$1:$T$2252,14,FALSE)</f>
        <v>https://www.scopus.com/inward/record.uri?eid=2-s2.0-84961328315&amp;doi=10.4018%2f978-1-4666-8225-2&amp;partnerID=40&amp;md5=3da5c6538e7d8e5e1fc1a35adb92992a;http://dx.doi.org/10.4018/978-1-4666-8225-2</v>
      </c>
      <c r="G1314" s="15" t="str">
        <f ca="1">VLOOKUP(B1314,'ALL DATABASES'!$A$1:$T$2252,3,FALSE)</f>
        <v>Book</v>
      </c>
      <c r="H1314" s="50" t="str">
        <f ca="1">VLOOKUP(B1314,'ALL DATABASES'!$A$1:$T$2252,20,FALSE)</f>
        <v>SCOPUS</v>
      </c>
    </row>
    <row r="1315" spans="1:8" ht="12.75" x14ac:dyDescent="0.2">
      <c r="A1315">
        <v>1314</v>
      </c>
      <c r="B1315" s="15" t="str">
        <f ca="1">IFERROR(__xludf.DUMMYFUNCTION("""COMPUTED_VALUE"""),"Responsible Data Management")</f>
        <v>Responsible Data Management</v>
      </c>
      <c r="C1315" s="15" t="str">
        <f ca="1">VLOOKUP(B1315,'ALL DATABASES'!$A$1:$T$2252,2,FALSE)</f>
        <v>Stoyanovich J,Howe B,Jagadish HV</v>
      </c>
      <c r="D1315" s="15">
        <f ca="1">VLOOKUP(B1315,'ALL DATABASES'!$A$1:$T$2252,5,FALSE)</f>
        <v>2020</v>
      </c>
      <c r="E1315" s="55">
        <f ca="1">VLOOKUP(B1315,'ALL DATABASES'!$A$1:$T$2252,10,FALSE)</f>
        <v>44075</v>
      </c>
      <c r="F1315" s="54" t="str">
        <f ca="1">VLOOKUP(B1315,'ALL DATABASES'!$A$1:$T$2252,14,FALSE)</f>
        <v>https://doi.org/10.14778/3415478.3415570;http://dx.doi.org/10.14778/3415478.3415570</v>
      </c>
      <c r="G1315" s="15" t="str">
        <f ca="1">VLOOKUP(B1315,'ALL DATABASES'!$A$1:$T$2252,3,FALSE)</f>
        <v>Journal Article</v>
      </c>
      <c r="H1315" s="50" t="str">
        <f ca="1">VLOOKUP(B1315,'ALL DATABASES'!$A$1:$T$2252,20,FALSE)</f>
        <v>ACM</v>
      </c>
    </row>
    <row r="1316" spans="1:8" ht="12.75" x14ac:dyDescent="0.2">
      <c r="A1316">
        <v>1315</v>
      </c>
      <c r="B1316" s="15" t="str">
        <f ca="1">IFERROR(__xludf.DUMMYFUNCTION("""COMPUTED_VALUE"""),"Responsible Design, Implementation and Use of Information and Communication Technology")</f>
        <v>Responsible Design, Implementation and Use of Information and Communication Technology</v>
      </c>
      <c r="C1316" s="15" t="str">
        <f ca="1">VLOOKUP(B1316,'ALL DATABASES'!$A$1:$T$2252,2,FALSE)</f>
        <v>MariÃ© HattinghMachdel MattheeHanlie SmutsDr. Ilias PappasPh.D. Yogesh K. DwivediMatti MÃ¤ntymÃ¤ki</v>
      </c>
      <c r="D1316" s="15">
        <f ca="1">VLOOKUP(B1316,'ALL DATABASES'!$A$1:$T$2252,5,FALSE)</f>
        <v>2020</v>
      </c>
      <c r="E1316" s="15">
        <f ca="1">VLOOKUP(B1316,'ALL DATABASES'!$A$1:$T$2252,10,FALSE)</f>
        <v>0</v>
      </c>
      <c r="F1316" s="54" t="str">
        <f ca="1">VLOOKUP(B1316,'ALL DATABASES'!$A$1:$T$2252,14,FALSE)</f>
        <v>http://link.springer.com/book/10.1007/978-3-030-44999-5</v>
      </c>
      <c r="G1316" s="15" t="str">
        <f ca="1">VLOOKUP(B1316,'ALL DATABASES'!$A$1:$T$2252,3,FALSE)</f>
        <v>Book</v>
      </c>
      <c r="H1316" s="50" t="str">
        <f ca="1">VLOOKUP(B1316,'ALL DATABASES'!$A$1:$T$2252,20,FALSE)</f>
        <v>SPRINGER</v>
      </c>
    </row>
    <row r="1317" spans="1:8" ht="12.75" x14ac:dyDescent="0.2">
      <c r="A1317">
        <v>1316</v>
      </c>
      <c r="B1317" s="15" t="str">
        <f ca="1">IFERROR(__xludf.DUMMYFUNCTION("""COMPUTED_VALUE"""),"Rethinking Productivity in Software Engineering")</f>
        <v>Rethinking Productivity in Software Engineering</v>
      </c>
      <c r="C1317" s="15" t="str">
        <f ca="1">VLOOKUP(B1317,'ALL DATABASES'!$A$1:$T$2252,2,FALSE)</f>
        <v>Caitlin SadowskiThomas Zimmermann</v>
      </c>
      <c r="D1317" s="15">
        <f ca="1">VLOOKUP(B1317,'ALL DATABASES'!$A$1:$T$2252,5,FALSE)</f>
        <v>2019</v>
      </c>
      <c r="E1317" s="15">
        <f ca="1">VLOOKUP(B1317,'ALL DATABASES'!$A$1:$T$2252,10,FALSE)</f>
        <v>0</v>
      </c>
      <c r="F1317" s="54" t="str">
        <f ca="1">VLOOKUP(B1317,'ALL DATABASES'!$A$1:$T$2252,14,FALSE)</f>
        <v>http://link.springer.com/book/10.1007/978-1-4842-4221-6</v>
      </c>
      <c r="G1317" s="15" t="str">
        <f ca="1">VLOOKUP(B1317,'ALL DATABASES'!$A$1:$T$2252,3,FALSE)</f>
        <v>Book</v>
      </c>
      <c r="H1317" s="50" t="str">
        <f ca="1">VLOOKUP(B1317,'ALL DATABASES'!$A$1:$T$2252,20,FALSE)</f>
        <v>SPRINGER</v>
      </c>
    </row>
    <row r="1318" spans="1:8" ht="12.75" x14ac:dyDescent="0.2">
      <c r="A1318">
        <v>1317</v>
      </c>
      <c r="B1318" s="15" t="str">
        <f ca="1">IFERROR(__xludf.DUMMYFUNCTION("""COMPUTED_VALUE"""),"Return on Investment in Machine Learning: Crossing the Chasm between Academia and Business")</f>
        <v>Return on Investment in Machine Learning: Crossing the Chasm between Academia and Business</v>
      </c>
      <c r="C1318" s="15" t="str">
        <f ca="1">VLOOKUP(B1318,'ALL DATABASES'!$A$1:$T$2252,2,FALSE)</f>
        <v>Mizgajski J,Szymczak A,Morzy M,Augustyniak Ł,Szymański P,Zelasko P</v>
      </c>
      <c r="D1318" s="15">
        <f ca="1">VLOOKUP(B1318,'ALL DATABASES'!$A$1:$T$2252,5,FALSE)</f>
        <v>2020</v>
      </c>
      <c r="E1318" s="15">
        <f ca="1">VLOOKUP(B1318,'ALL DATABASES'!$A$1:$T$2252,10,FALSE)</f>
        <v>2020</v>
      </c>
      <c r="F1318" s="54" t="str">
        <f ca="1">VLOOKUP(B1318,'ALL DATABASES'!$A$1:$T$2252,14,FALSE)</f>
        <v>https://www.scopus.com/inward/record.uri?eid=2-s2.0-85099170614&amp;doi=10.2478%2ffcds-2020-0015&amp;partnerID=40&amp;md5=e38f34481aed9f762337849dd379eb01;http://dx.doi.org/10.2478/fcds-2020-0015</v>
      </c>
      <c r="G1318" s="15" t="str">
        <f ca="1">VLOOKUP(B1318,'ALL DATABASES'!$A$1:$T$2252,3,FALSE)</f>
        <v>Journal Article</v>
      </c>
      <c r="H1318" s="50" t="str">
        <f ca="1">VLOOKUP(B1318,'ALL DATABASES'!$A$1:$T$2252,20,FALSE)</f>
        <v>SCOPUS</v>
      </c>
    </row>
    <row r="1319" spans="1:8" ht="12.75" x14ac:dyDescent="0.2">
      <c r="A1319">
        <v>1318</v>
      </c>
      <c r="B1319" s="15" t="str">
        <f ca="1">IFERROR(__xludf.DUMMYFUNCTION("""COMPUTED_VALUE"""),"Reusability First: Toward FAIR Workflows")</f>
        <v>Reusability First: Toward FAIR Workflows</v>
      </c>
      <c r="C1319" s="15" t="str">
        <f ca="1">VLOOKUP(B1319,'ALL DATABASES'!$A$1:$T$2252,2,FALSE)</f>
        <v>Wolf M,Logan J,Mehta K,Jacobson D,Cashman M,Walker AM,Eisenhauer G,Widener P,Cliff A</v>
      </c>
      <c r="D1319" s="15">
        <f ca="1">VLOOKUP(B1319,'ALL DATABASES'!$A$1:$T$2252,5,FALSE)</f>
        <v>2021</v>
      </c>
      <c r="E1319" s="55">
        <f ca="1">VLOOKUP(B1319,'ALL DATABASES'!$A$1:$T$2252,10,FALSE)</f>
        <v>44440</v>
      </c>
      <c r="F1319" s="54" t="str">
        <f ca="1">VLOOKUP(B1319,'ALL DATABASES'!$A$1:$T$2252,14,FALSE)</f>
        <v>http://dx.doi.org/10.1109/Cluster48925.2021.00053</v>
      </c>
      <c r="G1319" s="15" t="str">
        <f ca="1">VLOOKUP(B1319,'ALL DATABASES'!$A$1:$T$2252,3,FALSE)</f>
        <v>Conference Paper</v>
      </c>
      <c r="H1319" s="50" t="str">
        <f ca="1">VLOOKUP(B1319,'ALL DATABASES'!$A$1:$T$2252,20,FALSE)</f>
        <v>IEEE</v>
      </c>
    </row>
    <row r="1320" spans="1:8" ht="12.75" x14ac:dyDescent="0.2">
      <c r="A1320">
        <v>1319</v>
      </c>
      <c r="B1320" s="15" t="str">
        <f ca="1">IFERROR(__xludf.DUMMYFUNCTION("""COMPUTED_VALUE"""),"Revealing the Effect of Coding Practices on Software Maintainability")</f>
        <v>Revealing the Effect of Coding Practices on Software Maintainability</v>
      </c>
      <c r="C1320" s="15" t="str">
        <f ca="1">VLOOKUP(B1320,'ALL DATABASES'!$A$1:$T$2252,2,FALSE)</f>
        <v>Hegedus P</v>
      </c>
      <c r="D1320" s="15">
        <f ca="1">VLOOKUP(B1320,'ALL DATABASES'!$A$1:$T$2252,5,FALSE)</f>
        <v>2013</v>
      </c>
      <c r="E1320" s="55">
        <f ca="1">VLOOKUP(B1320,'ALL DATABASES'!$A$1:$T$2252,10,FALSE)</f>
        <v>41518</v>
      </c>
      <c r="F1320" s="54" t="str">
        <f ca="1">VLOOKUP(B1320,'ALL DATABASES'!$A$1:$T$2252,14,FALSE)</f>
        <v>http://dx.doi.org/10.1109/ICSM.2013.99</v>
      </c>
      <c r="G1320" s="15" t="str">
        <f ca="1">VLOOKUP(B1320,'ALL DATABASES'!$A$1:$T$2252,3,FALSE)</f>
        <v>Conference Paper</v>
      </c>
      <c r="H1320" s="50" t="str">
        <f ca="1">VLOOKUP(B1320,'ALL DATABASES'!$A$1:$T$2252,20,FALSE)</f>
        <v>IEEE</v>
      </c>
    </row>
    <row r="1321" spans="1:8" ht="12.75" x14ac:dyDescent="0.2">
      <c r="A1321">
        <v>1320</v>
      </c>
      <c r="B1321" s="15" t="str">
        <f ca="1">IFERROR(__xludf.DUMMYFUNCTION("""COMPUTED_VALUE"""),"Revisiting Textual Feature of Bug-Triage Approach")</f>
        <v>Revisiting Textual Feature of Bug-Triage Approach</v>
      </c>
      <c r="C1321" s="15" t="str">
        <f ca="1">VLOOKUP(B1321,'ALL DATABASES'!$A$1:$T$2252,2,FALSE)</f>
        <v>Li Z,Zhong H</v>
      </c>
      <c r="D1321" s="15">
        <f ca="1">VLOOKUP(B1321,'ALL DATABASES'!$A$1:$T$2252,5,FALSE)</f>
        <v>2021</v>
      </c>
      <c r="E1321" s="15">
        <f ca="1">VLOOKUP(B1321,'ALL DATABASES'!$A$1:$T$2252,10,FALSE)</f>
        <v>2021</v>
      </c>
      <c r="F1321" s="54" t="str">
        <f ca="1">VLOOKUP(B1321,'ALL DATABASES'!$A$1:$T$2252,14,FALSE)</f>
        <v>https://www.scopus.com/inward/record.uri?eid=2-s2.0-85125461915&amp;doi=10.1109%2fASE51524.2021.9678863&amp;partnerID=40&amp;md5=482ee4f2a1b9b6b73fd2fafd5b384160;http://dx.doi.org/10.1109/ASE51524.2021.9678863</v>
      </c>
      <c r="G1321" s="15" t="str">
        <f ca="1">VLOOKUP(B1321,'ALL DATABASES'!$A$1:$T$2252,3,FALSE)</f>
        <v>Conference Paper</v>
      </c>
      <c r="H1321" s="50" t="str">
        <f ca="1">VLOOKUP(B1321,'ALL DATABASES'!$A$1:$T$2252,20,FALSE)</f>
        <v>SCOPUS</v>
      </c>
    </row>
    <row r="1322" spans="1:8" ht="12.75" x14ac:dyDescent="0.2">
      <c r="A1322">
        <v>1321</v>
      </c>
      <c r="B1322" s="15" t="str">
        <f ca="1">IFERROR(__xludf.DUMMYFUNCTION("""COMPUTED_VALUE"""),"Revisiting the practices and pains of microservice architecture in reality: An industrial inquiry")</f>
        <v>Revisiting the practices and pains of microservice architecture in reality: An industrial inquiry</v>
      </c>
      <c r="C1322" s="15" t="str">
        <f ca="1">VLOOKUP(B1322,'ALL DATABASES'!$A$1:$T$2252,2,FALSE)</f>
        <v>Zhou X,Li S,Cao L,Zhang H,Jia Z,Zhong C,Shan Z,Babar MA</v>
      </c>
      <c r="D1322" s="15">
        <f ca="1">VLOOKUP(B1322,'ALL DATABASES'!$A$1:$T$2252,5,FALSE)</f>
        <v>2023</v>
      </c>
      <c r="E1322" s="15">
        <f ca="1">VLOOKUP(B1322,'ALL DATABASES'!$A$1:$T$2252,10,FALSE)</f>
        <v>2023</v>
      </c>
      <c r="F1322" s="54" t="str">
        <f ca="1">VLOOKUP(B1322,'ALL DATABASES'!$A$1:$T$2252,14,FALSE)</f>
        <v>https://www.sciencedirect.com/science/article/pii/S0164121222001972;http://dx.doi.org/10.1016/j.jss.2022.111521</v>
      </c>
      <c r="G1322" s="15" t="str">
        <f ca="1">VLOOKUP(B1322,'ALL DATABASES'!$A$1:$T$2252,3,FALSE)</f>
        <v>Journal Article</v>
      </c>
      <c r="H1322" s="50" t="str">
        <f ca="1">VLOOKUP(B1322,'ALL DATABASES'!$A$1:$T$2252,20,FALSE)</f>
        <v>SCIENCEDIRECT</v>
      </c>
    </row>
    <row r="1323" spans="1:8" ht="12.75" x14ac:dyDescent="0.2">
      <c r="A1323">
        <v>1322</v>
      </c>
      <c r="B1323" s="15" t="str">
        <f ca="1">IFERROR(__xludf.DUMMYFUNCTION("""COMPUTED_VALUE"""),"Rework effort estimation of self-admitted technical debt")</f>
        <v>Rework effort estimation of self-admitted technical debt</v>
      </c>
      <c r="C1323" s="15" t="str">
        <f ca="1">VLOOKUP(B1323,'ALL DATABASES'!$A$1:$T$2252,2,FALSE)</f>
        <v>Mensah S,Keung J,Bosu MF,Bennin KE</v>
      </c>
      <c r="D1323" s="15">
        <f ca="1">VLOOKUP(B1323,'ALL DATABASES'!$A$1:$T$2252,5,FALSE)</f>
        <v>2016</v>
      </c>
      <c r="E1323" s="15">
        <f ca="1">VLOOKUP(B1323,'ALL DATABASES'!$A$1:$T$2252,10,FALSE)</f>
        <v>2016</v>
      </c>
      <c r="F1323" s="54" t="str">
        <f ca="1">VLOOKUP(B1323,'ALL DATABASES'!$A$1:$T$2252,14,FALSE)</f>
        <v>https://www.scopus.com/inward/record.uri?eid=2-s2.0-85009513487&amp;partnerID=40&amp;md5=10de414f1ac383281bd9932dc8e1f757</v>
      </c>
      <c r="G1323" s="15" t="str">
        <f ca="1">VLOOKUP(B1323,'ALL DATABASES'!$A$1:$T$2252,3,FALSE)</f>
        <v>Conference Paper</v>
      </c>
      <c r="H1323" s="50" t="str">
        <f ca="1">VLOOKUP(B1323,'ALL DATABASES'!$A$1:$T$2252,20,FALSE)</f>
        <v>SCOPUS</v>
      </c>
    </row>
    <row r="1324" spans="1:8" ht="12.75" x14ac:dyDescent="0.2">
      <c r="A1324">
        <v>1323</v>
      </c>
      <c r="B1324" s="15" t="str">
        <f ca="1">IFERROR(__xludf.DUMMYFUNCTION("""COMPUTED_VALUE"""),"RIPOSTE: A Collaborative Cyber Attack Response Framework for Automotive Systems")</f>
        <v>RIPOSTE: A Collaborative Cyber Attack Response Framework for Automotive Systems</v>
      </c>
      <c r="C1324" s="15" t="str">
        <f ca="1">VLOOKUP(B1324,'ALL DATABASES'!$A$1:$T$2252,2,FALSE)</f>
        <v>Jolak R,Rosenstatter T,Aldaghistani S,Scandariato R</v>
      </c>
      <c r="D1324" s="15">
        <f ca="1">VLOOKUP(B1324,'ALL DATABASES'!$A$1:$T$2252,5,FALSE)</f>
        <v>2022</v>
      </c>
      <c r="E1324" s="55">
        <f ca="1">VLOOKUP(B1324,'ALL DATABASES'!$A$1:$T$2252,10,FALSE)</f>
        <v>44774</v>
      </c>
      <c r="F1324" s="54" t="str">
        <f ca="1">VLOOKUP(B1324,'ALL DATABASES'!$A$1:$T$2252,14,FALSE)</f>
        <v>http://dx.doi.org/10.1109/SEAA56994.2022.00062</v>
      </c>
      <c r="G1324" s="15" t="str">
        <f ca="1">VLOOKUP(B1324,'ALL DATABASES'!$A$1:$T$2252,3,FALSE)</f>
        <v>Conference Paper</v>
      </c>
      <c r="H1324" s="50" t="str">
        <f ca="1">VLOOKUP(B1324,'ALL DATABASES'!$A$1:$T$2252,20,FALSE)</f>
        <v>IEEE</v>
      </c>
    </row>
    <row r="1325" spans="1:8" ht="12.75" x14ac:dyDescent="0.2">
      <c r="A1325">
        <v>1324</v>
      </c>
      <c r="B1325" s="15" t="str">
        <f ca="1">IFERROR(__xludf.DUMMYFUNCTION("""COMPUTED_VALUE"""),"Rise of the Planet of Serverless Computing: A Systematic Review")</f>
        <v>Rise of the Planet of Serverless Computing: A Systematic Review</v>
      </c>
      <c r="C1325" s="15" t="str">
        <f ca="1">VLOOKUP(B1325,'ALL DATABASES'!$A$1:$T$2252,2,FALSE)</f>
        <v>Wen J,Chen Z,Jin X,Liu X</v>
      </c>
      <c r="D1325" s="15">
        <f ca="1">VLOOKUP(B1325,'ALL DATABASES'!$A$1:$T$2252,5,FALSE)</f>
        <v>2023</v>
      </c>
      <c r="E1325" s="55">
        <f ca="1">VLOOKUP(B1325,'ALL DATABASES'!$A$1:$T$2252,10,FALSE)</f>
        <v>44927</v>
      </c>
      <c r="F1325" s="54" t="str">
        <f ca="1">VLOOKUP(B1325,'ALL DATABASES'!$A$1:$T$2252,14,FALSE)</f>
        <v>https://doi.org/10.1145/3579643;http://dx.doi.org/10.1145/3579643</v>
      </c>
      <c r="G1325" s="15" t="str">
        <f ca="1">VLOOKUP(B1325,'ALL DATABASES'!$A$1:$T$2252,3,FALSE)</f>
        <v>Journal Article</v>
      </c>
      <c r="H1325" s="50" t="str">
        <f ca="1">VLOOKUP(B1325,'ALL DATABASES'!$A$1:$T$2252,20,FALSE)</f>
        <v>ACM</v>
      </c>
    </row>
    <row r="1326" spans="1:8" ht="12.75" x14ac:dyDescent="0.2">
      <c r="A1326">
        <v>1325</v>
      </c>
      <c r="B1326" s="15" t="str">
        <f ca="1">IFERROR(__xludf.DUMMYFUNCTION("""COMPUTED_VALUE"""),"Risk mitigation in algorithmic accountability: The role of machine learning copies")</f>
        <v>Risk mitigation in algorithmic accountability: The role of machine learning copies</v>
      </c>
      <c r="C1326" s="15" t="str">
        <f ca="1">VLOOKUP(B1326,'ALL DATABASES'!$A$1:$T$2252,2,FALSE)</f>
        <v>Unceta I,Nin J,Pujol O</v>
      </c>
      <c r="D1326" s="15">
        <f ca="1">VLOOKUP(B1326,'ALL DATABASES'!$A$1:$T$2252,5,FALSE)</f>
        <v>2020</v>
      </c>
      <c r="E1326" s="15">
        <f ca="1">VLOOKUP(B1326,'ALL DATABASES'!$A$1:$T$2252,10,FALSE)</f>
        <v>2020</v>
      </c>
      <c r="F1326" s="54" t="str">
        <f ca="1">VLOOKUP(B1326,'ALL DATABASES'!$A$1:$T$2252,14,FALSE)</f>
        <v>https://www.scopus.com/inward/record.uri?eid=2-s2.0-85095573146&amp;doi=10.1371%2fjournal.pone.0241286&amp;partnerID=40&amp;md5=8f0531d6cee6d31d274dfcd020c0fb37;http://dx.doi.org/10.1371/journal.pone.0241286</v>
      </c>
      <c r="G1326" s="15" t="str">
        <f ca="1">VLOOKUP(B1326,'ALL DATABASES'!$A$1:$T$2252,3,FALSE)</f>
        <v>Journal Article</v>
      </c>
      <c r="H1326" s="50" t="str">
        <f ca="1">VLOOKUP(B1326,'ALL DATABASES'!$A$1:$T$2252,20,FALSE)</f>
        <v>SCOPUS</v>
      </c>
    </row>
    <row r="1327" spans="1:8" ht="12.75" x14ac:dyDescent="0.2">
      <c r="A1327">
        <v>1326</v>
      </c>
      <c r="B1327" s="15" t="str">
        <f ca="1">IFERROR(__xludf.DUMMYFUNCTION("""COMPUTED_VALUE"""),"Risk-based data validation in machine learning-based software systems")</f>
        <v>Risk-based data validation in machine learning-based software systems</v>
      </c>
      <c r="C1327" s="15" t="str">
        <f ca="1">VLOOKUP(B1327,'ALL DATABASES'!$A$1:$T$2252,2,FALSE)</f>
        <v>Foidl H,Felderer M</v>
      </c>
      <c r="D1327" s="15">
        <f ca="1">VLOOKUP(B1327,'ALL DATABASES'!$A$1:$T$2252,5,FALSE)</f>
        <v>2019</v>
      </c>
      <c r="E1327" s="15">
        <f ca="1">VLOOKUP(B1327,'ALL DATABASES'!$A$1:$T$2252,10,FALSE)</f>
        <v>2019</v>
      </c>
      <c r="F1327" s="54" t="str">
        <f ca="1">VLOOKUP(B1327,'ALL DATABASES'!$A$1:$T$2252,14,FALSE)</f>
        <v>https://www.scopus.com/inward/record.uri?eid=2-s2.0-85076402950&amp;doi=10.1145%2f3340482.3342743&amp;partnerID=40&amp;md5=a79ad55d852c3be8833b7ef2d0d30e38;http://dx.doi.org/10.1145/3340482.3342743</v>
      </c>
      <c r="G1327" s="15" t="str">
        <f ca="1">VLOOKUP(B1327,'ALL DATABASES'!$A$1:$T$2252,3,FALSE)</f>
        <v>Conference Paper</v>
      </c>
      <c r="H1327" s="50" t="str">
        <f ca="1">VLOOKUP(B1327,'ALL DATABASES'!$A$1:$T$2252,20,FALSE)</f>
        <v>SCOPUS</v>
      </c>
    </row>
    <row r="1328" spans="1:8" ht="12.75" x14ac:dyDescent="0.2">
      <c r="A1328">
        <v>1327</v>
      </c>
      <c r="B1328" s="15" t="str">
        <f ca="1">IFERROR(__xludf.DUMMYFUNCTION("""COMPUTED_VALUE"""),"Round-trip engineering with the Two-Tier Programming Toolkit")</f>
        <v>Round-trip engineering with the Two-Tier Programming Toolkit</v>
      </c>
      <c r="C1328" s="15" t="str">
        <f ca="1">VLOOKUP(B1328,'ALL DATABASES'!$A$1:$T$2252,2,FALSE)</f>
        <v>A.H. EdenE. GasparisJ. NicholsonR. Kazman</v>
      </c>
      <c r="D1328" s="15">
        <f ca="1">VLOOKUP(B1328,'ALL DATABASES'!$A$1:$T$2252,5,FALSE)</f>
        <v>2018</v>
      </c>
      <c r="E1328" s="15">
        <f ca="1">VLOOKUP(B1328,'ALL DATABASES'!$A$1:$T$2252,10,FALSE)</f>
        <v>0</v>
      </c>
      <c r="F1328" s="54" t="str">
        <f ca="1">VLOOKUP(B1328,'ALL DATABASES'!$A$1:$T$2252,14,FALSE)</f>
        <v>http://link.springer.com/article/10.1007/s11219-017-9363-9</v>
      </c>
      <c r="G1328" s="15" t="str">
        <f ca="1">VLOOKUP(B1328,'ALL DATABASES'!$A$1:$T$2252,3,FALSE)</f>
        <v>Article</v>
      </c>
      <c r="H1328" s="50" t="str">
        <f ca="1">VLOOKUP(B1328,'ALL DATABASES'!$A$1:$T$2252,20,FALSE)</f>
        <v>SPRINGER</v>
      </c>
    </row>
    <row r="1329" spans="1:8" ht="12.75" x14ac:dyDescent="0.2">
      <c r="A1329">
        <v>1328</v>
      </c>
      <c r="B1329" s="15" t="str">
        <f ca="1">IFERROR(__xludf.DUMMYFUNCTION("""COMPUTED_VALUE"""),"Run-time evaluation of architectures: A case study of diversification in IoT")</f>
        <v>Run-time evaluation of architectures: A case study of diversification in IoT</v>
      </c>
      <c r="C1329" s="15" t="str">
        <f ca="1">VLOOKUP(B1329,'ALL DATABASES'!$A$1:$T$2252,2,FALSE)</f>
        <v>Sobhy D,Minku L,Bahsoon R,Chen T,Kazman R</v>
      </c>
      <c r="D1329" s="15">
        <f ca="1">VLOOKUP(B1329,'ALL DATABASES'!$A$1:$T$2252,5,FALSE)</f>
        <v>2020</v>
      </c>
      <c r="E1329" s="15">
        <f ca="1">VLOOKUP(B1329,'ALL DATABASES'!$A$1:$T$2252,10,FALSE)</f>
        <v>2020</v>
      </c>
      <c r="F1329" s="54" t="str">
        <f ca="1">VLOOKUP(B1329,'ALL DATABASES'!$A$1:$T$2252,14,FALSE)</f>
        <v>https://www.sciencedirect.com/science/article/pii/S016412121930202X;http://dx.doi.org/10.1016/j.jss.2019.110428</v>
      </c>
      <c r="G1329" s="15" t="str">
        <f ca="1">VLOOKUP(B1329,'ALL DATABASES'!$A$1:$T$2252,3,FALSE)</f>
        <v>Journal Article</v>
      </c>
      <c r="H1329" s="50" t="str">
        <f ca="1">VLOOKUP(B1329,'ALL DATABASES'!$A$1:$T$2252,20,FALSE)</f>
        <v>SCIENCEDIRECT</v>
      </c>
    </row>
    <row r="1330" spans="1:8" ht="12.75" x14ac:dyDescent="0.2">
      <c r="A1330">
        <v>1329</v>
      </c>
      <c r="B1330" s="15" t="str">
        <f ca="1">IFERROR(__xludf.DUMMYFUNCTION("""COMPUTED_VALUE"""),"Safety &amp; security of connected and highly automated robots; [Sicherheit vernetzter, hochautomatisierter Roboter]")</f>
        <v>Safety &amp; security of connected and highly automated robots; [Sicherheit vernetzter, hochautomatisierter Roboter]</v>
      </c>
      <c r="C1330" s="15" t="str">
        <f ca="1">VLOOKUP(B1330,'ALL DATABASES'!$A$1:$T$2252,2,FALSE)</f>
        <v>Krenn W</v>
      </c>
      <c r="D1330" s="15">
        <f ca="1">VLOOKUP(B1330,'ALL DATABASES'!$A$1:$T$2252,5,FALSE)</f>
        <v>2019</v>
      </c>
      <c r="E1330" s="15">
        <f ca="1">VLOOKUP(B1330,'ALL DATABASES'!$A$1:$T$2252,10,FALSE)</f>
        <v>2019</v>
      </c>
      <c r="F1330" s="54" t="str">
        <f ca="1">VLOOKUP(B1330,'ALL DATABASES'!$A$1:$T$2252,14,FALSE)</f>
        <v>https://www.scopus.com/inward/record.uri?eid=2-s2.0-85074631958&amp;doi=10.1007%2fs00502-019-00746-z&amp;partnerID=40&amp;md5=5f2382ad1806e16c0c0b15ecd449df90;http://dx.doi.org/10.1007/s00502-019-00746-z</v>
      </c>
      <c r="G1330" s="15" t="str">
        <f ca="1">VLOOKUP(B1330,'ALL DATABASES'!$A$1:$T$2252,3,FALSE)</f>
        <v>Journal Article</v>
      </c>
      <c r="H1330" s="50" t="str">
        <f ca="1">VLOOKUP(B1330,'ALL DATABASES'!$A$1:$T$2252,20,FALSE)</f>
        <v>SCOPUS</v>
      </c>
    </row>
    <row r="1331" spans="1:8" ht="12.75" x14ac:dyDescent="0.2">
      <c r="A1331">
        <v>1330</v>
      </c>
      <c r="B1331" s="15" t="str">
        <f ca="1">IFERROR(__xludf.DUMMYFUNCTION("""COMPUTED_VALUE"""),"Safety and Security of Cyber-Physical Systems")</f>
        <v>Safety and Security of Cyber-Physical Systems</v>
      </c>
      <c r="C1331" s="15" t="str">
        <f ca="1">VLOOKUP(B1331,'ALL DATABASES'!$A$1:$T$2252,2,FALSE)</f>
        <v>Dr. Frank J. Furrer</v>
      </c>
      <c r="D1331" s="15">
        <f ca="1">VLOOKUP(B1331,'ALL DATABASES'!$A$1:$T$2252,5,FALSE)</f>
        <v>2022</v>
      </c>
      <c r="E1331" s="15">
        <f ca="1">VLOOKUP(B1331,'ALL DATABASES'!$A$1:$T$2252,10,FALSE)</f>
        <v>0</v>
      </c>
      <c r="F1331" s="54" t="str">
        <f ca="1">VLOOKUP(B1331,'ALL DATABASES'!$A$1:$T$2252,14,FALSE)</f>
        <v>http://link.springer.com/book/10.1007/978-3-658-37182-1</v>
      </c>
      <c r="G1331" s="15" t="str">
        <f ca="1">VLOOKUP(B1331,'ALL DATABASES'!$A$1:$T$2252,3,FALSE)</f>
        <v>Book</v>
      </c>
      <c r="H1331" s="50" t="str">
        <f ca="1">VLOOKUP(B1331,'ALL DATABASES'!$A$1:$T$2252,20,FALSE)</f>
        <v>SPRINGER</v>
      </c>
    </row>
    <row r="1332" spans="1:8" ht="12.75" x14ac:dyDescent="0.2">
      <c r="A1332">
        <v>1331</v>
      </c>
      <c r="B1332" s="15" t="str">
        <f ca="1">IFERROR(__xludf.DUMMYFUNCTION("""COMPUTED_VALUE"""),"SAP Enterprise Architecture")</f>
        <v>SAP Enterprise Architecture</v>
      </c>
      <c r="C1332" s="15" t="str">
        <f ca="1">VLOOKUP(B1332,'ALL DATABASES'!$A$1:$T$2252,2,FALSE)</f>
        <v>Sheunopa Chalmers Musukutwa</v>
      </c>
      <c r="D1332" s="15">
        <f ca="1">VLOOKUP(B1332,'ALL DATABASES'!$A$1:$T$2252,5,FALSE)</f>
        <v>2022</v>
      </c>
      <c r="E1332" s="15">
        <f ca="1">VLOOKUP(B1332,'ALL DATABASES'!$A$1:$T$2252,10,FALSE)</f>
        <v>0</v>
      </c>
      <c r="F1332" s="54" t="str">
        <f ca="1">VLOOKUP(B1332,'ALL DATABASES'!$A$1:$T$2252,14,FALSE)</f>
        <v>http://link.springer.com/book/10.1007/978-1-4842-8575-6</v>
      </c>
      <c r="G1332" s="15" t="str">
        <f ca="1">VLOOKUP(B1332,'ALL DATABASES'!$A$1:$T$2252,3,FALSE)</f>
        <v>Book</v>
      </c>
      <c r="H1332" s="50" t="str">
        <f ca="1">VLOOKUP(B1332,'ALL DATABASES'!$A$1:$T$2252,20,FALSE)</f>
        <v>SPRINGER</v>
      </c>
    </row>
    <row r="1333" spans="1:8" ht="12.75" x14ac:dyDescent="0.2">
      <c r="A1333">
        <v>1332</v>
      </c>
      <c r="B1333" s="15" t="str">
        <f ca="1">IFERROR(__xludf.DUMMYFUNCTION("""COMPUTED_VALUE"""),"SAS vs. NSAS: Analysis and comparison of self-adaptive systems and non-self-adaptive systems based on smells and patterns")</f>
        <v>SAS vs. NSAS: Analysis and comparison of self-adaptive systems and non-self-adaptive systems based on smells and patterns</v>
      </c>
      <c r="C1333" s="15" t="str">
        <f ca="1">VLOOKUP(B1333,'ALL DATABASES'!$A$1:$T$2252,2,FALSE)</f>
        <v>Raibulet C,Fontana FA,Carettoni S</v>
      </c>
      <c r="D1333" s="15">
        <f ca="1">VLOOKUP(B1333,'ALL DATABASES'!$A$1:$T$2252,5,FALSE)</f>
        <v>2020</v>
      </c>
      <c r="E1333" s="15">
        <f ca="1">VLOOKUP(B1333,'ALL DATABASES'!$A$1:$T$2252,10,FALSE)</f>
        <v>2020</v>
      </c>
      <c r="F1333" s="54" t="str">
        <f ca="1">VLOOKUP(B1333,'ALL DATABASES'!$A$1:$T$2252,14,FALSE)</f>
        <v>https://www.scopus.com/inward/record.uri?eid=2-s2.0-85088402223&amp;partnerID=40&amp;md5=d3d35fc7fbcf1b534574843da34ca293</v>
      </c>
      <c r="G1333" s="15" t="str">
        <f ca="1">VLOOKUP(B1333,'ALL DATABASES'!$A$1:$T$2252,3,FALSE)</f>
        <v>Conference Paper</v>
      </c>
      <c r="H1333" s="50" t="str">
        <f ca="1">VLOOKUP(B1333,'ALL DATABASES'!$A$1:$T$2252,20,FALSE)</f>
        <v>SCOPUS</v>
      </c>
    </row>
    <row r="1334" spans="1:8" ht="12.75" x14ac:dyDescent="0.2">
      <c r="A1334">
        <v>1333</v>
      </c>
      <c r="B1334" s="15" t="str">
        <f ca="1">IFERROR(__xludf.DUMMYFUNCTION("""COMPUTED_VALUE"""),"SATD Detector: A Text-Mining-Based Self-Admitted Technical Debt Detection Tool")</f>
        <v>SATD Detector: A Text-Mining-Based Self-Admitted Technical Debt Detection Tool</v>
      </c>
      <c r="C1334" s="15" t="str">
        <f ca="1">VLOOKUP(B1334,'ALL DATABASES'!$A$1:$T$2252,2,FALSE)</f>
        <v>Liu Z,Huang Q,Xia X,Shihab E,Lo D,Li S</v>
      </c>
      <c r="D1334" s="15">
        <f ca="1">VLOOKUP(B1334,'ALL DATABASES'!$A$1:$T$2252,5,FALSE)</f>
        <v>2018</v>
      </c>
      <c r="E1334" s="15">
        <f ca="1">VLOOKUP(B1334,'ALL DATABASES'!$A$1:$T$2252,10,FALSE)</f>
        <v>2018</v>
      </c>
      <c r="F1334" s="54" t="str">
        <f ca="1">VLOOKUP(B1334,'ALL DATABASES'!$A$1:$T$2252,14,FALSE)</f>
        <v>https://doi.org/10.1145/3183440.3183478;http://dx.doi.org/10.1145/3183440.3183478</v>
      </c>
      <c r="G1334" s="15" t="str">
        <f ca="1">VLOOKUP(B1334,'ALL DATABASES'!$A$1:$T$2252,3,FALSE)</f>
        <v>Conference Paper</v>
      </c>
      <c r="H1334" s="50" t="str">
        <f ca="1">VLOOKUP(B1334,'ALL DATABASES'!$A$1:$T$2252,20,FALSE)</f>
        <v>ACM</v>
      </c>
    </row>
    <row r="1335" spans="1:8" ht="12.75" x14ac:dyDescent="0.2">
      <c r="A1335">
        <v>1334</v>
      </c>
      <c r="B1335" s="15" t="str">
        <f ca="1">IFERROR(__xludf.DUMMYFUNCTION("""COMPUTED_VALUE"""),"SATDBailiff-mining and tracking self-admitted technical debt")</f>
        <v>SATDBailiff-mining and tracking self-admitted technical debt</v>
      </c>
      <c r="C1335" s="15" t="str">
        <f ca="1">VLOOKUP(B1335,'ALL DATABASES'!$A$1:$T$2252,2,FALSE)</f>
        <v>AlOmar EA,Christians B,Busho M,AlKhalid AH,Ouni A,Newman C,Mkaouer MW</v>
      </c>
      <c r="D1335" s="15">
        <f ca="1">VLOOKUP(B1335,'ALL DATABASES'!$A$1:$T$2252,5,FALSE)</f>
        <v>2022</v>
      </c>
      <c r="E1335" s="15">
        <f ca="1">VLOOKUP(B1335,'ALL DATABASES'!$A$1:$T$2252,10,FALSE)</f>
        <v>2022</v>
      </c>
      <c r="F1335" s="54" t="str">
        <f ca="1">VLOOKUP(B1335,'ALL DATABASES'!$A$1:$T$2252,14,FALSE)</f>
        <v>https://www.sciencedirect.com/science/article/pii/S0167642321000861;http://dx.doi.org/10.1016/j.scico.2021.102693</v>
      </c>
      <c r="G1335" s="15" t="str">
        <f ca="1">VLOOKUP(B1335,'ALL DATABASES'!$A$1:$T$2252,3,FALSE)</f>
        <v>Journal Article</v>
      </c>
      <c r="H1335" s="50" t="str">
        <f ca="1">VLOOKUP(B1335,'ALL DATABASES'!$A$1:$T$2252,20,FALSE)</f>
        <v>SCIENCEDIRECT</v>
      </c>
    </row>
    <row r="1336" spans="1:8" ht="12.75" x14ac:dyDescent="0.2">
      <c r="A1336">
        <v>1335</v>
      </c>
      <c r="B1336" s="15" t="str">
        <f ca="1">IFERROR(__xludf.DUMMYFUNCTION("""COMPUTED_VALUE"""),"SBCARS '22: Proceedings of the 16th Brazilian Symposium on Software Components, Architectures, and Reuse")</f>
        <v>SBCARS '22: Proceedings of the 16th Brazilian Symposium on Software Components, Architectures, and Reuse</v>
      </c>
      <c r="C1336" s="15">
        <f ca="1">VLOOKUP(B1336,'ALL DATABASES'!$A$1:$T$2252,2,FALSE)</f>
        <v>0</v>
      </c>
      <c r="D1336" s="15">
        <f ca="1">VLOOKUP(B1336,'ALL DATABASES'!$A$1:$T$2252,5,FALSE)</f>
        <v>2022</v>
      </c>
      <c r="E1336" s="15">
        <f ca="1">VLOOKUP(B1336,'ALL DATABASES'!$A$1:$T$2252,10,FALSE)</f>
        <v>2022</v>
      </c>
      <c r="F1336" s="15">
        <f ca="1">VLOOKUP(B1336,'ALL DATABASES'!$A$1:$T$2252,14,FALSE)</f>
        <v>0</v>
      </c>
      <c r="G1336" s="15" t="str">
        <f ca="1">VLOOKUP(B1336,'ALL DATABASES'!$A$1:$T$2252,3,FALSE)</f>
        <v>Book</v>
      </c>
      <c r="H1336" s="50" t="str">
        <f ca="1">VLOOKUP(B1336,'ALL DATABASES'!$A$1:$T$2252,20,FALSE)</f>
        <v>ACM</v>
      </c>
    </row>
    <row r="1337" spans="1:8" ht="12.75" x14ac:dyDescent="0.2">
      <c r="A1337">
        <v>1336</v>
      </c>
      <c r="B1337" s="15" t="str">
        <f ca="1">IFERROR(__xludf.DUMMYFUNCTION("""COMPUTED_VALUE"""),"SBES '22: Proceedings of the XXXVI Brazilian Symposium on Software Engineering")</f>
        <v>SBES '22: Proceedings of the XXXVI Brazilian Symposium on Software Engineering</v>
      </c>
      <c r="C1337" s="15">
        <f ca="1">VLOOKUP(B1337,'ALL DATABASES'!$A$1:$T$2252,2,FALSE)</f>
        <v>0</v>
      </c>
      <c r="D1337" s="15">
        <f ca="1">VLOOKUP(B1337,'ALL DATABASES'!$A$1:$T$2252,5,FALSE)</f>
        <v>2022</v>
      </c>
      <c r="E1337" s="15">
        <f ca="1">VLOOKUP(B1337,'ALL DATABASES'!$A$1:$T$2252,10,FALSE)</f>
        <v>2022</v>
      </c>
      <c r="F1337" s="15">
        <f ca="1">VLOOKUP(B1337,'ALL DATABASES'!$A$1:$T$2252,14,FALSE)</f>
        <v>0</v>
      </c>
      <c r="G1337" s="15" t="str">
        <f ca="1">VLOOKUP(B1337,'ALL DATABASES'!$A$1:$T$2252,3,FALSE)</f>
        <v>Book</v>
      </c>
      <c r="H1337" s="50" t="str">
        <f ca="1">VLOOKUP(B1337,'ALL DATABASES'!$A$1:$T$2252,20,FALSE)</f>
        <v>ACM</v>
      </c>
    </row>
    <row r="1338" spans="1:8" ht="12.75" x14ac:dyDescent="0.2">
      <c r="A1338">
        <v>1337</v>
      </c>
      <c r="B1338" s="15" t="str">
        <f ca="1">IFERROR(__xludf.DUMMYFUNCTION("""COMPUTED_VALUE"""),"Scalable and Accurate Test Case Prioritization in Continuous Integration Contexts")</f>
        <v>Scalable and Accurate Test Case Prioritization in Continuous Integration Contexts</v>
      </c>
      <c r="C1338" s="15" t="str">
        <f ca="1">VLOOKUP(B1338,'ALL DATABASES'!$A$1:$T$2252,2,FALSE)</f>
        <v>Yaraghi AS,Bagherzadeh M,Kahani N,Briand L</v>
      </c>
      <c r="D1338" s="15">
        <f ca="1">VLOOKUP(B1338,'ALL DATABASES'!$A$1:$T$2252,5,FALSE)</f>
        <v>2022</v>
      </c>
      <c r="E1338" s="15">
        <f ca="1">VLOOKUP(B1338,'ALL DATABASES'!$A$1:$T$2252,10,FALSE)</f>
        <v>2022</v>
      </c>
      <c r="F1338" s="54" t="str">
        <f ca="1">VLOOKUP(B1338,'ALL DATABASES'!$A$1:$T$2252,14,FALSE)</f>
        <v>http://dx.doi.org/10.1109/TSE.2022.3184842</v>
      </c>
      <c r="G1338" s="15" t="str">
        <f ca="1">VLOOKUP(B1338,'ALL DATABASES'!$A$1:$T$2252,3,FALSE)</f>
        <v>Journal Article</v>
      </c>
      <c r="H1338" s="50" t="str">
        <f ca="1">VLOOKUP(B1338,'ALL DATABASES'!$A$1:$T$2252,20,FALSE)</f>
        <v>IEEE</v>
      </c>
    </row>
    <row r="1339" spans="1:8" ht="12.75" x14ac:dyDescent="0.2">
      <c r="A1339">
        <v>1338</v>
      </c>
      <c r="B1339" s="15" t="str">
        <f ca="1">IFERROR(__xludf.DUMMYFUNCTION("""COMPUTED_VALUE"""),"Scaling Big Data Mining Infrastructure: The Twitter Experience")</f>
        <v>Scaling Big Data Mining Infrastructure: The Twitter Experience</v>
      </c>
      <c r="C1339" s="15" t="str">
        <f ca="1">VLOOKUP(B1339,'ALL DATABASES'!$A$1:$T$2252,2,FALSE)</f>
        <v>Lin J,Ryaboy D</v>
      </c>
      <c r="D1339" s="15">
        <f ca="1">VLOOKUP(B1339,'ALL DATABASES'!$A$1:$T$2252,5,FALSE)</f>
        <v>2013</v>
      </c>
      <c r="E1339" s="55">
        <f ca="1">VLOOKUP(B1339,'ALL DATABASES'!$A$1:$T$2252,10,FALSE)</f>
        <v>41365</v>
      </c>
      <c r="F1339" s="54" t="str">
        <f ca="1">VLOOKUP(B1339,'ALL DATABASES'!$A$1:$T$2252,14,FALSE)</f>
        <v>https://doi.org/10.1145/2481244.2481247;http://dx.doi.org/10.1145/2481244.2481247</v>
      </c>
      <c r="G1339" s="15" t="str">
        <f ca="1">VLOOKUP(B1339,'ALL DATABASES'!$A$1:$T$2252,3,FALSE)</f>
        <v>Journal Article</v>
      </c>
      <c r="H1339" s="50" t="str">
        <f ca="1">VLOOKUP(B1339,'ALL DATABASES'!$A$1:$T$2252,20,FALSE)</f>
        <v>ACM</v>
      </c>
    </row>
    <row r="1340" spans="1:8" ht="12.75" x14ac:dyDescent="0.2">
      <c r="A1340">
        <v>1339</v>
      </c>
      <c r="B1340" s="15" t="str">
        <f ca="1">IFERROR(__xludf.DUMMYFUNCTION("""COMPUTED_VALUE"""),"Scaling Enterprise Recommender Systems for Decentralization")</f>
        <v>Scaling Enterprise Recommender Systems for Decentralization</v>
      </c>
      <c r="C1340" s="15" t="str">
        <f ca="1">VLOOKUP(B1340,'ALL DATABASES'!$A$1:$T$2252,2,FALSE)</f>
        <v>van der Goes M</v>
      </c>
      <c r="D1340" s="15">
        <f ca="1">VLOOKUP(B1340,'ALL DATABASES'!$A$1:$T$2252,5,FALSE)</f>
        <v>2021</v>
      </c>
      <c r="E1340" s="15">
        <f ca="1">VLOOKUP(B1340,'ALL DATABASES'!$A$1:$T$2252,10,FALSE)</f>
        <v>2021</v>
      </c>
      <c r="F1340" s="54" t="str">
        <f ca="1">VLOOKUP(B1340,'ALL DATABASES'!$A$1:$T$2252,14,FALSE)</f>
        <v>https://doi.org/10.1145/3460231.3474616;http://dx.doi.org/10.1145/3460231.3474616</v>
      </c>
      <c r="G1340" s="15" t="str">
        <f ca="1">VLOOKUP(B1340,'ALL DATABASES'!$A$1:$T$2252,3,FALSE)</f>
        <v>Conference Paper</v>
      </c>
      <c r="H1340" s="50" t="str">
        <f ca="1">VLOOKUP(B1340,'ALL DATABASES'!$A$1:$T$2252,20,FALSE)</f>
        <v>ACM</v>
      </c>
    </row>
    <row r="1341" spans="1:8" ht="12.75" x14ac:dyDescent="0.2">
      <c r="A1341">
        <v>1340</v>
      </c>
      <c r="B1341" s="15" t="str">
        <f ca="1">IFERROR(__xludf.DUMMYFUNCTION("""COMPUTED_VALUE"""),"SCGRU: A general approach for identifying multiple classes of self-admitted technical debt with text generation oversampling")</f>
        <v>SCGRU: A general approach for identifying multiple classes of self-admitted technical debt with text generation oversampling</v>
      </c>
      <c r="C1341" s="15" t="str">
        <f ca="1">VLOOKUP(B1341,'ALL DATABASES'!$A$1:$T$2252,2,FALSE)</f>
        <v>Zhu K,Yin M,Zhu D,Zhang X,Gao C,Jiang J</v>
      </c>
      <c r="D1341" s="15">
        <f ca="1">VLOOKUP(B1341,'ALL DATABASES'!$A$1:$T$2252,5,FALSE)</f>
        <v>2023</v>
      </c>
      <c r="E1341" s="15">
        <f ca="1">VLOOKUP(B1341,'ALL DATABASES'!$A$1:$T$2252,10,FALSE)</f>
        <v>2023</v>
      </c>
      <c r="F1341" s="54" t="str">
        <f ca="1">VLOOKUP(B1341,'ALL DATABASES'!$A$1:$T$2252,14,FALSE)</f>
        <v>https://www.sciencedirect.com/science/article/pii/S016412122200190X;http://dx.doi.org/10.1016/j.jss.2022.111514</v>
      </c>
      <c r="G1341" s="15" t="str">
        <f ca="1">VLOOKUP(B1341,'ALL DATABASES'!$A$1:$T$2252,3,FALSE)</f>
        <v>Journal Article</v>
      </c>
      <c r="H1341" s="50" t="str">
        <f ca="1">VLOOKUP(B1341,'ALL DATABASES'!$A$1:$T$2252,20,FALSE)</f>
        <v>SCIENCEDIRECT</v>
      </c>
    </row>
    <row r="1342" spans="1:8" ht="12.75" x14ac:dyDescent="0.2">
      <c r="A1342">
        <v>1341</v>
      </c>
      <c r="B1342" s="15" t="str">
        <f ca="1">IFERROR(__xludf.DUMMYFUNCTION("""COMPUTED_VALUE"""),"Scrum for Sales")</f>
        <v>Scrum for Sales</v>
      </c>
      <c r="C1342" s="15" t="str">
        <f ca="1">VLOOKUP(B1342,'ALL DATABASES'!$A$1:$T$2252,2,FALSE)</f>
        <v>Dr. Michael J. Scherm</v>
      </c>
      <c r="D1342" s="15">
        <f ca="1">VLOOKUP(B1342,'ALL DATABASES'!$A$1:$T$2252,5,FALSE)</f>
        <v>2021</v>
      </c>
      <c r="E1342" s="15">
        <f ca="1">VLOOKUP(B1342,'ALL DATABASES'!$A$1:$T$2252,10,FALSE)</f>
        <v>0</v>
      </c>
      <c r="F1342" s="54" t="str">
        <f ca="1">VLOOKUP(B1342,'ALL DATABASES'!$A$1:$T$2252,14,FALSE)</f>
        <v>http://link.springer.com/book/10.1007/978-3-030-82978-0</v>
      </c>
      <c r="G1342" s="15" t="str">
        <f ca="1">VLOOKUP(B1342,'ALL DATABASES'!$A$1:$T$2252,3,FALSE)</f>
        <v>Book</v>
      </c>
      <c r="H1342" s="50" t="str">
        <f ca="1">VLOOKUP(B1342,'ALL DATABASES'!$A$1:$T$2252,20,FALSE)</f>
        <v>SPRINGER</v>
      </c>
    </row>
    <row r="1343" spans="1:8" ht="12.75" x14ac:dyDescent="0.2">
      <c r="A1343">
        <v>1342</v>
      </c>
      <c r="B1343" s="15" t="str">
        <f ca="1">IFERROR(__xludf.DUMMYFUNCTION("""COMPUTED_VALUE"""),"SDK4ED: A platform for technical debt management")</f>
        <v>SDK4ED: A platform for technical debt management</v>
      </c>
      <c r="C1343" s="15" t="str">
        <f ca="1">VLOOKUP(B1343,'ALL DATABASES'!$A$1:$T$2252,2,FALSE)</f>
        <v>Ampatzoglou A,Chatzigeorgiou A,Arvanitou EM,Bibi S</v>
      </c>
      <c r="D1343" s="15">
        <f ca="1">VLOOKUP(B1343,'ALL DATABASES'!$A$1:$T$2252,5,FALSE)</f>
        <v>2022</v>
      </c>
      <c r="E1343" s="15">
        <f ca="1">VLOOKUP(B1343,'ALL DATABASES'!$A$1:$T$2252,10,FALSE)</f>
        <v>2022</v>
      </c>
      <c r="F1343" s="54" t="str">
        <f ca="1">VLOOKUP(B1343,'ALL DATABASES'!$A$1:$T$2252,14,FALSE)</f>
        <v>https://www.scopus.com/inward/record.uri?eid=2-s2.0-85129838215&amp;doi=10.1002%2fspe.3093&amp;partnerID=40&amp;md5=e22cde9c69e6b91c1c529527fdfe7b10;http://dx.doi.org/10.1002/spe.3093</v>
      </c>
      <c r="G1343" s="15" t="str">
        <f ca="1">VLOOKUP(B1343,'ALL DATABASES'!$A$1:$T$2252,3,FALSE)</f>
        <v>Journal Article</v>
      </c>
      <c r="H1343" s="50" t="str">
        <f ca="1">VLOOKUP(B1343,'ALL DATABASES'!$A$1:$T$2252,20,FALSE)</f>
        <v>SCOPUS</v>
      </c>
    </row>
    <row r="1344" spans="1:8" ht="12.75" x14ac:dyDescent="0.2">
      <c r="A1344">
        <v>1343</v>
      </c>
      <c r="B1344" s="15" t="str">
        <f ca="1">IFERROR(__xludf.DUMMYFUNCTION("""COMPUTED_VALUE"""),"SDK4ED: One-click platform for Energy-aware, Maintainable and Dependable Applications")</f>
        <v>SDK4ED: One-click platform for Energy-aware, Maintainable and Dependable Applications</v>
      </c>
      <c r="C1344" s="15" t="str">
        <f ca="1">VLOOKUP(B1344,'ALL DATABASES'!$A$1:$T$2252,2,FALSE)</f>
        <v>Marantos C,Siavvas M,Tsoukalas D,Lamprakos CP,Papadopoulos L,Boryszko P,Filus K,Domanska J,Ampatzoglou A,Chatzigeorgiou A,Gelenbe E,Kehagias D,Soudris D</v>
      </c>
      <c r="D1344" s="15">
        <f ca="1">VLOOKUP(B1344,'ALL DATABASES'!$A$1:$T$2252,5,FALSE)</f>
        <v>2022</v>
      </c>
      <c r="E1344" s="15">
        <f ca="1">VLOOKUP(B1344,'ALL DATABASES'!$A$1:$T$2252,10,FALSE)</f>
        <v>2022</v>
      </c>
      <c r="F1344" s="54" t="str">
        <f ca="1">VLOOKUP(B1344,'ALL DATABASES'!$A$1:$T$2252,14,FALSE)</f>
        <v>https://www.scopus.com/inward/record.uri?eid=2-s2.0-85130851259&amp;doi=10.23919%2fDATE54114.2022.9774586&amp;partnerID=40&amp;md5=19eb0ccd49d048c84328829fffa2c2d5;http://dx.doi.org/10.23919/DATE54114.2022.9774586</v>
      </c>
      <c r="G1344" s="15" t="str">
        <f ca="1">VLOOKUP(B1344,'ALL DATABASES'!$A$1:$T$2252,3,FALSE)</f>
        <v>Conference Paper</v>
      </c>
      <c r="H1344" s="50" t="str">
        <f ca="1">VLOOKUP(B1344,'ALL DATABASES'!$A$1:$T$2252,20,FALSE)</f>
        <v>SCOPUS</v>
      </c>
    </row>
    <row r="1345" spans="1:8" ht="12.75" x14ac:dyDescent="0.2">
      <c r="A1345">
        <v>1344</v>
      </c>
      <c r="B1345" s="15" t="str">
        <f ca="1">IFERROR(__xludf.DUMMYFUNCTION("""COMPUTED_VALUE"""),"SDN Based Scalable MTD Solution in Cloud Network")</f>
        <v>SDN Based Scalable MTD Solution in Cloud Network</v>
      </c>
      <c r="C1345" s="15" t="str">
        <f ca="1">VLOOKUP(B1345,'ALL DATABASES'!$A$1:$T$2252,2,FALSE)</f>
        <v>Chowdhary A,Pisharody S,Huang D</v>
      </c>
      <c r="D1345" s="15">
        <f ca="1">VLOOKUP(B1345,'ALL DATABASES'!$A$1:$T$2252,5,FALSE)</f>
        <v>2016</v>
      </c>
      <c r="E1345" s="15">
        <f ca="1">VLOOKUP(B1345,'ALL DATABASES'!$A$1:$T$2252,10,FALSE)</f>
        <v>2016</v>
      </c>
      <c r="F1345" s="54" t="str">
        <f ca="1">VLOOKUP(B1345,'ALL DATABASES'!$A$1:$T$2252,14,FALSE)</f>
        <v>https://doi.org/10.1145/2995272.2995274;http://dx.doi.org/10.1145/2995272.2995274</v>
      </c>
      <c r="G1345" s="15" t="str">
        <f ca="1">VLOOKUP(B1345,'ALL DATABASES'!$A$1:$T$2252,3,FALSE)</f>
        <v>Conference Paper</v>
      </c>
      <c r="H1345" s="50" t="str">
        <f ca="1">VLOOKUP(B1345,'ALL DATABASES'!$A$1:$T$2252,20,FALSE)</f>
        <v>ACM</v>
      </c>
    </row>
    <row r="1346" spans="1:8" s="71" customFormat="1" ht="12.75" x14ac:dyDescent="0.2">
      <c r="A1346">
        <v>1345</v>
      </c>
      <c r="B1346" s="68" t="str">
        <f ca="1">IFERROR(__xludf.DUMMYFUNCTION("""COMPUTED_VALUE"""),"Search Based Risk Reduction Supporting the Intelligent Components Selection Process")</f>
        <v>Search Based Risk Reduction Supporting the Intelligent Components Selection Process</v>
      </c>
      <c r="C1346" s="68" t="str">
        <f ca="1">VLOOKUP(B1346,'ALL DATABASES'!$A$1:$T$2252,2,FALSE)</f>
        <v>Valenzuela-Toledo P,Cares C,Dieguez M</v>
      </c>
      <c r="D1346" s="68">
        <f ca="1">VLOOKUP(B1346,'ALL DATABASES'!$A$1:$T$2252,5,FALSE)</f>
        <v>2019</v>
      </c>
      <c r="E1346" s="68">
        <f ca="1">VLOOKUP(B1346,'ALL DATABASES'!$A$1:$T$2252,10,FALSE)</f>
        <v>2019</v>
      </c>
      <c r="F1346" s="69" t="str">
        <f ca="1">VLOOKUP(B1346,'ALL DATABASES'!$A$1:$T$2252,14,FALSE)</f>
        <v>https://www.scopus.com/inward/record.uri?eid=2-s2.0-85081065732&amp;doi=10.1109%2fCHILECON47746.2019.8987553&amp;partnerID=40&amp;md5=5f4b8fb330a79f95632051f14db39697;http://dx.doi.org/10.1109/CHILECON47746.2019.8987553</v>
      </c>
      <c r="G1346" s="68" t="str">
        <f ca="1">VLOOKUP(B1346,'ALL DATABASES'!$A$1:$T$2252,3,FALSE)</f>
        <v>Conference Paper</v>
      </c>
      <c r="H1346" s="70" t="str">
        <f ca="1">VLOOKUP(B1346,'ALL DATABASES'!$A$1:$T$2252,20,FALSE)</f>
        <v>SCOPUS</v>
      </c>
    </row>
    <row r="1347" spans="1:8" ht="12.75" x14ac:dyDescent="0.2">
      <c r="A1347">
        <v>1346</v>
      </c>
      <c r="B1347" s="15" t="str">
        <f ca="1">IFERROR(__xludf.DUMMYFUNCTION("""COMPUTED_VALUE"""),"Search. Review. Repeat? An empirical study of threats to replicating SLR searches")</f>
        <v>Search. Review. Repeat? An empirical study of threats to replicating SLR searches</v>
      </c>
      <c r="C1347" s="15" t="str">
        <f ca="1">VLOOKUP(B1347,'ALL DATABASES'!$A$1:$T$2252,2,FALSE)</f>
        <v>Jacob KrÃ¼gerChristian LausbergerIvonne von Nostitz-WallwitzGunter SaakeThomas Leich</v>
      </c>
      <c r="D1347" s="15">
        <f ca="1">VLOOKUP(B1347,'ALL DATABASES'!$A$1:$T$2252,5,FALSE)</f>
        <v>2020</v>
      </c>
      <c r="E1347" s="15">
        <f ca="1">VLOOKUP(B1347,'ALL DATABASES'!$A$1:$T$2252,10,FALSE)</f>
        <v>0</v>
      </c>
      <c r="F1347" s="54" t="str">
        <f ca="1">VLOOKUP(B1347,'ALL DATABASES'!$A$1:$T$2252,14,FALSE)</f>
        <v>http://link.springer.com/article/10.1007/s10664-019-09763-0</v>
      </c>
      <c r="G1347" s="15" t="str">
        <f ca="1">VLOOKUP(B1347,'ALL DATABASES'!$A$1:$T$2252,3,FALSE)</f>
        <v>Article</v>
      </c>
      <c r="H1347" s="50" t="str">
        <f ca="1">VLOOKUP(B1347,'ALL DATABASES'!$A$1:$T$2252,20,FALSE)</f>
        <v>SPRINGER</v>
      </c>
    </row>
    <row r="1348" spans="1:8" ht="12.75" x14ac:dyDescent="0.2">
      <c r="A1348">
        <v>1347</v>
      </c>
      <c r="B1348" s="15" t="str">
        <f ca="1">IFERROR(__xludf.DUMMYFUNCTION("""COMPUTED_VALUE"""),"SecoArc: A Framework for Architecting Healthy Software Ecosystems")</f>
        <v>SecoArc: A Framework for Architecting Healthy Software Ecosystems</v>
      </c>
      <c r="C1348" s="15" t="str">
        <f ca="1">VLOOKUP(B1348,'ALL DATABASES'!$A$1:$T$2252,2,FALSE)</f>
        <v>Bahar SchwichtenbergGregor Engels</v>
      </c>
      <c r="D1348" s="15">
        <f ca="1">VLOOKUP(B1348,'ALL DATABASES'!$A$1:$T$2252,5,FALSE)</f>
        <v>2020</v>
      </c>
      <c r="E1348" s="15">
        <f ca="1">VLOOKUP(B1348,'ALL DATABASES'!$A$1:$T$2252,10,FALSE)</f>
        <v>0</v>
      </c>
      <c r="F1348" s="54" t="str">
        <f ca="1">VLOOKUP(B1348,'ALL DATABASES'!$A$1:$T$2252,14,FALSE)</f>
        <v>http://link.springer.com/chapter/10.1007/978-3-030-59155-7_8</v>
      </c>
      <c r="G1348" s="15" t="str">
        <f ca="1">VLOOKUP(B1348,'ALL DATABASES'!$A$1:$T$2252,3,FALSE)</f>
        <v>Chapter</v>
      </c>
      <c r="H1348" s="50" t="str">
        <f ca="1">VLOOKUP(B1348,'ALL DATABASES'!$A$1:$T$2252,20,FALSE)</f>
        <v>SPRINGER</v>
      </c>
    </row>
    <row r="1349" spans="1:8" ht="12.75" x14ac:dyDescent="0.2">
      <c r="A1349">
        <v>1348</v>
      </c>
      <c r="B1349" s="15" t="str">
        <f ca="1">IFERROR(__xludf.DUMMYFUNCTION("""COMPUTED_VALUE"""),"Secure Systems Development")</f>
        <v>Secure Systems Development</v>
      </c>
      <c r="C1349" s="15" t="str">
        <f ca="1">VLOOKUP(B1349,'ALL DATABASES'!$A$1:$T$2252,2,FALSE)</f>
        <v>Anderson R</v>
      </c>
      <c r="D1349" s="15">
        <f ca="1">VLOOKUP(B1349,'ALL DATABASES'!$A$1:$T$2252,5,FALSE)</f>
        <v>2020</v>
      </c>
      <c r="E1349" s="15">
        <f ca="1">VLOOKUP(B1349,'ALL DATABASES'!$A$1:$T$2252,10,FALSE)</f>
        <v>2020</v>
      </c>
      <c r="F1349" s="54" t="str">
        <f ca="1">VLOOKUP(B1349,'ALL DATABASES'!$A$1:$T$2252,14,FALSE)</f>
        <v>https://ieeexplore.ieee.org/document/9822369;http://dx.doi.org/10.1002/9781119644682.ch27</v>
      </c>
      <c r="G1349" s="15" t="str">
        <f ca="1">VLOOKUP(B1349,'ALL DATABASES'!$A$1:$T$2252,3,FALSE)</f>
        <v>Book Chapter</v>
      </c>
      <c r="H1349" s="50" t="str">
        <f ca="1">VLOOKUP(B1349,'ALL DATABASES'!$A$1:$T$2252,20,FALSE)</f>
        <v>IEEE</v>
      </c>
    </row>
    <row r="1350" spans="1:8" ht="12.75" x14ac:dyDescent="0.2">
      <c r="A1350">
        <v>1349</v>
      </c>
      <c r="B1350" s="15" t="str">
        <f ca="1">IFERROR(__xludf.DUMMYFUNCTION("""COMPUTED_VALUE"""),"Security and quality: Two sides of the same coin?")</f>
        <v>Security and quality: Two sides of the same coin?</v>
      </c>
      <c r="C1350" s="15" t="str">
        <f ca="1">VLOOKUP(B1350,'ALL DATABASES'!$A$1:$T$2252,2,FALSE)</f>
        <v>Arzt S</v>
      </c>
      <c r="D1350" s="15">
        <f ca="1">VLOOKUP(B1350,'ALL DATABASES'!$A$1:$T$2252,5,FALSE)</f>
        <v>2021</v>
      </c>
      <c r="E1350" s="15">
        <f ca="1">VLOOKUP(B1350,'ALL DATABASES'!$A$1:$T$2252,10,FALSE)</f>
        <v>2021</v>
      </c>
      <c r="F1350" s="54" t="str">
        <f ca="1">VLOOKUP(B1350,'ALL DATABASES'!$A$1:$T$2252,14,FALSE)</f>
        <v>https://www.scopus.com/inward/record.uri?eid=2-s2.0-85110191786&amp;doi=10.1145%2f3460946.3464315&amp;partnerID=40&amp;md5=7f23c7c0429f797c9fddeefbea178a8c;http://dx.doi.org/10.1145/3460946.3464315</v>
      </c>
      <c r="G1350" s="15" t="str">
        <f ca="1">VLOOKUP(B1350,'ALL DATABASES'!$A$1:$T$2252,3,FALSE)</f>
        <v>Conference Paper</v>
      </c>
      <c r="H1350" s="50" t="str">
        <f ca="1">VLOOKUP(B1350,'ALL DATABASES'!$A$1:$T$2252,20,FALSE)</f>
        <v>SCOPUS</v>
      </c>
    </row>
    <row r="1351" spans="1:8" ht="12.75" x14ac:dyDescent="0.2">
      <c r="A1351">
        <v>1350</v>
      </c>
      <c r="B1351" s="15" t="str">
        <f ca="1">IFERROR(__xludf.DUMMYFUNCTION("""COMPUTED_VALUE"""),"Security by Design")</f>
        <v>Security by Design</v>
      </c>
      <c r="C1351" s="15" t="str">
        <f ca="1">VLOOKUP(B1351,'ALL DATABASES'!$A$1:$T$2252,2,FALSE)</f>
        <v>Dr. Armin LunkeitDr. Wolf Zimmer</v>
      </c>
      <c r="D1351" s="15">
        <f ca="1">VLOOKUP(B1351,'ALL DATABASES'!$A$1:$T$2252,5,FALSE)</f>
        <v>2021</v>
      </c>
      <c r="E1351" s="15">
        <f ca="1">VLOOKUP(B1351,'ALL DATABASES'!$A$1:$T$2252,10,FALSE)</f>
        <v>0</v>
      </c>
      <c r="F1351" s="54" t="str">
        <f ca="1">VLOOKUP(B1351,'ALL DATABASES'!$A$1:$T$2252,14,FALSE)</f>
        <v>http://link.springer.com/book/10.1007/978-3-662-62917-8</v>
      </c>
      <c r="G1351" s="15" t="str">
        <f ca="1">VLOOKUP(B1351,'ALL DATABASES'!$A$1:$T$2252,3,FALSE)</f>
        <v>Book</v>
      </c>
      <c r="H1351" s="50" t="str">
        <f ca="1">VLOOKUP(B1351,'ALL DATABASES'!$A$1:$T$2252,20,FALSE)</f>
        <v>SPRINGER</v>
      </c>
    </row>
    <row r="1352" spans="1:8" ht="12.75" x14ac:dyDescent="0.2">
      <c r="A1352">
        <v>1351</v>
      </c>
      <c r="B1352" s="15" t="str">
        <f ca="1">IFERROR(__xludf.DUMMYFUNCTION("""COMPUTED_VALUE"""),"Security Compliance in Model-driven Development of Software Systems in Presence of Long-Term Evolution and Variants")</f>
        <v>Security Compliance in Model-driven Development of Software Systems in Presence of Long-Term Evolution and Variants</v>
      </c>
      <c r="C1352" s="15" t="str">
        <f ca="1">VLOOKUP(B1352,'ALL DATABASES'!$A$1:$T$2252,2,FALSE)</f>
        <v>Sven Matthias Peldszus</v>
      </c>
      <c r="D1352" s="15">
        <f ca="1">VLOOKUP(B1352,'ALL DATABASES'!$A$1:$T$2252,5,FALSE)</f>
        <v>2022</v>
      </c>
      <c r="E1352" s="15">
        <f ca="1">VLOOKUP(B1352,'ALL DATABASES'!$A$1:$T$2252,10,FALSE)</f>
        <v>0</v>
      </c>
      <c r="F1352" s="54" t="str">
        <f ca="1">VLOOKUP(B1352,'ALL DATABASES'!$A$1:$T$2252,14,FALSE)</f>
        <v>http://link.springer.com/book/10.1007/978-3-658-37665-9</v>
      </c>
      <c r="G1352" s="15" t="str">
        <f ca="1">VLOOKUP(B1352,'ALL DATABASES'!$A$1:$T$2252,3,FALSE)</f>
        <v>Book</v>
      </c>
      <c r="H1352" s="50" t="str">
        <f ca="1">VLOOKUP(B1352,'ALL DATABASES'!$A$1:$T$2252,20,FALSE)</f>
        <v>SPRINGER</v>
      </c>
    </row>
    <row r="1353" spans="1:8" ht="12.75" x14ac:dyDescent="0.2">
      <c r="A1353">
        <v>1352</v>
      </c>
      <c r="B1353" s="15" t="str">
        <f ca="1">IFERROR(__xludf.DUMMYFUNCTION("""COMPUTED_VALUE"""),"Security Debt: Characteristics, Product Life-Cycle Integration and Items")</f>
        <v>Security Debt: Characteristics, Product Life-Cycle Integration and Items</v>
      </c>
      <c r="C1353" s="15" t="str">
        <f ca="1">VLOOKUP(B1353,'ALL DATABASES'!$A$1:$T$2252,2,FALSE)</f>
        <v>Martinez J,Quintano N,Ruiz A,Santamaria I,De Soria IM,Arias J</v>
      </c>
      <c r="D1353" s="15">
        <f ca="1">VLOOKUP(B1353,'ALL DATABASES'!$A$1:$T$2252,5,FALSE)</f>
        <v>2021</v>
      </c>
      <c r="E1353" s="15">
        <f ca="1">VLOOKUP(B1353,'ALL DATABASES'!$A$1:$T$2252,10,FALSE)</f>
        <v>2021</v>
      </c>
      <c r="F1353" s="54" t="str">
        <f ca="1">VLOOKUP(B1353,'ALL DATABASES'!$A$1:$T$2252,14,FALSE)</f>
        <v>https://www.scopus.com/inward/record.uri?eid=2-s2.0-85114808598&amp;doi=10.1109%2fTechDebt52882.2021.00009&amp;partnerID=40&amp;md5=760ad1ec91e35a2653864031ab66b940;http://dx.doi.org/10.1109/TechDebt52882.2021.00009</v>
      </c>
      <c r="G1353" s="15" t="str">
        <f ca="1">VLOOKUP(B1353,'ALL DATABASES'!$A$1:$T$2252,3,FALSE)</f>
        <v>Conference Paper</v>
      </c>
      <c r="H1353" s="50" t="str">
        <f ca="1">VLOOKUP(B1353,'ALL DATABASES'!$A$1:$T$2252,20,FALSE)</f>
        <v>SCOPUS</v>
      </c>
    </row>
    <row r="1354" spans="1:8" ht="12.75" x14ac:dyDescent="0.2">
      <c r="A1354">
        <v>1353</v>
      </c>
      <c r="B1354" s="15" t="str">
        <f ca="1">IFERROR(__xludf.DUMMYFUNCTION("""COMPUTED_VALUE"""),"Security in Computer and Information Sciences")</f>
        <v>Security in Computer and Information Sciences</v>
      </c>
      <c r="C1354" s="15" t="str">
        <f ca="1">VLOOKUP(B1354,'ALL DATABASES'!$A$1:$T$2252,2,FALSE)</f>
        <v>Erol GelenbeMarija JankovicDionysios KehagiasAnna MartonAndras Vilmos</v>
      </c>
      <c r="D1354" s="15">
        <f ca="1">VLOOKUP(B1354,'ALL DATABASES'!$A$1:$T$2252,5,FALSE)</f>
        <v>2022</v>
      </c>
      <c r="E1354" s="15">
        <f ca="1">VLOOKUP(B1354,'ALL DATABASES'!$A$1:$T$2252,10,FALSE)</f>
        <v>0</v>
      </c>
      <c r="F1354" s="54" t="str">
        <f ca="1">VLOOKUP(B1354,'ALL DATABASES'!$A$1:$T$2252,14,FALSE)</f>
        <v>http://link.springer.com/book/10.1007/978-3-031-09357-9</v>
      </c>
      <c r="G1354" s="15" t="str">
        <f ca="1">VLOOKUP(B1354,'ALL DATABASES'!$A$1:$T$2252,3,FALSE)</f>
        <v>Book</v>
      </c>
      <c r="H1354" s="50" t="str">
        <f ca="1">VLOOKUP(B1354,'ALL DATABASES'!$A$1:$T$2252,20,FALSE)</f>
        <v>SPRINGER</v>
      </c>
    </row>
    <row r="1355" spans="1:8" ht="12.75" x14ac:dyDescent="0.2">
      <c r="A1355">
        <v>1354</v>
      </c>
      <c r="B1355" s="15" t="str">
        <f ca="1">IFERROR(__xludf.DUMMYFUNCTION("""COMPUTED_VALUE"""),"Security in microservice-based systems: A Multivocal literature review")</f>
        <v>Security in microservice-based systems: A Multivocal literature review</v>
      </c>
      <c r="C1355" s="15" t="str">
        <f ca="1">VLOOKUP(B1355,'ALL DATABASES'!$A$1:$T$2252,2,FALSE)</f>
        <v>Pereira-Vale A,Fernandez EB,Monge R,Astudillo H,Márquez G</v>
      </c>
      <c r="D1355" s="15">
        <f ca="1">VLOOKUP(B1355,'ALL DATABASES'!$A$1:$T$2252,5,FALSE)</f>
        <v>2021</v>
      </c>
      <c r="E1355" s="15">
        <f ca="1">VLOOKUP(B1355,'ALL DATABASES'!$A$1:$T$2252,10,FALSE)</f>
        <v>2021</v>
      </c>
      <c r="F1355" s="54" t="str">
        <f ca="1">VLOOKUP(B1355,'ALL DATABASES'!$A$1:$T$2252,14,FALSE)</f>
        <v>https://www.sciencedirect.com/science/article/pii/S0167404821000249;http://dx.doi.org/10.1016/j.cose.2021.102200</v>
      </c>
      <c r="G1355" s="15" t="str">
        <f ca="1">VLOOKUP(B1355,'ALL DATABASES'!$A$1:$T$2252,3,FALSE)</f>
        <v>Journal Article</v>
      </c>
      <c r="H1355" s="50" t="str">
        <f ca="1">VLOOKUP(B1355,'ALL DATABASES'!$A$1:$T$2252,20,FALSE)</f>
        <v>SCIENCEDIRECT</v>
      </c>
    </row>
    <row r="1356" spans="1:8" ht="12.75" x14ac:dyDescent="0.2">
      <c r="A1356">
        <v>1355</v>
      </c>
      <c r="B1356" s="15" t="str">
        <f ca="1">IFERROR(__xludf.DUMMYFUNCTION("""COMPUTED_VALUE"""),"Selection of human evaluators for design smell detection using dragonfly optimization algorithm: An empirical study")</f>
        <v>Selection of human evaluators for design smell detection using dragonfly optimization algorithm: An empirical study</v>
      </c>
      <c r="C1356" s="15" t="str">
        <f ca="1">VLOOKUP(B1356,'ALL DATABASES'!$A$1:$T$2252,2,FALSE)</f>
        <v>Al Khatib SM,Alkharabsheh K,Alawadi S</v>
      </c>
      <c r="D1356" s="15">
        <f ca="1">VLOOKUP(B1356,'ALL DATABASES'!$A$1:$T$2252,5,FALSE)</f>
        <v>2023</v>
      </c>
      <c r="E1356" s="15">
        <f ca="1">VLOOKUP(B1356,'ALL DATABASES'!$A$1:$T$2252,10,FALSE)</f>
        <v>2023</v>
      </c>
      <c r="F1356" s="54" t="str">
        <f ca="1">VLOOKUP(B1356,'ALL DATABASES'!$A$1:$T$2252,14,FALSE)</f>
        <v>https://www.sciencedirect.com/science/article/pii/S0950584922002294;http://dx.doi.org/10.1016/j.infsof.2022.107120</v>
      </c>
      <c r="G1356" s="15" t="str">
        <f ca="1">VLOOKUP(B1356,'ALL DATABASES'!$A$1:$T$2252,3,FALSE)</f>
        <v>Journal Article</v>
      </c>
      <c r="H1356" s="50" t="str">
        <f ca="1">VLOOKUP(B1356,'ALL DATABASES'!$A$1:$T$2252,20,FALSE)</f>
        <v>SCIENCEDIRECT</v>
      </c>
    </row>
    <row r="1357" spans="1:8" ht="12.75" x14ac:dyDescent="0.2">
      <c r="A1357">
        <v>1356</v>
      </c>
      <c r="B1357" s="15" t="str">
        <f ca="1">IFERROR(__xludf.DUMMYFUNCTION("""COMPUTED_VALUE"""),"Self-Admitted Technical Debt and comments’ polarity: an empirical study")</f>
        <v>Self-Admitted Technical Debt and comments’ polarity: an empirical study</v>
      </c>
      <c r="C1357" s="15" t="str">
        <f ca="1">VLOOKUP(B1357,'ALL DATABASES'!$A$1:$T$2252,2,FALSE)</f>
        <v>Cassee N,Zampetti F,Novielli N,Serebrenik A,Di Penta M</v>
      </c>
      <c r="D1357" s="15">
        <f ca="1">VLOOKUP(B1357,'ALL DATABASES'!$A$1:$T$2252,5,FALSE)</f>
        <v>2022</v>
      </c>
      <c r="E1357" s="15">
        <f ca="1">VLOOKUP(B1357,'ALL DATABASES'!$A$1:$T$2252,10,FALSE)</f>
        <v>2022</v>
      </c>
      <c r="F1357" s="54" t="str">
        <f ca="1">VLOOKUP(B1357,'ALL DATABASES'!$A$1:$T$2252,14,FALSE)</f>
        <v>https://www.scopus.com/inward/record.uri?eid=2-s2.0-85134807777&amp;doi=10.1007%2fs10664-022-10183-w&amp;partnerID=40&amp;md5=22c2a50f714a7297aea9be72975aa4a7;http://dx.doi.org/10.1007/s10664-022-10183-w</v>
      </c>
      <c r="G1357" s="15" t="str">
        <f ca="1">VLOOKUP(B1357,'ALL DATABASES'!$A$1:$T$2252,3,FALSE)</f>
        <v>Journal Article</v>
      </c>
      <c r="H1357" s="50" t="str">
        <f ca="1">VLOOKUP(B1357,'ALL DATABASES'!$A$1:$T$2252,20,FALSE)</f>
        <v>SCOPUS</v>
      </c>
    </row>
    <row r="1358" spans="1:8" ht="12.75" x14ac:dyDescent="0.2">
      <c r="A1358">
        <v>1357</v>
      </c>
      <c r="B1358" s="15" t="str">
        <f ca="1">IFERROR(__xludf.DUMMYFUNCTION("""COMPUTED_VALUE"""),"Self-Admitted Technical Debt classification using LSTM neural network")</f>
        <v>Self-Admitted Technical Debt classification using LSTM neural network</v>
      </c>
      <c r="C1358" s="15" t="str">
        <f ca="1">VLOOKUP(B1358,'ALL DATABASES'!$A$1:$T$2252,2,FALSE)</f>
        <v>Rafael Meneses SantosMethanias ColaÃ§o Rodrigues JuniorManoel Gomes de MendonÃ§a Neto</v>
      </c>
      <c r="D1358" s="15">
        <f ca="1">VLOOKUP(B1358,'ALL DATABASES'!$A$1:$T$2252,5,FALSE)</f>
        <v>2020</v>
      </c>
      <c r="E1358" s="15">
        <f ca="1">VLOOKUP(B1358,'ALL DATABASES'!$A$1:$T$2252,10,FALSE)</f>
        <v>0</v>
      </c>
      <c r="F1358" s="54" t="str">
        <f ca="1">VLOOKUP(B1358,'ALL DATABASES'!$A$1:$T$2252,14,FALSE)</f>
        <v>http://link.springer.com/chapter/10.1007/978-3-030-43020-7_93</v>
      </c>
      <c r="G1358" s="15" t="str">
        <f ca="1">VLOOKUP(B1358,'ALL DATABASES'!$A$1:$T$2252,3,FALSE)</f>
        <v>Chapter</v>
      </c>
      <c r="H1358" s="50" t="str">
        <f ca="1">VLOOKUP(B1358,'ALL DATABASES'!$A$1:$T$2252,20,FALSE)</f>
        <v>SPRINGER</v>
      </c>
    </row>
    <row r="1359" spans="1:8" ht="12.75" x14ac:dyDescent="0.2">
      <c r="A1359">
        <v>1358</v>
      </c>
      <c r="B1359" s="15" t="str">
        <f ca="1">IFERROR(__xludf.DUMMYFUNCTION("""COMPUTED_VALUE"""),"Self-admitted technical debt classification using natural language processing word embeddings")</f>
        <v>Self-admitted technical debt classification using natural language processing word embeddings</v>
      </c>
      <c r="C1359" s="15" t="str">
        <f ca="1">VLOOKUP(B1359,'ALL DATABASES'!$A$1:$T$2252,2,FALSE)</f>
        <v>Sabbah AF,Hanani AA</v>
      </c>
      <c r="D1359" s="15">
        <f ca="1">VLOOKUP(B1359,'ALL DATABASES'!$A$1:$T$2252,5,FALSE)</f>
        <v>2023</v>
      </c>
      <c r="E1359" s="15">
        <f ca="1">VLOOKUP(B1359,'ALL DATABASES'!$A$1:$T$2252,10,FALSE)</f>
        <v>2023</v>
      </c>
      <c r="F1359" s="54" t="str">
        <f ca="1">VLOOKUP(B1359,'ALL DATABASES'!$A$1:$T$2252,14,FALSE)</f>
        <v>https://www.scopus.com/inward/record.uri?eid=2-s2.0-85143850045&amp;doi=10.11591%2fijece.v13i2.pp2142-2155&amp;partnerID=40&amp;md5=9c388e0b9412ec029b31c305d83d2be7;http://dx.doi.org/10.11591/ijece.v13i2.pp2142-2155</v>
      </c>
      <c r="G1359" s="15" t="str">
        <f ca="1">VLOOKUP(B1359,'ALL DATABASES'!$A$1:$T$2252,3,FALSE)</f>
        <v>Journal Article</v>
      </c>
      <c r="H1359" s="50" t="str">
        <f ca="1">VLOOKUP(B1359,'ALL DATABASES'!$A$1:$T$2252,20,FALSE)</f>
        <v>SCOPUS</v>
      </c>
    </row>
    <row r="1360" spans="1:8" ht="12.75" x14ac:dyDescent="0.2">
      <c r="A1360">
        <v>1359</v>
      </c>
      <c r="B1360" s="15" t="str">
        <f ca="1">IFERROR(__xludf.DUMMYFUNCTION("""COMPUTED_VALUE"""),"Self-admitted technical debt detection by learning its comprehensive semantics via graph neural networks")</f>
        <v>Self-admitted technical debt detection by learning its comprehensive semantics via graph neural networks</v>
      </c>
      <c r="C1360" s="15" t="str">
        <f ca="1">VLOOKUP(B1360,'ALL DATABASES'!$A$1:$T$2252,2,FALSE)</f>
        <v>Li H,Qu Y,Liu Y,Chen R,Ai J,Guo S</v>
      </c>
      <c r="D1360" s="15">
        <f ca="1">VLOOKUP(B1360,'ALL DATABASES'!$A$1:$T$2252,5,FALSE)</f>
        <v>2022</v>
      </c>
      <c r="E1360" s="15">
        <f ca="1">VLOOKUP(B1360,'ALL DATABASES'!$A$1:$T$2252,10,FALSE)</f>
        <v>2022</v>
      </c>
      <c r="F1360" s="54" t="str">
        <f ca="1">VLOOKUP(B1360,'ALL DATABASES'!$A$1:$T$2252,14,FALSE)</f>
        <v>https://www.scopus.com/inward/record.uri?eid=2-s2.0-85132899254&amp;doi=10.1002%2fspe.3117&amp;partnerID=40&amp;md5=990b74421e742e1a74b2402204c48097;http://dx.doi.org/10.1002/spe.3117</v>
      </c>
      <c r="G1360" s="15" t="str">
        <f ca="1">VLOOKUP(B1360,'ALL DATABASES'!$A$1:$T$2252,3,FALSE)</f>
        <v>Journal Article</v>
      </c>
      <c r="H1360" s="50" t="str">
        <f ca="1">VLOOKUP(B1360,'ALL DATABASES'!$A$1:$T$2252,20,FALSE)</f>
        <v>SCOPUS</v>
      </c>
    </row>
    <row r="1361" spans="1:8" ht="12.75" x14ac:dyDescent="0.2">
      <c r="A1361">
        <v>1360</v>
      </c>
      <c r="B1361" s="15" t="str">
        <f ca="1">IFERROR(__xludf.DUMMYFUNCTION("""COMPUTED_VALUE"""),"Self-Admitted Technical Debt in R Packages: An Exploratory Study")</f>
        <v>Self-Admitted Technical Debt in R Packages: An Exploratory Study</v>
      </c>
      <c r="C1361" s="15">
        <f ca="1">VLOOKUP(B1361,'ALL DATABASES'!$A$1:$T$2252,2,FALSE)</f>
        <v>0</v>
      </c>
      <c r="D1361" s="15">
        <f ca="1">VLOOKUP(B1361,'ALL DATABASES'!$A$1:$T$2252,5,FALSE)</f>
        <v>2021</v>
      </c>
      <c r="E1361" s="55">
        <f ca="1">VLOOKUP(B1361,'ALL DATABASES'!$A$1:$T$2252,10,FALSE)</f>
        <v>44317</v>
      </c>
      <c r="F1361" s="54" t="str">
        <f ca="1">VLOOKUP(B1361,'ALL DATABASES'!$A$1:$T$2252,14,FALSE)</f>
        <v>http://dx.doi.org/10.1109/MSR52588.2021.00030</v>
      </c>
      <c r="G1361" s="15" t="str">
        <f ca="1">VLOOKUP(B1361,'ALL DATABASES'!$A$1:$T$2252,3,FALSE)</f>
        <v>Conference Paper</v>
      </c>
      <c r="H1361" s="50" t="str">
        <f ca="1">VLOOKUP(B1361,'ALL DATABASES'!$A$1:$T$2252,20,FALSE)</f>
        <v>IEEE</v>
      </c>
    </row>
    <row r="1362" spans="1:8" ht="12.75" x14ac:dyDescent="0.2">
      <c r="A1362">
        <v>1361</v>
      </c>
      <c r="B1362" s="15" t="str">
        <f ca="1">IFERROR(__xludf.DUMMYFUNCTION("""COMPUTED_VALUE"""),"Self-admitted technical debt in R: detection and causes")</f>
        <v>Self-admitted technical debt in R: detection and causes</v>
      </c>
      <c r="C1362" s="15" t="str">
        <f ca="1">VLOOKUP(B1362,'ALL DATABASES'!$A$1:$T$2252,2,FALSE)</f>
        <v>Rishab SharmaRamin ShahbaziFatemeh H. FardZadia CodabuxMelina Vidoni</v>
      </c>
      <c r="D1362" s="15">
        <f ca="1">VLOOKUP(B1362,'ALL DATABASES'!$A$1:$T$2252,5,FALSE)</f>
        <v>2022</v>
      </c>
      <c r="E1362" s="15">
        <f ca="1">VLOOKUP(B1362,'ALL DATABASES'!$A$1:$T$2252,10,FALSE)</f>
        <v>0</v>
      </c>
      <c r="F1362" s="54" t="str">
        <f ca="1">VLOOKUP(B1362,'ALL DATABASES'!$A$1:$T$2252,14,FALSE)</f>
        <v>http://link.springer.com/article/10.1007/s10515-022-00358-6</v>
      </c>
      <c r="G1362" s="15" t="str">
        <f ca="1">VLOOKUP(B1362,'ALL DATABASES'!$A$1:$T$2252,3,FALSE)</f>
        <v>Article</v>
      </c>
      <c r="H1362" s="50" t="str">
        <f ca="1">VLOOKUP(B1362,'ALL DATABASES'!$A$1:$T$2252,20,FALSE)</f>
        <v>SPRINGER</v>
      </c>
    </row>
    <row r="1363" spans="1:8" ht="12.75" x14ac:dyDescent="0.2">
      <c r="A1363">
        <v>1362</v>
      </c>
      <c r="B1363" s="15" t="str">
        <f ca="1">IFERROR(__xludf.DUMMYFUNCTION("""COMPUTED_VALUE"""),"Self-Admitted Technical Debt in the Embedded Systems Industry: An Exploratory Case Study")</f>
        <v>Self-Admitted Technical Debt in the Embedded Systems Industry: An Exploratory Case Study</v>
      </c>
      <c r="C1363" s="15" t="str">
        <f ca="1">VLOOKUP(B1363,'ALL DATABASES'!$A$1:$T$2252,2,FALSE)</f>
        <v>Li Y,Soliman M,Avgeriou P,Somers L</v>
      </c>
      <c r="D1363" s="15">
        <f ca="1">VLOOKUP(B1363,'ALL DATABASES'!$A$1:$T$2252,5,FALSE)</f>
        <v>2022</v>
      </c>
      <c r="E1363" s="15">
        <f ca="1">VLOOKUP(B1363,'ALL DATABASES'!$A$1:$T$2252,10,FALSE)</f>
        <v>2022</v>
      </c>
      <c r="F1363" s="54" t="str">
        <f ca="1">VLOOKUP(B1363,'ALL DATABASES'!$A$1:$T$2252,14,FALSE)</f>
        <v>http://dx.doi.org/10.1109/TSE.2022.3224378</v>
      </c>
      <c r="G1363" s="15" t="str">
        <f ca="1">VLOOKUP(B1363,'ALL DATABASES'!$A$1:$T$2252,3,FALSE)</f>
        <v>Journal Article</v>
      </c>
      <c r="H1363" s="50" t="str">
        <f ca="1">VLOOKUP(B1363,'ALL DATABASES'!$A$1:$T$2252,20,FALSE)</f>
        <v>IEEE</v>
      </c>
    </row>
    <row r="1364" spans="1:8" ht="12.75" x14ac:dyDescent="0.2">
      <c r="A1364">
        <v>1363</v>
      </c>
      <c r="B1364" s="15" t="str">
        <f ca="1">IFERROR(__xludf.DUMMYFUNCTION("""COMPUTED_VALUE"""),"Self-admitted technical debt practices: a comparison between industry and open-source")</f>
        <v>Self-admitted technical debt practices: a comparison between industry and open-source</v>
      </c>
      <c r="C1364" s="15" t="str">
        <f ca="1">VLOOKUP(B1364,'ALL DATABASES'!$A$1:$T$2252,2,FALSE)</f>
        <v>Fiorella ZampettiGianmarco FucciAlexander SerebrenikMassimiliano Di Penta</v>
      </c>
      <c r="D1364" s="15">
        <f ca="1">VLOOKUP(B1364,'ALL DATABASES'!$A$1:$T$2252,5,FALSE)</f>
        <v>2021</v>
      </c>
      <c r="E1364" s="15">
        <f ca="1">VLOOKUP(B1364,'ALL DATABASES'!$A$1:$T$2252,10,FALSE)</f>
        <v>0</v>
      </c>
      <c r="F1364" s="54" t="str">
        <f ca="1">VLOOKUP(B1364,'ALL DATABASES'!$A$1:$T$2252,14,FALSE)</f>
        <v>http://link.springer.com/article/10.1007/s10664-021-10031-3</v>
      </c>
      <c r="G1364" s="15" t="str">
        <f ca="1">VLOOKUP(B1364,'ALL DATABASES'!$A$1:$T$2252,3,FALSE)</f>
        <v>Article</v>
      </c>
      <c r="H1364" s="50" t="str">
        <f ca="1">VLOOKUP(B1364,'ALL DATABASES'!$A$1:$T$2252,20,FALSE)</f>
        <v>SPRINGER</v>
      </c>
    </row>
    <row r="1365" spans="1:8" ht="12.75" x14ac:dyDescent="0.2">
      <c r="A1365">
        <v>1364</v>
      </c>
      <c r="B1365" s="15" t="str">
        <f ca="1">IFERROR(__xludf.DUMMYFUNCTION("""COMPUTED_VALUE"""),"Self-Admitted Technical Debt Removal and Refactoring Actions: Co-Occurrence or More?")</f>
        <v>Self-Admitted Technical Debt Removal and Refactoring Actions: Co-Occurrence or More?</v>
      </c>
      <c r="C1365" s="15" t="str">
        <f ca="1">VLOOKUP(B1365,'ALL DATABASES'!$A$1:$T$2252,2,FALSE)</f>
        <v>Iammarino M,Zampetti F,Aversano L,Di Penta M</v>
      </c>
      <c r="D1365" s="15">
        <f ca="1">VLOOKUP(B1365,'ALL DATABASES'!$A$1:$T$2252,5,FALSE)</f>
        <v>2019</v>
      </c>
      <c r="E1365" s="15">
        <f ca="1">VLOOKUP(B1365,'ALL DATABASES'!$A$1:$T$2252,10,FALSE)</f>
        <v>2019</v>
      </c>
      <c r="F1365" s="54" t="str">
        <f ca="1">VLOOKUP(B1365,'ALL DATABASES'!$A$1:$T$2252,14,FALSE)</f>
        <v>https://www.scopus.com/inward/record.uri?eid=2-s2.0-85077182774&amp;doi=10.1109%2fICSME.2019.00029&amp;partnerID=40&amp;md5=40029e511624cc6ddc05cc0c3e2d2293;http://dx.doi.org/10.1109/ICSME.2019.00029</v>
      </c>
      <c r="G1365" s="15" t="str">
        <f ca="1">VLOOKUP(B1365,'ALL DATABASES'!$A$1:$T$2252,3,FALSE)</f>
        <v>Conference Paper</v>
      </c>
      <c r="H1365" s="50" t="str">
        <f ca="1">VLOOKUP(B1365,'ALL DATABASES'!$A$1:$T$2252,20,FALSE)</f>
        <v>SCOPUS</v>
      </c>
    </row>
    <row r="1366" spans="1:8" ht="12.75" x14ac:dyDescent="0.2">
      <c r="A1366">
        <v>1365</v>
      </c>
      <c r="B1366" s="15" t="str">
        <f ca="1">IFERROR(__xludf.DUMMYFUNCTION("""COMPUTED_VALUE"""),"Self-admitted Technical Debt Research: Problem, Progress, and Challenges; [自承认技术债的研究: 问题、进展与挑战]")</f>
        <v>Self-admitted Technical Debt Research: Problem, Progress, and Challenges; [自承认技术债的研究: 问题、进展与挑战]</v>
      </c>
      <c r="C1366" s="15" t="str">
        <f ca="1">VLOOKUP(B1366,'ALL DATABASES'!$A$1:$T$2252,2,FALSE)</f>
        <v>Guo ZQ,Liu SR,Tan TT,Li YH,Chen L,Zhou YM,Xu BW</v>
      </c>
      <c r="D1366" s="15">
        <f ca="1">VLOOKUP(B1366,'ALL DATABASES'!$A$1:$T$2252,5,FALSE)</f>
        <v>2022</v>
      </c>
      <c r="E1366" s="15">
        <f ca="1">VLOOKUP(B1366,'ALL DATABASES'!$A$1:$T$2252,10,FALSE)</f>
        <v>2022</v>
      </c>
      <c r="F1366" s="54" t="str">
        <f ca="1">VLOOKUP(B1366,'ALL DATABASES'!$A$1:$T$2252,14,FALSE)</f>
        <v>https://www.scopus.com/inward/record.uri?eid=2-s2.0-85125390377&amp;doi=10.13328%2fj.cnki.jos.006292&amp;partnerID=40&amp;md5=f48287fa35af4f748f998426e742f354;http://dx.doi.org/10.13328/j.cnki.jos.006292</v>
      </c>
      <c r="G1366" s="15" t="str">
        <f ca="1">VLOOKUP(B1366,'ALL DATABASES'!$A$1:$T$2252,3,FALSE)</f>
        <v>Journal Article</v>
      </c>
      <c r="H1366" s="50" t="str">
        <f ca="1">VLOOKUP(B1366,'ALL DATABASES'!$A$1:$T$2252,20,FALSE)</f>
        <v>SCOPUS</v>
      </c>
    </row>
    <row r="1367" spans="1:8" ht="12.75" x14ac:dyDescent="0.2">
      <c r="A1367">
        <v>1366</v>
      </c>
      <c r="B1367" s="15" t="str">
        <f ca="1">IFERROR(__xludf.DUMMYFUNCTION("""COMPUTED_VALUE"""),"Self-Awareness in Software Engineering: A Systematic Literature Review")</f>
        <v>Self-Awareness in Software Engineering: A Systematic Literature Review</v>
      </c>
      <c r="C1367" s="15" t="str">
        <f ca="1">VLOOKUP(B1367,'ALL DATABASES'!$A$1:$T$2252,2,FALSE)</f>
        <v>Elhabbash A,Salama M,Bahsoon R,Tino P</v>
      </c>
      <c r="D1367" s="15">
        <f ca="1">VLOOKUP(B1367,'ALL DATABASES'!$A$1:$T$2252,5,FALSE)</f>
        <v>2019</v>
      </c>
      <c r="E1367" s="53">
        <f ca="1">VLOOKUP(B1367,'ALL DATABASES'!$A$1:$T$2252,10,FALSE)</f>
        <v>43739</v>
      </c>
      <c r="F1367" s="54" t="str">
        <f ca="1">VLOOKUP(B1367,'ALL DATABASES'!$A$1:$T$2252,14,FALSE)</f>
        <v>https://doi.org/10.1145/3347269;http://dx.doi.org/10.1145/3347269</v>
      </c>
      <c r="G1367" s="15" t="str">
        <f ca="1">VLOOKUP(B1367,'ALL DATABASES'!$A$1:$T$2252,3,FALSE)</f>
        <v>Journal Article</v>
      </c>
      <c r="H1367" s="50" t="str">
        <f ca="1">VLOOKUP(B1367,'ALL DATABASES'!$A$1:$T$2252,20,FALSE)</f>
        <v>ACM</v>
      </c>
    </row>
    <row r="1368" spans="1:8" ht="12.75" x14ac:dyDescent="0.2">
      <c r="A1368">
        <v>1367</v>
      </c>
      <c r="B1368" s="15" t="str">
        <f ca="1">IFERROR(__xludf.DUMMYFUNCTION("""COMPUTED_VALUE"""),"Self-Claimed Assumptions in Deep Learning Frameworks: An Exploratory Study")</f>
        <v>Self-Claimed Assumptions in Deep Learning Frameworks: An Exploratory Study</v>
      </c>
      <c r="C1368" s="15" t="str">
        <f ca="1">VLOOKUP(B1368,'ALL DATABASES'!$A$1:$T$2252,2,FALSE)</f>
        <v>Yang C,Liang P,Fu L,Li Z</v>
      </c>
      <c r="D1368" s="15">
        <f ca="1">VLOOKUP(B1368,'ALL DATABASES'!$A$1:$T$2252,5,FALSE)</f>
        <v>2021</v>
      </c>
      <c r="E1368" s="15">
        <f ca="1">VLOOKUP(B1368,'ALL DATABASES'!$A$1:$T$2252,10,FALSE)</f>
        <v>2021</v>
      </c>
      <c r="F1368" s="54" t="str">
        <f ca="1">VLOOKUP(B1368,'ALL DATABASES'!$A$1:$T$2252,14,FALSE)</f>
        <v>https://doi.org/10.1145/3463274.3463333;http://dx.doi.org/10.1145/3463274.3463333</v>
      </c>
      <c r="G1368" s="15" t="str">
        <f ca="1">VLOOKUP(B1368,'ALL DATABASES'!$A$1:$T$2252,3,FALSE)</f>
        <v>Conference Paper</v>
      </c>
      <c r="H1368" s="50" t="str">
        <f ca="1">VLOOKUP(B1368,'ALL DATABASES'!$A$1:$T$2252,20,FALSE)</f>
        <v>ACM</v>
      </c>
    </row>
    <row r="1369" spans="1:8" ht="12.75" x14ac:dyDescent="0.2">
      <c r="A1369">
        <v>1368</v>
      </c>
      <c r="B1369" s="15" t="str">
        <f ca="1">IFERROR(__xludf.DUMMYFUNCTION("""COMPUTED_VALUE"""),"Self-Organizing Infrastructure for Machine (Deep) Learning at Scale")</f>
        <v>Self-Organizing Infrastructure for Machine (Deep) Learning at Scale</v>
      </c>
      <c r="C1369" s="15" t="str">
        <f ca="1">VLOOKUP(B1369,'ALL DATABASES'!$A$1:$T$2252,2,FALSE)</f>
        <v>Mittal S</v>
      </c>
      <c r="D1369" s="15">
        <f ca="1">VLOOKUP(B1369,'ALL DATABASES'!$A$1:$T$2252,5,FALSE)</f>
        <v>2018</v>
      </c>
      <c r="E1369" s="15">
        <f ca="1">VLOOKUP(B1369,'ALL DATABASES'!$A$1:$T$2252,10,FALSE)</f>
        <v>2018</v>
      </c>
      <c r="F1369" s="54" t="str">
        <f ca="1">VLOOKUP(B1369,'ALL DATABASES'!$A$1:$T$2252,14,FALSE)</f>
        <v>https://doi.org/10.1145/3195555.3195562;http://dx.doi.org/10.1145/3195555.3195562</v>
      </c>
      <c r="G1369" s="15" t="str">
        <f ca="1">VLOOKUP(B1369,'ALL DATABASES'!$A$1:$T$2252,3,FALSE)</f>
        <v>Conference Paper</v>
      </c>
      <c r="H1369" s="50" t="str">
        <f ca="1">VLOOKUP(B1369,'ALL DATABASES'!$A$1:$T$2252,20,FALSE)</f>
        <v>ACM</v>
      </c>
    </row>
    <row r="1370" spans="1:8" ht="12.75" x14ac:dyDescent="0.2">
      <c r="A1370">
        <v>1369</v>
      </c>
      <c r="B1370" s="15" t="str">
        <f ca="1">IFERROR(__xludf.DUMMYFUNCTION("""COMPUTED_VALUE"""),"Semantic patterns extraction of code smells: Retrieving the solutions of bugs")</f>
        <v>Semantic patterns extraction of code smells: Retrieving the solutions of bugs</v>
      </c>
      <c r="C1370" s="15" t="str">
        <f ca="1">VLOOKUP(B1370,'ALL DATABASES'!$A$1:$T$2252,2,FALSE)</f>
        <v>Zhang B</v>
      </c>
      <c r="D1370" s="15">
        <f ca="1">VLOOKUP(B1370,'ALL DATABASES'!$A$1:$T$2252,5,FALSE)</f>
        <v>2019</v>
      </c>
      <c r="E1370" s="15">
        <f ca="1">VLOOKUP(B1370,'ALL DATABASES'!$A$1:$T$2252,10,FALSE)</f>
        <v>2019</v>
      </c>
      <c r="F1370" s="54" t="str">
        <f ca="1">VLOOKUP(B1370,'ALL DATABASES'!$A$1:$T$2252,14,FALSE)</f>
        <v>https://www.scopus.com/inward/record.uri?eid=2-s2.0-85077502999&amp;partnerID=40&amp;md5=3765a7c62ef722a011bea06b9d3b39a8</v>
      </c>
      <c r="G1370" s="15" t="str">
        <f ca="1">VLOOKUP(B1370,'ALL DATABASES'!$A$1:$T$2252,3,FALSE)</f>
        <v>Conference Paper</v>
      </c>
      <c r="H1370" s="50" t="str">
        <f ca="1">VLOOKUP(B1370,'ALL DATABASES'!$A$1:$T$2252,20,FALSE)</f>
        <v>SCOPUS</v>
      </c>
    </row>
    <row r="1371" spans="1:8" ht="12.75" x14ac:dyDescent="0.2">
      <c r="A1371">
        <v>1370</v>
      </c>
      <c r="B1371" s="15" t="str">
        <f ca="1">IFERROR(__xludf.DUMMYFUNCTION("""COMPUTED_VALUE"""),"Semantic slicing of architectural change commits: Towards semantic design review")</f>
        <v>Semantic slicing of architectural change commits: Towards semantic design review</v>
      </c>
      <c r="C1371" s="15" t="str">
        <f ca="1">VLOOKUP(B1371,'ALL DATABASES'!$A$1:$T$2252,2,FALSE)</f>
        <v>Mondal AK,Roy CK,Schneider KA,Roy B,Nath SS</v>
      </c>
      <c r="D1371" s="15">
        <f ca="1">VLOOKUP(B1371,'ALL DATABASES'!$A$1:$T$2252,5,FALSE)</f>
        <v>2021</v>
      </c>
      <c r="E1371" s="15">
        <f ca="1">VLOOKUP(B1371,'ALL DATABASES'!$A$1:$T$2252,10,FALSE)</f>
        <v>2021</v>
      </c>
      <c r="F1371" s="54" t="str">
        <f ca="1">VLOOKUP(B1371,'ALL DATABASES'!$A$1:$T$2252,14,FALSE)</f>
        <v>https://www.scopus.com/inward/record.uri?eid=2-s2.0-85117924888&amp;doi=10.1145%2f3475716.3484487&amp;partnerID=40&amp;md5=7477753012d271fbd0106804685ba436;http://dx.doi.org/10.1145/3475716.3484487</v>
      </c>
      <c r="G1371" s="15" t="str">
        <f ca="1">VLOOKUP(B1371,'ALL DATABASES'!$A$1:$T$2252,3,FALSE)</f>
        <v>Conference Paper</v>
      </c>
      <c r="H1371" s="50" t="str">
        <f ca="1">VLOOKUP(B1371,'ALL DATABASES'!$A$1:$T$2252,20,FALSE)</f>
        <v>SCOPUS</v>
      </c>
    </row>
    <row r="1372" spans="1:8" ht="12.75" x14ac:dyDescent="0.2">
      <c r="A1372">
        <v>1371</v>
      </c>
      <c r="B1372" s="15" t="str">
        <f ca="1">IFERROR(__xludf.DUMMYFUNCTION("""COMPUTED_VALUE"""),"Semi-Supervised Multi-Granularity CNNs for Text Classification: An Application in Human-Car Interaction")</f>
        <v>Semi-Supervised Multi-Granularity CNNs for Text Classification: An Application in Human-Car Interaction</v>
      </c>
      <c r="C1372" s="15" t="str">
        <f ca="1">VLOOKUP(B1372,'ALL DATABASES'!$A$1:$T$2252,2,FALSE)</f>
        <v>Zhao F,Li Y,Bai L,Tian Z,Wang X</v>
      </c>
      <c r="D1372" s="15">
        <f ca="1">VLOOKUP(B1372,'ALL DATABASES'!$A$1:$T$2252,5,FALSE)</f>
        <v>2020</v>
      </c>
      <c r="E1372" s="15">
        <f ca="1">VLOOKUP(B1372,'ALL DATABASES'!$A$1:$T$2252,10,FALSE)</f>
        <v>2020</v>
      </c>
      <c r="F1372" s="54" t="str">
        <f ca="1">VLOOKUP(B1372,'ALL DATABASES'!$A$1:$T$2252,14,FALSE)</f>
        <v>https://www.scopus.com/inward/record.uri?eid=2-s2.0-85084133224&amp;doi=10.1109%2fACCESS.2020.2985098&amp;partnerID=40&amp;md5=f9bfb7ad46c35adfc3d60bde09cba2ec;http://dx.doi.org/10.1109/ACCESS.2020.2985098</v>
      </c>
      <c r="G1372" s="15" t="str">
        <f ca="1">VLOOKUP(B1372,'ALL DATABASES'!$A$1:$T$2252,3,FALSE)</f>
        <v>Journal Article</v>
      </c>
      <c r="H1372" s="50" t="str">
        <f ca="1">VLOOKUP(B1372,'ALL DATABASES'!$A$1:$T$2252,20,FALSE)</f>
        <v>SCOPUS</v>
      </c>
    </row>
    <row r="1373" spans="1:8" ht="12.75" x14ac:dyDescent="0.2">
      <c r="A1373">
        <v>1372</v>
      </c>
      <c r="B1373" s="15" t="str">
        <f ca="1">IFERROR(__xludf.DUMMYFUNCTION("""COMPUTED_VALUE"""),"Sending Out a Software Operation Summary: Leveraging Software Operation Knowledge for Prioritization of Maintenance Tasks")</f>
        <v>Sending Out a Software Operation Summary: Leveraging Software Operation Knowledge for Prioritization of Maintenance Tasks</v>
      </c>
      <c r="C1373" s="15" t="str">
        <f ca="1">VLOOKUP(B1373,'ALL DATABASES'!$A$1:$T$2252,2,FALSE)</f>
        <v>van der Schuur H,Jansen S,Brinkkemper S</v>
      </c>
      <c r="D1373" s="15">
        <f ca="1">VLOOKUP(B1373,'ALL DATABASES'!$A$1:$T$2252,5,FALSE)</f>
        <v>2011</v>
      </c>
      <c r="E1373" s="53">
        <f ca="1">VLOOKUP(B1373,'ALL DATABASES'!$A$1:$T$2252,10,FALSE)</f>
        <v>40848</v>
      </c>
      <c r="F1373" s="54" t="str">
        <f ca="1">VLOOKUP(B1373,'ALL DATABASES'!$A$1:$T$2252,14,FALSE)</f>
        <v>http://dx.doi.org/10.1109/IWSM-MENSURA.2011.14</v>
      </c>
      <c r="G1373" s="15" t="str">
        <f ca="1">VLOOKUP(B1373,'ALL DATABASES'!$A$1:$T$2252,3,FALSE)</f>
        <v>Conference Paper</v>
      </c>
      <c r="H1373" s="50" t="str">
        <f ca="1">VLOOKUP(B1373,'ALL DATABASES'!$A$1:$T$2252,20,FALSE)</f>
        <v>IEEE</v>
      </c>
    </row>
    <row r="1374" spans="1:8" ht="12.75" x14ac:dyDescent="0.2">
      <c r="A1374">
        <v>1373</v>
      </c>
      <c r="B1374" s="15" t="str">
        <f ca="1">IFERROR(__xludf.DUMMYFUNCTION("""COMPUTED_VALUE"""),"Sense of Place within the Virtuous Circle of Architecture Decision-Making")</f>
        <v>Sense of Place within the Virtuous Circle of Architecture Decision-Making</v>
      </c>
      <c r="C1374" s="15" t="str">
        <f ca="1">VLOOKUP(B1374,'ALL DATABASES'!$A$1:$T$2252,2,FALSE)</f>
        <v>Power K,Wirfs-Brock R</v>
      </c>
      <c r="D1374" s="15">
        <f ca="1">VLOOKUP(B1374,'ALL DATABASES'!$A$1:$T$2252,5,FALSE)</f>
        <v>2019</v>
      </c>
      <c r="E1374" s="55">
        <f ca="1">VLOOKUP(B1374,'ALL DATABASES'!$A$1:$T$2252,10,FALSE)</f>
        <v>43525</v>
      </c>
      <c r="F1374" s="54" t="str">
        <f ca="1">VLOOKUP(B1374,'ALL DATABASES'!$A$1:$T$2252,14,FALSE)</f>
        <v>http://dx.doi.org/10.1109/ICSA-C.2019.00007</v>
      </c>
      <c r="G1374" s="15" t="str">
        <f ca="1">VLOOKUP(B1374,'ALL DATABASES'!$A$1:$T$2252,3,FALSE)</f>
        <v>Conference Paper</v>
      </c>
      <c r="H1374" s="50" t="str">
        <f ca="1">VLOOKUP(B1374,'ALL DATABASES'!$A$1:$T$2252,20,FALSE)</f>
        <v>IEEE</v>
      </c>
    </row>
    <row r="1375" spans="1:8" ht="12.75" x14ac:dyDescent="0.2">
      <c r="A1375">
        <v>1374</v>
      </c>
      <c r="B1375" s="15" t="str">
        <f ca="1">IFERROR(__xludf.DUMMYFUNCTION("""COMPUTED_VALUE"""),"Sensor-Based Prognostic Health Management of Advanced Driver Assistance System for Autonomous Vehicles: A Recent Survey")</f>
        <v>Sensor-Based Prognostic Health Management of Advanced Driver Assistance System for Autonomous Vehicles: A Recent Survey</v>
      </c>
      <c r="C1375" s="15" t="str">
        <f ca="1">VLOOKUP(B1375,'ALL DATABASES'!$A$1:$T$2252,2,FALSE)</f>
        <v>Raouf I,Khan A,Khalid S,Sohail M,Azad MM,Kim HS</v>
      </c>
      <c r="D1375" s="15">
        <f ca="1">VLOOKUP(B1375,'ALL DATABASES'!$A$1:$T$2252,5,FALSE)</f>
        <v>2022</v>
      </c>
      <c r="E1375" s="15">
        <f ca="1">VLOOKUP(B1375,'ALL DATABASES'!$A$1:$T$2252,10,FALSE)</f>
        <v>2022</v>
      </c>
      <c r="F1375" s="54" t="str">
        <f ca="1">VLOOKUP(B1375,'ALL DATABASES'!$A$1:$T$2252,14,FALSE)</f>
        <v>https://www.scopus.com/inward/record.uri?eid=2-s2.0-85138607469&amp;doi=10.3390%2fmath10183233&amp;partnerID=40&amp;md5=b48c2401e1e3e2f65556676d01e9f6aa;http://dx.doi.org/10.3390/math10183233</v>
      </c>
      <c r="G1375" s="15" t="str">
        <f ca="1">VLOOKUP(B1375,'ALL DATABASES'!$A$1:$T$2252,3,FALSE)</f>
        <v>Journal Article</v>
      </c>
      <c r="H1375" s="50" t="str">
        <f ca="1">VLOOKUP(B1375,'ALL DATABASES'!$A$1:$T$2252,20,FALSE)</f>
        <v>SCOPUS</v>
      </c>
    </row>
    <row r="1376" spans="1:8" ht="12.75" x14ac:dyDescent="0.2">
      <c r="A1376">
        <v>1375</v>
      </c>
      <c r="B1376" s="15" t="str">
        <f ca="1">IFERROR(__xludf.DUMMYFUNCTION("""COMPUTED_VALUE"""),"Sentiment Classification Using N-Gram Inverse Document Frequency and Automated Machine Learning")</f>
        <v>Sentiment Classification Using N-Gram Inverse Document Frequency and Automated Machine Learning</v>
      </c>
      <c r="C1376" s="15" t="str">
        <f ca="1">VLOOKUP(B1376,'ALL DATABASES'!$A$1:$T$2252,2,FALSE)</f>
        <v>Maipradit R,Hata H,Matsumoto K</v>
      </c>
      <c r="D1376" s="15">
        <f ca="1">VLOOKUP(B1376,'ALL DATABASES'!$A$1:$T$2252,5,FALSE)</f>
        <v>2019</v>
      </c>
      <c r="E1376" s="55">
        <f ca="1">VLOOKUP(B1376,'ALL DATABASES'!$A$1:$T$2252,10,FALSE)</f>
        <v>43709</v>
      </c>
      <c r="F1376" s="54" t="str">
        <f ca="1">VLOOKUP(B1376,'ALL DATABASES'!$A$1:$T$2252,14,FALSE)</f>
        <v>http://dx.doi.org/10.1109/MS.2019.2919573</v>
      </c>
      <c r="G1376" s="15" t="str">
        <f ca="1">VLOOKUP(B1376,'ALL DATABASES'!$A$1:$T$2252,3,FALSE)</f>
        <v>Journal Article</v>
      </c>
      <c r="H1376" s="50" t="str">
        <f ca="1">VLOOKUP(B1376,'ALL DATABASES'!$A$1:$T$2252,20,FALSE)</f>
        <v>IEEE</v>
      </c>
    </row>
    <row r="1377" spans="1:8" ht="12.75" x14ac:dyDescent="0.2">
      <c r="A1377">
        <v>1376</v>
      </c>
      <c r="B1377" s="15" t="str">
        <f ca="1">IFERROR(__xludf.DUMMYFUNCTION("""COMPUTED_VALUE"""),"Sentiment in Software Engineering: Detection and Application")</f>
        <v>Sentiment in Software Engineering: Detection and Application</v>
      </c>
      <c r="C1377" s="15" t="str">
        <f ca="1">VLOOKUP(B1377,'ALL DATABASES'!$A$1:$T$2252,2,FALSE)</f>
        <v>Cassee N</v>
      </c>
      <c r="D1377" s="15">
        <f ca="1">VLOOKUP(B1377,'ALL DATABASES'!$A$1:$T$2252,5,FALSE)</f>
        <v>2022</v>
      </c>
      <c r="E1377" s="15">
        <f ca="1">VLOOKUP(B1377,'ALL DATABASES'!$A$1:$T$2252,10,FALSE)</f>
        <v>2022</v>
      </c>
      <c r="F1377" s="54" t="str">
        <f ca="1">VLOOKUP(B1377,'ALL DATABASES'!$A$1:$T$2252,14,FALSE)</f>
        <v>https://doi.org/10.1145/3540250.3558908;http://dx.doi.org/10.1145/3540250.3558908</v>
      </c>
      <c r="G1377" s="15" t="str">
        <f ca="1">VLOOKUP(B1377,'ALL DATABASES'!$A$1:$T$2252,3,FALSE)</f>
        <v>Conference Paper</v>
      </c>
      <c r="H1377" s="50" t="str">
        <f ca="1">VLOOKUP(B1377,'ALL DATABASES'!$A$1:$T$2252,20,FALSE)</f>
        <v>ACM</v>
      </c>
    </row>
    <row r="1378" spans="1:8" ht="12.75" x14ac:dyDescent="0.2">
      <c r="A1378">
        <v>1377</v>
      </c>
      <c r="B1378" s="15" t="str">
        <f ca="1">IFERROR(__xludf.DUMMYFUNCTION("""COMPUTED_VALUE"""),"Sequential algorithmic modification with test data reuse")</f>
        <v>Sequential algorithmic modification with test data reuse</v>
      </c>
      <c r="C1378" s="15" t="str">
        <f ca="1">VLOOKUP(B1378,'ALL DATABASES'!$A$1:$T$2252,2,FALSE)</f>
        <v>Feng J,Pennello G,Petrick N,Sahiner B,Pirracchio R,Gossmann A</v>
      </c>
      <c r="D1378" s="15">
        <f ca="1">VLOOKUP(B1378,'ALL DATABASES'!$A$1:$T$2252,5,FALSE)</f>
        <v>2022</v>
      </c>
      <c r="E1378" s="15">
        <f ca="1">VLOOKUP(B1378,'ALL DATABASES'!$A$1:$T$2252,10,FALSE)</f>
        <v>2022</v>
      </c>
      <c r="F1378" s="54" t="str">
        <f ca="1">VLOOKUP(B1378,'ALL DATABASES'!$A$1:$T$2252,14,FALSE)</f>
        <v>https://www.scopus.com/inward/record.uri?eid=2-s2.0-85143261277&amp;partnerID=40&amp;md5=c1a55cd1bd7f0e35fb6f0a419d867e8f</v>
      </c>
      <c r="G1378" s="15" t="str">
        <f ca="1">VLOOKUP(B1378,'ALL DATABASES'!$A$1:$T$2252,3,FALSE)</f>
        <v>Conference Paper</v>
      </c>
      <c r="H1378" s="50" t="str">
        <f ca="1">VLOOKUP(B1378,'ALL DATABASES'!$A$1:$T$2252,20,FALSE)</f>
        <v>SCOPUS</v>
      </c>
    </row>
    <row r="1379" spans="1:8" ht="12.75" x14ac:dyDescent="0.2">
      <c r="A1379">
        <v>1378</v>
      </c>
      <c r="B1379" s="15" t="str">
        <f ca="1">IFERROR(__xludf.DUMMYFUNCTION("""COMPUTED_VALUE"""),"Service-Oriented Computing")</f>
        <v>Service-Oriented Computing</v>
      </c>
      <c r="C1379" s="15" t="str">
        <f ca="1">VLOOKUP(B1379,'ALL DATABASES'!$A$1:$T$2252,2,FALSE)</f>
        <v>Hakim HacidOdej KaoMassimo MecellaDr. Naouel MohaHye-young Paik</v>
      </c>
      <c r="D1379" s="15">
        <f ca="1">VLOOKUP(B1379,'ALL DATABASES'!$A$1:$T$2252,5,FALSE)</f>
        <v>2021</v>
      </c>
      <c r="E1379" s="15">
        <f ca="1">VLOOKUP(B1379,'ALL DATABASES'!$A$1:$T$2252,10,FALSE)</f>
        <v>0</v>
      </c>
      <c r="F1379" s="54" t="str">
        <f ca="1">VLOOKUP(B1379,'ALL DATABASES'!$A$1:$T$2252,14,FALSE)</f>
        <v>http://link.springer.com/book/10.1007/978-3-030-91431-8</v>
      </c>
      <c r="G1379" s="15" t="str">
        <f ca="1">VLOOKUP(B1379,'ALL DATABASES'!$A$1:$T$2252,3,FALSE)</f>
        <v>Book</v>
      </c>
      <c r="H1379" s="50" t="str">
        <f ca="1">VLOOKUP(B1379,'ALL DATABASES'!$A$1:$T$2252,20,FALSE)</f>
        <v>SPRINGER</v>
      </c>
    </row>
    <row r="1380" spans="1:8" ht="12.75" x14ac:dyDescent="0.2">
      <c r="A1380">
        <v>1379</v>
      </c>
      <c r="B1380" s="15" t="str">
        <f ca="1">IFERROR(__xludf.DUMMYFUNCTION("""COMPUTED_VALUE"""),"Shifting Left for Machine Learning: An Empirical Study of Security Weaknesses in Supervised Learning-based Projects")</f>
        <v>Shifting Left for Machine Learning: An Empirical Study of Security Weaknesses in Supervised Learning-based Projects</v>
      </c>
      <c r="C1380" s="15" t="str">
        <f ca="1">VLOOKUP(B1380,'ALL DATABASES'!$A$1:$T$2252,2,FALSE)</f>
        <v>Bhuiyan FA,Prowell S,Shahriar H,Wu F,Rahman A</v>
      </c>
      <c r="D1380" s="15">
        <f ca="1">VLOOKUP(B1380,'ALL DATABASES'!$A$1:$T$2252,5,FALSE)</f>
        <v>2022</v>
      </c>
      <c r="E1380" s="15">
        <f ca="1">VLOOKUP(B1380,'ALL DATABASES'!$A$1:$T$2252,10,FALSE)</f>
        <v>2022</v>
      </c>
      <c r="F1380" s="54" t="str">
        <f ca="1">VLOOKUP(B1380,'ALL DATABASES'!$A$1:$T$2252,14,FALSE)</f>
        <v>https://www.scopus.com/inward/record.uri?eid=2-s2.0-85136993161&amp;doi=10.1109%2fCOMPSAC54236.2022.00130&amp;partnerID=40&amp;md5=aa780049b7b7c1157c4879595abc7b7b;http://dx.doi.org/10.1109/COMPSAC54236.2022.00130</v>
      </c>
      <c r="G1380" s="15" t="str">
        <f ca="1">VLOOKUP(B1380,'ALL DATABASES'!$A$1:$T$2252,3,FALSE)</f>
        <v>Conference Paper</v>
      </c>
      <c r="H1380" s="50" t="str">
        <f ca="1">VLOOKUP(B1380,'ALL DATABASES'!$A$1:$T$2252,20,FALSE)</f>
        <v>SCOPUS</v>
      </c>
    </row>
    <row r="1381" spans="1:8" ht="12.75" x14ac:dyDescent="0.2">
      <c r="A1381">
        <v>1380</v>
      </c>
      <c r="B1381" s="15" t="str">
        <f ca="1">IFERROR(__xludf.DUMMYFUNCTION("""COMPUTED_VALUE"""),"Shifting ML value creation mechanisms: A process model of ML value creation")</f>
        <v>Shifting ML value creation mechanisms: A process model of ML value creation</v>
      </c>
      <c r="C1381" s="15" t="str">
        <f ca="1">VLOOKUP(B1381,'ALL DATABASES'!$A$1:$T$2252,2,FALSE)</f>
        <v>Shollo A,Hopf K,Thiess T,Müller O</v>
      </c>
      <c r="D1381" s="15">
        <f ca="1">VLOOKUP(B1381,'ALL DATABASES'!$A$1:$T$2252,5,FALSE)</f>
        <v>2022</v>
      </c>
      <c r="E1381" s="15">
        <f ca="1">VLOOKUP(B1381,'ALL DATABASES'!$A$1:$T$2252,10,FALSE)</f>
        <v>2022</v>
      </c>
      <c r="F1381" s="54" t="str">
        <f ca="1">VLOOKUP(B1381,'ALL DATABASES'!$A$1:$T$2252,14,FALSE)</f>
        <v>https://www.scopus.com/inward/record.uri?eid=2-s2.0-85134657563&amp;doi=10.1016%2fj.jsis.2022.101734&amp;partnerID=40&amp;md5=175971429ebb05ca7fbb20449d1f19bd;http://dx.doi.org/10.1016/j.jsis.2022.101734</v>
      </c>
      <c r="G1381" s="15" t="str">
        <f ca="1">VLOOKUP(B1381,'ALL DATABASES'!$A$1:$T$2252,3,FALSE)</f>
        <v>Journal Article</v>
      </c>
      <c r="H1381" s="50" t="str">
        <f ca="1">VLOOKUP(B1381,'ALL DATABASES'!$A$1:$T$2252,20,FALSE)</f>
        <v>SCOPUS</v>
      </c>
    </row>
    <row r="1382" spans="1:8" s="71" customFormat="1" ht="12.75" x14ac:dyDescent="0.2">
      <c r="A1382">
        <v>1381</v>
      </c>
      <c r="B1382" s="68" t="str">
        <f ca="1">IFERROR(__xludf.DUMMYFUNCTION("""COMPUTED_VALUE"""),"Shifting Testing beyond the Deployment Boundary")</f>
        <v>Shifting Testing beyond the Deployment Boundary</v>
      </c>
      <c r="C1382" s="68" t="str">
        <f ca="1">VLOOKUP(B1382,'ALL DATABASES'!$A$1:$T$2252,2,FALSE)</f>
        <v>Kaulgud V,Saxena A,Podder S,Sharma VS,Dinakar C</v>
      </c>
      <c r="D1382" s="68">
        <f ca="1">VLOOKUP(B1382,'ALL DATABASES'!$A$1:$T$2252,5,FALSE)</f>
        <v>2016</v>
      </c>
      <c r="E1382" s="68">
        <f ca="1">VLOOKUP(B1382,'ALL DATABASES'!$A$1:$T$2252,10,FALSE)</f>
        <v>2016</v>
      </c>
      <c r="F1382" s="69" t="str">
        <f ca="1">VLOOKUP(B1382,'ALL DATABASES'!$A$1:$T$2252,14,FALSE)</f>
        <v>https://doi.org/10.1145/2896941.2896954;http://dx.doi.org/10.1145/2896941.2896954</v>
      </c>
      <c r="G1382" s="68" t="str">
        <f ca="1">VLOOKUP(B1382,'ALL DATABASES'!$A$1:$T$2252,3,FALSE)</f>
        <v>Conference Paper</v>
      </c>
      <c r="H1382" s="70" t="str">
        <f ca="1">VLOOKUP(B1382,'ALL DATABASES'!$A$1:$T$2252,20,FALSE)</f>
        <v>ACM</v>
      </c>
    </row>
    <row r="1383" spans="1:8" ht="12.75" x14ac:dyDescent="0.2">
      <c r="A1383">
        <v>1382</v>
      </c>
      <c r="B1383" s="15" t="str">
        <f ca="1">IFERROR(__xludf.DUMMYFUNCTION("""COMPUTED_VALUE"""),"Should I (Re)Learn or Should I Go(on)? Stream Machine Learning for Adaptive Defense against Network Attacks")</f>
        <v>Should I (Re)Learn or Should I Go(on)? Stream Machine Learning for Adaptive Defense against Network Attacks</v>
      </c>
      <c r="C1383" s="15" t="str">
        <f ca="1">VLOOKUP(B1383,'ALL DATABASES'!$A$1:$T$2252,2,FALSE)</f>
        <v>Casas P,Mulinka P,Vanerio J</v>
      </c>
      <c r="D1383" s="15">
        <f ca="1">VLOOKUP(B1383,'ALL DATABASES'!$A$1:$T$2252,5,FALSE)</f>
        <v>2019</v>
      </c>
      <c r="E1383" s="15">
        <f ca="1">VLOOKUP(B1383,'ALL DATABASES'!$A$1:$T$2252,10,FALSE)</f>
        <v>2019</v>
      </c>
      <c r="F1383" s="54" t="str">
        <f ca="1">VLOOKUP(B1383,'ALL DATABASES'!$A$1:$T$2252,14,FALSE)</f>
        <v>https://doi.org/10.1145/3338468.3356829;http://dx.doi.org/10.1145/3338468.3356829</v>
      </c>
      <c r="G1383" s="15" t="str">
        <f ca="1">VLOOKUP(B1383,'ALL DATABASES'!$A$1:$T$2252,3,FALSE)</f>
        <v>Conference Paper</v>
      </c>
      <c r="H1383" s="50" t="str">
        <f ca="1">VLOOKUP(B1383,'ALL DATABASES'!$A$1:$T$2252,20,FALSE)</f>
        <v>ACM</v>
      </c>
    </row>
    <row r="1384" spans="1:8" ht="12.75" x14ac:dyDescent="0.2">
      <c r="A1384">
        <v>1383</v>
      </c>
      <c r="B1384" s="15" t="str">
        <f ca="1">IFERROR(__xludf.DUMMYFUNCTION("""COMPUTED_VALUE"""),"Sierra Center of Excellence: Lessons learned")</f>
        <v>Sierra Center of Excellence: Lessons learned</v>
      </c>
      <c r="C1384" s="15" t="str">
        <f ca="1">VLOOKUP(B1384,'ALL DATABASES'!$A$1:$T$2252,2,FALSE)</f>
        <v>Dahm JP,Richards DF,Black A,Bertsch AD,Grinberg L,Karlin I,Kokkila-Schumacher S,León EA,Neely JR,Pankajakshan R,Pearce O</v>
      </c>
      <c r="D1384" s="15">
        <f ca="1">VLOOKUP(B1384,'ALL DATABASES'!$A$1:$T$2252,5,FALSE)</f>
        <v>2020</v>
      </c>
      <c r="E1384" s="55">
        <f ca="1">VLOOKUP(B1384,'ALL DATABASES'!$A$1:$T$2252,10,FALSE)</f>
        <v>43952</v>
      </c>
      <c r="F1384" s="54" t="str">
        <f ca="1">VLOOKUP(B1384,'ALL DATABASES'!$A$1:$T$2252,14,FALSE)</f>
        <v>http://dx.doi.org/10.1147/JRD.2019.2961069</v>
      </c>
      <c r="G1384" s="15" t="str">
        <f ca="1">VLOOKUP(B1384,'ALL DATABASES'!$A$1:$T$2252,3,FALSE)</f>
        <v>Journal Article</v>
      </c>
      <c r="H1384" s="50" t="str">
        <f ca="1">VLOOKUP(B1384,'ALL DATABASES'!$A$1:$T$2252,20,FALSE)</f>
        <v>IEEE</v>
      </c>
    </row>
    <row r="1385" spans="1:8" ht="12.75" x14ac:dyDescent="0.2">
      <c r="A1385">
        <v>1384</v>
      </c>
      <c r="B1385" s="15" t="str">
        <f ca="1">IFERROR(__xludf.DUMMYFUNCTION("""COMPUTED_VALUE"""),"Silicon Economy")</f>
        <v>Silicon Economy</v>
      </c>
      <c r="C1385" s="15" t="str">
        <f ca="1">VLOOKUP(B1385,'ALL DATABASES'!$A$1:$T$2252,2,FALSE)</f>
        <v>Prof. Dr. Dr. h. c. Michael ten HompelProf. Dr. Michael HenkeProf. Dr. Boris Otto</v>
      </c>
      <c r="D1385" s="15">
        <f ca="1">VLOOKUP(B1385,'ALL DATABASES'!$A$1:$T$2252,5,FALSE)</f>
        <v>2022</v>
      </c>
      <c r="E1385" s="15">
        <f ca="1">VLOOKUP(B1385,'ALL DATABASES'!$A$1:$T$2252,10,FALSE)</f>
        <v>0</v>
      </c>
      <c r="F1385" s="54" t="str">
        <f ca="1">VLOOKUP(B1385,'ALL DATABASES'!$A$1:$T$2252,14,FALSE)</f>
        <v>http://link.springer.com/book/10.1007/978-3-662-63956-6</v>
      </c>
      <c r="G1385" s="15" t="str">
        <f ca="1">VLOOKUP(B1385,'ALL DATABASES'!$A$1:$T$2252,3,FALSE)</f>
        <v>Book</v>
      </c>
      <c r="H1385" s="50" t="str">
        <f ca="1">VLOOKUP(B1385,'ALL DATABASES'!$A$1:$T$2252,20,FALSE)</f>
        <v>SPRINGER</v>
      </c>
    </row>
    <row r="1386" spans="1:8" ht="12.75" x14ac:dyDescent="0.2">
      <c r="A1386">
        <v>1385</v>
      </c>
      <c r="B1386" s="15" t="str">
        <f ca="1">IFERROR(__xludf.DUMMYFUNCTION("""COMPUTED_VALUE"""),"Simple Non Regressive Informed Machine Learning Model for Prescriptive Maintenance of Track Circuits in a Subway Environment")</f>
        <v>Simple Non Regressive Informed Machine Learning Model for Prescriptive Maintenance of Track Circuits in a Subway Environment</v>
      </c>
      <c r="C1386" s="15" t="str">
        <f ca="1">VLOOKUP(B1386,'ALL DATABASES'!$A$1:$T$2252,2,FALSE)</f>
        <v>Garrone A,Minisi S,Oneto L,Dambra C,Borinato M,Sanetti P,Vignola G,Papa F,Mazzino N,Anguita D</v>
      </c>
      <c r="D1386" s="15">
        <f ca="1">VLOOKUP(B1386,'ALL DATABASES'!$A$1:$T$2252,5,FALSE)</f>
        <v>2023</v>
      </c>
      <c r="E1386" s="15">
        <f ca="1">VLOOKUP(B1386,'ALL DATABASES'!$A$1:$T$2252,10,FALSE)</f>
        <v>2023</v>
      </c>
      <c r="F1386" s="54" t="str">
        <f ca="1">VLOOKUP(B1386,'ALL DATABASES'!$A$1:$T$2252,14,FALSE)</f>
        <v>https://www.scopus.com/inward/record.uri?eid=2-s2.0-85137988427&amp;doi=10.1007%2f978-3-031-16281-7_8&amp;partnerID=40&amp;md5=dad7cafe9c434552e9314e6bd36641f5;http://dx.doi.org/10.1007/978-3-031-16281-7_8</v>
      </c>
      <c r="G1386" s="15" t="str">
        <f ca="1">VLOOKUP(B1386,'ALL DATABASES'!$A$1:$T$2252,3,FALSE)</f>
        <v>Journal Article</v>
      </c>
      <c r="H1386" s="50" t="str">
        <f ca="1">VLOOKUP(B1386,'ALL DATABASES'!$A$1:$T$2252,20,FALSE)</f>
        <v>SCOPUS</v>
      </c>
    </row>
    <row r="1387" spans="1:8" ht="12.75" x14ac:dyDescent="0.2">
      <c r="A1387">
        <v>1386</v>
      </c>
      <c r="B1387" s="15" t="str">
        <f ca="1">IFERROR(__xludf.DUMMYFUNCTION("""COMPUTED_VALUE"""),"Simple Techniques Work Surprisingly Well for Neural Network Test Prioritization and Active Learning (Replicability Study)")</f>
        <v>Simple Techniques Work Surprisingly Well for Neural Network Test Prioritization and Active Learning (Replicability Study)</v>
      </c>
      <c r="C1387" s="15" t="str">
        <f ca="1">VLOOKUP(B1387,'ALL DATABASES'!$A$1:$T$2252,2,FALSE)</f>
        <v>Weiss M,Tonella P</v>
      </c>
      <c r="D1387" s="15">
        <f ca="1">VLOOKUP(B1387,'ALL DATABASES'!$A$1:$T$2252,5,FALSE)</f>
        <v>2022</v>
      </c>
      <c r="E1387" s="15">
        <f ca="1">VLOOKUP(B1387,'ALL DATABASES'!$A$1:$T$2252,10,FALSE)</f>
        <v>2022</v>
      </c>
      <c r="F1387" s="54" t="str">
        <f ca="1">VLOOKUP(B1387,'ALL DATABASES'!$A$1:$T$2252,14,FALSE)</f>
        <v>https://doi.org/10.1145/3533767.3534375;http://dx.doi.org/10.1145/3533767.3534375</v>
      </c>
      <c r="G1387" s="15" t="str">
        <f ca="1">VLOOKUP(B1387,'ALL DATABASES'!$A$1:$T$2252,3,FALSE)</f>
        <v>Conference Paper</v>
      </c>
      <c r="H1387" s="50" t="str">
        <f ca="1">VLOOKUP(B1387,'ALL DATABASES'!$A$1:$T$2252,20,FALSE)</f>
        <v>ACM</v>
      </c>
    </row>
    <row r="1388" spans="1:8" ht="12.75" x14ac:dyDescent="0.2">
      <c r="A1388">
        <v>1387</v>
      </c>
      <c r="B1388" s="15" t="str">
        <f ca="1">IFERROR(__xludf.DUMMYFUNCTION("""COMPUTED_VALUE"""),"Simulating Software Evolution to Evaluate the Reliability of Early Decision-Making among Design Alternatives towards Maintainability")</f>
        <v>Simulating Software Evolution to Evaluate the Reliability of Early Decision-Making among Design Alternatives towards Maintainability</v>
      </c>
      <c r="C1388" s="15" t="str">
        <f ca="1">VLOOKUP(B1388,'ALL DATABASES'!$A$1:$T$2252,2,FALSE)</f>
        <v>Karanikolas CA,Dimitroulakos G,Masselos K</v>
      </c>
      <c r="D1388" s="15">
        <f ca="1">VLOOKUP(B1388,'ALL DATABASES'!$A$1:$T$2252,5,FALSE)</f>
        <v>2022</v>
      </c>
      <c r="E1388" s="53">
        <f ca="1">VLOOKUP(B1388,'ALL DATABASES'!$A$1:$T$2252,10,FALSE)</f>
        <v>44835</v>
      </c>
      <c r="F1388" s="54" t="str">
        <f ca="1">VLOOKUP(B1388,'ALL DATABASES'!$A$1:$T$2252,14,FALSE)</f>
        <v>https://doi.org/10.1145/3569931;http://dx.doi.org/10.1145/3569931</v>
      </c>
      <c r="G1388" s="15" t="str">
        <f ca="1">VLOOKUP(B1388,'ALL DATABASES'!$A$1:$T$2252,3,FALSE)</f>
        <v>Journal Article</v>
      </c>
      <c r="H1388" s="50" t="str">
        <f ca="1">VLOOKUP(B1388,'ALL DATABASES'!$A$1:$T$2252,20,FALSE)</f>
        <v>ACM</v>
      </c>
    </row>
    <row r="1389" spans="1:8" ht="12.75" x14ac:dyDescent="0.2">
      <c r="A1389">
        <v>1388</v>
      </c>
      <c r="B1389" s="15" t="str">
        <f ca="1">IFERROR(__xludf.DUMMYFUNCTION("""COMPUTED_VALUE"""),"Single-state state machines in model-driven software engineering: an exploratory study")</f>
        <v>Single-state state machines in model-driven software engineering: an exploratory study</v>
      </c>
      <c r="C1389" s="15" t="str">
        <f ca="1">VLOOKUP(B1389,'ALL DATABASES'!$A$1:$T$2252,2,FALSE)</f>
        <v>Yang N,Cuijpers P,Schiffelers R,Lukkien J,Serebrenik A</v>
      </c>
      <c r="D1389" s="15">
        <f ca="1">VLOOKUP(B1389,'ALL DATABASES'!$A$1:$T$2252,5,FALSE)</f>
        <v>2021</v>
      </c>
      <c r="E1389" s="15">
        <f ca="1">VLOOKUP(B1389,'ALL DATABASES'!$A$1:$T$2252,10,FALSE)</f>
        <v>2021</v>
      </c>
      <c r="F1389" s="54" t="str">
        <f ca="1">VLOOKUP(B1389,'ALL DATABASES'!$A$1:$T$2252,14,FALSE)</f>
        <v>https://www.scopus.com/inward/record.uri?eid=2-s2.0-85114747740&amp;doi=10.1007%2fs10664-021-10015-3&amp;partnerID=40&amp;md5=fe1494adfcb4b48a9a4e62153f695d2f;http://dx.doi.org/10.1007/s10664-021-10015-3</v>
      </c>
      <c r="G1389" s="15" t="str">
        <f ca="1">VLOOKUP(B1389,'ALL DATABASES'!$A$1:$T$2252,3,FALSE)</f>
        <v>Journal Article</v>
      </c>
      <c r="H1389" s="50" t="str">
        <f ca="1">VLOOKUP(B1389,'ALL DATABASES'!$A$1:$T$2252,20,FALSE)</f>
        <v>SCOPUS</v>
      </c>
    </row>
    <row r="1390" spans="1:8" ht="12.75" x14ac:dyDescent="0.2">
      <c r="A1390">
        <v>1389</v>
      </c>
      <c r="B1390" s="15" t="str">
        <f ca="1">IFERROR(__xludf.DUMMYFUNCTION("""COMPUTED_VALUE"""),"Situated Accountability: Ethical Principles, Certification Standards, and Explanation Methods in Applied AI")</f>
        <v>Situated Accountability: Ethical Principles, Certification Standards, and Explanation Methods in Applied AI</v>
      </c>
      <c r="C1390" s="15" t="str">
        <f ca="1">VLOOKUP(B1390,'ALL DATABASES'!$A$1:$T$2252,2,FALSE)</f>
        <v>Henriksen A,Enni S,Bechmann A</v>
      </c>
      <c r="D1390" s="15">
        <f ca="1">VLOOKUP(B1390,'ALL DATABASES'!$A$1:$T$2252,5,FALSE)</f>
        <v>2021</v>
      </c>
      <c r="E1390" s="15">
        <f ca="1">VLOOKUP(B1390,'ALL DATABASES'!$A$1:$T$2252,10,FALSE)</f>
        <v>2021</v>
      </c>
      <c r="F1390" s="54" t="str">
        <f ca="1">VLOOKUP(B1390,'ALL DATABASES'!$A$1:$T$2252,14,FALSE)</f>
        <v>https://www.scopus.com/inward/record.uri?eid=2-s2.0-85112462721&amp;doi=10.1145%2f3461702.3462564&amp;partnerID=40&amp;md5=671b14c6ba997a948a5be4d1cac6d0ef;http://dx.doi.org/10.1145/3461702.3462564</v>
      </c>
      <c r="G1390" s="15" t="str">
        <f ca="1">VLOOKUP(B1390,'ALL DATABASES'!$A$1:$T$2252,3,FALSE)</f>
        <v>Conference Paper</v>
      </c>
      <c r="H1390" s="50" t="str">
        <f ca="1">VLOOKUP(B1390,'ALL DATABASES'!$A$1:$T$2252,20,FALSE)</f>
        <v>SCOPUS</v>
      </c>
    </row>
    <row r="1391" spans="1:8" ht="12.75" x14ac:dyDescent="0.2">
      <c r="A1391">
        <v>1390</v>
      </c>
      <c r="B1391" s="15" t="str">
        <f ca="1">IFERROR(__xludf.DUMMYFUNCTION("""COMPUTED_VALUE"""),"Smart Cities/Smart Regions â€“ Technische, wirtschaftliche und gesellschaftliche Innovationen")</f>
        <v>Smart Cities/Smart Regions â€“ Technische, wirtschaftliche und gesellschaftliche Innovationen</v>
      </c>
      <c r="C1391" s="15" t="str">
        <f ca="1">VLOOKUP(B1391,'ALL DATABASES'!$A$1:$T$2252,2,FALSE)</f>
        <v>Prof. Dr. Jorge Marx GÃ³mezAndreas SolsbachDr. Thomas KlenkeProf. Dr. Volker Wohlgemuth</v>
      </c>
      <c r="D1391" s="15">
        <f ca="1">VLOOKUP(B1391,'ALL DATABASES'!$A$1:$T$2252,5,FALSE)</f>
        <v>2019</v>
      </c>
      <c r="E1391" s="15">
        <f ca="1">VLOOKUP(B1391,'ALL DATABASES'!$A$1:$T$2252,10,FALSE)</f>
        <v>0</v>
      </c>
      <c r="F1391" s="54" t="str">
        <f ca="1">VLOOKUP(B1391,'ALL DATABASES'!$A$1:$T$2252,14,FALSE)</f>
        <v>http://link.springer.com/book/10.1007/978-3-658-25210-6</v>
      </c>
      <c r="G1391" s="15" t="str">
        <f ca="1">VLOOKUP(B1391,'ALL DATABASES'!$A$1:$T$2252,3,FALSE)</f>
        <v>Book</v>
      </c>
      <c r="H1391" s="50" t="str">
        <f ca="1">VLOOKUP(B1391,'ALL DATABASES'!$A$1:$T$2252,20,FALSE)</f>
        <v>SPRINGER</v>
      </c>
    </row>
    <row r="1392" spans="1:8" ht="12.75" x14ac:dyDescent="0.2">
      <c r="A1392">
        <v>1391</v>
      </c>
      <c r="B1392" s="15" t="str">
        <f ca="1">IFERROR(__xludf.DUMMYFUNCTION("""COMPUTED_VALUE"""),"SMARTKT: A Search Framework to Assist Program Comprehension using Smart Knowledge Transfer")</f>
        <v>SMARTKT: A Search Framework to Assist Program Comprehension using Smart Knowledge Transfer</v>
      </c>
      <c r="C1392" s="15" t="str">
        <f ca="1">VLOOKUP(B1392,'ALL DATABASES'!$A$1:$T$2252,2,FALSE)</f>
        <v>Majumdar S,Papdeja S,Das PP,Ghosh SK</v>
      </c>
      <c r="D1392" s="15">
        <f ca="1">VLOOKUP(B1392,'ALL DATABASES'!$A$1:$T$2252,5,FALSE)</f>
        <v>2019</v>
      </c>
      <c r="E1392" s="55">
        <f ca="1">VLOOKUP(B1392,'ALL DATABASES'!$A$1:$T$2252,10,FALSE)</f>
        <v>43647</v>
      </c>
      <c r="F1392" s="54" t="str">
        <f ca="1">VLOOKUP(B1392,'ALL DATABASES'!$A$1:$T$2252,14,FALSE)</f>
        <v>http://dx.doi.org/10.1109/QRS.2019.00026</v>
      </c>
      <c r="G1392" s="15" t="str">
        <f ca="1">VLOOKUP(B1392,'ALL DATABASES'!$A$1:$T$2252,3,FALSE)</f>
        <v>Conference Paper</v>
      </c>
      <c r="H1392" s="50" t="str">
        <f ca="1">VLOOKUP(B1392,'ALL DATABASES'!$A$1:$T$2252,20,FALSE)</f>
        <v>IEEE</v>
      </c>
    </row>
    <row r="1393" spans="1:8" ht="12.75" x14ac:dyDescent="0.2">
      <c r="A1393">
        <v>1392</v>
      </c>
      <c r="B1393" s="15" t="str">
        <f ca="1">IFERROR(__xludf.DUMMYFUNCTION("""COMPUTED_VALUE"""),"Smells Are Sensitive to Developers! on the Efficiency of (Un)Guided Customized Detection")</f>
        <v>Smells Are Sensitive to Developers! on the Efficiency of (Un)Guided Customized Detection</v>
      </c>
      <c r="C1393" s="15" t="str">
        <f ca="1">VLOOKUP(B1393,'ALL DATABASES'!$A$1:$T$2252,2,FALSE)</f>
        <v>Hozano M,Garcia A,Antunes N,Fonseca B,Costa E</v>
      </c>
      <c r="D1393" s="15">
        <f ca="1">VLOOKUP(B1393,'ALL DATABASES'!$A$1:$T$2252,5,FALSE)</f>
        <v>2017</v>
      </c>
      <c r="E1393" s="15">
        <f ca="1">VLOOKUP(B1393,'ALL DATABASES'!$A$1:$T$2252,10,FALSE)</f>
        <v>2017</v>
      </c>
      <c r="F1393" s="54" t="str">
        <f ca="1">VLOOKUP(B1393,'ALL DATABASES'!$A$1:$T$2252,14,FALSE)</f>
        <v>https://www.scopus.com/inward/record.uri?eid=2-s2.0-85025124144&amp;doi=10.1109%2fICPC.2017.32&amp;partnerID=40&amp;md5=255ec184eb1e7d10028106b58864f2ff;http://dx.doi.org/10.1109/ICPC.2017.32</v>
      </c>
      <c r="G1393" s="15" t="str">
        <f ca="1">VLOOKUP(B1393,'ALL DATABASES'!$A$1:$T$2252,3,FALSE)</f>
        <v>Conference Paper</v>
      </c>
      <c r="H1393" s="50" t="str">
        <f ca="1">VLOOKUP(B1393,'ALL DATABASES'!$A$1:$T$2252,20,FALSE)</f>
        <v>SCOPUS</v>
      </c>
    </row>
    <row r="1394" spans="1:8" ht="12.75" x14ac:dyDescent="0.2">
      <c r="A1394">
        <v>1393</v>
      </c>
      <c r="B1394" s="15" t="str">
        <f ca="1">IFERROR(__xludf.DUMMYFUNCTION("""COMPUTED_VALUE"""),"Smells in system user interactive tests")</f>
        <v>Smells in system user interactive tests</v>
      </c>
      <c r="C1394" s="15" t="str">
        <f ca="1">VLOOKUP(B1394,'ALL DATABASES'!$A$1:$T$2252,2,FALSE)</f>
        <v>Renaud RwemalikaSarra HabchiMike PapadakisYves Le TraonMarie-Claude Brasseur</v>
      </c>
      <c r="D1394" s="15">
        <f ca="1">VLOOKUP(B1394,'ALL DATABASES'!$A$1:$T$2252,5,FALSE)</f>
        <v>2022</v>
      </c>
      <c r="E1394" s="15">
        <f ca="1">VLOOKUP(B1394,'ALL DATABASES'!$A$1:$T$2252,10,FALSE)</f>
        <v>0</v>
      </c>
      <c r="F1394" s="54" t="str">
        <f ca="1">VLOOKUP(B1394,'ALL DATABASES'!$A$1:$T$2252,14,FALSE)</f>
        <v>http://link.springer.com/article/10.1007/s10664-022-10251-1</v>
      </c>
      <c r="G1394" s="15" t="str">
        <f ca="1">VLOOKUP(B1394,'ALL DATABASES'!$A$1:$T$2252,3,FALSE)</f>
        <v>Article</v>
      </c>
      <c r="H1394" s="50" t="str">
        <f ca="1">VLOOKUP(B1394,'ALL DATABASES'!$A$1:$T$2252,20,FALSE)</f>
        <v>SPRINGER</v>
      </c>
    </row>
    <row r="1395" spans="1:8" ht="12.75" x14ac:dyDescent="0.2">
      <c r="A1395">
        <v>1394</v>
      </c>
      <c r="B1395" s="15" t="str">
        <f ca="1">IFERROR(__xludf.DUMMYFUNCTION("""COMPUTED_VALUE"""),"Smells like teen spirit: Improving bug prediction performance using the intensity of code smells")</f>
        <v>Smells like teen spirit: Improving bug prediction performance using the intensity of code smells</v>
      </c>
      <c r="C1395" s="15" t="str">
        <f ca="1">VLOOKUP(B1395,'ALL DATABASES'!$A$1:$T$2252,2,FALSE)</f>
        <v>Palomba F,Zanoni M,Fontana FA,De Lucia A,Oliveto R</v>
      </c>
      <c r="D1395" s="15">
        <f ca="1">VLOOKUP(B1395,'ALL DATABASES'!$A$1:$T$2252,5,FALSE)</f>
        <v>2016</v>
      </c>
      <c r="E1395" s="15">
        <f ca="1">VLOOKUP(B1395,'ALL DATABASES'!$A$1:$T$2252,10,FALSE)</f>
        <v>2016</v>
      </c>
      <c r="F1395" s="54" t="str">
        <f ca="1">VLOOKUP(B1395,'ALL DATABASES'!$A$1:$T$2252,14,FALSE)</f>
        <v>https://www.scopus.com/inward/record.uri?eid=2-s2.0-85013078209&amp;doi=10.1109%2fICSME.2016.27&amp;partnerID=40&amp;md5=1fa0e20a3c078fea1c2c6ea63b399009;http://dx.doi.org/10.1109/ICSME.2016.27</v>
      </c>
      <c r="G1395" s="15" t="str">
        <f ca="1">VLOOKUP(B1395,'ALL DATABASES'!$A$1:$T$2252,3,FALSE)</f>
        <v>Conference Paper</v>
      </c>
      <c r="H1395" s="50" t="str">
        <f ca="1">VLOOKUP(B1395,'ALL DATABASES'!$A$1:$T$2252,20,FALSE)</f>
        <v>SCOPUS</v>
      </c>
    </row>
    <row r="1396" spans="1:8" ht="12.75" x14ac:dyDescent="0.2">
      <c r="A1396">
        <v>1395</v>
      </c>
      <c r="B1396" s="15" t="str">
        <f ca="1">IFERROR(__xludf.DUMMYFUNCTION("""COMPUTED_VALUE"""),"Smelly Relations: Measuring and Understanding Database Schema Quality")</f>
        <v>Smelly Relations: Measuring and Understanding Database Schema Quality</v>
      </c>
      <c r="C1396" s="15" t="str">
        <f ca="1">VLOOKUP(B1396,'ALL DATABASES'!$A$1:$T$2252,2,FALSE)</f>
        <v>Sharma T,Fragkoulis M,Rizou S,Bruntink M,Spinellis D</v>
      </c>
      <c r="D1396" s="15">
        <f ca="1">VLOOKUP(B1396,'ALL DATABASES'!$A$1:$T$2252,5,FALSE)</f>
        <v>2018</v>
      </c>
      <c r="E1396" s="15">
        <f ca="1">VLOOKUP(B1396,'ALL DATABASES'!$A$1:$T$2252,10,FALSE)</f>
        <v>2018</v>
      </c>
      <c r="F1396" s="54" t="str">
        <f ca="1">VLOOKUP(B1396,'ALL DATABASES'!$A$1:$T$2252,14,FALSE)</f>
        <v>https://doi.org/10.1145/3183519.3183529;http://dx.doi.org/10.1145/3183519.3183529</v>
      </c>
      <c r="G1396" s="15" t="str">
        <f ca="1">VLOOKUP(B1396,'ALL DATABASES'!$A$1:$T$2252,3,FALSE)</f>
        <v>Conference Paper</v>
      </c>
      <c r="H1396" s="50" t="str">
        <f ca="1">VLOOKUP(B1396,'ALL DATABASES'!$A$1:$T$2252,20,FALSE)</f>
        <v>ACM</v>
      </c>
    </row>
    <row r="1397" spans="1:8" ht="12.75" x14ac:dyDescent="0.2">
      <c r="A1397">
        <v>1396</v>
      </c>
      <c r="B1397" s="15" t="str">
        <f ca="1">IFERROR(__xludf.DUMMYFUNCTION("""COMPUTED_VALUE"""),"SMIRK: A machine learning-based pedestrian automatic emergency braking system with a complete safety case")</f>
        <v>SMIRK: A machine learning-based pedestrian automatic emergency braking system with a complete safety case</v>
      </c>
      <c r="C1397" s="15" t="str">
        <f ca="1">VLOOKUP(B1397,'ALL DATABASES'!$A$1:$T$2252,2,FALSE)</f>
        <v>Socha K,Borg M,Henriksson J</v>
      </c>
      <c r="D1397" s="15">
        <f ca="1">VLOOKUP(B1397,'ALL DATABASES'!$A$1:$T$2252,5,FALSE)</f>
        <v>2022</v>
      </c>
      <c r="E1397" s="15">
        <f ca="1">VLOOKUP(B1397,'ALL DATABASES'!$A$1:$T$2252,10,FALSE)</f>
        <v>2022</v>
      </c>
      <c r="F1397" s="54" t="str">
        <f ca="1">VLOOKUP(B1397,'ALL DATABASES'!$A$1:$T$2252,14,FALSE)</f>
        <v>https://www.scopus.com/inward/record.uri?eid=2-s2.0-85134628533&amp;doi=10.1016%2fj.simpa.2022.100352&amp;partnerID=40&amp;md5=fda78d822c21fe568d2eb9b5aa5a1fc6;http://dx.doi.org/10.1016/j.simpa.2022.100352</v>
      </c>
      <c r="G1397" s="15" t="str">
        <f ca="1">VLOOKUP(B1397,'ALL DATABASES'!$A$1:$T$2252,3,FALSE)</f>
        <v>Journal Article</v>
      </c>
      <c r="H1397" s="50" t="str">
        <f ca="1">VLOOKUP(B1397,'ALL DATABASES'!$A$1:$T$2252,20,FALSE)</f>
        <v>SCOPUS</v>
      </c>
    </row>
    <row r="1398" spans="1:8" ht="12.75" x14ac:dyDescent="0.2">
      <c r="A1398">
        <v>1397</v>
      </c>
      <c r="B1398" s="15" t="str">
        <f ca="1">IFERROR(__xludf.DUMMYFUNCTION("""COMPUTED_VALUE"""),"Software Architecture")</f>
        <v>Software Architecture</v>
      </c>
      <c r="C1398" s="15" t="str">
        <f ca="1">VLOOKUP(B1398,'ALL DATABASES'!$A$1:$T$2252,2,FALSE)</f>
        <v>Henry MucciniParis AvgeriouDr. Barbora BuhnovaJavier CamaraMauro CaporuscioMirco FranzagoAnne KoziolekDr. Patrizia ScandurraCatia TrubianiDanny WeynsUwe Zdun</v>
      </c>
      <c r="D1398" s="15">
        <f ca="1">VLOOKUP(B1398,'ALL DATABASES'!$A$1:$T$2252,5,FALSE)</f>
        <v>2020</v>
      </c>
      <c r="E1398" s="15">
        <f ca="1">VLOOKUP(B1398,'ALL DATABASES'!$A$1:$T$2252,10,FALSE)</f>
        <v>0</v>
      </c>
      <c r="F1398" s="54" t="str">
        <f ca="1">VLOOKUP(B1398,'ALL DATABASES'!$A$1:$T$2252,14,FALSE)</f>
        <v>http://link.springer.com/book/10.1007/978-3-030-59155-7</v>
      </c>
      <c r="G1398" s="15" t="str">
        <f ca="1">VLOOKUP(B1398,'ALL DATABASES'!$A$1:$T$2252,3,FALSE)</f>
        <v>Book</v>
      </c>
      <c r="H1398" s="50" t="str">
        <f ca="1">VLOOKUP(B1398,'ALL DATABASES'!$A$1:$T$2252,20,FALSE)</f>
        <v>SPRINGER</v>
      </c>
    </row>
    <row r="1399" spans="1:8" ht="12.75" x14ac:dyDescent="0.2">
      <c r="A1399">
        <v>1398</v>
      </c>
      <c r="B1399" s="15" t="str">
        <f ca="1">IFERROR(__xludf.DUMMYFUNCTION("""COMPUTED_VALUE"""),"Software Architecture Best Practices for Enterprise Artificial Intelligence")</f>
        <v>Software Architecture Best Practices for Enterprise Artificial Intelligence</v>
      </c>
      <c r="C1399" s="15" t="str">
        <f ca="1">VLOOKUP(B1399,'ALL DATABASES'!$A$1:$T$2252,2,FALSE)</f>
        <v>Martel Y,Roßmann A,Sultanow E,Weiß O,Wissel M,Pelzel F,Seßler M</v>
      </c>
      <c r="D1399" s="15">
        <f ca="1">VLOOKUP(B1399,'ALL DATABASES'!$A$1:$T$2252,5,FALSE)</f>
        <v>2020</v>
      </c>
      <c r="E1399" s="15">
        <f ca="1">VLOOKUP(B1399,'ALL DATABASES'!$A$1:$T$2252,10,FALSE)</f>
        <v>2020</v>
      </c>
      <c r="F1399" s="54" t="str">
        <f ca="1">VLOOKUP(B1399,'ALL DATABASES'!$A$1:$T$2252,14,FALSE)</f>
        <v>https://www.scopus.com/inward/record.uri?eid=2-s2.0-85127339915&amp;doi=10.18420%2finf2020_16&amp;partnerID=40&amp;md5=165b4d942b7a2e1fffbff3379abd6757;http://dx.doi.org/10.18420/inf2020_16</v>
      </c>
      <c r="G1399" s="15" t="str">
        <f ca="1">VLOOKUP(B1399,'ALL DATABASES'!$A$1:$T$2252,3,FALSE)</f>
        <v>Conference Paper</v>
      </c>
      <c r="H1399" s="50" t="str">
        <f ca="1">VLOOKUP(B1399,'ALL DATABASES'!$A$1:$T$2252,20,FALSE)</f>
        <v>SCOPUS</v>
      </c>
    </row>
    <row r="1400" spans="1:8" ht="12.75" x14ac:dyDescent="0.2">
      <c r="A1400">
        <v>1399</v>
      </c>
      <c r="B1400" s="15" t="str">
        <f ca="1">IFERROR(__xludf.DUMMYFUNCTION("""COMPUTED_VALUE"""),"Software Architecture Challenges for ML Systems")</f>
        <v>Software Architecture Challenges for ML Systems</v>
      </c>
      <c r="C1400" s="15" t="str">
        <f ca="1">VLOOKUP(B1400,'ALL DATABASES'!$A$1:$T$2252,2,FALSE)</f>
        <v>Lewis GA,Ozkaya I,Xu X</v>
      </c>
      <c r="D1400" s="15">
        <f ca="1">VLOOKUP(B1400,'ALL DATABASES'!$A$1:$T$2252,5,FALSE)</f>
        <v>2021</v>
      </c>
      <c r="E1400" s="15">
        <f ca="1">VLOOKUP(B1400,'ALL DATABASES'!$A$1:$T$2252,10,FALSE)</f>
        <v>2021</v>
      </c>
      <c r="F1400" s="54" t="str">
        <f ca="1">VLOOKUP(B1400,'ALL DATABASES'!$A$1:$T$2252,14,FALSE)</f>
        <v>https://www.scopus.com/inward/record.uri?eid=2-s2.0-85119830809&amp;doi=10.1109%2fICSME52107.2021.00071&amp;partnerID=40&amp;md5=206be4f3a7e99e5773a8fa9606804b6f;http://dx.doi.org/10.1109/ICSME52107.2021.00071</v>
      </c>
      <c r="G1400" s="15" t="str">
        <f ca="1">VLOOKUP(B1400,'ALL DATABASES'!$A$1:$T$2252,3,FALSE)</f>
        <v>Conference Paper</v>
      </c>
      <c r="H1400" s="50" t="str">
        <f ca="1">VLOOKUP(B1400,'ALL DATABASES'!$A$1:$T$2252,20,FALSE)</f>
        <v>SCOPUS</v>
      </c>
    </row>
    <row r="1401" spans="1:8" ht="12.75" x14ac:dyDescent="0.2">
      <c r="A1401">
        <v>1400</v>
      </c>
      <c r="B1401" s="15" t="str">
        <f ca="1">IFERROR(__xludf.DUMMYFUNCTION("""COMPUTED_VALUE"""),"Software Architecture Degradation in Open Source Software: A Systematic Literature Review")</f>
        <v>Software Architecture Degradation in Open Source Software: A Systematic Literature Review</v>
      </c>
      <c r="C1401" s="15" t="str">
        <f ca="1">VLOOKUP(B1401,'ALL DATABASES'!$A$1:$T$2252,2,FALSE)</f>
        <v>Baabad A,Zulzalil HB,Hassan S,Baharom SB</v>
      </c>
      <c r="D1401" s="15">
        <f ca="1">VLOOKUP(B1401,'ALL DATABASES'!$A$1:$T$2252,5,FALSE)</f>
        <v>2020</v>
      </c>
      <c r="E1401" s="15">
        <f ca="1">VLOOKUP(B1401,'ALL DATABASES'!$A$1:$T$2252,10,FALSE)</f>
        <v>2020</v>
      </c>
      <c r="F1401" s="54" t="str">
        <f ca="1">VLOOKUP(B1401,'ALL DATABASES'!$A$1:$T$2252,14,FALSE)</f>
        <v>http://dx.doi.org/10.1109/ACCESS.2020.3024671</v>
      </c>
      <c r="G1401" s="15" t="str">
        <f ca="1">VLOOKUP(B1401,'ALL DATABASES'!$A$1:$T$2252,3,FALSE)</f>
        <v>Journal Article</v>
      </c>
      <c r="H1401" s="50" t="str">
        <f ca="1">VLOOKUP(B1401,'ALL DATABASES'!$A$1:$T$2252,20,FALSE)</f>
        <v>IEEE</v>
      </c>
    </row>
    <row r="1402" spans="1:8" ht="12.75" x14ac:dyDescent="0.2">
      <c r="A1402">
        <v>1401</v>
      </c>
      <c r="B1402" s="15" t="str">
        <f ca="1">IFERROR(__xludf.DUMMYFUNCTION("""COMPUTED_VALUE"""),"Software Architecture for ML-based Systems: What Exists and What Lies Ahead")</f>
        <v>Software Architecture for ML-based Systems: What Exists and What Lies Ahead</v>
      </c>
      <c r="C1402" s="15" t="str">
        <f ca="1">VLOOKUP(B1402,'ALL DATABASES'!$A$1:$T$2252,2,FALSE)</f>
        <v>Muccini H,Vaidhyanathan K</v>
      </c>
      <c r="D1402" s="15">
        <f ca="1">VLOOKUP(B1402,'ALL DATABASES'!$A$1:$T$2252,5,FALSE)</f>
        <v>2021</v>
      </c>
      <c r="E1402" s="55">
        <f ca="1">VLOOKUP(B1402,'ALL DATABASES'!$A$1:$T$2252,10,FALSE)</f>
        <v>44317</v>
      </c>
      <c r="F1402" s="54" t="str">
        <f ca="1">VLOOKUP(B1402,'ALL DATABASES'!$A$1:$T$2252,14,FALSE)</f>
        <v>http://dx.doi.org/10.1109/WAIN52551.2021.00026</v>
      </c>
      <c r="G1402" s="15" t="str">
        <f ca="1">VLOOKUP(B1402,'ALL DATABASES'!$A$1:$T$2252,3,FALSE)</f>
        <v>Conference Paper</v>
      </c>
      <c r="H1402" s="50" t="str">
        <f ca="1">VLOOKUP(B1402,'ALL DATABASES'!$A$1:$T$2252,20,FALSE)</f>
        <v>IEEE</v>
      </c>
    </row>
    <row r="1403" spans="1:8" ht="12.75" x14ac:dyDescent="0.2">
      <c r="A1403">
        <v>1402</v>
      </c>
      <c r="B1403" s="15" t="str">
        <f ca="1">IFERROR(__xludf.DUMMYFUNCTION("""COMPUTED_VALUE"""),"Software Architecture in a Changing World")</f>
        <v>Software Architecture in a Changing World</v>
      </c>
      <c r="C1403" s="15" t="str">
        <f ca="1">VLOOKUP(B1403,'ALL DATABASES'!$A$1:$T$2252,2,FALSE)</f>
        <v>Woods E</v>
      </c>
      <c r="D1403" s="15">
        <f ca="1">VLOOKUP(B1403,'ALL DATABASES'!$A$1:$T$2252,5,FALSE)</f>
        <v>2016</v>
      </c>
      <c r="E1403" s="53">
        <f ca="1">VLOOKUP(B1403,'ALL DATABASES'!$A$1:$T$2252,10,FALSE)</f>
        <v>42675</v>
      </c>
      <c r="F1403" s="54" t="str">
        <f ca="1">VLOOKUP(B1403,'ALL DATABASES'!$A$1:$T$2252,14,FALSE)</f>
        <v>http://dx.doi.org/10.1109/MS.2016.149</v>
      </c>
      <c r="G1403" s="15" t="str">
        <f ca="1">VLOOKUP(B1403,'ALL DATABASES'!$A$1:$T$2252,3,FALSE)</f>
        <v>Journal Article</v>
      </c>
      <c r="H1403" s="50" t="str">
        <f ca="1">VLOOKUP(B1403,'ALL DATABASES'!$A$1:$T$2252,20,FALSE)</f>
        <v>IEEE</v>
      </c>
    </row>
    <row r="1404" spans="1:8" ht="12.75" x14ac:dyDescent="0.2">
      <c r="A1404">
        <v>1403</v>
      </c>
      <c r="B1404" s="15" t="str">
        <f ca="1">IFERROR(__xludf.DUMMYFUNCTION("""COMPUTED_VALUE"""),"Software Architecture Measurementâ€”Experiences from a Multinational Company")</f>
        <v>Software Architecture Measurementâ€”Experiences from a Multinational Company</v>
      </c>
      <c r="C1404" s="15" t="str">
        <f ca="1">VLOOKUP(B1404,'ALL DATABASES'!$A$1:$T$2252,2,FALSE)</f>
        <v>Wensheng WuYuanfang CaiRick KazmanRan MoZhipeng LiuRongbiao ChenYingan GeWeicai LiuJunhui Zhang</v>
      </c>
      <c r="D1404" s="15">
        <f ca="1">VLOOKUP(B1404,'ALL DATABASES'!$A$1:$T$2252,5,FALSE)</f>
        <v>2018</v>
      </c>
      <c r="E1404" s="15">
        <f ca="1">VLOOKUP(B1404,'ALL DATABASES'!$A$1:$T$2252,10,FALSE)</f>
        <v>0</v>
      </c>
      <c r="F1404" s="54" t="str">
        <f ca="1">VLOOKUP(B1404,'ALL DATABASES'!$A$1:$T$2252,14,FALSE)</f>
        <v>http://link.springer.com/chapter/10.1007/978-3-030-00761-4_20</v>
      </c>
      <c r="G1404" s="15" t="str">
        <f ca="1">VLOOKUP(B1404,'ALL DATABASES'!$A$1:$T$2252,3,FALSE)</f>
        <v>Chapter</v>
      </c>
      <c r="H1404" s="50" t="str">
        <f ca="1">VLOOKUP(B1404,'ALL DATABASES'!$A$1:$T$2252,20,FALSE)</f>
        <v>SPRINGER</v>
      </c>
    </row>
    <row r="1405" spans="1:8" ht="12.75" x14ac:dyDescent="0.2">
      <c r="A1405">
        <v>1404</v>
      </c>
      <c r="B1405" s="15" t="str">
        <f ca="1">IFERROR(__xludf.DUMMYFUNCTION("""COMPUTED_VALUE"""),"Software Business")</f>
        <v>Software Business</v>
      </c>
      <c r="C1405" s="15" t="str">
        <f ca="1">VLOOKUP(B1405,'ALL DATABASES'!$A$1:$T$2252,2,FALSE)</f>
        <v>Xiaofeng WangAntonio MartiniDr. Anh Nguyen-DucDr. Viktoria Stray</v>
      </c>
      <c r="D1405" s="15">
        <f ca="1">VLOOKUP(B1405,'ALL DATABASES'!$A$1:$T$2252,5,FALSE)</f>
        <v>2021</v>
      </c>
      <c r="E1405" s="15">
        <f ca="1">VLOOKUP(B1405,'ALL DATABASES'!$A$1:$T$2252,10,FALSE)</f>
        <v>0</v>
      </c>
      <c r="F1405" s="54" t="str">
        <f ca="1">VLOOKUP(B1405,'ALL DATABASES'!$A$1:$T$2252,14,FALSE)</f>
        <v>http://link.springer.com/book/10.1007/978-3-030-91983-2</v>
      </c>
      <c r="G1405" s="15" t="str">
        <f ca="1">VLOOKUP(B1405,'ALL DATABASES'!$A$1:$T$2252,3,FALSE)</f>
        <v>Book</v>
      </c>
      <c r="H1405" s="50" t="str">
        <f ca="1">VLOOKUP(B1405,'ALL DATABASES'!$A$1:$T$2252,20,FALSE)</f>
        <v>SPRINGER</v>
      </c>
    </row>
    <row r="1406" spans="1:8" ht="12.75" x14ac:dyDescent="0.2">
      <c r="A1406">
        <v>1405</v>
      </c>
      <c r="B1406" s="15" t="str">
        <f ca="1">IFERROR(__xludf.DUMMYFUNCTION("""COMPUTED_VALUE"""),"Software change prediction: A systematic review and future guidelines")</f>
        <v>Software change prediction: A systematic review and future guidelines</v>
      </c>
      <c r="C1406" s="15" t="str">
        <f ca="1">VLOOKUP(B1406,'ALL DATABASES'!$A$1:$T$2252,2,FALSE)</f>
        <v>Malhotra R,Khanna M</v>
      </c>
      <c r="D1406" s="15">
        <f ca="1">VLOOKUP(B1406,'ALL DATABASES'!$A$1:$T$2252,5,FALSE)</f>
        <v>2019</v>
      </c>
      <c r="E1406" s="15">
        <f ca="1">VLOOKUP(B1406,'ALL DATABASES'!$A$1:$T$2252,10,FALSE)</f>
        <v>2019</v>
      </c>
      <c r="F1406" s="54" t="str">
        <f ca="1">VLOOKUP(B1406,'ALL DATABASES'!$A$1:$T$2252,14,FALSE)</f>
        <v>https://www.scopus.com/inward/record.uri?eid=2-s2.0-85075447665&amp;doi=10.5277%2fe-Inf190107&amp;partnerID=40&amp;md5=6f92522a5c9f35833238ed1909fae61f;http://dx.doi.org/10.5277/e-Inf190107</v>
      </c>
      <c r="G1406" s="15" t="str">
        <f ca="1">VLOOKUP(B1406,'ALL DATABASES'!$A$1:$T$2252,3,FALSE)</f>
        <v>Journal Article</v>
      </c>
      <c r="H1406" s="50" t="str">
        <f ca="1">VLOOKUP(B1406,'ALL DATABASES'!$A$1:$T$2252,20,FALSE)</f>
        <v>SCOPUS</v>
      </c>
    </row>
    <row r="1407" spans="1:8" ht="12.75" x14ac:dyDescent="0.2">
      <c r="A1407">
        <v>1406</v>
      </c>
      <c r="B1407" s="15" t="str">
        <f ca="1">IFERROR(__xludf.DUMMYFUNCTION("""COMPUTED_VALUE"""),"Software Change Proneness Prediction Using Machine Learning")</f>
        <v>Software Change Proneness Prediction Using Machine Learning</v>
      </c>
      <c r="C1407" s="15" t="str">
        <f ca="1">VLOOKUP(B1407,'ALL DATABASES'!$A$1:$T$2252,2,FALSE)</f>
        <v>Abbas R,Albalooshi FA,Hammad M</v>
      </c>
      <c r="D1407" s="15">
        <f ca="1">VLOOKUP(B1407,'ALL DATABASES'!$A$1:$T$2252,5,FALSE)</f>
        <v>2020</v>
      </c>
      <c r="E1407" s="53">
        <f ca="1">VLOOKUP(B1407,'ALL DATABASES'!$A$1:$T$2252,10,FALSE)</f>
        <v>44166</v>
      </c>
      <c r="F1407" s="54" t="str">
        <f ca="1">VLOOKUP(B1407,'ALL DATABASES'!$A$1:$T$2252,14,FALSE)</f>
        <v>http://dx.doi.org/10.1109/3ICT51146.2020.9311978</v>
      </c>
      <c r="G1407" s="15" t="str">
        <f ca="1">VLOOKUP(B1407,'ALL DATABASES'!$A$1:$T$2252,3,FALSE)</f>
        <v>Conference Paper</v>
      </c>
      <c r="H1407" s="50" t="str">
        <f ca="1">VLOOKUP(B1407,'ALL DATABASES'!$A$1:$T$2252,20,FALSE)</f>
        <v>IEEE</v>
      </c>
    </row>
    <row r="1408" spans="1:8" ht="12.75" x14ac:dyDescent="0.2">
      <c r="A1408">
        <v>1407</v>
      </c>
      <c r="B1408" s="15" t="str">
        <f ca="1">IFERROR(__xludf.DUMMYFUNCTION("""COMPUTED_VALUE"""),"Software Configuration Engineering in Practice Interviews, Survey, and Systematic Literature Review")</f>
        <v>Software Configuration Engineering in Practice Interviews, Survey, and Systematic Literature Review</v>
      </c>
      <c r="C1408" s="15" t="str">
        <f ca="1">VLOOKUP(B1408,'ALL DATABASES'!$A$1:$T$2252,2,FALSE)</f>
        <v>Sayagh M,Kerzazi N,Adams B,Petrillo F</v>
      </c>
      <c r="D1408" s="15">
        <f ca="1">VLOOKUP(B1408,'ALL DATABASES'!$A$1:$T$2252,5,FALSE)</f>
        <v>2020</v>
      </c>
      <c r="E1408" s="55">
        <f ca="1">VLOOKUP(B1408,'ALL DATABASES'!$A$1:$T$2252,10,FALSE)</f>
        <v>43983</v>
      </c>
      <c r="F1408" s="54" t="str">
        <f ca="1">VLOOKUP(B1408,'ALL DATABASES'!$A$1:$T$2252,14,FALSE)</f>
        <v>http://dx.doi.org/10.1109/TSE.2018.2867847</v>
      </c>
      <c r="G1408" s="15" t="str">
        <f ca="1">VLOOKUP(B1408,'ALL DATABASES'!$A$1:$T$2252,3,FALSE)</f>
        <v>Journal Article</v>
      </c>
      <c r="H1408" s="50" t="str">
        <f ca="1">VLOOKUP(B1408,'ALL DATABASES'!$A$1:$T$2252,20,FALSE)</f>
        <v>IEEE</v>
      </c>
    </row>
    <row r="1409" spans="1:8" ht="12.75" x14ac:dyDescent="0.2">
      <c r="A1409">
        <v>1408</v>
      </c>
      <c r="B1409" s="15" t="str">
        <f ca="1">IFERROR(__xludf.DUMMYFUNCTION("""COMPUTED_VALUE"""),"Software Defect Prediction on Unlabelled Datasets: A Comparative Study")</f>
        <v>Software Defect Prediction on Unlabelled Datasets: A Comparative Study</v>
      </c>
      <c r="C1409" s="15" t="str">
        <f ca="1">VLOOKUP(B1409,'ALL DATABASES'!$A$1:$T$2252,2,FALSE)</f>
        <v>Ronchieri E,Canaparo M,Belgiovine M</v>
      </c>
      <c r="D1409" s="15">
        <f ca="1">VLOOKUP(B1409,'ALL DATABASES'!$A$1:$T$2252,5,FALSE)</f>
        <v>2020</v>
      </c>
      <c r="E1409" s="15">
        <f ca="1">VLOOKUP(B1409,'ALL DATABASES'!$A$1:$T$2252,10,FALSE)</f>
        <v>2020</v>
      </c>
      <c r="F1409" s="54" t="str">
        <f ca="1">VLOOKUP(B1409,'ALL DATABASES'!$A$1:$T$2252,14,FALSE)</f>
        <v>https://www.scopus.com/inward/record.uri?eid=2-s2.0-85093114739&amp;doi=10.1007%2f978-3-030-58802-1_25&amp;partnerID=40&amp;md5=a4a82ab6c1acec6090121239c85255c0;http://dx.doi.org/10.1007/978-3-030-58802-1_25</v>
      </c>
      <c r="G1409" s="15" t="str">
        <f ca="1">VLOOKUP(B1409,'ALL DATABASES'!$A$1:$T$2252,3,FALSE)</f>
        <v>Journal Article</v>
      </c>
      <c r="H1409" s="50" t="str">
        <f ca="1">VLOOKUP(B1409,'ALL DATABASES'!$A$1:$T$2252,20,FALSE)</f>
        <v>SCOPUS</v>
      </c>
    </row>
    <row r="1410" spans="1:8" ht="12.75" x14ac:dyDescent="0.2">
      <c r="A1410">
        <v>1409</v>
      </c>
      <c r="B1410" s="15" t="str">
        <f ca="1">IFERROR(__xludf.DUMMYFUNCTION("""COMPUTED_VALUE"""),"Software Defect Prediction Using Bad Code Smells: A Systematic Literature Review")</f>
        <v>Software Defect Prediction Using Bad Code Smells: A Systematic Literature Review</v>
      </c>
      <c r="C1410" s="15" t="str">
        <f ca="1">VLOOKUP(B1410,'ALL DATABASES'!$A$1:$T$2252,2,FALSE)</f>
        <v>PaweÅ‚ PiotrowskiLech Madeyski</v>
      </c>
      <c r="D1410" s="15">
        <f ca="1">VLOOKUP(B1410,'ALL DATABASES'!$A$1:$T$2252,5,FALSE)</f>
        <v>2020</v>
      </c>
      <c r="E1410" s="15">
        <f ca="1">VLOOKUP(B1410,'ALL DATABASES'!$A$1:$T$2252,10,FALSE)</f>
        <v>0</v>
      </c>
      <c r="F1410" s="54" t="str">
        <f ca="1">VLOOKUP(B1410,'ALL DATABASES'!$A$1:$T$2252,14,FALSE)</f>
        <v>http://link.springer.com/chapter/10.1007/978-3-030-34706-2_5</v>
      </c>
      <c r="G1410" s="15" t="str">
        <f ca="1">VLOOKUP(B1410,'ALL DATABASES'!$A$1:$T$2252,3,FALSE)</f>
        <v>Chapter</v>
      </c>
      <c r="H1410" s="50" t="str">
        <f ca="1">VLOOKUP(B1410,'ALL DATABASES'!$A$1:$T$2252,20,FALSE)</f>
        <v>SPRINGER</v>
      </c>
    </row>
    <row r="1411" spans="1:8" ht="12.75" x14ac:dyDescent="0.2">
      <c r="A1411">
        <v>1410</v>
      </c>
      <c r="B1411" s="15" t="str">
        <f ca="1">IFERROR(__xludf.DUMMYFUNCTION("""COMPUTED_VALUE"""),"Software Design and Artificial Intelligence: A Systematic Mapping Study")</f>
        <v>Software Design and Artificial Intelligence: A Systematic Mapping Study</v>
      </c>
      <c r="C1411" s="15" t="str">
        <f ca="1">VLOOKUP(B1411,'ALL DATABASES'!$A$1:$T$2252,2,FALSE)</f>
        <v>Robles-Aguilar A,Ocharan-Hernandez JO,Sanchez-Garcia AJ,Limon X</v>
      </c>
      <c r="D1411" s="15">
        <f ca="1">VLOOKUP(B1411,'ALL DATABASES'!$A$1:$T$2252,5,FALSE)</f>
        <v>2021</v>
      </c>
      <c r="E1411" s="15">
        <f ca="1">VLOOKUP(B1411,'ALL DATABASES'!$A$1:$T$2252,10,FALSE)</f>
        <v>2021</v>
      </c>
      <c r="F1411" s="54" t="str">
        <f ca="1">VLOOKUP(B1411,'ALL DATABASES'!$A$1:$T$2252,14,FALSE)</f>
        <v>https://www.scopus.com/inward/record.uri?eid=2-s2.0-85124488705&amp;doi=10.1109%2fCONISOFT52520.2021.00028&amp;partnerID=40&amp;md5=ebefa12026a77220dce39f944ef93726;http://dx.doi.org/10.1109/CONISOFT52520.2021.00028</v>
      </c>
      <c r="G1411" s="15" t="str">
        <f ca="1">VLOOKUP(B1411,'ALL DATABASES'!$A$1:$T$2252,3,FALSE)</f>
        <v>Conference Paper</v>
      </c>
      <c r="H1411" s="50" t="str">
        <f ca="1">VLOOKUP(B1411,'ALL DATABASES'!$A$1:$T$2252,20,FALSE)</f>
        <v>SCOPUS</v>
      </c>
    </row>
    <row r="1412" spans="1:8" ht="12.75" x14ac:dyDescent="0.2">
      <c r="A1412">
        <v>1411</v>
      </c>
      <c r="B1412" s="15" t="str">
        <f ca="1">IFERROR(__xludf.DUMMYFUNCTION("""COMPUTED_VALUE"""),"Software Design as Story Telling: Reflecting on the Work of Italo Calvino")</f>
        <v>Software Design as Story Telling: Reflecting on the Work of Italo Calvino</v>
      </c>
      <c r="C1412" s="15" t="str">
        <f ca="1">VLOOKUP(B1412,'ALL DATABASES'!$A$1:$T$2252,2,FALSE)</f>
        <v>Ciancarini P,Masyagin S,Succi G</v>
      </c>
      <c r="D1412" s="15">
        <f ca="1">VLOOKUP(B1412,'ALL DATABASES'!$A$1:$T$2252,5,FALSE)</f>
        <v>2020</v>
      </c>
      <c r="E1412" s="15">
        <f ca="1">VLOOKUP(B1412,'ALL DATABASES'!$A$1:$T$2252,10,FALSE)</f>
        <v>2020</v>
      </c>
      <c r="F1412" s="54" t="str">
        <f ca="1">VLOOKUP(B1412,'ALL DATABASES'!$A$1:$T$2252,14,FALSE)</f>
        <v>https://doi.org/10.1145/3426428.3426925;http://dx.doi.org/10.1145/3426428.3426925</v>
      </c>
      <c r="G1412" s="15" t="str">
        <f ca="1">VLOOKUP(B1412,'ALL DATABASES'!$A$1:$T$2252,3,FALSE)</f>
        <v>Conference Paper</v>
      </c>
      <c r="H1412" s="50" t="str">
        <f ca="1">VLOOKUP(B1412,'ALL DATABASES'!$A$1:$T$2252,20,FALSE)</f>
        <v>ACM</v>
      </c>
    </row>
    <row r="1413" spans="1:8" ht="12.75" x14ac:dyDescent="0.2">
      <c r="A1413">
        <v>1412</v>
      </c>
      <c r="B1413" s="15" t="str">
        <f ca="1">IFERROR(__xludf.DUMMYFUNCTION("""COMPUTED_VALUE"""),"Software design patterns for ai-systems")</f>
        <v>Software design patterns for ai-systems</v>
      </c>
      <c r="C1413" s="15" t="str">
        <f ca="1">VLOOKUP(B1413,'ALL DATABASES'!$A$1:$T$2252,2,FALSE)</f>
        <v>Take M,Alpers S,Becker C,Schreiber C,Oberweis A</v>
      </c>
      <c r="D1413" s="15">
        <f ca="1">VLOOKUP(B1413,'ALL DATABASES'!$A$1:$T$2252,5,FALSE)</f>
        <v>2021</v>
      </c>
      <c r="E1413" s="15">
        <f ca="1">VLOOKUP(B1413,'ALL DATABASES'!$A$1:$T$2252,10,FALSE)</f>
        <v>2021</v>
      </c>
      <c r="F1413" s="54" t="str">
        <f ca="1">VLOOKUP(B1413,'ALL DATABASES'!$A$1:$T$2252,14,FALSE)</f>
        <v>https://www.scopus.com/inward/record.uri?eid=2-s2.0-85106966534&amp;partnerID=40&amp;md5=b4f7c335dfe07bf1d0678ef9cf7d8f42</v>
      </c>
      <c r="G1413" s="15" t="str">
        <f ca="1">VLOOKUP(B1413,'ALL DATABASES'!$A$1:$T$2252,3,FALSE)</f>
        <v>Conference Paper</v>
      </c>
      <c r="H1413" s="50" t="str">
        <f ca="1">VLOOKUP(B1413,'ALL DATABASES'!$A$1:$T$2252,20,FALSE)</f>
        <v>SCOPUS</v>
      </c>
    </row>
    <row r="1414" spans="1:8" ht="12.75" x14ac:dyDescent="0.2">
      <c r="A1414">
        <v>1413</v>
      </c>
      <c r="B1414" s="15" t="str">
        <f ca="1">IFERROR(__xludf.DUMMYFUNCTION("""COMPUTED_VALUE"""),"Software Design Smell Detection: a systematic mapping study")</f>
        <v>Software Design Smell Detection: a systematic mapping study</v>
      </c>
      <c r="C1414" s="15" t="str">
        <f ca="1">VLOOKUP(B1414,'ALL DATABASES'!$A$1:$T$2252,2,FALSE)</f>
        <v>Khalid AlkharabshehYania CrespoEsperanza MansoJosÃ© A. Taboada</v>
      </c>
      <c r="D1414" s="15">
        <f ca="1">VLOOKUP(B1414,'ALL DATABASES'!$A$1:$T$2252,5,FALSE)</f>
        <v>2019</v>
      </c>
      <c r="E1414" s="15">
        <f ca="1">VLOOKUP(B1414,'ALL DATABASES'!$A$1:$T$2252,10,FALSE)</f>
        <v>0</v>
      </c>
      <c r="F1414" s="54" t="str">
        <f ca="1">VLOOKUP(B1414,'ALL DATABASES'!$A$1:$T$2252,14,FALSE)</f>
        <v>http://link.springer.com/article/10.1007/s11219-018-9424-8</v>
      </c>
      <c r="G1414" s="15" t="str">
        <f ca="1">VLOOKUP(B1414,'ALL DATABASES'!$A$1:$T$2252,3,FALSE)</f>
        <v>Article</v>
      </c>
      <c r="H1414" s="50" t="str">
        <f ca="1">VLOOKUP(B1414,'ALL DATABASES'!$A$1:$T$2252,20,FALSE)</f>
        <v>SPRINGER</v>
      </c>
    </row>
    <row r="1415" spans="1:8" ht="12.75" x14ac:dyDescent="0.2">
      <c r="A1415">
        <v>1414</v>
      </c>
      <c r="B1415" s="15" t="str">
        <f ca="1">IFERROR(__xludf.DUMMYFUNCTION("""COMPUTED_VALUE"""),"Software Development Analytics in Practice: A Systematic Literature Review")</f>
        <v>Software Development Analytics in Practice: A Systematic Literature Review</v>
      </c>
      <c r="C1415" s="15" t="str">
        <f ca="1">VLOOKUP(B1415,'ALL DATABASES'!$A$1:$T$2252,2,FALSE)</f>
        <v>JoÃ£o CaldeiraFernando Brito e AbreuJorge CardosoRachel SimÃµesToacy OliveiraJosÃ© Pereira dos Reis</v>
      </c>
      <c r="D1415" s="15">
        <f ca="1">VLOOKUP(B1415,'ALL DATABASES'!$A$1:$T$2252,5,FALSE)</f>
        <v>2023</v>
      </c>
      <c r="E1415" s="15">
        <f ca="1">VLOOKUP(B1415,'ALL DATABASES'!$A$1:$T$2252,10,FALSE)</f>
        <v>0</v>
      </c>
      <c r="F1415" s="54" t="str">
        <f ca="1">VLOOKUP(B1415,'ALL DATABASES'!$A$1:$T$2252,14,FALSE)</f>
        <v>http://link.springer.com/article/10.1007/s11831-022-09864-y</v>
      </c>
      <c r="G1415" s="15" t="str">
        <f ca="1">VLOOKUP(B1415,'ALL DATABASES'!$A$1:$T$2252,3,FALSE)</f>
        <v>Article</v>
      </c>
      <c r="H1415" s="50" t="str">
        <f ca="1">VLOOKUP(B1415,'ALL DATABASES'!$A$1:$T$2252,20,FALSE)</f>
        <v>SPRINGER</v>
      </c>
    </row>
    <row r="1416" spans="1:8" ht="12.75" x14ac:dyDescent="0.2">
      <c r="A1416">
        <v>1415</v>
      </c>
      <c r="B1416" s="15" t="str">
        <f ca="1">IFERROR(__xludf.DUMMYFUNCTION("""COMPUTED_VALUE"""),"Software development measurement programs: Development, management and evolution")</f>
        <v>Software development measurement programs: Development, management and evolution</v>
      </c>
      <c r="C1416" s="15" t="str">
        <f ca="1">VLOOKUP(B1416,'ALL DATABASES'!$A$1:$T$2252,2,FALSE)</f>
        <v>Staron M,Meding W</v>
      </c>
      <c r="D1416" s="15">
        <f ca="1">VLOOKUP(B1416,'ALL DATABASES'!$A$1:$T$2252,5,FALSE)</f>
        <v>2018</v>
      </c>
      <c r="E1416" s="15">
        <f ca="1">VLOOKUP(B1416,'ALL DATABASES'!$A$1:$T$2252,10,FALSE)</f>
        <v>2018</v>
      </c>
      <c r="F1416" s="54" t="str">
        <f ca="1">VLOOKUP(B1416,'ALL DATABASES'!$A$1:$T$2252,14,FALSE)</f>
        <v>https://www.scopus.com/inward/record.uri?eid=2-s2.0-85060056515&amp;doi=10.1007%2f978-3-319-91836-5&amp;partnerID=40&amp;md5=2989aeba549e92a0f3eda6862bc9d072;http://dx.doi.org/10.1007/978-3-319-91836-5</v>
      </c>
      <c r="G1416" s="15" t="str">
        <f ca="1">VLOOKUP(B1416,'ALL DATABASES'!$A$1:$T$2252,3,FALSE)</f>
        <v>Book</v>
      </c>
      <c r="H1416" s="50" t="str">
        <f ca="1">VLOOKUP(B1416,'ALL DATABASES'!$A$1:$T$2252,20,FALSE)</f>
        <v>SCOPUS</v>
      </c>
    </row>
    <row r="1417" spans="1:8" ht="12.75" x14ac:dyDescent="0.2">
      <c r="A1417">
        <v>1416</v>
      </c>
      <c r="B1417" s="15" t="str">
        <f ca="1">IFERROR(__xludf.DUMMYFUNCTION("""COMPUTED_VALUE"""),"Software engineering and advanced applications conference 2019 – selected papers")</f>
        <v>Software engineering and advanced applications conference 2019 – selected papers</v>
      </c>
      <c r="C1417" s="15" t="str">
        <f ca="1">VLOOKUP(B1417,'ALL DATABASES'!$A$1:$T$2252,2,FALSE)</f>
        <v>Capilla R,Staron M</v>
      </c>
      <c r="D1417" s="15">
        <f ca="1">VLOOKUP(B1417,'ALL DATABASES'!$A$1:$T$2252,5,FALSE)</f>
        <v>2021</v>
      </c>
      <c r="E1417" s="15">
        <f ca="1">VLOOKUP(B1417,'ALL DATABASES'!$A$1:$T$2252,10,FALSE)</f>
        <v>2021</v>
      </c>
      <c r="F1417" s="54" t="str">
        <f ca="1">VLOOKUP(B1417,'ALL DATABASES'!$A$1:$T$2252,14,FALSE)</f>
        <v>https://www.sciencedirect.com/science/article/pii/S0950584920301920;http://dx.doi.org/10.1016/j.infsof.2020.106439</v>
      </c>
      <c r="G1417" s="15" t="str">
        <f ca="1">VLOOKUP(B1417,'ALL DATABASES'!$A$1:$T$2252,3,FALSE)</f>
        <v>Journal Article</v>
      </c>
      <c r="H1417" s="50" t="str">
        <f ca="1">VLOOKUP(B1417,'ALL DATABASES'!$A$1:$T$2252,20,FALSE)</f>
        <v>SCIENCEDIRECT</v>
      </c>
    </row>
    <row r="1418" spans="1:8" ht="12.75" x14ac:dyDescent="0.2">
      <c r="A1418">
        <v>1417</v>
      </c>
      <c r="B1418" s="15" t="str">
        <f ca="1">IFERROR(__xludf.DUMMYFUNCTION("""COMPUTED_VALUE"""),"Software Engineering and Algorithms")</f>
        <v>Software Engineering and Algorithms</v>
      </c>
      <c r="C1418" s="15" t="str">
        <f ca="1">VLOOKUP(B1418,'ALL DATABASES'!$A$1:$T$2252,2,FALSE)</f>
        <v>Dr. Radek Silhavy</v>
      </c>
      <c r="D1418" s="15">
        <f ca="1">VLOOKUP(B1418,'ALL DATABASES'!$A$1:$T$2252,5,FALSE)</f>
        <v>2021</v>
      </c>
      <c r="E1418" s="15">
        <f ca="1">VLOOKUP(B1418,'ALL DATABASES'!$A$1:$T$2252,10,FALSE)</f>
        <v>0</v>
      </c>
      <c r="F1418" s="54" t="str">
        <f ca="1">VLOOKUP(B1418,'ALL DATABASES'!$A$1:$T$2252,14,FALSE)</f>
        <v>http://link.springer.com/book/10.1007/978-3-030-77442-4</v>
      </c>
      <c r="G1418" s="15" t="str">
        <f ca="1">VLOOKUP(B1418,'ALL DATABASES'!$A$1:$T$2252,3,FALSE)</f>
        <v>Book</v>
      </c>
      <c r="H1418" s="50" t="str">
        <f ca="1">VLOOKUP(B1418,'ALL DATABASES'!$A$1:$T$2252,20,FALSE)</f>
        <v>SPRINGER</v>
      </c>
    </row>
    <row r="1419" spans="1:8" ht="12.75" x14ac:dyDescent="0.2">
      <c r="A1419">
        <v>1418</v>
      </c>
      <c r="B1419" s="15" t="str">
        <f ca="1">IFERROR(__xludf.DUMMYFUNCTION("""COMPUTED_VALUE"""),"Software Engineering Antipatterns in Start-Ups")</f>
        <v>Software Engineering Antipatterns in Start-Ups</v>
      </c>
      <c r="C1419" s="15" t="str">
        <f ca="1">VLOOKUP(B1419,'ALL DATABASES'!$A$1:$T$2252,2,FALSE)</f>
        <v>Klotins E,Unterkalmsteiner M,Gorschek T</v>
      </c>
      <c r="D1419" s="15">
        <f ca="1">VLOOKUP(B1419,'ALL DATABASES'!$A$1:$T$2252,5,FALSE)</f>
        <v>2019</v>
      </c>
      <c r="E1419" s="55">
        <f ca="1">VLOOKUP(B1419,'ALL DATABASES'!$A$1:$T$2252,10,FALSE)</f>
        <v>43525</v>
      </c>
      <c r="F1419" s="54" t="str">
        <f ca="1">VLOOKUP(B1419,'ALL DATABASES'!$A$1:$T$2252,14,FALSE)</f>
        <v>http://dx.doi.org/10.1109/MS.2018.227105530</v>
      </c>
      <c r="G1419" s="15" t="str">
        <f ca="1">VLOOKUP(B1419,'ALL DATABASES'!$A$1:$T$2252,3,FALSE)</f>
        <v>Journal Article</v>
      </c>
      <c r="H1419" s="50" t="str">
        <f ca="1">VLOOKUP(B1419,'ALL DATABASES'!$A$1:$T$2252,20,FALSE)</f>
        <v>IEEE</v>
      </c>
    </row>
    <row r="1420" spans="1:8" ht="12.75" x14ac:dyDescent="0.2">
      <c r="A1420">
        <v>1419</v>
      </c>
      <c r="B1420" s="15" t="str">
        <f ca="1">IFERROR(__xludf.DUMMYFUNCTION("""COMPUTED_VALUE"""),"Software Engineering Application in Informatics")</f>
        <v>Software Engineering Application in Informatics</v>
      </c>
      <c r="C1420" s="15" t="str">
        <f ca="1">VLOOKUP(B1420,'ALL DATABASES'!$A$1:$T$2252,2,FALSE)</f>
        <v>Dr. Radek SilhavyProf. Petr SilhavyProf. Zdenka Prokopova</v>
      </c>
      <c r="D1420" s="15">
        <f ca="1">VLOOKUP(B1420,'ALL DATABASES'!$A$1:$T$2252,5,FALSE)</f>
        <v>2021</v>
      </c>
      <c r="E1420" s="15">
        <f ca="1">VLOOKUP(B1420,'ALL DATABASES'!$A$1:$T$2252,10,FALSE)</f>
        <v>0</v>
      </c>
      <c r="F1420" s="54" t="str">
        <f ca="1">VLOOKUP(B1420,'ALL DATABASES'!$A$1:$T$2252,14,FALSE)</f>
        <v>http://link.springer.com/book/10.1007/978-3-030-90318-3</v>
      </c>
      <c r="G1420" s="15" t="str">
        <f ca="1">VLOOKUP(B1420,'ALL DATABASES'!$A$1:$T$2252,3,FALSE)</f>
        <v>Book</v>
      </c>
      <c r="H1420" s="50" t="str">
        <f ca="1">VLOOKUP(B1420,'ALL DATABASES'!$A$1:$T$2252,20,FALSE)</f>
        <v>SPRINGER</v>
      </c>
    </row>
    <row r="1421" spans="1:8" ht="12.75" x14ac:dyDescent="0.2">
      <c r="A1421">
        <v>1420</v>
      </c>
      <c r="B1421" s="15" t="str">
        <f ca="1">IFERROR(__xludf.DUMMYFUNCTION("""COMPUTED_VALUE"""),"Software Engineering Challenges of Deep Learning")</f>
        <v>Software Engineering Challenges of Deep Learning</v>
      </c>
      <c r="C1421" s="15" t="str">
        <f ca="1">VLOOKUP(B1421,'ALL DATABASES'!$A$1:$T$2252,2,FALSE)</f>
        <v>Arpteg A,Brinne B,Crnkovic-Friis L,Bosch J</v>
      </c>
      <c r="D1421" s="15">
        <f ca="1">VLOOKUP(B1421,'ALL DATABASES'!$A$1:$T$2252,5,FALSE)</f>
        <v>2018</v>
      </c>
      <c r="E1421" s="55">
        <f ca="1">VLOOKUP(B1421,'ALL DATABASES'!$A$1:$T$2252,10,FALSE)</f>
        <v>43313</v>
      </c>
      <c r="F1421" s="54" t="str">
        <f ca="1">VLOOKUP(B1421,'ALL DATABASES'!$A$1:$T$2252,14,FALSE)</f>
        <v>http://dx.doi.org/10.1109/SEAA.2018.00018</v>
      </c>
      <c r="G1421" s="15" t="str">
        <f ca="1">VLOOKUP(B1421,'ALL DATABASES'!$A$1:$T$2252,3,FALSE)</f>
        <v>Conference Paper</v>
      </c>
      <c r="H1421" s="50" t="str">
        <f ca="1">VLOOKUP(B1421,'ALL DATABASES'!$A$1:$T$2252,20,FALSE)</f>
        <v>IEEE</v>
      </c>
    </row>
    <row r="1422" spans="1:8" ht="12.75" x14ac:dyDescent="0.2">
      <c r="A1422">
        <v>1421</v>
      </c>
      <c r="B1422" s="15" t="str">
        <f ca="1">IFERROR(__xludf.DUMMYFUNCTION("""COMPUTED_VALUE"""),"Software Engineering for AI-Based Systems: A Survey")</f>
        <v>Software Engineering for AI-Based Systems: A Survey</v>
      </c>
      <c r="C1422" s="15" t="str">
        <f ca="1">VLOOKUP(B1422,'ALL DATABASES'!$A$1:$T$2252,2,FALSE)</f>
        <v>Martínez-Fernández S,Bogner J,Franch X,Oriol M,Siebert J,Trendowicz A,Vollmer AM,Wagner S</v>
      </c>
      <c r="D1422" s="15">
        <f ca="1">VLOOKUP(B1422,'ALL DATABASES'!$A$1:$T$2252,5,FALSE)</f>
        <v>2022</v>
      </c>
      <c r="E1422" s="55">
        <f ca="1">VLOOKUP(B1422,'ALL DATABASES'!$A$1:$T$2252,10,FALSE)</f>
        <v>44652</v>
      </c>
      <c r="F1422" s="54" t="str">
        <f ca="1">VLOOKUP(B1422,'ALL DATABASES'!$A$1:$T$2252,14,FALSE)</f>
        <v>https://doi.org/10.1145/3487043;http://dx.doi.org/10.1145/3487043</v>
      </c>
      <c r="G1422" s="15" t="str">
        <f ca="1">VLOOKUP(B1422,'ALL DATABASES'!$A$1:$T$2252,3,FALSE)</f>
        <v>Journal Article</v>
      </c>
      <c r="H1422" s="50" t="str">
        <f ca="1">VLOOKUP(B1422,'ALL DATABASES'!$A$1:$T$2252,20,FALSE)</f>
        <v>ACM</v>
      </c>
    </row>
    <row r="1423" spans="1:8" ht="12.75" x14ac:dyDescent="0.2">
      <c r="A1423">
        <v>1422</v>
      </c>
      <c r="B1423" s="15" t="str">
        <f ca="1">IFERROR(__xludf.DUMMYFUNCTION("""COMPUTED_VALUE"""),"Software Engineering for Data Analytics")</f>
        <v>Software Engineering for Data Analytics</v>
      </c>
      <c r="C1423" s="15" t="str">
        <f ca="1">VLOOKUP(B1423,'ALL DATABASES'!$A$1:$T$2252,2,FALSE)</f>
        <v>Kim M</v>
      </c>
      <c r="D1423" s="15">
        <f ca="1">VLOOKUP(B1423,'ALL DATABASES'!$A$1:$T$2252,5,FALSE)</f>
        <v>2020</v>
      </c>
      <c r="E1423" s="15">
        <f ca="1">VLOOKUP(B1423,'ALL DATABASES'!$A$1:$T$2252,10,FALSE)</f>
        <v>2020</v>
      </c>
      <c r="F1423" s="54" t="str">
        <f ca="1">VLOOKUP(B1423,'ALL DATABASES'!$A$1:$T$2252,14,FALSE)</f>
        <v>https://www.scopus.com/inward/record.uri?eid=2-s2.0-85083012837&amp;doi=10.1109%2fMS.2020.2985775&amp;partnerID=40&amp;md5=fcede53d450d76d50f966e169687cb51;http://dx.doi.org/10.1109/MS.2020.2985775</v>
      </c>
      <c r="G1423" s="15" t="str">
        <f ca="1">VLOOKUP(B1423,'ALL DATABASES'!$A$1:$T$2252,3,FALSE)</f>
        <v>Journal Article</v>
      </c>
      <c r="H1423" s="50" t="str">
        <f ca="1">VLOOKUP(B1423,'ALL DATABASES'!$A$1:$T$2252,20,FALSE)</f>
        <v>SCOPUS</v>
      </c>
    </row>
    <row r="1424" spans="1:8" ht="12.75" x14ac:dyDescent="0.2">
      <c r="A1424">
        <v>1423</v>
      </c>
      <c r="B1424" s="15" t="str">
        <f ca="1">IFERROR(__xludf.DUMMYFUNCTION("""COMPUTED_VALUE"""),"Software Engineering for Machine Learning: A Case Study")</f>
        <v>Software Engineering for Machine Learning: A Case Study</v>
      </c>
      <c r="C1424" s="15" t="str">
        <f ca="1">VLOOKUP(B1424,'ALL DATABASES'!$A$1:$T$2252,2,FALSE)</f>
        <v>Amershi S,Begel A,Bird C,DeLine R,Gall H,Kamar E,Nagappan N,Nushi B,Zimmermann T</v>
      </c>
      <c r="D1424" s="15">
        <f ca="1">VLOOKUP(B1424,'ALL DATABASES'!$A$1:$T$2252,5,FALSE)</f>
        <v>2019</v>
      </c>
      <c r="E1424" s="15">
        <f ca="1">VLOOKUP(B1424,'ALL DATABASES'!$A$1:$T$2252,10,FALSE)</f>
        <v>2019</v>
      </c>
      <c r="F1424" s="54" t="str">
        <f ca="1">VLOOKUP(B1424,'ALL DATABASES'!$A$1:$T$2252,14,FALSE)</f>
        <v>https://doi.org/10.1109/ICSE-SEIP.2019.00042;http://dx.doi.org/10.1109/ICSE-SEIP.2019.00042</v>
      </c>
      <c r="G1424" s="15" t="str">
        <f ca="1">VLOOKUP(B1424,'ALL DATABASES'!$A$1:$T$2252,3,FALSE)</f>
        <v>Conference Paper</v>
      </c>
      <c r="H1424" s="50" t="str">
        <f ca="1">VLOOKUP(B1424,'ALL DATABASES'!$A$1:$T$2252,20,FALSE)</f>
        <v>ACM</v>
      </c>
    </row>
    <row r="1425" spans="1:8" ht="12.75" x14ac:dyDescent="0.2">
      <c r="A1425">
        <v>1424</v>
      </c>
      <c r="B1425" s="15" t="str">
        <f ca="1">IFERROR(__xludf.DUMMYFUNCTION("""COMPUTED_VALUE"""),"Software engineering for quantum programming: How far are we?")</f>
        <v>Software engineering for quantum programming: How far are we?</v>
      </c>
      <c r="C1425" s="15" t="str">
        <f ca="1">VLOOKUP(B1425,'ALL DATABASES'!$A$1:$T$2252,2,FALSE)</f>
        <v>De Stefano M,Pecorelli F,Di Nucci D,Palomba F,De Lucia A</v>
      </c>
      <c r="D1425" s="15">
        <f ca="1">VLOOKUP(B1425,'ALL DATABASES'!$A$1:$T$2252,5,FALSE)</f>
        <v>2022</v>
      </c>
      <c r="E1425" s="15">
        <f ca="1">VLOOKUP(B1425,'ALL DATABASES'!$A$1:$T$2252,10,FALSE)</f>
        <v>2022</v>
      </c>
      <c r="F1425" s="54" t="str">
        <f ca="1">VLOOKUP(B1425,'ALL DATABASES'!$A$1:$T$2252,14,FALSE)</f>
        <v>https://www.sciencedirect.com/science/article/pii/S0164121222000693;http://dx.doi.org/10.1016/j.jss.2022.111326</v>
      </c>
      <c r="G1425" s="15" t="str">
        <f ca="1">VLOOKUP(B1425,'ALL DATABASES'!$A$1:$T$2252,3,FALSE)</f>
        <v>Journal Article</v>
      </c>
      <c r="H1425" s="50" t="str">
        <f ca="1">VLOOKUP(B1425,'ALL DATABASES'!$A$1:$T$2252,20,FALSE)</f>
        <v>SCIENCEDIRECT</v>
      </c>
    </row>
    <row r="1426" spans="1:8" ht="12.75" x14ac:dyDescent="0.2">
      <c r="A1426">
        <v>1425</v>
      </c>
      <c r="B1426" s="15" t="str">
        <f ca="1">IFERROR(__xludf.DUMMYFUNCTION("""COMPUTED_VALUE"""),"Software Engineering of Machine Learning Systems")</f>
        <v>Software Engineering of Machine Learning Systems</v>
      </c>
      <c r="C1426" s="15" t="str">
        <f ca="1">VLOOKUP(B1426,'ALL DATABASES'!$A$1:$T$2252,2,FALSE)</f>
        <v>Isbell C,Littman ML,Norvig P</v>
      </c>
      <c r="D1426" s="15">
        <f ca="1">VLOOKUP(B1426,'ALL DATABASES'!$A$1:$T$2252,5,FALSE)</f>
        <v>2023</v>
      </c>
      <c r="E1426" s="55">
        <f ca="1">VLOOKUP(B1426,'ALL DATABASES'!$A$1:$T$2252,10,FALSE)</f>
        <v>44927</v>
      </c>
      <c r="F1426" s="54" t="str">
        <f ca="1">VLOOKUP(B1426,'ALL DATABASES'!$A$1:$T$2252,14,FALSE)</f>
        <v>https://doi.org/10.1145/3539783;http://dx.doi.org/10.1145/3539783</v>
      </c>
      <c r="G1426" s="15" t="str">
        <f ca="1">VLOOKUP(B1426,'ALL DATABASES'!$A$1:$T$2252,3,FALSE)</f>
        <v>Journal Article</v>
      </c>
      <c r="H1426" s="50" t="str">
        <f ca="1">VLOOKUP(B1426,'ALL DATABASES'!$A$1:$T$2252,20,FALSE)</f>
        <v>ACM</v>
      </c>
    </row>
    <row r="1427" spans="1:8" ht="12.75" x14ac:dyDescent="0.2">
      <c r="A1427">
        <v>1426</v>
      </c>
      <c r="B1427" s="15" t="str">
        <f ca="1">IFERROR(__xludf.DUMMYFUNCTION("""COMPUTED_VALUE"""),"Software Engineering Perspectives in Systems")</f>
        <v>Software Engineering Perspectives in Systems</v>
      </c>
      <c r="C1427" s="15" t="str">
        <f ca="1">VLOOKUP(B1427,'ALL DATABASES'!$A$1:$T$2252,2,FALSE)</f>
        <v>Prof. Radek Silhavy</v>
      </c>
      <c r="D1427" s="15">
        <f ca="1">VLOOKUP(B1427,'ALL DATABASES'!$A$1:$T$2252,5,FALSE)</f>
        <v>2022</v>
      </c>
      <c r="E1427" s="15">
        <f ca="1">VLOOKUP(B1427,'ALL DATABASES'!$A$1:$T$2252,10,FALSE)</f>
        <v>0</v>
      </c>
      <c r="F1427" s="54" t="str">
        <f ca="1">VLOOKUP(B1427,'ALL DATABASES'!$A$1:$T$2252,14,FALSE)</f>
        <v>http://link.springer.com/book/10.1007/978-3-031-09070-7</v>
      </c>
      <c r="G1427" s="15" t="str">
        <f ca="1">VLOOKUP(B1427,'ALL DATABASES'!$A$1:$T$2252,3,FALSE)</f>
        <v>Book</v>
      </c>
      <c r="H1427" s="50" t="str">
        <f ca="1">VLOOKUP(B1427,'ALL DATABASES'!$A$1:$T$2252,20,FALSE)</f>
        <v>SPRINGER</v>
      </c>
    </row>
    <row r="1428" spans="1:8" ht="12.75" x14ac:dyDescent="0.2">
      <c r="A1428">
        <v>1427</v>
      </c>
      <c r="B1428" s="15" t="str">
        <f ca="1">IFERROR(__xludf.DUMMYFUNCTION("""COMPUTED_VALUE"""),"Software Engineering Principles Apply to Artificial Intelligence Systems")</f>
        <v>Software Engineering Principles Apply to Artificial Intelligence Systems</v>
      </c>
      <c r="C1428" s="15" t="str">
        <f ca="1">VLOOKUP(B1428,'ALL DATABASES'!$A$1:$T$2252,2,FALSE)</f>
        <v>Dmitry G. ArsenievDmitry E. BaskakovJussi KasurinenViacheslav P. ShkodyrevAlexey Mergasov</v>
      </c>
      <c r="D1428" s="15">
        <f ca="1">VLOOKUP(B1428,'ALL DATABASES'!$A$1:$T$2252,5,FALSE)</f>
        <v>2023</v>
      </c>
      <c r="E1428" s="15">
        <f ca="1">VLOOKUP(B1428,'ALL DATABASES'!$A$1:$T$2252,10,FALSE)</f>
        <v>0</v>
      </c>
      <c r="F1428" s="54" t="str">
        <f ca="1">VLOOKUP(B1428,'ALL DATABASES'!$A$1:$T$2252,14,FALSE)</f>
        <v>http://link.springer.com/chapter/10.1007/978-3-031-20875-1_14</v>
      </c>
      <c r="G1428" s="15" t="str">
        <f ca="1">VLOOKUP(B1428,'ALL DATABASES'!$A$1:$T$2252,3,FALSE)</f>
        <v>Chapter</v>
      </c>
      <c r="H1428" s="50" t="str">
        <f ca="1">VLOOKUP(B1428,'ALL DATABASES'!$A$1:$T$2252,20,FALSE)</f>
        <v>SPRINGER</v>
      </c>
    </row>
    <row r="1429" spans="1:8" ht="12.75" x14ac:dyDescent="0.2">
      <c r="A1429">
        <v>1428</v>
      </c>
      <c r="B1429" s="15" t="str">
        <f ca="1">IFERROR(__xludf.DUMMYFUNCTION("""COMPUTED_VALUE"""),"Software engineering techniques for statically analyzing mobile apps: research trends, characteristics, and potential for industrial adoption")</f>
        <v>Software engineering techniques for statically analyzing mobile apps: research trends, characteristics, and potential for industrial adoption</v>
      </c>
      <c r="C1429" s="15" t="str">
        <f ca="1">VLOOKUP(B1429,'ALL DATABASES'!$A$1:$T$2252,2,FALSE)</f>
        <v>Autili M,Malavolta I,Perucci A,Scoccia GL,Verdecchia R</v>
      </c>
      <c r="D1429" s="15">
        <f ca="1">VLOOKUP(B1429,'ALL DATABASES'!$A$1:$T$2252,5,FALSE)</f>
        <v>2021</v>
      </c>
      <c r="E1429" s="15">
        <f ca="1">VLOOKUP(B1429,'ALL DATABASES'!$A$1:$T$2252,10,FALSE)</f>
        <v>2021</v>
      </c>
      <c r="F1429" s="54" t="str">
        <f ca="1">VLOOKUP(B1429,'ALL DATABASES'!$A$1:$T$2252,14,FALSE)</f>
        <v>https://www.scopus.com/inward/record.uri?eid=2-s2.0-85111259233&amp;doi=10.1186%2fs13174-021-00134-x&amp;partnerID=40&amp;md5=5c136ceacd6b205d6983203370b97239;http://dx.doi.org/10.1186/s13174-021-00134-x</v>
      </c>
      <c r="G1429" s="15" t="str">
        <f ca="1">VLOOKUP(B1429,'ALL DATABASES'!$A$1:$T$2252,3,FALSE)</f>
        <v>Journal Article</v>
      </c>
      <c r="H1429" s="50" t="str">
        <f ca="1">VLOOKUP(B1429,'ALL DATABASES'!$A$1:$T$2252,20,FALSE)</f>
        <v>SCOPUS</v>
      </c>
    </row>
    <row r="1430" spans="1:8" ht="12.75" x14ac:dyDescent="0.2">
      <c r="A1430">
        <v>1429</v>
      </c>
      <c r="B1430" s="15" t="str">
        <f ca="1">IFERROR(__xludf.DUMMYFUNCTION("""COMPUTED_VALUE"""),"Software Evolution")</f>
        <v>Software Evolution</v>
      </c>
      <c r="C1430" s="15" t="str">
        <f ca="1">VLOOKUP(B1430,'ALL DATABASES'!$A$1:$T$2252,2,FALSE)</f>
        <v>Miryung KimNa MengTianyi Zhang</v>
      </c>
      <c r="D1430" s="15">
        <f ca="1">VLOOKUP(B1430,'ALL DATABASES'!$A$1:$T$2252,5,FALSE)</f>
        <v>2019</v>
      </c>
      <c r="E1430" s="15">
        <f ca="1">VLOOKUP(B1430,'ALL DATABASES'!$A$1:$T$2252,10,FALSE)</f>
        <v>0</v>
      </c>
      <c r="F1430" s="54" t="str">
        <f ca="1">VLOOKUP(B1430,'ALL DATABASES'!$A$1:$T$2252,14,FALSE)</f>
        <v>http://link.springer.com/chapter/10.1007/978-3-030-00262-6_6</v>
      </c>
      <c r="G1430" s="15" t="str">
        <f ca="1">VLOOKUP(B1430,'ALL DATABASES'!$A$1:$T$2252,3,FALSE)</f>
        <v>Chapter</v>
      </c>
      <c r="H1430" s="50" t="str">
        <f ca="1">VLOOKUP(B1430,'ALL DATABASES'!$A$1:$T$2252,20,FALSE)</f>
        <v>SPRINGER</v>
      </c>
    </row>
    <row r="1431" spans="1:8" ht="12.75" x14ac:dyDescent="0.2">
      <c r="A1431">
        <v>1430</v>
      </c>
      <c r="B1431" s="15" t="str">
        <f ca="1">IFERROR(__xludf.DUMMYFUNCTION("""COMPUTED_VALUE"""),"Software evolution: the lifetime of fine-grained elements")</f>
        <v>Software evolution: the lifetime of fine-grained elements</v>
      </c>
      <c r="C1431" s="15" t="str">
        <f ca="1">VLOOKUP(B1431,'ALL DATABASES'!$A$1:$T$2252,2,FALSE)</f>
        <v>Spinellis D,Louridas P,Kechagia M</v>
      </c>
      <c r="D1431" s="15">
        <f ca="1">VLOOKUP(B1431,'ALL DATABASES'!$A$1:$T$2252,5,FALSE)</f>
        <v>2021</v>
      </c>
      <c r="E1431" s="15">
        <f ca="1">VLOOKUP(B1431,'ALL DATABASES'!$A$1:$T$2252,10,FALSE)</f>
        <v>2021</v>
      </c>
      <c r="F1431" s="54" t="str">
        <f ca="1">VLOOKUP(B1431,'ALL DATABASES'!$A$1:$T$2252,14,FALSE)</f>
        <v>https://www.scopus.com/inward/record.uri?eid=2-s2.0-85101612111&amp;doi=10.7717%2fPEERJ-CS.372&amp;partnerID=40&amp;md5=3689250207ed4ea47f652e14926515df;http://dx.doi.org/10.7717/PEERJ-CS.372</v>
      </c>
      <c r="G1431" s="15" t="str">
        <f ca="1">VLOOKUP(B1431,'ALL DATABASES'!$A$1:$T$2252,3,FALSE)</f>
        <v>Journal Article</v>
      </c>
      <c r="H1431" s="50" t="str">
        <f ca="1">VLOOKUP(B1431,'ALL DATABASES'!$A$1:$T$2252,20,FALSE)</f>
        <v>SCOPUS</v>
      </c>
    </row>
    <row r="1432" spans="1:8" ht="12.75" x14ac:dyDescent="0.2">
      <c r="A1432">
        <v>1431</v>
      </c>
      <c r="B1432" s="15" t="str">
        <f ca="1">IFERROR(__xludf.DUMMYFUNCTION("""COMPUTED_VALUE"""),"Software implementation knowledge management with technical debt and network analysis")</f>
        <v>Software implementation knowledge management with technical debt and network analysis</v>
      </c>
      <c r="C1432" s="15" t="str">
        <f ca="1">VLOOKUP(B1432,'ALL DATABASES'!$A$1:$T$2252,2,FALSE)</f>
        <v>Holvitie J</v>
      </c>
      <c r="D1432" s="15">
        <f ca="1">VLOOKUP(B1432,'ALL DATABASES'!$A$1:$T$2252,5,FALSE)</f>
        <v>2014</v>
      </c>
      <c r="E1432" s="55">
        <f ca="1">VLOOKUP(B1432,'ALL DATABASES'!$A$1:$T$2252,10,FALSE)</f>
        <v>41760</v>
      </c>
      <c r="F1432" s="54" t="str">
        <f ca="1">VLOOKUP(B1432,'ALL DATABASES'!$A$1:$T$2252,14,FALSE)</f>
        <v>http://dx.doi.org/10.1109/RCIS.2014.6861083</v>
      </c>
      <c r="G1432" s="15" t="str">
        <f ca="1">VLOOKUP(B1432,'ALL DATABASES'!$A$1:$T$2252,3,FALSE)</f>
        <v>Conference Paper</v>
      </c>
      <c r="H1432" s="50" t="str">
        <f ca="1">VLOOKUP(B1432,'ALL DATABASES'!$A$1:$T$2252,20,FALSE)</f>
        <v>IEEE</v>
      </c>
    </row>
    <row r="1433" spans="1:8" ht="12.75" x14ac:dyDescent="0.2">
      <c r="A1433">
        <v>1432</v>
      </c>
      <c r="B1433" s="15" t="str">
        <f ca="1">IFERROR(__xludf.DUMMYFUNCTION("""COMPUTED_VALUE"""),"Software Maintenance and Evolution and Automated Software Engineering")</f>
        <v>Software Maintenance and Evolution and Automated Software Engineering</v>
      </c>
      <c r="C1433" s="15" t="str">
        <f ca="1">VLOOKUP(B1433,'ALL DATABASES'!$A$1:$T$2252,2,FALSE)</f>
        <v>Carver JC,Serebrenik A</v>
      </c>
      <c r="D1433" s="15">
        <f ca="1">VLOOKUP(B1433,'ALL DATABASES'!$A$1:$T$2252,5,FALSE)</f>
        <v>2018</v>
      </c>
      <c r="E1433" s="55">
        <f ca="1">VLOOKUP(B1433,'ALL DATABASES'!$A$1:$T$2252,10,FALSE)</f>
        <v>43160</v>
      </c>
      <c r="F1433" s="54" t="str">
        <f ca="1">VLOOKUP(B1433,'ALL DATABASES'!$A$1:$T$2252,14,FALSE)</f>
        <v>http://dx.doi.org/10.1109/MS.2018.1661318</v>
      </c>
      <c r="G1433" s="15" t="str">
        <f ca="1">VLOOKUP(B1433,'ALL DATABASES'!$A$1:$T$2252,3,FALSE)</f>
        <v>Journal Article</v>
      </c>
      <c r="H1433" s="50" t="str">
        <f ca="1">VLOOKUP(B1433,'ALL DATABASES'!$A$1:$T$2252,20,FALSE)</f>
        <v>IEEE</v>
      </c>
    </row>
    <row r="1434" spans="1:8" ht="12.75" x14ac:dyDescent="0.2">
      <c r="A1434">
        <v>1433</v>
      </c>
      <c r="B1434" s="15" t="str">
        <f ca="1">IFERROR(__xludf.DUMMYFUNCTION("""COMPUTED_VALUE"""),"Software obsolescence risk assessment approach using multicriteria decision-making")</f>
        <v>Software obsolescence risk assessment approach using multicriteria decision-making</v>
      </c>
      <c r="C1434" s="15" t="str">
        <f ca="1">VLOOKUP(B1434,'ALL DATABASES'!$A$1:$T$2252,2,FALSE)</f>
        <v>Bowlds TF,Fossaceca JM,Iammartino R</v>
      </c>
      <c r="D1434" s="15">
        <f ca="1">VLOOKUP(B1434,'ALL DATABASES'!$A$1:$T$2252,5,FALSE)</f>
        <v>2018</v>
      </c>
      <c r="E1434" s="15">
        <f ca="1">VLOOKUP(B1434,'ALL DATABASES'!$A$1:$T$2252,10,FALSE)</f>
        <v>2018</v>
      </c>
      <c r="F1434" s="54" t="str">
        <f ca="1">VLOOKUP(B1434,'ALL DATABASES'!$A$1:$T$2252,14,FALSE)</f>
        <v>https://www.scopus.com/inward/record.uri?eid=2-s2.0-85047663116&amp;doi=10.1002%2fsys.21446&amp;partnerID=40&amp;md5=9f64869ad5c8051e78e7b90916fd443b;http://dx.doi.org/10.1002/sys.21446</v>
      </c>
      <c r="G1434" s="15" t="str">
        <f ca="1">VLOOKUP(B1434,'ALL DATABASES'!$A$1:$T$2252,3,FALSE)</f>
        <v>Journal Article</v>
      </c>
      <c r="H1434" s="50" t="str">
        <f ca="1">VLOOKUP(B1434,'ALL DATABASES'!$A$1:$T$2252,20,FALSE)</f>
        <v>SCOPUS</v>
      </c>
    </row>
    <row r="1435" spans="1:8" ht="12.75" x14ac:dyDescent="0.2">
      <c r="A1435">
        <v>1434</v>
      </c>
      <c r="B1435" s="15" t="str">
        <f ca="1">IFERROR(__xludf.DUMMYFUNCTION("""COMPUTED_VALUE"""),"Software Patterns to Identify Credit Risk Patterns")</f>
        <v>Software Patterns to Identify Credit Risk Patterns</v>
      </c>
      <c r="C1435" s="15" t="str">
        <f ca="1">VLOOKUP(B1435,'ALL DATABASES'!$A$1:$T$2252,2,FALSE)</f>
        <v>Bhatore S,Reddy YR,Sanagavarapu LM,Chandra SS</v>
      </c>
      <c r="D1435" s="15">
        <f ca="1">VLOOKUP(B1435,'ALL DATABASES'!$A$1:$T$2252,5,FALSE)</f>
        <v>2020</v>
      </c>
      <c r="E1435" s="15">
        <f ca="1">VLOOKUP(B1435,'ALL DATABASES'!$A$1:$T$2252,10,FALSE)</f>
        <v>2020</v>
      </c>
      <c r="F1435" s="54" t="str">
        <f ca="1">VLOOKUP(B1435,'ALL DATABASES'!$A$1:$T$2252,14,FALSE)</f>
        <v>https://www.scopus.com/inward/record.uri?eid=2-s2.0-85101567368&amp;doi=10.1109%2fINDICON49873.2020.9342579&amp;partnerID=40&amp;md5=70d266f18a400ee242fcb4af32e3f28e;http://dx.doi.org/10.1109/INDICON49873.2020.9342579</v>
      </c>
      <c r="G1435" s="15" t="str">
        <f ca="1">VLOOKUP(B1435,'ALL DATABASES'!$A$1:$T$2252,3,FALSE)</f>
        <v>Conference Paper</v>
      </c>
      <c r="H1435" s="50" t="str">
        <f ca="1">VLOOKUP(B1435,'ALL DATABASES'!$A$1:$T$2252,20,FALSE)</f>
        <v>SCOPUS</v>
      </c>
    </row>
    <row r="1436" spans="1:8" ht="12.75" x14ac:dyDescent="0.2">
      <c r="A1436">
        <v>1435</v>
      </c>
      <c r="B1436" s="15" t="str">
        <f ca="1">IFERROR(__xludf.DUMMYFUNCTION("""COMPUTED_VALUE"""),"Software practitioners’ point of view on technical debt payment")</f>
        <v>Software practitioners’ point of view on technical debt payment</v>
      </c>
      <c r="C1436" s="15" t="str">
        <f ca="1">VLOOKUP(B1436,'ALL DATABASES'!$A$1:$T$2252,2,FALSE)</f>
        <v>Freire S,Rios N,Pérez B,Castellanos C,Correal D,Ramač R,Mandić V,Taušan N,López G,Pacheco A,Mendonça M,Falessi D,Izurieta C,Seaman C,Spínola R</v>
      </c>
      <c r="D1436" s="15">
        <f ca="1">VLOOKUP(B1436,'ALL DATABASES'!$A$1:$T$2252,5,FALSE)</f>
        <v>2023</v>
      </c>
      <c r="E1436" s="15">
        <f ca="1">VLOOKUP(B1436,'ALL DATABASES'!$A$1:$T$2252,10,FALSE)</f>
        <v>2023</v>
      </c>
      <c r="F1436" s="54" t="str">
        <f ca="1">VLOOKUP(B1436,'ALL DATABASES'!$A$1:$T$2252,14,FALSE)</f>
        <v>https://www.sciencedirect.com/science/article/pii/S0164121222002308;http://dx.doi.org/10.1016/j.jss.2022.111554</v>
      </c>
      <c r="G1436" s="15" t="str">
        <f ca="1">VLOOKUP(B1436,'ALL DATABASES'!$A$1:$T$2252,3,FALSE)</f>
        <v>Journal Article</v>
      </c>
      <c r="H1436" s="50" t="str">
        <f ca="1">VLOOKUP(B1436,'ALL DATABASES'!$A$1:$T$2252,20,FALSE)</f>
        <v>SCIENCEDIRECT</v>
      </c>
    </row>
    <row r="1437" spans="1:8" ht="12.75" x14ac:dyDescent="0.2">
      <c r="A1437">
        <v>1436</v>
      </c>
      <c r="B1437" s="15" t="str">
        <f ca="1">IFERROR(__xludf.DUMMYFUNCTION("""COMPUTED_VALUE"""),"Software Product Management")</f>
        <v>Software Product Management</v>
      </c>
      <c r="C1437" s="15" t="str">
        <f ca="1">VLOOKUP(B1437,'ALL DATABASES'!$A$1:$T$2252,2,FALSE)</f>
        <v>Dr. Hans-Bernd Kittlaus</v>
      </c>
      <c r="D1437" s="15">
        <f ca="1">VLOOKUP(B1437,'ALL DATABASES'!$A$1:$T$2252,5,FALSE)</f>
        <v>2022</v>
      </c>
      <c r="E1437" s="15">
        <f ca="1">VLOOKUP(B1437,'ALL DATABASES'!$A$1:$T$2252,10,FALSE)</f>
        <v>0</v>
      </c>
      <c r="F1437" s="54" t="str">
        <f ca="1">VLOOKUP(B1437,'ALL DATABASES'!$A$1:$T$2252,14,FALSE)</f>
        <v>http://link.springer.com/book/10.1007/978-3-662-65116-2</v>
      </c>
      <c r="G1437" s="15" t="str">
        <f ca="1">VLOOKUP(B1437,'ALL DATABASES'!$A$1:$T$2252,3,FALSE)</f>
        <v>Book</v>
      </c>
      <c r="H1437" s="50" t="str">
        <f ca="1">VLOOKUP(B1437,'ALL DATABASES'!$A$1:$T$2252,20,FALSE)</f>
        <v>SPRINGER</v>
      </c>
    </row>
    <row r="1438" spans="1:8" ht="12.75" x14ac:dyDescent="0.2">
      <c r="A1438">
        <v>1437</v>
      </c>
      <c r="B1438" s="15" t="str">
        <f ca="1">IFERROR(__xludf.DUMMYFUNCTION("""COMPUTED_VALUE"""),"Software Quality for AI: Where We Are Now?")</f>
        <v>Software Quality for AI: Where We Are Now?</v>
      </c>
      <c r="C1438" s="15" t="str">
        <f ca="1">VLOOKUP(B1438,'ALL DATABASES'!$A$1:$T$2252,2,FALSE)</f>
        <v>Valentina LenarduzziFrancesco LomioSergio MoreschiniDavide TaibiDamian Andrew Tamburri</v>
      </c>
      <c r="D1438" s="15">
        <f ca="1">VLOOKUP(B1438,'ALL DATABASES'!$A$1:$T$2252,5,FALSE)</f>
        <v>2021</v>
      </c>
      <c r="E1438" s="15">
        <f ca="1">VLOOKUP(B1438,'ALL DATABASES'!$A$1:$T$2252,10,FALSE)</f>
        <v>0</v>
      </c>
      <c r="F1438" s="54" t="str">
        <f ca="1">VLOOKUP(B1438,'ALL DATABASES'!$A$1:$T$2252,14,FALSE)</f>
        <v>http://link.springer.com/chapter/10.1007/978-3-030-65854-0_4</v>
      </c>
      <c r="G1438" s="15" t="str">
        <f ca="1">VLOOKUP(B1438,'ALL DATABASES'!$A$1:$T$2252,3,FALSE)</f>
        <v>Chapter</v>
      </c>
      <c r="H1438" s="50" t="str">
        <f ca="1">VLOOKUP(B1438,'ALL DATABASES'!$A$1:$T$2252,20,FALSE)</f>
        <v>SPRINGER</v>
      </c>
    </row>
    <row r="1439" spans="1:8" ht="12.75" x14ac:dyDescent="0.2">
      <c r="A1439">
        <v>1438</v>
      </c>
      <c r="B1439" s="15" t="str">
        <f ca="1">IFERROR(__xludf.DUMMYFUNCTION("""COMPUTED_VALUE"""),"Software Quality through the Eyes of the End-User and Static Analysis Tools: A Study on Android OSS Applications")</f>
        <v>Software Quality through the Eyes of the End-User and Static Analysis Tools: A Study on Android OSS Applications</v>
      </c>
      <c r="C1439" s="15" t="str">
        <f ca="1">VLOOKUP(B1439,'ALL DATABASES'!$A$1:$T$2252,2,FALSE)</f>
        <v>Srisopha K,Alfayez R</v>
      </c>
      <c r="D1439" s="15">
        <f ca="1">VLOOKUP(B1439,'ALL DATABASES'!$A$1:$T$2252,5,FALSE)</f>
        <v>2018</v>
      </c>
      <c r="E1439" s="15">
        <f ca="1">VLOOKUP(B1439,'ALL DATABASES'!$A$1:$T$2252,10,FALSE)</f>
        <v>2018</v>
      </c>
      <c r="F1439" s="54" t="str">
        <f ca="1">VLOOKUP(B1439,'ALL DATABASES'!$A$1:$T$2252,14,FALSE)</f>
        <v>https://doi.org/10.1145/3194095.3194096;http://dx.doi.org/10.1145/3194095.3194096</v>
      </c>
      <c r="G1439" s="15" t="str">
        <f ca="1">VLOOKUP(B1439,'ALL DATABASES'!$A$1:$T$2252,3,FALSE)</f>
        <v>Conference Paper</v>
      </c>
      <c r="H1439" s="50" t="str">
        <f ca="1">VLOOKUP(B1439,'ALL DATABASES'!$A$1:$T$2252,20,FALSE)</f>
        <v>ACM</v>
      </c>
    </row>
    <row r="1440" spans="1:8" ht="12.75" x14ac:dyDescent="0.2">
      <c r="A1440">
        <v>1439</v>
      </c>
      <c r="B1440" s="15" t="str">
        <f ca="1">IFERROR(__xludf.DUMMYFUNCTION("""COMPUTED_VALUE"""),"Software Quality: How Much Does It Matter?")</f>
        <v>Software Quality: How Much Does It Matter?</v>
      </c>
      <c r="C1440" s="15" t="str">
        <f ca="1">VLOOKUP(B1440,'ALL DATABASES'!$A$1:$T$2252,2,FALSE)</f>
        <v>Kokol P</v>
      </c>
      <c r="D1440" s="15">
        <f ca="1">VLOOKUP(B1440,'ALL DATABASES'!$A$1:$T$2252,5,FALSE)</f>
        <v>2022</v>
      </c>
      <c r="E1440" s="15">
        <f ca="1">VLOOKUP(B1440,'ALL DATABASES'!$A$1:$T$2252,10,FALSE)</f>
        <v>2022</v>
      </c>
      <c r="F1440" s="54" t="str">
        <f ca="1">VLOOKUP(B1440,'ALL DATABASES'!$A$1:$T$2252,14,FALSE)</f>
        <v>https://www.scopus.com/inward/record.uri?eid=2-s2.0-85137414123&amp;doi=10.3390%2felectronics11162485&amp;partnerID=40&amp;md5=4d514e3ac1a30021822ef2d6f0b908b2;http://dx.doi.org/10.3390/electronics11162485</v>
      </c>
      <c r="G1440" s="15" t="str">
        <f ca="1">VLOOKUP(B1440,'ALL DATABASES'!$A$1:$T$2252,3,FALSE)</f>
        <v>Journal Article</v>
      </c>
      <c r="H1440" s="50" t="str">
        <f ca="1">VLOOKUP(B1440,'ALL DATABASES'!$A$1:$T$2252,20,FALSE)</f>
        <v>SCOPUS</v>
      </c>
    </row>
    <row r="1441" spans="1:8" ht="12.75" x14ac:dyDescent="0.2">
      <c r="A1441">
        <v>1440</v>
      </c>
      <c r="B1441" s="15" t="str">
        <f ca="1">IFERROR(__xludf.DUMMYFUNCTION("""COMPUTED_VALUE"""),"Software Quality: The Next Big Thing in Software Engineering and Quality")</f>
        <v>Software Quality: The Next Big Thing in Software Engineering and Quality</v>
      </c>
      <c r="C1441" s="15" t="str">
        <f ca="1">VLOOKUP(B1441,'ALL DATABASES'!$A$1:$T$2252,2,FALSE)</f>
        <v>Prof. Dr. Daniel MendezProf. Manuel WimmerDietmar WinklerProf. Dr. Stefan BifflJohannes Bergsmann</v>
      </c>
      <c r="D1441" s="15">
        <f ca="1">VLOOKUP(B1441,'ALL DATABASES'!$A$1:$T$2252,5,FALSE)</f>
        <v>2022</v>
      </c>
      <c r="E1441" s="15">
        <f ca="1">VLOOKUP(B1441,'ALL DATABASES'!$A$1:$T$2252,10,FALSE)</f>
        <v>0</v>
      </c>
      <c r="F1441" s="54" t="str">
        <f ca="1">VLOOKUP(B1441,'ALL DATABASES'!$A$1:$T$2252,14,FALSE)</f>
        <v>http://link.springer.com/book/10.1007/978-3-031-04115-0</v>
      </c>
      <c r="G1441" s="15" t="str">
        <f ca="1">VLOOKUP(B1441,'ALL DATABASES'!$A$1:$T$2252,3,FALSE)</f>
        <v>Book</v>
      </c>
      <c r="H1441" s="50" t="str">
        <f ca="1">VLOOKUP(B1441,'ALL DATABASES'!$A$1:$T$2252,20,FALSE)</f>
        <v>SPRINGER</v>
      </c>
    </row>
    <row r="1442" spans="1:8" ht="12.75" x14ac:dyDescent="0.2">
      <c r="A1442">
        <v>1441</v>
      </c>
      <c r="B1442" s="15" t="str">
        <f ca="1">IFERROR(__xludf.DUMMYFUNCTION("""COMPUTED_VALUE"""),"Software smell detection techniques: A systematic literature review")</f>
        <v>Software smell detection techniques: A systematic literature review</v>
      </c>
      <c r="C1442" s="15" t="str">
        <f ca="1">VLOOKUP(B1442,'ALL DATABASES'!$A$1:$T$2252,2,FALSE)</f>
        <v>AbuHassan A,Alshayeb M,Ghouti L</v>
      </c>
      <c r="D1442" s="15">
        <f ca="1">VLOOKUP(B1442,'ALL DATABASES'!$A$1:$T$2252,5,FALSE)</f>
        <v>2021</v>
      </c>
      <c r="E1442" s="15">
        <f ca="1">VLOOKUP(B1442,'ALL DATABASES'!$A$1:$T$2252,10,FALSE)</f>
        <v>2021</v>
      </c>
      <c r="F1442" s="54" t="str">
        <f ca="1">VLOOKUP(B1442,'ALL DATABASES'!$A$1:$T$2252,14,FALSE)</f>
        <v>https://www.scopus.com/inward/record.uri?eid=2-s2.0-85092460016&amp;doi=10.1002%2fsmr.2320&amp;partnerID=40&amp;md5=186368c65dae9987e861d3e50da2566f;http://dx.doi.org/10.1002/smr.2320</v>
      </c>
      <c r="G1442" s="15" t="str">
        <f ca="1">VLOOKUP(B1442,'ALL DATABASES'!$A$1:$T$2252,3,FALSE)</f>
        <v>Journal Article</v>
      </c>
      <c r="H1442" s="50" t="str">
        <f ca="1">VLOOKUP(B1442,'ALL DATABASES'!$A$1:$T$2252,20,FALSE)</f>
        <v>SCOPUS</v>
      </c>
    </row>
    <row r="1443" spans="1:8" ht="12.75" x14ac:dyDescent="0.2">
      <c r="A1443">
        <v>1442</v>
      </c>
      <c r="B1443" s="15" t="str">
        <f ca="1">IFERROR(__xludf.DUMMYFUNCTION("""COMPUTED_VALUE"""),"Software Sustainability")</f>
        <v>Software Sustainability</v>
      </c>
      <c r="C1443" s="15" t="str">
        <f ca="1">VLOOKUP(B1443,'ALL DATABASES'!$A$1:$T$2252,2,FALSE)</f>
        <v>Prof. Coral CaleroDr. MÂª Ãngeles MoragaProf. Mario Piattini</v>
      </c>
      <c r="D1443" s="15">
        <f ca="1">VLOOKUP(B1443,'ALL DATABASES'!$A$1:$T$2252,5,FALSE)</f>
        <v>2021</v>
      </c>
      <c r="E1443" s="15">
        <f ca="1">VLOOKUP(B1443,'ALL DATABASES'!$A$1:$T$2252,10,FALSE)</f>
        <v>0</v>
      </c>
      <c r="F1443" s="54" t="str">
        <f ca="1">VLOOKUP(B1443,'ALL DATABASES'!$A$1:$T$2252,14,FALSE)</f>
        <v>http://link.springer.com/book/10.1007/978-3-030-69970-3</v>
      </c>
      <c r="G1443" s="15" t="str">
        <f ca="1">VLOOKUP(B1443,'ALL DATABASES'!$A$1:$T$2252,3,FALSE)</f>
        <v>Book</v>
      </c>
      <c r="H1443" s="50" t="str">
        <f ca="1">VLOOKUP(B1443,'ALL DATABASES'!$A$1:$T$2252,20,FALSE)</f>
        <v>SPRINGER</v>
      </c>
    </row>
    <row r="1444" spans="1:8" ht="12.75" x14ac:dyDescent="0.2">
      <c r="A1444">
        <v>1443</v>
      </c>
      <c r="B1444" s="15" t="str">
        <f ca="1">IFERROR(__xludf.DUMMYFUNCTION("""COMPUTED_VALUE"""),"Software system comparison with semantic source code embeddings")</f>
        <v>Software system comparison with semantic source code embeddings</v>
      </c>
      <c r="C1444" s="15" t="str">
        <f ca="1">VLOOKUP(B1444,'ALL DATABASES'!$A$1:$T$2252,2,FALSE)</f>
        <v>SaÅ¡o KarakatiÄAleksej MiloÅ¡eviÄTjaÅ¡a HeriÄko</v>
      </c>
      <c r="D1444" s="15">
        <f ca="1">VLOOKUP(B1444,'ALL DATABASES'!$A$1:$T$2252,5,FALSE)</f>
        <v>2022</v>
      </c>
      <c r="E1444" s="15">
        <f ca="1">VLOOKUP(B1444,'ALL DATABASES'!$A$1:$T$2252,10,FALSE)</f>
        <v>0</v>
      </c>
      <c r="F1444" s="54" t="str">
        <f ca="1">VLOOKUP(B1444,'ALL DATABASES'!$A$1:$T$2252,14,FALSE)</f>
        <v>http://link.springer.com/article/10.1007/s10664-022-10122-9</v>
      </c>
      <c r="G1444" s="15" t="str">
        <f ca="1">VLOOKUP(B1444,'ALL DATABASES'!$A$1:$T$2252,3,FALSE)</f>
        <v>Article</v>
      </c>
      <c r="H1444" s="50" t="str">
        <f ca="1">VLOOKUP(B1444,'ALL DATABASES'!$A$1:$T$2252,20,FALSE)</f>
        <v>SPRINGER</v>
      </c>
    </row>
    <row r="1445" spans="1:8" ht="12.75" x14ac:dyDescent="0.2">
      <c r="A1445">
        <v>1444</v>
      </c>
      <c r="B1445" s="15" t="str">
        <f ca="1">IFERROR(__xludf.DUMMYFUNCTION("""COMPUTED_VALUE"""),"Software Systems Security Vulnerabilities Management by Exploring the Capabilities of Language Models Using NLP")</f>
        <v>Software Systems Security Vulnerabilities Management by Exploring the Capabilities of Language Models Using NLP</v>
      </c>
      <c r="C1445" s="15" t="str">
        <f ca="1">VLOOKUP(B1445,'ALL DATABASES'!$A$1:$T$2252,2,FALSE)</f>
        <v>Althar RR,Samanta D,Kaur M,Alnuaim AA,Aljaffan N,Aman Ullah M</v>
      </c>
      <c r="D1445" s="15">
        <f ca="1">VLOOKUP(B1445,'ALL DATABASES'!$A$1:$T$2252,5,FALSE)</f>
        <v>2021</v>
      </c>
      <c r="E1445" s="15">
        <f ca="1">VLOOKUP(B1445,'ALL DATABASES'!$A$1:$T$2252,10,FALSE)</f>
        <v>2021</v>
      </c>
      <c r="F1445" s="54" t="str">
        <f ca="1">VLOOKUP(B1445,'ALL DATABASES'!$A$1:$T$2252,14,FALSE)</f>
        <v>https://www.scopus.com/inward/record.uri?eid=2-s2.0-85122898212&amp;doi=10.1155%2f2021%2f8522839&amp;partnerID=40&amp;md5=f0bb3c564264a93cba7fbfbf11b611d0;http://dx.doi.org/10.1155/2021/8522839</v>
      </c>
      <c r="G1445" s="15" t="str">
        <f ca="1">VLOOKUP(B1445,'ALL DATABASES'!$A$1:$T$2252,3,FALSE)</f>
        <v>Journal Article</v>
      </c>
      <c r="H1445" s="50" t="str">
        <f ca="1">VLOOKUP(B1445,'ALL DATABASES'!$A$1:$T$2252,20,FALSE)</f>
        <v>SCOPUS</v>
      </c>
    </row>
    <row r="1446" spans="1:8" ht="12.75" x14ac:dyDescent="0.2">
      <c r="A1446">
        <v>1445</v>
      </c>
      <c r="B1446" s="15" t="str">
        <f ca="1">IFERROR(__xludf.DUMMYFUNCTION("""COMPUTED_VALUE"""),"Software Technologies")</f>
        <v>Software Technologies</v>
      </c>
      <c r="C1446" s="15" t="str">
        <f ca="1">VLOOKUP(B1446,'ALL DATABASES'!$A$1:$T$2252,2,FALSE)</f>
        <v>Prof. Dr. Hans-Georg FillDr. Marten van SinderenProf. Leszek A. Maciaszek</v>
      </c>
      <c r="D1446" s="15">
        <f ca="1">VLOOKUP(B1446,'ALL DATABASES'!$A$1:$T$2252,5,FALSE)</f>
        <v>2022</v>
      </c>
      <c r="E1446" s="15">
        <f ca="1">VLOOKUP(B1446,'ALL DATABASES'!$A$1:$T$2252,10,FALSE)</f>
        <v>0</v>
      </c>
      <c r="F1446" s="54" t="str">
        <f ca="1">VLOOKUP(B1446,'ALL DATABASES'!$A$1:$T$2252,14,FALSE)</f>
        <v>http://link.springer.com/book/10.1007/978-3-031-11513-4</v>
      </c>
      <c r="G1446" s="15" t="str">
        <f ca="1">VLOOKUP(B1446,'ALL DATABASES'!$A$1:$T$2252,3,FALSE)</f>
        <v>Book</v>
      </c>
      <c r="H1446" s="50" t="str">
        <f ca="1">VLOOKUP(B1446,'ALL DATABASES'!$A$1:$T$2252,20,FALSE)</f>
        <v>SPRINGER</v>
      </c>
    </row>
    <row r="1447" spans="1:8" ht="12.75" x14ac:dyDescent="0.2">
      <c r="A1447">
        <v>1446</v>
      </c>
      <c r="B1447" s="15" t="str">
        <f ca="1">IFERROR(__xludf.DUMMYFUNCTION("""COMPUTED_VALUE"""),"Software Testing: A Changing Career")</f>
        <v>Software Testing: A Changing Career</v>
      </c>
      <c r="C1447" s="15" t="str">
        <f ca="1">VLOOKUP(B1447,'ALL DATABASES'!$A$1:$T$2252,2,FALSE)</f>
        <v>Sean CunninghamJemil GamboAidan LawlessDeclan MooreMurat YilmazPaul M. ClarkeRory V. Oâ€™Connor</v>
      </c>
      <c r="D1447" s="15">
        <f ca="1">VLOOKUP(B1447,'ALL DATABASES'!$A$1:$T$2252,5,FALSE)</f>
        <v>2019</v>
      </c>
      <c r="E1447" s="15">
        <f ca="1">VLOOKUP(B1447,'ALL DATABASES'!$A$1:$T$2252,10,FALSE)</f>
        <v>0</v>
      </c>
      <c r="F1447" s="54" t="str">
        <f ca="1">VLOOKUP(B1447,'ALL DATABASES'!$A$1:$T$2252,14,FALSE)</f>
        <v>http://link.springer.com/chapter/10.1007/978-3-030-28005-5_57</v>
      </c>
      <c r="G1447" s="15" t="str">
        <f ca="1">VLOOKUP(B1447,'ALL DATABASES'!$A$1:$T$2252,3,FALSE)</f>
        <v>Chapter</v>
      </c>
      <c r="H1447" s="50" t="str">
        <f ca="1">VLOOKUP(B1447,'ALL DATABASES'!$A$1:$T$2252,20,FALSE)</f>
        <v>SPRINGER</v>
      </c>
    </row>
    <row r="1448" spans="1:8" ht="12.75" x14ac:dyDescent="0.2">
      <c r="A1448">
        <v>1447</v>
      </c>
      <c r="B1448" s="15" t="str">
        <f ca="1">IFERROR(__xludf.DUMMYFUNCTION("""COMPUTED_VALUE"""),"Software traceability in the automotive domain: Challenges and solutions")</f>
        <v>Software traceability in the automotive domain: Challenges and solutions</v>
      </c>
      <c r="C1448" s="15" t="str">
        <f ca="1">VLOOKUP(B1448,'ALL DATABASES'!$A$1:$T$2252,2,FALSE)</f>
        <v>Maro S,Steghöfer JP,Staron M</v>
      </c>
      <c r="D1448" s="15">
        <f ca="1">VLOOKUP(B1448,'ALL DATABASES'!$A$1:$T$2252,5,FALSE)</f>
        <v>2018</v>
      </c>
      <c r="E1448" s="15">
        <f ca="1">VLOOKUP(B1448,'ALL DATABASES'!$A$1:$T$2252,10,FALSE)</f>
        <v>2018</v>
      </c>
      <c r="F1448" s="54" t="str">
        <f ca="1">VLOOKUP(B1448,'ALL DATABASES'!$A$1:$T$2252,14,FALSE)</f>
        <v>https://www.scopus.com/inward/record.uri?eid=2-s2.0-85045187448&amp;doi=10.1016%2fj.jss.2018.03.060&amp;partnerID=40&amp;md5=453e2dd25ab1b7a993df68baef20c80b;http://dx.doi.org/10.1016/j.jss.2018.03.060</v>
      </c>
      <c r="G1448" s="15" t="str">
        <f ca="1">VLOOKUP(B1448,'ALL DATABASES'!$A$1:$T$2252,3,FALSE)</f>
        <v>Journal Article</v>
      </c>
      <c r="H1448" s="50" t="str">
        <f ca="1">VLOOKUP(B1448,'ALL DATABASES'!$A$1:$T$2252,20,FALSE)</f>
        <v>SCOPUS</v>
      </c>
    </row>
    <row r="1449" spans="1:8" ht="12.75" x14ac:dyDescent="0.2">
      <c r="A1449">
        <v>1448</v>
      </c>
      <c r="B1449" s="15" t="str">
        <f ca="1">IFERROR(__xludf.DUMMYFUNCTION("""COMPUTED_VALUE"""),"Software variability in dynamic environments")</f>
        <v>Software variability in dynamic environments</v>
      </c>
      <c r="C1449" s="15" t="str">
        <f ca="1">VLOOKUP(B1449,'ALL DATABASES'!$A$1:$T$2252,2,FALSE)</f>
        <v>Capilla R,Fuentes L,Lochau M</v>
      </c>
      <c r="D1449" s="15">
        <f ca="1">VLOOKUP(B1449,'ALL DATABASES'!$A$1:$T$2252,5,FALSE)</f>
        <v>2019</v>
      </c>
      <c r="E1449" s="15">
        <f ca="1">VLOOKUP(B1449,'ALL DATABASES'!$A$1:$T$2252,10,FALSE)</f>
        <v>2019</v>
      </c>
      <c r="F1449" s="54" t="str">
        <f ca="1">VLOOKUP(B1449,'ALL DATABASES'!$A$1:$T$2252,14,FALSE)</f>
        <v>https://www.sciencedirect.com/science/article/pii/S0164121219301323;http://dx.doi.org/10.1016/j.jss.2019.06.003</v>
      </c>
      <c r="G1449" s="15" t="str">
        <f ca="1">VLOOKUP(B1449,'ALL DATABASES'!$A$1:$T$2252,3,FALSE)</f>
        <v>Journal Article</v>
      </c>
      <c r="H1449" s="50" t="str">
        <f ca="1">VLOOKUP(B1449,'ALL DATABASES'!$A$1:$T$2252,20,FALSE)</f>
        <v>SCIENCEDIRECT</v>
      </c>
    </row>
    <row r="1450" spans="1:8" ht="12.75" x14ac:dyDescent="0.2">
      <c r="A1450">
        <v>1449</v>
      </c>
      <c r="B1450" s="15" t="str">
        <f ca="1">IFERROR(__xludf.DUMMYFUNCTION("""COMPUTED_VALUE"""),"Software-Engineering Design Patterns for Machine Learning Applications")</f>
        <v>Software-Engineering Design Patterns for Machine Learning Applications</v>
      </c>
      <c r="C1450" s="15" t="str">
        <f ca="1">VLOOKUP(B1450,'ALL DATABASES'!$A$1:$T$2252,2,FALSE)</f>
        <v>Washizaki H,Khomh F,Gueheneuc YG,Takeuchi H,Natori N,Doi T,Okuda S</v>
      </c>
      <c r="D1450" s="15">
        <f ca="1">VLOOKUP(B1450,'ALL DATABASES'!$A$1:$T$2252,5,FALSE)</f>
        <v>2022</v>
      </c>
      <c r="E1450" s="15">
        <f ca="1">VLOOKUP(B1450,'ALL DATABASES'!$A$1:$T$2252,10,FALSE)</f>
        <v>2022</v>
      </c>
      <c r="F1450" s="54" t="str">
        <f ca="1">VLOOKUP(B1450,'ALL DATABASES'!$A$1:$T$2252,14,FALSE)</f>
        <v>https://www.scopus.com/inward/record.uri?eid=2-s2.0-85127556940&amp;doi=10.1109%2fMC.2021.3137227&amp;partnerID=40&amp;md5=3eb34e179a76702bdadd740d865d7ff6;http://dx.doi.org/10.1109/MC.2021.3137227</v>
      </c>
      <c r="G1450" s="15" t="str">
        <f ca="1">VLOOKUP(B1450,'ALL DATABASES'!$A$1:$T$2252,3,FALSE)</f>
        <v>Journal Article</v>
      </c>
      <c r="H1450" s="50" t="str">
        <f ca="1">VLOOKUP(B1450,'ALL DATABASES'!$A$1:$T$2252,20,FALSE)</f>
        <v>SCOPUS</v>
      </c>
    </row>
    <row r="1451" spans="1:8" ht="12.75" x14ac:dyDescent="0.2">
      <c r="A1451">
        <v>1450</v>
      </c>
      <c r="B1451" s="15" t="str">
        <f ca="1">IFERROR(__xludf.DUMMYFUNCTION("""COMPUTED_VALUE"""),"SOL: Safe on-node learning in cloud platforms")</f>
        <v>SOL: Safe on-node learning in cloud platforms</v>
      </c>
      <c r="C1451" s="15" t="str">
        <f ca="1">VLOOKUP(B1451,'ALL DATABASES'!$A$1:$T$2252,2,FALSE)</f>
        <v>Wang Y,Crankshaw D,Yadwadkar NJ,Berger D,Kozyrakis C,Bianchini R</v>
      </c>
      <c r="D1451" s="15">
        <f ca="1">VLOOKUP(B1451,'ALL DATABASES'!$A$1:$T$2252,5,FALSE)</f>
        <v>2022</v>
      </c>
      <c r="E1451" s="15">
        <f ca="1">VLOOKUP(B1451,'ALL DATABASES'!$A$1:$T$2252,10,FALSE)</f>
        <v>2022</v>
      </c>
      <c r="F1451" s="54" t="str">
        <f ca="1">VLOOKUP(B1451,'ALL DATABASES'!$A$1:$T$2252,14,FALSE)</f>
        <v>https://www.scopus.com/inward/record.uri?eid=2-s2.0-85126392549&amp;doi=10.1145%2f3503222.3507704&amp;partnerID=40&amp;md5=c53d349ec86b82dc3288d33fcf766aac;http://dx.doi.org/10.1145/3503222.3507704</v>
      </c>
      <c r="G1451" s="15" t="str">
        <f ca="1">VLOOKUP(B1451,'ALL DATABASES'!$A$1:$T$2252,3,FALSE)</f>
        <v>Conference Paper</v>
      </c>
      <c r="H1451" s="50" t="str">
        <f ca="1">VLOOKUP(B1451,'ALL DATABASES'!$A$1:$T$2252,20,FALSE)</f>
        <v>SCOPUS</v>
      </c>
    </row>
    <row r="1452" spans="1:8" ht="12.75" x14ac:dyDescent="0.2">
      <c r="A1452">
        <v>1451</v>
      </c>
      <c r="B1452" s="15" t="str">
        <f ca="1">IFERROR(__xludf.DUMMYFUNCTION("""COMPUTED_VALUE"""),"Solution Patterns for Machine Learning")</f>
        <v>Solution Patterns for Machine Learning</v>
      </c>
      <c r="C1452" s="15" t="str">
        <f ca="1">VLOOKUP(B1452,'ALL DATABASES'!$A$1:$T$2252,2,FALSE)</f>
        <v>Nalchigar S,Yu E,Obeidi Y,Carbajales S,Green J,Chan A</v>
      </c>
      <c r="D1452" s="15">
        <f ca="1">VLOOKUP(B1452,'ALL DATABASES'!$A$1:$T$2252,5,FALSE)</f>
        <v>2019</v>
      </c>
      <c r="E1452" s="15">
        <f ca="1">VLOOKUP(B1452,'ALL DATABASES'!$A$1:$T$2252,10,FALSE)</f>
        <v>2019</v>
      </c>
      <c r="F1452" s="54" t="str">
        <f ca="1">VLOOKUP(B1452,'ALL DATABASES'!$A$1:$T$2252,14,FALSE)</f>
        <v>https://www.scopus.com/inward/record.uri?eid=2-s2.0-85067357790&amp;doi=10.1007%2f978-3-030-21290-2_39&amp;partnerID=40&amp;md5=84b52947fbd4ff3d7df1a1600fdbd3ba;http://dx.doi.org/10.1007/978-3-030-21290-2_39</v>
      </c>
      <c r="G1452" s="15" t="str">
        <f ca="1">VLOOKUP(B1452,'ALL DATABASES'!$A$1:$T$2252,3,FALSE)</f>
        <v>Journal Article</v>
      </c>
      <c r="H1452" s="50" t="str">
        <f ca="1">VLOOKUP(B1452,'ALL DATABASES'!$A$1:$T$2252,20,FALSE)</f>
        <v>SCOPUS</v>
      </c>
    </row>
    <row r="1453" spans="1:8" ht="12.75" x14ac:dyDescent="0.2">
      <c r="A1453">
        <v>1452</v>
      </c>
      <c r="B1453" s="15" t="str">
        <f ca="1">IFERROR(__xludf.DUMMYFUNCTION("""COMPUTED_VALUE"""),"Solving Separation-of-Concerns Problems in Collaborative Design of Human-AI Systems through Leaky Abstractions")</f>
        <v>Solving Separation-of-Concerns Problems in Collaborative Design of Human-AI Systems through Leaky Abstractions</v>
      </c>
      <c r="C1453" s="15" t="str">
        <f ca="1">VLOOKUP(B1453,'ALL DATABASES'!$A$1:$T$2252,2,FALSE)</f>
        <v>Subramonyam H,Im J,Seifert C,Adar E</v>
      </c>
      <c r="D1453" s="15">
        <f ca="1">VLOOKUP(B1453,'ALL DATABASES'!$A$1:$T$2252,5,FALSE)</f>
        <v>2022</v>
      </c>
      <c r="E1453" s="15">
        <f ca="1">VLOOKUP(B1453,'ALL DATABASES'!$A$1:$T$2252,10,FALSE)</f>
        <v>2022</v>
      </c>
      <c r="F1453" s="54" t="str">
        <f ca="1">VLOOKUP(B1453,'ALL DATABASES'!$A$1:$T$2252,14,FALSE)</f>
        <v>https://www.scopus.com/inward/record.uri?eid=2-s2.0-85130578634&amp;doi=10.1145%2f3491102.3517537&amp;partnerID=40&amp;md5=1b63920694e882a66ec29dccf3453ef9;http://dx.doi.org/10.1145/3491102.3517537</v>
      </c>
      <c r="G1453" s="15" t="str">
        <f ca="1">VLOOKUP(B1453,'ALL DATABASES'!$A$1:$T$2252,3,FALSE)</f>
        <v>Conference Paper</v>
      </c>
      <c r="H1453" s="50" t="str">
        <f ca="1">VLOOKUP(B1453,'ALL DATABASES'!$A$1:$T$2252,20,FALSE)</f>
        <v>SCOPUS</v>
      </c>
    </row>
    <row r="1454" spans="1:8" ht="12.75" x14ac:dyDescent="0.2">
      <c r="A1454">
        <v>1453</v>
      </c>
      <c r="B1454" s="15" t="str">
        <f ca="1">IFERROR(__xludf.DUMMYFUNCTION("""COMPUTED_VALUE"""),"Some SonarQube issues have a significant but small effect on faults and changes. A large-scale empirical study")</f>
        <v>Some SonarQube issues have a significant but small effect on faults and changes. A large-scale empirical study</v>
      </c>
      <c r="C1454" s="15" t="str">
        <f ca="1">VLOOKUP(B1454,'ALL DATABASES'!$A$1:$T$2252,2,FALSE)</f>
        <v>Lenarduzzi V,Saarimäki N,Taibi D</v>
      </c>
      <c r="D1454" s="15">
        <f ca="1">VLOOKUP(B1454,'ALL DATABASES'!$A$1:$T$2252,5,FALSE)</f>
        <v>2020</v>
      </c>
      <c r="E1454" s="15">
        <f ca="1">VLOOKUP(B1454,'ALL DATABASES'!$A$1:$T$2252,10,FALSE)</f>
        <v>2020</v>
      </c>
      <c r="F1454" s="54" t="str">
        <f ca="1">VLOOKUP(B1454,'ALL DATABASES'!$A$1:$T$2252,14,FALSE)</f>
        <v>https://www.sciencedirect.com/science/article/pii/S0164121220301734;http://dx.doi.org/10.1016/j.jss.2020.110750</v>
      </c>
      <c r="G1454" s="15" t="str">
        <f ca="1">VLOOKUP(B1454,'ALL DATABASES'!$A$1:$T$2252,3,FALSE)</f>
        <v>Journal Article</v>
      </c>
      <c r="H1454" s="50" t="str">
        <f ca="1">VLOOKUP(B1454,'ALL DATABASES'!$A$1:$T$2252,20,FALSE)</f>
        <v>SCIENCEDIRECT</v>
      </c>
    </row>
    <row r="1455" spans="1:8" ht="12.75" x14ac:dyDescent="0.2">
      <c r="A1455">
        <v>1454</v>
      </c>
      <c r="B1455" s="15" t="str">
        <f ca="1">IFERROR(__xludf.DUMMYFUNCTION("""COMPUTED_VALUE"""),"Sometimes, Cloning Is a Sound Design Decision!")</f>
        <v>Sometimes, Cloning Is a Sound Design Decision!</v>
      </c>
      <c r="C1455" s="15" t="str">
        <f ca="1">VLOOKUP(B1455,'ALL DATABASES'!$A$1:$T$2252,2,FALSE)</f>
        <v>Michael W. GodfreyCory J. Kapser</v>
      </c>
      <c r="D1455" s="15">
        <f ca="1">VLOOKUP(B1455,'ALL DATABASES'!$A$1:$T$2252,5,FALSE)</f>
        <v>2021</v>
      </c>
      <c r="E1455" s="15">
        <f ca="1">VLOOKUP(B1455,'ALL DATABASES'!$A$1:$T$2252,10,FALSE)</f>
        <v>0</v>
      </c>
      <c r="F1455" s="54" t="str">
        <f ca="1">VLOOKUP(B1455,'ALL DATABASES'!$A$1:$T$2252,14,FALSE)</f>
        <v>http://link.springer.com/chapter/10.1007/978-981-16-1927-4_15</v>
      </c>
      <c r="G1455" s="15" t="str">
        <f ca="1">VLOOKUP(B1455,'ALL DATABASES'!$A$1:$T$2252,3,FALSE)</f>
        <v>Chapter</v>
      </c>
      <c r="H1455" s="50" t="str">
        <f ca="1">VLOOKUP(B1455,'ALL DATABASES'!$A$1:$T$2252,20,FALSE)</f>
        <v>SPRINGER</v>
      </c>
    </row>
    <row r="1456" spans="1:8" ht="12.75" x14ac:dyDescent="0.2">
      <c r="A1456">
        <v>1455</v>
      </c>
      <c r="B1456" s="15" t="str">
        <f ca="1">IFERROR(__xludf.DUMMYFUNCTION("""COMPUTED_VALUE"""),"Sonarlizer Xplorer: A Tool to Mine Github Projects and Identify Technical Debt Items Using SonarQube")</f>
        <v>Sonarlizer Xplorer: A Tool to Mine Github Projects and Identify Technical Debt Items Using SonarQube</v>
      </c>
      <c r="C1456" s="15" t="str">
        <f ca="1">VLOOKUP(B1456,'ALL DATABASES'!$A$1:$T$2252,2,FALSE)</f>
        <v>Pina D,Goldman A,Seaman C</v>
      </c>
      <c r="D1456" s="15">
        <f ca="1">VLOOKUP(B1456,'ALL DATABASES'!$A$1:$T$2252,5,FALSE)</f>
        <v>2022</v>
      </c>
      <c r="E1456" s="15">
        <f ca="1">VLOOKUP(B1456,'ALL DATABASES'!$A$1:$T$2252,10,FALSE)</f>
        <v>2022</v>
      </c>
      <c r="F1456" s="54" t="str">
        <f ca="1">VLOOKUP(B1456,'ALL DATABASES'!$A$1:$T$2252,14,FALSE)</f>
        <v>https://doi.org/10.1145/3524843.3528098;http://dx.doi.org/10.1145/3524843.3528098</v>
      </c>
      <c r="G1456" s="15" t="str">
        <f ca="1">VLOOKUP(B1456,'ALL DATABASES'!$A$1:$T$2252,3,FALSE)</f>
        <v>Conference Paper</v>
      </c>
      <c r="H1456" s="50" t="str">
        <f ca="1">VLOOKUP(B1456,'ALL DATABASES'!$A$1:$T$2252,20,FALSE)</f>
        <v>ACM</v>
      </c>
    </row>
    <row r="1457" spans="1:8" ht="12.75" x14ac:dyDescent="0.2">
      <c r="A1457">
        <v>1456</v>
      </c>
      <c r="B1457" s="15" t="str">
        <f ca="1">IFERROR(__xludf.DUMMYFUNCTION("""COMPUTED_VALUE"""),"SPLASH Companion 2022: Companion Proceedings of the 2022 ACM SIGPLAN International Conference on Systems, Programming, Languages, and Applications: Software for Humanity")</f>
        <v>SPLASH Companion 2022: Companion Proceedings of the 2022 ACM SIGPLAN International Conference on Systems, Programming, Languages, and Applications: Software for Humanity</v>
      </c>
      <c r="C1457" s="15">
        <f ca="1">VLOOKUP(B1457,'ALL DATABASES'!$A$1:$T$2252,2,FALSE)</f>
        <v>0</v>
      </c>
      <c r="D1457" s="15">
        <f ca="1">VLOOKUP(B1457,'ALL DATABASES'!$A$1:$T$2252,5,FALSE)</f>
        <v>2022</v>
      </c>
      <c r="E1457" s="15">
        <f ca="1">VLOOKUP(B1457,'ALL DATABASES'!$A$1:$T$2252,10,FALSE)</f>
        <v>2022</v>
      </c>
      <c r="F1457" s="15">
        <f ca="1">VLOOKUP(B1457,'ALL DATABASES'!$A$1:$T$2252,14,FALSE)</f>
        <v>0</v>
      </c>
      <c r="G1457" s="15" t="str">
        <f ca="1">VLOOKUP(B1457,'ALL DATABASES'!$A$1:$T$2252,3,FALSE)</f>
        <v>Book</v>
      </c>
      <c r="H1457" s="50" t="str">
        <f ca="1">VLOOKUP(B1457,'ALL DATABASES'!$A$1:$T$2252,20,FALSE)</f>
        <v>ACM</v>
      </c>
    </row>
    <row r="1458" spans="1:8" ht="12.75" x14ac:dyDescent="0.2">
      <c r="A1458">
        <v>1457</v>
      </c>
      <c r="B1458" s="15" t="str">
        <f ca="1">IFERROR(__xludf.DUMMYFUNCTION("""COMPUTED_VALUE"""),"SpongeBugs: Automatically generating fix suggestions in response to static code analysis warnings")</f>
        <v>SpongeBugs: Automatically generating fix suggestions in response to static code analysis warnings</v>
      </c>
      <c r="C1458" s="15" t="str">
        <f ca="1">VLOOKUP(B1458,'ALL DATABASES'!$A$1:$T$2252,2,FALSE)</f>
        <v>Marcilio D,Furia CA,Bonifácio R,Pinto G</v>
      </c>
      <c r="D1458" s="15">
        <f ca="1">VLOOKUP(B1458,'ALL DATABASES'!$A$1:$T$2252,5,FALSE)</f>
        <v>2020</v>
      </c>
      <c r="E1458" s="15">
        <f ca="1">VLOOKUP(B1458,'ALL DATABASES'!$A$1:$T$2252,10,FALSE)</f>
        <v>2020</v>
      </c>
      <c r="F1458" s="54" t="str">
        <f ca="1">VLOOKUP(B1458,'ALL DATABASES'!$A$1:$T$2252,14,FALSE)</f>
        <v>https://www.sciencedirect.com/science/article/pii/S016412122030128X;http://dx.doi.org/10.1016/j.jss.2020.110671</v>
      </c>
      <c r="G1458" s="15" t="str">
        <f ca="1">VLOOKUP(B1458,'ALL DATABASES'!$A$1:$T$2252,3,FALSE)</f>
        <v>Journal Article</v>
      </c>
      <c r="H1458" s="50" t="str">
        <f ca="1">VLOOKUP(B1458,'ALL DATABASES'!$A$1:$T$2252,20,FALSE)</f>
        <v>SCIENCEDIRECT</v>
      </c>
    </row>
    <row r="1459" spans="1:8" ht="12.75" x14ac:dyDescent="0.2">
      <c r="A1459">
        <v>1458</v>
      </c>
      <c r="B1459" s="15" t="str">
        <f ca="1">IFERROR(__xludf.DUMMYFUNCTION("""COMPUTED_VALUE"""),"Springer Handbook of Geographic Information")</f>
        <v>Springer Handbook of Geographic Information</v>
      </c>
      <c r="C1459" s="15" t="str">
        <f ca="1">VLOOKUP(B1459,'ALL DATABASES'!$A$1:$T$2252,2,FALSE)</f>
        <v>Wolfgang KresseDavid Danko</v>
      </c>
      <c r="D1459" s="15">
        <f ca="1">VLOOKUP(B1459,'ALL DATABASES'!$A$1:$T$2252,5,FALSE)</f>
        <v>2022</v>
      </c>
      <c r="E1459" s="15">
        <f ca="1">VLOOKUP(B1459,'ALL DATABASES'!$A$1:$T$2252,10,FALSE)</f>
        <v>0</v>
      </c>
      <c r="F1459" s="54" t="str">
        <f ca="1">VLOOKUP(B1459,'ALL DATABASES'!$A$1:$T$2252,14,FALSE)</f>
        <v>http://link.springer.com/book/10.1007/978-3-030-53125-6</v>
      </c>
      <c r="G1459" s="15" t="str">
        <f ca="1">VLOOKUP(B1459,'ALL DATABASES'!$A$1:$T$2252,3,FALSE)</f>
        <v>Book</v>
      </c>
      <c r="H1459" s="50" t="str">
        <f ca="1">VLOOKUP(B1459,'ALL DATABASES'!$A$1:$T$2252,20,FALSE)</f>
        <v>SPRINGER</v>
      </c>
    </row>
    <row r="1460" spans="1:8" ht="12.75" x14ac:dyDescent="0.2">
      <c r="A1460">
        <v>1459</v>
      </c>
      <c r="B1460" s="15" t="str">
        <f ca="1">IFERROR(__xludf.DUMMYFUNCTION("""COMPUTED_VALUE"""),"ST-TLF: Cross-version defect prediction framework based transfer learning")</f>
        <v>ST-TLF: Cross-version defect prediction framework based transfer learning</v>
      </c>
      <c r="C1460" s="15" t="str">
        <f ca="1">VLOOKUP(B1460,'ALL DATABASES'!$A$1:$T$2252,2,FALSE)</f>
        <v>Zhao Y,Wang Y,Zhang Y,Zhang D,Gong Y,Jin D</v>
      </c>
      <c r="D1460" s="15">
        <f ca="1">VLOOKUP(B1460,'ALL DATABASES'!$A$1:$T$2252,5,FALSE)</f>
        <v>2022</v>
      </c>
      <c r="E1460" s="15">
        <f ca="1">VLOOKUP(B1460,'ALL DATABASES'!$A$1:$T$2252,10,FALSE)</f>
        <v>2022</v>
      </c>
      <c r="F1460" s="54" t="str">
        <f ca="1">VLOOKUP(B1460,'ALL DATABASES'!$A$1:$T$2252,14,FALSE)</f>
        <v>https://www.sciencedirect.com/science/article/pii/S095058492200088X;http://dx.doi.org/10.1016/j.infsof.2022.106939</v>
      </c>
      <c r="G1460" s="15" t="str">
        <f ca="1">VLOOKUP(B1460,'ALL DATABASES'!$A$1:$T$2252,3,FALSE)</f>
        <v>Journal Article</v>
      </c>
      <c r="H1460" s="50" t="str">
        <f ca="1">VLOOKUP(B1460,'ALL DATABASES'!$A$1:$T$2252,20,FALSE)</f>
        <v>SCIENCEDIRECT</v>
      </c>
    </row>
    <row r="1461" spans="1:8" ht="12.75" x14ac:dyDescent="0.2">
      <c r="A1461">
        <v>1460</v>
      </c>
      <c r="B1461" s="15" t="str">
        <f ca="1">IFERROR(__xludf.DUMMYFUNCTION("""COMPUTED_VALUE"""),"Stakeholder influence on technical debt management in the public sector: An embedded case study")</f>
        <v>Stakeholder influence on technical debt management in the public sector: An embedded case study</v>
      </c>
      <c r="C1461" s="15" t="str">
        <f ca="1">VLOOKUP(B1461,'ALL DATABASES'!$A$1:$T$2252,2,FALSE)</f>
        <v>Nielsen ME,Madsen CØ</v>
      </c>
      <c r="D1461" s="15">
        <f ca="1">VLOOKUP(B1461,'ALL DATABASES'!$A$1:$T$2252,5,FALSE)</f>
        <v>2022</v>
      </c>
      <c r="E1461" s="15">
        <f ca="1">VLOOKUP(B1461,'ALL DATABASES'!$A$1:$T$2252,10,FALSE)</f>
        <v>2022</v>
      </c>
      <c r="F1461" s="54" t="str">
        <f ca="1">VLOOKUP(B1461,'ALL DATABASES'!$A$1:$T$2252,14,FALSE)</f>
        <v>https://www.sciencedirect.com/science/article/pii/S0740624X22000399;http://dx.doi.org/10.1016/j.giq.2022.101706</v>
      </c>
      <c r="G1461" s="15" t="str">
        <f ca="1">VLOOKUP(B1461,'ALL DATABASES'!$A$1:$T$2252,3,FALSE)</f>
        <v>Journal Article</v>
      </c>
      <c r="H1461" s="50" t="str">
        <f ca="1">VLOOKUP(B1461,'ALL DATABASES'!$A$1:$T$2252,20,FALSE)</f>
        <v>SCIENCEDIRECT</v>
      </c>
    </row>
    <row r="1462" spans="1:8" ht="12.75" x14ac:dyDescent="0.2">
      <c r="A1462">
        <v>1461</v>
      </c>
      <c r="B1462" s="15" t="str">
        <f ca="1">IFERROR(__xludf.DUMMYFUNCTION("""COMPUTED_VALUE"""),"Starting a Team")</f>
        <v>Starting a Team</v>
      </c>
      <c r="C1462" s="15" t="str">
        <f ca="1">VLOOKUP(B1462,'ALL DATABASES'!$A$1:$T$2252,2,FALSE)</f>
        <v>Jesse Anderson</v>
      </c>
      <c r="D1462" s="15">
        <f ca="1">VLOOKUP(B1462,'ALL DATABASES'!$A$1:$T$2252,5,FALSE)</f>
        <v>2020</v>
      </c>
      <c r="E1462" s="15">
        <f ca="1">VLOOKUP(B1462,'ALL DATABASES'!$A$1:$T$2252,10,FALSE)</f>
        <v>0</v>
      </c>
      <c r="F1462" s="54" t="str">
        <f ca="1">VLOOKUP(B1462,'ALL DATABASES'!$A$1:$T$2252,14,FALSE)</f>
        <v>http://link.springer.com/chapter/10.1007/978-1-4842-6228-3_10</v>
      </c>
      <c r="G1462" s="15" t="str">
        <f ca="1">VLOOKUP(B1462,'ALL DATABASES'!$A$1:$T$2252,3,FALSE)</f>
        <v>Chapter</v>
      </c>
      <c r="H1462" s="50" t="str">
        <f ca="1">VLOOKUP(B1462,'ALL DATABASES'!$A$1:$T$2252,20,FALSE)</f>
        <v>SPRINGER</v>
      </c>
    </row>
    <row r="1463" spans="1:8" ht="12.75" x14ac:dyDescent="0.2">
      <c r="A1463">
        <v>1462</v>
      </c>
      <c r="B1463" s="15" t="str">
        <f ca="1">IFERROR(__xludf.DUMMYFUNCTION("""COMPUTED_VALUE"""),"State of the art of cyber-physical systems security: An automatic control perspective")</f>
        <v>State of the art of cyber-physical systems security: An automatic control perspective</v>
      </c>
      <c r="C1463" s="15" t="str">
        <f ca="1">VLOOKUP(B1463,'ALL DATABASES'!$A$1:$T$2252,2,FALSE)</f>
        <v>Zacchia Lun Y,D'Innocenzo A,Smarra F,Malavolta I,Di Benedetto MD</v>
      </c>
      <c r="D1463" s="15">
        <f ca="1">VLOOKUP(B1463,'ALL DATABASES'!$A$1:$T$2252,5,FALSE)</f>
        <v>2019</v>
      </c>
      <c r="E1463" s="15">
        <f ca="1">VLOOKUP(B1463,'ALL DATABASES'!$A$1:$T$2252,10,FALSE)</f>
        <v>2019</v>
      </c>
      <c r="F1463" s="54" t="str">
        <f ca="1">VLOOKUP(B1463,'ALL DATABASES'!$A$1:$T$2252,14,FALSE)</f>
        <v>https://www.sciencedirect.com/science/article/pii/S0164121218302681;http://dx.doi.org/10.1016/j.jss.2018.12.006</v>
      </c>
      <c r="G1463" s="15" t="str">
        <f ca="1">VLOOKUP(B1463,'ALL DATABASES'!$A$1:$T$2252,3,FALSE)</f>
        <v>Journal Article</v>
      </c>
      <c r="H1463" s="50" t="str">
        <f ca="1">VLOOKUP(B1463,'ALL DATABASES'!$A$1:$T$2252,20,FALSE)</f>
        <v>SCIENCEDIRECT</v>
      </c>
    </row>
    <row r="1464" spans="1:8" ht="12.75" x14ac:dyDescent="0.2">
      <c r="A1464">
        <v>1463</v>
      </c>
      <c r="B1464" s="15" t="str">
        <f ca="1">IFERROR(__xludf.DUMMYFUNCTION("""COMPUTED_VALUE"""),"Static Code Analysis Alarms Filtering Reloaded: A New Real-World Dataset and its ML-Based Utilization")</f>
        <v>Static Code Analysis Alarms Filtering Reloaded: A New Real-World Dataset and its ML-Based Utilization</v>
      </c>
      <c r="C1464" s="15" t="str">
        <f ca="1">VLOOKUP(B1464,'ALL DATABASES'!$A$1:$T$2252,2,FALSE)</f>
        <v>Hegedus P,Ferenc R</v>
      </c>
      <c r="D1464" s="15">
        <f ca="1">VLOOKUP(B1464,'ALL DATABASES'!$A$1:$T$2252,5,FALSE)</f>
        <v>2022</v>
      </c>
      <c r="E1464" s="15">
        <f ca="1">VLOOKUP(B1464,'ALL DATABASES'!$A$1:$T$2252,10,FALSE)</f>
        <v>2022</v>
      </c>
      <c r="F1464" s="54" t="str">
        <f ca="1">VLOOKUP(B1464,'ALL DATABASES'!$A$1:$T$2252,14,FALSE)</f>
        <v>https://www.scopus.com/inward/record.uri?eid=2-s2.0-85130831259&amp;doi=10.1109%2fACCESS.2022.3176865&amp;partnerID=40&amp;md5=076fec26a06a409dfca74a915e07acae;http://dx.doi.org/10.1109/ACCESS.2022.3176865</v>
      </c>
      <c r="G1464" s="15" t="str">
        <f ca="1">VLOOKUP(B1464,'ALL DATABASES'!$A$1:$T$2252,3,FALSE)</f>
        <v>Journal Article</v>
      </c>
      <c r="H1464" s="50" t="str">
        <f ca="1">VLOOKUP(B1464,'ALL DATABASES'!$A$1:$T$2252,20,FALSE)</f>
        <v>SCOPUS</v>
      </c>
    </row>
    <row r="1465" spans="1:8" ht="12.75" x14ac:dyDescent="0.2">
      <c r="A1465">
        <v>1464</v>
      </c>
      <c r="B1465" s="15" t="str">
        <f ca="1">IFERROR(__xludf.DUMMYFUNCTION("""COMPUTED_VALUE"""),"Static test flakiness prediction: How Far Can We Go?")</f>
        <v>Static test flakiness prediction: How Far Can We Go?</v>
      </c>
      <c r="C1465" s="15" t="str">
        <f ca="1">VLOOKUP(B1465,'ALL DATABASES'!$A$1:$T$2252,2,FALSE)</f>
        <v>Valeria PontilloFabio PalombaFilomena Ferrucci</v>
      </c>
      <c r="D1465" s="15">
        <f ca="1">VLOOKUP(B1465,'ALL DATABASES'!$A$1:$T$2252,5,FALSE)</f>
        <v>2022</v>
      </c>
      <c r="E1465" s="15">
        <f ca="1">VLOOKUP(B1465,'ALL DATABASES'!$A$1:$T$2252,10,FALSE)</f>
        <v>0</v>
      </c>
      <c r="F1465" s="54" t="str">
        <f ca="1">VLOOKUP(B1465,'ALL DATABASES'!$A$1:$T$2252,14,FALSE)</f>
        <v>http://link.springer.com/article/10.1007/s10664-022-10227-1</v>
      </c>
      <c r="G1465" s="15" t="str">
        <f ca="1">VLOOKUP(B1465,'ALL DATABASES'!$A$1:$T$2252,3,FALSE)</f>
        <v>Article</v>
      </c>
      <c r="H1465" s="50" t="str">
        <f ca="1">VLOOKUP(B1465,'ALL DATABASES'!$A$1:$T$2252,20,FALSE)</f>
        <v>SPRINGER</v>
      </c>
    </row>
    <row r="1466" spans="1:8" ht="12.75" x14ac:dyDescent="0.2">
      <c r="A1466">
        <v>1465</v>
      </c>
      <c r="B1466" s="15" t="str">
        <f ca="1">IFERROR(__xludf.DUMMYFUNCTION("""COMPUTED_VALUE"""),"Statistical modelling of software source code")</f>
        <v>Statistical modelling of software source code</v>
      </c>
      <c r="C1466" s="15" t="str">
        <f ca="1">VLOOKUP(B1466,'ALL DATABASES'!$A$1:$T$2252,2,FALSE)</f>
        <v>Althar RR,Samanta D,Konar D,Bhattacharyya S</v>
      </c>
      <c r="D1466" s="15">
        <f ca="1">VLOOKUP(B1466,'ALL DATABASES'!$A$1:$T$2252,5,FALSE)</f>
        <v>2021</v>
      </c>
      <c r="E1466" s="15">
        <f ca="1">VLOOKUP(B1466,'ALL DATABASES'!$A$1:$T$2252,10,FALSE)</f>
        <v>2021</v>
      </c>
      <c r="F1466" s="54" t="str">
        <f ca="1">VLOOKUP(B1466,'ALL DATABASES'!$A$1:$T$2252,14,FALSE)</f>
        <v>https://www.scopus.com/inward/record.uri?eid=2-s2.0-85142316239&amp;doi=10.1515%2f9783110703399&amp;partnerID=40&amp;md5=a1580858a1f07b858e4d2a9754471528;http://dx.doi.org/10.1515/9783110703399</v>
      </c>
      <c r="G1466" s="15" t="str">
        <f ca="1">VLOOKUP(B1466,'ALL DATABASES'!$A$1:$T$2252,3,FALSE)</f>
        <v>Book</v>
      </c>
      <c r="H1466" s="50" t="str">
        <f ca="1">VLOOKUP(B1466,'ALL DATABASES'!$A$1:$T$2252,20,FALSE)</f>
        <v>SCOPUS</v>
      </c>
    </row>
    <row r="1467" spans="1:8" ht="12.75" x14ac:dyDescent="0.2">
      <c r="A1467">
        <v>1466</v>
      </c>
      <c r="B1467" s="15" t="str">
        <f ca="1">IFERROR(__xludf.DUMMYFUNCTION("""COMPUTED_VALUE"""),"Strategic Human Resource Development in Practice")</f>
        <v>Strategic Human Resource Development in Practice</v>
      </c>
      <c r="C1467" s="15" t="str">
        <f ca="1">VLOOKUP(B1467,'ALL DATABASES'!$A$1:$T$2252,2,FALSE)</f>
        <v>Lyle YorksAmy Lui AbelDenise Rotatori</v>
      </c>
      <c r="D1467" s="15">
        <f ca="1">VLOOKUP(B1467,'ALL DATABASES'!$A$1:$T$2252,5,FALSE)</f>
        <v>2022</v>
      </c>
      <c r="E1467" s="15">
        <f ca="1">VLOOKUP(B1467,'ALL DATABASES'!$A$1:$T$2252,10,FALSE)</f>
        <v>0</v>
      </c>
      <c r="F1467" s="54" t="str">
        <f ca="1">VLOOKUP(B1467,'ALL DATABASES'!$A$1:$T$2252,14,FALSE)</f>
        <v>http://link.springer.com/book/10.1007/978-3-030-95775-9</v>
      </c>
      <c r="G1467" s="15" t="str">
        <f ca="1">VLOOKUP(B1467,'ALL DATABASES'!$A$1:$T$2252,3,FALSE)</f>
        <v>Book</v>
      </c>
      <c r="H1467" s="50" t="str">
        <f ca="1">VLOOKUP(B1467,'ALL DATABASES'!$A$1:$T$2252,20,FALSE)</f>
        <v>SPRINGER</v>
      </c>
    </row>
    <row r="1468" spans="1:8" ht="12.75" x14ac:dyDescent="0.2">
      <c r="A1468">
        <v>1467</v>
      </c>
      <c r="B1468" s="15" t="str">
        <f ca="1">IFERROR(__xludf.DUMMYFUNCTION("""COMPUTED_VALUE"""),"Strategic Value Proposition Innovation Management in Software Startups for Sustained Competitive Advantage")</f>
        <v>Strategic Value Proposition Innovation Management in Software Startups for Sustained Competitive Advantage</v>
      </c>
      <c r="C1468" s="15" t="str">
        <f ca="1">VLOOKUP(B1468,'ALL DATABASES'!$A$1:$T$2252,2,FALSE)</f>
        <v>Varun Gupta</v>
      </c>
      <c r="D1468" s="15">
        <f ca="1">VLOOKUP(B1468,'ALL DATABASES'!$A$1:$T$2252,5,FALSE)</f>
        <v>2022</v>
      </c>
      <c r="E1468" s="15">
        <f ca="1">VLOOKUP(B1468,'ALL DATABASES'!$A$1:$T$2252,10,FALSE)</f>
        <v>0</v>
      </c>
      <c r="F1468" s="54" t="str">
        <f ca="1">VLOOKUP(B1468,'ALL DATABASES'!$A$1:$T$2252,14,FALSE)</f>
        <v>http://link.springer.com/book/10.1007/978-3-031-18322-5</v>
      </c>
      <c r="G1468" s="15" t="str">
        <f ca="1">VLOOKUP(B1468,'ALL DATABASES'!$A$1:$T$2252,3,FALSE)</f>
        <v>Book</v>
      </c>
      <c r="H1468" s="50" t="str">
        <f ca="1">VLOOKUP(B1468,'ALL DATABASES'!$A$1:$T$2252,20,FALSE)</f>
        <v>SPRINGER</v>
      </c>
    </row>
    <row r="1469" spans="1:8" ht="12.75" x14ac:dyDescent="0.2">
      <c r="A1469">
        <v>1468</v>
      </c>
      <c r="B1469" s="15" t="str">
        <f ca="1">IFERROR(__xludf.DUMMYFUNCTION("""COMPUTED_VALUE"""),"Strong baselines for simple question answering over knowledge graphs with and without neural networks")</f>
        <v>Strong baselines for simple question answering over knowledge graphs with and without neural networks</v>
      </c>
      <c r="C1469" s="15" t="str">
        <f ca="1">VLOOKUP(B1469,'ALL DATABASES'!$A$1:$T$2252,2,FALSE)</f>
        <v>Mohammed S,Shi P,Lin J</v>
      </c>
      <c r="D1469" s="15">
        <f ca="1">VLOOKUP(B1469,'ALL DATABASES'!$A$1:$T$2252,5,FALSE)</f>
        <v>2018</v>
      </c>
      <c r="E1469" s="15">
        <f ca="1">VLOOKUP(B1469,'ALL DATABASES'!$A$1:$T$2252,10,FALSE)</f>
        <v>2018</v>
      </c>
      <c r="F1469" s="54" t="str">
        <f ca="1">VLOOKUP(B1469,'ALL DATABASES'!$A$1:$T$2252,14,FALSE)</f>
        <v>https://www.scopus.com/inward/record.uri?eid=2-s2.0-85061740114&amp;partnerID=40&amp;md5=3e3623ffe598569020b4ca67f8637c28</v>
      </c>
      <c r="G1469" s="15" t="str">
        <f ca="1">VLOOKUP(B1469,'ALL DATABASES'!$A$1:$T$2252,3,FALSE)</f>
        <v>Conference Paper</v>
      </c>
      <c r="H1469" s="50" t="str">
        <f ca="1">VLOOKUP(B1469,'ALL DATABASES'!$A$1:$T$2252,20,FALSE)</f>
        <v>SCOPUS</v>
      </c>
    </row>
    <row r="1470" spans="1:8" ht="12.75" x14ac:dyDescent="0.2">
      <c r="A1470">
        <v>1469</v>
      </c>
      <c r="B1470" s="15" t="str">
        <f ca="1">IFERROR(__xludf.DUMMYFUNCTION("""COMPUTED_VALUE"""),"Studying and detecting log-related issues")</f>
        <v>Studying and detecting log-related issues</v>
      </c>
      <c r="C1470" s="15" t="str">
        <f ca="1">VLOOKUP(B1470,'ALL DATABASES'!$A$1:$T$2252,2,FALSE)</f>
        <v>Mehran HassaniWeiyi ShangEmad ShihabNikolaos Tsantalis</v>
      </c>
      <c r="D1470" s="15">
        <f ca="1">VLOOKUP(B1470,'ALL DATABASES'!$A$1:$T$2252,5,FALSE)</f>
        <v>2018</v>
      </c>
      <c r="E1470" s="15">
        <f ca="1">VLOOKUP(B1470,'ALL DATABASES'!$A$1:$T$2252,10,FALSE)</f>
        <v>0</v>
      </c>
      <c r="F1470" s="54" t="str">
        <f ca="1">VLOOKUP(B1470,'ALL DATABASES'!$A$1:$T$2252,14,FALSE)</f>
        <v>http://link.springer.com/article/10.1007/s10664-018-9603-z</v>
      </c>
      <c r="G1470" s="15" t="str">
        <f ca="1">VLOOKUP(B1470,'ALL DATABASES'!$A$1:$T$2252,3,FALSE)</f>
        <v>Article</v>
      </c>
      <c r="H1470" s="50" t="str">
        <f ca="1">VLOOKUP(B1470,'ALL DATABASES'!$A$1:$T$2252,20,FALSE)</f>
        <v>SPRINGER</v>
      </c>
    </row>
    <row r="1471" spans="1:8" ht="12.75" x14ac:dyDescent="0.2">
      <c r="A1471">
        <v>1470</v>
      </c>
      <c r="B1471" s="15" t="str">
        <f ca="1">IFERROR(__xludf.DUMMYFUNCTION("""COMPUTED_VALUE"""),"Studying Duplicate Logging Statements and Their Relationships With Code Clones")</f>
        <v>Studying Duplicate Logging Statements and Their Relationships With Code Clones</v>
      </c>
      <c r="C1471" s="15" t="str">
        <f ca="1">VLOOKUP(B1471,'ALL DATABASES'!$A$1:$T$2252,2,FALSE)</f>
        <v>Li Z,Chen TH,Yang J,Shang W</v>
      </c>
      <c r="D1471" s="15">
        <f ca="1">VLOOKUP(B1471,'ALL DATABASES'!$A$1:$T$2252,5,FALSE)</f>
        <v>2022</v>
      </c>
      <c r="E1471" s="55">
        <f ca="1">VLOOKUP(B1471,'ALL DATABASES'!$A$1:$T$2252,10,FALSE)</f>
        <v>44743</v>
      </c>
      <c r="F1471" s="54" t="str">
        <f ca="1">VLOOKUP(B1471,'ALL DATABASES'!$A$1:$T$2252,14,FALSE)</f>
        <v>http://dx.doi.org/10.1109/TSE.2021.3060918</v>
      </c>
      <c r="G1471" s="15" t="str">
        <f ca="1">VLOOKUP(B1471,'ALL DATABASES'!$A$1:$T$2252,3,FALSE)</f>
        <v>Journal Article</v>
      </c>
      <c r="H1471" s="50" t="str">
        <f ca="1">VLOOKUP(B1471,'ALL DATABASES'!$A$1:$T$2252,20,FALSE)</f>
        <v>IEEE</v>
      </c>
    </row>
    <row r="1472" spans="1:8" ht="12.75" x14ac:dyDescent="0.2">
      <c r="A1472">
        <v>1471</v>
      </c>
      <c r="B1472" s="15" t="str">
        <f ca="1">IFERROR(__xludf.DUMMYFUNCTION("""COMPUTED_VALUE"""),"Studying Software Engineering Patterns for Designing Machine Learning Systems")</f>
        <v>Studying Software Engineering Patterns for Designing Machine Learning Systems</v>
      </c>
      <c r="C1472" s="15" t="str">
        <f ca="1">VLOOKUP(B1472,'ALL DATABASES'!$A$1:$T$2252,2,FALSE)</f>
        <v>Washizaki H,Uchida H,Khomh F,Guéhéneuc YG</v>
      </c>
      <c r="D1472" s="15">
        <f ca="1">VLOOKUP(B1472,'ALL DATABASES'!$A$1:$T$2252,5,FALSE)</f>
        <v>2019</v>
      </c>
      <c r="E1472" s="53">
        <f ca="1">VLOOKUP(B1472,'ALL DATABASES'!$A$1:$T$2252,10,FALSE)</f>
        <v>43800</v>
      </c>
      <c r="F1472" s="54" t="str">
        <f ca="1">VLOOKUP(B1472,'ALL DATABASES'!$A$1:$T$2252,14,FALSE)</f>
        <v>http://dx.doi.org/10.1109/IWESEP49350.2019.00017</v>
      </c>
      <c r="G1472" s="15" t="str">
        <f ca="1">VLOOKUP(B1472,'ALL DATABASES'!$A$1:$T$2252,3,FALSE)</f>
        <v>Conference Paper</v>
      </c>
      <c r="H1472" s="50" t="str">
        <f ca="1">VLOOKUP(B1472,'ALL DATABASES'!$A$1:$T$2252,20,FALSE)</f>
        <v>IEEE</v>
      </c>
    </row>
    <row r="1473" spans="1:8" ht="12.75" x14ac:dyDescent="0.2">
      <c r="A1473">
        <v>1472</v>
      </c>
      <c r="B1473" s="15" t="str">
        <f ca="1">IFERROR(__xludf.DUMMYFUNCTION("""COMPUTED_VALUE"""),"Summary of the ICSE 2012 Tutorials and Technical Briefings")</f>
        <v>Summary of the ICSE 2012 Tutorials and Technical Briefings</v>
      </c>
      <c r="C1473" s="15" t="str">
        <f ca="1">VLOOKUP(B1473,'ALL DATABASES'!$A$1:$T$2252,2,FALSE)</f>
        <v>Leitner A,Nierstrasz O</v>
      </c>
      <c r="D1473" s="15">
        <f ca="1">VLOOKUP(B1473,'ALL DATABASES'!$A$1:$T$2252,5,FALSE)</f>
        <v>2012</v>
      </c>
      <c r="E1473" s="15">
        <f ca="1">VLOOKUP(B1473,'ALL DATABASES'!$A$1:$T$2252,10,FALSE)</f>
        <v>2012</v>
      </c>
      <c r="F1473" s="15">
        <f ca="1">VLOOKUP(B1473,'ALL DATABASES'!$A$1:$T$2252,14,FALSE)</f>
        <v>0</v>
      </c>
      <c r="G1473" s="15" t="str">
        <f ca="1">VLOOKUP(B1473,'ALL DATABASES'!$A$1:$T$2252,3,FALSE)</f>
        <v>Conference Paper</v>
      </c>
      <c r="H1473" s="50" t="str">
        <f ca="1">VLOOKUP(B1473,'ALL DATABASES'!$A$1:$T$2252,20,FALSE)</f>
        <v>ACM</v>
      </c>
    </row>
    <row r="1474" spans="1:8" ht="12.75" x14ac:dyDescent="0.2">
      <c r="A1474">
        <v>1473</v>
      </c>
      <c r="B1474" s="15" t="str">
        <f ca="1">IFERROR(__xludf.DUMMYFUNCTION("""COMPUTED_VALUE"""),"Supercomputing")</f>
        <v>Supercomputing</v>
      </c>
      <c r="C1474" s="15" t="str">
        <f ca="1">VLOOKUP(B1474,'ALL DATABASES'!$A$1:$T$2252,2,FALSE)</f>
        <v>Vladimir VoevodinSergey SobolevMikhail YakobovskiyRashit Shagaliev</v>
      </c>
      <c r="D1474" s="15">
        <f ca="1">VLOOKUP(B1474,'ALL DATABASES'!$A$1:$T$2252,5,FALSE)</f>
        <v>2022</v>
      </c>
      <c r="E1474" s="15">
        <f ca="1">VLOOKUP(B1474,'ALL DATABASES'!$A$1:$T$2252,10,FALSE)</f>
        <v>0</v>
      </c>
      <c r="F1474" s="54" t="str">
        <f ca="1">VLOOKUP(B1474,'ALL DATABASES'!$A$1:$T$2252,14,FALSE)</f>
        <v>http://link.springer.com/book/10.1007/978-3-031-22941-1</v>
      </c>
      <c r="G1474" s="15" t="str">
        <f ca="1">VLOOKUP(B1474,'ALL DATABASES'!$A$1:$T$2252,3,FALSE)</f>
        <v>Book</v>
      </c>
      <c r="H1474" s="50" t="str">
        <f ca="1">VLOOKUP(B1474,'ALL DATABASES'!$A$1:$T$2252,20,FALSE)</f>
        <v>SPRINGER</v>
      </c>
    </row>
    <row r="1475" spans="1:8" ht="12.75" x14ac:dyDescent="0.2">
      <c r="A1475">
        <v>1474</v>
      </c>
      <c r="B1475" s="15" t="str">
        <f ca="1">IFERROR(__xludf.DUMMYFUNCTION("""COMPUTED_VALUE"""),"Supporting Agile Teams with a Test Analytics Platform: A Case Study")</f>
        <v>Supporting Agile Teams with a Test Analytics Platform: A Case Study</v>
      </c>
      <c r="C1475" s="15" t="str">
        <f ca="1">VLOOKUP(B1475,'ALL DATABASES'!$A$1:$T$2252,2,FALSE)</f>
        <v>Liechti O,Pasquier J,Reis R</v>
      </c>
      <c r="D1475" s="15">
        <f ca="1">VLOOKUP(B1475,'ALL DATABASES'!$A$1:$T$2252,5,FALSE)</f>
        <v>2017</v>
      </c>
      <c r="E1475" s="15">
        <f ca="1">VLOOKUP(B1475,'ALL DATABASES'!$A$1:$T$2252,10,FALSE)</f>
        <v>2017</v>
      </c>
      <c r="F1475" s="54" t="str">
        <f ca="1">VLOOKUP(B1475,'ALL DATABASES'!$A$1:$T$2252,14,FALSE)</f>
        <v>https://doi.org/10.1109/AST.2017.3;http://dx.doi.org/10.1109/AST.2017.3</v>
      </c>
      <c r="G1475" s="15" t="str">
        <f ca="1">VLOOKUP(B1475,'ALL DATABASES'!$A$1:$T$2252,3,FALSE)</f>
        <v>Conference Paper</v>
      </c>
      <c r="H1475" s="50" t="str">
        <f ca="1">VLOOKUP(B1475,'ALL DATABASES'!$A$1:$T$2252,20,FALSE)</f>
        <v>ACM</v>
      </c>
    </row>
    <row r="1476" spans="1:8" ht="12.75" x14ac:dyDescent="0.2">
      <c r="A1476">
        <v>1475</v>
      </c>
      <c r="B1476" s="15" t="str">
        <f ca="1">IFERROR(__xludf.DUMMYFUNCTION("""COMPUTED_VALUE"""),"Supporting proactive refactoring: An exploratory study on decaying modules and their prediction")</f>
        <v>Supporting proactive refactoring: An exploratory study on decaying modules and their prediction</v>
      </c>
      <c r="C1476" s="15" t="str">
        <f ca="1">VLOOKUP(B1476,'ALL DATABASES'!$A$1:$T$2252,2,FALSE)</f>
        <v>Sae-Lim N,Hayashi S,Saeki M</v>
      </c>
      <c r="D1476" s="15">
        <f ca="1">VLOOKUP(B1476,'ALL DATABASES'!$A$1:$T$2252,5,FALSE)</f>
        <v>2021</v>
      </c>
      <c r="E1476" s="15">
        <f ca="1">VLOOKUP(B1476,'ALL DATABASES'!$A$1:$T$2252,10,FALSE)</f>
        <v>2021</v>
      </c>
      <c r="F1476" s="54" t="str">
        <f ca="1">VLOOKUP(B1476,'ALL DATABASES'!$A$1:$T$2252,14,FALSE)</f>
        <v>https://www.scopus.com/inward/record.uri?eid=2-s2.0-85116556448&amp;doi=10.1587%2ftransinf.2020EDP7255&amp;partnerID=40&amp;md5=4a32a900ee950e280de93550f1b5b228;http://dx.doi.org/10.1587/transinf.2020EDP7255</v>
      </c>
      <c r="G1476" s="15" t="str">
        <f ca="1">VLOOKUP(B1476,'ALL DATABASES'!$A$1:$T$2252,3,FALSE)</f>
        <v>Journal Article</v>
      </c>
      <c r="H1476" s="50" t="str">
        <f ca="1">VLOOKUP(B1476,'ALL DATABASES'!$A$1:$T$2252,20,FALSE)</f>
        <v>SCOPUS</v>
      </c>
    </row>
    <row r="1477" spans="1:8" ht="12.75" x14ac:dyDescent="0.2">
      <c r="A1477">
        <v>1476</v>
      </c>
      <c r="B1477" s="15" t="str">
        <f ca="1">IFERROR(__xludf.DUMMYFUNCTION("""COMPUTED_VALUE"""),"Supporting Software Architecture Maintenance by Providing Task-Specific Recommendations")</f>
        <v>Supporting Software Architecture Maintenance by Providing Task-Specific Recommendations</v>
      </c>
      <c r="C1477" s="15" t="str">
        <f ca="1">VLOOKUP(B1477,'ALL DATABASES'!$A$1:$T$2252,2,FALSE)</f>
        <v>Galster M,Treude C,Blincoe K</v>
      </c>
      <c r="D1477" s="15">
        <f ca="1">VLOOKUP(B1477,'ALL DATABASES'!$A$1:$T$2252,5,FALSE)</f>
        <v>2019</v>
      </c>
      <c r="E1477" s="55">
        <f ca="1">VLOOKUP(B1477,'ALL DATABASES'!$A$1:$T$2252,10,FALSE)</f>
        <v>43709</v>
      </c>
      <c r="F1477" s="54" t="str">
        <f ca="1">VLOOKUP(B1477,'ALL DATABASES'!$A$1:$T$2252,14,FALSE)</f>
        <v>http://dx.doi.org/10.1109/ICSME.2019.00060</v>
      </c>
      <c r="G1477" s="15" t="str">
        <f ca="1">VLOOKUP(B1477,'ALL DATABASES'!$A$1:$T$2252,3,FALSE)</f>
        <v>Conference Paper</v>
      </c>
      <c r="H1477" s="50" t="str">
        <f ca="1">VLOOKUP(B1477,'ALL DATABASES'!$A$1:$T$2252,20,FALSE)</f>
        <v>IEEE</v>
      </c>
    </row>
    <row r="1478" spans="1:8" ht="12.75" x14ac:dyDescent="0.2">
      <c r="A1478">
        <v>1477</v>
      </c>
      <c r="B1478" s="15" t="str">
        <f ca="1">IFERROR(__xludf.DUMMYFUNCTION("""COMPUTED_VALUE"""),"Survey and Analysis of Current End-User Data Analytics Tool Support")</f>
        <v>Survey and Analysis of Current End-User Data Analytics Tool Support</v>
      </c>
      <c r="C1478" s="15" t="str">
        <f ca="1">VLOOKUP(B1478,'ALL DATABASES'!$A$1:$T$2252,2,FALSE)</f>
        <v>Khalajzadeh H,Abdelrazek M,Grundy J,Hosking J,He Q</v>
      </c>
      <c r="D1478" s="15">
        <f ca="1">VLOOKUP(B1478,'ALL DATABASES'!$A$1:$T$2252,5,FALSE)</f>
        <v>2022</v>
      </c>
      <c r="E1478" s="55">
        <f ca="1">VLOOKUP(B1478,'ALL DATABASES'!$A$1:$T$2252,10,FALSE)</f>
        <v>44593</v>
      </c>
      <c r="F1478" s="54" t="str">
        <f ca="1">VLOOKUP(B1478,'ALL DATABASES'!$A$1:$T$2252,14,FALSE)</f>
        <v>http://dx.doi.org/10.1109/TBDATA.2019.2921774</v>
      </c>
      <c r="G1478" s="15" t="str">
        <f ca="1">VLOOKUP(B1478,'ALL DATABASES'!$A$1:$T$2252,3,FALSE)</f>
        <v>Journal Article</v>
      </c>
      <c r="H1478" s="50" t="str">
        <f ca="1">VLOOKUP(B1478,'ALL DATABASES'!$A$1:$T$2252,20,FALSE)</f>
        <v>IEEE</v>
      </c>
    </row>
    <row r="1479" spans="1:8" ht="12.75" x14ac:dyDescent="0.2">
      <c r="A1479">
        <v>1478</v>
      </c>
      <c r="B1479" s="15" t="str">
        <f ca="1">IFERROR(__xludf.DUMMYFUNCTION("""COMPUTED_VALUE"""),"Survey of Data-Driven Application Self-Adaptive Technology")</f>
        <v>Survey of Data-Driven Application Self-Adaptive Technology</v>
      </c>
      <c r="C1479" s="15" t="str">
        <f ca="1">VLOOKUP(B1479,'ALL DATABASES'!$A$1:$T$2252,2,FALSE)</f>
        <v>Dai H,Jin M,Chen X,Li N,Tu Z,Wang Y</v>
      </c>
      <c r="D1479" s="15">
        <f ca="1">VLOOKUP(B1479,'ALL DATABASES'!$A$1:$T$2252,5,FALSE)</f>
        <v>2022</v>
      </c>
      <c r="E1479" s="15">
        <f ca="1">VLOOKUP(B1479,'ALL DATABASES'!$A$1:$T$2252,10,FALSE)</f>
        <v>2022</v>
      </c>
      <c r="F1479" s="54" t="str">
        <f ca="1">VLOOKUP(B1479,'ALL DATABASES'!$A$1:$T$2252,14,FALSE)</f>
        <v>https://www.scopus.com/inward/record.uri?eid=2-s2.0-85141530424&amp;doi=10.7544%2fissn1000-1239.20210221&amp;partnerID=40&amp;md5=35aaf67fcd4f78ddedf070f57389918e;http://dx.doi.org/10.7544/issn1000-1239.20210221</v>
      </c>
      <c r="G1479" s="15" t="str">
        <f ca="1">VLOOKUP(B1479,'ALL DATABASES'!$A$1:$T$2252,3,FALSE)</f>
        <v>Journal Article</v>
      </c>
      <c r="H1479" s="50" t="str">
        <f ca="1">VLOOKUP(B1479,'ALL DATABASES'!$A$1:$T$2252,20,FALSE)</f>
        <v>SCOPUS</v>
      </c>
    </row>
    <row r="1480" spans="1:8" ht="12.75" x14ac:dyDescent="0.2">
      <c r="A1480">
        <v>1479</v>
      </c>
      <c r="B1480" s="15" t="str">
        <f ca="1">IFERROR(__xludf.DUMMYFUNCTION("""COMPUTED_VALUE"""),"Sustainable Communication Networks and Application")</f>
        <v>Sustainable Communication Networks and Application</v>
      </c>
      <c r="C1480" s="15" t="str">
        <f ca="1">VLOOKUP(B1480,'ALL DATABASES'!$A$1:$T$2252,2,FALSE)</f>
        <v>Dr. P. KarrupusamyDr. Valentina Emilia BalasDr. Yong Shi</v>
      </c>
      <c r="D1480" s="15">
        <f ca="1">VLOOKUP(B1480,'ALL DATABASES'!$A$1:$T$2252,5,FALSE)</f>
        <v>2022</v>
      </c>
      <c r="E1480" s="15">
        <f ca="1">VLOOKUP(B1480,'ALL DATABASES'!$A$1:$T$2252,10,FALSE)</f>
        <v>0</v>
      </c>
      <c r="F1480" s="54" t="str">
        <f ca="1">VLOOKUP(B1480,'ALL DATABASES'!$A$1:$T$2252,14,FALSE)</f>
        <v>http://link.springer.com/book/10.1007/978-981-16-6605-6</v>
      </c>
      <c r="G1480" s="15" t="str">
        <f ca="1">VLOOKUP(B1480,'ALL DATABASES'!$A$1:$T$2252,3,FALSE)</f>
        <v>Book</v>
      </c>
      <c r="H1480" s="50" t="str">
        <f ca="1">VLOOKUP(B1480,'ALL DATABASES'!$A$1:$T$2252,20,FALSE)</f>
        <v>SPRINGER</v>
      </c>
    </row>
    <row r="1481" spans="1:8" ht="12.75" x14ac:dyDescent="0.2">
      <c r="A1481">
        <v>1480</v>
      </c>
      <c r="B1481" s="15" t="str">
        <f ca="1">IFERROR(__xludf.DUMMYFUNCTION("""COMPUTED_VALUE"""),"Sustainable Development")</f>
        <v>Sustainable Development</v>
      </c>
      <c r="C1481" s="15" t="str">
        <f ca="1">VLOOKUP(B1481,'ALL DATABASES'!$A$1:$T$2252,2,FALSE)</f>
        <v>Eric CarterMatthew Hurst</v>
      </c>
      <c r="D1481" s="15">
        <f ca="1">VLOOKUP(B1481,'ALL DATABASES'!$A$1:$T$2252,5,FALSE)</f>
        <v>2019</v>
      </c>
      <c r="E1481" s="15">
        <f ca="1">VLOOKUP(B1481,'ALL DATABASES'!$A$1:$T$2252,10,FALSE)</f>
        <v>0</v>
      </c>
      <c r="F1481" s="54" t="str">
        <f ca="1">VLOOKUP(B1481,'ALL DATABASES'!$A$1:$T$2252,14,FALSE)</f>
        <v>http://link.springer.com/chapter/10.1007/978-1-4842-5107-2_8</v>
      </c>
      <c r="G1481" s="15" t="str">
        <f ca="1">VLOOKUP(B1481,'ALL DATABASES'!$A$1:$T$2252,3,FALSE)</f>
        <v>Chapter</v>
      </c>
      <c r="H1481" s="50" t="str">
        <f ca="1">VLOOKUP(B1481,'ALL DATABASES'!$A$1:$T$2252,20,FALSE)</f>
        <v>SPRINGER</v>
      </c>
    </row>
    <row r="1482" spans="1:8" ht="12.75" x14ac:dyDescent="0.2">
      <c r="A1482">
        <v>1481</v>
      </c>
      <c r="B1482" s="15" t="str">
        <f ca="1">IFERROR(__xludf.DUMMYFUNCTION("""COMPUTED_VALUE"""),"Symptoms of Architecture Erosion in Code Reviews: A Study of Two OpenStack Projects")</f>
        <v>Symptoms of Architecture Erosion in Code Reviews: A Study of Two OpenStack Projects</v>
      </c>
      <c r="C1482" s="15" t="str">
        <f ca="1">VLOOKUP(B1482,'ALL DATABASES'!$A$1:$T$2252,2,FALSE)</f>
        <v>Li R,Soliman M,Liang P,Avgeriou P</v>
      </c>
      <c r="D1482" s="15">
        <f ca="1">VLOOKUP(B1482,'ALL DATABASES'!$A$1:$T$2252,5,FALSE)</f>
        <v>2022</v>
      </c>
      <c r="E1482" s="15">
        <f ca="1">VLOOKUP(B1482,'ALL DATABASES'!$A$1:$T$2252,10,FALSE)</f>
        <v>2022</v>
      </c>
      <c r="F1482" s="54" t="str">
        <f ca="1">VLOOKUP(B1482,'ALL DATABASES'!$A$1:$T$2252,14,FALSE)</f>
        <v>https://www.scopus.com/inward/record.uri?eid=2-s2.0-85127056188&amp;doi=10.1109%2fICSA53651.2022.00011&amp;partnerID=40&amp;md5=406bfae4f78486cdbc0ad4efd1370589;http://dx.doi.org/10.1109/ICSA53651.2022.00011</v>
      </c>
      <c r="G1482" s="15" t="str">
        <f ca="1">VLOOKUP(B1482,'ALL DATABASES'!$A$1:$T$2252,3,FALSE)</f>
        <v>Conference Paper</v>
      </c>
      <c r="H1482" s="50" t="str">
        <f ca="1">VLOOKUP(B1482,'ALL DATABASES'!$A$1:$T$2252,20,FALSE)</f>
        <v>SCOPUS</v>
      </c>
    </row>
    <row r="1483" spans="1:8" ht="12.75" x14ac:dyDescent="0.2">
      <c r="A1483">
        <v>1482</v>
      </c>
      <c r="B1483" s="15" t="str">
        <f ca="1">IFERROR(__xludf.DUMMYFUNCTION("""COMPUTED_VALUE"""),"Synergies Between Artificial Intelligence andÂ Software Engineering: Evolution andÂ Trends")</f>
        <v>Synergies Between Artificial Intelligence andÂ Software Engineering: Evolution andÂ Trends</v>
      </c>
      <c r="C1483" s="15" t="str">
        <f ca="1">VLOOKUP(B1483,'ALL DATABASES'!$A$1:$T$2252,2,FALSE)</f>
        <v>Aurora RamÃ­rezJosÃ© RaÃºl Romero</v>
      </c>
      <c r="D1483" s="15">
        <f ca="1">VLOOKUP(B1483,'ALL DATABASES'!$A$1:$T$2252,5,FALSE)</f>
        <v>2022</v>
      </c>
      <c r="E1483" s="15">
        <f ca="1">VLOOKUP(B1483,'ALL DATABASES'!$A$1:$T$2252,10,FALSE)</f>
        <v>0</v>
      </c>
      <c r="F1483" s="54" t="str">
        <f ca="1">VLOOKUP(B1483,'ALL DATABASES'!$A$1:$T$2252,14,FALSE)</f>
        <v>http://link.springer.com/chapter/10.1007/978-3-031-08202-3_2</v>
      </c>
      <c r="G1483" s="15" t="str">
        <f ca="1">VLOOKUP(B1483,'ALL DATABASES'!$A$1:$T$2252,3,FALSE)</f>
        <v>Chapter</v>
      </c>
      <c r="H1483" s="50" t="str">
        <f ca="1">VLOOKUP(B1483,'ALL DATABASES'!$A$1:$T$2252,20,FALSE)</f>
        <v>SPRINGER</v>
      </c>
    </row>
    <row r="1484" spans="1:8" ht="12.75" x14ac:dyDescent="0.2">
      <c r="A1484">
        <v>1483</v>
      </c>
      <c r="B1484" s="15" t="str">
        <f ca="1">IFERROR(__xludf.DUMMYFUNCTION("""COMPUTED_VALUE"""),"Synergizing Domain Expertise With Self-Awareness in Software Systems: A Patternized Architecture Guideline")</f>
        <v>Synergizing Domain Expertise With Self-Awareness in Software Systems: A Patternized Architecture Guideline</v>
      </c>
      <c r="C1484" s="15" t="str">
        <f ca="1">VLOOKUP(B1484,'ALL DATABASES'!$A$1:$T$2252,2,FALSE)</f>
        <v>Chen T,Bahsoon R,Yao X</v>
      </c>
      <c r="D1484" s="15">
        <f ca="1">VLOOKUP(B1484,'ALL DATABASES'!$A$1:$T$2252,5,FALSE)</f>
        <v>2020</v>
      </c>
      <c r="E1484" s="55">
        <f ca="1">VLOOKUP(B1484,'ALL DATABASES'!$A$1:$T$2252,10,FALSE)</f>
        <v>44013</v>
      </c>
      <c r="F1484" s="54" t="str">
        <f ca="1">VLOOKUP(B1484,'ALL DATABASES'!$A$1:$T$2252,14,FALSE)</f>
        <v>http://dx.doi.org/10.1109/JPROC.2020.2985293</v>
      </c>
      <c r="G1484" s="15" t="str">
        <f ca="1">VLOOKUP(B1484,'ALL DATABASES'!$A$1:$T$2252,3,FALSE)</f>
        <v>Journal Article</v>
      </c>
      <c r="H1484" s="50" t="str">
        <f ca="1">VLOOKUP(B1484,'ALL DATABASES'!$A$1:$T$2252,20,FALSE)</f>
        <v>IEEE</v>
      </c>
    </row>
    <row r="1485" spans="1:8" ht="12.75" x14ac:dyDescent="0.2">
      <c r="A1485">
        <v>1484</v>
      </c>
      <c r="B1485" s="15" t="str">
        <f ca="1">IFERROR(__xludf.DUMMYFUNCTION("""COMPUTED_VALUE"""),"SysRepoAnalysis: A Tool to Analyze and Identify Critical Areas of Source Code Repositories")</f>
        <v>SysRepoAnalysis: A Tool to Analyze and Identify Critical Areas of Source Code Repositories</v>
      </c>
      <c r="C1485" s="15" t="str">
        <f ca="1">VLOOKUP(B1485,'ALL DATABASES'!$A$1:$T$2252,2,FALSE)</f>
        <v>Sousa A,Ribeiro G,Avelino G,Rocha L,Britto R</v>
      </c>
      <c r="D1485" s="15">
        <f ca="1">VLOOKUP(B1485,'ALL DATABASES'!$A$1:$T$2252,5,FALSE)</f>
        <v>2022</v>
      </c>
      <c r="E1485" s="15">
        <f ca="1">VLOOKUP(B1485,'ALL DATABASES'!$A$1:$T$2252,10,FALSE)</f>
        <v>2022</v>
      </c>
      <c r="F1485" s="54" t="str">
        <f ca="1">VLOOKUP(B1485,'ALL DATABASES'!$A$1:$T$2252,14,FALSE)</f>
        <v>https://doi.org/10.1145/3555228.3555281;http://dx.doi.org/10.1145/3555228.3555281</v>
      </c>
      <c r="G1485" s="15" t="str">
        <f ca="1">VLOOKUP(B1485,'ALL DATABASES'!$A$1:$T$2252,3,FALSE)</f>
        <v>Conference Paper</v>
      </c>
      <c r="H1485" s="50" t="str">
        <f ca="1">VLOOKUP(B1485,'ALL DATABASES'!$A$1:$T$2252,20,FALSE)</f>
        <v>ACM</v>
      </c>
    </row>
    <row r="1486" spans="1:8" ht="12.75" x14ac:dyDescent="0.2">
      <c r="A1486">
        <v>1485</v>
      </c>
      <c r="B1486" s="15" t="str">
        <f ca="1">IFERROR(__xludf.DUMMYFUNCTION("""COMPUTED_VALUE"""),"System Dependability and Analytics")</f>
        <v>System Dependability and Analytics</v>
      </c>
      <c r="C1486" s="15" t="str">
        <f ca="1">VLOOKUP(B1486,'ALL DATABASES'!$A$1:$T$2252,2,FALSE)</f>
        <v>Assoc. Prof. Long WangProf. Karthik PattabiramanDr. Catello Di MartinoAssist. Prof. Arjun AthreyaProf. Saurabh Bagchi</v>
      </c>
      <c r="D1486" s="15">
        <f ca="1">VLOOKUP(B1486,'ALL DATABASES'!$A$1:$T$2252,5,FALSE)</f>
        <v>2023</v>
      </c>
      <c r="E1486" s="15">
        <f ca="1">VLOOKUP(B1486,'ALL DATABASES'!$A$1:$T$2252,10,FALSE)</f>
        <v>0</v>
      </c>
      <c r="F1486" s="54" t="str">
        <f ca="1">VLOOKUP(B1486,'ALL DATABASES'!$A$1:$T$2252,14,FALSE)</f>
        <v>http://link.springer.com/book/10.1007/978-3-031-02063-6</v>
      </c>
      <c r="G1486" s="15" t="str">
        <f ca="1">VLOOKUP(B1486,'ALL DATABASES'!$A$1:$T$2252,3,FALSE)</f>
        <v>Book</v>
      </c>
      <c r="H1486" s="50" t="str">
        <f ca="1">VLOOKUP(B1486,'ALL DATABASES'!$A$1:$T$2252,20,FALSE)</f>
        <v>SPRINGER</v>
      </c>
    </row>
    <row r="1487" spans="1:8" ht="12.75" x14ac:dyDescent="0.2">
      <c r="A1487">
        <v>1486</v>
      </c>
      <c r="B1487" s="15" t="str">
        <f ca="1">IFERROR(__xludf.DUMMYFUNCTION("""COMPUTED_VALUE"""),"Systematic Cloud Migration")</f>
        <v>Systematic Cloud Migration</v>
      </c>
      <c r="C1487" s="15" t="str">
        <f ca="1">VLOOKUP(B1487,'ALL DATABASES'!$A$1:$T$2252,2,FALSE)</f>
        <v>Taras Gleb</v>
      </c>
      <c r="D1487" s="15">
        <f ca="1">VLOOKUP(B1487,'ALL DATABASES'!$A$1:$T$2252,5,FALSE)</f>
        <v>2021</v>
      </c>
      <c r="E1487" s="15">
        <f ca="1">VLOOKUP(B1487,'ALL DATABASES'!$A$1:$T$2252,10,FALSE)</f>
        <v>0</v>
      </c>
      <c r="F1487" s="54" t="str">
        <f ca="1">VLOOKUP(B1487,'ALL DATABASES'!$A$1:$T$2252,14,FALSE)</f>
        <v>http://link.springer.com/book/10.1007/978-1-4842-7252-7</v>
      </c>
      <c r="G1487" s="15" t="str">
        <f ca="1">VLOOKUP(B1487,'ALL DATABASES'!$A$1:$T$2252,3,FALSE)</f>
        <v>Book</v>
      </c>
      <c r="H1487" s="50" t="str">
        <f ca="1">VLOOKUP(B1487,'ALL DATABASES'!$A$1:$T$2252,20,FALSE)</f>
        <v>SPRINGER</v>
      </c>
    </row>
    <row r="1488" spans="1:8" ht="12.75" x14ac:dyDescent="0.2">
      <c r="A1488">
        <v>1487</v>
      </c>
      <c r="B1488" s="15" t="str">
        <f ca="1">IFERROR(__xludf.DUMMYFUNCTION("""COMPUTED_VALUE"""),"Systematic Exploration and Classification of Useful Comments in Stack Overflow")</f>
        <v>Systematic Exploration and Classification of Useful Comments in Stack Overflow</v>
      </c>
      <c r="C1488" s="15" t="str">
        <f ca="1">VLOOKUP(B1488,'ALL DATABASES'!$A$1:$T$2252,2,FALSE)</f>
        <v>Ranasinghe P,Chandimali N,Wijesiriwardana C</v>
      </c>
      <c r="D1488" s="15">
        <f ca="1">VLOOKUP(B1488,'ALL DATABASES'!$A$1:$T$2252,5,FALSE)</f>
        <v>2022</v>
      </c>
      <c r="E1488" s="15">
        <f ca="1">VLOOKUP(B1488,'ALL DATABASES'!$A$1:$T$2252,10,FALSE)</f>
        <v>2022</v>
      </c>
      <c r="F1488" s="54" t="str">
        <f ca="1">VLOOKUP(B1488,'ALL DATABASES'!$A$1:$T$2252,14,FALSE)</f>
        <v>https://www.scopus.com/inward/record.uri?eid=2-s2.0-85126811133&amp;doi=10.14569%2fIJACSA.2022.0130289&amp;partnerID=40&amp;md5=a89502cbb254764652288a5a824a481e;http://dx.doi.org/10.14569/IJACSA.2022.0130289</v>
      </c>
      <c r="G1488" s="15" t="str">
        <f ca="1">VLOOKUP(B1488,'ALL DATABASES'!$A$1:$T$2252,3,FALSE)</f>
        <v>Journal Article</v>
      </c>
      <c r="H1488" s="50" t="str">
        <f ca="1">VLOOKUP(B1488,'ALL DATABASES'!$A$1:$T$2252,20,FALSE)</f>
        <v>SCOPUS</v>
      </c>
    </row>
    <row r="1489" spans="1:8" ht="12.75" x14ac:dyDescent="0.2">
      <c r="A1489">
        <v>1488</v>
      </c>
      <c r="B1489" s="15" t="str">
        <f ca="1">IFERROR(__xludf.DUMMYFUNCTION("""COMPUTED_VALUE"""),"Systematic literature review on software quality for AI-based software")</f>
        <v>Systematic literature review on software quality for AI-based software</v>
      </c>
      <c r="C1489" s="15" t="str">
        <f ca="1">VLOOKUP(B1489,'ALL DATABASES'!$A$1:$T$2252,2,FALSE)</f>
        <v>Bahar GeziciAyÃ§a KolukÄ±sa Tarhan</v>
      </c>
      <c r="D1489" s="15">
        <f ca="1">VLOOKUP(B1489,'ALL DATABASES'!$A$1:$T$2252,5,FALSE)</f>
        <v>2022</v>
      </c>
      <c r="E1489" s="15">
        <f ca="1">VLOOKUP(B1489,'ALL DATABASES'!$A$1:$T$2252,10,FALSE)</f>
        <v>0</v>
      </c>
      <c r="F1489" s="54" t="str">
        <f ca="1">VLOOKUP(B1489,'ALL DATABASES'!$A$1:$T$2252,14,FALSE)</f>
        <v>http://link.springer.com/article/10.1007/s10664-021-10105-2</v>
      </c>
      <c r="G1489" s="15" t="str">
        <f ca="1">VLOOKUP(B1489,'ALL DATABASES'!$A$1:$T$2252,3,FALSE)</f>
        <v>Article</v>
      </c>
      <c r="H1489" s="50" t="str">
        <f ca="1">VLOOKUP(B1489,'ALL DATABASES'!$A$1:$T$2252,20,FALSE)</f>
        <v>SPRINGER</v>
      </c>
    </row>
    <row r="1490" spans="1:8" ht="12.75" x14ac:dyDescent="0.2">
      <c r="A1490">
        <v>1489</v>
      </c>
      <c r="B1490" s="15" t="str">
        <f ca="1">IFERROR(__xludf.DUMMYFUNCTION("""COMPUTED_VALUE"""),"Systematic Mapping: Artificial Intelligence Techniques in Software Engineering")</f>
        <v>Systematic Mapping: Artificial Intelligence Techniques in Software Engineering</v>
      </c>
      <c r="C1490" s="15" t="str">
        <f ca="1">VLOOKUP(B1490,'ALL DATABASES'!$A$1:$T$2252,2,FALSE)</f>
        <v>Sofian H,Yunus NA,Ahmad R</v>
      </c>
      <c r="D1490" s="15">
        <f ca="1">VLOOKUP(B1490,'ALL DATABASES'!$A$1:$T$2252,5,FALSE)</f>
        <v>2022</v>
      </c>
      <c r="E1490" s="15">
        <f ca="1">VLOOKUP(B1490,'ALL DATABASES'!$A$1:$T$2252,10,FALSE)</f>
        <v>2022</v>
      </c>
      <c r="F1490" s="54" t="str">
        <f ca="1">VLOOKUP(B1490,'ALL DATABASES'!$A$1:$T$2252,14,FALSE)</f>
        <v>https://www.scopus.com/inward/record.uri?eid=2-s2.0-85130778732&amp;doi=10.1109%2fACCESS.2022.3174115&amp;partnerID=40&amp;md5=e36e8ee7999d57a6b18554a0dc5d434f;http://dx.doi.org/10.1109/ACCESS.2022.3174115</v>
      </c>
      <c r="G1490" s="15" t="str">
        <f ca="1">VLOOKUP(B1490,'ALL DATABASES'!$A$1:$T$2252,3,FALSE)</f>
        <v>Journal Article</v>
      </c>
      <c r="H1490" s="50" t="str">
        <f ca="1">VLOOKUP(B1490,'ALL DATABASES'!$A$1:$T$2252,20,FALSE)</f>
        <v>SCOPUS</v>
      </c>
    </row>
    <row r="1491" spans="1:8" ht="12.75" x14ac:dyDescent="0.2">
      <c r="A1491">
        <v>1490</v>
      </c>
      <c r="B1491" s="15" t="str">
        <f ca="1">IFERROR(__xludf.DUMMYFUNCTION("""COMPUTED_VALUE"""),"Systematic Review of Machine Learning-Based Open-Source Software Maintenance Effort Estimation")</f>
        <v>Systematic Review of Machine Learning-Based Open-Source Software Maintenance Effort Estimation</v>
      </c>
      <c r="C1491" s="15" t="str">
        <f ca="1">VLOOKUP(B1491,'ALL DATABASES'!$A$1:$T$2252,2,FALSE)</f>
        <v>Miloudi C,Cheikhi L,Abran A</v>
      </c>
      <c r="D1491" s="15">
        <f ca="1">VLOOKUP(B1491,'ALL DATABASES'!$A$1:$T$2252,5,FALSE)</f>
        <v>2023</v>
      </c>
      <c r="E1491" s="15">
        <f ca="1">VLOOKUP(B1491,'ALL DATABASES'!$A$1:$T$2252,10,FALSE)</f>
        <v>2023</v>
      </c>
      <c r="F1491" s="54" t="str">
        <f ca="1">VLOOKUP(B1491,'ALL DATABASES'!$A$1:$T$2252,14,FALSE)</f>
        <v>https://www.scopus.com/inward/record.uri?eid=2-s2.0-85143977206&amp;doi=10.2174%2f2666255816666220609110712&amp;partnerID=40&amp;md5=4d4bca6f178d40ff4531940a93a67f66;http://dx.doi.org/10.2174/2666255816666220609110712</v>
      </c>
      <c r="G1491" s="15" t="str">
        <f ca="1">VLOOKUP(B1491,'ALL DATABASES'!$A$1:$T$2252,3,FALSE)</f>
        <v>Journal Article</v>
      </c>
      <c r="H1491" s="50" t="str">
        <f ca="1">VLOOKUP(B1491,'ALL DATABASES'!$A$1:$T$2252,20,FALSE)</f>
        <v>SCOPUS</v>
      </c>
    </row>
    <row r="1492" spans="1:8" ht="12.75" x14ac:dyDescent="0.2">
      <c r="A1492">
        <v>1491</v>
      </c>
      <c r="B1492" s="15" t="str">
        <f ca="1">IFERROR(__xludf.DUMMYFUNCTION("""COMPUTED_VALUE"""),"Systematic reviews in sentiment analysis: a tertiary study")</f>
        <v>Systematic reviews in sentiment analysis: a tertiary study</v>
      </c>
      <c r="C1492" s="15" t="str">
        <f ca="1">VLOOKUP(B1492,'ALL DATABASES'!$A$1:$T$2252,2,FALSE)</f>
        <v>Ligthart A,Catal C,Tekinerdogan B</v>
      </c>
      <c r="D1492" s="15">
        <f ca="1">VLOOKUP(B1492,'ALL DATABASES'!$A$1:$T$2252,5,FALSE)</f>
        <v>2021</v>
      </c>
      <c r="E1492" s="15">
        <f ca="1">VLOOKUP(B1492,'ALL DATABASES'!$A$1:$T$2252,10,FALSE)</f>
        <v>2021</v>
      </c>
      <c r="F1492" s="54" t="str">
        <f ca="1">VLOOKUP(B1492,'ALL DATABASES'!$A$1:$T$2252,14,FALSE)</f>
        <v>https://www.scopus.com/inward/record.uri?eid=2-s2.0-85114194059&amp;doi=10.1007%2fs10462-021-09973-3&amp;partnerID=40&amp;md5=49449a0bcf1838604f6936491dbf7dcf;http://dx.doi.org/10.1007/s10462-021-09973-3</v>
      </c>
      <c r="G1492" s="15" t="str">
        <f ca="1">VLOOKUP(B1492,'ALL DATABASES'!$A$1:$T$2252,3,FALSE)</f>
        <v>Journal Article</v>
      </c>
      <c r="H1492" s="50" t="str">
        <f ca="1">VLOOKUP(B1492,'ALL DATABASES'!$A$1:$T$2252,20,FALSE)</f>
        <v>SCOPUS</v>
      </c>
    </row>
    <row r="1493" spans="1:8" ht="12.75" x14ac:dyDescent="0.2">
      <c r="A1493">
        <v>1492</v>
      </c>
      <c r="B1493" s="15" t="str">
        <f ca="1">IFERROR(__xludf.DUMMYFUNCTION("""COMPUTED_VALUE"""),"Systems  Engineering and Artificial Intelligence")</f>
        <v>Systems  Engineering and Artificial Intelligence</v>
      </c>
      <c r="C1493" s="15" t="str">
        <f ca="1">VLOOKUP(B1493,'ALL DATABASES'!$A$1:$T$2252,2,FALSE)</f>
        <v>William F. LawlessRanjeev MittuDonald A. SofgeThomas ShortellThomas A. McDermott</v>
      </c>
      <c r="D1493" s="15">
        <f ca="1">VLOOKUP(B1493,'ALL DATABASES'!$A$1:$T$2252,5,FALSE)</f>
        <v>2021</v>
      </c>
      <c r="E1493" s="15">
        <f ca="1">VLOOKUP(B1493,'ALL DATABASES'!$A$1:$T$2252,10,FALSE)</f>
        <v>0</v>
      </c>
      <c r="F1493" s="54" t="str">
        <f ca="1">VLOOKUP(B1493,'ALL DATABASES'!$A$1:$T$2252,14,FALSE)</f>
        <v>http://link.springer.com/book/10.1007/978-3-030-77283-3</v>
      </c>
      <c r="G1493" s="15" t="str">
        <f ca="1">VLOOKUP(B1493,'ALL DATABASES'!$A$1:$T$2252,3,FALSE)</f>
        <v>Book</v>
      </c>
      <c r="H1493" s="50" t="str">
        <f ca="1">VLOOKUP(B1493,'ALL DATABASES'!$A$1:$T$2252,20,FALSE)</f>
        <v>SPRINGER</v>
      </c>
    </row>
    <row r="1494" spans="1:8" ht="12.75" x14ac:dyDescent="0.2">
      <c r="A1494">
        <v>1493</v>
      </c>
      <c r="B1494" s="15" t="str">
        <f ca="1">IFERROR(__xludf.DUMMYFUNCTION("""COMPUTED_VALUE"""),"Systems Engineering for Artificial Intelligence-based Systems: A Review in Time")</f>
        <v>Systems Engineering for Artificial Intelligence-based Systems: A Review in Time</v>
      </c>
      <c r="C1494" s="15" t="str">
        <f ca="1">VLOOKUP(B1494,'ALL DATABASES'!$A$1:$T$2252,2,FALSE)</f>
        <v>James LlinasHesham FouadRanjeev Mittu</v>
      </c>
      <c r="D1494" s="15">
        <f ca="1">VLOOKUP(B1494,'ALL DATABASES'!$A$1:$T$2252,5,FALSE)</f>
        <v>2021</v>
      </c>
      <c r="E1494" s="15">
        <f ca="1">VLOOKUP(B1494,'ALL DATABASES'!$A$1:$T$2252,10,FALSE)</f>
        <v>0</v>
      </c>
      <c r="F1494" s="54" t="str">
        <f ca="1">VLOOKUP(B1494,'ALL DATABASES'!$A$1:$T$2252,14,FALSE)</f>
        <v>http://link.springer.com/chapter/10.1007/978-3-030-77283-3_6</v>
      </c>
      <c r="G1494" s="15" t="str">
        <f ca="1">VLOOKUP(B1494,'ALL DATABASES'!$A$1:$T$2252,3,FALSE)</f>
        <v>Chapter</v>
      </c>
      <c r="H1494" s="50" t="str">
        <f ca="1">VLOOKUP(B1494,'ALL DATABASES'!$A$1:$T$2252,20,FALSE)</f>
        <v>SPRINGER</v>
      </c>
    </row>
    <row r="1495" spans="1:8" ht="12.75" x14ac:dyDescent="0.2">
      <c r="A1495">
        <v>1494</v>
      </c>
      <c r="B1495" s="15" t="str">
        <f ca="1">IFERROR(__xludf.DUMMYFUNCTION("""COMPUTED_VALUE"""),"Systems, Software and Services Process Improvement")</f>
        <v>Systems, Software and Services Process Improvement</v>
      </c>
      <c r="C1495" s="15" t="str">
        <f ca="1">VLOOKUP(B1495,'ALL DATABASES'!$A$1:$T$2252,2,FALSE)</f>
        <v>Alastair WalkerProf. Rory V. O'ConnorDr. Richard Messnarz</v>
      </c>
      <c r="D1495" s="15">
        <f ca="1">VLOOKUP(B1495,'ALL DATABASES'!$A$1:$T$2252,5,FALSE)</f>
        <v>2019</v>
      </c>
      <c r="E1495" s="15">
        <f ca="1">VLOOKUP(B1495,'ALL DATABASES'!$A$1:$T$2252,10,FALSE)</f>
        <v>0</v>
      </c>
      <c r="F1495" s="54" t="str">
        <f ca="1">VLOOKUP(B1495,'ALL DATABASES'!$A$1:$T$2252,14,FALSE)</f>
        <v>http://link.springer.com/book/10.1007/978-3-030-28005-5</v>
      </c>
      <c r="G1495" s="15" t="str">
        <f ca="1">VLOOKUP(B1495,'ALL DATABASES'!$A$1:$T$2252,3,FALSE)</f>
        <v>Book</v>
      </c>
      <c r="H1495" s="50" t="str">
        <f ca="1">VLOOKUP(B1495,'ALL DATABASES'!$A$1:$T$2252,20,FALSE)</f>
        <v>SPRINGER</v>
      </c>
    </row>
    <row r="1496" spans="1:8" ht="12.75" x14ac:dyDescent="0.2">
      <c r="A1496">
        <v>1495</v>
      </c>
      <c r="B1496" s="15" t="str">
        <f ca="1">IFERROR(__xludf.DUMMYFUNCTION("""COMPUTED_VALUE"""),"Table of Contents")</f>
        <v>Table of Contents</v>
      </c>
      <c r="C1496" s="15">
        <f ca="1">VLOOKUP(B1496,'ALL DATABASES'!$A$1:$T$2252,2,FALSE)</f>
        <v>0</v>
      </c>
      <c r="D1496" s="15">
        <f ca="1">VLOOKUP(B1496,'ALL DATABASES'!$A$1:$T$2252,5,FALSE)</f>
        <v>2021</v>
      </c>
      <c r="E1496" s="55">
        <f ca="1">VLOOKUP(B1496,'ALL DATABASES'!$A$1:$T$2252,10,FALSE)</f>
        <v>44317</v>
      </c>
      <c r="F1496" s="54" t="str">
        <f ca="1">VLOOKUP(B1496,'ALL DATABASES'!$A$1:$T$2252,14,FALSE)</f>
        <v>http://dx.doi.org/10.1109/ICSE-SEIP52600.2021.00004</v>
      </c>
      <c r="G1496" s="15" t="str">
        <f ca="1">VLOOKUP(B1496,'ALL DATABASES'!$A$1:$T$2252,3,FALSE)</f>
        <v>Conference Paper</v>
      </c>
      <c r="H1496" s="50" t="str">
        <f ca="1">VLOOKUP(B1496,'ALL DATABASES'!$A$1:$T$2252,20,FALSE)</f>
        <v>IEEE</v>
      </c>
    </row>
    <row r="1497" spans="1:8" ht="12.75" x14ac:dyDescent="0.2">
      <c r="A1497">
        <v>1496</v>
      </c>
      <c r="B1497" s="15" t="str">
        <f ca="1">IFERROR(__xludf.DUMMYFUNCTION("""COMPUTED_VALUE"""),"Table of contents")</f>
        <v>Table of contents</v>
      </c>
      <c r="C1497" s="15">
        <f ca="1">VLOOKUP(B1497,'ALL DATABASES'!$A$1:$T$2252,2,FALSE)</f>
        <v>0</v>
      </c>
      <c r="D1497" s="15">
        <f ca="1">VLOOKUP(B1497,'ALL DATABASES'!$A$1:$T$2252,5,FALSE)</f>
        <v>2021</v>
      </c>
      <c r="E1497" s="55">
        <f ca="1">VLOOKUP(B1497,'ALL DATABASES'!$A$1:$T$2252,10,FALSE)</f>
        <v>44317</v>
      </c>
      <c r="F1497" s="54" t="str">
        <f ca="1">VLOOKUP(B1497,'ALL DATABASES'!$A$1:$T$2252,14,FALSE)</f>
        <v>http://dx.doi.org/10.1109/ICSE-SEIP52600.2021.00004</v>
      </c>
      <c r="G1497" s="15" t="str">
        <f ca="1">VLOOKUP(B1497,'ALL DATABASES'!$A$1:$T$2252,3,FALSE)</f>
        <v>Conference Paper</v>
      </c>
      <c r="H1497" s="50" t="str">
        <f ca="1">VLOOKUP(B1497,'ALL DATABASES'!$A$1:$T$2252,20,FALSE)</f>
        <v>IEEE</v>
      </c>
    </row>
    <row r="1498" spans="1:8" ht="12.75" x14ac:dyDescent="0.2">
      <c r="A1498">
        <v>1497</v>
      </c>
      <c r="B1498" s="15" t="str">
        <f ca="1">IFERROR(__xludf.DUMMYFUNCTION("""COMPUTED_VALUE"""),"Tackling Combinatorial Explosion: A Study of Industrial Needs and Practices for Analyzing Highly Configurable Systems")</f>
        <v>Tackling Combinatorial Explosion: A Study of Industrial Needs and Practices for Analyzing Highly Configurable Systems</v>
      </c>
      <c r="C1498" s="15" t="str">
        <f ca="1">VLOOKUP(B1498,'ALL DATABASES'!$A$1:$T$2252,2,FALSE)</f>
        <v>Mukelabai M,Nešić D,Maro S,Berger T,Steghöfer JP</v>
      </c>
      <c r="D1498" s="15">
        <f ca="1">VLOOKUP(B1498,'ALL DATABASES'!$A$1:$T$2252,5,FALSE)</f>
        <v>2018</v>
      </c>
      <c r="E1498" s="15">
        <f ca="1">VLOOKUP(B1498,'ALL DATABASES'!$A$1:$T$2252,10,FALSE)</f>
        <v>2018</v>
      </c>
      <c r="F1498" s="54" t="str">
        <f ca="1">VLOOKUP(B1498,'ALL DATABASES'!$A$1:$T$2252,14,FALSE)</f>
        <v>https://doi.org/10.1145/3238147.3238201;http://dx.doi.org/10.1145/3238147.3238201</v>
      </c>
      <c r="G1498" s="15" t="str">
        <f ca="1">VLOOKUP(B1498,'ALL DATABASES'!$A$1:$T$2252,3,FALSE)</f>
        <v>Conference Paper</v>
      </c>
      <c r="H1498" s="50" t="str">
        <f ca="1">VLOOKUP(B1498,'ALL DATABASES'!$A$1:$T$2252,20,FALSE)</f>
        <v>ACM</v>
      </c>
    </row>
    <row r="1499" spans="1:8" ht="12.75" x14ac:dyDescent="0.2">
      <c r="A1499">
        <v>1498</v>
      </c>
      <c r="B1499" s="15" t="str">
        <f ca="1">IFERROR(__xludf.DUMMYFUNCTION("""COMPUTED_VALUE"""),"Tackling Documentation Debt: A Survey on Algorithmic Fairness Datasets")</f>
        <v>Tackling Documentation Debt: A Survey on Algorithmic Fairness Datasets</v>
      </c>
      <c r="C1499" s="15" t="str">
        <f ca="1">VLOOKUP(B1499,'ALL DATABASES'!$A$1:$T$2252,2,FALSE)</f>
        <v>Fabris A,Messina S,Silvello G,Susto GA</v>
      </c>
      <c r="D1499" s="15">
        <f ca="1">VLOOKUP(B1499,'ALL DATABASES'!$A$1:$T$2252,5,FALSE)</f>
        <v>2022</v>
      </c>
      <c r="E1499" s="15">
        <f ca="1">VLOOKUP(B1499,'ALL DATABASES'!$A$1:$T$2252,10,FALSE)</f>
        <v>2022</v>
      </c>
      <c r="F1499" s="54" t="str">
        <f ca="1">VLOOKUP(B1499,'ALL DATABASES'!$A$1:$T$2252,14,FALSE)</f>
        <v>https://doi.org/10.1145/3551624.3555286;http://dx.doi.org/10.1145/3551624.3555286</v>
      </c>
      <c r="G1499" s="15" t="str">
        <f ca="1">VLOOKUP(B1499,'ALL DATABASES'!$A$1:$T$2252,3,FALSE)</f>
        <v>Conference Paper</v>
      </c>
      <c r="H1499" s="50" t="str">
        <f ca="1">VLOOKUP(B1499,'ALL DATABASES'!$A$1:$T$2252,20,FALSE)</f>
        <v>ACM</v>
      </c>
    </row>
    <row r="1500" spans="1:8" ht="12.75" x14ac:dyDescent="0.2">
      <c r="A1500">
        <v>1499</v>
      </c>
      <c r="B1500" s="15" t="str">
        <f ca="1">IFERROR(__xludf.DUMMYFUNCTION("""COMPUTED_VALUE"""),"Tags’ Recommender to Classify Architectural Knowledge Applying Language Models")</f>
        <v>Tags’ Recommender to Classify Architectural Knowledge Applying Language Models</v>
      </c>
      <c r="C1500" s="15" t="str">
        <f ca="1">VLOOKUP(B1500,'ALL DATABASES'!$A$1:$T$2252,2,FALSE)</f>
        <v>Borrego G,González-López S,Palacio RR</v>
      </c>
      <c r="D1500" s="15">
        <f ca="1">VLOOKUP(B1500,'ALL DATABASES'!$A$1:$T$2252,5,FALSE)</f>
        <v>2022</v>
      </c>
      <c r="E1500" s="15">
        <f ca="1">VLOOKUP(B1500,'ALL DATABASES'!$A$1:$T$2252,10,FALSE)</f>
        <v>2022</v>
      </c>
      <c r="F1500" s="54" t="str">
        <f ca="1">VLOOKUP(B1500,'ALL DATABASES'!$A$1:$T$2252,14,FALSE)</f>
        <v>https://www.scopus.com/inward/record.uri?eid=2-s2.0-85124089577&amp;doi=10.3390%2fmath10030446&amp;partnerID=40&amp;md5=edba7034083e27c3edb9e300c1ca7fac;http://dx.doi.org/10.3390/math10030446</v>
      </c>
      <c r="G1500" s="15" t="str">
        <f ca="1">VLOOKUP(B1500,'ALL DATABASES'!$A$1:$T$2252,3,FALSE)</f>
        <v>Journal Article</v>
      </c>
      <c r="H1500" s="50" t="str">
        <f ca="1">VLOOKUP(B1500,'ALL DATABASES'!$A$1:$T$2252,20,FALSE)</f>
        <v>SCOPUS</v>
      </c>
    </row>
    <row r="1501" spans="1:8" ht="12.75" x14ac:dyDescent="0.2">
      <c r="A1501">
        <v>1500</v>
      </c>
      <c r="B1501" s="15" t="str">
        <f ca="1">IFERROR(__xludf.DUMMYFUNCTION("""COMPUTED_VALUE"""),"Talent Management")</f>
        <v>Talent Management</v>
      </c>
      <c r="C1501" s="15" t="str">
        <f ca="1">VLOOKUP(B1501,'ALL DATABASES'!$A$1:$T$2252,2,FALSE)</f>
        <v>Patrick McCuller</v>
      </c>
      <c r="D1501" s="15">
        <f ca="1">VLOOKUP(B1501,'ALL DATABASES'!$A$1:$T$2252,5,FALSE)</f>
        <v>2012</v>
      </c>
      <c r="E1501" s="15">
        <f ca="1">VLOOKUP(B1501,'ALL DATABASES'!$A$1:$T$2252,10,FALSE)</f>
        <v>0</v>
      </c>
      <c r="F1501" s="54" t="str">
        <f ca="1">VLOOKUP(B1501,'ALL DATABASES'!$A$1:$T$2252,14,FALSE)</f>
        <v>http://link.springer.com/chapter/10.1007/978-1-4302-4918-4_2</v>
      </c>
      <c r="G1501" s="15" t="str">
        <f ca="1">VLOOKUP(B1501,'ALL DATABASES'!$A$1:$T$2252,3,FALSE)</f>
        <v>Chapter</v>
      </c>
      <c r="H1501" s="50" t="str">
        <f ca="1">VLOOKUP(B1501,'ALL DATABASES'!$A$1:$T$2252,20,FALSE)</f>
        <v>SPRINGER</v>
      </c>
    </row>
    <row r="1502" spans="1:8" ht="12.75" x14ac:dyDescent="0.2">
      <c r="A1502">
        <v>1501</v>
      </c>
      <c r="B1502" s="15" t="str">
        <f ca="1">IFERROR(__xludf.DUMMYFUNCTION("""COMPUTED_VALUE"""),"Task estimation for software company employees based on computer interaction logs")</f>
        <v>Task estimation for software company employees based on computer interaction logs</v>
      </c>
      <c r="C1502" s="15" t="str">
        <f ca="1">VLOOKUP(B1502,'ALL DATABASES'!$A$1:$T$2252,2,FALSE)</f>
        <v>Pellegrin F,Yücel Z,Monden A,Leelaprute P</v>
      </c>
      <c r="D1502" s="15">
        <f ca="1">VLOOKUP(B1502,'ALL DATABASES'!$A$1:$T$2252,5,FALSE)</f>
        <v>2021</v>
      </c>
      <c r="E1502" s="15">
        <f ca="1">VLOOKUP(B1502,'ALL DATABASES'!$A$1:$T$2252,10,FALSE)</f>
        <v>2021</v>
      </c>
      <c r="F1502" s="54" t="str">
        <f ca="1">VLOOKUP(B1502,'ALL DATABASES'!$A$1:$T$2252,14,FALSE)</f>
        <v>https://www.scopus.com/inward/record.uri?eid=2-s2.0-85110356731&amp;doi=10.1007%2fs10664-021-10006-4&amp;partnerID=40&amp;md5=a859d2636665b7971e10581368126272;http://dx.doi.org/10.1007/s10664-021-10006-4</v>
      </c>
      <c r="G1502" s="15" t="str">
        <f ca="1">VLOOKUP(B1502,'ALL DATABASES'!$A$1:$T$2252,3,FALSE)</f>
        <v>Journal Article</v>
      </c>
      <c r="H1502" s="50" t="str">
        <f ca="1">VLOOKUP(B1502,'ALL DATABASES'!$A$1:$T$2252,20,FALSE)</f>
        <v>SCOPUS</v>
      </c>
    </row>
    <row r="1503" spans="1:8" ht="12.75" x14ac:dyDescent="0.2">
      <c r="A1503">
        <v>1502</v>
      </c>
      <c r="B1503" s="15" t="str">
        <f ca="1">IFERROR(__xludf.DUMMYFUNCTION("""COMPUTED_VALUE"""),"TD Classifier: Automatic Identification of Java Classes with High Technical Debt")</f>
        <v>TD Classifier: Automatic Identification of Java Classes with High Technical Debt</v>
      </c>
      <c r="C1503" s="15" t="str">
        <f ca="1">VLOOKUP(B1503,'ALL DATABASES'!$A$1:$T$2252,2,FALSE)</f>
        <v>Tsoukalas D,Chatzigeorgiou A,Ampatzoglou A,Mittas N,Kehagias D</v>
      </c>
      <c r="D1503" s="15">
        <f ca="1">VLOOKUP(B1503,'ALL DATABASES'!$A$1:$T$2252,5,FALSE)</f>
        <v>2022</v>
      </c>
      <c r="E1503" s="15">
        <f ca="1">VLOOKUP(B1503,'ALL DATABASES'!$A$1:$T$2252,10,FALSE)</f>
        <v>2022</v>
      </c>
      <c r="F1503" s="54" t="str">
        <f ca="1">VLOOKUP(B1503,'ALL DATABASES'!$A$1:$T$2252,14,FALSE)</f>
        <v>https://doi.org/10.1145/3524843.3528094;http://dx.doi.org/10.1145/3524843.3528094</v>
      </c>
      <c r="G1503" s="15" t="str">
        <f ca="1">VLOOKUP(B1503,'ALL DATABASES'!$A$1:$T$2252,3,FALSE)</f>
        <v>Conference Paper</v>
      </c>
      <c r="H1503" s="50" t="str">
        <f ca="1">VLOOKUP(B1503,'ALL DATABASES'!$A$1:$T$2252,20,FALSE)</f>
        <v>ACM</v>
      </c>
    </row>
    <row r="1504" spans="1:8" ht="12.75" x14ac:dyDescent="0.2">
      <c r="A1504">
        <v>1503</v>
      </c>
      <c r="B1504" s="15" t="str">
        <f ca="1">IFERROR(__xludf.DUMMYFUNCTION("""COMPUTED_VALUE"""),"Teaching Software Engineering for AI-Enabled Systems")</f>
        <v>Teaching Software Engineering for AI-Enabled Systems</v>
      </c>
      <c r="C1504" s="15" t="str">
        <f ca="1">VLOOKUP(B1504,'ALL DATABASES'!$A$1:$T$2252,2,FALSE)</f>
        <v>Kästner C,Kang E</v>
      </c>
      <c r="D1504" s="15">
        <f ca="1">VLOOKUP(B1504,'ALL DATABASES'!$A$1:$T$2252,5,FALSE)</f>
        <v>2020</v>
      </c>
      <c r="E1504" s="15">
        <f ca="1">VLOOKUP(B1504,'ALL DATABASES'!$A$1:$T$2252,10,FALSE)</f>
        <v>2020</v>
      </c>
      <c r="F1504" s="54" t="str">
        <f ca="1">VLOOKUP(B1504,'ALL DATABASES'!$A$1:$T$2252,14,FALSE)</f>
        <v>https://doi.org/10.1145/3377814.3381714;http://dx.doi.org/10.1145/3377814.3381714</v>
      </c>
      <c r="G1504" s="15" t="str">
        <f ca="1">VLOOKUP(B1504,'ALL DATABASES'!$A$1:$T$2252,3,FALSE)</f>
        <v>Conference Paper</v>
      </c>
      <c r="H1504" s="50" t="str">
        <f ca="1">VLOOKUP(B1504,'ALL DATABASES'!$A$1:$T$2252,20,FALSE)</f>
        <v>ACM</v>
      </c>
    </row>
    <row r="1505" spans="1:8" ht="12.75" x14ac:dyDescent="0.2">
      <c r="A1505">
        <v>1504</v>
      </c>
      <c r="B1505" s="15" t="str">
        <f ca="1">IFERROR(__xludf.DUMMYFUNCTION("""COMPUTED_VALUE"""),"Technical Architectures for Automotive Systems")</f>
        <v>Technical Architectures for Automotive Systems</v>
      </c>
      <c r="C1505" s="15" t="str">
        <f ca="1">VLOOKUP(B1505,'ALL DATABASES'!$A$1:$T$2252,2,FALSE)</f>
        <v>Bucaioni A,Pelliccione P</v>
      </c>
      <c r="D1505" s="15">
        <f ca="1">VLOOKUP(B1505,'ALL DATABASES'!$A$1:$T$2252,5,FALSE)</f>
        <v>2020</v>
      </c>
      <c r="E1505" s="55">
        <f ca="1">VLOOKUP(B1505,'ALL DATABASES'!$A$1:$T$2252,10,FALSE)</f>
        <v>43891</v>
      </c>
      <c r="F1505" s="54" t="str">
        <f ca="1">VLOOKUP(B1505,'ALL DATABASES'!$A$1:$T$2252,14,FALSE)</f>
        <v>http://dx.doi.org/10.1109/ICSA47634.2020.00013</v>
      </c>
      <c r="G1505" s="15" t="str">
        <f ca="1">VLOOKUP(B1505,'ALL DATABASES'!$A$1:$T$2252,3,FALSE)</f>
        <v>Conference Paper</v>
      </c>
      <c r="H1505" s="50" t="str">
        <f ca="1">VLOOKUP(B1505,'ALL DATABASES'!$A$1:$T$2252,20,FALSE)</f>
        <v>IEEE</v>
      </c>
    </row>
    <row r="1506" spans="1:8" ht="12.75" x14ac:dyDescent="0.2">
      <c r="A1506">
        <v>1505</v>
      </c>
      <c r="B1506" s="15" t="str">
        <f ca="1">IFERROR(__xludf.DUMMYFUNCTION("""COMPUTED_VALUE"""),"Technical Debt as an External Software Attribute")</f>
        <v>Technical Debt as an External Software Attribute</v>
      </c>
      <c r="C1506" s="15" t="str">
        <f ca="1">VLOOKUP(B1506,'ALL DATABASES'!$A$1:$T$2252,2,FALSE)</f>
        <v>Lavazza L,Morasca S,Tosi D</v>
      </c>
      <c r="D1506" s="15">
        <f ca="1">VLOOKUP(B1506,'ALL DATABASES'!$A$1:$T$2252,5,FALSE)</f>
        <v>2018</v>
      </c>
      <c r="E1506" s="15">
        <f ca="1">VLOOKUP(B1506,'ALL DATABASES'!$A$1:$T$2252,10,FALSE)</f>
        <v>2018</v>
      </c>
      <c r="F1506" s="54" t="str">
        <f ca="1">VLOOKUP(B1506,'ALL DATABASES'!$A$1:$T$2252,14,FALSE)</f>
        <v>https://doi.org/10.1145/3194164.3194168;http://dx.doi.org/10.1145/3194164.3194168</v>
      </c>
      <c r="G1506" s="15" t="str">
        <f ca="1">VLOOKUP(B1506,'ALL DATABASES'!$A$1:$T$2252,3,FALSE)</f>
        <v>Conference Paper</v>
      </c>
      <c r="H1506" s="50" t="str">
        <f ca="1">VLOOKUP(B1506,'ALL DATABASES'!$A$1:$T$2252,20,FALSE)</f>
        <v>ACM</v>
      </c>
    </row>
    <row r="1507" spans="1:8" ht="12.75" x14ac:dyDescent="0.2">
      <c r="A1507">
        <v>1506</v>
      </c>
      <c r="B1507" s="15" t="str">
        <f ca="1">IFERROR(__xludf.DUMMYFUNCTION("""COMPUTED_VALUE"""),"Technical debt as an indicator of software security risk: a machine learning approach for software development enterprises")</f>
        <v>Technical debt as an indicator of software security risk: a machine learning approach for software development enterprises</v>
      </c>
      <c r="C1507" s="15" t="str">
        <f ca="1">VLOOKUP(B1507,'ALL DATABASES'!$A$1:$T$2252,2,FALSE)</f>
        <v>Siavvas M,Tsoukalas D,Jankovic M,Kehagias D,Tzovaras D</v>
      </c>
      <c r="D1507" s="15">
        <f ca="1">VLOOKUP(B1507,'ALL DATABASES'!$A$1:$T$2252,5,FALSE)</f>
        <v>2022</v>
      </c>
      <c r="E1507" s="15">
        <f ca="1">VLOOKUP(B1507,'ALL DATABASES'!$A$1:$T$2252,10,FALSE)</f>
        <v>2022</v>
      </c>
      <c r="F1507" s="54" t="str">
        <f ca="1">VLOOKUP(B1507,'ALL DATABASES'!$A$1:$T$2252,14,FALSE)</f>
        <v>https://www.scopus.com/inward/record.uri?eid=2-s2.0-85091426748&amp;doi=10.1080%2f17517575.2020.1824017&amp;partnerID=40&amp;md5=cda4cfb39edc69c3987dbadb2f2f44bf;http://dx.doi.org/10.1080/17517575.2020.1824017</v>
      </c>
      <c r="G1507" s="15" t="str">
        <f ca="1">VLOOKUP(B1507,'ALL DATABASES'!$A$1:$T$2252,3,FALSE)</f>
        <v>Journal Article</v>
      </c>
      <c r="H1507" s="50" t="str">
        <f ca="1">VLOOKUP(B1507,'ALL DATABASES'!$A$1:$T$2252,20,FALSE)</f>
        <v>SCOPUS</v>
      </c>
    </row>
    <row r="1508" spans="1:8" ht="12.75" x14ac:dyDescent="0.2">
      <c r="A1508">
        <v>1507</v>
      </c>
      <c r="B1508" s="15" t="str">
        <f ca="1">IFERROR(__xludf.DUMMYFUNCTION("""COMPUTED_VALUE"""),"Technical Debt Forecasting Based on Deep Learning Techniques")</f>
        <v>Technical Debt Forecasting Based on Deep Learning Techniques</v>
      </c>
      <c r="C1508" s="15" t="str">
        <f ca="1">VLOOKUP(B1508,'ALL DATABASES'!$A$1:$T$2252,2,FALSE)</f>
        <v>Maria MathioudakiDimitrios TsoukalasMiltiadis SiavvasDionysios Kehagias</v>
      </c>
      <c r="D1508" s="15">
        <f ca="1">VLOOKUP(B1508,'ALL DATABASES'!$A$1:$T$2252,5,FALSE)</f>
        <v>2021</v>
      </c>
      <c r="E1508" s="15">
        <f ca="1">VLOOKUP(B1508,'ALL DATABASES'!$A$1:$T$2252,10,FALSE)</f>
        <v>0</v>
      </c>
      <c r="F1508" s="54" t="str">
        <f ca="1">VLOOKUP(B1508,'ALL DATABASES'!$A$1:$T$2252,14,FALSE)</f>
        <v>http://link.springer.com/chapter/10.1007/978-3-030-87007-2_22</v>
      </c>
      <c r="G1508" s="15" t="str">
        <f ca="1">VLOOKUP(B1508,'ALL DATABASES'!$A$1:$T$2252,3,FALSE)</f>
        <v>Chapter</v>
      </c>
      <c r="H1508" s="50" t="str">
        <f ca="1">VLOOKUP(B1508,'ALL DATABASES'!$A$1:$T$2252,20,FALSE)</f>
        <v>SPRINGER</v>
      </c>
    </row>
    <row r="1509" spans="1:8" ht="12.75" x14ac:dyDescent="0.2">
      <c r="A1509">
        <v>1508</v>
      </c>
      <c r="B1509" s="15" t="str">
        <f ca="1">IFERROR(__xludf.DUMMYFUNCTION("""COMPUTED_VALUE"""),"Technical Debt Forecasting from Source Code Using Temporal Convolutional Networks")</f>
        <v>Technical Debt Forecasting from Source Code Using Temporal Convolutional Networks</v>
      </c>
      <c r="C1509" s="15" t="str">
        <f ca="1">VLOOKUP(B1509,'ALL DATABASES'!$A$1:$T$2252,2,FALSE)</f>
        <v>Aversano LerinaMario Luca BernardiMarta CimitileMartina Iammarino</v>
      </c>
      <c r="D1509" s="15">
        <f ca="1">VLOOKUP(B1509,'ALL DATABASES'!$A$1:$T$2252,5,FALSE)</f>
        <v>2022</v>
      </c>
      <c r="E1509" s="15">
        <f ca="1">VLOOKUP(B1509,'ALL DATABASES'!$A$1:$T$2252,10,FALSE)</f>
        <v>0</v>
      </c>
      <c r="F1509" s="54" t="str">
        <f ca="1">VLOOKUP(B1509,'ALL DATABASES'!$A$1:$T$2252,14,FALSE)</f>
        <v>http://link.springer.com/chapter/10.1007/978-3-031-21388-5_43</v>
      </c>
      <c r="G1509" s="15" t="str">
        <f ca="1">VLOOKUP(B1509,'ALL DATABASES'!$A$1:$T$2252,3,FALSE)</f>
        <v>Chapter</v>
      </c>
      <c r="H1509" s="50" t="str">
        <f ca="1">VLOOKUP(B1509,'ALL DATABASES'!$A$1:$T$2252,20,FALSE)</f>
        <v>SPRINGER</v>
      </c>
    </row>
    <row r="1510" spans="1:8" ht="12.75" x14ac:dyDescent="0.2">
      <c r="A1510">
        <v>1509</v>
      </c>
      <c r="B1510" s="15" t="str">
        <f ca="1">IFERROR(__xludf.DUMMYFUNCTION("""COMPUTED_VALUE"""),"Technical debt forecasting: An empirical study on open-source repositories")</f>
        <v>Technical debt forecasting: An empirical study on open-source repositories</v>
      </c>
      <c r="C1510" s="15" t="str">
        <f ca="1">VLOOKUP(B1510,'ALL DATABASES'!$A$1:$T$2252,2,FALSE)</f>
        <v>Tsoukalas D,Kehagias D,Siavvas M,Chatzigeorgiou A</v>
      </c>
      <c r="D1510" s="15">
        <f ca="1">VLOOKUP(B1510,'ALL DATABASES'!$A$1:$T$2252,5,FALSE)</f>
        <v>2020</v>
      </c>
      <c r="E1510" s="15">
        <f ca="1">VLOOKUP(B1510,'ALL DATABASES'!$A$1:$T$2252,10,FALSE)</f>
        <v>2020</v>
      </c>
      <c r="F1510" s="54" t="str">
        <f ca="1">VLOOKUP(B1510,'ALL DATABASES'!$A$1:$T$2252,14,FALSE)</f>
        <v>https://www.sciencedirect.com/science/article/pii/S0164121220301904;http://dx.doi.org/10.1016/j.jss.2020.110777</v>
      </c>
      <c r="G1510" s="15" t="str">
        <f ca="1">VLOOKUP(B1510,'ALL DATABASES'!$A$1:$T$2252,3,FALSE)</f>
        <v>Journal Article</v>
      </c>
      <c r="H1510" s="50" t="str">
        <f ca="1">VLOOKUP(B1510,'ALL DATABASES'!$A$1:$T$2252,20,FALSE)</f>
        <v>SCIENCEDIRECT</v>
      </c>
    </row>
    <row r="1511" spans="1:8" ht="12.75" x14ac:dyDescent="0.2">
      <c r="A1511">
        <v>1510</v>
      </c>
      <c r="B1511" s="15" t="str">
        <f ca="1">IFERROR(__xludf.DUMMYFUNCTION("""COMPUTED_VALUE"""),"Technical Debt Impacting Lead-Times: An Exploratory Study")</f>
        <v>Technical Debt Impacting Lead-Times: An Exploratory Study</v>
      </c>
      <c r="C1511" s="15" t="str">
        <f ca="1">VLOOKUP(B1511,'ALL DATABASES'!$A$1:$T$2252,2,FALSE)</f>
        <v>Lenarduzzi V,Martini A,Saarimaki N,Tamburri DA</v>
      </c>
      <c r="D1511" s="15">
        <f ca="1">VLOOKUP(B1511,'ALL DATABASES'!$A$1:$T$2252,5,FALSE)</f>
        <v>2021</v>
      </c>
      <c r="E1511" s="15">
        <f ca="1">VLOOKUP(B1511,'ALL DATABASES'!$A$1:$T$2252,10,FALSE)</f>
        <v>2021</v>
      </c>
      <c r="F1511" s="54" t="str">
        <f ca="1">VLOOKUP(B1511,'ALL DATABASES'!$A$1:$T$2252,14,FALSE)</f>
        <v>https://www.scopus.com/inward/record.uri?eid=2-s2.0-85119188059&amp;doi=10.1109%2fSEAA53835.2021.00032&amp;partnerID=40&amp;md5=aa61a2e188974a7848c87e65473cb369;http://dx.doi.org/10.1109/SEAA53835.2021.00032</v>
      </c>
      <c r="G1511" s="15" t="str">
        <f ca="1">VLOOKUP(B1511,'ALL DATABASES'!$A$1:$T$2252,3,FALSE)</f>
        <v>Conference Paper</v>
      </c>
      <c r="H1511" s="50" t="str">
        <f ca="1">VLOOKUP(B1511,'ALL DATABASES'!$A$1:$T$2252,20,FALSE)</f>
        <v>SCOPUS</v>
      </c>
    </row>
    <row r="1512" spans="1:8" ht="12.75" x14ac:dyDescent="0.2">
      <c r="A1512">
        <v>1511</v>
      </c>
      <c r="B1512" s="15" t="str">
        <f ca="1">IFERROR(__xludf.DUMMYFUNCTION("""COMPUTED_VALUE"""),"Technical Debt in Agile Development: Report on the Ninth Workshop on Managing Technical Debt (MTD 2017)")</f>
        <v>Technical Debt in Agile Development: Report on the Ninth Workshop on Managing Technical Debt (MTD 2017)</v>
      </c>
      <c r="C1512" s="15" t="str">
        <f ca="1">VLOOKUP(B1512,'ALL DATABASES'!$A$1:$T$2252,2,FALSE)</f>
        <v>Fontana FA,Chatzigeorgiou A,Trumler W,Izurieta C,Avgeriou P,Nord RL</v>
      </c>
      <c r="D1512" s="15">
        <f ca="1">VLOOKUP(B1512,'ALL DATABASES'!$A$1:$T$2252,5,FALSE)</f>
        <v>2017</v>
      </c>
      <c r="E1512" s="55">
        <f ca="1">VLOOKUP(B1512,'ALL DATABASES'!$A$1:$T$2252,10,FALSE)</f>
        <v>42979</v>
      </c>
      <c r="F1512" s="54" t="str">
        <f ca="1">VLOOKUP(B1512,'ALL DATABASES'!$A$1:$T$2252,14,FALSE)</f>
        <v>https://doi.org/10.1145/3127360.3127372;http://dx.doi.org/10.1145/3127360.3127372</v>
      </c>
      <c r="G1512" s="15" t="str">
        <f ca="1">VLOOKUP(B1512,'ALL DATABASES'!$A$1:$T$2252,3,FALSE)</f>
        <v>Journal Article</v>
      </c>
      <c r="H1512" s="50" t="str">
        <f ca="1">VLOOKUP(B1512,'ALL DATABASES'!$A$1:$T$2252,20,FALSE)</f>
        <v>ACM</v>
      </c>
    </row>
    <row r="1513" spans="1:8" ht="12.75" x14ac:dyDescent="0.2">
      <c r="A1513">
        <v>1512</v>
      </c>
      <c r="B1513" s="15" t="str">
        <f ca="1">IFERROR(__xludf.DUMMYFUNCTION("""COMPUTED_VALUE"""),"Technical Debt in Computational Science")</f>
        <v>Technical Debt in Computational Science</v>
      </c>
      <c r="C1513" s="15" t="str">
        <f ca="1">VLOOKUP(B1513,'ALL DATABASES'!$A$1:$T$2252,2,FALSE)</f>
        <v>Hinsen K</v>
      </c>
      <c r="D1513" s="15">
        <f ca="1">VLOOKUP(B1513,'ALL DATABASES'!$A$1:$T$2252,5,FALSE)</f>
        <v>2015</v>
      </c>
      <c r="E1513" s="53">
        <f ca="1">VLOOKUP(B1513,'ALL DATABASES'!$A$1:$T$2252,10,FALSE)</f>
        <v>42309</v>
      </c>
      <c r="F1513" s="54" t="str">
        <f ca="1">VLOOKUP(B1513,'ALL DATABASES'!$A$1:$T$2252,14,FALSE)</f>
        <v>http://dx.doi.org/10.1109/MCSE.2015.113</v>
      </c>
      <c r="G1513" s="15" t="str">
        <f ca="1">VLOOKUP(B1513,'ALL DATABASES'!$A$1:$T$2252,3,FALSE)</f>
        <v>Journal Article</v>
      </c>
      <c r="H1513" s="50" t="str">
        <f ca="1">VLOOKUP(B1513,'ALL DATABASES'!$A$1:$T$2252,20,FALSE)</f>
        <v>IEEE</v>
      </c>
    </row>
    <row r="1514" spans="1:8" ht="12.75" x14ac:dyDescent="0.2">
      <c r="A1514">
        <v>1513</v>
      </c>
      <c r="B1514" s="15" t="str">
        <f ca="1">IFERROR(__xludf.DUMMYFUNCTION("""COMPUTED_VALUE"""),"Technical Debt in Data-Intensive Software Systems")</f>
        <v>Technical Debt in Data-Intensive Software Systems</v>
      </c>
      <c r="C1514" s="15" t="str">
        <f ca="1">VLOOKUP(B1514,'ALL DATABASES'!$A$1:$T$2252,2,FALSE)</f>
        <v>Foidl H,Felderer M,Biffl S</v>
      </c>
      <c r="D1514" s="15">
        <f ca="1">VLOOKUP(B1514,'ALL DATABASES'!$A$1:$T$2252,5,FALSE)</f>
        <v>2019</v>
      </c>
      <c r="E1514" s="15">
        <f ca="1">VLOOKUP(B1514,'ALL DATABASES'!$A$1:$T$2252,10,FALSE)</f>
        <v>2019</v>
      </c>
      <c r="F1514" s="54" t="str">
        <f ca="1">VLOOKUP(B1514,'ALL DATABASES'!$A$1:$T$2252,14,FALSE)</f>
        <v>https://www.scopus.com/inward/record.uri?eid=2-s2.0-85076023455&amp;doi=10.1109%2fSEAA.2019.00058&amp;partnerID=40&amp;md5=8782bcadfa91c73f243bfa205aabfbdb;http://dx.doi.org/10.1109/SEAA.2019.00058</v>
      </c>
      <c r="G1514" s="15" t="str">
        <f ca="1">VLOOKUP(B1514,'ALL DATABASES'!$A$1:$T$2252,3,FALSE)</f>
        <v>Conference Paper</v>
      </c>
      <c r="H1514" s="50" t="str">
        <f ca="1">VLOOKUP(B1514,'ALL DATABASES'!$A$1:$T$2252,20,FALSE)</f>
        <v>SCOPUS</v>
      </c>
    </row>
    <row r="1515" spans="1:8" ht="12.75" x14ac:dyDescent="0.2">
      <c r="A1515">
        <v>1514</v>
      </c>
      <c r="B1515" s="15" t="str">
        <f ca="1">IFERROR(__xludf.DUMMYFUNCTION("""COMPUTED_VALUE"""),"Technical Debt in Hardware Systems and Elements")</f>
        <v>Technical Debt in Hardware Systems and Elements</v>
      </c>
      <c r="C1515" s="15" t="str">
        <f ca="1">VLOOKUP(B1515,'ALL DATABASES'!$A$1:$T$2252,2,FALSE)</f>
        <v>Rosser LA,Ouzzif Z</v>
      </c>
      <c r="D1515" s="15">
        <f ca="1">VLOOKUP(B1515,'ALL DATABASES'!$A$1:$T$2252,5,FALSE)</f>
        <v>2021</v>
      </c>
      <c r="E1515" s="15">
        <f ca="1">VLOOKUP(B1515,'ALL DATABASES'!$A$1:$T$2252,10,FALSE)</f>
        <v>2021</v>
      </c>
      <c r="F1515" s="54" t="str">
        <f ca="1">VLOOKUP(B1515,'ALL DATABASES'!$A$1:$T$2252,14,FALSE)</f>
        <v>https://www.scopus.com/inward/record.uri?eid=2-s2.0-85111389737&amp;doi=10.1109%2fAERO50100.2021.9438332&amp;partnerID=40&amp;md5=795ec34083622a90acb3a26c720febaa;http://dx.doi.org/10.1109/AERO50100.2021.9438332</v>
      </c>
      <c r="G1515" s="15" t="str">
        <f ca="1">VLOOKUP(B1515,'ALL DATABASES'!$A$1:$T$2252,3,FALSE)</f>
        <v>Conference Paper</v>
      </c>
      <c r="H1515" s="50" t="str">
        <f ca="1">VLOOKUP(B1515,'ALL DATABASES'!$A$1:$T$2252,20,FALSE)</f>
        <v>SCOPUS</v>
      </c>
    </row>
    <row r="1516" spans="1:8" ht="12.75" x14ac:dyDescent="0.2">
      <c r="A1516">
        <v>1515</v>
      </c>
      <c r="B1516" s="15" t="str">
        <f ca="1">IFERROR(__xludf.DUMMYFUNCTION("""COMPUTED_VALUE"""),"Technical Debt in Service-Oriented Software Systems")</f>
        <v>Technical Debt in Service-Oriented Software Systems</v>
      </c>
      <c r="C1516" s="15" t="str">
        <f ca="1">VLOOKUP(B1516,'ALL DATABASES'!$A$1:$T$2252,2,FALSE)</f>
        <v>Nikolaidis N,Ampatzoglou A,Chatzigeorgiou A,Tsekeridou S,Piperidis A</v>
      </c>
      <c r="D1516" s="15">
        <f ca="1">VLOOKUP(B1516,'ALL DATABASES'!$A$1:$T$2252,5,FALSE)</f>
        <v>2022</v>
      </c>
      <c r="E1516" s="15">
        <f ca="1">VLOOKUP(B1516,'ALL DATABASES'!$A$1:$T$2252,10,FALSE)</f>
        <v>2022</v>
      </c>
      <c r="F1516" s="54" t="str">
        <f ca="1">VLOOKUP(B1516,'ALL DATABASES'!$A$1:$T$2252,14,FALSE)</f>
        <v>https://www.scopus.com/inward/record.uri?eid=2-s2.0-85142683338&amp;doi=10.1007%2f978-3-031-21388-5_19&amp;partnerID=40&amp;md5=c3af08459cf0233cd5db9d511d5918d9;http://dx.doi.org/10.1007/978-3-031-21388-5_19</v>
      </c>
      <c r="G1516" s="15" t="str">
        <f ca="1">VLOOKUP(B1516,'ALL DATABASES'!$A$1:$T$2252,3,FALSE)</f>
        <v>Journal Article</v>
      </c>
      <c r="H1516" s="50" t="str">
        <f ca="1">VLOOKUP(B1516,'ALL DATABASES'!$A$1:$T$2252,20,FALSE)</f>
        <v>SCOPUS</v>
      </c>
    </row>
    <row r="1517" spans="1:8" ht="12.75" x14ac:dyDescent="0.2">
      <c r="A1517">
        <v>1516</v>
      </c>
      <c r="B1517" s="15" t="str">
        <f ca="1">IFERROR(__xludf.DUMMYFUNCTION("""COMPUTED_VALUE"""),"Technical Debt in the Peer-Review Documentation of R Packages: a rOpenSci Case Study")</f>
        <v>Technical Debt in the Peer-Review Documentation of R Packages: a rOpenSci Case Study</v>
      </c>
      <c r="C1517" s="15" t="str">
        <f ca="1">VLOOKUP(B1517,'ALL DATABASES'!$A$1:$T$2252,2,FALSE)</f>
        <v>Codabux Z,Vidoni M,Fard FH</v>
      </c>
      <c r="D1517" s="15">
        <f ca="1">VLOOKUP(B1517,'ALL DATABASES'!$A$1:$T$2252,5,FALSE)</f>
        <v>2021</v>
      </c>
      <c r="E1517" s="55">
        <f ca="1">VLOOKUP(B1517,'ALL DATABASES'!$A$1:$T$2252,10,FALSE)</f>
        <v>44317</v>
      </c>
      <c r="F1517" s="54" t="str">
        <f ca="1">VLOOKUP(B1517,'ALL DATABASES'!$A$1:$T$2252,14,FALSE)</f>
        <v>http://dx.doi.org/10.1109/MSR52588.2021.00032</v>
      </c>
      <c r="G1517" s="15" t="str">
        <f ca="1">VLOOKUP(B1517,'ALL DATABASES'!$A$1:$T$2252,3,FALSE)</f>
        <v>Conference Paper</v>
      </c>
      <c r="H1517" s="50" t="str">
        <f ca="1">VLOOKUP(B1517,'ALL DATABASES'!$A$1:$T$2252,20,FALSE)</f>
        <v>IEEE</v>
      </c>
    </row>
    <row r="1518" spans="1:8" ht="12.75" x14ac:dyDescent="0.2">
      <c r="A1518">
        <v>1517</v>
      </c>
      <c r="B1518" s="15" t="str">
        <f ca="1">IFERROR(__xludf.DUMMYFUNCTION("""COMPUTED_VALUE"""),"Technical Debt Management and Energy Consumption Evaluation in Implantable Medical Devices: The SDK4ED Approach")</f>
        <v>Technical Debt Management and Energy Consumption Evaluation in Implantable Medical Devices: The SDK4ED Approach</v>
      </c>
      <c r="C1518" s="15" t="str">
        <f ca="1">VLOOKUP(B1518,'ALL DATABASES'!$A$1:$T$2252,2,FALSE)</f>
        <v>Charalampos MarantosAngeliki-Agathi TsintziraLazaros PapadopoulosApostolos AmpatzoglouAlexander ChatzigeorgiouDimitrios Soudris</v>
      </c>
      <c r="D1518" s="15">
        <f ca="1">VLOOKUP(B1518,'ALL DATABASES'!$A$1:$T$2252,5,FALSE)</f>
        <v>2020</v>
      </c>
      <c r="E1518" s="15">
        <f ca="1">VLOOKUP(B1518,'ALL DATABASES'!$A$1:$T$2252,10,FALSE)</f>
        <v>0</v>
      </c>
      <c r="F1518" s="54" t="str">
        <f ca="1">VLOOKUP(B1518,'ALL DATABASES'!$A$1:$T$2252,14,FALSE)</f>
        <v>http://link.springer.com/chapter/10.1007/978-3-030-60939-9_25</v>
      </c>
      <c r="G1518" s="15" t="str">
        <f ca="1">VLOOKUP(B1518,'ALL DATABASES'!$A$1:$T$2252,3,FALSE)</f>
        <v>Chapter</v>
      </c>
      <c r="H1518" s="50" t="str">
        <f ca="1">VLOOKUP(B1518,'ALL DATABASES'!$A$1:$T$2252,20,FALSE)</f>
        <v>SPRINGER</v>
      </c>
    </row>
    <row r="1519" spans="1:8" ht="12.75" x14ac:dyDescent="0.2">
      <c r="A1519">
        <v>1518</v>
      </c>
      <c r="B1519" s="15" t="str">
        <f ca="1">IFERROR(__xludf.DUMMYFUNCTION("""COMPUTED_VALUE"""),"Technical Debt Measurement during Software Development using Sonarqube: Literature Review and a Case Study")</f>
        <v>Technical Debt Measurement during Software Development using Sonarqube: Literature Review and a Case Study</v>
      </c>
      <c r="C1519" s="15" t="str">
        <f ca="1">VLOOKUP(B1519,'ALL DATABASES'!$A$1:$T$2252,2,FALSE)</f>
        <v>Murillo MI,Jenkins M</v>
      </c>
      <c r="D1519" s="15">
        <f ca="1">VLOOKUP(B1519,'ALL DATABASES'!$A$1:$T$2252,5,FALSE)</f>
        <v>2021</v>
      </c>
      <c r="E1519" s="15">
        <f ca="1">VLOOKUP(B1519,'ALL DATABASES'!$A$1:$T$2252,10,FALSE)</f>
        <v>2021</v>
      </c>
      <c r="F1519" s="54" t="str">
        <f ca="1">VLOOKUP(B1519,'ALL DATABASES'!$A$1:$T$2252,14,FALSE)</f>
        <v>https://www.scopus.com/inward/record.uri?eid=2-s2.0-85133418548&amp;doi=10.1109%2fJoCICI54528.2021.9794341&amp;partnerID=40&amp;md5=7d286e6571bbed24361a35a1cf02f7a8;http://dx.doi.org/10.1109/JoCICI54528.2021.9794341</v>
      </c>
      <c r="G1519" s="15" t="str">
        <f ca="1">VLOOKUP(B1519,'ALL DATABASES'!$A$1:$T$2252,3,FALSE)</f>
        <v>Conference Paper</v>
      </c>
      <c r="H1519" s="50" t="str">
        <f ca="1">VLOOKUP(B1519,'ALL DATABASES'!$A$1:$T$2252,20,FALSE)</f>
        <v>SCOPUS</v>
      </c>
    </row>
    <row r="1520" spans="1:8" ht="12.75" x14ac:dyDescent="0.2">
      <c r="A1520">
        <v>1519</v>
      </c>
      <c r="B1520" s="15" t="str">
        <f ca="1">IFERROR(__xludf.DUMMYFUNCTION("""COMPUTED_VALUE"""),"Technical Debt predictive model through Temporal Convolutional Network")</f>
        <v>Technical Debt predictive model through Temporal Convolutional Network</v>
      </c>
      <c r="C1520" s="15" t="str">
        <f ca="1">VLOOKUP(B1520,'ALL DATABASES'!$A$1:$T$2252,2,FALSE)</f>
        <v>Aversano L,Bernardi ML,Cimitile M,Iammarino M</v>
      </c>
      <c r="D1520" s="15">
        <f ca="1">VLOOKUP(B1520,'ALL DATABASES'!$A$1:$T$2252,5,FALSE)</f>
        <v>2021</v>
      </c>
      <c r="E1520" s="55">
        <f ca="1">VLOOKUP(B1520,'ALL DATABASES'!$A$1:$T$2252,10,FALSE)</f>
        <v>44378</v>
      </c>
      <c r="F1520" s="54" t="str">
        <f ca="1">VLOOKUP(B1520,'ALL DATABASES'!$A$1:$T$2252,14,FALSE)</f>
        <v>http://dx.doi.org/10.1109/IJCNN52387.2021.9534423</v>
      </c>
      <c r="G1520" s="15" t="str">
        <f ca="1">VLOOKUP(B1520,'ALL DATABASES'!$A$1:$T$2252,3,FALSE)</f>
        <v>Conference Paper</v>
      </c>
      <c r="H1520" s="50" t="str">
        <f ca="1">VLOOKUP(B1520,'ALL DATABASES'!$A$1:$T$2252,20,FALSE)</f>
        <v>IEEE</v>
      </c>
    </row>
    <row r="1521" spans="1:8" ht="12.75" x14ac:dyDescent="0.2">
      <c r="A1521">
        <v>1520</v>
      </c>
      <c r="B1521" s="15" t="str">
        <f ca="1">IFERROR(__xludf.DUMMYFUNCTION("""COMPUTED_VALUE"""),"Technical Debt Prioritization: A Developer's Perspective")</f>
        <v>Technical Debt Prioritization: A Developer's Perspective</v>
      </c>
      <c r="C1521" s="15" t="str">
        <f ca="1">VLOOKUP(B1521,'ALL DATABASES'!$A$1:$T$2252,2,FALSE)</f>
        <v>Pina D,Seaman C,Goldman A</v>
      </c>
      <c r="D1521" s="15">
        <f ca="1">VLOOKUP(B1521,'ALL DATABASES'!$A$1:$T$2252,5,FALSE)</f>
        <v>2022</v>
      </c>
      <c r="E1521" s="15">
        <f ca="1">VLOOKUP(B1521,'ALL DATABASES'!$A$1:$T$2252,10,FALSE)</f>
        <v>2022</v>
      </c>
      <c r="F1521" s="54" t="str">
        <f ca="1">VLOOKUP(B1521,'ALL DATABASES'!$A$1:$T$2252,14,FALSE)</f>
        <v>https://doi.org/10.1145/3524843.3528096;http://dx.doi.org/10.1145/3524843.3528096</v>
      </c>
      <c r="G1521" s="15" t="str">
        <f ca="1">VLOOKUP(B1521,'ALL DATABASES'!$A$1:$T$2252,3,FALSE)</f>
        <v>Conference Paper</v>
      </c>
      <c r="H1521" s="50" t="str">
        <f ca="1">VLOOKUP(B1521,'ALL DATABASES'!$A$1:$T$2252,20,FALSE)</f>
        <v>ACM</v>
      </c>
    </row>
    <row r="1522" spans="1:8" ht="12.75" x14ac:dyDescent="0.2">
      <c r="A1522">
        <v>1521</v>
      </c>
      <c r="B1522" s="15" t="str">
        <f ca="1">IFERROR(__xludf.DUMMYFUNCTION("""COMPUTED_VALUE"""),"Technical Debt Prioritization: Taxonomy, Methods Results, and Practical Characteristics")</f>
        <v>Technical Debt Prioritization: Taxonomy, Methods Results, and Practical Characteristics</v>
      </c>
      <c r="C1522" s="15" t="str">
        <f ca="1">VLOOKUP(B1522,'ALL DATABASES'!$A$1:$T$2252,2,FALSE)</f>
        <v>Pina D,Goldman A,Tonin G</v>
      </c>
      <c r="D1522" s="15">
        <f ca="1">VLOOKUP(B1522,'ALL DATABASES'!$A$1:$T$2252,5,FALSE)</f>
        <v>2021</v>
      </c>
      <c r="E1522" s="55">
        <f ca="1">VLOOKUP(B1522,'ALL DATABASES'!$A$1:$T$2252,10,FALSE)</f>
        <v>44440</v>
      </c>
      <c r="F1522" s="54" t="str">
        <f ca="1">VLOOKUP(B1522,'ALL DATABASES'!$A$1:$T$2252,14,FALSE)</f>
        <v>http://dx.doi.org/10.1109/SEAA53835.2021.00034</v>
      </c>
      <c r="G1522" s="15" t="str">
        <f ca="1">VLOOKUP(B1522,'ALL DATABASES'!$A$1:$T$2252,3,FALSE)</f>
        <v>Conference Paper</v>
      </c>
      <c r="H1522" s="50" t="str">
        <f ca="1">VLOOKUP(B1522,'ALL DATABASES'!$A$1:$T$2252,20,FALSE)</f>
        <v>IEEE</v>
      </c>
    </row>
    <row r="1523" spans="1:8" ht="12.75" x14ac:dyDescent="0.2">
      <c r="A1523">
        <v>1522</v>
      </c>
      <c r="B1523" s="15" t="str">
        <f ca="1">IFERROR(__xludf.DUMMYFUNCTION("""COMPUTED_VALUE"""),"Technical Debt Problems and Concerns")</f>
        <v>Technical Debt Problems and Concerns</v>
      </c>
      <c r="C1523" s="15" t="str">
        <f ca="1">VLOOKUP(B1523,'ALL DATABASES'!$A$1:$T$2252,2,FALSE)</f>
        <v>Carver JC,Larrucea X,Serebrenik A,Staron M</v>
      </c>
      <c r="D1523" s="15">
        <f ca="1">VLOOKUP(B1523,'ALL DATABASES'!$A$1:$T$2252,5,FALSE)</f>
        <v>2022</v>
      </c>
      <c r="E1523" s="55">
        <f ca="1">VLOOKUP(B1523,'ALL DATABASES'!$A$1:$T$2252,10,FALSE)</f>
        <v>44682</v>
      </c>
      <c r="F1523" s="54" t="str">
        <f ca="1">VLOOKUP(B1523,'ALL DATABASES'!$A$1:$T$2252,14,FALSE)</f>
        <v>http://dx.doi.org/10.1109/MS.2021.3133734</v>
      </c>
      <c r="G1523" s="15" t="str">
        <f ca="1">VLOOKUP(B1523,'ALL DATABASES'!$A$1:$T$2252,3,FALSE)</f>
        <v>Journal Article</v>
      </c>
      <c r="H1523" s="50" t="str">
        <f ca="1">VLOOKUP(B1523,'ALL DATABASES'!$A$1:$T$2252,20,FALSE)</f>
        <v>IEEE</v>
      </c>
    </row>
    <row r="1524" spans="1:8" ht="12.75" x14ac:dyDescent="0.2">
      <c r="A1524">
        <v>1523</v>
      </c>
      <c r="B1524" s="15" t="str">
        <f ca="1">IFERROR(__xludf.DUMMYFUNCTION("""COMPUTED_VALUE"""),"Technical Debt Resulting from Architectural Degradation and Code Smells: A Systematic Mapping Study")</f>
        <v>Technical Debt Resulting from Architectural Degradation and Code Smells: A Systematic Mapping Study</v>
      </c>
      <c r="C1524" s="15" t="str">
        <f ca="1">VLOOKUP(B1524,'ALL DATABASES'!$A$1:$T$2252,2,FALSE)</f>
        <v>Das D,Maruf AA,Islam R,Lambaria N,Kim S,Abdelfattah AS,Cerny T,Frajtak K,Bures M,Tisnovsky P</v>
      </c>
      <c r="D1524" s="15">
        <f ca="1">VLOOKUP(B1524,'ALL DATABASES'!$A$1:$T$2252,5,FALSE)</f>
        <v>2022</v>
      </c>
      <c r="E1524" s="55">
        <f ca="1">VLOOKUP(B1524,'ALL DATABASES'!$A$1:$T$2252,10,FALSE)</f>
        <v>44562</v>
      </c>
      <c r="F1524" s="54" t="str">
        <f ca="1">VLOOKUP(B1524,'ALL DATABASES'!$A$1:$T$2252,14,FALSE)</f>
        <v>https://doi.org/10.1145/3512753.3512755;http://dx.doi.org/10.1145/3512753.3512755</v>
      </c>
      <c r="G1524" s="15" t="str">
        <f ca="1">VLOOKUP(B1524,'ALL DATABASES'!$A$1:$T$2252,3,FALSE)</f>
        <v>Journal Article</v>
      </c>
      <c r="H1524" s="50" t="str">
        <f ca="1">VLOOKUP(B1524,'ALL DATABASES'!$A$1:$T$2252,20,FALSE)</f>
        <v>ACM</v>
      </c>
    </row>
    <row r="1525" spans="1:8" ht="12.75" x14ac:dyDescent="0.2">
      <c r="A1525">
        <v>1524</v>
      </c>
      <c r="B1525" s="15" t="str">
        <f ca="1">IFERROR(__xludf.DUMMYFUNCTION("""COMPUTED_VALUE"""),"Technical Debt: A Research Roadmap Report on the Eighth Workshop on Managing Technical Debt (MTD 2016)")</f>
        <v>Technical Debt: A Research Roadmap Report on the Eighth Workshop on Managing Technical Debt (MTD 2016)</v>
      </c>
      <c r="C1525" s="15" t="str">
        <f ca="1">VLOOKUP(B1525,'ALL DATABASES'!$A$1:$T$2252,2,FALSE)</f>
        <v>Izurieta C,Ozkaya I,Seaman C,Snipes W</v>
      </c>
      <c r="D1525" s="15">
        <f ca="1">VLOOKUP(B1525,'ALL DATABASES'!$A$1:$T$2252,5,FALSE)</f>
        <v>2017</v>
      </c>
      <c r="E1525" s="55">
        <f ca="1">VLOOKUP(B1525,'ALL DATABASES'!$A$1:$T$2252,10,FALSE)</f>
        <v>42795</v>
      </c>
      <c r="F1525" s="54" t="str">
        <f ca="1">VLOOKUP(B1525,'ALL DATABASES'!$A$1:$T$2252,14,FALSE)</f>
        <v>https://doi.org/10.1145/3041765.3041774;http://dx.doi.org/10.1145/3041765.3041774</v>
      </c>
      <c r="G1525" s="15" t="str">
        <f ca="1">VLOOKUP(B1525,'ALL DATABASES'!$A$1:$T$2252,3,FALSE)</f>
        <v>Journal Article</v>
      </c>
      <c r="H1525" s="50" t="str">
        <f ca="1">VLOOKUP(B1525,'ALL DATABASES'!$A$1:$T$2252,20,FALSE)</f>
        <v>ACM</v>
      </c>
    </row>
    <row r="1526" spans="1:8" ht="12.75" x14ac:dyDescent="0.2">
      <c r="A1526">
        <v>1525</v>
      </c>
      <c r="B1526" s="15" t="str">
        <f ca="1">IFERROR(__xludf.DUMMYFUNCTION("""COMPUTED_VALUE"""),"Technical Debt: Broadening Perspectives Report on the Seventh Workshop on Managing Technical Debt (MTD 2015)")</f>
        <v>Technical Debt: Broadening Perspectives Report on the Seventh Workshop on Managing Technical Debt (MTD 2015)</v>
      </c>
      <c r="C1526" s="15" t="str">
        <f ca="1">VLOOKUP(B1526,'ALL DATABASES'!$A$1:$T$2252,2,FALSE)</f>
        <v>Avgeriou P,Ernst NA,Nord RL,Kruchten P</v>
      </c>
      <c r="D1526" s="15">
        <f ca="1">VLOOKUP(B1526,'ALL DATABASES'!$A$1:$T$2252,5,FALSE)</f>
        <v>2016</v>
      </c>
      <c r="E1526" s="55">
        <f ca="1">VLOOKUP(B1526,'ALL DATABASES'!$A$1:$T$2252,10,FALSE)</f>
        <v>42491</v>
      </c>
      <c r="F1526" s="54" t="str">
        <f ca="1">VLOOKUP(B1526,'ALL DATABASES'!$A$1:$T$2252,14,FALSE)</f>
        <v>https://doi.org/10.1145/2894784.2894800;http://dx.doi.org/10.1145/2894784.2894800</v>
      </c>
      <c r="G1526" s="15" t="str">
        <f ca="1">VLOOKUP(B1526,'ALL DATABASES'!$A$1:$T$2252,3,FALSE)</f>
        <v>Journal Article</v>
      </c>
      <c r="H1526" s="50" t="str">
        <f ca="1">VLOOKUP(B1526,'ALL DATABASES'!$A$1:$T$2252,20,FALSE)</f>
        <v>ACM</v>
      </c>
    </row>
    <row r="1527" spans="1:8" ht="12.75" x14ac:dyDescent="0.2">
      <c r="A1527">
        <v>1526</v>
      </c>
      <c r="B1527" s="15" t="str">
        <f ca="1">IFERROR(__xludf.DUMMYFUNCTION("""COMPUTED_VALUE"""),"Technical debts and faults in open-source quantum software systems: An empirical study")</f>
        <v>Technical debts and faults in open-source quantum software systems: An empirical study</v>
      </c>
      <c r="C1527" s="15" t="str">
        <f ca="1">VLOOKUP(B1527,'ALL DATABASES'!$A$1:$T$2252,2,FALSE)</f>
        <v>Openja M,Morovati MM,An L,Khomh F,Abidi M</v>
      </c>
      <c r="D1527" s="15">
        <f ca="1">VLOOKUP(B1527,'ALL DATABASES'!$A$1:$T$2252,5,FALSE)</f>
        <v>2022</v>
      </c>
      <c r="E1527" s="15">
        <f ca="1">VLOOKUP(B1527,'ALL DATABASES'!$A$1:$T$2252,10,FALSE)</f>
        <v>2022</v>
      </c>
      <c r="F1527" s="54" t="str">
        <f ca="1">VLOOKUP(B1527,'ALL DATABASES'!$A$1:$T$2252,14,FALSE)</f>
        <v>https://www.scopus.com/inward/record.uri?eid=2-s2.0-85135699101&amp;doi=10.1016%2fj.jss.2022.111458&amp;partnerID=40&amp;md5=9290b68aebc2338832c078b171b8b2cc;http://dx.doi.org/10.1016/j.jss.2022.111458</v>
      </c>
      <c r="G1527" s="15" t="str">
        <f ca="1">VLOOKUP(B1527,'ALL DATABASES'!$A$1:$T$2252,3,FALSE)</f>
        <v>Journal Article</v>
      </c>
      <c r="H1527" s="50" t="str">
        <f ca="1">VLOOKUP(B1527,'ALL DATABASES'!$A$1:$T$2252,20,FALSE)</f>
        <v>SCOPUS</v>
      </c>
    </row>
    <row r="1528" spans="1:8" ht="12.75" x14ac:dyDescent="0.2">
      <c r="A1528">
        <v>1527</v>
      </c>
      <c r="B1528" s="15" t="str">
        <f ca="1">IFERROR(__xludf.DUMMYFUNCTION("""COMPUTED_VALUE"""),"Technical Leverage in a Software Ecosystem: Development Opportunities and Security Risks")</f>
        <v>Technical Leverage in a Software Ecosystem: Development Opportunities and Security Risks</v>
      </c>
      <c r="C1528" s="15" t="str">
        <f ca="1">VLOOKUP(B1528,'ALL DATABASES'!$A$1:$T$2252,2,FALSE)</f>
        <v>Massacci F,Pashchenko I</v>
      </c>
      <c r="D1528" s="15">
        <f ca="1">VLOOKUP(B1528,'ALL DATABASES'!$A$1:$T$2252,5,FALSE)</f>
        <v>2021</v>
      </c>
      <c r="E1528" s="15">
        <f ca="1">VLOOKUP(B1528,'ALL DATABASES'!$A$1:$T$2252,10,FALSE)</f>
        <v>2021</v>
      </c>
      <c r="F1528" s="54" t="str">
        <f ca="1">VLOOKUP(B1528,'ALL DATABASES'!$A$1:$T$2252,14,FALSE)</f>
        <v>https://doi.org/10.1109/ICSE43902.2021.00125;http://dx.doi.org/10.1109/ICSE43902.2021.00125</v>
      </c>
      <c r="G1528" s="15" t="str">
        <f ca="1">VLOOKUP(B1528,'ALL DATABASES'!$A$1:$T$2252,3,FALSE)</f>
        <v>Conference Paper</v>
      </c>
      <c r="H1528" s="50" t="str">
        <f ca="1">VLOOKUP(B1528,'ALL DATABASES'!$A$1:$T$2252,20,FALSE)</f>
        <v>ACM</v>
      </c>
    </row>
    <row r="1529" spans="1:8" ht="12.75" x14ac:dyDescent="0.2">
      <c r="A1529">
        <v>1528</v>
      </c>
      <c r="B1529" s="15" t="str">
        <f ca="1">IFERROR(__xludf.DUMMYFUNCTION("""COMPUTED_VALUE"""),"Techniques Based on Data Science for Software Processes: A Systematic Literature Review")</f>
        <v>Techniques Based on Data Science for Software Processes: A Systematic Literature Review</v>
      </c>
      <c r="C1529" s="15" t="str">
        <f ca="1">VLOOKUP(B1529,'ALL DATABASES'!$A$1:$T$2252,2,FALSE)</f>
        <v>Alvaro FernÃ¡ndez Del CarpioLeonardo BermÃ³n Angarita</v>
      </c>
      <c r="D1529" s="15">
        <f ca="1">VLOOKUP(B1529,'ALL DATABASES'!$A$1:$T$2252,5,FALSE)</f>
        <v>2018</v>
      </c>
      <c r="E1529" s="15">
        <f ca="1">VLOOKUP(B1529,'ALL DATABASES'!$A$1:$T$2252,10,FALSE)</f>
        <v>0</v>
      </c>
      <c r="F1529" s="54" t="str">
        <f ca="1">VLOOKUP(B1529,'ALL DATABASES'!$A$1:$T$2252,14,FALSE)</f>
        <v>http://link.springer.com/chapter/10.1007/978-3-030-00623-5_2</v>
      </c>
      <c r="G1529" s="15" t="str">
        <f ca="1">VLOOKUP(B1529,'ALL DATABASES'!$A$1:$T$2252,3,FALSE)</f>
        <v>Chapter</v>
      </c>
      <c r="H1529" s="50" t="str">
        <f ca="1">VLOOKUP(B1529,'ALL DATABASES'!$A$1:$T$2252,20,FALSE)</f>
        <v>SPRINGER</v>
      </c>
    </row>
    <row r="1530" spans="1:8" ht="12.75" x14ac:dyDescent="0.2">
      <c r="A1530">
        <v>1529</v>
      </c>
      <c r="B1530" s="15" t="str">
        <f ca="1">IFERROR(__xludf.DUMMYFUNCTION("""COMPUTED_VALUE"""),"Technological support for detection and prediction of plant diseases: A systematic mapping study")</f>
        <v>Technological support for detection and prediction of plant diseases: A systematic mapping study</v>
      </c>
      <c r="C1530" s="15" t="str">
        <f ca="1">VLOOKUP(B1530,'ALL DATABASES'!$A$1:$T$2252,2,FALSE)</f>
        <v>Bischoff V,Farias K,Menzen JP,Pessin G</v>
      </c>
      <c r="D1530" s="15">
        <f ca="1">VLOOKUP(B1530,'ALL DATABASES'!$A$1:$T$2252,5,FALSE)</f>
        <v>2021</v>
      </c>
      <c r="E1530" s="15">
        <f ca="1">VLOOKUP(B1530,'ALL DATABASES'!$A$1:$T$2252,10,FALSE)</f>
        <v>2021</v>
      </c>
      <c r="F1530" s="54" t="str">
        <f ca="1">VLOOKUP(B1530,'ALL DATABASES'!$A$1:$T$2252,14,FALSE)</f>
        <v>https://www.scopus.com/inward/record.uri?eid=2-s2.0-85098933960&amp;doi=10.1016%2fj.compag.2020.105922&amp;partnerID=40&amp;md5=72d041552aa067501c1bde57ead189f8;http://dx.doi.org/10.1016/j.compag.2020.105922</v>
      </c>
      <c r="G1530" s="15" t="str">
        <f ca="1">VLOOKUP(B1530,'ALL DATABASES'!$A$1:$T$2252,3,FALSE)</f>
        <v>Journal Article</v>
      </c>
      <c r="H1530" s="50" t="str">
        <f ca="1">VLOOKUP(B1530,'ALL DATABASES'!$A$1:$T$2252,20,FALSE)</f>
        <v>SCOPUS</v>
      </c>
    </row>
    <row r="1531" spans="1:8" ht="12.75" x14ac:dyDescent="0.2">
      <c r="A1531">
        <v>1530</v>
      </c>
      <c r="B1531" s="15" t="str">
        <f ca="1">IFERROR(__xludf.DUMMYFUNCTION("""COMPUTED_VALUE"""),"Technology readiness levels for machine learning systems")</f>
        <v>Technology readiness levels for machine learning systems</v>
      </c>
      <c r="C1531" s="15" t="str">
        <f ca="1">VLOOKUP(B1531,'ALL DATABASES'!$A$1:$T$2252,2,FALSE)</f>
        <v>Lavin A,Gilligan-Lee CM,Visnjic A,Ganju S,Newman D,Ganguly S,Lange D,Baydin AG,Sharma A,Gibson A,Zheng S,Xing EP,Mattmann C,Parr J,Gal Y</v>
      </c>
      <c r="D1531" s="15">
        <f ca="1">VLOOKUP(B1531,'ALL DATABASES'!$A$1:$T$2252,5,FALSE)</f>
        <v>2022</v>
      </c>
      <c r="E1531" s="15">
        <f ca="1">VLOOKUP(B1531,'ALL DATABASES'!$A$1:$T$2252,10,FALSE)</f>
        <v>2022</v>
      </c>
      <c r="F1531" s="54" t="str">
        <f ca="1">VLOOKUP(B1531,'ALL DATABASES'!$A$1:$T$2252,14,FALSE)</f>
        <v>https://www.scopus.com/inward/record.uri?eid=2-s2.0-85140248769&amp;doi=10.1038%2fs41467-022-33128-9&amp;partnerID=40&amp;md5=7f39ed3a9fe7ceedb33e533a011c142a;http://dx.doi.org/10.1038/s41467-022-33128-9</v>
      </c>
      <c r="G1531" s="15" t="str">
        <f ca="1">VLOOKUP(B1531,'ALL DATABASES'!$A$1:$T$2252,3,FALSE)</f>
        <v>Journal Article</v>
      </c>
      <c r="H1531" s="50" t="str">
        <f ca="1">VLOOKUP(B1531,'ALL DATABASES'!$A$1:$T$2252,20,FALSE)</f>
        <v>SCOPUS</v>
      </c>
    </row>
    <row r="1532" spans="1:8" ht="12.75" x14ac:dyDescent="0.2">
      <c r="A1532">
        <v>1531</v>
      </c>
      <c r="B1532" s="15" t="str">
        <f ca="1">IFERROR(__xludf.DUMMYFUNCTION("""COMPUTED_VALUE"""),"Temporal convolutional networks for just-in-time design smells prediction using fine-grained software metrics")</f>
        <v>Temporal convolutional networks for just-in-time design smells prediction using fine-grained software metrics</v>
      </c>
      <c r="C1532" s="15" t="str">
        <f ca="1">VLOOKUP(B1532,'ALL DATABASES'!$A$1:$T$2252,2,FALSE)</f>
        <v>Ardimento P,Aversano L,Bernardi ML,Cimitile M,Iammarino M</v>
      </c>
      <c r="D1532" s="15">
        <f ca="1">VLOOKUP(B1532,'ALL DATABASES'!$A$1:$T$2252,5,FALSE)</f>
        <v>2021</v>
      </c>
      <c r="E1532" s="15">
        <f ca="1">VLOOKUP(B1532,'ALL DATABASES'!$A$1:$T$2252,10,FALSE)</f>
        <v>2021</v>
      </c>
      <c r="F1532" s="54" t="str">
        <f ca="1">VLOOKUP(B1532,'ALL DATABASES'!$A$1:$T$2252,14,FALSE)</f>
        <v>https://www.scopus.com/inward/record.uri?eid=2-s2.0-85114013884&amp;doi=10.1016%2fj.neucom.2021.08.010&amp;partnerID=40&amp;md5=26e9153ed73c29aac86c53e23f208994;http://dx.doi.org/10.1016/j.neucom.2021.08.010</v>
      </c>
      <c r="G1532" s="15" t="str">
        <f ca="1">VLOOKUP(B1532,'ALL DATABASES'!$A$1:$T$2252,3,FALSE)</f>
        <v>Journal Article</v>
      </c>
      <c r="H1532" s="50" t="str">
        <f ca="1">VLOOKUP(B1532,'ALL DATABASES'!$A$1:$T$2252,20,FALSE)</f>
        <v>SCOPUS</v>
      </c>
    </row>
    <row r="1533" spans="1:8" ht="12.75" x14ac:dyDescent="0.2">
      <c r="A1533">
        <v>1532</v>
      </c>
      <c r="B1533" s="15" t="str">
        <f ca="1">IFERROR(__xludf.DUMMYFUNCTION("""COMPUTED_VALUE"""),"Test Smell Detection Tools: A Systematic Mapping Study")</f>
        <v>Test Smell Detection Tools: A Systematic Mapping Study</v>
      </c>
      <c r="C1533" s="15" t="str">
        <f ca="1">VLOOKUP(B1533,'ALL DATABASES'!$A$1:$T$2252,2,FALSE)</f>
        <v>Aljedaani W,Peruma A,Aljohani A,Alotaibi M,Mkaouer MW,Ouni A,Newman CD,Ghallab A,Ludi S</v>
      </c>
      <c r="D1533" s="15">
        <f ca="1">VLOOKUP(B1533,'ALL DATABASES'!$A$1:$T$2252,5,FALSE)</f>
        <v>2021</v>
      </c>
      <c r="E1533" s="15">
        <f ca="1">VLOOKUP(B1533,'ALL DATABASES'!$A$1:$T$2252,10,FALSE)</f>
        <v>2021</v>
      </c>
      <c r="F1533" s="54" t="str">
        <f ca="1">VLOOKUP(B1533,'ALL DATABASES'!$A$1:$T$2252,14,FALSE)</f>
        <v>https://doi.org/10.1145/3463274.3463335;http://dx.doi.org/10.1145/3463274.3463335</v>
      </c>
      <c r="G1533" s="15" t="str">
        <f ca="1">VLOOKUP(B1533,'ALL DATABASES'!$A$1:$T$2252,3,FALSE)</f>
        <v>Conference Paper</v>
      </c>
      <c r="H1533" s="50" t="str">
        <f ca="1">VLOOKUP(B1533,'ALL DATABASES'!$A$1:$T$2252,20,FALSE)</f>
        <v>ACM</v>
      </c>
    </row>
    <row r="1534" spans="1:8" ht="12.75" x14ac:dyDescent="0.2">
      <c r="A1534">
        <v>1533</v>
      </c>
      <c r="B1534" s="15" t="str">
        <f ca="1">IFERROR(__xludf.DUMMYFUNCTION("""COMPUTED_VALUE"""),"TestDCat 3.0: catalog of test debt subtypes and management activities")</f>
        <v>TestDCat 3.0: catalog of test debt subtypes and management activities</v>
      </c>
      <c r="C1534" s="15" t="str">
        <f ca="1">VLOOKUP(B1534,'ALL DATABASES'!$A$1:$T$2252,2,FALSE)</f>
        <v>Bruno S. AragÃ£oRossana M. C. AndradeIsmayle S. SantosRute N. S. CastroValÃ©ria LelliTicianne G. R. Darin</v>
      </c>
      <c r="D1534" s="15">
        <f ca="1">VLOOKUP(B1534,'ALL DATABASES'!$A$1:$T$2252,5,FALSE)</f>
        <v>2022</v>
      </c>
      <c r="E1534" s="15">
        <f ca="1">VLOOKUP(B1534,'ALL DATABASES'!$A$1:$T$2252,10,FALSE)</f>
        <v>0</v>
      </c>
      <c r="F1534" s="54" t="str">
        <f ca="1">VLOOKUP(B1534,'ALL DATABASES'!$A$1:$T$2252,14,FALSE)</f>
        <v>http://link.springer.com/article/10.1007/s11219-020-09533-y</v>
      </c>
      <c r="G1534" s="15" t="str">
        <f ca="1">VLOOKUP(B1534,'ALL DATABASES'!$A$1:$T$2252,3,FALSE)</f>
        <v>Article</v>
      </c>
      <c r="H1534" s="50" t="str">
        <f ca="1">VLOOKUP(B1534,'ALL DATABASES'!$A$1:$T$2252,20,FALSE)</f>
        <v>SPRINGER</v>
      </c>
    </row>
    <row r="1535" spans="1:8" ht="12.75" x14ac:dyDescent="0.2">
      <c r="A1535">
        <v>1534</v>
      </c>
      <c r="B1535" s="15" t="str">
        <f ca="1">IFERROR(__xludf.DUMMYFUNCTION("""COMPUTED_VALUE"""),"Testing Deep Learning Models: A First Comparative Study of Multiple Testing Techniques")</f>
        <v>Testing Deep Learning Models: A First Comparative Study of Multiple Testing Techniques</v>
      </c>
      <c r="C1535" s="15" t="str">
        <f ca="1">VLOOKUP(B1535,'ALL DATABASES'!$A$1:$T$2252,2,FALSE)</f>
        <v>Ahuja MK,Gotlieb A,Spieker H</v>
      </c>
      <c r="D1535" s="15">
        <f ca="1">VLOOKUP(B1535,'ALL DATABASES'!$A$1:$T$2252,5,FALSE)</f>
        <v>2022</v>
      </c>
      <c r="E1535" s="15">
        <f ca="1">VLOOKUP(B1535,'ALL DATABASES'!$A$1:$T$2252,10,FALSE)</f>
        <v>2022</v>
      </c>
      <c r="F1535" s="54" t="str">
        <f ca="1">VLOOKUP(B1535,'ALL DATABASES'!$A$1:$T$2252,14,FALSE)</f>
        <v>https://www.scopus.com/inward/record.uri?eid=2-s2.0-85133240340&amp;doi=10.1109%2fICSTW55395.2022.00035&amp;partnerID=40&amp;md5=01f6e545a8cb5bb23e9c141023fb1a91;http://dx.doi.org/10.1109/ICSTW55395.2022.00035</v>
      </c>
      <c r="G1535" s="15" t="str">
        <f ca="1">VLOOKUP(B1535,'ALL DATABASES'!$A$1:$T$2252,3,FALSE)</f>
        <v>Conference Paper</v>
      </c>
      <c r="H1535" s="50" t="str">
        <f ca="1">VLOOKUP(B1535,'ALL DATABASES'!$A$1:$T$2252,20,FALSE)</f>
        <v>SCOPUS</v>
      </c>
    </row>
    <row r="1536" spans="1:8" ht="12.75" x14ac:dyDescent="0.2">
      <c r="A1536">
        <v>1535</v>
      </c>
      <c r="B1536" s="15" t="str">
        <f ca="1">IFERROR(__xludf.DUMMYFUNCTION("""COMPUTED_VALUE"""),"Testing deep learning-based visual perception for automated driving")</f>
        <v>Testing deep learning-based visual perception for automated driving</v>
      </c>
      <c r="C1536" s="15" t="str">
        <f ca="1">VLOOKUP(B1536,'ALL DATABASES'!$A$1:$T$2252,2,FALSE)</f>
        <v>Abrecht S,Gauerhof L,Gladisch C,Groh K,Heinzemann C,Woehrle M</v>
      </c>
      <c r="D1536" s="15">
        <f ca="1">VLOOKUP(B1536,'ALL DATABASES'!$A$1:$T$2252,5,FALSE)</f>
        <v>2021</v>
      </c>
      <c r="E1536" s="15">
        <f ca="1">VLOOKUP(B1536,'ALL DATABASES'!$A$1:$T$2252,10,FALSE)</f>
        <v>2021</v>
      </c>
      <c r="F1536" s="54" t="str">
        <f ca="1">VLOOKUP(B1536,'ALL DATABASES'!$A$1:$T$2252,14,FALSE)</f>
        <v>https://www.scopus.com/inward/record.uri?eid=2-s2.0-85116015581&amp;doi=10.1145%2f3450356&amp;partnerID=40&amp;md5=7fe6a18118c9d7e10ce3d791abf1e244;http://dx.doi.org/10.1145/3450356</v>
      </c>
      <c r="G1536" s="15" t="str">
        <f ca="1">VLOOKUP(B1536,'ALL DATABASES'!$A$1:$T$2252,3,FALSE)</f>
        <v>Journal Article</v>
      </c>
      <c r="H1536" s="50" t="str">
        <f ca="1">VLOOKUP(B1536,'ALL DATABASES'!$A$1:$T$2252,20,FALSE)</f>
        <v>SCOPUS</v>
      </c>
    </row>
    <row r="1537" spans="1:8" ht="12.75" x14ac:dyDescent="0.2">
      <c r="A1537">
        <v>1536</v>
      </c>
      <c r="B1537" s="15" t="str">
        <f ca="1">IFERROR(__xludf.DUMMYFUNCTION("""COMPUTED_VALUE"""),"Testing Feedforward Neural Networks Training Programs")</f>
        <v>Testing Feedforward Neural Networks Training Programs</v>
      </c>
      <c r="C1537" s="15" t="str">
        <f ca="1">VLOOKUP(B1537,'ALL DATABASES'!$A$1:$T$2252,2,FALSE)</f>
        <v>Braiek HB,Khomh F</v>
      </c>
      <c r="D1537" s="15">
        <f ca="1">VLOOKUP(B1537,'ALL DATABASES'!$A$1:$T$2252,5,FALSE)</f>
        <v>2022</v>
      </c>
      <c r="E1537" s="55">
        <f ca="1">VLOOKUP(B1537,'ALL DATABASES'!$A$1:$T$2252,10,FALSE)</f>
        <v>44682</v>
      </c>
      <c r="F1537" s="54" t="str">
        <f ca="1">VLOOKUP(B1537,'ALL DATABASES'!$A$1:$T$2252,14,FALSE)</f>
        <v>https://doi.org/10.1145/3529318;http://dx.doi.org/10.1145/3529318</v>
      </c>
      <c r="G1537" s="15" t="str">
        <f ca="1">VLOOKUP(B1537,'ALL DATABASES'!$A$1:$T$2252,3,FALSE)</f>
        <v>Journal Article</v>
      </c>
      <c r="H1537" s="50" t="str">
        <f ca="1">VLOOKUP(B1537,'ALL DATABASES'!$A$1:$T$2252,20,FALSE)</f>
        <v>ACM</v>
      </c>
    </row>
    <row r="1538" spans="1:8" ht="12.75" x14ac:dyDescent="0.2">
      <c r="A1538">
        <v>1537</v>
      </c>
      <c r="B1538" s="15" t="str">
        <f ca="1">IFERROR(__xludf.DUMMYFUNCTION("""COMPUTED_VALUE"""),"Testing Machine Learning Systems in Industry: An Empirical Study")</f>
        <v>Testing Machine Learning Systems in Industry: An Empirical Study</v>
      </c>
      <c r="C1538" s="15" t="str">
        <f ca="1">VLOOKUP(B1538,'ALL DATABASES'!$A$1:$T$2252,2,FALSE)</f>
        <v>Li S,Guo J,Lou JG,Fan M,Liu T,Zhang D</v>
      </c>
      <c r="D1538" s="15">
        <f ca="1">VLOOKUP(B1538,'ALL DATABASES'!$A$1:$T$2252,5,FALSE)</f>
        <v>2022</v>
      </c>
      <c r="E1538" s="15">
        <f ca="1">VLOOKUP(B1538,'ALL DATABASES'!$A$1:$T$2252,10,FALSE)</f>
        <v>2022</v>
      </c>
      <c r="F1538" s="54" t="str">
        <f ca="1">VLOOKUP(B1538,'ALL DATABASES'!$A$1:$T$2252,14,FALSE)</f>
        <v>https://doi.org/10.1145/3510457.3513036;http://dx.doi.org/10.1145/3510457.3513036</v>
      </c>
      <c r="G1538" s="15" t="str">
        <f ca="1">VLOOKUP(B1538,'ALL DATABASES'!$A$1:$T$2252,3,FALSE)</f>
        <v>Conference Paper</v>
      </c>
      <c r="H1538" s="50" t="str">
        <f ca="1">VLOOKUP(B1538,'ALL DATABASES'!$A$1:$T$2252,20,FALSE)</f>
        <v>ACM</v>
      </c>
    </row>
    <row r="1539" spans="1:8" ht="12.75" x14ac:dyDescent="0.2">
      <c r="A1539">
        <v>1538</v>
      </c>
      <c r="B1539" s="15" t="str">
        <f ca="1">IFERROR(__xludf.DUMMYFUNCTION("""COMPUTED_VALUE"""),"Text classification using word embedding in Rule-based methodologies: A systematic mapping")</f>
        <v>Text classification using word embedding in Rule-based methodologies: A systematic mapping</v>
      </c>
      <c r="C1539" s="15" t="str">
        <f ca="1">VLOOKUP(B1539,'ALL DATABASES'!$A$1:$T$2252,2,FALSE)</f>
        <v>Aubaid AM,Mishra A</v>
      </c>
      <c r="D1539" s="15">
        <f ca="1">VLOOKUP(B1539,'ALL DATABASES'!$A$1:$T$2252,5,FALSE)</f>
        <v>2018</v>
      </c>
      <c r="E1539" s="15">
        <f ca="1">VLOOKUP(B1539,'ALL DATABASES'!$A$1:$T$2252,10,FALSE)</f>
        <v>2018</v>
      </c>
      <c r="F1539" s="54" t="str">
        <f ca="1">VLOOKUP(B1539,'ALL DATABASES'!$A$1:$T$2252,14,FALSE)</f>
        <v>https://www.scopus.com/inward/record.uri?eid=2-s2.0-85058117217&amp;doi=10.18421%2fTEM74-31&amp;partnerID=40&amp;md5=bdfedb748512a88db98c63aa8972759e;http://dx.doi.org/10.18421/TEM74-31</v>
      </c>
      <c r="G1539" s="15" t="str">
        <f ca="1">VLOOKUP(B1539,'ALL DATABASES'!$A$1:$T$2252,3,FALSE)</f>
        <v>Journal Article</v>
      </c>
      <c r="H1539" s="50" t="str">
        <f ca="1">VLOOKUP(B1539,'ALL DATABASES'!$A$1:$T$2252,20,FALSE)</f>
        <v>SCOPUS</v>
      </c>
    </row>
    <row r="1540" spans="1:8" ht="12.75" x14ac:dyDescent="0.2">
      <c r="A1540">
        <v>1539</v>
      </c>
      <c r="B1540" s="15" t="str">
        <f ca="1">IFERROR(__xludf.DUMMYFUNCTION("""COMPUTED_VALUE"""),"Textual Analysis for Code Smell Detection")</f>
        <v>Textual Analysis for Code Smell Detection</v>
      </c>
      <c r="C1540" s="15" t="str">
        <f ca="1">VLOOKUP(B1540,'ALL DATABASES'!$A$1:$T$2252,2,FALSE)</f>
        <v>Palomba F</v>
      </c>
      <c r="D1540" s="15">
        <f ca="1">VLOOKUP(B1540,'ALL DATABASES'!$A$1:$T$2252,5,FALSE)</f>
        <v>2015</v>
      </c>
      <c r="E1540" s="15">
        <f ca="1">VLOOKUP(B1540,'ALL DATABASES'!$A$1:$T$2252,10,FALSE)</f>
        <v>2015</v>
      </c>
      <c r="F1540" s="15">
        <f ca="1">VLOOKUP(B1540,'ALL DATABASES'!$A$1:$T$2252,14,FALSE)</f>
        <v>0</v>
      </c>
      <c r="G1540" s="15" t="str">
        <f ca="1">VLOOKUP(B1540,'ALL DATABASES'!$A$1:$T$2252,3,FALSE)</f>
        <v>Conference Paper</v>
      </c>
      <c r="H1540" s="50" t="str">
        <f ca="1">VLOOKUP(B1540,'ALL DATABASES'!$A$1:$T$2252,20,FALSE)</f>
        <v>ACM</v>
      </c>
    </row>
    <row r="1541" spans="1:8" ht="12.75" x14ac:dyDescent="0.2">
      <c r="A1541">
        <v>1540</v>
      </c>
      <c r="B1541" s="15" t="str">
        <f ca="1">IFERROR(__xludf.DUMMYFUNCTION("""COMPUTED_VALUE"""),"The AIQ Meta-Testbed: Pragmatically Bridging Academic AI Testing and Industrial Q Needs")</f>
        <v>The AIQ Meta-Testbed: Pragmatically Bridging Academic AI Testing and Industrial Q Needs</v>
      </c>
      <c r="C1541" s="15" t="str">
        <f ca="1">VLOOKUP(B1541,'ALL DATABASES'!$A$1:$T$2252,2,FALSE)</f>
        <v>Markus Borg</v>
      </c>
      <c r="D1541" s="15">
        <f ca="1">VLOOKUP(B1541,'ALL DATABASES'!$A$1:$T$2252,5,FALSE)</f>
        <v>2021</v>
      </c>
      <c r="E1541" s="15">
        <f ca="1">VLOOKUP(B1541,'ALL DATABASES'!$A$1:$T$2252,10,FALSE)</f>
        <v>0</v>
      </c>
      <c r="F1541" s="54" t="str">
        <f ca="1">VLOOKUP(B1541,'ALL DATABASES'!$A$1:$T$2252,14,FALSE)</f>
        <v>http://link.springer.com/chapter/10.1007/978-3-030-65854-0_6</v>
      </c>
      <c r="G1541" s="15" t="str">
        <f ca="1">VLOOKUP(B1541,'ALL DATABASES'!$A$1:$T$2252,3,FALSE)</f>
        <v>Chapter</v>
      </c>
      <c r="H1541" s="50" t="str">
        <f ca="1">VLOOKUP(B1541,'ALL DATABASES'!$A$1:$T$2252,20,FALSE)</f>
        <v>SPRINGER</v>
      </c>
    </row>
    <row r="1542" spans="1:8" ht="12.75" x14ac:dyDescent="0.2">
      <c r="A1542">
        <v>1541</v>
      </c>
      <c r="B1542" s="15" t="str">
        <f ca="1">IFERROR(__xludf.DUMMYFUNCTION("""COMPUTED_VALUE"""),"The Application of Machine Learning in Self-Adaptive Systems: A Systematic Literature Review")</f>
        <v>The Application of Machine Learning in Self-Adaptive Systems: A Systematic Literature Review</v>
      </c>
      <c r="C1542" s="15" t="str">
        <f ca="1">VLOOKUP(B1542,'ALL DATABASES'!$A$1:$T$2252,2,FALSE)</f>
        <v>Saputri TR,Lee SW</v>
      </c>
      <c r="D1542" s="15">
        <f ca="1">VLOOKUP(B1542,'ALL DATABASES'!$A$1:$T$2252,5,FALSE)</f>
        <v>2020</v>
      </c>
      <c r="E1542" s="15">
        <f ca="1">VLOOKUP(B1542,'ALL DATABASES'!$A$1:$T$2252,10,FALSE)</f>
        <v>2020</v>
      </c>
      <c r="F1542" s="54" t="str">
        <f ca="1">VLOOKUP(B1542,'ALL DATABASES'!$A$1:$T$2252,14,FALSE)</f>
        <v>http://dx.doi.org/10.1109/ACCESS.2020.3036037</v>
      </c>
      <c r="G1542" s="15" t="str">
        <f ca="1">VLOOKUP(B1542,'ALL DATABASES'!$A$1:$T$2252,3,FALSE)</f>
        <v>Journal Article</v>
      </c>
      <c r="H1542" s="50" t="str">
        <f ca="1">VLOOKUP(B1542,'ALL DATABASES'!$A$1:$T$2252,20,FALSE)</f>
        <v>IEEE</v>
      </c>
    </row>
    <row r="1543" spans="1:8" ht="12.75" x14ac:dyDescent="0.2">
      <c r="A1543">
        <v>1542</v>
      </c>
      <c r="B1543" s="15" t="str">
        <f ca="1">IFERROR(__xludf.DUMMYFUNCTION("""COMPUTED_VALUE"""),"The Art and Practice of Data Science Pipelines: A Comprehensive Study of Data Science Pipelines in Theory, in-the-Small, and in-the-Large")</f>
        <v>The Art and Practice of Data Science Pipelines: A Comprehensive Study of Data Science Pipelines in Theory, in-the-Small, and in-the-Large</v>
      </c>
      <c r="C1543" s="15" t="str">
        <f ca="1">VLOOKUP(B1543,'ALL DATABASES'!$A$1:$T$2252,2,FALSE)</f>
        <v>Biswas S,Wardat M,Rajan H</v>
      </c>
      <c r="D1543" s="15">
        <f ca="1">VLOOKUP(B1543,'ALL DATABASES'!$A$1:$T$2252,5,FALSE)</f>
        <v>2022</v>
      </c>
      <c r="E1543" s="15">
        <f ca="1">VLOOKUP(B1543,'ALL DATABASES'!$A$1:$T$2252,10,FALSE)</f>
        <v>2022</v>
      </c>
      <c r="F1543" s="54" t="str">
        <f ca="1">VLOOKUP(B1543,'ALL DATABASES'!$A$1:$T$2252,14,FALSE)</f>
        <v>https://doi.org/10.1145/3510003.3510057;http://dx.doi.org/10.1145/3510003.3510057</v>
      </c>
      <c r="G1543" s="15" t="str">
        <f ca="1">VLOOKUP(B1543,'ALL DATABASES'!$A$1:$T$2252,3,FALSE)</f>
        <v>Conference Paper</v>
      </c>
      <c r="H1543" s="50" t="str">
        <f ca="1">VLOOKUP(B1543,'ALL DATABASES'!$A$1:$T$2252,20,FALSE)</f>
        <v>ACM</v>
      </c>
    </row>
    <row r="1544" spans="1:8" ht="12.75" x14ac:dyDescent="0.2">
      <c r="A1544">
        <v>1543</v>
      </c>
      <c r="B1544" s="15" t="str">
        <f ca="1">IFERROR(__xludf.DUMMYFUNCTION("""COMPUTED_VALUE"""),"The Art of Site Reliability Engineering (SRE) with Azure")</f>
        <v>The Art of Site Reliability Engineering (SRE) with Azure</v>
      </c>
      <c r="C1544" s="15" t="str">
        <f ca="1">VLOOKUP(B1544,'ALL DATABASES'!$A$1:$T$2252,2,FALSE)</f>
        <v>Unai Huete Beloki</v>
      </c>
      <c r="D1544" s="15">
        <f ca="1">VLOOKUP(B1544,'ALL DATABASES'!$A$1:$T$2252,5,FALSE)</f>
        <v>2022</v>
      </c>
      <c r="E1544" s="15">
        <f ca="1">VLOOKUP(B1544,'ALL DATABASES'!$A$1:$T$2252,10,FALSE)</f>
        <v>0</v>
      </c>
      <c r="F1544" s="54" t="str">
        <f ca="1">VLOOKUP(B1544,'ALL DATABASES'!$A$1:$T$2252,14,FALSE)</f>
        <v>http://link.springer.com/book/10.1007/978-1-4842-8704-0</v>
      </c>
      <c r="G1544" s="15" t="str">
        <f ca="1">VLOOKUP(B1544,'ALL DATABASES'!$A$1:$T$2252,3,FALSE)</f>
        <v>Book</v>
      </c>
      <c r="H1544" s="50" t="str">
        <f ca="1">VLOOKUP(B1544,'ALL DATABASES'!$A$1:$T$2252,20,FALSE)</f>
        <v>SPRINGER</v>
      </c>
    </row>
    <row r="1545" spans="1:8" ht="12.75" x14ac:dyDescent="0.2">
      <c r="A1545">
        <v>1544</v>
      </c>
      <c r="B1545" s="15" t="str">
        <f ca="1">IFERROR(__xludf.DUMMYFUNCTION("""COMPUTED_VALUE"""),"The Case for Adaptive Security Interventions")</f>
        <v>The Case for Adaptive Security Interventions</v>
      </c>
      <c r="C1545" s="15" t="str">
        <f ca="1">VLOOKUP(B1545,'ALL DATABASES'!$A$1:$T$2252,2,FALSE)</f>
        <v>Rauf I,Petre M,Tun T,Lopez T,Lunn P,Van Der Linden D,Towse J,Sharp H,Levine M,Rashid A,Nuseibeh B</v>
      </c>
      <c r="D1545" s="15">
        <f ca="1">VLOOKUP(B1545,'ALL DATABASES'!$A$1:$T$2252,5,FALSE)</f>
        <v>2021</v>
      </c>
      <c r="E1545" s="55">
        <f ca="1">VLOOKUP(B1545,'ALL DATABASES'!$A$1:$T$2252,10,FALSE)</f>
        <v>44440</v>
      </c>
      <c r="F1545" s="54" t="str">
        <f ca="1">VLOOKUP(B1545,'ALL DATABASES'!$A$1:$T$2252,14,FALSE)</f>
        <v>https://doi.org/10.1145/3471930;http://dx.doi.org/10.1145/3471930</v>
      </c>
      <c r="G1545" s="15" t="str">
        <f ca="1">VLOOKUP(B1545,'ALL DATABASES'!$A$1:$T$2252,3,FALSE)</f>
        <v>Journal Article</v>
      </c>
      <c r="H1545" s="50" t="str">
        <f ca="1">VLOOKUP(B1545,'ALL DATABASES'!$A$1:$T$2252,20,FALSE)</f>
        <v>ACM</v>
      </c>
    </row>
    <row r="1546" spans="1:8" ht="12.75" x14ac:dyDescent="0.2">
      <c r="A1546">
        <v>1545</v>
      </c>
      <c r="B1546" s="15" t="str">
        <f ca="1">IFERROR(__xludf.DUMMYFUNCTION("""COMPUTED_VALUE"""),"The Challenges of Evolving Technical Courses at Scale: Four Case Studies of Updating Large Data Science Courses")</f>
        <v>The Challenges of Evolving Technical Courses at Scale: Four Case Studies of Updating Large Data Science Courses</v>
      </c>
      <c r="C1546" s="15" t="str">
        <f ca="1">VLOOKUP(B1546,'ALL DATABASES'!$A$1:$T$2252,2,FALSE)</f>
        <v>Lau S,Eldridge J,Ellis S,Fraenkel A,Langlois M,Rampure S,Tiefenbruck J,Guo PJ</v>
      </c>
      <c r="D1546" s="15">
        <f ca="1">VLOOKUP(B1546,'ALL DATABASES'!$A$1:$T$2252,5,FALSE)</f>
        <v>2022</v>
      </c>
      <c r="E1546" s="15">
        <f ca="1">VLOOKUP(B1546,'ALL DATABASES'!$A$1:$T$2252,10,FALSE)</f>
        <v>2022</v>
      </c>
      <c r="F1546" s="54" t="str">
        <f ca="1">VLOOKUP(B1546,'ALL DATABASES'!$A$1:$T$2252,14,FALSE)</f>
        <v>https://doi.org/10.1145/3491140.3528278;http://dx.doi.org/10.1145/3491140.3528278</v>
      </c>
      <c r="G1546" s="15" t="str">
        <f ca="1">VLOOKUP(B1546,'ALL DATABASES'!$A$1:$T$2252,3,FALSE)</f>
        <v>Conference Paper</v>
      </c>
      <c r="H1546" s="50" t="str">
        <f ca="1">VLOOKUP(B1546,'ALL DATABASES'!$A$1:$T$2252,20,FALSE)</f>
        <v>ACM</v>
      </c>
    </row>
    <row r="1547" spans="1:8" ht="12.75" x14ac:dyDescent="0.2">
      <c r="A1547">
        <v>1546</v>
      </c>
      <c r="B1547" s="15" t="str">
        <f ca="1">IFERROR(__xludf.DUMMYFUNCTION("""COMPUTED_VALUE"""),"The Challenges of Leveraging Threat Intelligence to Stop Data Breaches")</f>
        <v>The Challenges of Leveraging Threat Intelligence to Stop Data Breaches</v>
      </c>
      <c r="C1547" s="15" t="str">
        <f ca="1">VLOOKUP(B1547,'ALL DATABASES'!$A$1:$T$2252,2,FALSE)</f>
        <v>Ibrahim A,Thiruvady D,Schneider JG,Abdelrazek M</v>
      </c>
      <c r="D1547" s="15">
        <f ca="1">VLOOKUP(B1547,'ALL DATABASES'!$A$1:$T$2252,5,FALSE)</f>
        <v>2020</v>
      </c>
      <c r="E1547" s="15">
        <f ca="1">VLOOKUP(B1547,'ALL DATABASES'!$A$1:$T$2252,10,FALSE)</f>
        <v>2020</v>
      </c>
      <c r="F1547" s="54" t="str">
        <f ca="1">VLOOKUP(B1547,'ALL DATABASES'!$A$1:$T$2252,14,FALSE)</f>
        <v>https://www.scopus.com/inward/record.uri?eid=2-s2.0-85104202907&amp;doi=10.3389%2ffcomp.2020.00036&amp;partnerID=40&amp;md5=f312b89ba0ff921d5b56e2bb2dfcb5eb;http://dx.doi.org/10.3389/fcomp.2020.00036</v>
      </c>
      <c r="G1547" s="15" t="str">
        <f ca="1">VLOOKUP(B1547,'ALL DATABASES'!$A$1:$T$2252,3,FALSE)</f>
        <v>Journal Article</v>
      </c>
      <c r="H1547" s="50" t="str">
        <f ca="1">VLOOKUP(B1547,'ALL DATABASES'!$A$1:$T$2252,20,FALSE)</f>
        <v>SCOPUS</v>
      </c>
    </row>
    <row r="1548" spans="1:8" ht="12.75" x14ac:dyDescent="0.2">
      <c r="A1548">
        <v>1547</v>
      </c>
      <c r="B1548" s="15" t="str">
        <f ca="1">IFERROR(__xludf.DUMMYFUNCTION("""COMPUTED_VALUE"""),"The Convergence of Cyber and Physical")</f>
        <v>The Convergence of Cyber and Physical</v>
      </c>
      <c r="C1548" s="15" t="str">
        <f ca="1">VLOOKUP(B1548,'ALL DATABASES'!$A$1:$T$2252,2,FALSE)</f>
        <v>Tarun R</v>
      </c>
      <c r="D1548" s="15">
        <f ca="1">VLOOKUP(B1548,'ALL DATABASES'!$A$1:$T$2252,5,FALSE)</f>
        <v>2022</v>
      </c>
      <c r="E1548" s="15">
        <f ca="1">VLOOKUP(B1548,'ALL DATABASES'!$A$1:$T$2252,10,FALSE)</f>
        <v>2022</v>
      </c>
      <c r="F1548" s="54" t="str">
        <f ca="1">VLOOKUP(B1548,'ALL DATABASES'!$A$1:$T$2252,14,FALSE)</f>
        <v>https://ieeexplore.ieee.org/document/9953517</v>
      </c>
      <c r="G1548" s="15" t="str">
        <f ca="1">VLOOKUP(B1548,'ALL DATABASES'!$A$1:$T$2252,3,FALSE)</f>
        <v>Book Chapter</v>
      </c>
      <c r="H1548" s="50" t="str">
        <f ca="1">VLOOKUP(B1548,'ALL DATABASES'!$A$1:$T$2252,20,FALSE)</f>
        <v>IEEE</v>
      </c>
    </row>
    <row r="1549" spans="1:8" ht="12.75" x14ac:dyDescent="0.2">
      <c r="A1549">
        <v>1548</v>
      </c>
      <c r="B1549" s="15" t="str">
        <f ca="1">IFERROR(__xludf.DUMMYFUNCTION("""COMPUTED_VALUE"""),"The Current State of Industrial Practice in Artificial Intelligence Ethics")</f>
        <v>The Current State of Industrial Practice in Artificial Intelligence Ethics</v>
      </c>
      <c r="C1549" s="15" t="str">
        <f ca="1">VLOOKUP(B1549,'ALL DATABASES'!$A$1:$T$2252,2,FALSE)</f>
        <v>Vakkuri V,Kemell KK,Kultanen J,Abrahamsson P</v>
      </c>
      <c r="D1549" s="15">
        <f ca="1">VLOOKUP(B1549,'ALL DATABASES'!$A$1:$T$2252,5,FALSE)</f>
        <v>2020</v>
      </c>
      <c r="E1549" s="15">
        <f ca="1">VLOOKUP(B1549,'ALL DATABASES'!$A$1:$T$2252,10,FALSE)</f>
        <v>2020</v>
      </c>
      <c r="F1549" s="54" t="str">
        <f ca="1">VLOOKUP(B1549,'ALL DATABASES'!$A$1:$T$2252,14,FALSE)</f>
        <v>https://www.scopus.com/inward/record.uri?eid=2-s2.0-85083006137&amp;doi=10.1109%2fMS.2020.2985621&amp;partnerID=40&amp;md5=aaba6981f5c34875848add2db6ccf5a7;http://dx.doi.org/10.1109/MS.2020.2985621</v>
      </c>
      <c r="G1549" s="15" t="str">
        <f ca="1">VLOOKUP(B1549,'ALL DATABASES'!$A$1:$T$2252,3,FALSE)</f>
        <v>Journal Article</v>
      </c>
      <c r="H1549" s="50" t="str">
        <f ca="1">VLOOKUP(B1549,'ALL DATABASES'!$A$1:$T$2252,20,FALSE)</f>
        <v>SCOPUS</v>
      </c>
    </row>
    <row r="1550" spans="1:8" ht="12.75" x14ac:dyDescent="0.2">
      <c r="A1550">
        <v>1549</v>
      </c>
      <c r="B1550" s="15" t="str">
        <f ca="1">IFERROR(__xludf.DUMMYFUNCTION("""COMPUTED_VALUE"""),"The Cybersecurity Dynamics Way of Thinking and Landscape")</f>
        <v>The Cybersecurity Dynamics Way of Thinking and Landscape</v>
      </c>
      <c r="C1550" s="15" t="str">
        <f ca="1">VLOOKUP(B1550,'ALL DATABASES'!$A$1:$T$2252,2,FALSE)</f>
        <v>Xu S</v>
      </c>
      <c r="D1550" s="15">
        <f ca="1">VLOOKUP(B1550,'ALL DATABASES'!$A$1:$T$2252,5,FALSE)</f>
        <v>2020</v>
      </c>
      <c r="E1550" s="15">
        <f ca="1">VLOOKUP(B1550,'ALL DATABASES'!$A$1:$T$2252,10,FALSE)</f>
        <v>2020</v>
      </c>
      <c r="F1550" s="54" t="str">
        <f ca="1">VLOOKUP(B1550,'ALL DATABASES'!$A$1:$T$2252,14,FALSE)</f>
        <v>https://doi.org/10.1145/3411496.3421225;http://dx.doi.org/10.1145/3411496.3421225</v>
      </c>
      <c r="G1550" s="15" t="str">
        <f ca="1">VLOOKUP(B1550,'ALL DATABASES'!$A$1:$T$2252,3,FALSE)</f>
        <v>Conference Paper</v>
      </c>
      <c r="H1550" s="50" t="str">
        <f ca="1">VLOOKUP(B1550,'ALL DATABASES'!$A$1:$T$2252,20,FALSE)</f>
        <v>ACM</v>
      </c>
    </row>
    <row r="1551" spans="1:8" ht="12.75" x14ac:dyDescent="0.2">
      <c r="A1551">
        <v>1550</v>
      </c>
      <c r="B1551" s="15" t="str">
        <f ca="1">IFERROR(__xludf.DUMMYFUNCTION("""COMPUTED_VALUE"""),"The Data Science Design Manual")</f>
        <v>The Data Science Design Manual</v>
      </c>
      <c r="C1551" s="15" t="str">
        <f ca="1">VLOOKUP(B1551,'ALL DATABASES'!$A$1:$T$2252,2,FALSE)</f>
        <v>Steven S. Skiena</v>
      </c>
      <c r="D1551" s="15">
        <f ca="1">VLOOKUP(B1551,'ALL DATABASES'!$A$1:$T$2252,5,FALSE)</f>
        <v>2017</v>
      </c>
      <c r="E1551" s="15">
        <f ca="1">VLOOKUP(B1551,'ALL DATABASES'!$A$1:$T$2252,10,FALSE)</f>
        <v>0</v>
      </c>
      <c r="F1551" s="54" t="str">
        <f ca="1">VLOOKUP(B1551,'ALL DATABASES'!$A$1:$T$2252,14,FALSE)</f>
        <v>http://link.springer.com/book/10.1007/978-3-319-55444-0</v>
      </c>
      <c r="G1551" s="15" t="str">
        <f ca="1">VLOOKUP(B1551,'ALL DATABASES'!$A$1:$T$2252,3,FALSE)</f>
        <v>Book</v>
      </c>
      <c r="H1551" s="50" t="str">
        <f ca="1">VLOOKUP(B1551,'ALL DATABASES'!$A$1:$T$2252,20,FALSE)</f>
        <v>SPRINGER</v>
      </c>
    </row>
    <row r="1552" spans="1:8" ht="12.75" x14ac:dyDescent="0.2">
      <c r="A1552">
        <v>1551</v>
      </c>
      <c r="B1552" s="15" t="str">
        <f ca="1">IFERROR(__xludf.DUMMYFUNCTION("""COMPUTED_VALUE"""),"The Datacenter as a Computer")</f>
        <v>The Datacenter as a Computer</v>
      </c>
      <c r="C1552" s="15" t="str">
        <f ca="1">VLOOKUP(B1552,'ALL DATABASES'!$A$1:$T$2252,2,FALSE)</f>
        <v>Luiz AndrÃ© BarrosoUrs HÃ¶lzleParthasarathy Ranganathan</v>
      </c>
      <c r="D1552" s="15">
        <f ca="1">VLOOKUP(B1552,'ALL DATABASES'!$A$1:$T$2252,5,FALSE)</f>
        <v>2019</v>
      </c>
      <c r="E1552" s="15">
        <f ca="1">VLOOKUP(B1552,'ALL DATABASES'!$A$1:$T$2252,10,FALSE)</f>
        <v>0</v>
      </c>
      <c r="F1552" s="54" t="str">
        <f ca="1">VLOOKUP(B1552,'ALL DATABASES'!$A$1:$T$2252,14,FALSE)</f>
        <v>http://link.springer.com/book/10.1007/978-3-031-01761-2</v>
      </c>
      <c r="G1552" s="15" t="str">
        <f ca="1">VLOOKUP(B1552,'ALL DATABASES'!$A$1:$T$2252,3,FALSE)</f>
        <v>Book</v>
      </c>
      <c r="H1552" s="50" t="str">
        <f ca="1">VLOOKUP(B1552,'ALL DATABASES'!$A$1:$T$2252,20,FALSE)</f>
        <v>SPRINGER</v>
      </c>
    </row>
    <row r="1553" spans="1:8" ht="12.75" x14ac:dyDescent="0.2">
      <c r="A1553">
        <v>1552</v>
      </c>
      <c r="B1553" s="15" t="str">
        <f ca="1">IFERROR(__xludf.DUMMYFUNCTION("""COMPUTED_VALUE"""),"The Department of Navyâ€™s Digital Transformation with the Digital System Architecture, Strangler Patterns, Machine Learning, and Autonomous Humanâ€“Machine Teaming")</f>
        <v>The Department of Navyâ€™s Digital Transformation with the Digital System Architecture, Strangler Patterns, Machine Learning, and Autonomous Humanâ€“Machine Teaming</v>
      </c>
      <c r="C1553" s="15" t="str">
        <f ca="1">VLOOKUP(B1553,'ALL DATABASES'!$A$1:$T$2252,2,FALSE)</f>
        <v>Matthew SheehanOleg Yakimenko</v>
      </c>
      <c r="D1553" s="15">
        <f ca="1">VLOOKUP(B1553,'ALL DATABASES'!$A$1:$T$2252,5,FALSE)</f>
        <v>2021</v>
      </c>
      <c r="E1553" s="15">
        <f ca="1">VLOOKUP(B1553,'ALL DATABASES'!$A$1:$T$2252,10,FALSE)</f>
        <v>0</v>
      </c>
      <c r="F1553" s="54" t="str">
        <f ca="1">VLOOKUP(B1553,'ALL DATABASES'!$A$1:$T$2252,14,FALSE)</f>
        <v>http://link.springer.com/chapter/10.1007/978-3-030-77283-3_9</v>
      </c>
      <c r="G1553" s="15" t="str">
        <f ca="1">VLOOKUP(B1553,'ALL DATABASES'!$A$1:$T$2252,3,FALSE)</f>
        <v>Chapter</v>
      </c>
      <c r="H1553" s="50" t="str">
        <f ca="1">VLOOKUP(B1553,'ALL DATABASES'!$A$1:$T$2252,20,FALSE)</f>
        <v>SPRINGER</v>
      </c>
    </row>
    <row r="1554" spans="1:8" ht="12.75" x14ac:dyDescent="0.2">
      <c r="A1554">
        <v>1553</v>
      </c>
      <c r="B1554" s="15" t="str">
        <f ca="1">IFERROR(__xludf.DUMMYFUNCTION("""COMPUTED_VALUE"""),"The Digital Journey of Banking and Insurance, Volume III")</f>
        <v>The Digital Journey of Banking and Insurance, Volume III</v>
      </c>
      <c r="C1554" s="15" t="str">
        <f ca="1">VLOOKUP(B1554,'ALL DATABASES'!$A$1:$T$2252,2,FALSE)</f>
        <v>Volker LiermannClaus Stegmann</v>
      </c>
      <c r="D1554" s="15">
        <f ca="1">VLOOKUP(B1554,'ALL DATABASES'!$A$1:$T$2252,5,FALSE)</f>
        <v>2021</v>
      </c>
      <c r="E1554" s="15">
        <f ca="1">VLOOKUP(B1554,'ALL DATABASES'!$A$1:$T$2252,10,FALSE)</f>
        <v>0</v>
      </c>
      <c r="F1554" s="54" t="str">
        <f ca="1">VLOOKUP(B1554,'ALL DATABASES'!$A$1:$T$2252,14,FALSE)</f>
        <v>http://link.springer.com/book/10.1007/978-3-030-78821-6</v>
      </c>
      <c r="G1554" s="15" t="str">
        <f ca="1">VLOOKUP(B1554,'ALL DATABASES'!$A$1:$T$2252,3,FALSE)</f>
        <v>Book</v>
      </c>
      <c r="H1554" s="50" t="str">
        <f ca="1">VLOOKUP(B1554,'ALL DATABASES'!$A$1:$T$2252,20,FALSE)</f>
        <v>SPRINGER</v>
      </c>
    </row>
    <row r="1555" spans="1:8" ht="12.75" x14ac:dyDescent="0.2">
      <c r="A1555">
        <v>1554</v>
      </c>
      <c r="B1555" s="15" t="str">
        <f ca="1">IFERROR(__xludf.DUMMYFUNCTION("""COMPUTED_VALUE"""),"The effect of Bellwether analysis on software vulnerability severity prediction models")</f>
        <v>The effect of Bellwether analysis on software vulnerability severity prediction models</v>
      </c>
      <c r="C1555" s="15" t="str">
        <f ca="1">VLOOKUP(B1555,'ALL DATABASES'!$A$1:$T$2252,2,FALSE)</f>
        <v>Patrick Kwaku KudjoJinfu ChenSolomon MensahRichard AmankwahChristopher Kudjo</v>
      </c>
      <c r="D1555" s="15">
        <f ca="1">VLOOKUP(B1555,'ALL DATABASES'!$A$1:$T$2252,5,FALSE)</f>
        <v>2020</v>
      </c>
      <c r="E1555" s="15">
        <f ca="1">VLOOKUP(B1555,'ALL DATABASES'!$A$1:$T$2252,10,FALSE)</f>
        <v>0</v>
      </c>
      <c r="F1555" s="54" t="str">
        <f ca="1">VLOOKUP(B1555,'ALL DATABASES'!$A$1:$T$2252,14,FALSE)</f>
        <v>http://link.springer.com/article/10.1007/s11219-019-09490-1</v>
      </c>
      <c r="G1555" s="15" t="str">
        <f ca="1">VLOOKUP(B1555,'ALL DATABASES'!$A$1:$T$2252,3,FALSE)</f>
        <v>Article</v>
      </c>
      <c r="H1555" s="50" t="str">
        <f ca="1">VLOOKUP(B1555,'ALL DATABASES'!$A$1:$T$2252,20,FALSE)</f>
        <v>SPRINGER</v>
      </c>
    </row>
    <row r="1556" spans="1:8" ht="12.75" x14ac:dyDescent="0.2">
      <c r="A1556">
        <v>1555</v>
      </c>
      <c r="B1556" s="15" t="str">
        <f ca="1">IFERROR(__xludf.DUMMYFUNCTION("""COMPUTED_VALUE"""),"The Effectiveness of Supervised Machine Learning Algorithms in Predicting Software Refactoring")</f>
        <v>The Effectiveness of Supervised Machine Learning Algorithms in Predicting Software Refactoring</v>
      </c>
      <c r="C1556" s="15" t="str">
        <f ca="1">VLOOKUP(B1556,'ALL DATABASES'!$A$1:$T$2252,2,FALSE)</f>
        <v>Aniche M,Maziero E,Durelli R,Durelli VH</v>
      </c>
      <c r="D1556" s="15">
        <f ca="1">VLOOKUP(B1556,'ALL DATABASES'!$A$1:$T$2252,5,FALSE)</f>
        <v>2022</v>
      </c>
      <c r="E1556" s="55">
        <f ca="1">VLOOKUP(B1556,'ALL DATABASES'!$A$1:$T$2252,10,FALSE)</f>
        <v>44652</v>
      </c>
      <c r="F1556" s="54" t="str">
        <f ca="1">VLOOKUP(B1556,'ALL DATABASES'!$A$1:$T$2252,14,FALSE)</f>
        <v>http://dx.doi.org/10.1109/TSE.2020.3021736</v>
      </c>
      <c r="G1556" s="15" t="str">
        <f ca="1">VLOOKUP(B1556,'ALL DATABASES'!$A$1:$T$2252,3,FALSE)</f>
        <v>Journal Article</v>
      </c>
      <c r="H1556" s="50" t="str">
        <f ca="1">VLOOKUP(B1556,'ALL DATABASES'!$A$1:$T$2252,20,FALSE)</f>
        <v>IEEE</v>
      </c>
    </row>
    <row r="1557" spans="1:8" ht="12.75" x14ac:dyDescent="0.2">
      <c r="A1557">
        <v>1556</v>
      </c>
      <c r="B1557" s="15" t="str">
        <f ca="1">IFERROR(__xludf.DUMMYFUNCTION("""COMPUTED_VALUE"""),"The EFIS Framework for Leveraging Agile Organizations Within Large Enterprises")</f>
        <v>The EFIS Framework for Leveraging Agile Organizations Within Large Enterprises</v>
      </c>
      <c r="C1557" s="15" t="str">
        <f ca="1">VLOOKUP(B1557,'ALL DATABASES'!$A$1:$T$2252,2,FALSE)</f>
        <v>Alexander PothMario KottkeChristian HeimannAndreas Riel</v>
      </c>
      <c r="D1557" s="15">
        <f ca="1">VLOOKUP(B1557,'ALL DATABASES'!$A$1:$T$2252,5,FALSE)</f>
        <v>2021</v>
      </c>
      <c r="E1557" s="15">
        <f ca="1">VLOOKUP(B1557,'ALL DATABASES'!$A$1:$T$2252,10,FALSE)</f>
        <v>0</v>
      </c>
      <c r="F1557" s="54" t="str">
        <f ca="1">VLOOKUP(B1557,'ALL DATABASES'!$A$1:$T$2252,14,FALSE)</f>
        <v>http://link.springer.com/chapter/10.1007/978-3-030-88583-0_5</v>
      </c>
      <c r="G1557" s="15" t="str">
        <f ca="1">VLOOKUP(B1557,'ALL DATABASES'!$A$1:$T$2252,3,FALSE)</f>
        <v>Chapter</v>
      </c>
      <c r="H1557" s="50" t="str">
        <f ca="1">VLOOKUP(B1557,'ALL DATABASES'!$A$1:$T$2252,20,FALSE)</f>
        <v>SPRINGER</v>
      </c>
    </row>
    <row r="1558" spans="1:8" ht="12.75" x14ac:dyDescent="0.2">
      <c r="A1558">
        <v>1557</v>
      </c>
      <c r="B1558" s="15" t="str">
        <f ca="1">IFERROR(__xludf.DUMMYFUNCTION("""COMPUTED_VALUE"""),"The entrepreneurial logic of startup software development: A study of 40 software startups")</f>
        <v>The entrepreneurial logic of startup software development: A study of 40 software startups</v>
      </c>
      <c r="C1558" s="15" t="str">
        <f ca="1">VLOOKUP(B1558,'ALL DATABASES'!$A$1:$T$2252,2,FALSE)</f>
        <v>Anh Nguyen-DucKai-Kristian KemellPekka Abrahamsson</v>
      </c>
      <c r="D1558" s="15">
        <f ca="1">VLOOKUP(B1558,'ALL DATABASES'!$A$1:$T$2252,5,FALSE)</f>
        <v>2021</v>
      </c>
      <c r="E1558" s="15">
        <f ca="1">VLOOKUP(B1558,'ALL DATABASES'!$A$1:$T$2252,10,FALSE)</f>
        <v>0</v>
      </c>
      <c r="F1558" s="54" t="str">
        <f ca="1">VLOOKUP(B1558,'ALL DATABASES'!$A$1:$T$2252,14,FALSE)</f>
        <v>http://link.springer.com/article/10.1007/s10664-021-09987-z</v>
      </c>
      <c r="G1558" s="15" t="str">
        <f ca="1">VLOOKUP(B1558,'ALL DATABASES'!$A$1:$T$2252,3,FALSE)</f>
        <v>Article</v>
      </c>
      <c r="H1558" s="50" t="str">
        <f ca="1">VLOOKUP(B1558,'ALL DATABASES'!$A$1:$T$2252,20,FALSE)</f>
        <v>SPRINGER</v>
      </c>
    </row>
    <row r="1559" spans="1:8" ht="12.75" x14ac:dyDescent="0.2">
      <c r="A1559">
        <v>1558</v>
      </c>
      <c r="B1559" s="15" t="str">
        <f ca="1">IFERROR(__xludf.DUMMYFUNCTION("""COMPUTED_VALUE"""),"The Ethics of AI")</f>
        <v>The Ethics of AI</v>
      </c>
      <c r="C1559" s="15" t="str">
        <f ca="1">VLOOKUP(B1559,'ALL DATABASES'!$A$1:$T$2252,2,FALSE)</f>
        <v>Themistoklis Tzimas</v>
      </c>
      <c r="D1559" s="15">
        <f ca="1">VLOOKUP(B1559,'ALL DATABASES'!$A$1:$T$2252,5,FALSE)</f>
        <v>2021</v>
      </c>
      <c r="E1559" s="15">
        <f ca="1">VLOOKUP(B1559,'ALL DATABASES'!$A$1:$T$2252,10,FALSE)</f>
        <v>0</v>
      </c>
      <c r="F1559" s="54" t="str">
        <f ca="1">VLOOKUP(B1559,'ALL DATABASES'!$A$1:$T$2252,14,FALSE)</f>
        <v>http://link.springer.com/chapter/10.1007/978-3-030-78585-7_4</v>
      </c>
      <c r="G1559" s="15" t="str">
        <f ca="1">VLOOKUP(B1559,'ALL DATABASES'!$A$1:$T$2252,3,FALSE)</f>
        <v>Chapter</v>
      </c>
      <c r="H1559" s="50" t="str">
        <f ca="1">VLOOKUP(B1559,'ALL DATABASES'!$A$1:$T$2252,20,FALSE)</f>
        <v>SPRINGER</v>
      </c>
    </row>
    <row r="1560" spans="1:8" ht="12.75" x14ac:dyDescent="0.2">
      <c r="A1560">
        <v>1559</v>
      </c>
      <c r="B1560" s="15" t="str">
        <f ca="1">IFERROR(__xludf.DUMMYFUNCTION("""COMPUTED_VALUE"""),"The evolution of design pattern grime: An industrial case study")</f>
        <v>The evolution of design pattern grime: An industrial case study</v>
      </c>
      <c r="C1560" s="15" t="str">
        <f ca="1">VLOOKUP(B1560,'ALL DATABASES'!$A$1:$T$2252,2,FALSE)</f>
        <v>Feitosa D,Avgeriou P,Ampatzoglou A,Nakagawa EY</v>
      </c>
      <c r="D1560" s="15">
        <f ca="1">VLOOKUP(B1560,'ALL DATABASES'!$A$1:$T$2252,5,FALSE)</f>
        <v>2017</v>
      </c>
      <c r="E1560" s="15">
        <f ca="1">VLOOKUP(B1560,'ALL DATABASES'!$A$1:$T$2252,10,FALSE)</f>
        <v>2017</v>
      </c>
      <c r="F1560" s="54" t="str">
        <f ca="1">VLOOKUP(B1560,'ALL DATABASES'!$A$1:$T$2252,14,FALSE)</f>
        <v>https://www.scopus.com/inward/record.uri?eid=2-s2.0-85034592025&amp;doi=10.1007%2f978-3-319-69926-4_13&amp;partnerID=40&amp;md5=6bded589da576075dcada2624dba849f;http://dx.doi.org/10.1007/978-3-319-69926-4_13</v>
      </c>
      <c r="G1560" s="15" t="str">
        <f ca="1">VLOOKUP(B1560,'ALL DATABASES'!$A$1:$T$2252,3,FALSE)</f>
        <v>Journal Article</v>
      </c>
      <c r="H1560" s="50" t="str">
        <f ca="1">VLOOKUP(B1560,'ALL DATABASES'!$A$1:$T$2252,20,FALSE)</f>
        <v>SCOPUS</v>
      </c>
    </row>
    <row r="1561" spans="1:8" ht="12.75" x14ac:dyDescent="0.2">
      <c r="A1561">
        <v>1560</v>
      </c>
      <c r="B1561" s="15" t="str">
        <f ca="1">IFERROR(__xludf.DUMMYFUNCTION("""COMPUTED_VALUE"""),"The Existence and Co-Modifications of Code Clones within or across Microservices")</f>
        <v>The Existence and Co-Modifications of Code Clones within or across Microservices</v>
      </c>
      <c r="C1561" s="15" t="str">
        <f ca="1">VLOOKUP(B1561,'ALL DATABASES'!$A$1:$T$2252,2,FALSE)</f>
        <v>Mo R,Zhao Y,Feng Q,Li Z</v>
      </c>
      <c r="D1561" s="15">
        <f ca="1">VLOOKUP(B1561,'ALL DATABASES'!$A$1:$T$2252,5,FALSE)</f>
        <v>2021</v>
      </c>
      <c r="E1561" s="15">
        <f ca="1">VLOOKUP(B1561,'ALL DATABASES'!$A$1:$T$2252,10,FALSE)</f>
        <v>2021</v>
      </c>
      <c r="F1561" s="54" t="str">
        <f ca="1">VLOOKUP(B1561,'ALL DATABASES'!$A$1:$T$2252,14,FALSE)</f>
        <v>https://doi.org/10.1145/3475716.3475784;http://dx.doi.org/10.1145/3475716.3475784</v>
      </c>
      <c r="G1561" s="15" t="str">
        <f ca="1">VLOOKUP(B1561,'ALL DATABASES'!$A$1:$T$2252,3,FALSE)</f>
        <v>Conference Paper</v>
      </c>
      <c r="H1561" s="50" t="str">
        <f ca="1">VLOOKUP(B1561,'ALL DATABASES'!$A$1:$T$2252,20,FALSE)</f>
        <v>ACM</v>
      </c>
    </row>
    <row r="1562" spans="1:8" ht="12.75" x14ac:dyDescent="0.2">
      <c r="A1562">
        <v>1561</v>
      </c>
      <c r="B1562" s="15" t="str">
        <f ca="1">IFERROR(__xludf.DUMMYFUNCTION("""COMPUTED_VALUE"""),"The Fallacy of AI Functionality")</f>
        <v>The Fallacy of AI Functionality</v>
      </c>
      <c r="C1562" s="15" t="str">
        <f ca="1">VLOOKUP(B1562,'ALL DATABASES'!$A$1:$T$2252,2,FALSE)</f>
        <v>Raji ID,Kumar IE,Horowitz A,Selbst A</v>
      </c>
      <c r="D1562" s="15">
        <f ca="1">VLOOKUP(B1562,'ALL DATABASES'!$A$1:$T$2252,5,FALSE)</f>
        <v>2022</v>
      </c>
      <c r="E1562" s="15">
        <f ca="1">VLOOKUP(B1562,'ALL DATABASES'!$A$1:$T$2252,10,FALSE)</f>
        <v>2022</v>
      </c>
      <c r="F1562" s="54" t="str">
        <f ca="1">VLOOKUP(B1562,'ALL DATABASES'!$A$1:$T$2252,14,FALSE)</f>
        <v>https://doi.org/10.1145/3531146.3533158;http://dx.doi.org/10.1145/3531146.3533158</v>
      </c>
      <c r="G1562" s="15" t="str">
        <f ca="1">VLOOKUP(B1562,'ALL DATABASES'!$A$1:$T$2252,3,FALSE)</f>
        <v>Conference Paper</v>
      </c>
      <c r="H1562" s="50" t="str">
        <f ca="1">VLOOKUP(B1562,'ALL DATABASES'!$A$1:$T$2252,20,FALSE)</f>
        <v>ACM</v>
      </c>
    </row>
    <row r="1563" spans="1:8" ht="12.75" x14ac:dyDescent="0.2">
      <c r="A1563">
        <v>1562</v>
      </c>
      <c r="B1563" s="15" t="str">
        <f ca="1">IFERROR(__xludf.DUMMYFUNCTION("""COMPUTED_VALUE"""),"The Five Laws of SE for AI")</f>
        <v>The Five Laws of SE for AI</v>
      </c>
      <c r="C1563" s="15" t="str">
        <f ca="1">VLOOKUP(B1563,'ALL DATABASES'!$A$1:$T$2252,2,FALSE)</f>
        <v>Menzies T</v>
      </c>
      <c r="D1563" s="15">
        <f ca="1">VLOOKUP(B1563,'ALL DATABASES'!$A$1:$T$2252,5,FALSE)</f>
        <v>2020</v>
      </c>
      <c r="E1563" s="55">
        <f ca="1">VLOOKUP(B1563,'ALL DATABASES'!$A$1:$T$2252,10,FALSE)</f>
        <v>43831</v>
      </c>
      <c r="F1563" s="54" t="str">
        <f ca="1">VLOOKUP(B1563,'ALL DATABASES'!$A$1:$T$2252,14,FALSE)</f>
        <v>http://dx.doi.org/10.1109/MS.2019.2954841</v>
      </c>
      <c r="G1563" s="15" t="str">
        <f ca="1">VLOOKUP(B1563,'ALL DATABASES'!$A$1:$T$2252,3,FALSE)</f>
        <v>Journal Article</v>
      </c>
      <c r="H1563" s="50" t="str">
        <f ca="1">VLOOKUP(B1563,'ALL DATABASES'!$A$1:$T$2252,20,FALSE)</f>
        <v>IEEE</v>
      </c>
    </row>
    <row r="1564" spans="1:8" ht="12.75" x14ac:dyDescent="0.2">
      <c r="A1564">
        <v>1563</v>
      </c>
      <c r="B1564" s="15" t="str">
        <f ca="1">IFERROR(__xludf.DUMMYFUNCTION("""COMPUTED_VALUE"""),"The Future Of Enterprise Architecture")</f>
        <v>The Future Of Enterprise Architecture</v>
      </c>
      <c r="C1564" s="15" t="str">
        <f ca="1">VLOOKUP(B1564,'ALL DATABASES'!$A$1:$T$2252,2,FALSE)</f>
        <v>Sheunopa Chalmers Musukutwa</v>
      </c>
      <c r="D1564" s="15">
        <f ca="1">VLOOKUP(B1564,'ALL DATABASES'!$A$1:$T$2252,5,FALSE)</f>
        <v>2022</v>
      </c>
      <c r="E1564" s="15">
        <f ca="1">VLOOKUP(B1564,'ALL DATABASES'!$A$1:$T$2252,10,FALSE)</f>
        <v>0</v>
      </c>
      <c r="F1564" s="54" t="str">
        <f ca="1">VLOOKUP(B1564,'ALL DATABASES'!$A$1:$T$2252,14,FALSE)</f>
        <v>http://link.springer.com/chapter/10.1007/978-1-4842-8575-6_9</v>
      </c>
      <c r="G1564" s="15" t="str">
        <f ca="1">VLOOKUP(B1564,'ALL DATABASES'!$A$1:$T$2252,3,FALSE)</f>
        <v>Chapter</v>
      </c>
      <c r="H1564" s="50" t="str">
        <f ca="1">VLOOKUP(B1564,'ALL DATABASES'!$A$1:$T$2252,20,FALSE)</f>
        <v>SPRINGER</v>
      </c>
    </row>
    <row r="1565" spans="1:8" ht="12.75" x14ac:dyDescent="0.2">
      <c r="A1565">
        <v>1564</v>
      </c>
      <c r="B1565" s="15" t="str">
        <f ca="1">IFERROR(__xludf.DUMMYFUNCTION("""COMPUTED_VALUE"""),"The Gap between the Admitted and the Measured Technical Debt: An Empirical Study")</f>
        <v>The Gap between the Admitted and the Measured Technical Debt: An Empirical Study</v>
      </c>
      <c r="C1565" s="15" t="str">
        <f ca="1">VLOOKUP(B1565,'ALL DATABASES'!$A$1:$T$2252,2,FALSE)</f>
        <v>Pavlič L,Hliš T,Heričko M,Beranič T</v>
      </c>
      <c r="D1565" s="15">
        <f ca="1">VLOOKUP(B1565,'ALL DATABASES'!$A$1:$T$2252,5,FALSE)</f>
        <v>2022</v>
      </c>
      <c r="E1565" s="15">
        <f ca="1">VLOOKUP(B1565,'ALL DATABASES'!$A$1:$T$2252,10,FALSE)</f>
        <v>2022</v>
      </c>
      <c r="F1565" s="54" t="str">
        <f ca="1">VLOOKUP(B1565,'ALL DATABASES'!$A$1:$T$2252,14,FALSE)</f>
        <v>https://www.scopus.com/inward/record.uri?eid=2-s2.0-85136925659&amp;doi=10.3390%2fapp12157482&amp;partnerID=40&amp;md5=4c43ef6cf54db27bed12247567f76c4c;http://dx.doi.org/10.3390/app12157482</v>
      </c>
      <c r="G1565" s="15" t="str">
        <f ca="1">VLOOKUP(B1565,'ALL DATABASES'!$A$1:$T$2252,3,FALSE)</f>
        <v>Journal Article</v>
      </c>
      <c r="H1565" s="50" t="str">
        <f ca="1">VLOOKUP(B1565,'ALL DATABASES'!$A$1:$T$2252,20,FALSE)</f>
        <v>SCOPUS</v>
      </c>
    </row>
    <row r="1566" spans="1:8" ht="12.75" x14ac:dyDescent="0.2">
      <c r="A1566">
        <v>1565</v>
      </c>
      <c r="B1566" s="15" t="str">
        <f ca="1">IFERROR(__xludf.DUMMYFUNCTION("""COMPUTED_VALUE"""),"The Ghost Commit Problem When Identifying Fix-Inducing Changes: An Empirical Study of Apache Projects")</f>
        <v>The Ghost Commit Problem When Identifying Fix-Inducing Changes: An Empirical Study of Apache Projects</v>
      </c>
      <c r="C1566" s="15" t="str">
        <f ca="1">VLOOKUP(B1566,'ALL DATABASES'!$A$1:$T$2252,2,FALSE)</f>
        <v>Rezk C,Kamei Y,McIntosh S</v>
      </c>
      <c r="D1566" s="15">
        <f ca="1">VLOOKUP(B1566,'ALL DATABASES'!$A$1:$T$2252,5,FALSE)</f>
        <v>2022</v>
      </c>
      <c r="E1566" s="55">
        <f ca="1">VLOOKUP(B1566,'ALL DATABASES'!$A$1:$T$2252,10,FALSE)</f>
        <v>44805</v>
      </c>
      <c r="F1566" s="54" t="str">
        <f ca="1">VLOOKUP(B1566,'ALL DATABASES'!$A$1:$T$2252,14,FALSE)</f>
        <v>http://dx.doi.org/10.1109/TSE.2021.3087419</v>
      </c>
      <c r="G1566" s="15" t="str">
        <f ca="1">VLOOKUP(B1566,'ALL DATABASES'!$A$1:$T$2252,3,FALSE)</f>
        <v>Journal Article</v>
      </c>
      <c r="H1566" s="50" t="str">
        <f ca="1">VLOOKUP(B1566,'ALL DATABASES'!$A$1:$T$2252,20,FALSE)</f>
        <v>IEEE</v>
      </c>
    </row>
    <row r="1567" spans="1:8" ht="12.75" x14ac:dyDescent="0.2">
      <c r="A1567">
        <v>1566</v>
      </c>
      <c r="B1567" s="15" t="str">
        <f ca="1">IFERROR(__xludf.DUMMYFUNCTION("""COMPUTED_VALUE"""),"The Goldilocks Framework: Towards Selecting the Optimal Approach to Conducting AI Projects")</f>
        <v>The Goldilocks Framework: Towards Selecting the Optimal Approach to Conducting AI Projects</v>
      </c>
      <c r="C1567" s="15" t="str">
        <f ca="1">VLOOKUP(B1567,'ALL DATABASES'!$A$1:$T$2252,2,FALSE)</f>
        <v>Dzhusupova R,Bosch J,Olsson HH</v>
      </c>
      <c r="D1567" s="15">
        <f ca="1">VLOOKUP(B1567,'ALL DATABASES'!$A$1:$T$2252,5,FALSE)</f>
        <v>2022</v>
      </c>
      <c r="E1567" s="15">
        <f ca="1">VLOOKUP(B1567,'ALL DATABASES'!$A$1:$T$2252,10,FALSE)</f>
        <v>2022</v>
      </c>
      <c r="F1567" s="54" t="str">
        <f ca="1">VLOOKUP(B1567,'ALL DATABASES'!$A$1:$T$2252,14,FALSE)</f>
        <v>https://www.scopus.com/inward/record.uri?eid=2-s2.0-85133479649&amp;doi=10.1145%2f3522664.3528595&amp;partnerID=40&amp;md5=83a1b754243ef30238b6a8f7155dc75a;http://dx.doi.org/10.1145/3522664.3528595</v>
      </c>
      <c r="G1567" s="15" t="str">
        <f ca="1">VLOOKUP(B1567,'ALL DATABASES'!$A$1:$T$2252,3,FALSE)</f>
        <v>Conference Paper</v>
      </c>
      <c r="H1567" s="50" t="str">
        <f ca="1">VLOOKUP(B1567,'ALL DATABASES'!$A$1:$T$2252,20,FALSE)</f>
        <v>SCOPUS</v>
      </c>
    </row>
    <row r="1568" spans="1:8" ht="12.75" x14ac:dyDescent="0.2">
      <c r="A1568">
        <v>1567</v>
      </c>
      <c r="B1568" s="15" t="str">
        <f ca="1">IFERROR(__xludf.DUMMYFUNCTION("""COMPUTED_VALUE"""),"The Impact of Behavioral Similarity on DSS Advice Acceptance: A Field Experiment")</f>
        <v>The Impact of Behavioral Similarity on DSS Advice Acceptance: A Field Experiment</v>
      </c>
      <c r="C1568" s="15" t="str">
        <f ca="1">VLOOKUP(B1568,'ALL DATABASES'!$A$1:$T$2252,2,FALSE)</f>
        <v>Campbell M,Keil M,Boodraj M</v>
      </c>
      <c r="D1568" s="15">
        <f ca="1">VLOOKUP(B1568,'ALL DATABASES'!$A$1:$T$2252,5,FALSE)</f>
        <v>2022</v>
      </c>
      <c r="E1568" s="55">
        <f ca="1">VLOOKUP(B1568,'ALL DATABASES'!$A$1:$T$2252,10,FALSE)</f>
        <v>44743</v>
      </c>
      <c r="F1568" s="54" t="str">
        <f ca="1">VLOOKUP(B1568,'ALL DATABASES'!$A$1:$T$2252,14,FALSE)</f>
        <v>https://doi.org/10.1145/3551783.3551786;http://dx.doi.org/10.1145/3551783.3551786</v>
      </c>
      <c r="G1568" s="15" t="str">
        <f ca="1">VLOOKUP(B1568,'ALL DATABASES'!$A$1:$T$2252,3,FALSE)</f>
        <v>Journal Article</v>
      </c>
      <c r="H1568" s="50" t="str">
        <f ca="1">VLOOKUP(B1568,'ALL DATABASES'!$A$1:$T$2252,20,FALSE)</f>
        <v>ACM</v>
      </c>
    </row>
    <row r="1569" spans="1:8" ht="12.75" x14ac:dyDescent="0.2">
      <c r="A1569">
        <v>1568</v>
      </c>
      <c r="B1569" s="15" t="str">
        <f ca="1">IFERROR(__xludf.DUMMYFUNCTION("""COMPUTED_VALUE"""),"The Impact of Code Review on Architectural Changes")</f>
        <v>The Impact of Code Review on Architectural Changes</v>
      </c>
      <c r="C1569" s="15" t="str">
        <f ca="1">VLOOKUP(B1569,'ALL DATABASES'!$A$1:$T$2252,2,FALSE)</f>
        <v>Paixao M,Krinke J,Han D,Ragkhitwetsagul C,Harman M</v>
      </c>
      <c r="D1569" s="15">
        <f ca="1">VLOOKUP(B1569,'ALL DATABASES'!$A$1:$T$2252,5,FALSE)</f>
        <v>2021</v>
      </c>
      <c r="E1569" s="55">
        <f ca="1">VLOOKUP(B1569,'ALL DATABASES'!$A$1:$T$2252,10,FALSE)</f>
        <v>44317</v>
      </c>
      <c r="F1569" s="54" t="str">
        <f ca="1">VLOOKUP(B1569,'ALL DATABASES'!$A$1:$T$2252,14,FALSE)</f>
        <v>http://dx.doi.org/10.1109/TSE.2019.2912113</v>
      </c>
      <c r="G1569" s="15" t="str">
        <f ca="1">VLOOKUP(B1569,'ALL DATABASES'!$A$1:$T$2252,3,FALSE)</f>
        <v>Journal Article</v>
      </c>
      <c r="H1569" s="50" t="str">
        <f ca="1">VLOOKUP(B1569,'ALL DATABASES'!$A$1:$T$2252,20,FALSE)</f>
        <v>IEEE</v>
      </c>
    </row>
    <row r="1570" spans="1:8" ht="12.75" x14ac:dyDescent="0.2">
      <c r="A1570">
        <v>1569</v>
      </c>
      <c r="B1570" s="15" t="str">
        <f ca="1">IFERROR(__xludf.DUMMYFUNCTION("""COMPUTED_VALUE"""),"The Impact of Human Factors on Software Sustainability")</f>
        <v>The Impact of Human Factors on Software Sustainability</v>
      </c>
      <c r="C1570" s="15" t="str">
        <f ca="1">VLOOKUP(B1570,'ALL DATABASES'!$A$1:$T$2252,2,FALSE)</f>
        <v>Asif ImranTevfik Kosar</v>
      </c>
      <c r="D1570" s="15">
        <f ca="1">VLOOKUP(B1570,'ALL DATABASES'!$A$1:$T$2252,5,FALSE)</f>
        <v>2021</v>
      </c>
      <c r="E1570" s="15">
        <f ca="1">VLOOKUP(B1570,'ALL DATABASES'!$A$1:$T$2252,10,FALSE)</f>
        <v>0</v>
      </c>
      <c r="F1570" s="54" t="str">
        <f ca="1">VLOOKUP(B1570,'ALL DATABASES'!$A$1:$T$2252,14,FALSE)</f>
        <v>http://link.springer.com/chapter/10.1007/978-3-030-69970-3_12</v>
      </c>
      <c r="G1570" s="15" t="str">
        <f ca="1">VLOOKUP(B1570,'ALL DATABASES'!$A$1:$T$2252,3,FALSE)</f>
        <v>Chapter</v>
      </c>
      <c r="H1570" s="50" t="str">
        <f ca="1">VLOOKUP(B1570,'ALL DATABASES'!$A$1:$T$2252,20,FALSE)</f>
        <v>SPRINGER</v>
      </c>
    </row>
    <row r="1571" spans="1:8" ht="12.75" x14ac:dyDescent="0.2">
      <c r="A1571">
        <v>1570</v>
      </c>
      <c r="B1571" s="15" t="str">
        <f ca="1">IFERROR(__xludf.DUMMYFUNCTION("""COMPUTED_VALUE"""),"The impact of integrating agile software development and model-driven development: A comparative case study")</f>
        <v>The impact of integrating agile software development and model-driven development: A comparative case study</v>
      </c>
      <c r="C1571" s="15" t="str">
        <f ca="1">VLOOKUP(B1571,'ALL DATABASES'!$A$1:$T$2252,2,FALSE)</f>
        <v>Alfraihi H,Lano K,Kolahdouz-Rahimi S,Sharbaf M,Haughton H</v>
      </c>
      <c r="D1571" s="15">
        <f ca="1">VLOOKUP(B1571,'ALL DATABASES'!$A$1:$T$2252,5,FALSE)</f>
        <v>2018</v>
      </c>
      <c r="E1571" s="15">
        <f ca="1">VLOOKUP(B1571,'ALL DATABASES'!$A$1:$T$2252,10,FALSE)</f>
        <v>2018</v>
      </c>
      <c r="F1571" s="54" t="str">
        <f ca="1">VLOOKUP(B1571,'ALL DATABASES'!$A$1:$T$2252,14,FALSE)</f>
        <v>https://www.scopus.com/inward/record.uri?eid=2-s2.0-85054784046&amp;doi=10.1007%2f978-3-030-01042-3_14&amp;partnerID=40&amp;md5=eb8f2bfd96f8220542a4058ba72bf954;http://dx.doi.org/10.1007/978-3-030-01042-3_14</v>
      </c>
      <c r="G1571" s="15" t="str">
        <f ca="1">VLOOKUP(B1571,'ALL DATABASES'!$A$1:$T$2252,3,FALSE)</f>
        <v>Journal Article</v>
      </c>
      <c r="H1571" s="50" t="str">
        <f ca="1">VLOOKUP(B1571,'ALL DATABASES'!$A$1:$T$2252,20,FALSE)</f>
        <v>SCOPUS</v>
      </c>
    </row>
    <row r="1572" spans="1:8" ht="12.75" x14ac:dyDescent="0.2">
      <c r="A1572">
        <v>1571</v>
      </c>
      <c r="B1572" s="15" t="str">
        <f ca="1">IFERROR(__xludf.DUMMYFUNCTION("""COMPUTED_VALUE"""),"The impact of using a domain language for an agile requirements management")</f>
        <v>The impact of using a domain language for an agile requirements management</v>
      </c>
      <c r="C1572" s="15" t="str">
        <f ca="1">VLOOKUP(B1572,'ALL DATABASES'!$A$1:$T$2252,2,FALSE)</f>
        <v>Urbieta M,Antonelli L,Rossi G,do Prado Leite JC</v>
      </c>
      <c r="D1572" s="15">
        <f ca="1">VLOOKUP(B1572,'ALL DATABASES'!$A$1:$T$2252,5,FALSE)</f>
        <v>2020</v>
      </c>
      <c r="E1572" s="15">
        <f ca="1">VLOOKUP(B1572,'ALL DATABASES'!$A$1:$T$2252,10,FALSE)</f>
        <v>2020</v>
      </c>
      <c r="F1572" s="54" t="str">
        <f ca="1">VLOOKUP(B1572,'ALL DATABASES'!$A$1:$T$2252,14,FALSE)</f>
        <v>https://www.sciencedirect.com/science/article/pii/S0950584920301440;http://dx.doi.org/10.1016/j.infsof.2020.106375</v>
      </c>
      <c r="G1572" s="15" t="str">
        <f ca="1">VLOOKUP(B1572,'ALL DATABASES'!$A$1:$T$2252,3,FALSE)</f>
        <v>Journal Article</v>
      </c>
      <c r="H1572" s="50" t="str">
        <f ca="1">VLOOKUP(B1572,'ALL DATABASES'!$A$1:$T$2252,20,FALSE)</f>
        <v>SCIENCEDIRECT</v>
      </c>
    </row>
    <row r="1573" spans="1:8" ht="12.75" x14ac:dyDescent="0.2">
      <c r="A1573">
        <v>1572</v>
      </c>
      <c r="B1573" s="15" t="str">
        <f ca="1">IFERROR(__xludf.DUMMYFUNCTION("""COMPUTED_VALUE"""),"The Integration of Testing and Program Verification: A Position Paper")</f>
        <v>The Integration of Testing and Program Verification: A Position Paper</v>
      </c>
      <c r="C1573" s="15" t="str">
        <f ca="1">VLOOKUP(B1573,'ALL DATABASES'!$A$1:$T$2252,2,FALSE)</f>
        <v>van den Bos P,Huisman M</v>
      </c>
      <c r="D1573" s="15">
        <f ca="1">VLOOKUP(B1573,'ALL DATABASES'!$A$1:$T$2252,5,FALSE)</f>
        <v>2022</v>
      </c>
      <c r="E1573" s="15">
        <f ca="1">VLOOKUP(B1573,'ALL DATABASES'!$A$1:$T$2252,10,FALSE)</f>
        <v>2022</v>
      </c>
      <c r="F1573" s="54" t="str">
        <f ca="1">VLOOKUP(B1573,'ALL DATABASES'!$A$1:$T$2252,14,FALSE)</f>
        <v>https://www.scopus.com/inward/record.uri?eid=2-s2.0-85138213545&amp;doi=10.1007%2f978-3-031-15629-8_28&amp;partnerID=40&amp;md5=b4f4521ec4954fb96f487eb1571ac4be;http://dx.doi.org/10.1007/978-3-031-15629-8_28</v>
      </c>
      <c r="G1573" s="15" t="str">
        <f ca="1">VLOOKUP(B1573,'ALL DATABASES'!$A$1:$T$2252,3,FALSE)</f>
        <v>Journal Article</v>
      </c>
      <c r="H1573" s="50" t="str">
        <f ca="1">VLOOKUP(B1573,'ALL DATABASES'!$A$1:$T$2252,20,FALSE)</f>
        <v>SCOPUS</v>
      </c>
    </row>
    <row r="1574" spans="1:8" ht="12.75" x14ac:dyDescent="0.2">
      <c r="A1574">
        <v>1573</v>
      </c>
      <c r="B1574" s="15" t="str">
        <f ca="1">IFERROR(__xludf.DUMMYFUNCTION("""COMPUTED_VALUE"""),"The Machine Learning Bazaar: Harnessing the ML Ecosystem for Effective System Development")</f>
        <v>The Machine Learning Bazaar: Harnessing the ML Ecosystem for Effective System Development</v>
      </c>
      <c r="C1574" s="15" t="str">
        <f ca="1">VLOOKUP(B1574,'ALL DATABASES'!$A$1:$T$2252,2,FALSE)</f>
        <v>Smith MJ,Sala C,Kanter JM,Veeramachaneni K</v>
      </c>
      <c r="D1574" s="15">
        <f ca="1">VLOOKUP(B1574,'ALL DATABASES'!$A$1:$T$2252,5,FALSE)</f>
        <v>2020</v>
      </c>
      <c r="E1574" s="15">
        <f ca="1">VLOOKUP(B1574,'ALL DATABASES'!$A$1:$T$2252,10,FALSE)</f>
        <v>2020</v>
      </c>
      <c r="F1574" s="54" t="str">
        <f ca="1">VLOOKUP(B1574,'ALL DATABASES'!$A$1:$T$2252,14,FALSE)</f>
        <v>https://www.scopus.com/inward/record.uri?eid=2-s2.0-85086278009&amp;doi=10.1145%2f3318464.3386146&amp;partnerID=40&amp;md5=6b9d0d875d873387855ce10ad97643b0;http://dx.doi.org/10.1145/3318464.3386146</v>
      </c>
      <c r="G1574" s="15" t="str">
        <f ca="1">VLOOKUP(B1574,'ALL DATABASES'!$A$1:$T$2252,3,FALSE)</f>
        <v>Conference Paper</v>
      </c>
      <c r="H1574" s="50" t="str">
        <f ca="1">VLOOKUP(B1574,'ALL DATABASES'!$A$1:$T$2252,20,FALSE)</f>
        <v>SCOPUS</v>
      </c>
    </row>
    <row r="1575" spans="1:8" ht="12.75" x14ac:dyDescent="0.2">
      <c r="A1575">
        <v>1574</v>
      </c>
      <c r="B1575" s="15" t="str">
        <f ca="1">IFERROR(__xludf.DUMMYFUNCTION("""COMPUTED_VALUE"""),"The Machine Learning Life Cycle in Chemical Operations – Status and Open Challenges")</f>
        <v>The Machine Learning Life Cycle in Chemical Operations – Status and Open Challenges</v>
      </c>
      <c r="C1575" s="15" t="str">
        <f ca="1">VLOOKUP(B1575,'ALL DATABASES'!$A$1:$T$2252,2,FALSE)</f>
        <v>Gärtler M,Khaydarov V,Klöpper B,Urbas L</v>
      </c>
      <c r="D1575" s="15">
        <f ca="1">VLOOKUP(B1575,'ALL DATABASES'!$A$1:$T$2252,5,FALSE)</f>
        <v>2021</v>
      </c>
      <c r="E1575" s="15">
        <f ca="1">VLOOKUP(B1575,'ALL DATABASES'!$A$1:$T$2252,10,FALSE)</f>
        <v>2021</v>
      </c>
      <c r="F1575" s="54" t="str">
        <f ca="1">VLOOKUP(B1575,'ALL DATABASES'!$A$1:$T$2252,14,FALSE)</f>
        <v>https://www.scopus.com/inward/record.uri?eid=2-s2.0-85118802542&amp;doi=10.1002%2fcite.202100134&amp;partnerID=40&amp;md5=aa4fe2396d451ce1717a73069e7d063b;http://dx.doi.org/10.1002/cite.202100134</v>
      </c>
      <c r="G1575" s="15" t="str">
        <f ca="1">VLOOKUP(B1575,'ALL DATABASES'!$A$1:$T$2252,3,FALSE)</f>
        <v>Journal Article</v>
      </c>
      <c r="H1575" s="50" t="str">
        <f ca="1">VLOOKUP(B1575,'ALL DATABASES'!$A$1:$T$2252,20,FALSE)</f>
        <v>SCOPUS</v>
      </c>
    </row>
    <row r="1576" spans="1:8" ht="12.75" x14ac:dyDescent="0.2">
      <c r="A1576">
        <v>1575</v>
      </c>
      <c r="B1576" s="15" t="str">
        <f ca="1">IFERROR(__xludf.DUMMYFUNCTION("""COMPUTED_VALUE"""),"The ML test score: A rubric for ML production readiness and technical debt reduction")</f>
        <v>The ML test score: A rubric for ML production readiness and technical debt reduction</v>
      </c>
      <c r="C1576" s="15" t="str">
        <f ca="1">VLOOKUP(B1576,'ALL DATABASES'!$A$1:$T$2252,2,FALSE)</f>
        <v>Breck E,Cai S,Nielsen E,Salib M,Sculley D</v>
      </c>
      <c r="D1576" s="15">
        <f ca="1">VLOOKUP(B1576,'ALL DATABASES'!$A$1:$T$2252,5,FALSE)</f>
        <v>2017</v>
      </c>
      <c r="E1576" s="53">
        <f ca="1">VLOOKUP(B1576,'ALL DATABASES'!$A$1:$T$2252,10,FALSE)</f>
        <v>43070</v>
      </c>
      <c r="F1576" s="54" t="str">
        <f ca="1">VLOOKUP(B1576,'ALL DATABASES'!$A$1:$T$2252,14,FALSE)</f>
        <v>http://dx.doi.org/10.1109/BigData.2017.8258038</v>
      </c>
      <c r="G1576" s="15" t="str">
        <f ca="1">VLOOKUP(B1576,'ALL DATABASES'!$A$1:$T$2252,3,FALSE)</f>
        <v>Conference Paper</v>
      </c>
      <c r="H1576" s="50" t="str">
        <f ca="1">VLOOKUP(B1576,'ALL DATABASES'!$A$1:$T$2252,20,FALSE)</f>
        <v>IEEE</v>
      </c>
    </row>
    <row r="1577" spans="1:8" ht="12.75" x14ac:dyDescent="0.2">
      <c r="A1577">
        <v>1576</v>
      </c>
      <c r="B1577" s="15" t="str">
        <f ca="1">IFERROR(__xludf.DUMMYFUNCTION("""COMPUTED_VALUE"""),"The Next Wave of Sociotechnical Design")</f>
        <v>The Next Wave of Sociotechnical Design</v>
      </c>
      <c r="C1577" s="15" t="str">
        <f ca="1">VLOOKUP(B1577,'ALL DATABASES'!$A$1:$T$2252,2,FALSE)</f>
        <v>Leona Chandra KruseProf. Dr. Stefan SeidelGeir Inge Hausvik</v>
      </c>
      <c r="D1577" s="15">
        <f ca="1">VLOOKUP(B1577,'ALL DATABASES'!$A$1:$T$2252,5,FALSE)</f>
        <v>2021</v>
      </c>
      <c r="E1577" s="15">
        <f ca="1">VLOOKUP(B1577,'ALL DATABASES'!$A$1:$T$2252,10,FALSE)</f>
        <v>0</v>
      </c>
      <c r="F1577" s="54" t="str">
        <f ca="1">VLOOKUP(B1577,'ALL DATABASES'!$A$1:$T$2252,14,FALSE)</f>
        <v>http://link.springer.com/book/10.1007/978-3-030-82405-1</v>
      </c>
      <c r="G1577" s="15" t="str">
        <f ca="1">VLOOKUP(B1577,'ALL DATABASES'!$A$1:$T$2252,3,FALSE)</f>
        <v>Book</v>
      </c>
      <c r="H1577" s="50" t="str">
        <f ca="1">VLOOKUP(B1577,'ALL DATABASES'!$A$1:$T$2252,20,FALSE)</f>
        <v>SPRINGER</v>
      </c>
    </row>
    <row r="1578" spans="1:8" ht="12.75" x14ac:dyDescent="0.2">
      <c r="A1578">
        <v>1577</v>
      </c>
      <c r="B1578" s="15" t="str">
        <f ca="1">IFERROR(__xludf.DUMMYFUNCTION("""COMPUTED_VALUE"""),"The operating system of the neuromorphic BrainScaleS-1 system")</f>
        <v>The operating system of the neuromorphic BrainScaleS-1 system</v>
      </c>
      <c r="C1578" s="15" t="str">
        <f ca="1">VLOOKUP(B1578,'ALL DATABASES'!$A$1:$T$2252,2,FALSE)</f>
        <v>Müller E,Schmitt S,Mauch C,Billaudelle S,Grübl A,Güttler M,Husmann D,Ilmberger J,Jeltsch S,Kaiser J,Klähn J,Kleider M,Koke C,Montes J,Müller P,Partzsch J,Passenberg F,Schmidt H,Vogginger B,Weidner J,Mayr C,Schemmel J</v>
      </c>
      <c r="D1578" s="15">
        <f ca="1">VLOOKUP(B1578,'ALL DATABASES'!$A$1:$T$2252,5,FALSE)</f>
        <v>2022</v>
      </c>
      <c r="E1578" s="15">
        <f ca="1">VLOOKUP(B1578,'ALL DATABASES'!$A$1:$T$2252,10,FALSE)</f>
        <v>2022</v>
      </c>
      <c r="F1578" s="54" t="str">
        <f ca="1">VLOOKUP(B1578,'ALL DATABASES'!$A$1:$T$2252,14,FALSE)</f>
        <v>https://www.sciencedirect.com/science/article/pii/S0925231222006646;http://dx.doi.org/10.1016/j.neucom.2022.05.081</v>
      </c>
      <c r="G1578" s="15" t="str">
        <f ca="1">VLOOKUP(B1578,'ALL DATABASES'!$A$1:$T$2252,3,FALSE)</f>
        <v>Journal Article</v>
      </c>
      <c r="H1578" s="50" t="str">
        <f ca="1">VLOOKUP(B1578,'ALL DATABASES'!$A$1:$T$2252,20,FALSE)</f>
        <v>SCIENCEDIRECT</v>
      </c>
    </row>
    <row r="1579" spans="1:8" ht="12.75" x14ac:dyDescent="0.2">
      <c r="A1579">
        <v>1578</v>
      </c>
      <c r="B1579" s="15" t="str">
        <f ca="1">IFERROR(__xludf.DUMMYFUNCTION("""COMPUTED_VALUE"""),"The Palgrave Handbook of the Public Servant")</f>
        <v>The Palgrave Handbook of the Public Servant</v>
      </c>
      <c r="C1579" s="15" t="str">
        <f ca="1">VLOOKUP(B1579,'ALL DATABASES'!$A$1:$T$2252,2,FALSE)</f>
        <v>Prof. Helen SullivanProf. Helen DickinsonHayley Henderson</v>
      </c>
      <c r="D1579" s="15">
        <f ca="1">VLOOKUP(B1579,'ALL DATABASES'!$A$1:$T$2252,5,FALSE)</f>
        <v>2021</v>
      </c>
      <c r="E1579" s="15">
        <f ca="1">VLOOKUP(B1579,'ALL DATABASES'!$A$1:$T$2252,10,FALSE)</f>
        <v>0</v>
      </c>
      <c r="F1579" s="54" t="str">
        <f ca="1">VLOOKUP(B1579,'ALL DATABASES'!$A$1:$T$2252,14,FALSE)</f>
        <v>http://link.springer.com/referencework/10.1007/978-3-030-29980-4</v>
      </c>
      <c r="G1579" s="15" t="str">
        <f ca="1">VLOOKUP(B1579,'ALL DATABASES'!$A$1:$T$2252,3,FALSE)</f>
        <v>ReferenceWork</v>
      </c>
      <c r="H1579" s="50" t="str">
        <f ca="1">VLOOKUP(B1579,'ALL DATABASES'!$A$1:$T$2252,20,FALSE)</f>
        <v>SPRINGER</v>
      </c>
    </row>
    <row r="1580" spans="1:8" ht="12.75" x14ac:dyDescent="0.2">
      <c r="A1580">
        <v>1579</v>
      </c>
      <c r="B1580" s="15" t="str">
        <f ca="1">IFERROR(__xludf.DUMMYFUNCTION("""COMPUTED_VALUE"""),"The Past, Present and Future of Technical Debt: Learning from the Past to Prepare for the Future")</f>
        <v>The Past, Present and Future of Technical Debt: Learning from the Past to Prepare for the Future</v>
      </c>
      <c r="C1580" s="15" t="str">
        <f ca="1">VLOOKUP(B1580,'ALL DATABASES'!$A$1:$T$2252,2,FALSE)</f>
        <v>Woods E</v>
      </c>
      <c r="D1580" s="15">
        <f ca="1">VLOOKUP(B1580,'ALL DATABASES'!$A$1:$T$2252,5,FALSE)</f>
        <v>2018</v>
      </c>
      <c r="E1580" s="15">
        <f ca="1">VLOOKUP(B1580,'ALL DATABASES'!$A$1:$T$2252,10,FALSE)</f>
        <v>2018</v>
      </c>
      <c r="F1580" s="54" t="str">
        <f ca="1">VLOOKUP(B1580,'ALL DATABASES'!$A$1:$T$2252,14,FALSE)</f>
        <v>https://doi.org/10.1145/3194164.3194181;http://dx.doi.org/10.1145/3194164.3194181</v>
      </c>
      <c r="G1580" s="15" t="str">
        <f ca="1">VLOOKUP(B1580,'ALL DATABASES'!$A$1:$T$2252,3,FALSE)</f>
        <v>Conference Paper</v>
      </c>
      <c r="H1580" s="50" t="str">
        <f ca="1">VLOOKUP(B1580,'ALL DATABASES'!$A$1:$T$2252,20,FALSE)</f>
        <v>ACM</v>
      </c>
    </row>
    <row r="1581" spans="1:8" ht="12.75" x14ac:dyDescent="0.2">
      <c r="A1581">
        <v>1580</v>
      </c>
      <c r="B1581" s="15" t="str">
        <f ca="1">IFERROR(__xludf.DUMMYFUNCTION("""COMPUTED_VALUE"""),"The pipeline for the continuous development of artificial intelligence models—Current state of research and practice")</f>
        <v>The pipeline for the continuous development of artificial intelligence models—Current state of research and practice</v>
      </c>
      <c r="C1581" s="15" t="str">
        <f ca="1">VLOOKUP(B1581,'ALL DATABASES'!$A$1:$T$2252,2,FALSE)</f>
        <v>Steidl M,Felderer M,Ramler R</v>
      </c>
      <c r="D1581" s="15">
        <f ca="1">VLOOKUP(B1581,'ALL DATABASES'!$A$1:$T$2252,5,FALSE)</f>
        <v>2023</v>
      </c>
      <c r="E1581" s="15">
        <f ca="1">VLOOKUP(B1581,'ALL DATABASES'!$A$1:$T$2252,10,FALSE)</f>
        <v>2023</v>
      </c>
      <c r="F1581" s="54" t="str">
        <f ca="1">VLOOKUP(B1581,'ALL DATABASES'!$A$1:$T$2252,14,FALSE)</f>
        <v>https://www.sciencedirect.com/science/article/pii/S0164121223000109;http://dx.doi.org/10.1016/j.jss.2023.111615</v>
      </c>
      <c r="G1581" s="15" t="str">
        <f ca="1">VLOOKUP(B1581,'ALL DATABASES'!$A$1:$T$2252,3,FALSE)</f>
        <v>Journal Article</v>
      </c>
      <c r="H1581" s="50" t="str">
        <f ca="1">VLOOKUP(B1581,'ALL DATABASES'!$A$1:$T$2252,20,FALSE)</f>
        <v>SCIENCEDIRECT</v>
      </c>
    </row>
    <row r="1582" spans="1:8" ht="12.75" x14ac:dyDescent="0.2">
      <c r="A1582">
        <v>1581</v>
      </c>
      <c r="B1582" s="15" t="str">
        <f ca="1">IFERROR(__xludf.DUMMYFUNCTION("""COMPUTED_VALUE"""),"The Post-Digital Enterprise")</f>
        <v>The Post-Digital Enterprise</v>
      </c>
      <c r="C1582" s="15" t="str">
        <f ca="1">VLOOKUP(B1582,'ALL DATABASES'!$A$1:$T$2252,2,FALSE)</f>
        <v>Prof. Gianluigi CastelliProf. Severino MeregalliProf. Dr. Ferdinando Pennarola</v>
      </c>
      <c r="D1582" s="15">
        <f ca="1">VLOOKUP(B1582,'ALL DATABASES'!$A$1:$T$2252,5,FALSE)</f>
        <v>2022</v>
      </c>
      <c r="E1582" s="15">
        <f ca="1">VLOOKUP(B1582,'ALL DATABASES'!$A$1:$T$2252,10,FALSE)</f>
        <v>0</v>
      </c>
      <c r="F1582" s="54" t="str">
        <f ca="1">VLOOKUP(B1582,'ALL DATABASES'!$A$1:$T$2252,14,FALSE)</f>
        <v>http://link.springer.com/book/10.1007/978-3-030-94837-5</v>
      </c>
      <c r="G1582" s="15" t="str">
        <f ca="1">VLOOKUP(B1582,'ALL DATABASES'!$A$1:$T$2252,3,FALSE)</f>
        <v>Book</v>
      </c>
      <c r="H1582" s="50" t="str">
        <f ca="1">VLOOKUP(B1582,'ALL DATABASES'!$A$1:$T$2252,20,FALSE)</f>
        <v>SPRINGER</v>
      </c>
    </row>
    <row r="1583" spans="1:8" ht="12.75" x14ac:dyDescent="0.2">
      <c r="A1583">
        <v>1582</v>
      </c>
      <c r="B1583" s="15" t="str">
        <f ca="1">IFERROR(__xludf.DUMMYFUNCTION("""COMPUTED_VALUE"""),"The Practice of Crowdsourcing")</f>
        <v>The Practice of Crowdsourcing</v>
      </c>
      <c r="C1583" s="15" t="str">
        <f ca="1">VLOOKUP(B1583,'ALL DATABASES'!$A$1:$T$2252,2,FALSE)</f>
        <v>Alonso O</v>
      </c>
      <c r="D1583" s="15">
        <f ca="1">VLOOKUP(B1583,'ALL DATABASES'!$A$1:$T$2252,5,FALSE)</f>
        <v>2019</v>
      </c>
      <c r="E1583" s="15">
        <f ca="1">VLOOKUP(B1583,'ALL DATABASES'!$A$1:$T$2252,10,FALSE)</f>
        <v>2019</v>
      </c>
      <c r="F1583" s="54" t="str">
        <f ca="1">VLOOKUP(B1583,'ALL DATABASES'!$A$1:$T$2252,14,FALSE)</f>
        <v>https://www.scopus.com/inward/record.uri?eid=2-s2.0-85076867877&amp;doi=10.2200%2fS00904ED1V01Y201903ICR066&amp;partnerID=40&amp;md5=222e93a3948848d3fb83104c997b761e;http://dx.doi.org/10.2200/S00904ED1V01Y201903ICR066</v>
      </c>
      <c r="G1583" s="15" t="str">
        <f ca="1">VLOOKUP(B1583,'ALL DATABASES'!$A$1:$T$2252,3,FALSE)</f>
        <v>Journal Article</v>
      </c>
      <c r="H1583" s="50" t="str">
        <f ca="1">VLOOKUP(B1583,'ALL DATABASES'!$A$1:$T$2252,20,FALSE)</f>
        <v>SCOPUS</v>
      </c>
    </row>
    <row r="1584" spans="1:8" ht="12.75" x14ac:dyDescent="0.2">
      <c r="A1584">
        <v>1583</v>
      </c>
      <c r="B1584" s="15" t="str">
        <f ca="1">IFERROR(__xludf.DUMMYFUNCTION("""COMPUTED_VALUE"""),"The Practice of Enterprise Modeling")</f>
        <v>The Practice of Enterprise Modeling</v>
      </c>
      <c r="C1584" s="15" t="str">
        <f ca="1">VLOOKUP(B1584,'ALL DATABASES'!$A$1:$T$2252,2,FALSE)</f>
        <v>Prof. EstefanÃ­a SerralJanis StirnaDr. Jolita RalytÃ©Prof. JÄnis Grabis</v>
      </c>
      <c r="D1584" s="15">
        <f ca="1">VLOOKUP(B1584,'ALL DATABASES'!$A$1:$T$2252,5,FALSE)</f>
        <v>2021</v>
      </c>
      <c r="E1584" s="15">
        <f ca="1">VLOOKUP(B1584,'ALL DATABASES'!$A$1:$T$2252,10,FALSE)</f>
        <v>0</v>
      </c>
      <c r="F1584" s="54" t="str">
        <f ca="1">VLOOKUP(B1584,'ALL DATABASES'!$A$1:$T$2252,14,FALSE)</f>
        <v>http://link.springer.com/book/10.1007/978-3-030-91279-6</v>
      </c>
      <c r="G1584" s="15" t="str">
        <f ca="1">VLOOKUP(B1584,'ALL DATABASES'!$A$1:$T$2252,3,FALSE)</f>
        <v>Book</v>
      </c>
      <c r="H1584" s="50" t="str">
        <f ca="1">VLOOKUP(B1584,'ALL DATABASES'!$A$1:$T$2252,20,FALSE)</f>
        <v>SPRINGER</v>
      </c>
    </row>
    <row r="1585" spans="1:8" ht="12.75" x14ac:dyDescent="0.2">
      <c r="A1585">
        <v>1584</v>
      </c>
      <c r="B1585" s="15" t="str">
        <f ca="1">IFERROR(__xludf.DUMMYFUNCTION("""COMPUTED_VALUE"""),"The Pragmatic Architect Evolves")</f>
        <v>The Pragmatic Architect Evolves</v>
      </c>
      <c r="C1585" s="15" t="str">
        <f ca="1">VLOOKUP(B1585,'ALL DATABASES'!$A$1:$T$2252,2,FALSE)</f>
        <v>Woods E,Fairbanks G</v>
      </c>
      <c r="D1585" s="15">
        <f ca="1">VLOOKUP(B1585,'ALL DATABASES'!$A$1:$T$2252,5,FALSE)</f>
        <v>2018</v>
      </c>
      <c r="E1585" s="53">
        <f ca="1">VLOOKUP(B1585,'ALL DATABASES'!$A$1:$T$2252,10,FALSE)</f>
        <v>43405</v>
      </c>
      <c r="F1585" s="54" t="str">
        <f ca="1">VLOOKUP(B1585,'ALL DATABASES'!$A$1:$T$2252,14,FALSE)</f>
        <v>http://dx.doi.org/10.1109/MS.2018.4321235</v>
      </c>
      <c r="G1585" s="15" t="str">
        <f ca="1">VLOOKUP(B1585,'ALL DATABASES'!$A$1:$T$2252,3,FALSE)</f>
        <v>Journal Article</v>
      </c>
      <c r="H1585" s="50" t="str">
        <f ca="1">VLOOKUP(B1585,'ALL DATABASES'!$A$1:$T$2252,20,FALSE)</f>
        <v>IEEE</v>
      </c>
    </row>
    <row r="1586" spans="1:8" ht="12.75" x14ac:dyDescent="0.2">
      <c r="A1586">
        <v>1585</v>
      </c>
      <c r="B1586" s="15" t="str">
        <f ca="1">IFERROR(__xludf.DUMMYFUNCTION("""COMPUTED_VALUE"""),"The Prevalence of Code Smells in Machine Learning projects")</f>
        <v>The Prevalence of Code Smells in Machine Learning projects</v>
      </c>
      <c r="C1586" s="15" t="str">
        <f ca="1">VLOOKUP(B1586,'ALL DATABASES'!$A$1:$T$2252,2,FALSE)</f>
        <v>van Oort B,Cruz L,Aniche M,van Deursen A</v>
      </c>
      <c r="D1586" s="15">
        <f ca="1">VLOOKUP(B1586,'ALL DATABASES'!$A$1:$T$2252,5,FALSE)</f>
        <v>2021</v>
      </c>
      <c r="E1586" s="55">
        <f ca="1">VLOOKUP(B1586,'ALL DATABASES'!$A$1:$T$2252,10,FALSE)</f>
        <v>44317</v>
      </c>
      <c r="F1586" s="54" t="str">
        <f ca="1">VLOOKUP(B1586,'ALL DATABASES'!$A$1:$T$2252,14,FALSE)</f>
        <v>http://dx.doi.org/10.1109/WAIN52551.2021.00011</v>
      </c>
      <c r="G1586" s="15" t="str">
        <f ca="1">VLOOKUP(B1586,'ALL DATABASES'!$A$1:$T$2252,3,FALSE)</f>
        <v>Conference Paper</v>
      </c>
      <c r="H1586" s="50" t="str">
        <f ca="1">VLOOKUP(B1586,'ALL DATABASES'!$A$1:$T$2252,20,FALSE)</f>
        <v>IEEE</v>
      </c>
    </row>
    <row r="1587" spans="1:8" ht="12.75" x14ac:dyDescent="0.2">
      <c r="A1587">
        <v>1586</v>
      </c>
      <c r="B1587" s="15" t="str">
        <f ca="1">IFERROR(__xludf.DUMMYFUNCTION("""COMPUTED_VALUE"""),"The relationship between design patterns and code smells: An exploratory study")</f>
        <v>The relationship between design patterns and code smells: An exploratory study</v>
      </c>
      <c r="C1587" s="15" t="str">
        <f ca="1">VLOOKUP(B1587,'ALL DATABASES'!$A$1:$T$2252,2,FALSE)</f>
        <v>Walter B,Alkhaeir T</v>
      </c>
      <c r="D1587" s="15">
        <f ca="1">VLOOKUP(B1587,'ALL DATABASES'!$A$1:$T$2252,5,FALSE)</f>
        <v>2016</v>
      </c>
      <c r="E1587" s="15">
        <f ca="1">VLOOKUP(B1587,'ALL DATABASES'!$A$1:$T$2252,10,FALSE)</f>
        <v>2016</v>
      </c>
      <c r="F1587" s="54" t="str">
        <f ca="1">VLOOKUP(B1587,'ALL DATABASES'!$A$1:$T$2252,14,FALSE)</f>
        <v>https://www.scopus.com/inward/record.uri?eid=2-s2.0-84961144203&amp;doi=10.1016%2fj.infsof.2016.02.003&amp;partnerID=40&amp;md5=39d31d9a944d5e67c10ac63568c00a64;http://dx.doi.org/10.1016/j.infsof.2016.02.003</v>
      </c>
      <c r="G1587" s="15" t="str">
        <f ca="1">VLOOKUP(B1587,'ALL DATABASES'!$A$1:$T$2252,3,FALSE)</f>
        <v>Journal Article</v>
      </c>
      <c r="H1587" s="50" t="str">
        <f ca="1">VLOOKUP(B1587,'ALL DATABASES'!$A$1:$T$2252,20,FALSE)</f>
        <v>SCOPUS</v>
      </c>
    </row>
    <row r="1588" spans="1:8" ht="12.75" x14ac:dyDescent="0.2">
      <c r="A1588">
        <v>1587</v>
      </c>
      <c r="B1588" s="15" t="str">
        <f ca="1">IFERROR(__xludf.DUMMYFUNCTION("""COMPUTED_VALUE"""),"The rise of android code smells: Who is to blame?")</f>
        <v>The rise of android code smells: Who is to blame?</v>
      </c>
      <c r="C1588" s="15" t="str">
        <f ca="1">VLOOKUP(B1588,'ALL DATABASES'!$A$1:$T$2252,2,FALSE)</f>
        <v>Habchi S,Moha N,Rouvoy R</v>
      </c>
      <c r="D1588" s="15">
        <f ca="1">VLOOKUP(B1588,'ALL DATABASES'!$A$1:$T$2252,5,FALSE)</f>
        <v>2019</v>
      </c>
      <c r="E1588" s="15">
        <f ca="1">VLOOKUP(B1588,'ALL DATABASES'!$A$1:$T$2252,10,FALSE)</f>
        <v>2019</v>
      </c>
      <c r="F1588" s="54" t="str">
        <f ca="1">VLOOKUP(B1588,'ALL DATABASES'!$A$1:$T$2252,14,FALSE)</f>
        <v>https://www.scopus.com/inward/record.uri?eid=2-s2.0-85072343120&amp;doi=10.1109%2fMSR.2019.00071&amp;partnerID=40&amp;md5=47ccc563239187220923d9959cc82e19;http://dx.doi.org/10.1109/MSR.2019.00071</v>
      </c>
      <c r="G1588" s="15" t="str">
        <f ca="1">VLOOKUP(B1588,'ALL DATABASES'!$A$1:$T$2252,3,FALSE)</f>
        <v>Conference Paper</v>
      </c>
      <c r="H1588" s="50" t="str">
        <f ca="1">VLOOKUP(B1588,'ALL DATABASES'!$A$1:$T$2252,20,FALSE)</f>
        <v>SCOPUS</v>
      </c>
    </row>
    <row r="1589" spans="1:8" ht="12.75" x14ac:dyDescent="0.2">
      <c r="A1589">
        <v>1588</v>
      </c>
      <c r="B1589" s="15" t="str">
        <f ca="1">IFERROR(__xludf.DUMMYFUNCTION("""COMPUTED_VALUE"""),"The Robotic Process Automation Handbook")</f>
        <v>The Robotic Process Automation Handbook</v>
      </c>
      <c r="C1589" s="15" t="str">
        <f ca="1">VLOOKUP(B1589,'ALL DATABASES'!$A$1:$T$2252,2,FALSE)</f>
        <v>Tom Taulli</v>
      </c>
      <c r="D1589" s="15">
        <f ca="1">VLOOKUP(B1589,'ALL DATABASES'!$A$1:$T$2252,5,FALSE)</f>
        <v>2020</v>
      </c>
      <c r="E1589" s="15">
        <f ca="1">VLOOKUP(B1589,'ALL DATABASES'!$A$1:$T$2252,10,FALSE)</f>
        <v>0</v>
      </c>
      <c r="F1589" s="54" t="str">
        <f ca="1">VLOOKUP(B1589,'ALL DATABASES'!$A$1:$T$2252,14,FALSE)</f>
        <v>http://link.springer.com/book/10.1007/978-1-4842-5729-6</v>
      </c>
      <c r="G1589" s="15" t="str">
        <f ca="1">VLOOKUP(B1589,'ALL DATABASES'!$A$1:$T$2252,3,FALSE)</f>
        <v>Book</v>
      </c>
      <c r="H1589" s="50" t="str">
        <f ca="1">VLOOKUP(B1589,'ALL DATABASES'!$A$1:$T$2252,20,FALSE)</f>
        <v>SPRINGER</v>
      </c>
    </row>
    <row r="1590" spans="1:8" ht="12.75" x14ac:dyDescent="0.2">
      <c r="A1590">
        <v>1589</v>
      </c>
      <c r="B1590" s="15" t="str">
        <f ca="1">IFERROR(__xludf.DUMMYFUNCTION("""COMPUTED_VALUE"""),"The Role of Randomization in Trustworthy Machine Learning")</f>
        <v>The Role of Randomization in Trustworthy Machine Learning</v>
      </c>
      <c r="C1590" s="15" t="str">
        <f ca="1">VLOOKUP(B1590,'ALL DATABASES'!$A$1:$T$2252,2,FALSE)</f>
        <v>Papernot N</v>
      </c>
      <c r="D1590" s="15">
        <f ca="1">VLOOKUP(B1590,'ALL DATABASES'!$A$1:$T$2252,5,FALSE)</f>
        <v>2022</v>
      </c>
      <c r="E1590" s="15">
        <f ca="1">VLOOKUP(B1590,'ALL DATABASES'!$A$1:$T$2252,10,FALSE)</f>
        <v>2022</v>
      </c>
      <c r="F1590" s="54" t="str">
        <f ca="1">VLOOKUP(B1590,'ALL DATABASES'!$A$1:$T$2252,14,FALSE)</f>
        <v>https://doi.org/10.1145/3560828.3564001;http://dx.doi.org/10.1145/3560828.3564001</v>
      </c>
      <c r="G1590" s="15" t="str">
        <f ca="1">VLOOKUP(B1590,'ALL DATABASES'!$A$1:$T$2252,3,FALSE)</f>
        <v>Conference Paper</v>
      </c>
      <c r="H1590" s="50" t="str">
        <f ca="1">VLOOKUP(B1590,'ALL DATABASES'!$A$1:$T$2252,20,FALSE)</f>
        <v>ACM</v>
      </c>
    </row>
    <row r="1591" spans="1:8" ht="12.75" x14ac:dyDescent="0.2">
      <c r="A1591">
        <v>1590</v>
      </c>
      <c r="B1591" s="15" t="str">
        <f ca="1">IFERROR(__xludf.DUMMYFUNCTION("""COMPUTED_VALUE"""),"The Scent of a Smell: An Extensive Comparison Between Textual and Structural Smells")</f>
        <v>The Scent of a Smell: An Extensive Comparison Between Textual and Structural Smells</v>
      </c>
      <c r="C1591" s="15" t="str">
        <f ca="1">VLOOKUP(B1591,'ALL DATABASES'!$A$1:$T$2252,2,FALSE)</f>
        <v>Palomba F,Panichella A,Zaidman A,Oliveto R,De Lucia A</v>
      </c>
      <c r="D1591" s="15">
        <f ca="1">VLOOKUP(B1591,'ALL DATABASES'!$A$1:$T$2252,5,FALSE)</f>
        <v>2018</v>
      </c>
      <c r="E1591" s="53">
        <f ca="1">VLOOKUP(B1591,'ALL DATABASES'!$A$1:$T$2252,10,FALSE)</f>
        <v>43374</v>
      </c>
      <c r="F1591" s="54" t="str">
        <f ca="1">VLOOKUP(B1591,'ALL DATABASES'!$A$1:$T$2252,14,FALSE)</f>
        <v>http://dx.doi.org/10.1109/TSE.2017.2752171</v>
      </c>
      <c r="G1591" s="15" t="str">
        <f ca="1">VLOOKUP(B1591,'ALL DATABASES'!$A$1:$T$2252,3,FALSE)</f>
        <v>Journal Article</v>
      </c>
      <c r="H1591" s="50" t="str">
        <f ca="1">VLOOKUP(B1591,'ALL DATABASES'!$A$1:$T$2252,20,FALSE)</f>
        <v>IEEE</v>
      </c>
    </row>
    <row r="1592" spans="1:8" ht="12.75" x14ac:dyDescent="0.2">
      <c r="A1592">
        <v>1591</v>
      </c>
      <c r="B1592" s="15" t="str">
        <f ca="1">IFERROR(__xludf.DUMMYFUNCTION("""COMPUTED_VALUE"""),"The Scent of Deep Learning Code: An Empirical Study")</f>
        <v>The Scent of Deep Learning Code: An Empirical Study</v>
      </c>
      <c r="C1592" s="15" t="str">
        <f ca="1">VLOOKUP(B1592,'ALL DATABASES'!$A$1:$T$2252,2,FALSE)</f>
        <v>Jebnoun H,Braiek HB,Rahman MM,Khomh F</v>
      </c>
      <c r="D1592" s="15">
        <f ca="1">VLOOKUP(B1592,'ALL DATABASES'!$A$1:$T$2252,5,FALSE)</f>
        <v>2020</v>
      </c>
      <c r="E1592" s="15">
        <f ca="1">VLOOKUP(B1592,'ALL DATABASES'!$A$1:$T$2252,10,FALSE)</f>
        <v>2020</v>
      </c>
      <c r="F1592" s="54" t="str">
        <f ca="1">VLOOKUP(B1592,'ALL DATABASES'!$A$1:$T$2252,14,FALSE)</f>
        <v>https://www.scopus.com/inward/record.uri?eid=2-s2.0-85093683910&amp;doi=10.1145%2f3379597.3387479&amp;partnerID=40&amp;md5=ecc5dad25efffa1c2608f7fc4d7b1a71;http://dx.doi.org/10.1145/3379597.3387479</v>
      </c>
      <c r="G1592" s="15" t="str">
        <f ca="1">VLOOKUP(B1592,'ALL DATABASES'!$A$1:$T$2252,3,FALSE)</f>
        <v>Conference Paper</v>
      </c>
      <c r="H1592" s="50" t="str">
        <f ca="1">VLOOKUP(B1592,'ALL DATABASES'!$A$1:$T$2252,20,FALSE)</f>
        <v>SCOPUS</v>
      </c>
    </row>
    <row r="1593" spans="1:8" ht="12.75" x14ac:dyDescent="0.2">
      <c r="A1593">
        <v>1592</v>
      </c>
      <c r="B1593" s="15" t="str">
        <f ca="1">IFERROR(__xludf.DUMMYFUNCTION("""COMPUTED_VALUE"""),"The SDK4ED Platform for Embedded Software Quality Improvement - Preliminary Overview")</f>
        <v>The SDK4ED Platform for Embedded Software Quality Improvement - Preliminary Overview</v>
      </c>
      <c r="C1593" s="15" t="str">
        <f ca="1">VLOOKUP(B1593,'ALL DATABASES'!$A$1:$T$2252,2,FALSE)</f>
        <v>Miltiadis SiavvasDimitrios TsoukalasCharalampos MarantosAngeliki-Agathi TsintziraMarija JankovicDimitrios SoudrisAlexander ChatzigeorgiouDionysios Kehagias</v>
      </c>
      <c r="D1593" s="15">
        <f ca="1">VLOOKUP(B1593,'ALL DATABASES'!$A$1:$T$2252,5,FALSE)</f>
        <v>2020</v>
      </c>
      <c r="E1593" s="15">
        <f ca="1">VLOOKUP(B1593,'ALL DATABASES'!$A$1:$T$2252,10,FALSE)</f>
        <v>0</v>
      </c>
      <c r="F1593" s="54" t="str">
        <f ca="1">VLOOKUP(B1593,'ALL DATABASES'!$A$1:$T$2252,14,FALSE)</f>
        <v>http://link.springer.com/chapter/10.1007/978-3-030-58811-3_73</v>
      </c>
      <c r="G1593" s="15" t="str">
        <f ca="1">VLOOKUP(B1593,'ALL DATABASES'!$A$1:$T$2252,3,FALSE)</f>
        <v>Chapter</v>
      </c>
      <c r="H1593" s="50" t="str">
        <f ca="1">VLOOKUP(B1593,'ALL DATABASES'!$A$1:$T$2252,20,FALSE)</f>
        <v>SPRINGER</v>
      </c>
    </row>
    <row r="1594" spans="1:8" ht="12.75" x14ac:dyDescent="0.2">
      <c r="A1594">
        <v>1593</v>
      </c>
      <c r="B1594" s="15" t="str">
        <f ca="1">IFERROR(__xludf.DUMMYFUNCTION("""COMPUTED_VALUE"""),"The Secret Life of Commented-Out Source Code")</f>
        <v>The Secret Life of Commented-Out Source Code</v>
      </c>
      <c r="C1594" s="15" t="str">
        <f ca="1">VLOOKUP(B1594,'ALL DATABASES'!$A$1:$T$2252,2,FALSE)</f>
        <v>Pham TM,Yang J</v>
      </c>
      <c r="D1594" s="15">
        <f ca="1">VLOOKUP(B1594,'ALL DATABASES'!$A$1:$T$2252,5,FALSE)</f>
        <v>2020</v>
      </c>
      <c r="E1594" s="15">
        <f ca="1">VLOOKUP(B1594,'ALL DATABASES'!$A$1:$T$2252,10,FALSE)</f>
        <v>2020</v>
      </c>
      <c r="F1594" s="54" t="str">
        <f ca="1">VLOOKUP(B1594,'ALL DATABASES'!$A$1:$T$2252,14,FALSE)</f>
        <v>https://doi.org/10.1145/3387904.3389259;http://dx.doi.org/10.1145/3387904.3389259</v>
      </c>
      <c r="G1594" s="15" t="str">
        <f ca="1">VLOOKUP(B1594,'ALL DATABASES'!$A$1:$T$2252,3,FALSE)</f>
        <v>Conference Paper</v>
      </c>
      <c r="H1594" s="50" t="str">
        <f ca="1">VLOOKUP(B1594,'ALL DATABASES'!$A$1:$T$2252,20,FALSE)</f>
        <v>ACM</v>
      </c>
    </row>
    <row r="1595" spans="1:8" ht="12.75" x14ac:dyDescent="0.2">
      <c r="A1595">
        <v>1594</v>
      </c>
      <c r="B1595" s="15" t="str">
        <f ca="1">IFERROR(__xludf.DUMMYFUNCTION("""COMPUTED_VALUE"""),"The secret life of test smells - an empirical study on test smell evolution and maintenance")</f>
        <v>The secret life of test smells - an empirical study on test smell evolution and maintenance</v>
      </c>
      <c r="C1595" s="15" t="str">
        <f ca="1">VLOOKUP(B1595,'ALL DATABASES'!$A$1:$T$2252,2,FALSE)</f>
        <v>Dong Jae KimTse-Hsun (Peter) ChenJinqiu Yang</v>
      </c>
      <c r="D1595" s="15">
        <f ca="1">VLOOKUP(B1595,'ALL DATABASES'!$A$1:$T$2252,5,FALSE)</f>
        <v>2021</v>
      </c>
      <c r="E1595" s="15">
        <f ca="1">VLOOKUP(B1595,'ALL DATABASES'!$A$1:$T$2252,10,FALSE)</f>
        <v>0</v>
      </c>
      <c r="F1595" s="54" t="str">
        <f ca="1">VLOOKUP(B1595,'ALL DATABASES'!$A$1:$T$2252,14,FALSE)</f>
        <v>http://link.springer.com/article/10.1007/s10664-021-09969-1</v>
      </c>
      <c r="G1595" s="15" t="str">
        <f ca="1">VLOOKUP(B1595,'ALL DATABASES'!$A$1:$T$2252,3,FALSE)</f>
        <v>Article</v>
      </c>
      <c r="H1595" s="50" t="str">
        <f ca="1">VLOOKUP(B1595,'ALL DATABASES'!$A$1:$T$2252,20,FALSE)</f>
        <v>SPRINGER</v>
      </c>
    </row>
    <row r="1596" spans="1:8" ht="12.75" x14ac:dyDescent="0.2">
      <c r="A1596">
        <v>1595</v>
      </c>
      <c r="B1596" s="15" t="str">
        <f ca="1">IFERROR(__xludf.DUMMYFUNCTION("""COMPUTED_VALUE"""),"The seer and the seen: Surveying Palantir’s surveillance platform")</f>
        <v>The seer and the seen: Surveying Palantir’s surveillance platform</v>
      </c>
      <c r="C1596" s="15" t="str">
        <f ca="1">VLOOKUP(B1596,'ALL DATABASES'!$A$1:$T$2252,2,FALSE)</f>
        <v>Iliadis A,Acker A</v>
      </c>
      <c r="D1596" s="15">
        <f ca="1">VLOOKUP(B1596,'ALL DATABASES'!$A$1:$T$2252,5,FALSE)</f>
        <v>2022</v>
      </c>
      <c r="E1596" s="15">
        <f ca="1">VLOOKUP(B1596,'ALL DATABASES'!$A$1:$T$2252,10,FALSE)</f>
        <v>2022</v>
      </c>
      <c r="F1596" s="54" t="str">
        <f ca="1">VLOOKUP(B1596,'ALL DATABASES'!$A$1:$T$2252,14,FALSE)</f>
        <v>https://www.scopus.com/inward/record.uri?eid=2-s2.0-85136864939&amp;doi=10.1080%2f01972243.2022.2100851&amp;partnerID=40&amp;md5=672b21f6c2efd4a2b0b56a786a3812ef;http://dx.doi.org/10.1080/01972243.2022.2100851</v>
      </c>
      <c r="G1596" s="15" t="str">
        <f ca="1">VLOOKUP(B1596,'ALL DATABASES'!$A$1:$T$2252,3,FALSE)</f>
        <v>Journal Article</v>
      </c>
      <c r="H1596" s="50" t="str">
        <f ca="1">VLOOKUP(B1596,'ALL DATABASES'!$A$1:$T$2252,20,FALSE)</f>
        <v>SCOPUS</v>
      </c>
    </row>
    <row r="1597" spans="1:8" ht="12.75" x14ac:dyDescent="0.2">
      <c r="A1597">
        <v>1596</v>
      </c>
      <c r="B1597" s="15" t="str">
        <f ca="1">IFERROR(__xludf.DUMMYFUNCTION("""COMPUTED_VALUE"""),"The state of the art on design patterns: A systematic mapping of the literature")</f>
        <v>The state of the art on design patterns: A systematic mapping of the literature</v>
      </c>
      <c r="C1597" s="15" t="str">
        <f ca="1">VLOOKUP(B1597,'ALL DATABASES'!$A$1:$T$2252,2,FALSE)</f>
        <v>Bafandeh Mayvan B,Rasoolzadegan A,Ghavidel Yazdi Z</v>
      </c>
      <c r="D1597" s="15">
        <f ca="1">VLOOKUP(B1597,'ALL DATABASES'!$A$1:$T$2252,5,FALSE)</f>
        <v>2017</v>
      </c>
      <c r="E1597" s="15">
        <f ca="1">VLOOKUP(B1597,'ALL DATABASES'!$A$1:$T$2252,10,FALSE)</f>
        <v>2017</v>
      </c>
      <c r="F1597" s="54" t="str">
        <f ca="1">VLOOKUP(B1597,'ALL DATABASES'!$A$1:$T$2252,14,FALSE)</f>
        <v>https://www.sciencedirect.com/science/article/pii/S0164121216302321;http://dx.doi.org/10.1016/j.jss.2016.11.030</v>
      </c>
      <c r="G1597" s="15" t="str">
        <f ca="1">VLOOKUP(B1597,'ALL DATABASES'!$A$1:$T$2252,3,FALSE)</f>
        <v>Journal Article</v>
      </c>
      <c r="H1597" s="50" t="str">
        <f ca="1">VLOOKUP(B1597,'ALL DATABASES'!$A$1:$T$2252,20,FALSE)</f>
        <v>SCIENCEDIRECT</v>
      </c>
    </row>
    <row r="1598" spans="1:8" ht="12.75" x14ac:dyDescent="0.2">
      <c r="A1598">
        <v>1597</v>
      </c>
      <c r="B1598" s="15" t="str">
        <f ca="1">IFERROR(__xludf.DUMMYFUNCTION("""COMPUTED_VALUE"""),"The Steps for Successful Big Data Projects")</f>
        <v>The Steps for Successful Big Data Projects</v>
      </c>
      <c r="C1598" s="15" t="str">
        <f ca="1">VLOOKUP(B1598,'ALL DATABASES'!$A$1:$T$2252,2,FALSE)</f>
        <v>Jesse Anderson</v>
      </c>
      <c r="D1598" s="15">
        <f ca="1">VLOOKUP(B1598,'ALL DATABASES'!$A$1:$T$2252,5,FALSE)</f>
        <v>2020</v>
      </c>
      <c r="E1598" s="15">
        <f ca="1">VLOOKUP(B1598,'ALL DATABASES'!$A$1:$T$2252,10,FALSE)</f>
        <v>0</v>
      </c>
      <c r="F1598" s="54" t="str">
        <f ca="1">VLOOKUP(B1598,'ALL DATABASES'!$A$1:$T$2252,14,FALSE)</f>
        <v>http://link.springer.com/chapter/10.1007/978-1-4842-6228-3_11</v>
      </c>
      <c r="G1598" s="15" t="str">
        <f ca="1">VLOOKUP(B1598,'ALL DATABASES'!$A$1:$T$2252,3,FALSE)</f>
        <v>Chapter</v>
      </c>
      <c r="H1598" s="50" t="str">
        <f ca="1">VLOOKUP(B1598,'ALL DATABASES'!$A$1:$T$2252,20,FALSE)</f>
        <v>SPRINGER</v>
      </c>
    </row>
    <row r="1599" spans="1:8" ht="12.75" x14ac:dyDescent="0.2">
      <c r="A1599">
        <v>1598</v>
      </c>
      <c r="B1599" s="15" t="str">
        <f ca="1">IFERROR(__xludf.DUMMYFUNCTION("""COMPUTED_VALUE"""),"The Symptoms, Causes, and Repairs of Workarounds in Apache Issue Trackers")</f>
        <v>The Symptoms, Causes, and Repairs of Workarounds in Apache Issue Trackers</v>
      </c>
      <c r="C1599" s="15" t="str">
        <f ca="1">VLOOKUP(B1599,'ALL DATABASES'!$A$1:$T$2252,2,FALSE)</f>
        <v>Yan A,Zhong H,Song D,Jia L</v>
      </c>
      <c r="D1599" s="15">
        <f ca="1">VLOOKUP(B1599,'ALL DATABASES'!$A$1:$T$2252,5,FALSE)</f>
        <v>2022</v>
      </c>
      <c r="E1599" s="15">
        <f ca="1">VLOOKUP(B1599,'ALL DATABASES'!$A$1:$T$2252,10,FALSE)</f>
        <v>2022</v>
      </c>
      <c r="F1599" s="54" t="str">
        <f ca="1">VLOOKUP(B1599,'ALL DATABASES'!$A$1:$T$2252,14,FALSE)</f>
        <v>https://www.scopus.com/inward/record.uri?eid=2-s2.0-85132402735&amp;doi=10.1109%2fICSE-Companion55297.2022.9793745&amp;partnerID=40&amp;md5=b6feeaf27e1792837f5a4c5eb2480562;http://dx.doi.org/10.1109/ICSE-Companion55297.2022.9793745</v>
      </c>
      <c r="G1599" s="15" t="str">
        <f ca="1">VLOOKUP(B1599,'ALL DATABASES'!$A$1:$T$2252,3,FALSE)</f>
        <v>Conference Paper</v>
      </c>
      <c r="H1599" s="50" t="str">
        <f ca="1">VLOOKUP(B1599,'ALL DATABASES'!$A$1:$T$2252,20,FALSE)</f>
        <v>SCOPUS</v>
      </c>
    </row>
    <row r="1600" spans="1:8" ht="12.75" x14ac:dyDescent="0.2">
      <c r="A1600">
        <v>1599</v>
      </c>
      <c r="B1600" s="15" t="str">
        <f ca="1">IFERROR(__xludf.DUMMYFUNCTION("""COMPUTED_VALUE"""),"The Technical Debt Dataset")</f>
        <v>The Technical Debt Dataset</v>
      </c>
      <c r="C1600" s="15" t="str">
        <f ca="1">VLOOKUP(B1600,'ALL DATABASES'!$A$1:$T$2252,2,FALSE)</f>
        <v>Lenarduzzi V,Saarimäki N,Taibi D</v>
      </c>
      <c r="D1600" s="15">
        <f ca="1">VLOOKUP(B1600,'ALL DATABASES'!$A$1:$T$2252,5,FALSE)</f>
        <v>2019</v>
      </c>
      <c r="E1600" s="15">
        <f ca="1">VLOOKUP(B1600,'ALL DATABASES'!$A$1:$T$2252,10,FALSE)</f>
        <v>2019</v>
      </c>
      <c r="F1600" s="54" t="str">
        <f ca="1">VLOOKUP(B1600,'ALL DATABASES'!$A$1:$T$2252,14,FALSE)</f>
        <v>https://doi.org/10.1145/3345629.3345630;http://dx.doi.org/10.1145/3345629.3345630</v>
      </c>
      <c r="G1600" s="15" t="str">
        <f ca="1">VLOOKUP(B1600,'ALL DATABASES'!$A$1:$T$2252,3,FALSE)</f>
        <v>Conference Paper</v>
      </c>
      <c r="H1600" s="50" t="str">
        <f ca="1">VLOOKUP(B1600,'ALL DATABASES'!$A$1:$T$2252,20,FALSE)</f>
        <v>ACM</v>
      </c>
    </row>
    <row r="1601" spans="1:8" ht="12.75" x14ac:dyDescent="0.2">
      <c r="A1601">
        <v>1600</v>
      </c>
      <c r="B1601" s="15" t="str">
        <f ca="1">IFERROR(__xludf.DUMMYFUNCTION("""COMPUTED_VALUE"""),"The Technical Debt Density over Multiple Releases and the Refactoring Story")</f>
        <v>The Technical Debt Density over Multiple Releases and the Refactoring Story</v>
      </c>
      <c r="C1601" s="15" t="str">
        <f ca="1">VLOOKUP(B1601,'ALL DATABASES'!$A$1:$T$2252,2,FALSE)</f>
        <v>Benidris M,Ammar H,Dzielski D</v>
      </c>
      <c r="D1601" s="15">
        <f ca="1">VLOOKUP(B1601,'ALL DATABASES'!$A$1:$T$2252,5,FALSE)</f>
        <v>2021</v>
      </c>
      <c r="E1601" s="15">
        <f ca="1">VLOOKUP(B1601,'ALL DATABASES'!$A$1:$T$2252,10,FALSE)</f>
        <v>2021</v>
      </c>
      <c r="F1601" s="54" t="str">
        <f ca="1">VLOOKUP(B1601,'ALL DATABASES'!$A$1:$T$2252,14,FALSE)</f>
        <v>https://www.scopus.com/inward/record.uri?eid=2-s2.0-85100749826&amp;doi=10.1142%2fS0218194021500017&amp;partnerID=40&amp;md5=f7c76b5b6a6f5e80d5aa3896e874c0d8;http://dx.doi.org/10.1142/S0218194021500017</v>
      </c>
      <c r="G1601" s="15" t="str">
        <f ca="1">VLOOKUP(B1601,'ALL DATABASES'!$A$1:$T$2252,3,FALSE)</f>
        <v>Journal Article</v>
      </c>
      <c r="H1601" s="50" t="str">
        <f ca="1">VLOOKUP(B1601,'ALL DATABASES'!$A$1:$T$2252,20,FALSE)</f>
        <v>SCOPUS</v>
      </c>
    </row>
    <row r="1602" spans="1:8" ht="12.75" x14ac:dyDescent="0.2">
      <c r="A1602">
        <v>1601</v>
      </c>
      <c r="B1602" s="15" t="str">
        <f ca="1">IFERROR(__xludf.DUMMYFUNCTION("""COMPUTED_VALUE"""),"The Top 10 Things Executives Should Know about Software")</f>
        <v>The Top 10 Things Executives Should Know about Software</v>
      </c>
      <c r="C1602" s="15" t="str">
        <f ca="1">VLOOKUP(B1602,'ALL DATABASES'!$A$1:$T$2252,2,FALSE)</f>
        <v>Limoncelli TA</v>
      </c>
      <c r="D1602" s="15">
        <f ca="1">VLOOKUP(B1602,'ALL DATABASES'!$A$1:$T$2252,5,FALSE)</f>
        <v>2019</v>
      </c>
      <c r="E1602" s="55">
        <f ca="1">VLOOKUP(B1602,'ALL DATABASES'!$A$1:$T$2252,10,FALSE)</f>
        <v>43617</v>
      </c>
      <c r="F1602" s="54" t="str">
        <f ca="1">VLOOKUP(B1602,'ALL DATABASES'!$A$1:$T$2252,14,FALSE)</f>
        <v>https://doi.org/10.1145/3316776;http://dx.doi.org/10.1145/3316776</v>
      </c>
      <c r="G1602" s="15" t="str">
        <f ca="1">VLOOKUP(B1602,'ALL DATABASES'!$A$1:$T$2252,3,FALSE)</f>
        <v>Journal Article</v>
      </c>
      <c r="H1602" s="50" t="str">
        <f ca="1">VLOOKUP(B1602,'ALL DATABASES'!$A$1:$T$2252,20,FALSE)</f>
        <v>ACM</v>
      </c>
    </row>
    <row r="1603" spans="1:8" ht="12.75" x14ac:dyDescent="0.2">
      <c r="A1603">
        <v>1602</v>
      </c>
      <c r="B1603" s="15" t="str">
        <f ca="1">IFERROR(__xludf.DUMMYFUNCTION("""COMPUTED_VALUE"""),"The Unreasonable Effectiveness of Equations: Advanced Modeling For Biopharmaceutical Process Development")</f>
        <v>The Unreasonable Effectiveness of Equations: Advanced Modeling For Biopharmaceutical Process Development</v>
      </c>
      <c r="C1603" s="15" t="str">
        <f ca="1">VLOOKUP(B1603,'ALL DATABASES'!$A$1:$T$2252,2,FALSE)</f>
        <v>Rolandi PA</v>
      </c>
      <c r="D1603" s="15">
        <f ca="1">VLOOKUP(B1603,'ALL DATABASES'!$A$1:$T$2252,5,FALSE)</f>
        <v>2019</v>
      </c>
      <c r="E1603" s="15">
        <f ca="1">VLOOKUP(B1603,'ALL DATABASES'!$A$1:$T$2252,10,FALSE)</f>
        <v>2019</v>
      </c>
      <c r="F1603" s="54" t="str">
        <f ca="1">VLOOKUP(B1603,'ALL DATABASES'!$A$1:$T$2252,14,FALSE)</f>
        <v>https://www.sciencedirect.com/science/article/pii/B9780128185971500230;http://dx.doi.org/10.1016/B978-0-12-818597-1.50023-0</v>
      </c>
      <c r="G1603" s="15" t="str">
        <f ca="1">VLOOKUP(B1603,'ALL DATABASES'!$A$1:$T$2252,3,FALSE)</f>
        <v>Book Chapter</v>
      </c>
      <c r="H1603" s="50" t="str">
        <f ca="1">VLOOKUP(B1603,'ALL DATABASES'!$A$1:$T$2252,20,FALSE)</f>
        <v>SCIENCEDIRECT</v>
      </c>
    </row>
    <row r="1604" spans="1:8" ht="12.75" x14ac:dyDescent="0.2">
      <c r="A1604">
        <v>1603</v>
      </c>
      <c r="B1604" s="15" t="str">
        <f ca="1">IFERROR(__xludf.DUMMYFUNCTION("""COMPUTED_VALUE"""),"The Use of Data Integration and Knowledge Graphs in Modern Molecular Plant Breeding")</f>
        <v>The Use of Data Integration and Knowledge Graphs in Modern Molecular Plant Breeding</v>
      </c>
      <c r="C1604" s="15" t="str">
        <f ca="1">VLOOKUP(B1604,'ALL DATABASES'!$A$1:$T$2252,2,FALSE)</f>
        <v>Bjoern Oest HansenJan TaubertThomas Thiel</v>
      </c>
      <c r="D1604" s="15">
        <f ca="1">VLOOKUP(B1604,'ALL DATABASES'!$A$1:$T$2252,5,FALSE)</f>
        <v>2022</v>
      </c>
      <c r="E1604" s="15">
        <f ca="1">VLOOKUP(B1604,'ALL DATABASES'!$A$1:$T$2252,10,FALSE)</f>
        <v>0</v>
      </c>
      <c r="F1604" s="54" t="str">
        <f ca="1">VLOOKUP(B1604,'ALL DATABASES'!$A$1:$T$2252,14,FALSE)</f>
        <v>http://link.springer.com/chapter/10.1007/978-981-16-6795-4_7</v>
      </c>
      <c r="G1604" s="15" t="str">
        <f ca="1">VLOOKUP(B1604,'ALL DATABASES'!$A$1:$T$2252,3,FALSE)</f>
        <v>Chapter</v>
      </c>
      <c r="H1604" s="50" t="str">
        <f ca="1">VLOOKUP(B1604,'ALL DATABASES'!$A$1:$T$2252,20,FALSE)</f>
        <v>SPRINGER</v>
      </c>
    </row>
    <row r="1605" spans="1:8" ht="12.75" x14ac:dyDescent="0.2">
      <c r="A1605">
        <v>1604</v>
      </c>
      <c r="B1605" s="15" t="str">
        <f ca="1">IFERROR(__xludf.DUMMYFUNCTION("""COMPUTED_VALUE"""),"The Valuation of Digital Intangibles")</f>
        <v>The Valuation of Digital Intangibles</v>
      </c>
      <c r="C1605" s="15" t="str">
        <f ca="1">VLOOKUP(B1605,'ALL DATABASES'!$A$1:$T$2252,2,FALSE)</f>
        <v>Roberto Moro-Visconti</v>
      </c>
      <c r="D1605" s="15">
        <f ca="1">VLOOKUP(B1605,'ALL DATABASES'!$A$1:$T$2252,5,FALSE)</f>
        <v>2022</v>
      </c>
      <c r="E1605" s="15">
        <f ca="1">VLOOKUP(B1605,'ALL DATABASES'!$A$1:$T$2252,10,FALSE)</f>
        <v>0</v>
      </c>
      <c r="F1605" s="54" t="str">
        <f ca="1">VLOOKUP(B1605,'ALL DATABASES'!$A$1:$T$2252,14,FALSE)</f>
        <v>http://link.springer.com/book/10.1007/978-3-031-09237-4</v>
      </c>
      <c r="G1605" s="15" t="str">
        <f ca="1">VLOOKUP(B1605,'ALL DATABASES'!$A$1:$T$2252,3,FALSE)</f>
        <v>Book</v>
      </c>
      <c r="H1605" s="50" t="str">
        <f ca="1">VLOOKUP(B1605,'ALL DATABASES'!$A$1:$T$2252,20,FALSE)</f>
        <v>SPRINGER</v>
      </c>
    </row>
    <row r="1606" spans="1:8" ht="12.75" x14ac:dyDescent="0.2">
      <c r="A1606">
        <v>1605</v>
      </c>
      <c r="B1606" s="15" t="str">
        <f ca="1">IFERROR(__xludf.DUMMYFUNCTION("""COMPUTED_VALUE"""),"The valuation of digital intangibles: Technology, marketing and internet")</f>
        <v>The valuation of digital intangibles: Technology, marketing and internet</v>
      </c>
      <c r="C1606" s="15" t="str">
        <f ca="1">VLOOKUP(B1606,'ALL DATABASES'!$A$1:$T$2252,2,FALSE)</f>
        <v>Visconti RM</v>
      </c>
      <c r="D1606" s="15">
        <f ca="1">VLOOKUP(B1606,'ALL DATABASES'!$A$1:$T$2252,5,FALSE)</f>
        <v>2020</v>
      </c>
      <c r="E1606" s="15">
        <f ca="1">VLOOKUP(B1606,'ALL DATABASES'!$A$1:$T$2252,10,FALSE)</f>
        <v>2020</v>
      </c>
      <c r="F1606" s="54" t="str">
        <f ca="1">VLOOKUP(B1606,'ALL DATABASES'!$A$1:$T$2252,14,FALSE)</f>
        <v>https://www.scopus.com/inward/record.uri?eid=2-s2.0-85087660549&amp;doi=10.1007%2f978-3-030-36918-7&amp;partnerID=40&amp;md5=ecc55b8840417906879aad2b721c5cd7;http://dx.doi.org/10.1007/978-3-030-36918-7</v>
      </c>
      <c r="G1606" s="15" t="str">
        <f ca="1">VLOOKUP(B1606,'ALL DATABASES'!$A$1:$T$2252,3,FALSE)</f>
        <v>Book</v>
      </c>
      <c r="H1606" s="50" t="str">
        <f ca="1">VLOOKUP(B1606,'ALL DATABASES'!$A$1:$T$2252,20,FALSE)</f>
        <v>SCOPUS</v>
      </c>
    </row>
    <row r="1607" spans="1:8" ht="12.75" x14ac:dyDescent="0.2">
      <c r="A1607">
        <v>1606</v>
      </c>
      <c r="B1607" s="15" t="str">
        <f ca="1">IFERROR(__xludf.DUMMYFUNCTION("""COMPUTED_VALUE"""),"The who, what, how of software engineering research: a socio-technical framework")</f>
        <v>The who, what, how of software engineering research: a socio-technical framework</v>
      </c>
      <c r="C1607" s="15" t="str">
        <f ca="1">VLOOKUP(B1607,'ALL DATABASES'!$A$1:$T$2252,2,FALSE)</f>
        <v>Margaret-Anne StoreyNeil A. ErnstCourtney WilliamsEirini Kalliamvakou</v>
      </c>
      <c r="D1607" s="15">
        <f ca="1">VLOOKUP(B1607,'ALL DATABASES'!$A$1:$T$2252,5,FALSE)</f>
        <v>2020</v>
      </c>
      <c r="E1607" s="15">
        <f ca="1">VLOOKUP(B1607,'ALL DATABASES'!$A$1:$T$2252,10,FALSE)</f>
        <v>0</v>
      </c>
      <c r="F1607" s="54" t="str">
        <f ca="1">VLOOKUP(B1607,'ALL DATABASES'!$A$1:$T$2252,14,FALSE)</f>
        <v>http://link.springer.com/article/10.1007/s10664-020-09858-z</v>
      </c>
      <c r="G1607" s="15" t="str">
        <f ca="1">VLOOKUP(B1607,'ALL DATABASES'!$A$1:$T$2252,3,FALSE)</f>
        <v>Article</v>
      </c>
      <c r="H1607" s="50" t="str">
        <f ca="1">VLOOKUP(B1607,'ALL DATABASES'!$A$1:$T$2252,20,FALSE)</f>
        <v>SPRINGER</v>
      </c>
    </row>
    <row r="1608" spans="1:8" ht="12.75" x14ac:dyDescent="0.2">
      <c r="A1608">
        <v>1607</v>
      </c>
      <c r="B1608" s="15" t="str">
        <f ca="1">IFERROR(__xludf.DUMMYFUNCTION("""COMPUTED_VALUE"""),"Themis: Ambiguity-Aware Network Intrusion Detection Based on Symbolic Model Comparison")</f>
        <v>Themis: Ambiguity-Aware Network Intrusion Detection Based on Symbolic Model Comparison</v>
      </c>
      <c r="C1608" s="15" t="str">
        <f ca="1">VLOOKUP(B1608,'ALL DATABASES'!$A$1:$T$2252,2,FALSE)</f>
        <v>Wang Z,Zhu S,Man K,Zhu P,Hao Y,Qian Z,Krishnamurthy SV,La Porta T,De Lucia MJ</v>
      </c>
      <c r="D1608" s="15">
        <f ca="1">VLOOKUP(B1608,'ALL DATABASES'!$A$1:$T$2252,5,FALSE)</f>
        <v>2021</v>
      </c>
      <c r="E1608" s="15">
        <f ca="1">VLOOKUP(B1608,'ALL DATABASES'!$A$1:$T$2252,10,FALSE)</f>
        <v>2021</v>
      </c>
      <c r="F1608" s="54" t="str">
        <f ca="1">VLOOKUP(B1608,'ALL DATABASES'!$A$1:$T$2252,14,FALSE)</f>
        <v>https://doi.org/10.1145/3474370.3485669;http://dx.doi.org/10.1145/3474370.3485669</v>
      </c>
      <c r="G1608" s="15" t="str">
        <f ca="1">VLOOKUP(B1608,'ALL DATABASES'!$A$1:$T$2252,3,FALSE)</f>
        <v>Conference Paper</v>
      </c>
      <c r="H1608" s="50" t="str">
        <f ca="1">VLOOKUP(B1608,'ALL DATABASES'!$A$1:$T$2252,20,FALSE)</f>
        <v>ACM</v>
      </c>
    </row>
    <row r="1609" spans="1:8" ht="12.75" x14ac:dyDescent="0.2">
      <c r="A1609">
        <v>1608</v>
      </c>
      <c r="B1609" s="15" t="str">
        <f ca="1">IFERROR(__xludf.DUMMYFUNCTION("""COMPUTED_VALUE"""),"ThermoSim: Deep learning based framework for modeling and simulation of thermal-aware resource management for cloud computing environments")</f>
        <v>ThermoSim: Deep learning based framework for modeling and simulation of thermal-aware resource management for cloud computing environments</v>
      </c>
      <c r="C1609" s="15" t="str">
        <f ca="1">VLOOKUP(B1609,'ALL DATABASES'!$A$1:$T$2252,2,FALSE)</f>
        <v>Gill SS,Tuli S,Toosi AN,Cuadrado F,Garraghan P,Bahsoon R,Lutfiyya H,Sakellariou R,Rana O,Dustdar S,Buyya R</v>
      </c>
      <c r="D1609" s="15">
        <f ca="1">VLOOKUP(B1609,'ALL DATABASES'!$A$1:$T$2252,5,FALSE)</f>
        <v>2020</v>
      </c>
      <c r="E1609" s="15">
        <f ca="1">VLOOKUP(B1609,'ALL DATABASES'!$A$1:$T$2252,10,FALSE)</f>
        <v>2020</v>
      </c>
      <c r="F1609" s="54" t="str">
        <f ca="1">VLOOKUP(B1609,'ALL DATABASES'!$A$1:$T$2252,14,FALSE)</f>
        <v>https://www.sciencedirect.com/science/article/pii/S0164121220300753;http://dx.doi.org/10.1016/j.jss.2020.110596</v>
      </c>
      <c r="G1609" s="15" t="str">
        <f ca="1">VLOOKUP(B1609,'ALL DATABASES'!$A$1:$T$2252,3,FALSE)</f>
        <v>Journal Article</v>
      </c>
      <c r="H1609" s="50" t="str">
        <f ca="1">VLOOKUP(B1609,'ALL DATABASES'!$A$1:$T$2252,20,FALSE)</f>
        <v>SCIENCEDIRECT</v>
      </c>
    </row>
    <row r="1610" spans="1:8" ht="12.75" x14ac:dyDescent="0.2">
      <c r="A1610">
        <v>1609</v>
      </c>
      <c r="B1610" s="15" t="str">
        <f ca="1">IFERROR(__xludf.DUMMYFUNCTION("""COMPUTED_VALUE"""),"Third-party libraries in mobile apps")</f>
        <v>Third-party libraries in mobile apps</v>
      </c>
      <c r="C1610" s="15" t="str">
        <f ca="1">VLOOKUP(B1610,'ALL DATABASES'!$A$1:$T$2252,2,FALSE)</f>
        <v>Pasquale SalzaFabio PalombaDario Di NucciAndrea De LuciaFilomena Ferrucci</v>
      </c>
      <c r="D1610" s="15">
        <f ca="1">VLOOKUP(B1610,'ALL DATABASES'!$A$1:$T$2252,5,FALSE)</f>
        <v>2020</v>
      </c>
      <c r="E1610" s="15">
        <f ca="1">VLOOKUP(B1610,'ALL DATABASES'!$A$1:$T$2252,10,FALSE)</f>
        <v>0</v>
      </c>
      <c r="F1610" s="54" t="str">
        <f ca="1">VLOOKUP(B1610,'ALL DATABASES'!$A$1:$T$2252,14,FALSE)</f>
        <v>http://link.springer.com/article/10.1007/s10664-019-09754-1</v>
      </c>
      <c r="G1610" s="15" t="str">
        <f ca="1">VLOOKUP(B1610,'ALL DATABASES'!$A$1:$T$2252,3,FALSE)</f>
        <v>Article</v>
      </c>
      <c r="H1610" s="50" t="str">
        <f ca="1">VLOOKUP(B1610,'ALL DATABASES'!$A$1:$T$2252,20,FALSE)</f>
        <v>SPRINGER</v>
      </c>
    </row>
    <row r="1611" spans="1:8" ht="12.75" x14ac:dyDescent="0.2">
      <c r="A1611">
        <v>1610</v>
      </c>
      <c r="B1611" s="15" t="str">
        <f ca="1">IFERROR(__xludf.DUMMYFUNCTION("""COMPUTED_VALUE"""),"This is Just a Prototype: How Ethics Are Ignored in Software Startup-Like Environments")</f>
        <v>This is Just a Prototype: How Ethics Are Ignored in Software Startup-Like Environments</v>
      </c>
      <c r="C1611" s="15" t="str">
        <f ca="1">VLOOKUP(B1611,'ALL DATABASES'!$A$1:$T$2252,2,FALSE)</f>
        <v>Vakkuri V,Kemell KK,Jantunen M,Abrahamsson P</v>
      </c>
      <c r="D1611" s="15">
        <f ca="1">VLOOKUP(B1611,'ALL DATABASES'!$A$1:$T$2252,5,FALSE)</f>
        <v>2020</v>
      </c>
      <c r="E1611" s="15">
        <f ca="1">VLOOKUP(B1611,'ALL DATABASES'!$A$1:$T$2252,10,FALSE)</f>
        <v>2020</v>
      </c>
      <c r="F1611" s="54" t="str">
        <f ca="1">VLOOKUP(B1611,'ALL DATABASES'!$A$1:$T$2252,14,FALSE)</f>
        <v>https://www.scopus.com/inward/record.uri?eid=2-s2.0-85086144211&amp;doi=10.1007%2f978-3-030-49392-9_13&amp;partnerID=40&amp;md5=3b403cac917fe2ea2f03e4255dcb9087;http://dx.doi.org/10.1007/978-3-030-49392-9_13</v>
      </c>
      <c r="G1611" s="15" t="str">
        <f ca="1">VLOOKUP(B1611,'ALL DATABASES'!$A$1:$T$2252,3,FALSE)</f>
        <v>Journal Article</v>
      </c>
      <c r="H1611" s="50" t="str">
        <f ca="1">VLOOKUP(B1611,'ALL DATABASES'!$A$1:$T$2252,20,FALSE)</f>
        <v>SCOPUS</v>
      </c>
    </row>
    <row r="1612" spans="1:8" ht="12.75" x14ac:dyDescent="0.2">
      <c r="A1612">
        <v>1611</v>
      </c>
      <c r="B1612" s="15" t="str">
        <f ca="1">IFERROR(__xludf.DUMMYFUNCTION("""COMPUTED_VALUE"""),"Thoughts on Software Craftsmanship")</f>
        <v>Thoughts on Software Craftsmanship</v>
      </c>
      <c r="C1612" s="15" t="str">
        <f ca="1">VLOOKUP(B1612,'ALL DATABASES'!$A$1:$T$2252,2,FALSE)</f>
        <v>Guy LebanonMohamed El-Geish</v>
      </c>
      <c r="D1612" s="15">
        <f ca="1">VLOOKUP(B1612,'ALL DATABASES'!$A$1:$T$2252,5,FALSE)</f>
        <v>2018</v>
      </c>
      <c r="E1612" s="15">
        <f ca="1">VLOOKUP(B1612,'ALL DATABASES'!$A$1:$T$2252,10,FALSE)</f>
        <v>0</v>
      </c>
      <c r="F1612" s="54" t="str">
        <f ca="1">VLOOKUP(B1612,'ALL DATABASES'!$A$1:$T$2252,14,FALSE)</f>
        <v>http://link.springer.com/chapter/10.1007/978-3-319-98149-9_15</v>
      </c>
      <c r="G1612" s="15" t="str">
        <f ca="1">VLOOKUP(B1612,'ALL DATABASES'!$A$1:$T$2252,3,FALSE)</f>
        <v>Chapter</v>
      </c>
      <c r="H1612" s="50" t="str">
        <f ca="1">VLOOKUP(B1612,'ALL DATABASES'!$A$1:$T$2252,20,FALSE)</f>
        <v>SPRINGER</v>
      </c>
    </row>
    <row r="1613" spans="1:8" ht="12.75" x14ac:dyDescent="0.2">
      <c r="A1613">
        <v>1612</v>
      </c>
      <c r="B1613" s="15" t="str">
        <f ca="1">IFERROR(__xludf.DUMMYFUNCTION("""COMPUTED_VALUE"""),"Thoughts on System Design for Big Data")</f>
        <v>Thoughts on System Design for Big Data</v>
      </c>
      <c r="C1613" s="15" t="str">
        <f ca="1">VLOOKUP(B1613,'ALL DATABASES'!$A$1:$T$2252,2,FALSE)</f>
        <v>Guy LebanonMohamed El-Geish</v>
      </c>
      <c r="D1613" s="15">
        <f ca="1">VLOOKUP(B1613,'ALL DATABASES'!$A$1:$T$2252,5,FALSE)</f>
        <v>2018</v>
      </c>
      <c r="E1613" s="15">
        <f ca="1">VLOOKUP(B1613,'ALL DATABASES'!$A$1:$T$2252,10,FALSE)</f>
        <v>0</v>
      </c>
      <c r="F1613" s="54" t="str">
        <f ca="1">VLOOKUP(B1613,'ALL DATABASES'!$A$1:$T$2252,14,FALSE)</f>
        <v>http://link.springer.com/chapter/10.1007/978-3-319-98149-9_14</v>
      </c>
      <c r="G1613" s="15" t="str">
        <f ca="1">VLOOKUP(B1613,'ALL DATABASES'!$A$1:$T$2252,3,FALSE)</f>
        <v>Chapter</v>
      </c>
      <c r="H1613" s="50" t="str">
        <f ca="1">VLOOKUP(B1613,'ALL DATABASES'!$A$1:$T$2252,20,FALSE)</f>
        <v>SPRINGER</v>
      </c>
    </row>
    <row r="1614" spans="1:8" ht="12.75" x14ac:dyDescent="0.2">
      <c r="A1614">
        <v>1613</v>
      </c>
      <c r="B1614" s="15" t="str">
        <f ca="1">IFERROR(__xludf.DUMMYFUNCTION("""COMPUTED_VALUE"""),"Threats, Attacks, and Vulnerabilities")</f>
        <v>Threats, Attacks, and Vulnerabilities</v>
      </c>
      <c r="C1614" s="15" t="str">
        <f ca="1">VLOOKUP(B1614,'ALL DATABASES'!$A$1:$T$2252,2,FALSE)</f>
        <v>Stewart JM</v>
      </c>
      <c r="D1614" s="15">
        <f ca="1">VLOOKUP(B1614,'ALL DATABASES'!$A$1:$T$2252,5,FALSE)</f>
        <v>2021</v>
      </c>
      <c r="E1614" s="15">
        <f ca="1">VLOOKUP(B1614,'ALL DATABASES'!$A$1:$T$2252,10,FALSE)</f>
        <v>2021</v>
      </c>
      <c r="F1614" s="54" t="str">
        <f ca="1">VLOOKUP(B1614,'ALL DATABASES'!$A$1:$T$2252,14,FALSE)</f>
        <v>https://ieeexplore.ieee.org/document/9936879</v>
      </c>
      <c r="G1614" s="15" t="str">
        <f ca="1">VLOOKUP(B1614,'ALL DATABASES'!$A$1:$T$2252,3,FALSE)</f>
        <v>Book Chapter</v>
      </c>
      <c r="H1614" s="50" t="str">
        <f ca="1">VLOOKUP(B1614,'ALL DATABASES'!$A$1:$T$2252,20,FALSE)</f>
        <v>IEEE</v>
      </c>
    </row>
    <row r="1615" spans="1:8" ht="12.75" x14ac:dyDescent="0.2">
      <c r="A1615">
        <v>1614</v>
      </c>
      <c r="B1615" s="15" t="str">
        <f ca="1">IFERROR(__xludf.DUMMYFUNCTION("""COMPUTED_VALUE"""),"Three Devils of Systems Engineering")</f>
        <v>Three Devils of Systems Engineering</v>
      </c>
      <c r="C1615" s="15" t="str">
        <f ca="1">VLOOKUP(B1615,'ALL DATABASES'!$A$1:$T$2252,2,FALSE)</f>
        <v>Frank J. Furrer</v>
      </c>
      <c r="D1615" s="15">
        <f ca="1">VLOOKUP(B1615,'ALL DATABASES'!$A$1:$T$2252,5,FALSE)</f>
        <v>2019</v>
      </c>
      <c r="E1615" s="15">
        <f ca="1">VLOOKUP(B1615,'ALL DATABASES'!$A$1:$T$2252,10,FALSE)</f>
        <v>0</v>
      </c>
      <c r="F1615" s="54" t="str">
        <f ca="1">VLOOKUP(B1615,'ALL DATABASES'!$A$1:$T$2252,14,FALSE)</f>
        <v>http://link.springer.com/chapter/10.1007/978-3-658-19938-8_3</v>
      </c>
      <c r="G1615" s="15" t="str">
        <f ca="1">VLOOKUP(B1615,'ALL DATABASES'!$A$1:$T$2252,3,FALSE)</f>
        <v>Chapter</v>
      </c>
      <c r="H1615" s="50" t="str">
        <f ca="1">VLOOKUP(B1615,'ALL DATABASES'!$A$1:$T$2252,20,FALSE)</f>
        <v>SPRINGER</v>
      </c>
    </row>
    <row r="1616" spans="1:8" ht="12.75" x14ac:dyDescent="0.2">
      <c r="A1616">
        <v>1615</v>
      </c>
      <c r="B1616" s="15" t="str">
        <f ca="1">IFERROR(__xludf.DUMMYFUNCTION("""COMPUTED_VALUE"""),"Three Key Checklists and Remedies for Trustworthy Analysis of Online Controlled Experiments at Scale")</f>
        <v>Three Key Checklists and Remedies for Trustworthy Analysis of Online Controlled Experiments at Scale</v>
      </c>
      <c r="C1616" s="15" t="str">
        <f ca="1">VLOOKUP(B1616,'ALL DATABASES'!$A$1:$T$2252,2,FALSE)</f>
        <v>Fabijan A,Dmitriev P,Holmström Olsson H,Bosch J,Vermeer L,Lewis D</v>
      </c>
      <c r="D1616" s="15">
        <f ca="1">VLOOKUP(B1616,'ALL DATABASES'!$A$1:$T$2252,5,FALSE)</f>
        <v>2019</v>
      </c>
      <c r="E1616" s="55">
        <f ca="1">VLOOKUP(B1616,'ALL DATABASES'!$A$1:$T$2252,10,FALSE)</f>
        <v>43586</v>
      </c>
      <c r="F1616" s="54" t="str">
        <f ca="1">VLOOKUP(B1616,'ALL DATABASES'!$A$1:$T$2252,14,FALSE)</f>
        <v>http://dx.doi.org/10.1109/ICSE-SEIP.2019.00009</v>
      </c>
      <c r="G1616" s="15" t="str">
        <f ca="1">VLOOKUP(B1616,'ALL DATABASES'!$A$1:$T$2252,3,FALSE)</f>
        <v>Conference Paper</v>
      </c>
      <c r="H1616" s="50" t="str">
        <f ca="1">VLOOKUP(B1616,'ALL DATABASES'!$A$1:$T$2252,20,FALSE)</f>
        <v>IEEE</v>
      </c>
    </row>
    <row r="1617" spans="1:8" ht="12.75" x14ac:dyDescent="0.2">
      <c r="A1617">
        <v>1616</v>
      </c>
      <c r="B1617" s="15" t="str">
        <f ca="1">IFERROR(__xludf.DUMMYFUNCTION("""COMPUTED_VALUE"""),"Threshy: Supporting safe usage of intelligent web services")</f>
        <v>Threshy: Supporting safe usage of intelligent web services</v>
      </c>
      <c r="C1617" s="15" t="str">
        <f ca="1">VLOOKUP(B1617,'ALL DATABASES'!$A$1:$T$2252,2,FALSE)</f>
        <v>Cummaudo A,Barnett S,Vasa R,Grundy J</v>
      </c>
      <c r="D1617" s="15">
        <f ca="1">VLOOKUP(B1617,'ALL DATABASES'!$A$1:$T$2252,5,FALSE)</f>
        <v>2020</v>
      </c>
      <c r="E1617" s="15">
        <f ca="1">VLOOKUP(B1617,'ALL DATABASES'!$A$1:$T$2252,10,FALSE)</f>
        <v>2020</v>
      </c>
      <c r="F1617" s="54" t="str">
        <f ca="1">VLOOKUP(B1617,'ALL DATABASES'!$A$1:$T$2252,14,FALSE)</f>
        <v>https://www.scopus.com/inward/record.uri?eid=2-s2.0-85097157302&amp;doi=10.1145%2f3368089.3417919&amp;partnerID=40&amp;md5=81eae8f84ae4ad1536ef68dbed950e74;http://dx.doi.org/10.1145/3368089.3417919</v>
      </c>
      <c r="G1617" s="15" t="str">
        <f ca="1">VLOOKUP(B1617,'ALL DATABASES'!$A$1:$T$2252,3,FALSE)</f>
        <v>Conference Paper</v>
      </c>
      <c r="H1617" s="50" t="str">
        <f ca="1">VLOOKUP(B1617,'ALL DATABASES'!$A$1:$T$2252,20,FALSE)</f>
        <v>SCOPUS</v>
      </c>
    </row>
    <row r="1618" spans="1:8" ht="12.75" x14ac:dyDescent="0.2">
      <c r="A1618">
        <v>1617</v>
      </c>
      <c r="B1618" s="15" t="str">
        <f ca="1">IFERROR(__xludf.DUMMYFUNCTION("""COMPUTED_VALUE"""),"Time Series Forecasting of Software Vulnerabilities Using Statistical and Deep Learning Models")</f>
        <v>Time Series Forecasting of Software Vulnerabilities Using Statistical and Deep Learning Models</v>
      </c>
      <c r="C1618" s="15" t="str">
        <f ca="1">VLOOKUP(B1618,'ALL DATABASES'!$A$1:$T$2252,2,FALSE)</f>
        <v>Kalouptsoglou I,Tsoukalas D,Siavvas M,Kehagias D,Chatzigeorgiou A,Ampatzoglou A</v>
      </c>
      <c r="D1618" s="15">
        <f ca="1">VLOOKUP(B1618,'ALL DATABASES'!$A$1:$T$2252,5,FALSE)</f>
        <v>2022</v>
      </c>
      <c r="E1618" s="15">
        <f ca="1">VLOOKUP(B1618,'ALL DATABASES'!$A$1:$T$2252,10,FALSE)</f>
        <v>2022</v>
      </c>
      <c r="F1618" s="54" t="str">
        <f ca="1">VLOOKUP(B1618,'ALL DATABASES'!$A$1:$T$2252,14,FALSE)</f>
        <v>https://www.scopus.com/inward/record.uri?eid=2-s2.0-85138727978&amp;doi=10.3390%2felectronics11182820&amp;partnerID=40&amp;md5=01dcc373fcf1c5021560dfa50bc4a8e7;http://dx.doi.org/10.3390/electronics11182820</v>
      </c>
      <c r="G1618" s="15" t="str">
        <f ca="1">VLOOKUP(B1618,'ALL DATABASES'!$A$1:$T$2252,3,FALSE)</f>
        <v>Journal Article</v>
      </c>
      <c r="H1618" s="50" t="str">
        <f ca="1">VLOOKUP(B1618,'ALL DATABASES'!$A$1:$T$2252,20,FALSE)</f>
        <v>SCOPUS</v>
      </c>
    </row>
    <row r="1619" spans="1:8" ht="12.75" x14ac:dyDescent="0.2">
      <c r="A1619">
        <v>1618</v>
      </c>
      <c r="B1619" s="15" t="str">
        <f ca="1">IFERROR(__xludf.DUMMYFUNCTION("""COMPUTED_VALUE"""),"TinyMLOps: Operational Challenges for Widespread Edge AI Adoption")</f>
        <v>TinyMLOps: Operational Challenges for Widespread Edge AI Adoption</v>
      </c>
      <c r="C1619" s="15" t="str">
        <f ca="1">VLOOKUP(B1619,'ALL DATABASES'!$A$1:$T$2252,2,FALSE)</f>
        <v>Leroux S,Simoens P,Lootus M,Thakore K,Sharma A</v>
      </c>
      <c r="D1619" s="15">
        <f ca="1">VLOOKUP(B1619,'ALL DATABASES'!$A$1:$T$2252,5,FALSE)</f>
        <v>2022</v>
      </c>
      <c r="E1619" s="55">
        <f ca="1">VLOOKUP(B1619,'ALL DATABASES'!$A$1:$T$2252,10,FALSE)</f>
        <v>44682</v>
      </c>
      <c r="F1619" s="54" t="str">
        <f ca="1">VLOOKUP(B1619,'ALL DATABASES'!$A$1:$T$2252,14,FALSE)</f>
        <v>http://dx.doi.org/10.1109/IPDPSW55747.2022.00160</v>
      </c>
      <c r="G1619" s="15" t="str">
        <f ca="1">VLOOKUP(B1619,'ALL DATABASES'!$A$1:$T$2252,3,FALSE)</f>
        <v>Conference Paper</v>
      </c>
      <c r="H1619" s="50" t="str">
        <f ca="1">VLOOKUP(B1619,'ALL DATABASES'!$A$1:$T$2252,20,FALSE)</f>
        <v>IEEE</v>
      </c>
    </row>
    <row r="1620" spans="1:8" ht="12.75" x14ac:dyDescent="0.2">
      <c r="A1620">
        <v>1619</v>
      </c>
      <c r="B1620" s="15" t="str">
        <f ca="1">IFERROR(__xludf.DUMMYFUNCTION("""COMPUTED_VALUE"""),"To adapt or not to adapt: A quantification technique for measuring an expected degree of self-adaptation")</f>
        <v>To adapt or not to adapt: A quantification technique for measuring an expected degree of self-adaptation</v>
      </c>
      <c r="C1620" s="15" t="str">
        <f ca="1">VLOOKUP(B1620,'ALL DATABASES'!$A$1:$T$2252,2,FALSE)</f>
        <v>Tomforde S,Goller M</v>
      </c>
      <c r="D1620" s="15">
        <f ca="1">VLOOKUP(B1620,'ALL DATABASES'!$A$1:$T$2252,5,FALSE)</f>
        <v>2020</v>
      </c>
      <c r="E1620" s="15">
        <f ca="1">VLOOKUP(B1620,'ALL DATABASES'!$A$1:$T$2252,10,FALSE)</f>
        <v>2020</v>
      </c>
      <c r="F1620" s="54" t="str">
        <f ca="1">VLOOKUP(B1620,'ALL DATABASES'!$A$1:$T$2252,14,FALSE)</f>
        <v>https://www.scopus.com/inward/record.uri?eid=2-s2.0-85082479839&amp;doi=10.3390%2fcomputers9010021&amp;partnerID=40&amp;md5=227fb89c60751629b4e1d6676535bd0f;http://dx.doi.org/10.3390/computers9010021</v>
      </c>
      <c r="G1620" s="15" t="str">
        <f ca="1">VLOOKUP(B1620,'ALL DATABASES'!$A$1:$T$2252,3,FALSE)</f>
        <v>Journal Article</v>
      </c>
      <c r="H1620" s="50" t="str">
        <f ca="1">VLOOKUP(B1620,'ALL DATABASES'!$A$1:$T$2252,20,FALSE)</f>
        <v>SCOPUS</v>
      </c>
    </row>
    <row r="1621" spans="1:8" ht="12.75" x14ac:dyDescent="0.2">
      <c r="A1621">
        <v>1620</v>
      </c>
      <c r="B1621" s="15" t="str">
        <f ca="1">IFERROR(__xludf.DUMMYFUNCTION("""COMPUTED_VALUE"""),"To Adapt or Not to Adapt? Technical Debt and Learning Driven Self-Adaptation for Managing Runtime Performance")</f>
        <v>To Adapt or Not to Adapt? Technical Debt and Learning Driven Self-Adaptation for Managing Runtime Performance</v>
      </c>
      <c r="C1621" s="15" t="str">
        <f ca="1">VLOOKUP(B1621,'ALL DATABASES'!$A$1:$T$2252,2,FALSE)</f>
        <v>Chen T,Bahsoon R,Wang S,Yao X</v>
      </c>
      <c r="D1621" s="15">
        <f ca="1">VLOOKUP(B1621,'ALL DATABASES'!$A$1:$T$2252,5,FALSE)</f>
        <v>2018</v>
      </c>
      <c r="E1621" s="15">
        <f ca="1">VLOOKUP(B1621,'ALL DATABASES'!$A$1:$T$2252,10,FALSE)</f>
        <v>2018</v>
      </c>
      <c r="F1621" s="54" t="str">
        <f ca="1">VLOOKUP(B1621,'ALL DATABASES'!$A$1:$T$2252,14,FALSE)</f>
        <v>https://doi.org/10.1145/3184407.3184413;http://dx.doi.org/10.1145/3184407.3184413</v>
      </c>
      <c r="G1621" s="15" t="str">
        <f ca="1">VLOOKUP(B1621,'ALL DATABASES'!$A$1:$T$2252,3,FALSE)</f>
        <v>Conference Paper</v>
      </c>
      <c r="H1621" s="50" t="str">
        <f ca="1">VLOOKUP(B1621,'ALL DATABASES'!$A$1:$T$2252,20,FALSE)</f>
        <v>ACM</v>
      </c>
    </row>
    <row r="1622" spans="1:8" ht="12.75" x14ac:dyDescent="0.2">
      <c r="A1622">
        <v>1621</v>
      </c>
      <c r="B1622" s="15" t="str">
        <f ca="1">IFERROR(__xludf.DUMMYFUNCTION("""COMPUTED_VALUE"""),"Tom’s Top Ten Things Executives Should Know About Software: Software Acumen is the New Norm")</f>
        <v>Tom’s Top Ten Things Executives Should Know About Software: Software Acumen is the New Norm</v>
      </c>
      <c r="C1622" s="15" t="str">
        <f ca="1">VLOOKUP(B1622,'ALL DATABASES'!$A$1:$T$2252,2,FALSE)</f>
        <v>Limoncelli TA</v>
      </c>
      <c r="D1622" s="15">
        <f ca="1">VLOOKUP(B1622,'ALL DATABASES'!$A$1:$T$2252,5,FALSE)</f>
        <v>2019</v>
      </c>
      <c r="E1622" s="55">
        <f ca="1">VLOOKUP(B1622,'ALL DATABASES'!$A$1:$T$2252,10,FALSE)</f>
        <v>43497</v>
      </c>
      <c r="F1622" s="54" t="str">
        <f ca="1">VLOOKUP(B1622,'ALL DATABASES'!$A$1:$T$2252,14,FALSE)</f>
        <v>https://doi.org/10.1145/3317287.3325792;http://dx.doi.org/10.1145/3317287.3325792</v>
      </c>
      <c r="G1622" s="15" t="str">
        <f ca="1">VLOOKUP(B1622,'ALL DATABASES'!$A$1:$T$2252,3,FALSE)</f>
        <v>Journal Article</v>
      </c>
      <c r="H1622" s="50" t="str">
        <f ca="1">VLOOKUP(B1622,'ALL DATABASES'!$A$1:$T$2252,20,FALSE)</f>
        <v>ACM</v>
      </c>
    </row>
    <row r="1623" spans="1:8" ht="12.75" x14ac:dyDescent="0.2">
      <c r="A1623">
        <v>1622</v>
      </c>
      <c r="B1623" s="15" t="str">
        <f ca="1">IFERROR(__xludf.DUMMYFUNCTION("""COMPUTED_VALUE"""),"Too trivial to test? An inverse view on defect prediction to identify methods with low fault risk")</f>
        <v>Too trivial to test? An inverse view on defect prediction to identify methods with low fault risk</v>
      </c>
      <c r="C1623" s="15" t="str">
        <f ca="1">VLOOKUP(B1623,'ALL DATABASES'!$A$1:$T$2252,2,FALSE)</f>
        <v>Niedermayr R,Röhm T,Wagner S</v>
      </c>
      <c r="D1623" s="15">
        <f ca="1">VLOOKUP(B1623,'ALL DATABASES'!$A$1:$T$2252,5,FALSE)</f>
        <v>2019</v>
      </c>
      <c r="E1623" s="15">
        <f ca="1">VLOOKUP(B1623,'ALL DATABASES'!$A$1:$T$2252,10,FALSE)</f>
        <v>2019</v>
      </c>
      <c r="F1623" s="54" t="str">
        <f ca="1">VLOOKUP(B1623,'ALL DATABASES'!$A$1:$T$2252,14,FALSE)</f>
        <v>https://www.scopus.com/inward/record.uri?eid=2-s2.0-85074164358&amp;doi=10.7717%2fpeerj-cs.187&amp;partnerID=40&amp;md5=838f694bff45f6fd7a1052348e000a72;http://dx.doi.org/10.7717/peerj-cs.187</v>
      </c>
      <c r="G1623" s="15" t="str">
        <f ca="1">VLOOKUP(B1623,'ALL DATABASES'!$A$1:$T$2252,3,FALSE)</f>
        <v>Journal Article</v>
      </c>
      <c r="H1623" s="50" t="str">
        <f ca="1">VLOOKUP(B1623,'ALL DATABASES'!$A$1:$T$2252,20,FALSE)</f>
        <v>SCOPUS</v>
      </c>
    </row>
    <row r="1624" spans="1:8" ht="12.75" x14ac:dyDescent="0.2">
      <c r="A1624">
        <v>1623</v>
      </c>
      <c r="B1624" s="15" t="str">
        <f ca="1">IFERROR(__xludf.DUMMYFUNCTION("""COMPUTED_VALUE"""),"Tool for measuring productivity in software development teams")</f>
        <v>Tool for measuring productivity in software development teams</v>
      </c>
      <c r="C1624" s="15" t="str">
        <f ca="1">VLOOKUP(B1624,'ALL DATABASES'!$A$1:$T$2252,2,FALSE)</f>
        <v>Mota JS,Tives HA,Canedo ED</v>
      </c>
      <c r="D1624" s="15">
        <f ca="1">VLOOKUP(B1624,'ALL DATABASES'!$A$1:$T$2252,5,FALSE)</f>
        <v>2021</v>
      </c>
      <c r="E1624" s="15">
        <f ca="1">VLOOKUP(B1624,'ALL DATABASES'!$A$1:$T$2252,10,FALSE)</f>
        <v>2021</v>
      </c>
      <c r="F1624" s="54" t="str">
        <f ca="1">VLOOKUP(B1624,'ALL DATABASES'!$A$1:$T$2252,14,FALSE)</f>
        <v>https://www.scopus.com/inward/record.uri?eid=2-s2.0-85116384967&amp;doi=10.3390%2finfo12100396&amp;partnerID=40&amp;md5=f20bbec9a18cd9688ae764449c03d8fd;http://dx.doi.org/10.3390/info12100396</v>
      </c>
      <c r="G1624" s="15" t="str">
        <f ca="1">VLOOKUP(B1624,'ALL DATABASES'!$A$1:$T$2252,3,FALSE)</f>
        <v>Journal Article</v>
      </c>
      <c r="H1624" s="50" t="str">
        <f ca="1">VLOOKUP(B1624,'ALL DATABASES'!$A$1:$T$2252,20,FALSE)</f>
        <v>SCOPUS</v>
      </c>
    </row>
    <row r="1625" spans="1:8" ht="12.75" x14ac:dyDescent="0.2">
      <c r="A1625">
        <v>1624</v>
      </c>
      <c r="B1625" s="15" t="str">
        <f ca="1">IFERROR(__xludf.DUMMYFUNCTION("""COMPUTED_VALUE"""),"Tools/frameworks that support development process of AI-based software: validations in white literature")</f>
        <v>Tools/frameworks that support development process of AI-based software: validations in white literature</v>
      </c>
      <c r="C1625" s="15" t="str">
        <f ca="1">VLOOKUP(B1625,'ALL DATABASES'!$A$1:$T$2252,2,FALSE)</f>
        <v>Erdogan TG,Altunel H,Tarhan AK</v>
      </c>
      <c r="D1625" s="15">
        <f ca="1">VLOOKUP(B1625,'ALL DATABASES'!$A$1:$T$2252,5,FALSE)</f>
        <v>2022</v>
      </c>
      <c r="E1625" s="15">
        <f ca="1">VLOOKUP(B1625,'ALL DATABASES'!$A$1:$T$2252,10,FALSE)</f>
        <v>2022</v>
      </c>
      <c r="F1625" s="54" t="str">
        <f ca="1">VLOOKUP(B1625,'ALL DATABASES'!$A$1:$T$2252,14,FALSE)</f>
        <v>https://www.scopus.com/inward/record.uri?eid=2-s2.0-85142863387&amp;partnerID=40&amp;md5=219aaa958011f40bb75bd6fc1c8444ce</v>
      </c>
      <c r="G1625" s="15" t="str">
        <f ca="1">VLOOKUP(B1625,'ALL DATABASES'!$A$1:$T$2252,3,FALSE)</f>
        <v>Conference Paper</v>
      </c>
      <c r="H1625" s="50" t="str">
        <f ca="1">VLOOKUP(B1625,'ALL DATABASES'!$A$1:$T$2252,20,FALSE)</f>
        <v>SCOPUS</v>
      </c>
    </row>
    <row r="1626" spans="1:8" ht="12.75" x14ac:dyDescent="0.2">
      <c r="A1626">
        <v>1625</v>
      </c>
      <c r="B1626" s="15" t="str">
        <f ca="1">IFERROR(__xludf.DUMMYFUNCTION("""COMPUTED_VALUE"""),"Toward a smell-aware bug prediction model")</f>
        <v>Toward a smell-aware bug prediction model</v>
      </c>
      <c r="C1626" s="15" t="str">
        <f ca="1">VLOOKUP(B1626,'ALL DATABASES'!$A$1:$T$2252,2,FALSE)</f>
        <v>Palomba F,Zanoni M,Fontana FA,De Lucia A,Oliveto R</v>
      </c>
      <c r="D1626" s="15">
        <f ca="1">VLOOKUP(B1626,'ALL DATABASES'!$A$1:$T$2252,5,FALSE)</f>
        <v>2019</v>
      </c>
      <c r="E1626" s="15">
        <f ca="1">VLOOKUP(B1626,'ALL DATABASES'!$A$1:$T$2252,10,FALSE)</f>
        <v>2019</v>
      </c>
      <c r="F1626" s="54" t="str">
        <f ca="1">VLOOKUP(B1626,'ALL DATABASES'!$A$1:$T$2252,14,FALSE)</f>
        <v>https://www.scopus.com/inward/record.uri?eid=2-s2.0-85034272704&amp;doi=10.1109%2fTSE.2017.2770122&amp;partnerID=40&amp;md5=6c8be47eecf246e1d0d4970438460843;http://dx.doi.org/10.1109/TSE.2017.2770122</v>
      </c>
      <c r="G1626" s="15" t="str">
        <f ca="1">VLOOKUP(B1626,'ALL DATABASES'!$A$1:$T$2252,3,FALSE)</f>
        <v>Journal Article</v>
      </c>
      <c r="H1626" s="50" t="str">
        <f ca="1">VLOOKUP(B1626,'ALL DATABASES'!$A$1:$T$2252,20,FALSE)</f>
        <v>SCOPUS</v>
      </c>
    </row>
    <row r="1627" spans="1:8" ht="12.75" x14ac:dyDescent="0.2">
      <c r="A1627">
        <v>1626</v>
      </c>
      <c r="B1627" s="15" t="str">
        <f ca="1">IFERROR(__xludf.DUMMYFUNCTION("""COMPUTED_VALUE"""),"Toward a Software Bad Smell Prioritization Model for Software Maintainability")</f>
        <v>Toward a Software Bad Smell Prioritization Model for Software Maintainability</v>
      </c>
      <c r="C1627" s="15" t="str">
        <f ca="1">VLOOKUP(B1627,'ALL DATABASES'!$A$1:$T$2252,2,FALSE)</f>
        <v>Alshammari T,Alshayeb M</v>
      </c>
      <c r="D1627" s="15">
        <f ca="1">VLOOKUP(B1627,'ALL DATABASES'!$A$1:$T$2252,5,FALSE)</f>
        <v>2021</v>
      </c>
      <c r="E1627" s="15">
        <f ca="1">VLOOKUP(B1627,'ALL DATABASES'!$A$1:$T$2252,10,FALSE)</f>
        <v>2021</v>
      </c>
      <c r="F1627" s="54" t="str">
        <f ca="1">VLOOKUP(B1627,'ALL DATABASES'!$A$1:$T$2252,14,FALSE)</f>
        <v>https://www.scopus.com/inward/record.uri?eid=2-s2.0-85107476543&amp;doi=10.1007%2fs13369-021-05766-6&amp;partnerID=40&amp;md5=7c6d14a531632b154462eeb447c74a7c;http://dx.doi.org/10.1007/s13369-021-05766-6</v>
      </c>
      <c r="G1627" s="15" t="str">
        <f ca="1">VLOOKUP(B1627,'ALL DATABASES'!$A$1:$T$2252,3,FALSE)</f>
        <v>Journal Article</v>
      </c>
      <c r="H1627" s="50" t="str">
        <f ca="1">VLOOKUP(B1627,'ALL DATABASES'!$A$1:$T$2252,20,FALSE)</f>
        <v>SCOPUS</v>
      </c>
    </row>
    <row r="1628" spans="1:8" ht="12.75" x14ac:dyDescent="0.2">
      <c r="A1628">
        <v>1627</v>
      </c>
      <c r="B1628" s="15" t="str">
        <f ca="1">IFERROR(__xludf.DUMMYFUNCTION("""COMPUTED_VALUE"""),"Toward collaborative open data science in metabolomics using Jupyter Notebooks and cloud computing")</f>
        <v>Toward collaborative open data science in metabolomics using Jupyter Notebooks and cloud computing</v>
      </c>
      <c r="C1628" s="15" t="str">
        <f ca="1">VLOOKUP(B1628,'ALL DATABASES'!$A$1:$T$2252,2,FALSE)</f>
        <v>Kevin M. MendezLeighton PritchardStacey N. ReinkeDavid I. Broadhurst</v>
      </c>
      <c r="D1628" s="15">
        <f ca="1">VLOOKUP(B1628,'ALL DATABASES'!$A$1:$T$2252,5,FALSE)</f>
        <v>2019</v>
      </c>
      <c r="E1628" s="15">
        <f ca="1">VLOOKUP(B1628,'ALL DATABASES'!$A$1:$T$2252,10,FALSE)</f>
        <v>0</v>
      </c>
      <c r="F1628" s="54" t="str">
        <f ca="1">VLOOKUP(B1628,'ALL DATABASES'!$A$1:$T$2252,14,FALSE)</f>
        <v>http://link.springer.com/article/10.1007/s11306-019-1588-0</v>
      </c>
      <c r="G1628" s="15" t="str">
        <f ca="1">VLOOKUP(B1628,'ALL DATABASES'!$A$1:$T$2252,3,FALSE)</f>
        <v>Article</v>
      </c>
      <c r="H1628" s="50" t="str">
        <f ca="1">VLOOKUP(B1628,'ALL DATABASES'!$A$1:$T$2252,20,FALSE)</f>
        <v>SPRINGER</v>
      </c>
    </row>
    <row r="1629" spans="1:8" ht="12.75" x14ac:dyDescent="0.2">
      <c r="A1629">
        <v>1628</v>
      </c>
      <c r="B1629" s="15" t="str">
        <f ca="1">IFERROR(__xludf.DUMMYFUNCTION("""COMPUTED_VALUE"""),"Toward imitating visual attention of experts in software development tasks")</f>
        <v>Toward imitating visual attention of experts in software development tasks</v>
      </c>
      <c r="C1629" s="15" t="str">
        <f ca="1">VLOOKUP(B1629,'ALL DATABASES'!$A$1:$T$2252,2,FALSE)</f>
        <v>Ikutani Y,Koganti N,Hata H,Kubo T,Matsumoto K</v>
      </c>
      <c r="D1629" s="15">
        <f ca="1">VLOOKUP(B1629,'ALL DATABASES'!$A$1:$T$2252,5,FALSE)</f>
        <v>2019</v>
      </c>
      <c r="E1629" s="15">
        <f ca="1">VLOOKUP(B1629,'ALL DATABASES'!$A$1:$T$2252,10,FALSE)</f>
        <v>2019</v>
      </c>
      <c r="F1629" s="54" t="str">
        <f ca="1">VLOOKUP(B1629,'ALL DATABASES'!$A$1:$T$2252,14,FALSE)</f>
        <v>https://www.scopus.com/inward/record.uri?eid=2-s2.0-85073418102&amp;doi=10.1109%2fEMIP.2019.00013&amp;partnerID=40&amp;md5=01a6a02b94840a40d2f95bc9565be2a2;http://dx.doi.org/10.1109/EMIP.2019.00013</v>
      </c>
      <c r="G1629" s="15" t="str">
        <f ca="1">VLOOKUP(B1629,'ALL DATABASES'!$A$1:$T$2252,3,FALSE)</f>
        <v>Conference Paper</v>
      </c>
      <c r="H1629" s="50" t="str">
        <f ca="1">VLOOKUP(B1629,'ALL DATABASES'!$A$1:$T$2252,20,FALSE)</f>
        <v>SCOPUS</v>
      </c>
    </row>
    <row r="1630" spans="1:8" ht="12.75" x14ac:dyDescent="0.2">
      <c r="A1630">
        <v>1629</v>
      </c>
      <c r="B1630" s="15" t="str">
        <f ca="1">IFERROR(__xludf.DUMMYFUNCTION("""COMPUTED_VALUE"""),"Toward Predicting Architectural Significance of Implementation Issues")</f>
        <v>Toward Predicting Architectural Significance of Implementation Issues</v>
      </c>
      <c r="C1630" s="15" t="str">
        <f ca="1">VLOOKUP(B1630,'ALL DATABASES'!$A$1:$T$2252,2,FALSE)</f>
        <v>Shahbazian A,Nam D,Medvidovic N</v>
      </c>
      <c r="D1630" s="15">
        <f ca="1">VLOOKUP(B1630,'ALL DATABASES'!$A$1:$T$2252,5,FALSE)</f>
        <v>2018</v>
      </c>
      <c r="E1630" s="15">
        <f ca="1">VLOOKUP(B1630,'ALL DATABASES'!$A$1:$T$2252,10,FALSE)</f>
        <v>2018</v>
      </c>
      <c r="F1630" s="54" t="str">
        <f ca="1">VLOOKUP(B1630,'ALL DATABASES'!$A$1:$T$2252,14,FALSE)</f>
        <v>https://doi.org/10.1145/3196398.3196440;http://dx.doi.org/10.1145/3196398.3196440</v>
      </c>
      <c r="G1630" s="15" t="str">
        <f ca="1">VLOOKUP(B1630,'ALL DATABASES'!$A$1:$T$2252,3,FALSE)</f>
        <v>Conference Paper</v>
      </c>
      <c r="H1630" s="50" t="str">
        <f ca="1">VLOOKUP(B1630,'ALL DATABASES'!$A$1:$T$2252,20,FALSE)</f>
        <v>ACM</v>
      </c>
    </row>
    <row r="1631" spans="1:8" ht="12.75" x14ac:dyDescent="0.2">
      <c r="A1631">
        <v>1630</v>
      </c>
      <c r="B1631" s="15" t="str">
        <f ca="1">IFERROR(__xludf.DUMMYFUNCTION("""COMPUTED_VALUE"""),"Toward prioritization of self-admitted technical debt: an approach to support decision to payment")</f>
        <v>Toward prioritization of self-admitted technical debt: an approach to support decision to payment</v>
      </c>
      <c r="C1631" s="15" t="str">
        <f ca="1">VLOOKUP(B1631,'ALL DATABASES'!$A$1:$T$2252,2,FALSE)</f>
        <v>Bruno Santos de LimaRogerio Eduardo GarciaDanilo Medeiros Eler</v>
      </c>
      <c r="D1631" s="15">
        <f ca="1">VLOOKUP(B1631,'ALL DATABASES'!$A$1:$T$2252,5,FALSE)</f>
        <v>2022</v>
      </c>
      <c r="E1631" s="15">
        <f ca="1">VLOOKUP(B1631,'ALL DATABASES'!$A$1:$T$2252,10,FALSE)</f>
        <v>0</v>
      </c>
      <c r="F1631" s="54" t="str">
        <f ca="1">VLOOKUP(B1631,'ALL DATABASES'!$A$1:$T$2252,14,FALSE)</f>
        <v>http://link.springer.com/article/10.1007/s11219-021-09578-7</v>
      </c>
      <c r="G1631" s="15" t="str">
        <f ca="1">VLOOKUP(B1631,'ALL DATABASES'!$A$1:$T$2252,3,FALSE)</f>
        <v>Article</v>
      </c>
      <c r="H1631" s="50" t="str">
        <f ca="1">VLOOKUP(B1631,'ALL DATABASES'!$A$1:$T$2252,20,FALSE)</f>
        <v>SPRINGER</v>
      </c>
    </row>
    <row r="1632" spans="1:8" ht="12.75" x14ac:dyDescent="0.2">
      <c r="A1632">
        <v>1631</v>
      </c>
      <c r="B1632" s="15" t="str">
        <f ca="1">IFERROR(__xludf.DUMMYFUNCTION("""COMPUTED_VALUE"""),"Toward proactive refactoring: An exploratory study on decaying modules")</f>
        <v>Toward proactive refactoring: An exploratory study on decaying modules</v>
      </c>
      <c r="C1632" s="15" t="str">
        <f ca="1">VLOOKUP(B1632,'ALL DATABASES'!$A$1:$T$2252,2,FALSE)</f>
        <v>Sae-Lim N,Hayashi S,Saeki M</v>
      </c>
      <c r="D1632" s="15">
        <f ca="1">VLOOKUP(B1632,'ALL DATABASES'!$A$1:$T$2252,5,FALSE)</f>
        <v>2019</v>
      </c>
      <c r="E1632" s="15">
        <f ca="1">VLOOKUP(B1632,'ALL DATABASES'!$A$1:$T$2252,10,FALSE)</f>
        <v>2019</v>
      </c>
      <c r="F1632" s="54" t="str">
        <f ca="1">VLOOKUP(B1632,'ALL DATABASES'!$A$1:$T$2252,14,FALSE)</f>
        <v>https://www.scopus.com/inward/record.uri?eid=2-s2.0-85073435706&amp;doi=10.1109%2fIWoR.2019.00015&amp;partnerID=40&amp;md5=e10e2a5c9022551b1016cdc78d9b9a95;http://dx.doi.org/10.1109/IWoR.2019.00015</v>
      </c>
      <c r="G1632" s="15" t="str">
        <f ca="1">VLOOKUP(B1632,'ALL DATABASES'!$A$1:$T$2252,3,FALSE)</f>
        <v>Conference Paper</v>
      </c>
      <c r="H1632" s="50" t="str">
        <f ca="1">VLOOKUP(B1632,'ALL DATABASES'!$A$1:$T$2252,20,FALSE)</f>
        <v>SCOPUS</v>
      </c>
    </row>
    <row r="1633" spans="1:8" ht="12.75" x14ac:dyDescent="0.2">
      <c r="A1633">
        <v>1632</v>
      </c>
      <c r="B1633" s="15" t="str">
        <f ca="1">IFERROR(__xludf.DUMMYFUNCTION("""COMPUTED_VALUE"""),"Toward Static Test Flakiness Prediction: A Feasibility Study")</f>
        <v>Toward Static Test Flakiness Prediction: A Feasibility Study</v>
      </c>
      <c r="C1633" s="15" t="str">
        <f ca="1">VLOOKUP(B1633,'ALL DATABASES'!$A$1:$T$2252,2,FALSE)</f>
        <v>Pontillo V,Palomba F,Ferrucci F</v>
      </c>
      <c r="D1633" s="15">
        <f ca="1">VLOOKUP(B1633,'ALL DATABASES'!$A$1:$T$2252,5,FALSE)</f>
        <v>2021</v>
      </c>
      <c r="E1633" s="15">
        <f ca="1">VLOOKUP(B1633,'ALL DATABASES'!$A$1:$T$2252,10,FALSE)</f>
        <v>2021</v>
      </c>
      <c r="F1633" s="54" t="str">
        <f ca="1">VLOOKUP(B1633,'ALL DATABASES'!$A$1:$T$2252,14,FALSE)</f>
        <v>https://doi.org/10.1145/3472674.3473981;http://dx.doi.org/10.1145/3472674.3473981</v>
      </c>
      <c r="G1633" s="15" t="str">
        <f ca="1">VLOOKUP(B1633,'ALL DATABASES'!$A$1:$T$2252,3,FALSE)</f>
        <v>Conference Paper</v>
      </c>
      <c r="H1633" s="50" t="str">
        <f ca="1">VLOOKUP(B1633,'ALL DATABASES'!$A$1:$T$2252,20,FALSE)</f>
        <v>ACM</v>
      </c>
    </row>
    <row r="1634" spans="1:8" ht="12.75" x14ac:dyDescent="0.2">
      <c r="A1634">
        <v>1633</v>
      </c>
      <c r="B1634" s="15" t="str">
        <f ca="1">IFERROR(__xludf.DUMMYFUNCTION("""COMPUTED_VALUE"""),"Toward the automatic classification of Self-Affirmed Refactoring")</f>
        <v>Toward the automatic classification of Self-Affirmed Refactoring</v>
      </c>
      <c r="C1634" s="15" t="str">
        <f ca="1">VLOOKUP(B1634,'ALL DATABASES'!$A$1:$T$2252,2,FALSE)</f>
        <v>AlOmar EA,Mkaouer MW,Ouni A</v>
      </c>
      <c r="D1634" s="15">
        <f ca="1">VLOOKUP(B1634,'ALL DATABASES'!$A$1:$T$2252,5,FALSE)</f>
        <v>2021</v>
      </c>
      <c r="E1634" s="15">
        <f ca="1">VLOOKUP(B1634,'ALL DATABASES'!$A$1:$T$2252,10,FALSE)</f>
        <v>2021</v>
      </c>
      <c r="F1634" s="54" t="str">
        <f ca="1">VLOOKUP(B1634,'ALL DATABASES'!$A$1:$T$2252,14,FALSE)</f>
        <v>https://www.sciencedirect.com/science/article/pii/S016412122030217X;http://dx.doi.org/10.1016/j.jss.2020.110821</v>
      </c>
      <c r="G1634" s="15" t="str">
        <f ca="1">VLOOKUP(B1634,'ALL DATABASES'!$A$1:$T$2252,3,FALSE)</f>
        <v>Journal Article</v>
      </c>
      <c r="H1634" s="50" t="str">
        <f ca="1">VLOOKUP(B1634,'ALL DATABASES'!$A$1:$T$2252,20,FALSE)</f>
        <v>SCIENCEDIRECT</v>
      </c>
    </row>
    <row r="1635" spans="1:8" ht="12.75" x14ac:dyDescent="0.2">
      <c r="A1635">
        <v>1634</v>
      </c>
      <c r="B1635" s="15" t="str">
        <f ca="1">IFERROR(__xludf.DUMMYFUNCTION("""COMPUTED_VALUE"""),"Toward Understanding the Impact of Refactoring on Program Comprehension")</f>
        <v>Toward Understanding the Impact of Refactoring on Program Comprehension</v>
      </c>
      <c r="C1635" s="15" t="str">
        <f ca="1">VLOOKUP(B1635,'ALL DATABASES'!$A$1:$T$2252,2,FALSE)</f>
        <v>Sellitto G,Iannone E,Codabux Z,Lenarduzzi V,De Lucia A,Palomba F,Ferrucci F</v>
      </c>
      <c r="D1635" s="15">
        <f ca="1">VLOOKUP(B1635,'ALL DATABASES'!$A$1:$T$2252,5,FALSE)</f>
        <v>2022</v>
      </c>
      <c r="E1635" s="15">
        <f ca="1">VLOOKUP(B1635,'ALL DATABASES'!$A$1:$T$2252,10,FALSE)</f>
        <v>2022</v>
      </c>
      <c r="F1635" s="54" t="str">
        <f ca="1">VLOOKUP(B1635,'ALL DATABASES'!$A$1:$T$2252,14,FALSE)</f>
        <v>https://www.scopus.com/inward/record.uri?eid=2-s2.0-85135840854&amp;doi=10.1109%2fSANER53432.2022.00090&amp;partnerID=40&amp;md5=63f51861cf572d4cbaa31fb89269b825;http://dx.doi.org/10.1109/SANER53432.2022.00090</v>
      </c>
      <c r="G1635" s="15" t="str">
        <f ca="1">VLOOKUP(B1635,'ALL DATABASES'!$A$1:$T$2252,3,FALSE)</f>
        <v>Conference Paper</v>
      </c>
      <c r="H1635" s="50" t="str">
        <f ca="1">VLOOKUP(B1635,'ALL DATABASES'!$A$1:$T$2252,20,FALSE)</f>
        <v>SCOPUS</v>
      </c>
    </row>
    <row r="1636" spans="1:8" ht="12.75" x14ac:dyDescent="0.2">
      <c r="A1636">
        <v>1635</v>
      </c>
      <c r="B1636" s="15" t="str">
        <f ca="1">IFERROR(__xludf.DUMMYFUNCTION("""COMPUTED_VALUE"""),"Towards a (Semi)-Automatic Reference Process to Support the Reverse Engineering and Reconstruction of Software Architectures")</f>
        <v>Towards a (Semi)-Automatic Reference Process to Support the Reverse Engineering and Reconstruction of Software Architectures</v>
      </c>
      <c r="C1636" s="15" t="str">
        <f ca="1">VLOOKUP(B1636,'ALL DATABASES'!$A$1:$T$2252,2,FALSE)</f>
        <v>Guamán D,Pérez J,Díaz J</v>
      </c>
      <c r="D1636" s="15">
        <f ca="1">VLOOKUP(B1636,'ALL DATABASES'!$A$1:$T$2252,5,FALSE)</f>
        <v>2018</v>
      </c>
      <c r="E1636" s="15">
        <f ca="1">VLOOKUP(B1636,'ALL DATABASES'!$A$1:$T$2252,10,FALSE)</f>
        <v>2018</v>
      </c>
      <c r="F1636" s="54" t="str">
        <f ca="1">VLOOKUP(B1636,'ALL DATABASES'!$A$1:$T$2252,14,FALSE)</f>
        <v>https://doi.org/10.1145/3241403.3241414;http://dx.doi.org/10.1145/3241403.3241414</v>
      </c>
      <c r="G1636" s="15" t="str">
        <f ca="1">VLOOKUP(B1636,'ALL DATABASES'!$A$1:$T$2252,3,FALSE)</f>
        <v>Conference Paper</v>
      </c>
      <c r="H1636" s="50" t="str">
        <f ca="1">VLOOKUP(B1636,'ALL DATABASES'!$A$1:$T$2252,20,FALSE)</f>
        <v>ACM</v>
      </c>
    </row>
    <row r="1637" spans="1:8" ht="12.75" x14ac:dyDescent="0.2">
      <c r="A1637">
        <v>1636</v>
      </c>
      <c r="B1637" s="15" t="str">
        <f ca="1">IFERROR(__xludf.DUMMYFUNCTION("""COMPUTED_VALUE"""),"Towards a business analytics capability for the circular economy")</f>
        <v>Towards a business analytics capability for the circular economy</v>
      </c>
      <c r="C1637" s="15" t="str">
        <f ca="1">VLOOKUP(B1637,'ALL DATABASES'!$A$1:$T$2252,2,FALSE)</f>
        <v>Kristoffersen E,Mikalef P,Blomsma F,Li J</v>
      </c>
      <c r="D1637" s="15">
        <f ca="1">VLOOKUP(B1637,'ALL DATABASES'!$A$1:$T$2252,5,FALSE)</f>
        <v>2021</v>
      </c>
      <c r="E1637" s="15">
        <f ca="1">VLOOKUP(B1637,'ALL DATABASES'!$A$1:$T$2252,10,FALSE)</f>
        <v>2021</v>
      </c>
      <c r="F1637" s="54" t="str">
        <f ca="1">VLOOKUP(B1637,'ALL DATABASES'!$A$1:$T$2252,14,FALSE)</f>
        <v>https://www.sciencedirect.com/science/article/pii/S0040162521003899;http://dx.doi.org/10.1016/j.techfore.2021.120957</v>
      </c>
      <c r="G1637" s="15" t="str">
        <f ca="1">VLOOKUP(B1637,'ALL DATABASES'!$A$1:$T$2252,3,FALSE)</f>
        <v>Journal Article</v>
      </c>
      <c r="H1637" s="50" t="str">
        <f ca="1">VLOOKUP(B1637,'ALL DATABASES'!$A$1:$T$2252,20,FALSE)</f>
        <v>SCIENCEDIRECT</v>
      </c>
    </row>
    <row r="1638" spans="1:8" ht="12.75" x14ac:dyDescent="0.2">
      <c r="A1638">
        <v>1637</v>
      </c>
      <c r="B1638" s="15" t="str">
        <f ca="1">IFERROR(__xludf.DUMMYFUNCTION("""COMPUTED_VALUE"""),"Towards a Catalog of Energy Patterns in Deep Learning Development")</f>
        <v>Towards a Catalog of Energy Patterns in Deep Learning Development</v>
      </c>
      <c r="C1638" s="15" t="str">
        <f ca="1">VLOOKUP(B1638,'ALL DATABASES'!$A$1:$T$2252,2,FALSE)</f>
        <v>Shanbhag S,Chimalakonda S,Sharma VS,Kaulgud V</v>
      </c>
      <c r="D1638" s="15">
        <f ca="1">VLOOKUP(B1638,'ALL DATABASES'!$A$1:$T$2252,5,FALSE)</f>
        <v>2022</v>
      </c>
      <c r="E1638" s="15">
        <f ca="1">VLOOKUP(B1638,'ALL DATABASES'!$A$1:$T$2252,10,FALSE)</f>
        <v>2022</v>
      </c>
      <c r="F1638" s="54" t="str">
        <f ca="1">VLOOKUP(B1638,'ALL DATABASES'!$A$1:$T$2252,14,FALSE)</f>
        <v>https://www.scopus.com/inward/record.uri?eid=2-s2.0-85132359794&amp;doi=10.1145%2f3530019.3530035&amp;partnerID=40&amp;md5=b840f2d862131c038d7b65cf61a475b8;http://dx.doi.org/10.1145/3530019.3530035</v>
      </c>
      <c r="G1638" s="15" t="str">
        <f ca="1">VLOOKUP(B1638,'ALL DATABASES'!$A$1:$T$2252,3,FALSE)</f>
        <v>Conference Paper</v>
      </c>
      <c r="H1638" s="50" t="str">
        <f ca="1">VLOOKUP(B1638,'ALL DATABASES'!$A$1:$T$2252,20,FALSE)</f>
        <v>SCOPUS</v>
      </c>
    </row>
    <row r="1639" spans="1:8" ht="12.75" x14ac:dyDescent="0.2">
      <c r="A1639">
        <v>1638</v>
      </c>
      <c r="B1639" s="15" t="str">
        <f ca="1">IFERROR(__xludf.DUMMYFUNCTION("""COMPUTED_VALUE"""),"Towards a Continuous Assessment of Stability in (Self-)Adaptation Behaviour")</f>
        <v>Towards a Continuous Assessment of Stability in (Self-)Adaptation Behaviour</v>
      </c>
      <c r="C1639" s="15" t="str">
        <f ca="1">VLOOKUP(B1639,'ALL DATABASES'!$A$1:$T$2252,2,FALSE)</f>
        <v>Goller M,Tomforde S</v>
      </c>
      <c r="D1639" s="15">
        <f ca="1">VLOOKUP(B1639,'ALL DATABASES'!$A$1:$T$2252,5,FALSE)</f>
        <v>2020</v>
      </c>
      <c r="E1639" s="15">
        <f ca="1">VLOOKUP(B1639,'ALL DATABASES'!$A$1:$T$2252,10,FALSE)</f>
        <v>2020</v>
      </c>
      <c r="F1639" s="54" t="str">
        <f ca="1">VLOOKUP(B1639,'ALL DATABASES'!$A$1:$T$2252,14,FALSE)</f>
        <v>https://www.scopus.com/inward/record.uri?eid=2-s2.0-85092742482&amp;doi=10.1109%2fACSOS-C51401.2020.00048&amp;partnerID=40&amp;md5=795fa76009b0b5c46ad117f886187237;http://dx.doi.org/10.1109/ACSOS-C51401.2020.00048</v>
      </c>
      <c r="G1639" s="15" t="str">
        <f ca="1">VLOOKUP(B1639,'ALL DATABASES'!$A$1:$T$2252,3,FALSE)</f>
        <v>Conference Paper</v>
      </c>
      <c r="H1639" s="50" t="str">
        <f ca="1">VLOOKUP(B1639,'ALL DATABASES'!$A$1:$T$2252,20,FALSE)</f>
        <v>SCOPUS</v>
      </c>
    </row>
    <row r="1640" spans="1:8" ht="12.75" x14ac:dyDescent="0.2">
      <c r="A1640">
        <v>1639</v>
      </c>
      <c r="B1640" s="15" t="str">
        <f ca="1">IFERROR(__xludf.DUMMYFUNCTION("""COMPUTED_VALUE"""),"Towards a Holistic Definition of Requirements Debt")</f>
        <v>Towards a Holistic Definition of Requirements Debt</v>
      </c>
      <c r="C1640" s="15" t="str">
        <f ca="1">VLOOKUP(B1640,'ALL DATABASES'!$A$1:$T$2252,2,FALSE)</f>
        <v>Lenarduzzi V,Fucci D</v>
      </c>
      <c r="D1640" s="15">
        <f ca="1">VLOOKUP(B1640,'ALL DATABASES'!$A$1:$T$2252,5,FALSE)</f>
        <v>2019</v>
      </c>
      <c r="E1640" s="55">
        <f ca="1">VLOOKUP(B1640,'ALL DATABASES'!$A$1:$T$2252,10,FALSE)</f>
        <v>43709</v>
      </c>
      <c r="F1640" s="54" t="str">
        <f ca="1">VLOOKUP(B1640,'ALL DATABASES'!$A$1:$T$2252,14,FALSE)</f>
        <v>http://dx.doi.org/10.1109/ESEM.2019.8870159</v>
      </c>
      <c r="G1640" s="15" t="str">
        <f ca="1">VLOOKUP(B1640,'ALL DATABASES'!$A$1:$T$2252,3,FALSE)</f>
        <v>Conference Paper</v>
      </c>
      <c r="H1640" s="50" t="str">
        <f ca="1">VLOOKUP(B1640,'ALL DATABASES'!$A$1:$T$2252,20,FALSE)</f>
        <v>IEEE</v>
      </c>
    </row>
    <row r="1641" spans="1:8" ht="12.75" x14ac:dyDescent="0.2">
      <c r="A1641">
        <v>1640</v>
      </c>
      <c r="B1641" s="15" t="str">
        <f ca="1">IFERROR(__xludf.DUMMYFUNCTION("""COMPUTED_VALUE"""),"Towards a low-code solution for monitoring machine learning model performance")</f>
        <v>Towards a low-code solution for monitoring machine learning model performance</v>
      </c>
      <c r="C1641" s="15" t="str">
        <f ca="1">VLOOKUP(B1641,'ALL DATABASES'!$A$1:$T$2252,2,FALSE)</f>
        <v>Kourouklidis P,Kolovos D,Matragkas N,Noppen J</v>
      </c>
      <c r="D1641" s="15">
        <f ca="1">VLOOKUP(B1641,'ALL DATABASES'!$A$1:$T$2252,5,FALSE)</f>
        <v>2020</v>
      </c>
      <c r="E1641" s="15">
        <f ca="1">VLOOKUP(B1641,'ALL DATABASES'!$A$1:$T$2252,10,FALSE)</f>
        <v>2020</v>
      </c>
      <c r="F1641" s="54" t="str">
        <f ca="1">VLOOKUP(B1641,'ALL DATABASES'!$A$1:$T$2252,14,FALSE)</f>
        <v>https://www.scopus.com/inward/record.uri?eid=2-s2.0-85096810527&amp;doi=10.1145%2f3417990.3420196&amp;partnerID=40&amp;md5=734bb34bd97d5b82326506bf0e316734;http://dx.doi.org/10.1145/3417990.3420196</v>
      </c>
      <c r="G1641" s="15" t="str">
        <f ca="1">VLOOKUP(B1641,'ALL DATABASES'!$A$1:$T$2252,3,FALSE)</f>
        <v>Conference Paper</v>
      </c>
      <c r="H1641" s="50" t="str">
        <f ca="1">VLOOKUP(B1641,'ALL DATABASES'!$A$1:$T$2252,20,FALSE)</f>
        <v>SCOPUS</v>
      </c>
    </row>
    <row r="1642" spans="1:8" ht="12.75" x14ac:dyDescent="0.2">
      <c r="A1642">
        <v>1641</v>
      </c>
      <c r="B1642" s="15" t="str">
        <f ca="1">IFERROR(__xludf.DUMMYFUNCTION("""COMPUTED_VALUE"""),"Towards a prioritization of code debt: A code smell Intensity Index")</f>
        <v>Towards a prioritization of code debt: A code smell Intensity Index</v>
      </c>
      <c r="C1642" s="15" t="str">
        <f ca="1">VLOOKUP(B1642,'ALL DATABASES'!$A$1:$T$2252,2,FALSE)</f>
        <v>Fontana FA,Ferme V,Zanoni M,Roveda R</v>
      </c>
      <c r="D1642" s="15">
        <f ca="1">VLOOKUP(B1642,'ALL DATABASES'!$A$1:$T$2252,5,FALSE)</f>
        <v>2015</v>
      </c>
      <c r="E1642" s="15">
        <f ca="1">VLOOKUP(B1642,'ALL DATABASES'!$A$1:$T$2252,10,FALSE)</f>
        <v>2015</v>
      </c>
      <c r="F1642" s="54" t="str">
        <f ca="1">VLOOKUP(B1642,'ALL DATABASES'!$A$1:$T$2252,14,FALSE)</f>
        <v>https://www.scopus.com/inward/record.uri?eid=2-s2.0-84963626757&amp;doi=10.1109%2fMTD.2015.7332620&amp;partnerID=40&amp;md5=38e26e5f7b29899c8ee03a18d5930277;http://dx.doi.org/10.1109/MTD.2015.7332620</v>
      </c>
      <c r="G1642" s="15" t="str">
        <f ca="1">VLOOKUP(B1642,'ALL DATABASES'!$A$1:$T$2252,3,FALSE)</f>
        <v>Conference Paper</v>
      </c>
      <c r="H1642" s="50" t="str">
        <f ca="1">VLOOKUP(B1642,'ALL DATABASES'!$A$1:$T$2252,20,FALSE)</f>
        <v>SCOPUS</v>
      </c>
    </row>
    <row r="1643" spans="1:8" ht="12.75" x14ac:dyDescent="0.2">
      <c r="A1643">
        <v>1642</v>
      </c>
      <c r="B1643" s="15" t="str">
        <f ca="1">IFERROR(__xludf.DUMMYFUNCTION("""COMPUTED_VALUE"""),"Towards a reference process for software architecture reconstruction")</f>
        <v>Towards a reference process for software architecture reconstruction</v>
      </c>
      <c r="C1643" s="15" t="str">
        <f ca="1">VLOOKUP(B1643,'ALL DATABASES'!$A$1:$T$2252,2,FALSE)</f>
        <v>Guamán D,Pérez J,Diaz J,Cuesta CE</v>
      </c>
      <c r="D1643" s="15">
        <f ca="1">VLOOKUP(B1643,'ALL DATABASES'!$A$1:$T$2252,5,FALSE)</f>
        <v>2020</v>
      </c>
      <c r="E1643" s="15">
        <f ca="1">VLOOKUP(B1643,'ALL DATABASES'!$A$1:$T$2252,10,FALSE)</f>
        <v>2020</v>
      </c>
      <c r="F1643" s="54" t="str">
        <f ca="1">VLOOKUP(B1643,'ALL DATABASES'!$A$1:$T$2252,14,FALSE)</f>
        <v>https://www.scopus.com/inward/record.uri?eid=2-s2.0-85097339934&amp;doi=10.1049%2fiet-sen.2019.0246&amp;partnerID=40&amp;md5=f4cccfa58cc27fe4ed906910d0fbf644;http://dx.doi.org/10.1049/iet-sen.2019.0246</v>
      </c>
      <c r="G1643" s="15" t="str">
        <f ca="1">VLOOKUP(B1643,'ALL DATABASES'!$A$1:$T$2252,3,FALSE)</f>
        <v>Journal Article</v>
      </c>
      <c r="H1643" s="50" t="str">
        <f ca="1">VLOOKUP(B1643,'ALL DATABASES'!$A$1:$T$2252,20,FALSE)</f>
        <v>SCOPUS</v>
      </c>
    </row>
    <row r="1644" spans="1:8" ht="12.75" x14ac:dyDescent="0.2">
      <c r="A1644">
        <v>1643</v>
      </c>
      <c r="B1644" s="15" t="str">
        <f ca="1">IFERROR(__xludf.DUMMYFUNCTION("""COMPUTED_VALUE"""),"Towards a reliable identification of deficient code with a combination of software metrics")</f>
        <v>Towards a reliable identification of deficient code with a combination of software metrics</v>
      </c>
      <c r="C1644" s="15" t="str">
        <f ca="1">VLOOKUP(B1644,'ALL DATABASES'!$A$1:$T$2252,2,FALSE)</f>
        <v>Beranič T,Podgorelec V,Heričko M</v>
      </c>
      <c r="D1644" s="15">
        <f ca="1">VLOOKUP(B1644,'ALL DATABASES'!$A$1:$T$2252,5,FALSE)</f>
        <v>2018</v>
      </c>
      <c r="E1644" s="15">
        <f ca="1">VLOOKUP(B1644,'ALL DATABASES'!$A$1:$T$2252,10,FALSE)</f>
        <v>2018</v>
      </c>
      <c r="F1644" s="54" t="str">
        <f ca="1">VLOOKUP(B1644,'ALL DATABASES'!$A$1:$T$2252,14,FALSE)</f>
        <v>https://www.scopus.com/inward/record.uri?eid=2-s2.0-85054769455&amp;doi=10.3390%2fapp8101902&amp;partnerID=40&amp;md5=d159a5c90da2427a86371925b4d16b0b;http://dx.doi.org/10.3390/app8101902</v>
      </c>
      <c r="G1644" s="15" t="str">
        <f ca="1">VLOOKUP(B1644,'ALL DATABASES'!$A$1:$T$2252,3,FALSE)</f>
        <v>Journal Article</v>
      </c>
      <c r="H1644" s="50" t="str">
        <f ca="1">VLOOKUP(B1644,'ALL DATABASES'!$A$1:$T$2252,20,FALSE)</f>
        <v>SCOPUS</v>
      </c>
    </row>
    <row r="1645" spans="1:8" ht="12.75" x14ac:dyDescent="0.2">
      <c r="A1645">
        <v>1644</v>
      </c>
      <c r="B1645" s="15" t="str">
        <f ca="1">IFERROR(__xludf.DUMMYFUNCTION("""COMPUTED_VALUE"""),"Towards a taxonomy of technical debt for COTS-intensive cyber physical systems")</f>
        <v>Towards a taxonomy of technical debt for COTS-intensive cyber physical systems</v>
      </c>
      <c r="C1645" s="15" t="str">
        <f ca="1">VLOOKUP(B1645,'ALL DATABASES'!$A$1:$T$2252,2,FALSE)</f>
        <v>Yang Y,Michel R,Wade J,Verma D,Törngren M,Alelyani T</v>
      </c>
      <c r="D1645" s="15">
        <f ca="1">VLOOKUP(B1645,'ALL DATABASES'!$A$1:$T$2252,5,FALSE)</f>
        <v>2019</v>
      </c>
      <c r="E1645" s="15">
        <f ca="1">VLOOKUP(B1645,'ALL DATABASES'!$A$1:$T$2252,10,FALSE)</f>
        <v>2019</v>
      </c>
      <c r="F1645" s="54" t="str">
        <f ca="1">VLOOKUP(B1645,'ALL DATABASES'!$A$1:$T$2252,14,FALSE)</f>
        <v>https://www.sciencedirect.com/science/article/pii/S1877050919307203;http://dx.doi.org/10.1016/j.procs.2019.05.061</v>
      </c>
      <c r="G1645" s="15" t="str">
        <f ca="1">VLOOKUP(B1645,'ALL DATABASES'!$A$1:$T$2252,3,FALSE)</f>
        <v>Journal Article</v>
      </c>
      <c r="H1645" s="50" t="str">
        <f ca="1">VLOOKUP(B1645,'ALL DATABASES'!$A$1:$T$2252,20,FALSE)</f>
        <v>SCIENCEDIRECT</v>
      </c>
    </row>
    <row r="1646" spans="1:8" ht="12.75" x14ac:dyDescent="0.2">
      <c r="A1646">
        <v>1645</v>
      </c>
      <c r="B1646" s="15" t="str">
        <f ca="1">IFERROR(__xludf.DUMMYFUNCTION("""COMPUTED_VALUE"""),"Towards a Theory of Moving Target Defense")</f>
        <v>Towards a Theory of Moving Target Defense</v>
      </c>
      <c r="C1646" s="15" t="str">
        <f ca="1">VLOOKUP(B1646,'ALL DATABASES'!$A$1:$T$2252,2,FALSE)</f>
        <v>Zhuang R,DeLoach SA,Ou X</v>
      </c>
      <c r="D1646" s="15">
        <f ca="1">VLOOKUP(B1646,'ALL DATABASES'!$A$1:$T$2252,5,FALSE)</f>
        <v>2014</v>
      </c>
      <c r="E1646" s="15">
        <f ca="1">VLOOKUP(B1646,'ALL DATABASES'!$A$1:$T$2252,10,FALSE)</f>
        <v>2014</v>
      </c>
      <c r="F1646" s="54" t="str">
        <f ca="1">VLOOKUP(B1646,'ALL DATABASES'!$A$1:$T$2252,14,FALSE)</f>
        <v>https://doi.org/10.1145/2663474.2663479;http://dx.doi.org/10.1145/2663474.2663479</v>
      </c>
      <c r="G1646" s="15" t="str">
        <f ca="1">VLOOKUP(B1646,'ALL DATABASES'!$A$1:$T$2252,3,FALSE)</f>
        <v>Conference Paper</v>
      </c>
      <c r="H1646" s="50" t="str">
        <f ca="1">VLOOKUP(B1646,'ALL DATABASES'!$A$1:$T$2252,20,FALSE)</f>
        <v>ACM</v>
      </c>
    </row>
    <row r="1647" spans="1:8" ht="12.75" x14ac:dyDescent="0.2">
      <c r="A1647">
        <v>1646</v>
      </c>
      <c r="B1647" s="15" t="str">
        <f ca="1">IFERROR(__xludf.DUMMYFUNCTION("""COMPUTED_VALUE"""),"Towards a unified catalog of attributes to guide industry in software testing technique selection")</f>
        <v>Towards a unified catalog of attributes to guide industry in software testing technique selection</v>
      </c>
      <c r="C1647" s="15" t="str">
        <f ca="1">VLOOKUP(B1647,'ALL DATABASES'!$A$1:$T$2252,2,FALSE)</f>
        <v>Santos I,Melo SM,Lopes de Souza PS,Souza SR</v>
      </c>
      <c r="D1647" s="15">
        <f ca="1">VLOOKUP(B1647,'ALL DATABASES'!$A$1:$T$2252,5,FALSE)</f>
        <v>2020</v>
      </c>
      <c r="E1647" s="53">
        <f ca="1">VLOOKUP(B1647,'ALL DATABASES'!$A$1:$T$2252,10,FALSE)</f>
        <v>44105</v>
      </c>
      <c r="F1647" s="54" t="str">
        <f ca="1">VLOOKUP(B1647,'ALL DATABASES'!$A$1:$T$2252,14,FALSE)</f>
        <v>http://dx.doi.org/10.1109/ICSTW50294.2020.00071</v>
      </c>
      <c r="G1647" s="15" t="str">
        <f ca="1">VLOOKUP(B1647,'ALL DATABASES'!$A$1:$T$2252,3,FALSE)</f>
        <v>Conference Paper</v>
      </c>
      <c r="H1647" s="50" t="str">
        <f ca="1">VLOOKUP(B1647,'ALL DATABASES'!$A$1:$T$2252,20,FALSE)</f>
        <v>IEEE</v>
      </c>
    </row>
    <row r="1648" spans="1:8" ht="12.75" x14ac:dyDescent="0.2">
      <c r="A1648">
        <v>1647</v>
      </c>
      <c r="B1648" s="15" t="str">
        <f ca="1">IFERROR(__xludf.DUMMYFUNCTION("""COMPUTED_VALUE"""),"Towards Accountability for Machine Learning Datasets: Practices from Software Engineering and Infrastructure")</f>
        <v>Towards Accountability for Machine Learning Datasets: Practices from Software Engineering and Infrastructure</v>
      </c>
      <c r="C1648" s="15" t="str">
        <f ca="1">VLOOKUP(B1648,'ALL DATABASES'!$A$1:$T$2252,2,FALSE)</f>
        <v>Hutchinson B,Smart A,Hanna A,Denton E,Greer C,Kjartansson O,Barnes P,Mitchell M</v>
      </c>
      <c r="D1648" s="15">
        <f ca="1">VLOOKUP(B1648,'ALL DATABASES'!$A$1:$T$2252,5,FALSE)</f>
        <v>2021</v>
      </c>
      <c r="E1648" s="15">
        <f ca="1">VLOOKUP(B1648,'ALL DATABASES'!$A$1:$T$2252,10,FALSE)</f>
        <v>2021</v>
      </c>
      <c r="F1648" s="54" t="str">
        <f ca="1">VLOOKUP(B1648,'ALL DATABASES'!$A$1:$T$2252,14,FALSE)</f>
        <v>https://doi.org/10.1145/3442188.3445918;http://dx.doi.org/10.1145/3442188.3445918</v>
      </c>
      <c r="G1648" s="15" t="str">
        <f ca="1">VLOOKUP(B1648,'ALL DATABASES'!$A$1:$T$2252,3,FALSE)</f>
        <v>Conference Paper</v>
      </c>
      <c r="H1648" s="50" t="str">
        <f ca="1">VLOOKUP(B1648,'ALL DATABASES'!$A$1:$T$2252,20,FALSE)</f>
        <v>ACM</v>
      </c>
    </row>
    <row r="1649" spans="1:8" ht="12.75" x14ac:dyDescent="0.2">
      <c r="A1649">
        <v>1648</v>
      </c>
      <c r="B1649" s="15" t="str">
        <f ca="1">IFERROR(__xludf.DUMMYFUNCTION("""COMPUTED_VALUE"""),"Towards AI Lifecycle Management in Manufacturing Using the Asset Administration Shell (AAS)")</f>
        <v>Towards AI Lifecycle Management in Manufacturing Using the Asset Administration Shell (AAS)</v>
      </c>
      <c r="C1649" s="15" t="str">
        <f ca="1">VLOOKUP(B1649,'ALL DATABASES'!$A$1:$T$2252,2,FALSE)</f>
        <v>Rauh L,Gärtner S,Brandt D,Oberle M,Stock D,Bauernhansl T</v>
      </c>
      <c r="D1649" s="15">
        <f ca="1">VLOOKUP(B1649,'ALL DATABASES'!$A$1:$T$2252,5,FALSE)</f>
        <v>2022</v>
      </c>
      <c r="E1649" s="15">
        <f ca="1">VLOOKUP(B1649,'ALL DATABASES'!$A$1:$T$2252,10,FALSE)</f>
        <v>2022</v>
      </c>
      <c r="F1649" s="54" t="str">
        <f ca="1">VLOOKUP(B1649,'ALL DATABASES'!$A$1:$T$2252,14,FALSE)</f>
        <v>https://www.sciencedirect.com/science/article/pii/S2212827122003122;http://dx.doi.org/10.1016/j.procir.2022.05.028</v>
      </c>
      <c r="G1649" s="15" t="str">
        <f ca="1">VLOOKUP(B1649,'ALL DATABASES'!$A$1:$T$2252,3,FALSE)</f>
        <v>Journal Article</v>
      </c>
      <c r="H1649" s="50" t="str">
        <f ca="1">VLOOKUP(B1649,'ALL DATABASES'!$A$1:$T$2252,20,FALSE)</f>
        <v>SCIENCEDIRECT</v>
      </c>
    </row>
    <row r="1650" spans="1:8" ht="12.75" x14ac:dyDescent="0.2">
      <c r="A1650">
        <v>1649</v>
      </c>
      <c r="B1650" s="15" t="str">
        <f ca="1">IFERROR(__xludf.DUMMYFUNCTION("""COMPUTED_VALUE"""),"Towards an AI-driven business development framework: A multi-case study")</f>
        <v>Towards an AI-driven business development framework: A multi-case study</v>
      </c>
      <c r="C1650" s="15" t="str">
        <f ca="1">VLOOKUP(B1650,'ALL DATABASES'!$A$1:$T$2252,2,FALSE)</f>
        <v>John MM,Olsson HH,Bosch J</v>
      </c>
      <c r="D1650" s="15">
        <f ca="1">VLOOKUP(B1650,'ALL DATABASES'!$A$1:$T$2252,5,FALSE)</f>
        <v>2022</v>
      </c>
      <c r="E1650" s="15">
        <f ca="1">VLOOKUP(B1650,'ALL DATABASES'!$A$1:$T$2252,10,FALSE)</f>
        <v>2022</v>
      </c>
      <c r="F1650" s="54" t="str">
        <f ca="1">VLOOKUP(B1650,'ALL DATABASES'!$A$1:$T$2252,14,FALSE)</f>
        <v>https://www.scopus.com/inward/record.uri?eid=2-s2.0-85125909057&amp;doi=10.1002%2fsmr.2432&amp;partnerID=40&amp;md5=81497923d97888427d6200fc1d3459cf;http://dx.doi.org/10.1002/smr.2432</v>
      </c>
      <c r="G1650" s="15" t="str">
        <f ca="1">VLOOKUP(B1650,'ALL DATABASES'!$A$1:$T$2252,3,FALSE)</f>
        <v>Journal Article</v>
      </c>
      <c r="H1650" s="50" t="str">
        <f ca="1">VLOOKUP(B1650,'ALL DATABASES'!$A$1:$T$2252,20,FALSE)</f>
        <v>SCOPUS</v>
      </c>
    </row>
    <row r="1651" spans="1:8" ht="12.75" x14ac:dyDescent="0.2">
      <c r="A1651">
        <v>1650</v>
      </c>
      <c r="B1651" s="15" t="str">
        <f ca="1">IFERROR(__xludf.DUMMYFUNCTION("""COMPUTED_VALUE"""),"Towards an architecture-centric approach to security analysis")</f>
        <v>Towards an architecture-centric approach to security analysis</v>
      </c>
      <c r="C1651" s="15" t="str">
        <f ca="1">VLOOKUP(B1651,'ALL DATABASES'!$A$1:$T$2252,2,FALSE)</f>
        <v>Feng Q,Kazman R,Cai Y,Mo R,Xiao L</v>
      </c>
      <c r="D1651" s="15">
        <f ca="1">VLOOKUP(B1651,'ALL DATABASES'!$A$1:$T$2252,5,FALSE)</f>
        <v>2016</v>
      </c>
      <c r="E1651" s="15">
        <f ca="1">VLOOKUP(B1651,'ALL DATABASES'!$A$1:$T$2252,10,FALSE)</f>
        <v>2016</v>
      </c>
      <c r="F1651" s="54" t="str">
        <f ca="1">VLOOKUP(B1651,'ALL DATABASES'!$A$1:$T$2252,14,FALSE)</f>
        <v>https://www.scopus.com/inward/record.uri?eid=2-s2.0-84983238335&amp;doi=10.1109%2fWICSA.2016.41&amp;partnerID=40&amp;md5=8758a2e935627411a84d692025434931;http://dx.doi.org/10.1109/WICSA.2016.41</v>
      </c>
      <c r="G1651" s="15" t="str">
        <f ca="1">VLOOKUP(B1651,'ALL DATABASES'!$A$1:$T$2252,3,FALSE)</f>
        <v>Conference Paper</v>
      </c>
      <c r="H1651" s="50" t="str">
        <f ca="1">VLOOKUP(B1651,'ALL DATABASES'!$A$1:$T$2252,20,FALSE)</f>
        <v>SCOPUS</v>
      </c>
    </row>
    <row r="1652" spans="1:8" ht="12.75" x14ac:dyDescent="0.2">
      <c r="A1652">
        <v>1651</v>
      </c>
      <c r="B1652" s="15" t="str">
        <f ca="1">IFERROR(__xludf.DUMMYFUNCTION("""COMPUTED_VALUE"""),"Towards an open-source tool for measuring and visualizing the interest of technical debt")</f>
        <v>Towards an open-source tool for measuring and visualizing the interest of technical debt</v>
      </c>
      <c r="C1652" s="15" t="str">
        <f ca="1">VLOOKUP(B1652,'ALL DATABASES'!$A$1:$T$2252,2,FALSE)</f>
        <v>Falessi D,Reichel A</v>
      </c>
      <c r="D1652" s="15">
        <f ca="1">VLOOKUP(B1652,'ALL DATABASES'!$A$1:$T$2252,5,FALSE)</f>
        <v>2015</v>
      </c>
      <c r="E1652" s="15">
        <f ca="1">VLOOKUP(B1652,'ALL DATABASES'!$A$1:$T$2252,10,FALSE)</f>
        <v>2015</v>
      </c>
      <c r="F1652" s="54" t="str">
        <f ca="1">VLOOKUP(B1652,'ALL DATABASES'!$A$1:$T$2252,14,FALSE)</f>
        <v>https://www.scopus.com/inward/record.uri?eid=2-s2.0-84963624234&amp;doi=10.1109%2fMTD.2015.7332618&amp;partnerID=40&amp;md5=89d81ad9d7d2146b53990a627c01b7ea;http://dx.doi.org/10.1109/MTD.2015.7332618</v>
      </c>
      <c r="G1652" s="15" t="str">
        <f ca="1">VLOOKUP(B1652,'ALL DATABASES'!$A$1:$T$2252,3,FALSE)</f>
        <v>Conference Paper</v>
      </c>
      <c r="H1652" s="50" t="str">
        <f ca="1">VLOOKUP(B1652,'ALL DATABASES'!$A$1:$T$2252,20,FALSE)</f>
        <v>SCOPUS</v>
      </c>
    </row>
    <row r="1653" spans="1:8" ht="12.75" x14ac:dyDescent="0.2">
      <c r="A1653">
        <v>1652</v>
      </c>
      <c r="B1653" s="15" t="str">
        <f ca="1">IFERROR(__xludf.DUMMYFUNCTION("""COMPUTED_VALUE"""),"Towards anticipation of architectural smells using link prediction techniques")</f>
        <v>Towards anticipation of architectural smells using link prediction techniques</v>
      </c>
      <c r="C1653" s="15" t="str">
        <f ca="1">VLOOKUP(B1653,'ALL DATABASES'!$A$1:$T$2252,2,FALSE)</f>
        <v>Diaz-Pace JA,Tommasel A,Godoy D</v>
      </c>
      <c r="D1653" s="15">
        <f ca="1">VLOOKUP(B1653,'ALL DATABASES'!$A$1:$T$2252,5,FALSE)</f>
        <v>2018</v>
      </c>
      <c r="E1653" s="15">
        <f ca="1">VLOOKUP(B1653,'ALL DATABASES'!$A$1:$T$2252,10,FALSE)</f>
        <v>2018</v>
      </c>
      <c r="F1653" s="54" t="str">
        <f ca="1">VLOOKUP(B1653,'ALL DATABASES'!$A$1:$T$2252,14,FALSE)</f>
        <v>https://www.scopus.com/inward/record.uri?eid=2-s2.0-85058275146&amp;doi=10.1109%2fSCAM.2018.00015&amp;partnerID=40&amp;md5=735f0c987e0c433b10f67a72f9f2a97b;http://dx.doi.org/10.1109/SCAM.2018.00015</v>
      </c>
      <c r="G1653" s="15" t="str">
        <f ca="1">VLOOKUP(B1653,'ALL DATABASES'!$A$1:$T$2252,3,FALSE)</f>
        <v>Conference Paper</v>
      </c>
      <c r="H1653" s="50" t="str">
        <f ca="1">VLOOKUP(B1653,'ALL DATABASES'!$A$1:$T$2252,20,FALSE)</f>
        <v>SCOPUS</v>
      </c>
    </row>
    <row r="1654" spans="1:8" ht="12.75" x14ac:dyDescent="0.2">
      <c r="A1654">
        <v>1653</v>
      </c>
      <c r="B1654" s="15" t="str">
        <f ca="1">IFERROR(__xludf.DUMMYFUNCTION("""COMPUTED_VALUE"""),"Towards automatically generating block comments for code snippets")</f>
        <v>Towards automatically generating block comments for code snippets</v>
      </c>
      <c r="C1654" s="15" t="str">
        <f ca="1">VLOOKUP(B1654,'ALL DATABASES'!$A$1:$T$2252,2,FALSE)</f>
        <v>Huang Y,Huang S,Chen H,Chen X,Zheng Z,Luo X,Jia N,Hu X,Zhou X</v>
      </c>
      <c r="D1654" s="15">
        <f ca="1">VLOOKUP(B1654,'ALL DATABASES'!$A$1:$T$2252,5,FALSE)</f>
        <v>2020</v>
      </c>
      <c r="E1654" s="15">
        <f ca="1">VLOOKUP(B1654,'ALL DATABASES'!$A$1:$T$2252,10,FALSE)</f>
        <v>2020</v>
      </c>
      <c r="F1654" s="54" t="str">
        <f ca="1">VLOOKUP(B1654,'ALL DATABASES'!$A$1:$T$2252,14,FALSE)</f>
        <v>https://www.scopus.com/inward/record.uri?eid=2-s2.0-85087525711&amp;doi=10.1016%2fj.infsof.2020.106373&amp;partnerID=40&amp;md5=c87929cfbb4a609e979a565c45f26afd;http://dx.doi.org/10.1016/j.infsof.2020.106373</v>
      </c>
      <c r="G1654" s="15" t="str">
        <f ca="1">VLOOKUP(B1654,'ALL DATABASES'!$A$1:$T$2252,3,FALSE)</f>
        <v>Journal Article</v>
      </c>
      <c r="H1654" s="50" t="str">
        <f ca="1">VLOOKUP(B1654,'ALL DATABASES'!$A$1:$T$2252,20,FALSE)</f>
        <v>SCOPUS</v>
      </c>
    </row>
    <row r="1655" spans="1:8" ht="12.75" x14ac:dyDescent="0.2">
      <c r="A1655">
        <v>1654</v>
      </c>
      <c r="B1655" s="15" t="str">
        <f ca="1">IFERROR(__xludf.DUMMYFUNCTION("""COMPUTED_VALUE"""),"Towards Better Technical Debt Detection with NLP and Machine Learning Methods")</f>
        <v>Towards Better Technical Debt Detection with NLP and Machine Learning Methods</v>
      </c>
      <c r="C1655" s="15" t="str">
        <f ca="1">VLOOKUP(B1655,'ALL DATABASES'!$A$1:$T$2252,2,FALSE)</f>
        <v>Rantala L</v>
      </c>
      <c r="D1655" s="15">
        <f ca="1">VLOOKUP(B1655,'ALL DATABASES'!$A$1:$T$2252,5,FALSE)</f>
        <v>2020</v>
      </c>
      <c r="E1655" s="15">
        <f ca="1">VLOOKUP(B1655,'ALL DATABASES'!$A$1:$T$2252,10,FALSE)</f>
        <v>2020</v>
      </c>
      <c r="F1655" s="54" t="str">
        <f ca="1">VLOOKUP(B1655,'ALL DATABASES'!$A$1:$T$2252,14,FALSE)</f>
        <v>https://doi.org/10.1145/3377812.3381404;http://dx.doi.org/10.1145/3377812.3381404</v>
      </c>
      <c r="G1655" s="15" t="str">
        <f ca="1">VLOOKUP(B1655,'ALL DATABASES'!$A$1:$T$2252,3,FALSE)</f>
        <v>Conference Paper</v>
      </c>
      <c r="H1655" s="50" t="str">
        <f ca="1">VLOOKUP(B1655,'ALL DATABASES'!$A$1:$T$2252,20,FALSE)</f>
        <v>ACM</v>
      </c>
    </row>
    <row r="1656" spans="1:8" ht="12.75" x14ac:dyDescent="0.2">
      <c r="A1656">
        <v>1655</v>
      </c>
      <c r="B1656" s="15" t="str">
        <f ca="1">IFERROR(__xludf.DUMMYFUNCTION("""COMPUTED_VALUE"""),"Towards Better Understanding Developer Perception of Refactoring")</f>
        <v>Towards Better Understanding Developer Perception of Refactoring</v>
      </c>
      <c r="C1656" s="15" t="str">
        <f ca="1">VLOOKUP(B1656,'ALL DATABASES'!$A$1:$T$2252,2,FALSE)</f>
        <v>Alomar EA</v>
      </c>
      <c r="D1656" s="15">
        <f ca="1">VLOOKUP(B1656,'ALL DATABASES'!$A$1:$T$2252,5,FALSE)</f>
        <v>2019</v>
      </c>
      <c r="E1656" s="15">
        <f ca="1">VLOOKUP(B1656,'ALL DATABASES'!$A$1:$T$2252,10,FALSE)</f>
        <v>2019</v>
      </c>
      <c r="F1656" s="54" t="str">
        <f ca="1">VLOOKUP(B1656,'ALL DATABASES'!$A$1:$T$2252,14,FALSE)</f>
        <v>https://www.scopus.com/inward/record.uri?eid=2-s2.0-85077201449&amp;doi=10.1109%2fICSME.2019.00100&amp;partnerID=40&amp;md5=3ddf747f546566976aa1f2f63a8d9a0b;http://dx.doi.org/10.1109/ICSME.2019.00100</v>
      </c>
      <c r="G1656" s="15" t="str">
        <f ca="1">VLOOKUP(B1656,'ALL DATABASES'!$A$1:$T$2252,3,FALSE)</f>
        <v>Conference Paper</v>
      </c>
      <c r="H1656" s="50" t="str">
        <f ca="1">VLOOKUP(B1656,'ALL DATABASES'!$A$1:$T$2252,20,FALSE)</f>
        <v>SCOPUS</v>
      </c>
    </row>
    <row r="1657" spans="1:8" ht="12.75" x14ac:dyDescent="0.2">
      <c r="A1657">
        <v>1656</v>
      </c>
      <c r="B1657" s="15" t="str">
        <f ca="1">IFERROR(__xludf.DUMMYFUNCTION("""COMPUTED_VALUE"""),"Towards Bridging the Value Gap in DevOps")</f>
        <v>Towards Bridging the Value Gap in DevOps</v>
      </c>
      <c r="C1657" s="15" t="str">
        <f ca="1">VLOOKUP(B1657,'ALL DATABASES'!$A$1:$T$2252,2,FALSE)</f>
        <v>Gail C. MurphyMik Kersten</v>
      </c>
      <c r="D1657" s="15">
        <f ca="1">VLOOKUP(B1657,'ALL DATABASES'!$A$1:$T$2252,5,FALSE)</f>
        <v>2020</v>
      </c>
      <c r="E1657" s="15">
        <f ca="1">VLOOKUP(B1657,'ALL DATABASES'!$A$1:$T$2252,10,FALSE)</f>
        <v>0</v>
      </c>
      <c r="F1657" s="54" t="str">
        <f ca="1">VLOOKUP(B1657,'ALL DATABASES'!$A$1:$T$2252,14,FALSE)</f>
        <v>http://link.springer.com/chapter/10.1007/978-3-030-39306-9_13</v>
      </c>
      <c r="G1657" s="15" t="str">
        <f ca="1">VLOOKUP(B1657,'ALL DATABASES'!$A$1:$T$2252,3,FALSE)</f>
        <v>Chapter</v>
      </c>
      <c r="H1657" s="50" t="str">
        <f ca="1">VLOOKUP(B1657,'ALL DATABASES'!$A$1:$T$2252,20,FALSE)</f>
        <v>SPRINGER</v>
      </c>
    </row>
    <row r="1658" spans="1:8" ht="12.75" x14ac:dyDescent="0.2">
      <c r="A1658">
        <v>1657</v>
      </c>
      <c r="B1658" s="15" t="str">
        <f ca="1">IFERROR(__xludf.DUMMYFUNCTION("""COMPUTED_VALUE"""),"Towards CRISP-ML(Q): A Machine Learning Process Model with Quality Assurance Methodology")</f>
        <v>Towards CRISP-ML(Q): A Machine Learning Process Model with Quality Assurance Methodology</v>
      </c>
      <c r="C1658" s="15" t="str">
        <f ca="1">VLOOKUP(B1658,'ALL DATABASES'!$A$1:$T$2252,2,FALSE)</f>
        <v>Studer S,Bui TB,Drescher C,Hanuschkin A,Winkler L,Peters S,Müller KR</v>
      </c>
      <c r="D1658" s="15">
        <f ca="1">VLOOKUP(B1658,'ALL DATABASES'!$A$1:$T$2252,5,FALSE)</f>
        <v>2021</v>
      </c>
      <c r="E1658" s="15">
        <f ca="1">VLOOKUP(B1658,'ALL DATABASES'!$A$1:$T$2252,10,FALSE)</f>
        <v>2021</v>
      </c>
      <c r="F1658" s="54" t="str">
        <f ca="1">VLOOKUP(B1658,'ALL DATABASES'!$A$1:$T$2252,14,FALSE)</f>
        <v>https://www.scopus.com/inward/record.uri?eid=2-s2.0-85117583710&amp;doi=10.3390%2fmake3020020&amp;partnerID=40&amp;md5=2db6c87fe56c2b4551d91e69aa651e69;http://dx.doi.org/10.3390/make3020020</v>
      </c>
      <c r="G1658" s="15" t="str">
        <f ca="1">VLOOKUP(B1658,'ALL DATABASES'!$A$1:$T$2252,3,FALSE)</f>
        <v>Journal Article</v>
      </c>
      <c r="H1658" s="50" t="str">
        <f ca="1">VLOOKUP(B1658,'ALL DATABASES'!$A$1:$T$2252,20,FALSE)</f>
        <v>SCOPUS</v>
      </c>
    </row>
    <row r="1659" spans="1:8" ht="12.75" x14ac:dyDescent="0.2">
      <c r="A1659">
        <v>1658</v>
      </c>
      <c r="B1659" s="15" t="str">
        <f ca="1">IFERROR(__xludf.DUMMYFUNCTION("""COMPUTED_VALUE"""),"Towards Detecting MVC Architectural Smells")</f>
        <v>Towards Detecting MVC Architectural Smells</v>
      </c>
      <c r="C1659" s="15" t="str">
        <f ca="1">VLOOKUP(B1659,'ALL DATABASES'!$A$1:$T$2252,2,FALSE)</f>
        <v>Perla Velasco-ElizondoLucero CastaÃ±eda-CalvilloAlejandro GarcÃ­a-FernandezSodel Vazquez-Reyes</v>
      </c>
      <c r="D1659" s="15">
        <f ca="1">VLOOKUP(B1659,'ALL DATABASES'!$A$1:$T$2252,5,FALSE)</f>
        <v>2018</v>
      </c>
      <c r="E1659" s="15">
        <f ca="1">VLOOKUP(B1659,'ALL DATABASES'!$A$1:$T$2252,10,FALSE)</f>
        <v>0</v>
      </c>
      <c r="F1659" s="54" t="str">
        <f ca="1">VLOOKUP(B1659,'ALL DATABASES'!$A$1:$T$2252,14,FALSE)</f>
        <v>http://link.springer.com/chapter/10.1007/978-3-319-69341-5_23</v>
      </c>
      <c r="G1659" s="15" t="str">
        <f ca="1">VLOOKUP(B1659,'ALL DATABASES'!$A$1:$T$2252,3,FALSE)</f>
        <v>Chapter</v>
      </c>
      <c r="H1659" s="50" t="str">
        <f ca="1">VLOOKUP(B1659,'ALL DATABASES'!$A$1:$T$2252,20,FALSE)</f>
        <v>SPRINGER</v>
      </c>
    </row>
    <row r="1660" spans="1:8" ht="12.75" x14ac:dyDescent="0.2">
      <c r="A1660">
        <v>1659</v>
      </c>
      <c r="B1660" s="15" t="str">
        <f ca="1">IFERROR(__xludf.DUMMYFUNCTION("""COMPUTED_VALUE"""),"Towards functional change decision support based on COSMIC FSM method")</f>
        <v>Towards functional change decision support based on COSMIC FSM method</v>
      </c>
      <c r="C1660" s="15" t="str">
        <f ca="1">VLOOKUP(B1660,'ALL DATABASES'!$A$1:$T$2252,2,FALSE)</f>
        <v>Haoues M,Sellami A,Ben-Abdallah H</v>
      </c>
      <c r="D1660" s="15">
        <f ca="1">VLOOKUP(B1660,'ALL DATABASES'!$A$1:$T$2252,5,FALSE)</f>
        <v>2019</v>
      </c>
      <c r="E1660" s="15">
        <f ca="1">VLOOKUP(B1660,'ALL DATABASES'!$A$1:$T$2252,10,FALSE)</f>
        <v>2019</v>
      </c>
      <c r="F1660" s="54" t="str">
        <f ca="1">VLOOKUP(B1660,'ALL DATABASES'!$A$1:$T$2252,14,FALSE)</f>
        <v>https://www.sciencedirect.com/science/article/pii/S0950584919300321;http://dx.doi.org/10.1016/j.infsof.2019.02.004</v>
      </c>
      <c r="G1660" s="15" t="str">
        <f ca="1">VLOOKUP(B1660,'ALL DATABASES'!$A$1:$T$2252,3,FALSE)</f>
        <v>Journal Article</v>
      </c>
      <c r="H1660" s="50" t="str">
        <f ca="1">VLOOKUP(B1660,'ALL DATABASES'!$A$1:$T$2252,20,FALSE)</f>
        <v>SCIENCEDIRECT</v>
      </c>
    </row>
    <row r="1661" spans="1:8" ht="12.75" x14ac:dyDescent="0.2">
      <c r="A1661">
        <v>1660</v>
      </c>
      <c r="B1661" s="15" t="str">
        <f ca="1">IFERROR(__xludf.DUMMYFUNCTION("""COMPUTED_VALUE"""),"Towards guidelines for assessing qualities of machine learning systems")</f>
        <v>Towards guidelines for assessing qualities of machine learning systems</v>
      </c>
      <c r="C1661" s="15" t="str">
        <f ca="1">VLOOKUP(B1661,'ALL DATABASES'!$A$1:$T$2252,2,FALSE)</f>
        <v>Siebert J,Joeckel L,Heidrich J,Nakamichi K,Ohashi K,Namba I,Yamamoto R,Aoyama M</v>
      </c>
      <c r="D1661" s="15">
        <f ca="1">VLOOKUP(B1661,'ALL DATABASES'!$A$1:$T$2252,5,FALSE)</f>
        <v>2020</v>
      </c>
      <c r="E1661" s="15">
        <f ca="1">VLOOKUP(B1661,'ALL DATABASES'!$A$1:$T$2252,10,FALSE)</f>
        <v>2020</v>
      </c>
      <c r="F1661" s="54" t="str">
        <f ca="1">VLOOKUP(B1661,'ALL DATABASES'!$A$1:$T$2252,14,FALSE)</f>
        <v>https://www.scopus.com/inward/record.uri?eid=2-s2.0-85091160754&amp;doi=10.1007%2f978-3-030-58793-2_2&amp;partnerID=40&amp;md5=9e7a917c890f19f7818464d7a3c8ab1e;http://dx.doi.org/10.1007/978-3-030-58793-2_2</v>
      </c>
      <c r="G1661" s="15" t="str">
        <f ca="1">VLOOKUP(B1661,'ALL DATABASES'!$A$1:$T$2252,3,FALSE)</f>
        <v>Journal Article</v>
      </c>
      <c r="H1661" s="50" t="str">
        <f ca="1">VLOOKUP(B1661,'ALL DATABASES'!$A$1:$T$2252,20,FALSE)</f>
        <v>SCOPUS</v>
      </c>
    </row>
    <row r="1662" spans="1:8" ht="12.75" x14ac:dyDescent="0.2">
      <c r="A1662">
        <v>1661</v>
      </c>
      <c r="B1662" s="15" t="str">
        <f ca="1">IFERROR(__xludf.DUMMYFUNCTION("""COMPUTED_VALUE"""),"Towards MLOps: A Case Study of ML Pipeline Platform")</f>
        <v>Towards MLOps: A Case Study of ML Pipeline Platform</v>
      </c>
      <c r="C1662" s="15" t="str">
        <f ca="1">VLOOKUP(B1662,'ALL DATABASES'!$A$1:$T$2252,2,FALSE)</f>
        <v>Zhou Y,Yu Y,Ding B</v>
      </c>
      <c r="D1662" s="15">
        <f ca="1">VLOOKUP(B1662,'ALL DATABASES'!$A$1:$T$2252,5,FALSE)</f>
        <v>2020</v>
      </c>
      <c r="E1662" s="53">
        <f ca="1">VLOOKUP(B1662,'ALL DATABASES'!$A$1:$T$2252,10,FALSE)</f>
        <v>44105</v>
      </c>
      <c r="F1662" s="54" t="str">
        <f ca="1">VLOOKUP(B1662,'ALL DATABASES'!$A$1:$T$2252,14,FALSE)</f>
        <v>http://dx.doi.org/10.1109/ICAICE51518.2020.00102</v>
      </c>
      <c r="G1662" s="15" t="str">
        <f ca="1">VLOOKUP(B1662,'ALL DATABASES'!$A$1:$T$2252,3,FALSE)</f>
        <v>Conference Paper</v>
      </c>
      <c r="H1662" s="50" t="str">
        <f ca="1">VLOOKUP(B1662,'ALL DATABASES'!$A$1:$T$2252,20,FALSE)</f>
        <v>IEEE</v>
      </c>
    </row>
    <row r="1663" spans="1:8" ht="12.75" x14ac:dyDescent="0.2">
      <c r="A1663">
        <v>1662</v>
      </c>
      <c r="B1663" s="15" t="str">
        <f ca="1">IFERROR(__xludf.DUMMYFUNCTION("""COMPUTED_VALUE"""),"Towards MLOps: A Framework and Maturity Model")</f>
        <v>Towards MLOps: A Framework and Maturity Model</v>
      </c>
      <c r="C1663" s="15" t="str">
        <f ca="1">VLOOKUP(B1663,'ALL DATABASES'!$A$1:$T$2252,2,FALSE)</f>
        <v>John MM,Olsson HH,Bosch J</v>
      </c>
      <c r="D1663" s="15">
        <f ca="1">VLOOKUP(B1663,'ALL DATABASES'!$A$1:$T$2252,5,FALSE)</f>
        <v>2021</v>
      </c>
      <c r="E1663" s="55">
        <f ca="1">VLOOKUP(B1663,'ALL DATABASES'!$A$1:$T$2252,10,FALSE)</f>
        <v>44440</v>
      </c>
      <c r="F1663" s="54" t="str">
        <f ca="1">VLOOKUP(B1663,'ALL DATABASES'!$A$1:$T$2252,14,FALSE)</f>
        <v>http://dx.doi.org/10.1109/SEAA53835.2021.00050</v>
      </c>
      <c r="G1663" s="15" t="str">
        <f ca="1">VLOOKUP(B1663,'ALL DATABASES'!$A$1:$T$2252,3,FALSE)</f>
        <v>Conference Paper</v>
      </c>
      <c r="H1663" s="50" t="str">
        <f ca="1">VLOOKUP(B1663,'ALL DATABASES'!$A$1:$T$2252,20,FALSE)</f>
        <v>IEEE</v>
      </c>
    </row>
    <row r="1664" spans="1:8" ht="12.75" x14ac:dyDescent="0.2">
      <c r="A1664">
        <v>1663</v>
      </c>
      <c r="B1664" s="15" t="str">
        <f ca="1">IFERROR(__xludf.DUMMYFUNCTION("""COMPUTED_VALUE"""),"Towards Natural Language Processing (NLP) based tool design for technical debt reduction on an agile project; [Hacia el diseño de una nueva herramienta basada en Procesamiento de Lenguaje Natural (NLP) para reducir la deuda técnica en un proyecto ágil]")</f>
        <v>Towards Natural Language Processing (NLP) based tool design for technical debt reduction on an agile project; [Hacia el diseño de una nueva herramienta basada en Procesamiento de Lenguaje Natural (NLP) para reducir la deuda técnica en un proyecto ágil]</v>
      </c>
      <c r="C1664" s="15" t="str">
        <f ca="1">VLOOKUP(B1664,'ALL DATABASES'!$A$1:$T$2252,2,FALSE)</f>
        <v>Quintana MA,Palacio RR,Soto GB</v>
      </c>
      <c r="D1664" s="15">
        <f ca="1">VLOOKUP(B1664,'ALL DATABASES'!$A$1:$T$2252,5,FALSE)</f>
        <v>2021</v>
      </c>
      <c r="E1664" s="15">
        <f ca="1">VLOOKUP(B1664,'ALL DATABASES'!$A$1:$T$2252,10,FALSE)</f>
        <v>2021</v>
      </c>
      <c r="F1664" s="54" t="str">
        <f ca="1">VLOOKUP(B1664,'ALL DATABASES'!$A$1:$T$2252,14,FALSE)</f>
        <v>https://www.scopus.com/inward/record.uri?eid=2-s2.0-85124423330&amp;doi=10.1109%2fCIMPS54606.2021.9652693&amp;partnerID=40&amp;md5=a37e94e0429e7681a1701a4ea483670e;http://dx.doi.org/10.1109/CIMPS54606.2021.9652693</v>
      </c>
      <c r="G1664" s="15" t="str">
        <f ca="1">VLOOKUP(B1664,'ALL DATABASES'!$A$1:$T$2252,3,FALSE)</f>
        <v>Conference Paper</v>
      </c>
      <c r="H1664" s="50" t="str">
        <f ca="1">VLOOKUP(B1664,'ALL DATABASES'!$A$1:$T$2252,20,FALSE)</f>
        <v>SCOPUS</v>
      </c>
    </row>
    <row r="1665" spans="1:8" ht="12.75" x14ac:dyDescent="0.2">
      <c r="A1665">
        <v>1664</v>
      </c>
      <c r="B1665" s="15" t="str">
        <f ca="1">IFERROR(__xludf.DUMMYFUNCTION("""COMPUTED_VALUE"""),"Towards Predicting Architectural Design Patterns: A Machine Learning Approach")</f>
        <v>Towards Predicting Architectural Design Patterns: A Machine Learning Approach</v>
      </c>
      <c r="C1665" s="15" t="str">
        <f ca="1">VLOOKUP(B1665,'ALL DATABASES'!$A$1:$T$2252,2,FALSE)</f>
        <v>Komolov S,Dlamini G,Megha S,Mazzara M</v>
      </c>
      <c r="D1665" s="15">
        <f ca="1">VLOOKUP(B1665,'ALL DATABASES'!$A$1:$T$2252,5,FALSE)</f>
        <v>2022</v>
      </c>
      <c r="E1665" s="15">
        <f ca="1">VLOOKUP(B1665,'ALL DATABASES'!$A$1:$T$2252,10,FALSE)</f>
        <v>2022</v>
      </c>
      <c r="F1665" s="54" t="str">
        <f ca="1">VLOOKUP(B1665,'ALL DATABASES'!$A$1:$T$2252,14,FALSE)</f>
        <v>https://www.scopus.com/inward/record.uri?eid=2-s2.0-85140604339&amp;doi=10.3390%2fcomputers11100151&amp;partnerID=40&amp;md5=3b49fdbcd1605c628da34e7a18bf2cf1;http://dx.doi.org/10.3390/computers11100151</v>
      </c>
      <c r="G1665" s="15" t="str">
        <f ca="1">VLOOKUP(B1665,'ALL DATABASES'!$A$1:$T$2252,3,FALSE)</f>
        <v>Journal Article</v>
      </c>
      <c r="H1665" s="50" t="str">
        <f ca="1">VLOOKUP(B1665,'ALL DATABASES'!$A$1:$T$2252,20,FALSE)</f>
        <v>SCOPUS</v>
      </c>
    </row>
    <row r="1666" spans="1:8" ht="12.75" x14ac:dyDescent="0.2">
      <c r="A1666">
        <v>1665</v>
      </c>
      <c r="B1666" s="15" t="str">
        <f ca="1">IFERROR(__xludf.DUMMYFUNCTION("""COMPUTED_VALUE"""),"Towards Regulatory-Compliant MLOps: Oravizio’s Journey from a Machine Learning Experiment to a Deployed Certified Medical Product")</f>
        <v>Towards Regulatory-Compliant MLOps: Oravizio’s Journey from a Machine Learning Experiment to a Deployed Certified Medical Product</v>
      </c>
      <c r="C1666" s="15" t="str">
        <f ca="1">VLOOKUP(B1666,'ALL DATABASES'!$A$1:$T$2252,2,FALSE)</f>
        <v>Granlund T,Stirbu V,Mikkonen T</v>
      </c>
      <c r="D1666" s="15">
        <f ca="1">VLOOKUP(B1666,'ALL DATABASES'!$A$1:$T$2252,5,FALSE)</f>
        <v>2021</v>
      </c>
      <c r="E1666" s="15">
        <f ca="1">VLOOKUP(B1666,'ALL DATABASES'!$A$1:$T$2252,10,FALSE)</f>
        <v>2021</v>
      </c>
      <c r="F1666" s="54" t="str">
        <f ca="1">VLOOKUP(B1666,'ALL DATABASES'!$A$1:$T$2252,14,FALSE)</f>
        <v>https://www.scopus.com/inward/record.uri?eid=2-s2.0-85121619577&amp;doi=10.1007%2fs42979-021-00726-1&amp;partnerID=40&amp;md5=47ff107c34d146132fcdcef8d8912562;http://dx.doi.org/10.1007/s42979-021-00726-1</v>
      </c>
      <c r="G1666" s="15" t="str">
        <f ca="1">VLOOKUP(B1666,'ALL DATABASES'!$A$1:$T$2252,3,FALSE)</f>
        <v>Journal Article</v>
      </c>
      <c r="H1666" s="50" t="str">
        <f ca="1">VLOOKUP(B1666,'ALL DATABASES'!$A$1:$T$2252,20,FALSE)</f>
        <v>SCOPUS</v>
      </c>
    </row>
    <row r="1667" spans="1:8" ht="12.75" x14ac:dyDescent="0.2">
      <c r="A1667">
        <v>1666</v>
      </c>
      <c r="B1667" s="15" t="str">
        <f ca="1">IFERROR(__xludf.DUMMYFUNCTION("""COMPUTED_VALUE"""),"Towards studying the evolution of technical debt in the Python projects from the apache software ecosystem")</f>
        <v>Towards studying the evolution of technical debt in the Python projects from the apache software ecosystem</v>
      </c>
      <c r="C1667" s="15" t="str">
        <f ca="1">VLOOKUP(B1667,'ALL DATABASES'!$A$1:$T$2252,2,FALSE)</f>
        <v>Tan J,Lungu M,Avgeriou P</v>
      </c>
      <c r="D1667" s="15">
        <f ca="1">VLOOKUP(B1667,'ALL DATABASES'!$A$1:$T$2252,5,FALSE)</f>
        <v>2018</v>
      </c>
      <c r="E1667" s="15">
        <f ca="1">VLOOKUP(B1667,'ALL DATABASES'!$A$1:$T$2252,10,FALSE)</f>
        <v>2018</v>
      </c>
      <c r="F1667" s="54" t="str">
        <f ca="1">VLOOKUP(B1667,'ALL DATABASES'!$A$1:$T$2252,14,FALSE)</f>
        <v>https://www.scopus.com/inward/record.uri?eid=2-s2.0-85065757709&amp;partnerID=40&amp;md5=b1f61ab9d24c141ce25864f50e8c6468</v>
      </c>
      <c r="G1667" s="15" t="str">
        <f ca="1">VLOOKUP(B1667,'ALL DATABASES'!$A$1:$T$2252,3,FALSE)</f>
        <v>Conference Paper</v>
      </c>
      <c r="H1667" s="50" t="str">
        <f ca="1">VLOOKUP(B1667,'ALL DATABASES'!$A$1:$T$2252,20,FALSE)</f>
        <v>SCOPUS</v>
      </c>
    </row>
    <row r="1668" spans="1:8" ht="12.75" x14ac:dyDescent="0.2">
      <c r="A1668">
        <v>1667</v>
      </c>
      <c r="B1668" s="15" t="str">
        <f ca="1">IFERROR(__xludf.DUMMYFUNCTION("""COMPUTED_VALUE"""),"Towards Surgically-Precise Technical Debt Estimation: Early Results and Research Roadmap")</f>
        <v>Towards Surgically-Precise Technical Debt Estimation: Early Results and Research Roadmap</v>
      </c>
      <c r="C1668" s="15" t="str">
        <f ca="1">VLOOKUP(B1668,'ALL DATABASES'!$A$1:$T$2252,2,FALSE)</f>
        <v>Lenarduzzi V,Martini A,Taibi D,Tamburri DA</v>
      </c>
      <c r="D1668" s="15">
        <f ca="1">VLOOKUP(B1668,'ALL DATABASES'!$A$1:$T$2252,5,FALSE)</f>
        <v>2019</v>
      </c>
      <c r="E1668" s="15">
        <f ca="1">VLOOKUP(B1668,'ALL DATABASES'!$A$1:$T$2252,10,FALSE)</f>
        <v>2019</v>
      </c>
      <c r="F1668" s="54" t="str">
        <f ca="1">VLOOKUP(B1668,'ALL DATABASES'!$A$1:$T$2252,14,FALSE)</f>
        <v>https://doi.org/10.1145/3340482.3342747;http://dx.doi.org/10.1145/3340482.3342747</v>
      </c>
      <c r="G1668" s="15" t="str">
        <f ca="1">VLOOKUP(B1668,'ALL DATABASES'!$A$1:$T$2252,3,FALSE)</f>
        <v>Conference Paper</v>
      </c>
      <c r="H1668" s="50" t="str">
        <f ca="1">VLOOKUP(B1668,'ALL DATABASES'!$A$1:$T$2252,20,FALSE)</f>
        <v>ACM</v>
      </c>
    </row>
    <row r="1669" spans="1:8" ht="12.75" x14ac:dyDescent="0.2">
      <c r="A1669">
        <v>1668</v>
      </c>
      <c r="B1669" s="15" t="str">
        <f ca="1">IFERROR(__xludf.DUMMYFUNCTION("""COMPUTED_VALUE"""),"Towards the Analysis and Completion of Syntactic Structure Ellipsis for Inline Comments")</f>
        <v>Towards the Analysis and Completion of Syntactic Structure Ellipsis for Inline Comments</v>
      </c>
      <c r="C1669" s="15" t="str">
        <f ca="1">VLOOKUP(B1669,'ALL DATABASES'!$A$1:$T$2252,2,FALSE)</f>
        <v>Zhang X,Zou W,Chen L,Li Y,Zhou Y</v>
      </c>
      <c r="D1669" s="15">
        <f ca="1">VLOOKUP(B1669,'ALL DATABASES'!$A$1:$T$2252,5,FALSE)</f>
        <v>2022</v>
      </c>
      <c r="E1669" s="15">
        <f ca="1">VLOOKUP(B1669,'ALL DATABASES'!$A$1:$T$2252,10,FALSE)</f>
        <v>2022</v>
      </c>
      <c r="F1669" s="54" t="str">
        <f ca="1">VLOOKUP(B1669,'ALL DATABASES'!$A$1:$T$2252,14,FALSE)</f>
        <v>http://dx.doi.org/10.1109/TSE.2022.3216279</v>
      </c>
      <c r="G1669" s="15" t="str">
        <f ca="1">VLOOKUP(B1669,'ALL DATABASES'!$A$1:$T$2252,3,FALSE)</f>
        <v>Journal Article</v>
      </c>
      <c r="H1669" s="50" t="str">
        <f ca="1">VLOOKUP(B1669,'ALL DATABASES'!$A$1:$T$2252,20,FALSE)</f>
        <v>IEEE</v>
      </c>
    </row>
    <row r="1670" spans="1:8" ht="12.75" x14ac:dyDescent="0.2">
      <c r="A1670">
        <v>1669</v>
      </c>
      <c r="B1670" s="15" t="str">
        <f ca="1">IFERROR(__xludf.DUMMYFUNCTION("""COMPUTED_VALUE"""),"Towards the generation of machine learning defect reports")</f>
        <v>Towards the generation of machine learning defect reports</v>
      </c>
      <c r="C1670" s="15" t="str">
        <f ca="1">VLOOKUP(B1670,'ALL DATABASES'!$A$1:$T$2252,2,FALSE)</f>
        <v>Lai TD</v>
      </c>
      <c r="D1670" s="15">
        <f ca="1">VLOOKUP(B1670,'ALL DATABASES'!$A$1:$T$2252,5,FALSE)</f>
        <v>2021</v>
      </c>
      <c r="E1670" s="15">
        <f ca="1">VLOOKUP(B1670,'ALL DATABASES'!$A$1:$T$2252,10,FALSE)</f>
        <v>2021</v>
      </c>
      <c r="F1670" s="54" t="str">
        <f ca="1">VLOOKUP(B1670,'ALL DATABASES'!$A$1:$T$2252,14,FALSE)</f>
        <v>https://www.scopus.com/inward/record.uri?eid=2-s2.0-85125441263&amp;doi=10.1109%2fASE51524.2021.9678592&amp;partnerID=40&amp;md5=aec529ae74edbde13c5e9566de28f835;http://dx.doi.org/10.1109/ASE51524.2021.9678592</v>
      </c>
      <c r="G1670" s="15" t="str">
        <f ca="1">VLOOKUP(B1670,'ALL DATABASES'!$A$1:$T$2252,3,FALSE)</f>
        <v>Conference Paper</v>
      </c>
      <c r="H1670" s="50" t="str">
        <f ca="1">VLOOKUP(B1670,'ALL DATABASES'!$A$1:$T$2252,20,FALSE)</f>
        <v>SCOPUS</v>
      </c>
    </row>
    <row r="1671" spans="1:8" ht="12.75" x14ac:dyDescent="0.2">
      <c r="A1671">
        <v>1670</v>
      </c>
      <c r="B1671" s="15" t="str">
        <f ca="1">IFERROR(__xludf.DUMMYFUNCTION("""COMPUTED_VALUE"""),"Towards Understanding Code Readability and Its Impact on Design Quality")</f>
        <v>Towards Understanding Code Readability and Its Impact on Design Quality</v>
      </c>
      <c r="C1671" s="15" t="str">
        <f ca="1">VLOOKUP(B1671,'ALL DATABASES'!$A$1:$T$2252,2,FALSE)</f>
        <v>Mannan UA,Ahmed I,Sarma A</v>
      </c>
      <c r="D1671" s="15">
        <f ca="1">VLOOKUP(B1671,'ALL DATABASES'!$A$1:$T$2252,5,FALSE)</f>
        <v>2018</v>
      </c>
      <c r="E1671" s="15">
        <f ca="1">VLOOKUP(B1671,'ALL DATABASES'!$A$1:$T$2252,10,FALSE)</f>
        <v>2018</v>
      </c>
      <c r="F1671" s="54" t="str">
        <f ca="1">VLOOKUP(B1671,'ALL DATABASES'!$A$1:$T$2252,14,FALSE)</f>
        <v>https://doi.org/10.1145/3283812.3283820;http://dx.doi.org/10.1145/3283812.3283820</v>
      </c>
      <c r="G1671" s="15" t="str">
        <f ca="1">VLOOKUP(B1671,'ALL DATABASES'!$A$1:$T$2252,3,FALSE)</f>
        <v>Conference Paper</v>
      </c>
      <c r="H1671" s="50" t="str">
        <f ca="1">VLOOKUP(B1671,'ALL DATABASES'!$A$1:$T$2252,20,FALSE)</f>
        <v>ACM</v>
      </c>
    </row>
    <row r="1672" spans="1:8" ht="12.75" x14ac:dyDescent="0.2">
      <c r="A1672">
        <v>1671</v>
      </c>
      <c r="B1672" s="15" t="str">
        <f ca="1">IFERROR(__xludf.DUMMYFUNCTION("""COMPUTED_VALUE"""),"Towards Understanding Developers' Machine-Learning Challenges: A Multi-Language Study on Stack Overflow")</f>
        <v>Towards Understanding Developers' Machine-Learning Challenges: A Multi-Language Study on Stack Overflow</v>
      </c>
      <c r="C1672" s="15" t="str">
        <f ca="1">VLOOKUP(B1672,'ALL DATABASES'!$A$1:$T$2252,2,FALSE)</f>
        <v>Hamidi A,Antoniol G,Khomh F,Penta MD,Hamidi M</v>
      </c>
      <c r="D1672" s="15">
        <f ca="1">VLOOKUP(B1672,'ALL DATABASES'!$A$1:$T$2252,5,FALSE)</f>
        <v>2021</v>
      </c>
      <c r="E1672" s="15">
        <f ca="1">VLOOKUP(B1672,'ALL DATABASES'!$A$1:$T$2252,10,FALSE)</f>
        <v>2021</v>
      </c>
      <c r="F1672" s="54" t="str">
        <f ca="1">VLOOKUP(B1672,'ALL DATABASES'!$A$1:$T$2252,14,FALSE)</f>
        <v>https://www.scopus.com/inward/record.uri?eid=2-s2.0-85123287454&amp;doi=10.1109%2fSCAM52516.2021.00016&amp;partnerID=40&amp;md5=d5aad7dfa0e6c1715bf45f4c5f3c99b5;http://dx.doi.org/10.1109/SCAM52516.2021.00016</v>
      </c>
      <c r="G1672" s="15" t="str">
        <f ca="1">VLOOKUP(B1672,'ALL DATABASES'!$A$1:$T$2252,3,FALSE)</f>
        <v>Conference Paper</v>
      </c>
      <c r="H1672" s="50" t="str">
        <f ca="1">VLOOKUP(B1672,'ALL DATABASES'!$A$1:$T$2252,20,FALSE)</f>
        <v>SCOPUS</v>
      </c>
    </row>
    <row r="1673" spans="1:8" ht="12.75" x14ac:dyDescent="0.2">
      <c r="A1673">
        <v>1672</v>
      </c>
      <c r="B1673" s="15" t="str">
        <f ca="1">IFERROR(__xludf.DUMMYFUNCTION("""COMPUTED_VALUE"""),"Tracing User Stories andÂ Source Code Using theÂ Language Extended Lexicon")</f>
        <v>Tracing User Stories andÂ Source Code Using theÂ Language Extended Lexicon</v>
      </c>
      <c r="C1673" s="15" t="str">
        <f ca="1">VLOOKUP(B1673,'ALL DATABASES'!$A$1:$T$2252,2,FALSE)</f>
        <v>Matias UrbietaLeandro AntonelliJavier GuerraGustavo Rossi</v>
      </c>
      <c r="D1673" s="15">
        <f ca="1">VLOOKUP(B1673,'ALL DATABASES'!$A$1:$T$2252,5,FALSE)</f>
        <v>2022</v>
      </c>
      <c r="E1673" s="15">
        <f ca="1">VLOOKUP(B1673,'ALL DATABASES'!$A$1:$T$2252,10,FALSE)</f>
        <v>0</v>
      </c>
      <c r="F1673" s="54" t="str">
        <f ca="1">VLOOKUP(B1673,'ALL DATABASES'!$A$1:$T$2252,14,FALSE)</f>
        <v>http://link.springer.com/chapter/10.1007/978-3-031-04819-7_40</v>
      </c>
      <c r="G1673" s="15" t="str">
        <f ca="1">VLOOKUP(B1673,'ALL DATABASES'!$A$1:$T$2252,3,FALSE)</f>
        <v>Chapter</v>
      </c>
      <c r="H1673" s="50" t="str">
        <f ca="1">VLOOKUP(B1673,'ALL DATABASES'!$A$1:$T$2252,20,FALSE)</f>
        <v>SPRINGER</v>
      </c>
    </row>
    <row r="1674" spans="1:8" ht="12.75" x14ac:dyDescent="0.2">
      <c r="A1674">
        <v>1673</v>
      </c>
      <c r="B1674" s="15" t="str">
        <f ca="1">IFERROR(__xludf.DUMMYFUNCTION("""COMPUTED_VALUE"""),"Trade-Offs in Managing Risk and Technical Debt in Industrial Research Labs: An Experience Report")</f>
        <v>Trade-Offs in Managing Risk and Technical Debt in Industrial Research Labs: An Experience Report</v>
      </c>
      <c r="C1674" s="15" t="str">
        <f ca="1">VLOOKUP(B1674,'ALL DATABASES'!$A$1:$T$2252,2,FALSE)</f>
        <v>Gauthier F,Jordan A,Krishnan P,Hassanshahi B,Süß JG,Bae S,Lee H</v>
      </c>
      <c r="D1674" s="15">
        <f ca="1">VLOOKUP(B1674,'ALL DATABASES'!$A$1:$T$2252,5,FALSE)</f>
        <v>2020</v>
      </c>
      <c r="E1674" s="15">
        <f ca="1">VLOOKUP(B1674,'ALL DATABASES'!$A$1:$T$2252,10,FALSE)</f>
        <v>2020</v>
      </c>
      <c r="F1674" s="54" t="str">
        <f ca="1">VLOOKUP(B1674,'ALL DATABASES'!$A$1:$T$2252,14,FALSE)</f>
        <v>https://doi.org/10.1145/3387906.3388623;http://dx.doi.org/10.1145/3387906.3388623</v>
      </c>
      <c r="G1674" s="15" t="str">
        <f ca="1">VLOOKUP(B1674,'ALL DATABASES'!$A$1:$T$2252,3,FALSE)</f>
        <v>Conference Paper</v>
      </c>
      <c r="H1674" s="50" t="str">
        <f ca="1">VLOOKUP(B1674,'ALL DATABASES'!$A$1:$T$2252,20,FALSE)</f>
        <v>ACM</v>
      </c>
    </row>
    <row r="1675" spans="1:8" ht="12.75" x14ac:dyDescent="0.2">
      <c r="A1675">
        <v>1674</v>
      </c>
      <c r="B1675" s="15" t="str">
        <f ca="1">IFERROR(__xludf.DUMMYFUNCTION("""COMPUTED_VALUE"""),"Training neural hardware with noisy components")</f>
        <v>Training neural hardware with noisy components</v>
      </c>
      <c r="C1675" s="15" t="str">
        <f ca="1">VLOOKUP(B1675,'ALL DATABASES'!$A$1:$T$2252,2,FALSE)</f>
        <v>Rothganger F,Evans BR,Aimone JB,Debenedictis EP</v>
      </c>
      <c r="D1675" s="15">
        <f ca="1">VLOOKUP(B1675,'ALL DATABASES'!$A$1:$T$2252,5,FALSE)</f>
        <v>2015</v>
      </c>
      <c r="E1675" s="15">
        <f ca="1">VLOOKUP(B1675,'ALL DATABASES'!$A$1:$T$2252,10,FALSE)</f>
        <v>2015</v>
      </c>
      <c r="F1675" s="54" t="str">
        <f ca="1">VLOOKUP(B1675,'ALL DATABASES'!$A$1:$T$2252,14,FALSE)</f>
        <v>https://www.scopus.com/inward/record.uri?eid=2-s2.0-84951124061&amp;doi=10.1109%2fIJCNN.2015.7280772&amp;partnerID=40&amp;md5=2507d93bdf31d6f7c1ff8967bcebd26d;http://dx.doi.org/10.1109/IJCNN.2015.7280772</v>
      </c>
      <c r="G1675" s="15" t="str">
        <f ca="1">VLOOKUP(B1675,'ALL DATABASES'!$A$1:$T$2252,3,FALSE)</f>
        <v>Conference Paper</v>
      </c>
      <c r="H1675" s="50" t="str">
        <f ca="1">VLOOKUP(B1675,'ALL DATABASES'!$A$1:$T$2252,20,FALSE)</f>
        <v>SCOPUS</v>
      </c>
    </row>
    <row r="1676" spans="1:8" ht="12.75" x14ac:dyDescent="0.2">
      <c r="A1676">
        <v>1675</v>
      </c>
      <c r="B1676" s="15" t="str">
        <f ca="1">IFERROR(__xludf.DUMMYFUNCTION("""COMPUTED_VALUE"""),"Transfer learning for just-in-time design smells prediction using temporal convolutional networks")</f>
        <v>Transfer learning for just-in-time design smells prediction using temporal convolutional networks</v>
      </c>
      <c r="C1676" s="15" t="str">
        <f ca="1">VLOOKUP(B1676,'ALL DATABASES'!$A$1:$T$2252,2,FALSE)</f>
        <v>Ardimento P,Aversano L,Bernardi ML,Cimitile M,Iammarino M</v>
      </c>
      <c r="D1676" s="15">
        <f ca="1">VLOOKUP(B1676,'ALL DATABASES'!$A$1:$T$2252,5,FALSE)</f>
        <v>2021</v>
      </c>
      <c r="E1676" s="15">
        <f ca="1">VLOOKUP(B1676,'ALL DATABASES'!$A$1:$T$2252,10,FALSE)</f>
        <v>2021</v>
      </c>
      <c r="F1676" s="54" t="str">
        <f ca="1">VLOOKUP(B1676,'ALL DATABASES'!$A$1:$T$2252,14,FALSE)</f>
        <v>https://www.scopus.com/inward/record.uri?eid=2-s2.0-85111710917&amp;doi=10.5220%2f0010602203100317&amp;partnerID=40&amp;md5=59b5b34f7c4b07b20ca7796e39fab919;http://dx.doi.org/10.5220/0010602203100317</v>
      </c>
      <c r="G1676" s="15" t="str">
        <f ca="1">VLOOKUP(B1676,'ALL DATABASES'!$A$1:$T$2252,3,FALSE)</f>
        <v>Conference Paper</v>
      </c>
      <c r="H1676" s="50" t="str">
        <f ca="1">VLOOKUP(B1676,'ALL DATABASES'!$A$1:$T$2252,20,FALSE)</f>
        <v>SCOPUS</v>
      </c>
    </row>
    <row r="1677" spans="1:8" ht="12.75" x14ac:dyDescent="0.2">
      <c r="A1677">
        <v>1676</v>
      </c>
      <c r="B1677" s="15" t="str">
        <f ca="1">IFERROR(__xludf.DUMMYFUNCTION("""COMPUTED_VALUE"""),"Transforming the Capabilities of Artificial Intelligence in GCC Financial Sector: A Systematic Literature Review")</f>
        <v>Transforming the Capabilities of Artificial Intelligence in GCC Financial Sector: A Systematic Literature Review</v>
      </c>
      <c r="C1677" s="15" t="str">
        <f ca="1">VLOOKUP(B1677,'ALL DATABASES'!$A$1:$T$2252,2,FALSE)</f>
        <v>Khan HU,Malik MZ,Alomari MK,Khan S,Al-Maadid AA,Hassan MK,Khan K</v>
      </c>
      <c r="D1677" s="15">
        <f ca="1">VLOOKUP(B1677,'ALL DATABASES'!$A$1:$T$2252,5,FALSE)</f>
        <v>2022</v>
      </c>
      <c r="E1677" s="15">
        <f ca="1">VLOOKUP(B1677,'ALL DATABASES'!$A$1:$T$2252,10,FALSE)</f>
        <v>2022</v>
      </c>
      <c r="F1677" s="54" t="str">
        <f ca="1">VLOOKUP(B1677,'ALL DATABASES'!$A$1:$T$2252,14,FALSE)</f>
        <v>https://www.scopus.com/inward/record.uri?eid=2-s2.0-85128683583&amp;doi=10.1155%2f2022%2f8725767&amp;partnerID=40&amp;md5=28a45450b886e37b99a760f7549e9e77;http://dx.doi.org/10.1155/2022/8725767</v>
      </c>
      <c r="G1677" s="15" t="str">
        <f ca="1">VLOOKUP(B1677,'ALL DATABASES'!$A$1:$T$2252,3,FALSE)</f>
        <v>Journal Article</v>
      </c>
      <c r="H1677" s="50" t="str">
        <f ca="1">VLOOKUP(B1677,'ALL DATABASES'!$A$1:$T$2252,20,FALSE)</f>
        <v>SCOPUS</v>
      </c>
    </row>
    <row r="1678" spans="1:8" ht="12.75" x14ac:dyDescent="0.2">
      <c r="A1678">
        <v>1677</v>
      </c>
      <c r="B1678" s="15" t="str">
        <f ca="1">IFERROR(__xludf.DUMMYFUNCTION("""COMPUTED_VALUE"""),"Translating a Legacy Stack to Microservices Using a Modernization Facade with Performance Optimization for Container Deployments")</f>
        <v>Translating a Legacy Stack to Microservices Using a Modernization Facade with Performance Optimization for Container Deployments</v>
      </c>
      <c r="C1678" s="15" t="str">
        <f ca="1">VLOOKUP(B1678,'ALL DATABASES'!$A$1:$T$2252,2,FALSE)</f>
        <v>Prabal MahantaSuchin Chouta</v>
      </c>
      <c r="D1678" s="15">
        <f ca="1">VLOOKUP(B1678,'ALL DATABASES'!$A$1:$T$2252,5,FALSE)</f>
        <v>2020</v>
      </c>
      <c r="E1678" s="15">
        <f ca="1">VLOOKUP(B1678,'ALL DATABASES'!$A$1:$T$2252,10,FALSE)</f>
        <v>0</v>
      </c>
      <c r="F1678" s="54" t="str">
        <f ca="1">VLOOKUP(B1678,'ALL DATABASES'!$A$1:$T$2252,14,FALSE)</f>
        <v>http://link.springer.com/chapter/10.1007/978-3-030-40907-4_14</v>
      </c>
      <c r="G1678" s="15" t="str">
        <f ca="1">VLOOKUP(B1678,'ALL DATABASES'!$A$1:$T$2252,3,FALSE)</f>
        <v>Chapter</v>
      </c>
      <c r="H1678" s="50" t="str">
        <f ca="1">VLOOKUP(B1678,'ALL DATABASES'!$A$1:$T$2252,20,FALSE)</f>
        <v>SPRINGER</v>
      </c>
    </row>
    <row r="1679" spans="1:8" ht="12.75" x14ac:dyDescent="0.2">
      <c r="A1679">
        <v>1678</v>
      </c>
      <c r="B1679" s="15" t="str">
        <f ca="1">IFERROR(__xludf.DUMMYFUNCTION("""COMPUTED_VALUE"""),"Translational Challenges of Biomedical Machine Learning Solutions in Clinical and Laboratory Settings")</f>
        <v>Translational Challenges of Biomedical Machine Learning Solutions in Clinical and Laboratory Settings</v>
      </c>
      <c r="C1679" s="15" t="str">
        <f ca="1">VLOOKUP(B1679,'ALL DATABASES'!$A$1:$T$2252,2,FALSE)</f>
        <v>Vega C,Kratochvil M,Satagopam V,Schneider R</v>
      </c>
      <c r="D1679" s="15">
        <f ca="1">VLOOKUP(B1679,'ALL DATABASES'!$A$1:$T$2252,5,FALSE)</f>
        <v>2022</v>
      </c>
      <c r="E1679" s="15">
        <f ca="1">VLOOKUP(B1679,'ALL DATABASES'!$A$1:$T$2252,10,FALSE)</f>
        <v>2022</v>
      </c>
      <c r="F1679" s="54" t="str">
        <f ca="1">VLOOKUP(B1679,'ALL DATABASES'!$A$1:$T$2252,14,FALSE)</f>
        <v>https://www.scopus.com/inward/record.uri?eid=2-s2.0-85133153613&amp;doi=10.1007%2f978-3-031-07802-6_30&amp;partnerID=40&amp;md5=bb38e6afb779e1d9ea89781395994d79;http://dx.doi.org/10.1007/978-3-031-07802-6_30</v>
      </c>
      <c r="G1679" s="15" t="str">
        <f ca="1">VLOOKUP(B1679,'ALL DATABASES'!$A$1:$T$2252,3,FALSE)</f>
        <v>Journal Article</v>
      </c>
      <c r="H1679" s="50" t="str">
        <f ca="1">VLOOKUP(B1679,'ALL DATABASES'!$A$1:$T$2252,20,FALSE)</f>
        <v>SCOPUS</v>
      </c>
    </row>
    <row r="1680" spans="1:8" ht="12.75" x14ac:dyDescent="0.2">
      <c r="A1680">
        <v>1679</v>
      </c>
      <c r="B1680" s="15" t="str">
        <f ca="1">IFERROR(__xludf.DUMMYFUNCTION("""COMPUTED_VALUE"""),"Trends and Applications in Information Systems and Technologies")</f>
        <v>Trends and Applications in Information Systems and Technologies</v>
      </c>
      <c r="C1680" s="15" t="str">
        <f ca="1">VLOOKUP(B1680,'ALL DATABASES'!$A$1:$T$2252,2,FALSE)</f>
        <v>Prof. Ãlvaro RochaHojjat AdeliDr. Gintautas DzemydaProf. Fernando MoreiraProf. Ana Maria Ramalho Correia</v>
      </c>
      <c r="D1680" s="15">
        <f ca="1">VLOOKUP(B1680,'ALL DATABASES'!$A$1:$T$2252,5,FALSE)</f>
        <v>2021</v>
      </c>
      <c r="E1680" s="15">
        <f ca="1">VLOOKUP(B1680,'ALL DATABASES'!$A$1:$T$2252,10,FALSE)</f>
        <v>0</v>
      </c>
      <c r="F1680" s="54" t="str">
        <f ca="1">VLOOKUP(B1680,'ALL DATABASES'!$A$1:$T$2252,14,FALSE)</f>
        <v>http://link.springer.com/book/10.1007/978-3-030-72654-6</v>
      </c>
      <c r="G1680" s="15" t="str">
        <f ca="1">VLOOKUP(B1680,'ALL DATABASES'!$A$1:$T$2252,3,FALSE)</f>
        <v>Book</v>
      </c>
      <c r="H1680" s="50" t="str">
        <f ca="1">VLOOKUP(B1680,'ALL DATABASES'!$A$1:$T$2252,20,FALSE)</f>
        <v>SPRINGER</v>
      </c>
    </row>
    <row r="1681" spans="1:8" ht="12.75" x14ac:dyDescent="0.2">
      <c r="A1681">
        <v>1680</v>
      </c>
      <c r="B1681" s="15" t="str">
        <f ca="1">IFERROR(__xludf.DUMMYFUNCTION("""COMPUTED_VALUE"""),"Trends and Findings in Measuring Software Quality Metrics in the Industry")</f>
        <v>Trends and Findings in Measuring Software Quality Metrics in the Industry</v>
      </c>
      <c r="C1681" s="15" t="str">
        <f ca="1">VLOOKUP(B1681,'ALL DATABASES'!$A$1:$T$2252,2,FALSE)</f>
        <v>Falco M,Robiolo G</v>
      </c>
      <c r="D1681" s="15">
        <f ca="1">VLOOKUP(B1681,'ALL DATABASES'!$A$1:$T$2252,5,FALSE)</f>
        <v>2022</v>
      </c>
      <c r="E1681" s="55">
        <f ca="1">VLOOKUP(B1681,'ALL DATABASES'!$A$1:$T$2252,10,FALSE)</f>
        <v>44805</v>
      </c>
      <c r="F1681" s="54" t="str">
        <f ca="1">VLOOKUP(B1681,'ALL DATABASES'!$A$1:$T$2252,14,FALSE)</f>
        <v>http://dx.doi.org/10.1109/ARGENCON55245.2022.9939935</v>
      </c>
      <c r="G1681" s="15" t="str">
        <f ca="1">VLOOKUP(B1681,'ALL DATABASES'!$A$1:$T$2252,3,FALSE)</f>
        <v>Conference Paper</v>
      </c>
      <c r="H1681" s="50" t="str">
        <f ca="1">VLOOKUP(B1681,'ALL DATABASES'!$A$1:$T$2252,20,FALSE)</f>
        <v>IEEE</v>
      </c>
    </row>
    <row r="1682" spans="1:8" ht="12.75" x14ac:dyDescent="0.2">
      <c r="A1682">
        <v>1681</v>
      </c>
      <c r="B1682" s="15" t="str">
        <f ca="1">IFERROR(__xludf.DUMMYFUNCTION("""COMPUTED_VALUE"""),"Trends and Future Directions in Security and Emergency Management")</f>
        <v>Trends and Future Directions in Security and Emergency Management</v>
      </c>
      <c r="C1682" s="15" t="str">
        <f ca="1">VLOOKUP(B1682,'ALL DATABASES'!$A$1:$T$2252,2,FALSE)</f>
        <v>Irena TuÅ¡erÅ Ã¡rka HoÅ¡kovÃ¡-MayerovÃ¡</v>
      </c>
      <c r="D1682" s="15">
        <f ca="1">VLOOKUP(B1682,'ALL DATABASES'!$A$1:$T$2252,5,FALSE)</f>
        <v>2022</v>
      </c>
      <c r="E1682" s="15">
        <f ca="1">VLOOKUP(B1682,'ALL DATABASES'!$A$1:$T$2252,10,FALSE)</f>
        <v>0</v>
      </c>
      <c r="F1682" s="54" t="str">
        <f ca="1">VLOOKUP(B1682,'ALL DATABASES'!$A$1:$T$2252,14,FALSE)</f>
        <v>http://link.springer.com/book/10.1007/978-3-030-88907-4</v>
      </c>
      <c r="G1682" s="15" t="str">
        <f ca="1">VLOOKUP(B1682,'ALL DATABASES'!$A$1:$T$2252,3,FALSE)</f>
        <v>Book</v>
      </c>
      <c r="H1682" s="50" t="str">
        <f ca="1">VLOOKUP(B1682,'ALL DATABASES'!$A$1:$T$2252,20,FALSE)</f>
        <v>SPRINGER</v>
      </c>
    </row>
    <row r="1683" spans="1:8" s="71" customFormat="1" ht="12.75" x14ac:dyDescent="0.2">
      <c r="A1683">
        <v>1682</v>
      </c>
      <c r="B1683" s="68" t="str">
        <f ca="1">IFERROR(__xludf.DUMMYFUNCTION("""COMPUTED_VALUE"""),"Trials and tribulations of developers of intelligent systems: A field study")</f>
        <v>Trials and tribulations of developers of intelligent systems: A field study</v>
      </c>
      <c r="C1683" s="68" t="str">
        <f ca="1">VLOOKUP(B1683,'ALL DATABASES'!$A$1:$T$2252,2,FALSE)</f>
        <v>Hill C,Bellamy R,Erickson T,Burnett M</v>
      </c>
      <c r="D1683" s="68">
        <f ca="1">VLOOKUP(B1683,'ALL DATABASES'!$A$1:$T$2252,5,FALSE)</f>
        <v>2016</v>
      </c>
      <c r="E1683" s="72">
        <f ca="1">VLOOKUP(B1683,'ALL DATABASES'!$A$1:$T$2252,10,FALSE)</f>
        <v>42614</v>
      </c>
      <c r="F1683" s="69" t="str">
        <f ca="1">VLOOKUP(B1683,'ALL DATABASES'!$A$1:$T$2252,14,FALSE)</f>
        <v>http://dx.doi.org/10.1109/VLHCC.2016.7739680</v>
      </c>
      <c r="G1683" s="68" t="str">
        <f ca="1">VLOOKUP(B1683,'ALL DATABASES'!$A$1:$T$2252,3,FALSE)</f>
        <v>Conference Paper</v>
      </c>
      <c r="H1683" s="70" t="str">
        <f ca="1">VLOOKUP(B1683,'ALL DATABASES'!$A$1:$T$2252,20,FALSE)</f>
        <v>IEEE</v>
      </c>
    </row>
    <row r="1684" spans="1:8" ht="12.75" x14ac:dyDescent="0.2">
      <c r="A1684">
        <v>1683</v>
      </c>
      <c r="B1684" s="15" t="str">
        <f ca="1">IFERROR(__xludf.DUMMYFUNCTION("""COMPUTED_VALUE"""),"Trustworthy AI in the Age of Pervasive Computing and Big Data")</f>
        <v>Trustworthy AI in the Age of Pervasive Computing and Big Data</v>
      </c>
      <c r="C1684" s="15" t="str">
        <f ca="1">VLOOKUP(B1684,'ALL DATABASES'!$A$1:$T$2252,2,FALSE)</f>
        <v>Kumar A,Braud T,Tarkoma S,Hui P</v>
      </c>
      <c r="D1684" s="15">
        <f ca="1">VLOOKUP(B1684,'ALL DATABASES'!$A$1:$T$2252,5,FALSE)</f>
        <v>2020</v>
      </c>
      <c r="E1684" s="15">
        <f ca="1">VLOOKUP(B1684,'ALL DATABASES'!$A$1:$T$2252,10,FALSE)</f>
        <v>2020</v>
      </c>
      <c r="F1684" s="54" t="str">
        <f ca="1">VLOOKUP(B1684,'ALL DATABASES'!$A$1:$T$2252,14,FALSE)</f>
        <v>https://www.scopus.com/inward/record.uri?eid=2-s2.0-85091976602&amp;doi=10.1109%2fPerComWorkshops48775.2020.9156127&amp;partnerID=40&amp;md5=8eba2d5f57ae2645dda1e0282e26196f;http://dx.doi.org/10.1109/PerComWorkshops48775.2020.9156127</v>
      </c>
      <c r="G1684" s="15" t="str">
        <f ca="1">VLOOKUP(B1684,'ALL DATABASES'!$A$1:$T$2252,3,FALSE)</f>
        <v>Conference Paper</v>
      </c>
      <c r="H1684" s="50" t="str">
        <f ca="1">VLOOKUP(B1684,'ALL DATABASES'!$A$1:$T$2252,20,FALSE)</f>
        <v>SCOPUS</v>
      </c>
    </row>
    <row r="1685" spans="1:8" ht="12.75" x14ac:dyDescent="0.2">
      <c r="A1685">
        <v>1684</v>
      </c>
      <c r="B1685" s="15" t="str">
        <f ca="1">IFERROR(__xludf.DUMMYFUNCTION("""COMPUTED_VALUE"""),"Trustworthy AI: From Principles to Practices")</f>
        <v>Trustworthy AI: From Principles to Practices</v>
      </c>
      <c r="C1685" s="15" t="str">
        <f ca="1">VLOOKUP(B1685,'ALL DATABASES'!$A$1:$T$2252,2,FALSE)</f>
        <v>Li B,Qi P,Liu B,Di S,Liu J,Pei J,Yi J,Zhou B</v>
      </c>
      <c r="D1685" s="15">
        <f ca="1">VLOOKUP(B1685,'ALL DATABASES'!$A$1:$T$2252,5,FALSE)</f>
        <v>2023</v>
      </c>
      <c r="E1685" s="55">
        <f ca="1">VLOOKUP(B1685,'ALL DATABASES'!$A$1:$T$2252,10,FALSE)</f>
        <v>44927</v>
      </c>
      <c r="F1685" s="54" t="str">
        <f ca="1">VLOOKUP(B1685,'ALL DATABASES'!$A$1:$T$2252,14,FALSE)</f>
        <v>https://doi.org/10.1145/3555803;http://dx.doi.org/10.1145/3555803</v>
      </c>
      <c r="G1685" s="15" t="str">
        <f ca="1">VLOOKUP(B1685,'ALL DATABASES'!$A$1:$T$2252,3,FALSE)</f>
        <v>Journal Article</v>
      </c>
      <c r="H1685" s="50" t="str">
        <f ca="1">VLOOKUP(B1685,'ALL DATABASES'!$A$1:$T$2252,20,FALSE)</f>
        <v>ACM</v>
      </c>
    </row>
    <row r="1686" spans="1:8" ht="12.75" x14ac:dyDescent="0.2">
      <c r="A1686">
        <v>1685</v>
      </c>
      <c r="B1686" s="15" t="str">
        <f ca="1">IFERROR(__xludf.DUMMYFUNCTION("""COMPUTED_VALUE"""),"Tutorial on systems with antifragility to downtime")</f>
        <v>Tutorial on systems with antifragility to downtime</v>
      </c>
      <c r="C1686" s="15" t="str">
        <f ca="1">VLOOKUP(B1686,'ALL DATABASES'!$A$1:$T$2252,2,FALSE)</f>
        <v>Kjell JÃ¸rgen Hole</v>
      </c>
      <c r="D1686" s="15">
        <f ca="1">VLOOKUP(B1686,'ALL DATABASES'!$A$1:$T$2252,5,FALSE)</f>
        <v>2022</v>
      </c>
      <c r="E1686" s="15">
        <f ca="1">VLOOKUP(B1686,'ALL DATABASES'!$A$1:$T$2252,10,FALSE)</f>
        <v>0</v>
      </c>
      <c r="F1686" s="54" t="str">
        <f ca="1">VLOOKUP(B1686,'ALL DATABASES'!$A$1:$T$2252,14,FALSE)</f>
        <v>http://link.springer.com/article/10.1007/s00607-020-00895-6</v>
      </c>
      <c r="G1686" s="15" t="str">
        <f ca="1">VLOOKUP(B1686,'ALL DATABASES'!$A$1:$T$2252,3,FALSE)</f>
        <v>Article</v>
      </c>
      <c r="H1686" s="50" t="str">
        <f ca="1">VLOOKUP(B1686,'ALL DATABASES'!$A$1:$T$2252,20,FALSE)</f>
        <v>SPRINGER</v>
      </c>
    </row>
    <row r="1687" spans="1:8" ht="12.75" x14ac:dyDescent="0.2">
      <c r="A1687">
        <v>1686</v>
      </c>
      <c r="B1687" s="15" t="str">
        <f ca="1">IFERROR(__xludf.DUMMYFUNCTION("""COMPUTED_VALUE"""),"Two different facets of architectural smells criticality: An empirical study")</f>
        <v>Two different facets of architectural smells criticality: An empirical study</v>
      </c>
      <c r="C1687" s="15" t="str">
        <f ca="1">VLOOKUP(B1687,'ALL DATABASES'!$A$1:$T$2252,2,FALSE)</f>
        <v>Pigazzini I,Foppiani D,Fontana FA</v>
      </c>
      <c r="D1687" s="15">
        <f ca="1">VLOOKUP(B1687,'ALL DATABASES'!$A$1:$T$2252,5,FALSE)</f>
        <v>2021</v>
      </c>
      <c r="E1687" s="15">
        <f ca="1">VLOOKUP(B1687,'ALL DATABASES'!$A$1:$T$2252,10,FALSE)</f>
        <v>2021</v>
      </c>
      <c r="F1687" s="54" t="str">
        <f ca="1">VLOOKUP(B1687,'ALL DATABASES'!$A$1:$T$2252,14,FALSE)</f>
        <v>https://www.scopus.com/inward/record.uri?eid=2-s2.0-85117851973&amp;partnerID=40&amp;md5=432dfcd59472a3cd505d933cd50bb82a</v>
      </c>
      <c r="G1687" s="15" t="str">
        <f ca="1">VLOOKUP(B1687,'ALL DATABASES'!$A$1:$T$2252,3,FALSE)</f>
        <v>Conference Paper</v>
      </c>
      <c r="H1687" s="50" t="str">
        <f ca="1">VLOOKUP(B1687,'ALL DATABASES'!$A$1:$T$2252,20,FALSE)</f>
        <v>SCOPUS</v>
      </c>
    </row>
    <row r="1688" spans="1:8" ht="12.75" x14ac:dyDescent="0.2">
      <c r="A1688">
        <v>1687</v>
      </c>
      <c r="B1688" s="15" t="str">
        <f ca="1">IFERROR(__xludf.DUMMYFUNCTION("""COMPUTED_VALUE"""),"Type Migration in Ultra-Large-Scale Codebases")</f>
        <v>Type Migration in Ultra-Large-Scale Codebases</v>
      </c>
      <c r="C1688" s="15" t="str">
        <f ca="1">VLOOKUP(B1688,'ALL DATABASES'!$A$1:$T$2252,2,FALSE)</f>
        <v>Ketkar A,Mesbah A,Mazinanian D,Dig D,Aftandilian E</v>
      </c>
      <c r="D1688" s="15">
        <f ca="1">VLOOKUP(B1688,'ALL DATABASES'!$A$1:$T$2252,5,FALSE)</f>
        <v>2019</v>
      </c>
      <c r="E1688" s="15">
        <f ca="1">VLOOKUP(B1688,'ALL DATABASES'!$A$1:$T$2252,10,FALSE)</f>
        <v>2019</v>
      </c>
      <c r="F1688" s="54" t="str">
        <f ca="1">VLOOKUP(B1688,'ALL DATABASES'!$A$1:$T$2252,14,FALSE)</f>
        <v>https://doi.org/10.1109/ICSE.2019.00117;http://dx.doi.org/10.1109/ICSE.2019.00117</v>
      </c>
      <c r="G1688" s="15" t="str">
        <f ca="1">VLOOKUP(B1688,'ALL DATABASES'!$A$1:$T$2252,3,FALSE)</f>
        <v>Conference Paper</v>
      </c>
      <c r="H1688" s="50" t="str">
        <f ca="1">VLOOKUP(B1688,'ALL DATABASES'!$A$1:$T$2252,20,FALSE)</f>
        <v>ACM</v>
      </c>
    </row>
    <row r="1689" spans="1:8" ht="12.75" x14ac:dyDescent="0.2">
      <c r="A1689">
        <v>1688</v>
      </c>
      <c r="B1689" s="15" t="str">
        <f ca="1">IFERROR(__xludf.DUMMYFUNCTION("""COMPUTED_VALUE"""),"UDAVA: An Unsupervised Learning Pipeline for Sensor Data Validation in Manufacturing")</f>
        <v>UDAVA: An Unsupervised Learning Pipeline for Sensor Data Validation in Manufacturing</v>
      </c>
      <c r="C1689" s="15" t="str">
        <f ca="1">VLOOKUP(B1689,'ALL DATABASES'!$A$1:$T$2252,2,FALSE)</f>
        <v>Husom EJ,Tverdal S,Goknil A,Sen S</v>
      </c>
      <c r="D1689" s="15">
        <f ca="1">VLOOKUP(B1689,'ALL DATABASES'!$A$1:$T$2252,5,FALSE)</f>
        <v>2022</v>
      </c>
      <c r="E1689" s="15">
        <f ca="1">VLOOKUP(B1689,'ALL DATABASES'!$A$1:$T$2252,10,FALSE)</f>
        <v>2022</v>
      </c>
      <c r="F1689" s="54" t="str">
        <f ca="1">VLOOKUP(B1689,'ALL DATABASES'!$A$1:$T$2252,14,FALSE)</f>
        <v>https://www.scopus.com/inward/record.uri?eid=2-s2.0-85133424746&amp;doi=10.1145%2f3522664.3528603&amp;partnerID=40&amp;md5=58190cd0bd430f7525b822fd40c4f058;http://dx.doi.org/10.1145/3522664.3528603</v>
      </c>
      <c r="G1689" s="15" t="str">
        <f ca="1">VLOOKUP(B1689,'ALL DATABASES'!$A$1:$T$2252,3,FALSE)</f>
        <v>Conference Paper</v>
      </c>
      <c r="H1689" s="50" t="str">
        <f ca="1">VLOOKUP(B1689,'ALL DATABASES'!$A$1:$T$2252,20,FALSE)</f>
        <v>SCOPUS</v>
      </c>
    </row>
    <row r="1690" spans="1:8" ht="12.75" x14ac:dyDescent="0.2">
      <c r="A1690">
        <v>1689</v>
      </c>
      <c r="B1690" s="15" t="str">
        <f ca="1">IFERROR(__xludf.DUMMYFUNCTION("""COMPUTED_VALUE"""),"Uncertainty-wise software anti-patterns detection: A possibilistic evolutionary machine learning approach")</f>
        <v>Uncertainty-wise software anti-patterns detection: A possibilistic evolutionary machine learning approach</v>
      </c>
      <c r="C1690" s="15" t="str">
        <f ca="1">VLOOKUP(B1690,'ALL DATABASES'!$A$1:$T$2252,2,FALSE)</f>
        <v>Boutaib S,Elarbi M,Bechikh S,Coello CA,Said LB</v>
      </c>
      <c r="D1690" s="15">
        <f ca="1">VLOOKUP(B1690,'ALL DATABASES'!$A$1:$T$2252,5,FALSE)</f>
        <v>2022</v>
      </c>
      <c r="E1690" s="15">
        <f ca="1">VLOOKUP(B1690,'ALL DATABASES'!$A$1:$T$2252,10,FALSE)</f>
        <v>2022</v>
      </c>
      <c r="F1690" s="54" t="str">
        <f ca="1">VLOOKUP(B1690,'ALL DATABASES'!$A$1:$T$2252,14,FALSE)</f>
        <v>https://www.sciencedirect.com/science/article/pii/S156849462200669X;http://dx.doi.org/10.1016/j.asoc.2022.109620</v>
      </c>
      <c r="G1690" s="15" t="str">
        <f ca="1">VLOOKUP(B1690,'ALL DATABASES'!$A$1:$T$2252,3,FALSE)</f>
        <v>Journal Article</v>
      </c>
      <c r="H1690" s="50" t="str">
        <f ca="1">VLOOKUP(B1690,'ALL DATABASES'!$A$1:$T$2252,20,FALSE)</f>
        <v>SCIENCEDIRECT</v>
      </c>
    </row>
    <row r="1691" spans="1:8" ht="12.75" x14ac:dyDescent="0.2">
      <c r="A1691">
        <v>1690</v>
      </c>
      <c r="B1691" s="15" t="str">
        <f ca="1">IFERROR(__xludf.DUMMYFUNCTION("""COMPUTED_VALUE"""),"Underproduction: An Approach for Measuring Risk in Open Source Software")</f>
        <v>Underproduction: An Approach for Measuring Risk in Open Source Software</v>
      </c>
      <c r="C1691" s="15" t="str">
        <f ca="1">VLOOKUP(B1691,'ALL DATABASES'!$A$1:$T$2252,2,FALSE)</f>
        <v>Champion K,Hill BM</v>
      </c>
      <c r="D1691" s="15">
        <f ca="1">VLOOKUP(B1691,'ALL DATABASES'!$A$1:$T$2252,5,FALSE)</f>
        <v>2021</v>
      </c>
      <c r="E1691" s="55">
        <f ca="1">VLOOKUP(B1691,'ALL DATABASES'!$A$1:$T$2252,10,FALSE)</f>
        <v>44256</v>
      </c>
      <c r="F1691" s="54" t="str">
        <f ca="1">VLOOKUP(B1691,'ALL DATABASES'!$A$1:$T$2252,14,FALSE)</f>
        <v>http://dx.doi.org/10.1109/SANER50967.2021.00043</v>
      </c>
      <c r="G1691" s="15" t="str">
        <f ca="1">VLOOKUP(B1691,'ALL DATABASES'!$A$1:$T$2252,3,FALSE)</f>
        <v>Conference Paper</v>
      </c>
      <c r="H1691" s="50" t="str">
        <f ca="1">VLOOKUP(B1691,'ALL DATABASES'!$A$1:$T$2252,20,FALSE)</f>
        <v>IEEE</v>
      </c>
    </row>
    <row r="1692" spans="1:8" ht="12.75" x14ac:dyDescent="0.2">
      <c r="A1692">
        <v>1691</v>
      </c>
      <c r="B1692" s="15" t="str">
        <f ca="1">IFERROR(__xludf.DUMMYFUNCTION("""COMPUTED_VALUE"""),"Understanding and Visualizing Data Iteration in Machine Learning")</f>
        <v>Understanding and Visualizing Data Iteration in Machine Learning</v>
      </c>
      <c r="C1692" s="15" t="str">
        <f ca="1">VLOOKUP(B1692,'ALL DATABASES'!$A$1:$T$2252,2,FALSE)</f>
        <v>Hohman F,Wongsuphasawat K,Kery MB,Patel K</v>
      </c>
      <c r="D1692" s="15">
        <f ca="1">VLOOKUP(B1692,'ALL DATABASES'!$A$1:$T$2252,5,FALSE)</f>
        <v>2020</v>
      </c>
      <c r="E1692" s="15">
        <f ca="1">VLOOKUP(B1692,'ALL DATABASES'!$A$1:$T$2252,10,FALSE)</f>
        <v>2020</v>
      </c>
      <c r="F1692" s="54" t="str">
        <f ca="1">VLOOKUP(B1692,'ALL DATABASES'!$A$1:$T$2252,14,FALSE)</f>
        <v>https://www.scopus.com/inward/record.uri?eid=2-s2.0-85091323640&amp;doi=10.1145%2f3313831.3376177&amp;partnerID=40&amp;md5=f480d2d33d50e924a8d3971b4b377538;http://dx.doi.org/10.1145/3313831.3376177</v>
      </c>
      <c r="G1692" s="15" t="str">
        <f ca="1">VLOOKUP(B1692,'ALL DATABASES'!$A$1:$T$2252,3,FALSE)</f>
        <v>Conference Paper</v>
      </c>
      <c r="H1692" s="50" t="str">
        <f ca="1">VLOOKUP(B1692,'ALL DATABASES'!$A$1:$T$2252,20,FALSE)</f>
        <v>SCOPUS</v>
      </c>
    </row>
    <row r="1693" spans="1:8" ht="12.75" x14ac:dyDescent="0.2">
      <c r="A1693">
        <v>1692</v>
      </c>
      <c r="B1693" s="15" t="str">
        <f ca="1">IFERROR(__xludf.DUMMYFUNCTION("""COMPUTED_VALUE"""),"Understanding Community Smells Variability: A Statistical Approach")</f>
        <v>Understanding Community Smells Variability: A Statistical Approach</v>
      </c>
      <c r="C1693" s="15" t="str">
        <f ca="1">VLOOKUP(B1693,'ALL DATABASES'!$A$1:$T$2252,2,FALSE)</f>
        <v>Catolino G,Palomba F,Tamburri DA,Serebrenik A</v>
      </c>
      <c r="D1693" s="15">
        <f ca="1">VLOOKUP(B1693,'ALL DATABASES'!$A$1:$T$2252,5,FALSE)</f>
        <v>2021</v>
      </c>
      <c r="E1693" s="15">
        <f ca="1">VLOOKUP(B1693,'ALL DATABASES'!$A$1:$T$2252,10,FALSE)</f>
        <v>2021</v>
      </c>
      <c r="F1693" s="54" t="str">
        <f ca="1">VLOOKUP(B1693,'ALL DATABASES'!$A$1:$T$2252,14,FALSE)</f>
        <v>https://www.scopus.com/inward/record.uri?eid=2-s2.0-85104222736&amp;doi=10.1109%2fICSE-SEIS52602.2021.00017&amp;partnerID=40&amp;md5=9a3fdb6d1db053f3407fbf943bc8ff05;http://dx.doi.org/10.1109/ICSE-SEIS52602.2021.00017</v>
      </c>
      <c r="G1693" s="15" t="str">
        <f ca="1">VLOOKUP(B1693,'ALL DATABASES'!$A$1:$T$2252,3,FALSE)</f>
        <v>Conference Paper</v>
      </c>
      <c r="H1693" s="50" t="str">
        <f ca="1">VLOOKUP(B1693,'ALL DATABASES'!$A$1:$T$2252,20,FALSE)</f>
        <v>SCOPUS</v>
      </c>
    </row>
    <row r="1694" spans="1:8" ht="12.75" x14ac:dyDescent="0.2">
      <c r="A1694">
        <v>1693</v>
      </c>
      <c r="B1694" s="15" t="str">
        <f ca="1">IFERROR(__xludf.DUMMYFUNCTION("""COMPUTED_VALUE"""),"Understanding factors affecting technical debt")</f>
        <v>Understanding factors affecting technical debt</v>
      </c>
      <c r="C1694" s="15" t="str">
        <f ca="1">VLOOKUP(B1694,'ALL DATABASES'!$A$1:$T$2252,2,FALSE)</f>
        <v>Jaspreet BediKuljit Kaur</v>
      </c>
      <c r="D1694" s="15">
        <f ca="1">VLOOKUP(B1694,'ALL DATABASES'!$A$1:$T$2252,5,FALSE)</f>
        <v>2022</v>
      </c>
      <c r="E1694" s="15">
        <f ca="1">VLOOKUP(B1694,'ALL DATABASES'!$A$1:$T$2252,10,FALSE)</f>
        <v>0</v>
      </c>
      <c r="F1694" s="54" t="str">
        <f ca="1">VLOOKUP(B1694,'ALL DATABASES'!$A$1:$T$2252,14,FALSE)</f>
        <v>http://link.springer.com/article/10.1007/s41870-020-00487-9</v>
      </c>
      <c r="G1694" s="15" t="str">
        <f ca="1">VLOOKUP(B1694,'ALL DATABASES'!$A$1:$T$2252,3,FALSE)</f>
        <v>Article</v>
      </c>
      <c r="H1694" s="50" t="str">
        <f ca="1">VLOOKUP(B1694,'ALL DATABASES'!$A$1:$T$2252,20,FALSE)</f>
        <v>SPRINGER</v>
      </c>
    </row>
    <row r="1695" spans="1:8" ht="12.75" x14ac:dyDescent="0.2">
      <c r="A1695">
        <v>1694</v>
      </c>
      <c r="B1695" s="15" t="str">
        <f ca="1">IFERROR(__xludf.DUMMYFUNCTION("""COMPUTED_VALUE"""),"Understanding requirement prioritization artifacts: a systematic mapping study")</f>
        <v>Understanding requirement prioritization artifacts: a systematic mapping study</v>
      </c>
      <c r="C1695" s="15" t="str">
        <f ca="1">VLOOKUP(B1695,'ALL DATABASES'!$A$1:$T$2252,2,FALSE)</f>
        <v>Rahul Thakurta</v>
      </c>
      <c r="D1695" s="15">
        <f ca="1">VLOOKUP(B1695,'ALL DATABASES'!$A$1:$T$2252,5,FALSE)</f>
        <v>2017</v>
      </c>
      <c r="E1695" s="15">
        <f ca="1">VLOOKUP(B1695,'ALL DATABASES'!$A$1:$T$2252,10,FALSE)</f>
        <v>0</v>
      </c>
      <c r="F1695" s="54" t="str">
        <f ca="1">VLOOKUP(B1695,'ALL DATABASES'!$A$1:$T$2252,14,FALSE)</f>
        <v>http://link.springer.com/article/10.1007/s00766-016-0253-7</v>
      </c>
      <c r="G1695" s="15" t="str">
        <f ca="1">VLOOKUP(B1695,'ALL DATABASES'!$A$1:$T$2252,3,FALSE)</f>
        <v>Article</v>
      </c>
      <c r="H1695" s="50" t="str">
        <f ca="1">VLOOKUP(B1695,'ALL DATABASES'!$A$1:$T$2252,20,FALSE)</f>
        <v>SPRINGER</v>
      </c>
    </row>
    <row r="1696" spans="1:8" ht="12.75" x14ac:dyDescent="0.2">
      <c r="A1696">
        <v>1695</v>
      </c>
      <c r="B1696" s="15" t="str">
        <f ca="1">IFERROR(__xludf.DUMMYFUNCTION("""COMPUTED_VALUE"""),"Understanding Software-2.0: A Study of Machine Learning Library Usage and Evolution")</f>
        <v>Understanding Software-2.0: A Study of Machine Learning Library Usage and Evolution</v>
      </c>
      <c r="C1696" s="15" t="str">
        <f ca="1">VLOOKUP(B1696,'ALL DATABASES'!$A$1:$T$2252,2,FALSE)</f>
        <v>Dilhara M,Ketkar A,Dig D</v>
      </c>
      <c r="D1696" s="15">
        <f ca="1">VLOOKUP(B1696,'ALL DATABASES'!$A$1:$T$2252,5,FALSE)</f>
        <v>2021</v>
      </c>
      <c r="E1696" s="55">
        <f ca="1">VLOOKUP(B1696,'ALL DATABASES'!$A$1:$T$2252,10,FALSE)</f>
        <v>44378</v>
      </c>
      <c r="F1696" s="54" t="str">
        <f ca="1">VLOOKUP(B1696,'ALL DATABASES'!$A$1:$T$2252,14,FALSE)</f>
        <v>https://doi.org/10.1145/3453478;http://dx.doi.org/10.1145/3453478</v>
      </c>
      <c r="G1696" s="15" t="str">
        <f ca="1">VLOOKUP(B1696,'ALL DATABASES'!$A$1:$T$2252,3,FALSE)</f>
        <v>Journal Article</v>
      </c>
      <c r="H1696" s="50" t="str">
        <f ca="1">VLOOKUP(B1696,'ALL DATABASES'!$A$1:$T$2252,20,FALSE)</f>
        <v>ACM</v>
      </c>
    </row>
    <row r="1697" spans="1:8" ht="12.75" x14ac:dyDescent="0.2">
      <c r="A1697">
        <v>1696</v>
      </c>
      <c r="B1697" s="15" t="str">
        <f ca="1">IFERROR(__xludf.DUMMYFUNCTION("""COMPUTED_VALUE"""),"Understanding static code warnings: An incremental AI approach")</f>
        <v>Understanding static code warnings: An incremental AI approach</v>
      </c>
      <c r="C1697" s="15" t="str">
        <f ca="1">VLOOKUP(B1697,'ALL DATABASES'!$A$1:$T$2252,2,FALSE)</f>
        <v>Yang X,Yu Z,Wang J,Menzies T</v>
      </c>
      <c r="D1697" s="15">
        <f ca="1">VLOOKUP(B1697,'ALL DATABASES'!$A$1:$T$2252,5,FALSE)</f>
        <v>2021</v>
      </c>
      <c r="E1697" s="15">
        <f ca="1">VLOOKUP(B1697,'ALL DATABASES'!$A$1:$T$2252,10,FALSE)</f>
        <v>2021</v>
      </c>
      <c r="F1697" s="54" t="str">
        <f ca="1">VLOOKUP(B1697,'ALL DATABASES'!$A$1:$T$2252,14,FALSE)</f>
        <v>https://www.sciencedirect.com/science/article/pii/S0957417420308824;http://dx.doi.org/10.1016/j.eswa.2020.114134</v>
      </c>
      <c r="G1697" s="15" t="str">
        <f ca="1">VLOOKUP(B1697,'ALL DATABASES'!$A$1:$T$2252,3,FALSE)</f>
        <v>Journal Article</v>
      </c>
      <c r="H1697" s="50" t="str">
        <f ca="1">VLOOKUP(B1697,'ALL DATABASES'!$A$1:$T$2252,20,FALSE)</f>
        <v>SCIENCEDIRECT</v>
      </c>
    </row>
    <row r="1698" spans="1:8" ht="12.75" x14ac:dyDescent="0.2">
      <c r="A1698">
        <v>1697</v>
      </c>
      <c r="B1698" s="15" t="str">
        <f ca="1">IFERROR(__xludf.DUMMYFUNCTION("""COMPUTED_VALUE"""),"Understanding Task Interruptions in Service Oriented Software Development Projects: An Exploratory Study")</f>
        <v>Understanding Task Interruptions in Service Oriented Software Development Projects: An Exploratory Study</v>
      </c>
      <c r="C1698" s="15" t="str">
        <f ca="1">VLOOKUP(B1698,'ALL DATABASES'!$A$1:$T$2252,2,FALSE)</f>
        <v>Abad ZS,Ruhe G,Bauer M</v>
      </c>
      <c r="D1698" s="15">
        <f ca="1">VLOOKUP(B1698,'ALL DATABASES'!$A$1:$T$2252,5,FALSE)</f>
        <v>2017</v>
      </c>
      <c r="E1698" s="15">
        <f ca="1">VLOOKUP(B1698,'ALL DATABASES'!$A$1:$T$2252,10,FALSE)</f>
        <v>2017</v>
      </c>
      <c r="F1698" s="54" t="str">
        <f ca="1">VLOOKUP(B1698,'ALL DATABASES'!$A$1:$T$2252,14,FALSE)</f>
        <v>https://doi.org/10.1109/SER-IP.2017..5;http://dx.doi.org/10.1109/SER-IP.2017..5</v>
      </c>
      <c r="G1698" s="15" t="str">
        <f ca="1">VLOOKUP(B1698,'ALL DATABASES'!$A$1:$T$2252,3,FALSE)</f>
        <v>Conference Paper</v>
      </c>
      <c r="H1698" s="50" t="str">
        <f ca="1">VLOOKUP(B1698,'ALL DATABASES'!$A$1:$T$2252,20,FALSE)</f>
        <v>ACM</v>
      </c>
    </row>
    <row r="1699" spans="1:8" ht="12.75" x14ac:dyDescent="0.2">
      <c r="A1699">
        <v>1698</v>
      </c>
      <c r="B1699" s="15" t="str">
        <f ca="1">IFERROR(__xludf.DUMMYFUNCTION("""COMPUTED_VALUE"""),"Understanding Technical Debt at the Code Level from the Perspective of Software Developers")</f>
        <v>Understanding Technical Debt at the Code Level from the Perspective of Software Developers</v>
      </c>
      <c r="C1699" s="15" t="str">
        <f ca="1">VLOOKUP(B1699,'ALL DATABASES'!$A$1:$T$2252,2,FALSE)</f>
        <v>Rocha JC,Zapalowski V,Nunes I</v>
      </c>
      <c r="D1699" s="15">
        <f ca="1">VLOOKUP(B1699,'ALL DATABASES'!$A$1:$T$2252,5,FALSE)</f>
        <v>2017</v>
      </c>
      <c r="E1699" s="15">
        <f ca="1">VLOOKUP(B1699,'ALL DATABASES'!$A$1:$T$2252,10,FALSE)</f>
        <v>2017</v>
      </c>
      <c r="F1699" s="54" t="str">
        <f ca="1">VLOOKUP(B1699,'ALL DATABASES'!$A$1:$T$2252,14,FALSE)</f>
        <v>https://doi.org/10.1145/3131151.3131164;http://dx.doi.org/10.1145/3131151.3131164</v>
      </c>
      <c r="G1699" s="15" t="str">
        <f ca="1">VLOOKUP(B1699,'ALL DATABASES'!$A$1:$T$2252,3,FALSE)</f>
        <v>Conference Paper</v>
      </c>
      <c r="H1699" s="50" t="str">
        <f ca="1">VLOOKUP(B1699,'ALL DATABASES'!$A$1:$T$2252,20,FALSE)</f>
        <v>ACM</v>
      </c>
    </row>
    <row r="1700" spans="1:8" ht="12.75" x14ac:dyDescent="0.2">
      <c r="A1700">
        <v>1699</v>
      </c>
      <c r="B1700" s="15" t="str">
        <f ca="1">IFERROR(__xludf.DUMMYFUNCTION("""COMPUTED_VALUE"""),"Understanding the causes of architecture changes using OSS mailing lists")</f>
        <v>Understanding the causes of architecture changes using OSS mailing lists</v>
      </c>
      <c r="C1700" s="15" t="str">
        <f ca="1">VLOOKUP(B1700,'ALL DATABASES'!$A$1:$T$2252,2,FALSE)</f>
        <v>Ding W,Liang P,Tang A,Van Vliet H</v>
      </c>
      <c r="D1700" s="15">
        <f ca="1">VLOOKUP(B1700,'ALL DATABASES'!$A$1:$T$2252,5,FALSE)</f>
        <v>2015</v>
      </c>
      <c r="E1700" s="15">
        <f ca="1">VLOOKUP(B1700,'ALL DATABASES'!$A$1:$T$2252,10,FALSE)</f>
        <v>2015</v>
      </c>
      <c r="F1700" s="54" t="str">
        <f ca="1">VLOOKUP(B1700,'ALL DATABASES'!$A$1:$T$2252,14,FALSE)</f>
        <v>https://www.scopus.com/inward/record.uri?eid=2-s2.0-84962499658&amp;doi=10.1142%2fS0218194015400367&amp;partnerID=40&amp;md5=e25c5fcba81f00475ea9f5ab534b450e;http://dx.doi.org/10.1142/S0218194015400367</v>
      </c>
      <c r="G1700" s="15" t="str">
        <f ca="1">VLOOKUP(B1700,'ALL DATABASES'!$A$1:$T$2252,3,FALSE)</f>
        <v>Journal Article</v>
      </c>
      <c r="H1700" s="50" t="str">
        <f ca="1">VLOOKUP(B1700,'ALL DATABASES'!$A$1:$T$2252,20,FALSE)</f>
        <v>SCOPUS</v>
      </c>
    </row>
    <row r="1701" spans="1:8" ht="12.75" x14ac:dyDescent="0.2">
      <c r="A1701">
        <v>1700</v>
      </c>
      <c r="B1701" s="15" t="str">
        <f ca="1">IFERROR(__xludf.DUMMYFUNCTION("""COMPUTED_VALUE"""),"Understanding the motivations, challenges and needs of Blockchain software developers: a survey")</f>
        <v>Understanding the motivations, challenges and needs of Blockchain software developers: a survey</v>
      </c>
      <c r="C1701" s="15" t="str">
        <f ca="1">VLOOKUP(B1701,'ALL DATABASES'!$A$1:$T$2252,2,FALSE)</f>
        <v>Amiangshu BosuAnindya IqbalRifat ShahriyarPartha Chakraborty</v>
      </c>
      <c r="D1701" s="15">
        <f ca="1">VLOOKUP(B1701,'ALL DATABASES'!$A$1:$T$2252,5,FALSE)</f>
        <v>2019</v>
      </c>
      <c r="E1701" s="15">
        <f ca="1">VLOOKUP(B1701,'ALL DATABASES'!$A$1:$T$2252,10,FALSE)</f>
        <v>0</v>
      </c>
      <c r="F1701" s="54" t="str">
        <f ca="1">VLOOKUP(B1701,'ALL DATABASES'!$A$1:$T$2252,14,FALSE)</f>
        <v>http://link.springer.com/article/10.1007/s10664-019-09708-7</v>
      </c>
      <c r="G1701" s="15" t="str">
        <f ca="1">VLOOKUP(B1701,'ALL DATABASES'!$A$1:$T$2252,3,FALSE)</f>
        <v>Article</v>
      </c>
      <c r="H1701" s="50" t="str">
        <f ca="1">VLOOKUP(B1701,'ALL DATABASES'!$A$1:$T$2252,20,FALSE)</f>
        <v>SPRINGER</v>
      </c>
    </row>
    <row r="1702" spans="1:8" ht="12.75" x14ac:dyDescent="0.2">
      <c r="A1702">
        <v>1701</v>
      </c>
      <c r="B1702" s="15" t="str">
        <f ca="1">IFERROR(__xludf.DUMMYFUNCTION("""COMPUTED_VALUE"""),"Unveiling multiple facets of design degradation in modern code review")</f>
        <v>Unveiling multiple facets of design degradation in modern code review</v>
      </c>
      <c r="C1702" s="15" t="str">
        <f ca="1">VLOOKUP(B1702,'ALL DATABASES'!$A$1:$T$2252,2,FALSE)</f>
        <v>Uchôa A</v>
      </c>
      <c r="D1702" s="15">
        <f ca="1">VLOOKUP(B1702,'ALL DATABASES'!$A$1:$T$2252,5,FALSE)</f>
        <v>2021</v>
      </c>
      <c r="E1702" s="15">
        <f ca="1">VLOOKUP(B1702,'ALL DATABASES'!$A$1:$T$2252,10,FALSE)</f>
        <v>2021</v>
      </c>
      <c r="F1702" s="54" t="str">
        <f ca="1">VLOOKUP(B1702,'ALL DATABASES'!$A$1:$T$2252,14,FALSE)</f>
        <v>https://www.scopus.com/inward/record.uri?eid=2-s2.0-85116222356&amp;doi=10.1145%2f3468264.3473099&amp;partnerID=40&amp;md5=244f6b3170ba17eda024d2ade7a25a58;http://dx.doi.org/10.1145/3468264.3473099</v>
      </c>
      <c r="G1702" s="15" t="str">
        <f ca="1">VLOOKUP(B1702,'ALL DATABASES'!$A$1:$T$2252,3,FALSE)</f>
        <v>Conference Paper</v>
      </c>
      <c r="H1702" s="50" t="str">
        <f ca="1">VLOOKUP(B1702,'ALL DATABASES'!$A$1:$T$2252,20,FALSE)</f>
        <v>SCOPUS</v>
      </c>
    </row>
    <row r="1703" spans="1:8" ht="12.75" x14ac:dyDescent="0.2">
      <c r="A1703">
        <v>1702</v>
      </c>
      <c r="B1703" s="15" t="str">
        <f ca="1">IFERROR(__xludf.DUMMYFUNCTION("""COMPUTED_VALUE"""),"User Interface Prototyping Toolkit (UIPT)")</f>
        <v>User Interface Prototyping Toolkit (UIPT)</v>
      </c>
      <c r="C1703" s="15" t="str">
        <f ca="1">VLOOKUP(B1703,'ALL DATABASES'!$A$1:$T$2252,2,FALSE)</f>
        <v>Bryan L. CroftJeffrey D. ClarksonEric VonColln</v>
      </c>
      <c r="D1703" s="15">
        <f ca="1">VLOOKUP(B1703,'ALL DATABASES'!$A$1:$T$2252,5,FALSE)</f>
        <v>2019</v>
      </c>
      <c r="E1703" s="15">
        <f ca="1">VLOOKUP(B1703,'ALL DATABASES'!$A$1:$T$2252,10,FALSE)</f>
        <v>0</v>
      </c>
      <c r="F1703" s="54" t="str">
        <f ca="1">VLOOKUP(B1703,'ALL DATABASES'!$A$1:$T$2252,14,FALSE)</f>
        <v>http://link.springer.com/chapter/10.1007/978-3-030-23570-3_15</v>
      </c>
      <c r="G1703" s="15" t="str">
        <f ca="1">VLOOKUP(B1703,'ALL DATABASES'!$A$1:$T$2252,3,FALSE)</f>
        <v>Chapter</v>
      </c>
      <c r="H1703" s="50" t="str">
        <f ca="1">VLOOKUP(B1703,'ALL DATABASES'!$A$1:$T$2252,20,FALSE)</f>
        <v>SPRINGER</v>
      </c>
    </row>
    <row r="1704" spans="1:8" ht="12.75" x14ac:dyDescent="0.2">
      <c r="A1704">
        <v>1703</v>
      </c>
      <c r="B1704" s="15" t="str">
        <f ca="1">IFERROR(__xludf.DUMMYFUNCTION("""COMPUTED_VALUE"""),"Using a many-objective approach to investigate automated refactoring")</f>
        <v>Using a many-objective approach to investigate automated refactoring</v>
      </c>
      <c r="C1704" s="15" t="str">
        <f ca="1">VLOOKUP(B1704,'ALL DATABASES'!$A$1:$T$2252,2,FALSE)</f>
        <v>Mohan M,Greer D</v>
      </c>
      <c r="D1704" s="15">
        <f ca="1">VLOOKUP(B1704,'ALL DATABASES'!$A$1:$T$2252,5,FALSE)</f>
        <v>2019</v>
      </c>
      <c r="E1704" s="15">
        <f ca="1">VLOOKUP(B1704,'ALL DATABASES'!$A$1:$T$2252,10,FALSE)</f>
        <v>2019</v>
      </c>
      <c r="F1704" s="54" t="str">
        <f ca="1">VLOOKUP(B1704,'ALL DATABASES'!$A$1:$T$2252,14,FALSE)</f>
        <v>https://www.scopus.com/inward/record.uri?eid=2-s2.0-85064835658&amp;doi=10.1016%2fj.infsof.2019.04.009&amp;partnerID=40&amp;md5=708a9904e9560028415d0c6eb446b77d;http://dx.doi.org/10.1016/j.infsof.2019.04.009</v>
      </c>
      <c r="G1704" s="15" t="str">
        <f ca="1">VLOOKUP(B1704,'ALL DATABASES'!$A$1:$T$2252,3,FALSE)</f>
        <v>Journal Article</v>
      </c>
      <c r="H1704" s="50" t="str">
        <f ca="1">VLOOKUP(B1704,'ALL DATABASES'!$A$1:$T$2252,20,FALSE)</f>
        <v>SCOPUS</v>
      </c>
    </row>
    <row r="1705" spans="1:8" ht="12.75" x14ac:dyDescent="0.2">
      <c r="A1705">
        <v>1704</v>
      </c>
      <c r="B1705" s="15" t="str">
        <f ca="1">IFERROR(__xludf.DUMMYFUNCTION("""COMPUTED_VALUE"""),"Using BiLSTM with attention mechanism to automatically detect self-admitted technical debt")</f>
        <v>Using BiLSTM with attention mechanism to automatically detect self-admitted technical debt</v>
      </c>
      <c r="C1705" s="15" t="str">
        <f ca="1">VLOOKUP(B1705,'ALL DATABASES'!$A$1:$T$2252,2,FALSE)</f>
        <v>Dongjin YuLin WangXin ChenJie Chen</v>
      </c>
      <c r="D1705" s="15">
        <f ca="1">VLOOKUP(B1705,'ALL DATABASES'!$A$1:$T$2252,5,FALSE)</f>
        <v>2021</v>
      </c>
      <c r="E1705" s="15">
        <f ca="1">VLOOKUP(B1705,'ALL DATABASES'!$A$1:$T$2252,10,FALSE)</f>
        <v>0</v>
      </c>
      <c r="F1705" s="54" t="str">
        <f ca="1">VLOOKUP(B1705,'ALL DATABASES'!$A$1:$T$2252,14,FALSE)</f>
        <v>http://link.springer.com/article/10.1007/s11704-020-9281-z</v>
      </c>
      <c r="G1705" s="15" t="str">
        <f ca="1">VLOOKUP(B1705,'ALL DATABASES'!$A$1:$T$2252,3,FALSE)</f>
        <v>Article</v>
      </c>
      <c r="H1705" s="50" t="str">
        <f ca="1">VLOOKUP(B1705,'ALL DATABASES'!$A$1:$T$2252,20,FALSE)</f>
        <v>SPRINGER</v>
      </c>
    </row>
    <row r="1706" spans="1:8" ht="12.75" x14ac:dyDescent="0.2">
      <c r="A1706">
        <v>1705</v>
      </c>
      <c r="B1706" s="15" t="str">
        <f ca="1">IFERROR(__xludf.DUMMYFUNCTION("""COMPUTED_VALUE"""),"Using Code Quality Features to Predict Bugs in Procedural Software Systems")</f>
        <v>Using Code Quality Features to Predict Bugs in Procedural Software Systems</v>
      </c>
      <c r="C1706" s="15" t="str">
        <f ca="1">VLOOKUP(B1706,'ALL DATABASES'!$A$1:$T$2252,2,FALSE)</f>
        <v>Araújo CW,Zapalowski V,Nunes I</v>
      </c>
      <c r="D1706" s="15">
        <f ca="1">VLOOKUP(B1706,'ALL DATABASES'!$A$1:$T$2252,5,FALSE)</f>
        <v>2018</v>
      </c>
      <c r="E1706" s="15">
        <f ca="1">VLOOKUP(B1706,'ALL DATABASES'!$A$1:$T$2252,10,FALSE)</f>
        <v>2018</v>
      </c>
      <c r="F1706" s="54" t="str">
        <f ca="1">VLOOKUP(B1706,'ALL DATABASES'!$A$1:$T$2252,14,FALSE)</f>
        <v>https://doi.org/10.1145/3266237.3266271;http://dx.doi.org/10.1145/3266237.3266271</v>
      </c>
      <c r="G1706" s="15" t="str">
        <f ca="1">VLOOKUP(B1706,'ALL DATABASES'!$A$1:$T$2252,3,FALSE)</f>
        <v>Conference Paper</v>
      </c>
      <c r="H1706" s="50" t="str">
        <f ca="1">VLOOKUP(B1706,'ALL DATABASES'!$A$1:$T$2252,20,FALSE)</f>
        <v>ACM</v>
      </c>
    </row>
    <row r="1707" spans="1:8" ht="12.75" x14ac:dyDescent="0.2">
      <c r="A1707">
        <v>1706</v>
      </c>
      <c r="B1707" s="15" t="str">
        <f ca="1">IFERROR(__xludf.DUMMYFUNCTION("""COMPUTED_VALUE"""),"Using code quality features to predict bugs in procedural software systems")</f>
        <v>Using code quality features to predict bugs in procedural software systems</v>
      </c>
      <c r="C1707" s="15" t="str">
        <f ca="1">VLOOKUP(B1707,'ALL DATABASES'!$A$1:$T$2252,2,FALSE)</f>
        <v>Araújo CW,Zapalowski V,Nunes I</v>
      </c>
      <c r="D1707" s="15">
        <f ca="1">VLOOKUP(B1707,'ALL DATABASES'!$A$1:$T$2252,5,FALSE)</f>
        <v>2018</v>
      </c>
      <c r="E1707" s="15">
        <f ca="1">VLOOKUP(B1707,'ALL DATABASES'!$A$1:$T$2252,10,FALSE)</f>
        <v>2018</v>
      </c>
      <c r="F1707" s="54" t="str">
        <f ca="1">VLOOKUP(B1707,'ALL DATABASES'!$A$1:$T$2252,14,FALSE)</f>
        <v>https://doi.org/10.1145/3266237.3266271;http://dx.doi.org/10.1145/3266237.3266271</v>
      </c>
      <c r="G1707" s="15" t="str">
        <f ca="1">VLOOKUP(B1707,'ALL DATABASES'!$A$1:$T$2252,3,FALSE)</f>
        <v>Conference Paper</v>
      </c>
      <c r="H1707" s="50" t="str">
        <f ca="1">VLOOKUP(B1707,'ALL DATABASES'!$A$1:$T$2252,20,FALSE)</f>
        <v>ACM</v>
      </c>
    </row>
    <row r="1708" spans="1:8" ht="12.75" x14ac:dyDescent="0.2">
      <c r="A1708">
        <v>1707</v>
      </c>
      <c r="B1708" s="15" t="str">
        <f ca="1">IFERROR(__xludf.DUMMYFUNCTION("""COMPUTED_VALUE"""),"Using deep temporal convolutional networks to just-in-time forecast technical debt principal")</f>
        <v>Using deep temporal convolutional networks to just-in-time forecast technical debt principal</v>
      </c>
      <c r="C1708" s="15" t="str">
        <f ca="1">VLOOKUP(B1708,'ALL DATABASES'!$A$1:$T$2252,2,FALSE)</f>
        <v>Ardimento P,Aversano L,Bernardi ML,Cimitile M,Iammarino M</v>
      </c>
      <c r="D1708" s="15">
        <f ca="1">VLOOKUP(B1708,'ALL DATABASES'!$A$1:$T$2252,5,FALSE)</f>
        <v>2022</v>
      </c>
      <c r="E1708" s="15">
        <f ca="1">VLOOKUP(B1708,'ALL DATABASES'!$A$1:$T$2252,10,FALSE)</f>
        <v>2022</v>
      </c>
      <c r="F1708" s="54" t="str">
        <f ca="1">VLOOKUP(B1708,'ALL DATABASES'!$A$1:$T$2252,14,FALSE)</f>
        <v>https://www.sciencedirect.com/science/article/pii/S0164121222001649;http://dx.doi.org/10.1016/j.jss.2022.111481</v>
      </c>
      <c r="G1708" s="15" t="str">
        <f ca="1">VLOOKUP(B1708,'ALL DATABASES'!$A$1:$T$2252,3,FALSE)</f>
        <v>Journal Article</v>
      </c>
      <c r="H1708" s="50" t="str">
        <f ca="1">VLOOKUP(B1708,'ALL DATABASES'!$A$1:$T$2252,20,FALSE)</f>
        <v>SCIENCEDIRECT</v>
      </c>
    </row>
    <row r="1709" spans="1:8" ht="12.75" x14ac:dyDescent="0.2">
      <c r="A1709">
        <v>1708</v>
      </c>
      <c r="B1709" s="15" t="str">
        <f ca="1">IFERROR(__xludf.DUMMYFUNCTION("""COMPUTED_VALUE"""),"Using Honeypots to Catch Adversarial Attacks on Neural Networks")</f>
        <v>Using Honeypots to Catch Adversarial Attacks on Neural Networks</v>
      </c>
      <c r="C1709" s="15" t="str">
        <f ca="1">VLOOKUP(B1709,'ALL DATABASES'!$A$1:$T$2252,2,FALSE)</f>
        <v>Shan S</v>
      </c>
      <c r="D1709" s="15">
        <f ca="1">VLOOKUP(B1709,'ALL DATABASES'!$A$1:$T$2252,5,FALSE)</f>
        <v>2021</v>
      </c>
      <c r="E1709" s="15">
        <f ca="1">VLOOKUP(B1709,'ALL DATABASES'!$A$1:$T$2252,10,FALSE)</f>
        <v>2021</v>
      </c>
      <c r="F1709" s="54" t="str">
        <f ca="1">VLOOKUP(B1709,'ALL DATABASES'!$A$1:$T$2252,14,FALSE)</f>
        <v>https://doi.org/10.1145/3474370.3485655;http://dx.doi.org/10.1145/3474370.3485655</v>
      </c>
      <c r="G1709" s="15" t="str">
        <f ca="1">VLOOKUP(B1709,'ALL DATABASES'!$A$1:$T$2252,3,FALSE)</f>
        <v>Conference Paper</v>
      </c>
      <c r="H1709" s="50" t="str">
        <f ca="1">VLOOKUP(B1709,'ALL DATABASES'!$A$1:$T$2252,20,FALSE)</f>
        <v>ACM</v>
      </c>
    </row>
    <row r="1710" spans="1:8" ht="12.75" x14ac:dyDescent="0.2">
      <c r="A1710">
        <v>1709</v>
      </c>
      <c r="B1710" s="15" t="str">
        <f ca="1">IFERROR(__xludf.DUMMYFUNCTION("""COMPUTED_VALUE"""),"Using i* to Analyze Collaboration Challenges in MLOps Project Teams")</f>
        <v>Using i* to Analyze Collaboration Challenges in MLOps Project Teams</v>
      </c>
      <c r="C1710" s="15" t="str">
        <f ca="1">VLOOKUP(B1710,'ALL DATABASES'!$A$1:$T$2252,2,FALSE)</f>
        <v>Sothilingam R,Pant V,Yu E</v>
      </c>
      <c r="D1710" s="15">
        <f ca="1">VLOOKUP(B1710,'ALL DATABASES'!$A$1:$T$2252,5,FALSE)</f>
        <v>2022</v>
      </c>
      <c r="E1710" s="15">
        <f ca="1">VLOOKUP(B1710,'ALL DATABASES'!$A$1:$T$2252,10,FALSE)</f>
        <v>2022</v>
      </c>
      <c r="F1710" s="54" t="str">
        <f ca="1">VLOOKUP(B1710,'ALL DATABASES'!$A$1:$T$2252,14,FALSE)</f>
        <v>https://www.scopus.com/inward/record.uri?eid=2-s2.0-85139960075&amp;partnerID=40&amp;md5=47d94a3671b3bf9cb72e0214142b20a1</v>
      </c>
      <c r="G1710" s="15" t="str">
        <f ca="1">VLOOKUP(B1710,'ALL DATABASES'!$A$1:$T$2252,3,FALSE)</f>
        <v>Conference Paper</v>
      </c>
      <c r="H1710" s="50" t="str">
        <f ca="1">VLOOKUP(B1710,'ALL DATABASES'!$A$1:$T$2252,20,FALSE)</f>
        <v>SCOPUS</v>
      </c>
    </row>
    <row r="1711" spans="1:8" ht="12.75" x14ac:dyDescent="0.2">
      <c r="A1711">
        <v>1710</v>
      </c>
      <c r="B1711" s="15" t="str">
        <f ca="1">IFERROR(__xludf.DUMMYFUNCTION("""COMPUTED_VALUE"""),"Using Knowledge Graphs to Detect Enterprise Architecture Smells")</f>
        <v>Using Knowledge Graphs to Detect Enterprise Architecture Smells</v>
      </c>
      <c r="C1711" s="15" t="str">
        <f ca="1">VLOOKUP(B1711,'ALL DATABASES'!$A$1:$T$2252,2,FALSE)</f>
        <v>Muhamed SmajevicSimon HacksDominik Bork</v>
      </c>
      <c r="D1711" s="15">
        <f ca="1">VLOOKUP(B1711,'ALL DATABASES'!$A$1:$T$2252,5,FALSE)</f>
        <v>2021</v>
      </c>
      <c r="E1711" s="15">
        <f ca="1">VLOOKUP(B1711,'ALL DATABASES'!$A$1:$T$2252,10,FALSE)</f>
        <v>0</v>
      </c>
      <c r="F1711" s="54" t="str">
        <f ca="1">VLOOKUP(B1711,'ALL DATABASES'!$A$1:$T$2252,14,FALSE)</f>
        <v>http://link.springer.com/chapter/10.1007/978-3-030-91279-6_4</v>
      </c>
      <c r="G1711" s="15" t="str">
        <f ca="1">VLOOKUP(B1711,'ALL DATABASES'!$A$1:$T$2252,3,FALSE)</f>
        <v>Chapter</v>
      </c>
      <c r="H1711" s="50" t="str">
        <f ca="1">VLOOKUP(B1711,'ALL DATABASES'!$A$1:$T$2252,20,FALSE)</f>
        <v>SPRINGER</v>
      </c>
    </row>
    <row r="1712" spans="1:8" ht="12.75" x14ac:dyDescent="0.2">
      <c r="A1712">
        <v>1711</v>
      </c>
      <c r="B1712" s="15" t="str">
        <f ca="1">IFERROR(__xludf.DUMMYFUNCTION("""COMPUTED_VALUE"""),"Using Machine Learning to Guide the Application of Software Refactorings: A Preliminary Exploration")</f>
        <v>Using Machine Learning to Guide the Application of Software Refactorings: A Preliminary Exploration</v>
      </c>
      <c r="C1712" s="15" t="str">
        <f ca="1">VLOOKUP(B1712,'ALL DATABASES'!$A$1:$T$2252,2,FALSE)</f>
        <v>Nikolaidis N,Zisis D,Ampatzoglou A,Mittas N,Chatzigeorgiou A</v>
      </c>
      <c r="D1712" s="15">
        <f ca="1">VLOOKUP(B1712,'ALL DATABASES'!$A$1:$T$2252,5,FALSE)</f>
        <v>2022</v>
      </c>
      <c r="E1712" s="15">
        <f ca="1">VLOOKUP(B1712,'ALL DATABASES'!$A$1:$T$2252,10,FALSE)</f>
        <v>2022</v>
      </c>
      <c r="F1712" s="54" t="str">
        <f ca="1">VLOOKUP(B1712,'ALL DATABASES'!$A$1:$T$2252,14,FALSE)</f>
        <v>https://doi.org/10.1145/3549034.3561178;http://dx.doi.org/10.1145/3549034.3561178</v>
      </c>
      <c r="G1712" s="15" t="str">
        <f ca="1">VLOOKUP(B1712,'ALL DATABASES'!$A$1:$T$2252,3,FALSE)</f>
        <v>Conference Paper</v>
      </c>
      <c r="H1712" s="50" t="str">
        <f ca="1">VLOOKUP(B1712,'ALL DATABASES'!$A$1:$T$2252,20,FALSE)</f>
        <v>ACM</v>
      </c>
    </row>
    <row r="1713" spans="1:8" ht="12.75" x14ac:dyDescent="0.2">
      <c r="A1713">
        <v>1712</v>
      </c>
      <c r="B1713" s="15" t="str">
        <f ca="1">IFERROR(__xludf.DUMMYFUNCTION("""COMPUTED_VALUE"""),"Using Natural Language Processing to Automatically Detect Self-Admitted Technical Debt")</f>
        <v>Using Natural Language Processing to Automatically Detect Self-Admitted Technical Debt</v>
      </c>
      <c r="C1713" s="15" t="str">
        <f ca="1">VLOOKUP(B1713,'ALL DATABASES'!$A$1:$T$2252,2,FALSE)</f>
        <v>Maldonado ES,Shihab E,Tsantalis N</v>
      </c>
      <c r="D1713" s="15">
        <f ca="1">VLOOKUP(B1713,'ALL DATABASES'!$A$1:$T$2252,5,FALSE)</f>
        <v>2017</v>
      </c>
      <c r="E1713" s="53">
        <f ca="1">VLOOKUP(B1713,'ALL DATABASES'!$A$1:$T$2252,10,FALSE)</f>
        <v>43040</v>
      </c>
      <c r="F1713" s="54" t="str">
        <f ca="1">VLOOKUP(B1713,'ALL DATABASES'!$A$1:$T$2252,14,FALSE)</f>
        <v>http://dx.doi.org/10.1109/TSE.2017.2654244</v>
      </c>
      <c r="G1713" s="15" t="str">
        <f ca="1">VLOOKUP(B1713,'ALL DATABASES'!$A$1:$T$2252,3,FALSE)</f>
        <v>Journal Article</v>
      </c>
      <c r="H1713" s="50" t="str">
        <f ca="1">VLOOKUP(B1713,'ALL DATABASES'!$A$1:$T$2252,20,FALSE)</f>
        <v>IEEE</v>
      </c>
    </row>
    <row r="1714" spans="1:8" ht="12.75" x14ac:dyDescent="0.2">
      <c r="A1714">
        <v>1713</v>
      </c>
      <c r="B1714" s="15" t="str">
        <f ca="1">IFERROR(__xludf.DUMMYFUNCTION("""COMPUTED_VALUE"""),"Using Technical Debt Data in Decision Making: Potential Decision Approaches")</f>
        <v>Using Technical Debt Data in Decision Making: Potential Decision Approaches</v>
      </c>
      <c r="C1714" s="15" t="str">
        <f ca="1">VLOOKUP(B1714,'ALL DATABASES'!$A$1:$T$2252,2,FALSE)</f>
        <v>Seaman C,Guo Y,Izurieta C,Cai Y,Zazworka N,Shull F,Vetrò A</v>
      </c>
      <c r="D1714" s="15">
        <f ca="1">VLOOKUP(B1714,'ALL DATABASES'!$A$1:$T$2252,5,FALSE)</f>
        <v>2012</v>
      </c>
      <c r="E1714" s="15">
        <f ca="1">VLOOKUP(B1714,'ALL DATABASES'!$A$1:$T$2252,10,FALSE)</f>
        <v>2012</v>
      </c>
      <c r="F1714" s="15">
        <f ca="1">VLOOKUP(B1714,'ALL DATABASES'!$A$1:$T$2252,14,FALSE)</f>
        <v>0</v>
      </c>
      <c r="G1714" s="15" t="str">
        <f ca="1">VLOOKUP(B1714,'ALL DATABASES'!$A$1:$T$2252,3,FALSE)</f>
        <v>Conference Paper</v>
      </c>
      <c r="H1714" s="50" t="str">
        <f ca="1">VLOOKUP(B1714,'ALL DATABASES'!$A$1:$T$2252,20,FALSE)</f>
        <v>ACM</v>
      </c>
    </row>
    <row r="1715" spans="1:8" ht="12.75" x14ac:dyDescent="0.2">
      <c r="A1715">
        <v>1714</v>
      </c>
      <c r="B1715" s="15" t="str">
        <f ca="1">IFERROR(__xludf.DUMMYFUNCTION("""COMPUTED_VALUE"""),"Using Version Control and Issue Tickets to detect Code Debt and Economical Cost")</f>
        <v>Using Version Control and Issue Tickets to detect Code Debt and Economical Cost</v>
      </c>
      <c r="C1715" s="15" t="str">
        <f ca="1">VLOOKUP(B1715,'ALL DATABASES'!$A$1:$T$2252,2,FALSE)</f>
        <v>Al Maruf A,Lambaria N,Abdelfattah AS,Cerny T</v>
      </c>
      <c r="D1715" s="15">
        <f ca="1">VLOOKUP(B1715,'ALL DATABASES'!$A$1:$T$2252,5,FALSE)</f>
        <v>2021</v>
      </c>
      <c r="E1715" s="53">
        <f ca="1">VLOOKUP(B1715,'ALL DATABASES'!$A$1:$T$2252,10,FALSE)</f>
        <v>44501</v>
      </c>
      <c r="F1715" s="54" t="str">
        <f ca="1">VLOOKUP(B1715,'ALL DATABASES'!$A$1:$T$2252,14,FALSE)</f>
        <v>http://dx.doi.org/10.1109/ASE51524.2021.9678532</v>
      </c>
      <c r="G1715" s="15" t="str">
        <f ca="1">VLOOKUP(B1715,'ALL DATABASES'!$A$1:$T$2252,3,FALSE)</f>
        <v>Conference Paper</v>
      </c>
      <c r="H1715" s="50" t="str">
        <f ca="1">VLOOKUP(B1715,'ALL DATABASES'!$A$1:$T$2252,20,FALSE)</f>
        <v>IEEE</v>
      </c>
    </row>
    <row r="1716" spans="1:8" ht="12.75" x14ac:dyDescent="0.2">
      <c r="A1716">
        <v>1715</v>
      </c>
      <c r="B1716" s="15" t="str">
        <f ca="1">IFERROR(__xludf.DUMMYFUNCTION("""COMPUTED_VALUE"""),"VisminerTD: a tool for automatic identification and interactive monitoring of the evolution of technical debt items")</f>
        <v>VisminerTD: a tool for automatic identification and interactive monitoring of the evolution of technical debt items</v>
      </c>
      <c r="C1716" s="15" t="str">
        <f ca="1">VLOOKUP(B1716,'ALL DATABASES'!$A$1:$T$2252,2,FALSE)</f>
        <v>Mendes TS,Gomes FG,Gonçalves DP,Mendonça MG,Novais RL,Spínola RO</v>
      </c>
      <c r="D1716" s="15">
        <f ca="1">VLOOKUP(B1716,'ALL DATABASES'!$A$1:$T$2252,5,FALSE)</f>
        <v>2019</v>
      </c>
      <c r="E1716" s="15">
        <f ca="1">VLOOKUP(B1716,'ALL DATABASES'!$A$1:$T$2252,10,FALSE)</f>
        <v>2019</v>
      </c>
      <c r="F1716" s="54" t="str">
        <f ca="1">VLOOKUP(B1716,'ALL DATABASES'!$A$1:$T$2252,14,FALSE)</f>
        <v>https://www.scopus.com/inward/record.uri?eid=2-s2.0-85060256649&amp;doi=10.1186%2fs13173-018-0083-1&amp;partnerID=40&amp;md5=c21c544db4400d0adf9f90a1f2fe7b5a;http://dx.doi.org/10.1186/s13173-018-0083-1</v>
      </c>
      <c r="G1716" s="15" t="str">
        <f ca="1">VLOOKUP(B1716,'ALL DATABASES'!$A$1:$T$2252,3,FALSE)</f>
        <v>Journal Article</v>
      </c>
      <c r="H1716" s="50" t="str">
        <f ca="1">VLOOKUP(B1716,'ALL DATABASES'!$A$1:$T$2252,20,FALSE)</f>
        <v>SCOPUS</v>
      </c>
    </row>
    <row r="1717" spans="1:8" ht="12.75" x14ac:dyDescent="0.2">
      <c r="A1717">
        <v>1716</v>
      </c>
      <c r="B1717" s="15" t="str">
        <f ca="1">IFERROR(__xludf.DUMMYFUNCTION("""COMPUTED_VALUE"""),"Visualizing Metric Trends for Software Portfolio Quality Management")</f>
        <v>Visualizing Metric Trends for Software Portfolio Quality Management</v>
      </c>
      <c r="C1717" s="15" t="str">
        <f ca="1">VLOOKUP(B1717,'ALL DATABASES'!$A$1:$T$2252,2,FALSE)</f>
        <v>Genfer P,Grabner J,Zoffi C,Bernhart M,Grechenig T</v>
      </c>
      <c r="D1717" s="15">
        <f ca="1">VLOOKUP(B1717,'ALL DATABASES'!$A$1:$T$2252,5,FALSE)</f>
        <v>2021</v>
      </c>
      <c r="E1717" s="55">
        <f ca="1">VLOOKUP(B1717,'ALL DATABASES'!$A$1:$T$2252,10,FALSE)</f>
        <v>44440</v>
      </c>
      <c r="F1717" s="54" t="str">
        <f ca="1">VLOOKUP(B1717,'ALL DATABASES'!$A$1:$T$2252,14,FALSE)</f>
        <v>http://dx.doi.org/10.1109/VISSOFT52517.2021.00018</v>
      </c>
      <c r="G1717" s="15" t="str">
        <f ca="1">VLOOKUP(B1717,'ALL DATABASES'!$A$1:$T$2252,3,FALSE)</f>
        <v>Conference Paper</v>
      </c>
      <c r="H1717" s="50" t="str">
        <f ca="1">VLOOKUP(B1717,'ALL DATABASES'!$A$1:$T$2252,20,FALSE)</f>
        <v>IEEE</v>
      </c>
    </row>
    <row r="1718" spans="1:8" ht="12.75" x14ac:dyDescent="0.2">
      <c r="A1718">
        <v>1717</v>
      </c>
      <c r="B1718" s="15" t="str">
        <f ca="1">IFERROR(__xludf.DUMMYFUNCTION("""COMPUTED_VALUE"""),"Visualizing Microservice Architecture in the Dynamic Perspective: A Systematic Mapping Study")</f>
        <v>Visualizing Microservice Architecture in the Dynamic Perspective: A Systematic Mapping Study</v>
      </c>
      <c r="C1718" s="15" t="str">
        <f ca="1">VLOOKUP(B1718,'ALL DATABASES'!$A$1:$T$2252,2,FALSE)</f>
        <v>Gortney ME,Harris PE,Cerny T,Maruf AA,Bures M,Taibi D,Tisnovsky P</v>
      </c>
      <c r="D1718" s="15">
        <f ca="1">VLOOKUP(B1718,'ALL DATABASES'!$A$1:$T$2252,5,FALSE)</f>
        <v>2022</v>
      </c>
      <c r="E1718" s="15">
        <f ca="1">VLOOKUP(B1718,'ALL DATABASES'!$A$1:$T$2252,10,FALSE)</f>
        <v>2022</v>
      </c>
      <c r="F1718" s="54" t="str">
        <f ca="1">VLOOKUP(B1718,'ALL DATABASES'!$A$1:$T$2252,14,FALSE)</f>
        <v>http://dx.doi.org/10.1109/ACCESS.2022.3221130</v>
      </c>
      <c r="G1718" s="15" t="str">
        <f ca="1">VLOOKUP(B1718,'ALL DATABASES'!$A$1:$T$2252,3,FALSE)</f>
        <v>Journal Article</v>
      </c>
      <c r="H1718" s="50" t="str">
        <f ca="1">VLOOKUP(B1718,'ALL DATABASES'!$A$1:$T$2252,20,FALSE)</f>
        <v>IEEE</v>
      </c>
    </row>
    <row r="1719" spans="1:8" ht="12.75" x14ac:dyDescent="0.2">
      <c r="A1719">
        <v>1718</v>
      </c>
      <c r="B1719" s="15" t="str">
        <f ca="1">IFERROR(__xludf.DUMMYFUNCTION("""COMPUTED_VALUE"""),"Wait for it: identifying ""On-Hold"" self-admitted technical debt")</f>
        <v>Wait for it: identifying "On-Hold" self-admitted technical debt</v>
      </c>
      <c r="C1719" s="15" t="str">
        <f ca="1">VLOOKUP(B1719,'ALL DATABASES'!$A$1:$T$2252,2,FALSE)</f>
        <v>Maipradit R,Treude C,Hata H,Matsumoto K</v>
      </c>
      <c r="D1719" s="15">
        <f ca="1">VLOOKUP(B1719,'ALL DATABASES'!$A$1:$T$2252,5,FALSE)</f>
        <v>2020</v>
      </c>
      <c r="E1719" s="15">
        <f ca="1">VLOOKUP(B1719,'ALL DATABASES'!$A$1:$T$2252,10,FALSE)</f>
        <v>2020</v>
      </c>
      <c r="F1719" s="54" t="str">
        <f ca="1">VLOOKUP(B1719,'ALL DATABASES'!$A$1:$T$2252,14,FALSE)</f>
        <v>https://www.scopus.com/inward/record.uri?eid=2-s2.0-85088872515&amp;doi=10.1007%2fs10664-020-09854-3&amp;partnerID=40&amp;md5=ae5042b46318c93de239aa4213d83d1f;http://dx.doi.org/10.1007/s10664-020-09854-3</v>
      </c>
      <c r="G1719" s="15" t="str">
        <f ca="1">VLOOKUP(B1719,'ALL DATABASES'!$A$1:$T$2252,3,FALSE)</f>
        <v>Journal Article</v>
      </c>
      <c r="H1719" s="50" t="str">
        <f ca="1">VLOOKUP(B1719,'ALL DATABASES'!$A$1:$T$2252,20,FALSE)</f>
        <v>SCOPUS</v>
      </c>
    </row>
    <row r="1720" spans="1:8" ht="12.75" x14ac:dyDescent="0.2">
      <c r="A1720">
        <v>1719</v>
      </c>
      <c r="B1720" s="15" t="str">
        <f ca="1">IFERROR(__xludf.DUMMYFUNCTION("""COMPUTED_VALUE"""),"Waiting around or job half-done? Sentiment in self-admitted technical debt")</f>
        <v>Waiting around or job half-done? Sentiment in self-admitted technical debt</v>
      </c>
      <c r="C1720" s="15" t="str">
        <f ca="1">VLOOKUP(B1720,'ALL DATABASES'!$A$1:$T$2252,2,FALSE)</f>
        <v>Fucci G,Cassee N,Zampetti F,Novielli N,Serebrenik A,Di Penta M</v>
      </c>
      <c r="D1720" s="15">
        <f ca="1">VLOOKUP(B1720,'ALL DATABASES'!$A$1:$T$2252,5,FALSE)</f>
        <v>2021</v>
      </c>
      <c r="E1720" s="15">
        <f ca="1">VLOOKUP(B1720,'ALL DATABASES'!$A$1:$T$2252,10,FALSE)</f>
        <v>2021</v>
      </c>
      <c r="F1720" s="54" t="str">
        <f ca="1">VLOOKUP(B1720,'ALL DATABASES'!$A$1:$T$2252,14,FALSE)</f>
        <v>https://www.scopus.com/inward/record.uri?eid=2-s2.0-85113677128&amp;doi=10.1109%2fMSR52588.2021.00052&amp;partnerID=40&amp;md5=f978cf4c05eeb8a3053e953ff502b973;http://dx.doi.org/10.1109/MSR52588.2021.00052</v>
      </c>
      <c r="G1720" s="15" t="str">
        <f ca="1">VLOOKUP(B1720,'ALL DATABASES'!$A$1:$T$2252,3,FALSE)</f>
        <v>Conference Paper</v>
      </c>
      <c r="H1720" s="50" t="str">
        <f ca="1">VLOOKUP(B1720,'ALL DATABASES'!$A$1:$T$2252,20,FALSE)</f>
        <v>SCOPUS</v>
      </c>
    </row>
    <row r="1721" spans="1:8" ht="12.75" x14ac:dyDescent="0.2">
      <c r="A1721">
        <v>1720</v>
      </c>
      <c r="B1721" s="15" t="str">
        <f ca="1">IFERROR(__xludf.DUMMYFUNCTION("""COMPUTED_VALUE"""),"Was Self-Admitted Technical Debt Removal a Real Removal? An in-Depth Perspective")</f>
        <v>Was Self-Admitted Technical Debt Removal a Real Removal? An in-Depth Perspective</v>
      </c>
      <c r="C1721" s="15" t="str">
        <f ca="1">VLOOKUP(B1721,'ALL DATABASES'!$A$1:$T$2252,2,FALSE)</f>
        <v>Zampetti F,Serebrenik A,Di Penta M</v>
      </c>
      <c r="D1721" s="15">
        <f ca="1">VLOOKUP(B1721,'ALL DATABASES'!$A$1:$T$2252,5,FALSE)</f>
        <v>2018</v>
      </c>
      <c r="E1721" s="15">
        <f ca="1">VLOOKUP(B1721,'ALL DATABASES'!$A$1:$T$2252,10,FALSE)</f>
        <v>2018</v>
      </c>
      <c r="F1721" s="54" t="str">
        <f ca="1">VLOOKUP(B1721,'ALL DATABASES'!$A$1:$T$2252,14,FALSE)</f>
        <v>https://doi.org/10.1145/3196398.3196423;http://dx.doi.org/10.1145/3196398.3196423</v>
      </c>
      <c r="G1721" s="15" t="str">
        <f ca="1">VLOOKUP(B1721,'ALL DATABASES'!$A$1:$T$2252,3,FALSE)</f>
        <v>Conference Paper</v>
      </c>
      <c r="H1721" s="50" t="str">
        <f ca="1">VLOOKUP(B1721,'ALL DATABASES'!$A$1:$T$2252,20,FALSE)</f>
        <v>ACM</v>
      </c>
    </row>
    <row r="1722" spans="1:8" ht="12.75" x14ac:dyDescent="0.2">
      <c r="A1722">
        <v>1721</v>
      </c>
      <c r="B1722" s="15" t="str">
        <f ca="1">IFERROR(__xludf.DUMMYFUNCTION("""COMPUTED_VALUE"""),"WeakSATD: Detecting Weak Self-Admitted Technical Debt")</f>
        <v>WeakSATD: Detecting Weak Self-Admitted Technical Debt</v>
      </c>
      <c r="C1722" s="15" t="str">
        <f ca="1">VLOOKUP(B1722,'ALL DATABASES'!$A$1:$T$2252,2,FALSE)</f>
        <v>Russo B,Camilli M,Mock M</v>
      </c>
      <c r="D1722" s="15">
        <f ca="1">VLOOKUP(B1722,'ALL DATABASES'!$A$1:$T$2252,5,FALSE)</f>
        <v>2022</v>
      </c>
      <c r="E1722" s="15">
        <f ca="1">VLOOKUP(B1722,'ALL DATABASES'!$A$1:$T$2252,10,FALSE)</f>
        <v>2022</v>
      </c>
      <c r="F1722" s="54" t="str">
        <f ca="1">VLOOKUP(B1722,'ALL DATABASES'!$A$1:$T$2252,14,FALSE)</f>
        <v>https://doi.org/10.1145/3524842.3528469;http://dx.doi.org/10.1145/3524842.3528469</v>
      </c>
      <c r="G1722" s="15" t="str">
        <f ca="1">VLOOKUP(B1722,'ALL DATABASES'!$A$1:$T$2252,3,FALSE)</f>
        <v>Conference Paper</v>
      </c>
      <c r="H1722" s="50" t="str">
        <f ca="1">VLOOKUP(B1722,'ALL DATABASES'!$A$1:$T$2252,20,FALSE)</f>
        <v>ACM</v>
      </c>
    </row>
    <row r="1723" spans="1:8" ht="12.75" x14ac:dyDescent="0.2">
      <c r="A1723">
        <v>1722</v>
      </c>
      <c r="B1723" s="15" t="str">
        <f ca="1">IFERROR(__xludf.DUMMYFUNCTION("""COMPUTED_VALUE"""),"Web Service Test Evolution")</f>
        <v>Web Service Test Evolution</v>
      </c>
      <c r="C1723" s="15" t="str">
        <f ca="1">VLOOKUP(B1723,'ALL DATABASES'!$A$1:$T$2252,2,FALSE)</f>
        <v>Harry M. Sneed</v>
      </c>
      <c r="D1723" s="15">
        <f ca="1">VLOOKUP(B1723,'ALL DATABASES'!$A$1:$T$2252,5,FALSE)</f>
        <v>2016</v>
      </c>
      <c r="E1723" s="15">
        <f ca="1">VLOOKUP(B1723,'ALL DATABASES'!$A$1:$T$2252,10,FALSE)</f>
        <v>0</v>
      </c>
      <c r="F1723" s="54" t="str">
        <f ca="1">VLOOKUP(B1723,'ALL DATABASES'!$A$1:$T$2252,14,FALSE)</f>
        <v>http://link.springer.com/chapter/10.1007/978-3-319-27033-3_12</v>
      </c>
      <c r="G1723" s="15" t="str">
        <f ca="1">VLOOKUP(B1723,'ALL DATABASES'!$A$1:$T$2252,3,FALSE)</f>
        <v>Chapter</v>
      </c>
      <c r="H1723" s="50" t="str">
        <f ca="1">VLOOKUP(B1723,'ALL DATABASES'!$A$1:$T$2252,20,FALSE)</f>
        <v>SPRINGER</v>
      </c>
    </row>
    <row r="1724" spans="1:8" ht="12.75" x14ac:dyDescent="0.2">
      <c r="A1724">
        <v>1723</v>
      </c>
      <c r="B1724" s="15" t="str">
        <f ca="1">IFERROR(__xludf.DUMMYFUNCTION("""COMPUTED_VALUE"""),"What are practitioners asking about requirements engineering? An exploratory analysis of social Q&amp;A sites")</f>
        <v>What are practitioners asking about requirements engineering? An exploratory analysis of social Q&amp;A sites</v>
      </c>
      <c r="C1724" s="15" t="str">
        <f ca="1">VLOOKUP(B1724,'ALL DATABASES'!$A$1:$T$2252,2,FALSE)</f>
        <v>Abad ZS,Shymka A,Pant S,Currie A,Ruhe G</v>
      </c>
      <c r="D1724" s="15">
        <f ca="1">VLOOKUP(B1724,'ALL DATABASES'!$A$1:$T$2252,5,FALSE)</f>
        <v>2016</v>
      </c>
      <c r="E1724" s="15">
        <f ca="1">VLOOKUP(B1724,'ALL DATABASES'!$A$1:$T$2252,10,FALSE)</f>
        <v>2016</v>
      </c>
      <c r="F1724" s="54" t="str">
        <f ca="1">VLOOKUP(B1724,'ALL DATABASES'!$A$1:$T$2252,14,FALSE)</f>
        <v>https://www.scopus.com/inward/record.uri?eid=2-s2.0-85013104749&amp;doi=10.1109%2fREW.2016.46&amp;partnerID=40&amp;md5=5355ed17d60270738edb09f2c591cfba;http://dx.doi.org/10.1109/REW.2016.46</v>
      </c>
      <c r="G1724" s="15" t="str">
        <f ca="1">VLOOKUP(B1724,'ALL DATABASES'!$A$1:$T$2252,3,FALSE)</f>
        <v>Conference Paper</v>
      </c>
      <c r="H1724" s="50" t="str">
        <f ca="1">VLOOKUP(B1724,'ALL DATABASES'!$A$1:$T$2252,20,FALSE)</f>
        <v>SCOPUS</v>
      </c>
    </row>
    <row r="1725" spans="1:8" ht="12.75" x14ac:dyDescent="0.2">
      <c r="A1725">
        <v>1724</v>
      </c>
      <c r="B1725" s="15" t="str">
        <f ca="1">IFERROR(__xludf.DUMMYFUNCTION("""COMPUTED_VALUE"""),"What are the characteristics of highly-selected packages? A case study on the npm ecosystem")</f>
        <v>What are the characteristics of highly-selected packages? A case study on the npm ecosystem</v>
      </c>
      <c r="C1725" s="15" t="str">
        <f ca="1">VLOOKUP(B1725,'ALL DATABASES'!$A$1:$T$2252,2,FALSE)</f>
        <v>Mujahid S,Abdalkareem R,Shihab E</v>
      </c>
      <c r="D1725" s="15">
        <f ca="1">VLOOKUP(B1725,'ALL DATABASES'!$A$1:$T$2252,5,FALSE)</f>
        <v>2023</v>
      </c>
      <c r="E1725" s="15">
        <f ca="1">VLOOKUP(B1725,'ALL DATABASES'!$A$1:$T$2252,10,FALSE)</f>
        <v>2023</v>
      </c>
      <c r="F1725" s="54" t="str">
        <f ca="1">VLOOKUP(B1725,'ALL DATABASES'!$A$1:$T$2252,14,FALSE)</f>
        <v>https://www.sciencedirect.com/science/article/pii/S0164121222002643;http://dx.doi.org/10.1016/j.jss.2022.111588</v>
      </c>
      <c r="G1725" s="15" t="str">
        <f ca="1">VLOOKUP(B1725,'ALL DATABASES'!$A$1:$T$2252,3,FALSE)</f>
        <v>Journal Article</v>
      </c>
      <c r="H1725" s="50" t="str">
        <f ca="1">VLOOKUP(B1725,'ALL DATABASES'!$A$1:$T$2252,20,FALSE)</f>
        <v>SCIENCEDIRECT</v>
      </c>
    </row>
    <row r="1726" spans="1:8" ht="12.75" x14ac:dyDescent="0.2">
      <c r="A1726">
        <v>1725</v>
      </c>
      <c r="B1726" s="15" t="str">
        <f ca="1">IFERROR(__xludf.DUMMYFUNCTION("""COMPUTED_VALUE"""),"What distinguishes great software engineers?")</f>
        <v>What distinguishes great software engineers?</v>
      </c>
      <c r="C1726" s="15" t="str">
        <f ca="1">VLOOKUP(B1726,'ALL DATABASES'!$A$1:$T$2252,2,FALSE)</f>
        <v>Li PL,Ko AJ,Begel A</v>
      </c>
      <c r="D1726" s="15">
        <f ca="1">VLOOKUP(B1726,'ALL DATABASES'!$A$1:$T$2252,5,FALSE)</f>
        <v>2020</v>
      </c>
      <c r="E1726" s="15">
        <f ca="1">VLOOKUP(B1726,'ALL DATABASES'!$A$1:$T$2252,10,FALSE)</f>
        <v>2020</v>
      </c>
      <c r="F1726" s="54" t="str">
        <f ca="1">VLOOKUP(B1726,'ALL DATABASES'!$A$1:$T$2252,14,FALSE)</f>
        <v>https://www.scopus.com/inward/record.uri?eid=2-s2.0-85076041964&amp;doi=10.1007%2fs10664-019-09773-y&amp;partnerID=40&amp;md5=95f8bcbd18fbbb141eba8daf680739ed;http://dx.doi.org/10.1007/s10664-019-09773-y</v>
      </c>
      <c r="G1726" s="15" t="str">
        <f ca="1">VLOOKUP(B1726,'ALL DATABASES'!$A$1:$T$2252,3,FALSE)</f>
        <v>Journal Article</v>
      </c>
      <c r="H1726" s="50" t="str">
        <f ca="1">VLOOKUP(B1726,'ALL DATABASES'!$A$1:$T$2252,20,FALSE)</f>
        <v>SCOPUS</v>
      </c>
    </row>
    <row r="1727" spans="1:8" ht="12.75" x14ac:dyDescent="0.2">
      <c r="A1727">
        <v>1726</v>
      </c>
      <c r="B1727" s="15" t="str">
        <f ca="1">IFERROR(__xludf.DUMMYFUNCTION("""COMPUTED_VALUE"""),"What do Programmers Discuss about Deep Learning Frameworks")</f>
        <v>What do Programmers Discuss about Deep Learning Frameworks</v>
      </c>
      <c r="C1727" s="15" t="str">
        <f ca="1">VLOOKUP(B1727,'ALL DATABASES'!$A$1:$T$2252,2,FALSE)</f>
        <v>Junxiao HanEmad ShihabZhiyuan WanShuiguang DengXin Xia</v>
      </c>
      <c r="D1727" s="15">
        <f ca="1">VLOOKUP(B1727,'ALL DATABASES'!$A$1:$T$2252,5,FALSE)</f>
        <v>2020</v>
      </c>
      <c r="E1727" s="15">
        <f ca="1">VLOOKUP(B1727,'ALL DATABASES'!$A$1:$T$2252,10,FALSE)</f>
        <v>0</v>
      </c>
      <c r="F1727" s="54" t="str">
        <f ca="1">VLOOKUP(B1727,'ALL DATABASES'!$A$1:$T$2252,14,FALSE)</f>
        <v>http://link.springer.com/article/10.1007/s10664-020-09819-6</v>
      </c>
      <c r="G1727" s="15" t="str">
        <f ca="1">VLOOKUP(B1727,'ALL DATABASES'!$A$1:$T$2252,3,FALSE)</f>
        <v>Article</v>
      </c>
      <c r="H1727" s="50" t="str">
        <f ca="1">VLOOKUP(B1727,'ALL DATABASES'!$A$1:$T$2252,20,FALSE)</f>
        <v>SPRINGER</v>
      </c>
    </row>
    <row r="1728" spans="1:8" ht="12.75" x14ac:dyDescent="0.2">
      <c r="A1728">
        <v>1727</v>
      </c>
      <c r="B1728" s="15" t="str">
        <f ca="1">IFERROR(__xludf.DUMMYFUNCTION("""COMPUTED_VALUE"""),"What Does It Cost to Deploy an XAI System: A Case Study in Legacy Systems")</f>
        <v>What Does It Cost to Deploy an XAI System: A Case Study in Legacy Systems</v>
      </c>
      <c r="C1728" s="15" t="str">
        <f ca="1">VLOOKUP(B1728,'ALL DATABASES'!$A$1:$T$2252,2,FALSE)</f>
        <v>Höhn S,Faradouris N</v>
      </c>
      <c r="D1728" s="15">
        <f ca="1">VLOOKUP(B1728,'ALL DATABASES'!$A$1:$T$2252,5,FALSE)</f>
        <v>2021</v>
      </c>
      <c r="E1728" s="15">
        <f ca="1">VLOOKUP(B1728,'ALL DATABASES'!$A$1:$T$2252,10,FALSE)</f>
        <v>2021</v>
      </c>
      <c r="F1728" s="54" t="str">
        <f ca="1">VLOOKUP(B1728,'ALL DATABASES'!$A$1:$T$2252,14,FALSE)</f>
        <v>https://www.scopus.com/inward/record.uri?eid=2-s2.0-85113340403&amp;doi=10.1007%2f978-3-030-82017-6_11&amp;partnerID=40&amp;md5=5676cb2fab321b8df681c4ab1babd3f3;http://dx.doi.org/10.1007/978-3-030-82017-6_11</v>
      </c>
      <c r="G1728" s="15" t="str">
        <f ca="1">VLOOKUP(B1728,'ALL DATABASES'!$A$1:$T$2252,3,FALSE)</f>
        <v>Journal Article</v>
      </c>
      <c r="H1728" s="50" t="str">
        <f ca="1">VLOOKUP(B1728,'ALL DATABASES'!$A$1:$T$2252,20,FALSE)</f>
        <v>SCOPUS</v>
      </c>
    </row>
    <row r="1729" spans="1:8" ht="12.75" x14ac:dyDescent="0.2">
      <c r="A1729">
        <v>1728</v>
      </c>
      <c r="B1729" s="15" t="str">
        <f ca="1">IFERROR(__xludf.DUMMYFUNCTION("""COMPUTED_VALUE"""),"What If i Had No Smells?")</f>
        <v>What If i Had No Smells?</v>
      </c>
      <c r="C1729" s="15" t="str">
        <f ca="1">VLOOKUP(B1729,'ALL DATABASES'!$A$1:$T$2252,2,FALSE)</f>
        <v>Falessi D,Russo B,Mullen K</v>
      </c>
      <c r="D1729" s="15">
        <f ca="1">VLOOKUP(B1729,'ALL DATABASES'!$A$1:$T$2252,5,FALSE)</f>
        <v>2017</v>
      </c>
      <c r="E1729" s="15">
        <f ca="1">VLOOKUP(B1729,'ALL DATABASES'!$A$1:$T$2252,10,FALSE)</f>
        <v>2017</v>
      </c>
      <c r="F1729" s="54" t="str">
        <f ca="1">VLOOKUP(B1729,'ALL DATABASES'!$A$1:$T$2252,14,FALSE)</f>
        <v>https://doi.org/10.1109/ESEM.2017.14;http://dx.doi.org/10.1109/ESEM.2017.14</v>
      </c>
      <c r="G1729" s="15" t="str">
        <f ca="1">VLOOKUP(B1729,'ALL DATABASES'!$A$1:$T$2252,3,FALSE)</f>
        <v>Conference Paper</v>
      </c>
      <c r="H1729" s="50" t="str">
        <f ca="1">VLOOKUP(B1729,'ALL DATABASES'!$A$1:$T$2252,20,FALSE)</f>
        <v>ACM</v>
      </c>
    </row>
    <row r="1730" spans="1:8" ht="12.75" x14ac:dyDescent="0.2">
      <c r="A1730">
        <v>1729</v>
      </c>
      <c r="B1730" s="15" t="str">
        <f ca="1">IFERROR(__xludf.DUMMYFUNCTION("""COMPUTED_VALUE"""),"What Influences the Speed of Prototyping? An Empirical Investigation of Twenty Software Startups")</f>
        <v>What Influences the Speed of Prototyping? An Empirical Investigation of Twenty Software Startups</v>
      </c>
      <c r="C1730" s="15" t="str">
        <f ca="1">VLOOKUP(B1730,'ALL DATABASES'!$A$1:$T$2252,2,FALSE)</f>
        <v>Anh Nguyen-DucXiaofeng WangPekka Abrahamsson</v>
      </c>
      <c r="D1730" s="15">
        <f ca="1">VLOOKUP(B1730,'ALL DATABASES'!$A$1:$T$2252,5,FALSE)</f>
        <v>2017</v>
      </c>
      <c r="E1730" s="15">
        <f ca="1">VLOOKUP(B1730,'ALL DATABASES'!$A$1:$T$2252,10,FALSE)</f>
        <v>0</v>
      </c>
      <c r="F1730" s="54" t="str">
        <f ca="1">VLOOKUP(B1730,'ALL DATABASES'!$A$1:$T$2252,14,FALSE)</f>
        <v>http://link.springer.com/chapter/10.1007/978-3-319-57633-6_2</v>
      </c>
      <c r="G1730" s="15" t="str">
        <f ca="1">VLOOKUP(B1730,'ALL DATABASES'!$A$1:$T$2252,3,FALSE)</f>
        <v>Chapter</v>
      </c>
      <c r="H1730" s="50" t="str">
        <f ca="1">VLOOKUP(B1730,'ALL DATABASES'!$A$1:$T$2252,20,FALSE)</f>
        <v>SPRINGER</v>
      </c>
    </row>
    <row r="1731" spans="1:8" ht="12.75" x14ac:dyDescent="0.2">
      <c r="A1731">
        <v>1730</v>
      </c>
      <c r="B1731" s="15" t="str">
        <f ca="1">IFERROR(__xludf.DUMMYFUNCTION("""COMPUTED_VALUE"""),"What is Data?")</f>
        <v>What is Data?</v>
      </c>
      <c r="C1731" s="15" t="str">
        <f ca="1">VLOOKUP(B1731,'ALL DATABASES'!$A$1:$T$2252,2,FALSE)</f>
        <v>Martin Treder</v>
      </c>
      <c r="D1731" s="15">
        <f ca="1">VLOOKUP(B1731,'ALL DATABASES'!$A$1:$T$2252,5,FALSE)</f>
        <v>2019</v>
      </c>
      <c r="E1731" s="15">
        <f ca="1">VLOOKUP(B1731,'ALL DATABASES'!$A$1:$T$2252,10,FALSE)</f>
        <v>0</v>
      </c>
      <c r="F1731" s="54" t="str">
        <f ca="1">VLOOKUP(B1731,'ALL DATABASES'!$A$1:$T$2252,14,FALSE)</f>
        <v>http://link.springer.com/chapter/10.1007/978-3-662-60304-8_1</v>
      </c>
      <c r="G1731" s="15" t="str">
        <f ca="1">VLOOKUP(B1731,'ALL DATABASES'!$A$1:$T$2252,3,FALSE)</f>
        <v>Chapter</v>
      </c>
      <c r="H1731" s="50" t="str">
        <f ca="1">VLOOKUP(B1731,'ALL DATABASES'!$A$1:$T$2252,20,FALSE)</f>
        <v>SPRINGER</v>
      </c>
    </row>
    <row r="1732" spans="1:8" ht="12.75" x14ac:dyDescent="0.2">
      <c r="A1732">
        <v>1731</v>
      </c>
      <c r="B1732" s="15" t="str">
        <f ca="1">IFERROR(__xludf.DUMMYFUNCTION("""COMPUTED_VALUE"""),"What Is Really Different in Engineering AI-Enabled Systems?")</f>
        <v>What Is Really Different in Engineering AI-Enabled Systems?</v>
      </c>
      <c r="C1732" s="15" t="str">
        <f ca="1">VLOOKUP(B1732,'ALL DATABASES'!$A$1:$T$2252,2,FALSE)</f>
        <v>Ozkaya I</v>
      </c>
      <c r="D1732" s="15">
        <f ca="1">VLOOKUP(B1732,'ALL DATABASES'!$A$1:$T$2252,5,FALSE)</f>
        <v>2020</v>
      </c>
      <c r="E1732" s="55">
        <f ca="1">VLOOKUP(B1732,'ALL DATABASES'!$A$1:$T$2252,10,FALSE)</f>
        <v>44013</v>
      </c>
      <c r="F1732" s="54" t="str">
        <f ca="1">VLOOKUP(B1732,'ALL DATABASES'!$A$1:$T$2252,14,FALSE)</f>
        <v>http://dx.doi.org/10.1109/MS.2020.2993662</v>
      </c>
      <c r="G1732" s="15" t="str">
        <f ca="1">VLOOKUP(B1732,'ALL DATABASES'!$A$1:$T$2252,3,FALSE)</f>
        <v>Journal Article</v>
      </c>
      <c r="H1732" s="50" t="str">
        <f ca="1">VLOOKUP(B1732,'ALL DATABASES'!$A$1:$T$2252,20,FALSE)</f>
        <v>IEEE</v>
      </c>
    </row>
    <row r="1733" spans="1:8" ht="12.75" x14ac:dyDescent="0.2">
      <c r="A1733">
        <v>1732</v>
      </c>
      <c r="B1733" s="15" t="str">
        <f ca="1">IFERROR(__xludf.DUMMYFUNCTION("""COMPUTED_VALUE"""),"What is Software Quality for AI Engineers? Towards a Thinning of the Fog")</f>
        <v>What is Software Quality for AI Engineers? Towards a Thinning of the Fog</v>
      </c>
      <c r="C1733" s="15" t="str">
        <f ca="1">VLOOKUP(B1733,'ALL DATABASES'!$A$1:$T$2252,2,FALSE)</f>
        <v>Golendukhina V,Lenarduzzi V,Felderer M</v>
      </c>
      <c r="D1733" s="15">
        <f ca="1">VLOOKUP(B1733,'ALL DATABASES'!$A$1:$T$2252,5,FALSE)</f>
        <v>2022</v>
      </c>
      <c r="E1733" s="15">
        <f ca="1">VLOOKUP(B1733,'ALL DATABASES'!$A$1:$T$2252,10,FALSE)</f>
        <v>2022</v>
      </c>
      <c r="F1733" s="54" t="str">
        <f ca="1">VLOOKUP(B1733,'ALL DATABASES'!$A$1:$T$2252,14,FALSE)</f>
        <v>https://doi.org/10.1145/3522664.3528599;http://dx.doi.org/10.1145/3522664.3528599</v>
      </c>
      <c r="G1733" s="15" t="str">
        <f ca="1">VLOOKUP(B1733,'ALL DATABASES'!$A$1:$T$2252,3,FALSE)</f>
        <v>Conference Paper</v>
      </c>
      <c r="H1733" s="50" t="str">
        <f ca="1">VLOOKUP(B1733,'ALL DATABASES'!$A$1:$T$2252,20,FALSE)</f>
        <v>ACM</v>
      </c>
    </row>
    <row r="1734" spans="1:8" ht="12.75" x14ac:dyDescent="0.2">
      <c r="A1734">
        <v>1733</v>
      </c>
      <c r="B1734" s="15" t="str">
        <f ca="1">IFERROR(__xludf.DUMMYFUNCTION("""COMPUTED_VALUE"""),"What is the Intended Usage Context of This Model? - An Exploratory Study of Pre-Trained Models on Various Model Repositories")</f>
        <v>What is the Intended Usage Context of This Model? - An Exploratory Study of Pre-Trained Models on Various Model Repositories</v>
      </c>
      <c r="C1734" s="15" t="str">
        <f ca="1">VLOOKUP(B1734,'ALL DATABASES'!$A$1:$T$2252,2,FALSE)</f>
        <v>Gong L,Zhang J,Wei M,Zhang H,Huang Z</v>
      </c>
      <c r="D1734" s="15">
        <f ca="1">VLOOKUP(B1734,'ALL DATABASES'!$A$1:$T$2252,5,FALSE)</f>
        <v>2022</v>
      </c>
      <c r="E1734" s="53">
        <f ca="1">VLOOKUP(B1734,'ALL DATABASES'!$A$1:$T$2252,10,FALSE)</f>
        <v>44835</v>
      </c>
      <c r="F1734" s="54" t="str">
        <f ca="1">VLOOKUP(B1734,'ALL DATABASES'!$A$1:$T$2252,14,FALSE)</f>
        <v>https://doi.org/10.1145/3569934;http://dx.doi.org/10.1145/3569934</v>
      </c>
      <c r="G1734" s="15" t="str">
        <f ca="1">VLOOKUP(B1734,'ALL DATABASES'!$A$1:$T$2252,3,FALSE)</f>
        <v>Journal Article</v>
      </c>
      <c r="H1734" s="50" t="str">
        <f ca="1">VLOOKUP(B1734,'ALL DATABASES'!$A$1:$T$2252,20,FALSE)</f>
        <v>ACM</v>
      </c>
    </row>
    <row r="1735" spans="1:8" ht="12.75" x14ac:dyDescent="0.2">
      <c r="A1735">
        <v>1734</v>
      </c>
      <c r="B1735" s="15" t="str">
        <f ca="1">IFERROR(__xludf.DUMMYFUNCTION("""COMPUTED_VALUE"""),"What is the Value of Your Software?")</f>
        <v>What is the Value of Your Software?</v>
      </c>
      <c r="C1735" s="15" t="str">
        <f ca="1">VLOOKUP(B1735,'ALL DATABASES'!$A$1:$T$2252,2,FALSE)</f>
        <v>de Groot J,Nugroho A,Bäck T,Visser J</v>
      </c>
      <c r="D1735" s="15">
        <f ca="1">VLOOKUP(B1735,'ALL DATABASES'!$A$1:$T$2252,5,FALSE)</f>
        <v>2012</v>
      </c>
      <c r="E1735" s="15">
        <f ca="1">VLOOKUP(B1735,'ALL DATABASES'!$A$1:$T$2252,10,FALSE)</f>
        <v>2012</v>
      </c>
      <c r="F1735" s="15">
        <f ca="1">VLOOKUP(B1735,'ALL DATABASES'!$A$1:$T$2252,14,FALSE)</f>
        <v>0</v>
      </c>
      <c r="G1735" s="15" t="str">
        <f ca="1">VLOOKUP(B1735,'ALL DATABASES'!$A$1:$T$2252,3,FALSE)</f>
        <v>Conference Paper</v>
      </c>
      <c r="H1735" s="50" t="str">
        <f ca="1">VLOOKUP(B1735,'ALL DATABASES'!$A$1:$T$2252,20,FALSE)</f>
        <v>ACM</v>
      </c>
    </row>
    <row r="1736" spans="1:8" ht="12.75" x14ac:dyDescent="0.2">
      <c r="A1736">
        <v>1735</v>
      </c>
      <c r="B1736" s="15" t="str">
        <f ca="1">IFERROR(__xludf.DUMMYFUNCTION("""COMPUTED_VALUE"""),"What makes a popular academic AI repository?")</f>
        <v>What makes a popular academic AI repository?</v>
      </c>
      <c r="C1736" s="15" t="str">
        <f ca="1">VLOOKUP(B1736,'ALL DATABASES'!$A$1:$T$2252,2,FALSE)</f>
        <v>Fan Y,Xia X,Lo D,Hassan AE,Li S</v>
      </c>
      <c r="D1736" s="15">
        <f ca="1">VLOOKUP(B1736,'ALL DATABASES'!$A$1:$T$2252,5,FALSE)</f>
        <v>2021</v>
      </c>
      <c r="E1736" s="15">
        <f ca="1">VLOOKUP(B1736,'ALL DATABASES'!$A$1:$T$2252,10,FALSE)</f>
        <v>2021</v>
      </c>
      <c r="F1736" s="54" t="str">
        <f ca="1">VLOOKUP(B1736,'ALL DATABASES'!$A$1:$T$2252,14,FALSE)</f>
        <v>https://www.scopus.com/inward/record.uri?eid=2-s2.0-85099091771&amp;doi=10.1007%2fs10664-020-09916-6&amp;partnerID=40&amp;md5=fb931cfc409ee456e24ad533e80416a4;http://dx.doi.org/10.1007/s10664-020-09916-6</v>
      </c>
      <c r="G1736" s="15" t="str">
        <f ca="1">VLOOKUP(B1736,'ALL DATABASES'!$A$1:$T$2252,3,FALSE)</f>
        <v>Journal Article</v>
      </c>
      <c r="H1736" s="50" t="str">
        <f ca="1">VLOOKUP(B1736,'ALL DATABASES'!$A$1:$T$2252,20,FALSE)</f>
        <v>SCOPUS</v>
      </c>
    </row>
    <row r="1737" spans="1:8" ht="12.75" x14ac:dyDescent="0.2">
      <c r="A1737">
        <v>1736</v>
      </c>
      <c r="B1737" s="15" t="str">
        <f ca="1">IFERROR(__xludf.DUMMYFUNCTION("""COMPUTED_VALUE"""),"What really changes when developers intend to improve their source code: a commit-level study of static metric value and static analysis warning changes")</f>
        <v>What really changes when developers intend to improve their source code: a commit-level study of static metric value and static analysis warning changes</v>
      </c>
      <c r="C1737" s="15" t="str">
        <f ca="1">VLOOKUP(B1737,'ALL DATABASES'!$A$1:$T$2252,2,FALSE)</f>
        <v>Alexander TrautschJohannes ErbelSteffen HerboldJens Grabowski</v>
      </c>
      <c r="D1737" s="15">
        <f ca="1">VLOOKUP(B1737,'ALL DATABASES'!$A$1:$T$2252,5,FALSE)</f>
        <v>2023</v>
      </c>
      <c r="E1737" s="15">
        <f ca="1">VLOOKUP(B1737,'ALL DATABASES'!$A$1:$T$2252,10,FALSE)</f>
        <v>0</v>
      </c>
      <c r="F1737" s="54" t="str">
        <f ca="1">VLOOKUP(B1737,'ALL DATABASES'!$A$1:$T$2252,14,FALSE)</f>
        <v>http://link.springer.com/article/10.1007/s10664-022-10257-9</v>
      </c>
      <c r="G1737" s="15" t="str">
        <f ca="1">VLOOKUP(B1737,'ALL DATABASES'!$A$1:$T$2252,3,FALSE)</f>
        <v>Article</v>
      </c>
      <c r="H1737" s="50" t="str">
        <f ca="1">VLOOKUP(B1737,'ALL DATABASES'!$A$1:$T$2252,20,FALSE)</f>
        <v>SPRINGER</v>
      </c>
    </row>
    <row r="1738" spans="1:8" ht="12.75" x14ac:dyDescent="0.2">
      <c r="A1738">
        <v>1737</v>
      </c>
      <c r="B1738" s="15" t="str">
        <f ca="1">IFERROR(__xludf.DUMMYFUNCTION("""COMPUTED_VALUE"""),"What to share, when, and where: balancing the objectives and complexities of open source software contributions")</f>
        <v>What to share, when, and where: balancing the objectives and complexities of open source software contributions</v>
      </c>
      <c r="C1738" s="15" t="str">
        <f ca="1">VLOOKUP(B1738,'ALL DATABASES'!$A$1:$T$2252,2,FALSE)</f>
        <v>Johan LinÃ¥kerBjÃ¶rn Regnell</v>
      </c>
      <c r="D1738" s="15">
        <f ca="1">VLOOKUP(B1738,'ALL DATABASES'!$A$1:$T$2252,5,FALSE)</f>
        <v>2020</v>
      </c>
      <c r="E1738" s="15">
        <f ca="1">VLOOKUP(B1738,'ALL DATABASES'!$A$1:$T$2252,10,FALSE)</f>
        <v>0</v>
      </c>
      <c r="F1738" s="54" t="str">
        <f ca="1">VLOOKUP(B1738,'ALL DATABASES'!$A$1:$T$2252,14,FALSE)</f>
        <v>http://link.springer.com/article/10.1007/s10664-020-09855-2</v>
      </c>
      <c r="G1738" s="15" t="str">
        <f ca="1">VLOOKUP(B1738,'ALL DATABASES'!$A$1:$T$2252,3,FALSE)</f>
        <v>Article</v>
      </c>
      <c r="H1738" s="50" t="str">
        <f ca="1">VLOOKUP(B1738,'ALL DATABASES'!$A$1:$T$2252,20,FALSE)</f>
        <v>SPRINGER</v>
      </c>
    </row>
    <row r="1739" spans="1:8" ht="12.75" x14ac:dyDescent="0.2">
      <c r="A1739">
        <v>1738</v>
      </c>
      <c r="B1739" s="15" t="str">
        <f ca="1">IFERROR(__xludf.DUMMYFUNCTION("""COMPUTED_VALUE"""),"What Works Better? A Study of Classifying Requirements")</f>
        <v>What Works Better? A Study of Classifying Requirements</v>
      </c>
      <c r="C1739" s="15" t="str">
        <f ca="1">VLOOKUP(B1739,'ALL DATABASES'!$A$1:$T$2252,2,FALSE)</f>
        <v>Abad ZS,Karras O,Ghazi P,Glinz M,Ruhe G,Schneider K</v>
      </c>
      <c r="D1739" s="15">
        <f ca="1">VLOOKUP(B1739,'ALL DATABASES'!$A$1:$T$2252,5,FALSE)</f>
        <v>2017</v>
      </c>
      <c r="E1739" s="15">
        <f ca="1">VLOOKUP(B1739,'ALL DATABASES'!$A$1:$T$2252,10,FALSE)</f>
        <v>2017</v>
      </c>
      <c r="F1739" s="54" t="str">
        <f ca="1">VLOOKUP(B1739,'ALL DATABASES'!$A$1:$T$2252,14,FALSE)</f>
        <v>https://www.scopus.com/inward/record.uri?eid=2-s2.0-85032825139&amp;doi=10.1109%2fRE.2017.36&amp;partnerID=40&amp;md5=1a0038b42890663de6a1aec409206a91;http://dx.doi.org/10.1109/RE.2017.36</v>
      </c>
      <c r="G1739" s="15" t="str">
        <f ca="1">VLOOKUP(B1739,'ALL DATABASES'!$A$1:$T$2252,3,FALSE)</f>
        <v>Conference Paper</v>
      </c>
      <c r="H1739" s="50" t="str">
        <f ca="1">VLOOKUP(B1739,'ALL DATABASES'!$A$1:$T$2252,20,FALSE)</f>
        <v>SCOPUS</v>
      </c>
    </row>
    <row r="1740" spans="1:8" ht="12.75" x14ac:dyDescent="0.2">
      <c r="A1740">
        <v>1739</v>
      </c>
      <c r="B1740" s="15" t="str">
        <f ca="1">IFERROR(__xludf.DUMMYFUNCTION("""COMPUTED_VALUE"""),"What's in the Box: Deflecting Adversarial Attacks by Randomly Deploying Adversarially-Disjoint Models")</f>
        <v>What's in the Box: Deflecting Adversarial Attacks by Randomly Deploying Adversarially-Disjoint Models</v>
      </c>
      <c r="C1740" s="15" t="str">
        <f ca="1">VLOOKUP(B1740,'ALL DATABASES'!$A$1:$T$2252,2,FALSE)</f>
        <v>Abdelnabi S,Fritz M</v>
      </c>
      <c r="D1740" s="15">
        <f ca="1">VLOOKUP(B1740,'ALL DATABASES'!$A$1:$T$2252,5,FALSE)</f>
        <v>2021</v>
      </c>
      <c r="E1740" s="15">
        <f ca="1">VLOOKUP(B1740,'ALL DATABASES'!$A$1:$T$2252,10,FALSE)</f>
        <v>2021</v>
      </c>
      <c r="F1740" s="54" t="str">
        <f ca="1">VLOOKUP(B1740,'ALL DATABASES'!$A$1:$T$2252,14,FALSE)</f>
        <v>https://doi.org/10.1145/3474370.3485659;http://dx.doi.org/10.1145/3474370.3485659</v>
      </c>
      <c r="G1740" s="15" t="str">
        <f ca="1">VLOOKUP(B1740,'ALL DATABASES'!$A$1:$T$2252,3,FALSE)</f>
        <v>Conference Paper</v>
      </c>
      <c r="H1740" s="50" t="str">
        <f ca="1">VLOOKUP(B1740,'ALL DATABASES'!$A$1:$T$2252,20,FALSE)</f>
        <v>ACM</v>
      </c>
    </row>
    <row r="1741" spans="1:8" ht="12.75" x14ac:dyDescent="0.2">
      <c r="A1741">
        <v>1740</v>
      </c>
      <c r="B1741" s="15" t="str">
        <f ca="1">IFERROR(__xludf.DUMMYFUNCTION("""COMPUTED_VALUE"""),"What's up with Requirements Engineering for Artificial Intelligence Systems?")</f>
        <v>What's up with Requirements Engineering for Artificial Intelligence Systems?</v>
      </c>
      <c r="C1741" s="15" t="str">
        <f ca="1">VLOOKUP(B1741,'ALL DATABASES'!$A$1:$T$2252,2,FALSE)</f>
        <v>Ahmad K,Bano M,Abdelrazek M,Arora C,Grundy J</v>
      </c>
      <c r="D1741" s="15">
        <f ca="1">VLOOKUP(B1741,'ALL DATABASES'!$A$1:$T$2252,5,FALSE)</f>
        <v>2021</v>
      </c>
      <c r="E1741" s="15">
        <f ca="1">VLOOKUP(B1741,'ALL DATABASES'!$A$1:$T$2252,10,FALSE)</f>
        <v>2021</v>
      </c>
      <c r="F1741" s="54" t="str">
        <f ca="1">VLOOKUP(B1741,'ALL DATABASES'!$A$1:$T$2252,14,FALSE)</f>
        <v>https://www.scopus.com/inward/record.uri?eid=2-s2.0-85120538358&amp;doi=10.1109%2fRE51729.2021.00008&amp;partnerID=40&amp;md5=ab0058fcd692cf342f894173230c4e17;http://dx.doi.org/10.1109/RE51729.2021.00008</v>
      </c>
      <c r="G1741" s="15" t="str">
        <f ca="1">VLOOKUP(B1741,'ALL DATABASES'!$A$1:$T$2252,3,FALSE)</f>
        <v>Conference Paper</v>
      </c>
      <c r="H1741" s="50" t="str">
        <f ca="1">VLOOKUP(B1741,'ALL DATABASES'!$A$1:$T$2252,20,FALSE)</f>
        <v>SCOPUS</v>
      </c>
    </row>
    <row r="1742" spans="1:8" ht="12.75" x14ac:dyDescent="0.2">
      <c r="A1742">
        <v>1741</v>
      </c>
      <c r="B1742" s="15" t="str">
        <f ca="1">IFERROR(__xludf.DUMMYFUNCTION("""COMPUTED_VALUE"""),"When Testing Meets Code Review: Why and How Developers Review Tests")</f>
        <v>When Testing Meets Code Review: Why and How Developers Review Tests</v>
      </c>
      <c r="C1742" s="15" t="str">
        <f ca="1">VLOOKUP(B1742,'ALL DATABASES'!$A$1:$T$2252,2,FALSE)</f>
        <v>Spadini D,Aniche M,Storey MA,Bruntink M,Bacchelli A</v>
      </c>
      <c r="D1742" s="15">
        <f ca="1">VLOOKUP(B1742,'ALL DATABASES'!$A$1:$T$2252,5,FALSE)</f>
        <v>2018</v>
      </c>
      <c r="E1742" s="15">
        <f ca="1">VLOOKUP(B1742,'ALL DATABASES'!$A$1:$T$2252,10,FALSE)</f>
        <v>2018</v>
      </c>
      <c r="F1742" s="54" t="str">
        <f ca="1">VLOOKUP(B1742,'ALL DATABASES'!$A$1:$T$2252,14,FALSE)</f>
        <v>https://doi.org/10.1145/3180155.3180192;http://dx.doi.org/10.1145/3180155.3180192</v>
      </c>
      <c r="G1742" s="15" t="str">
        <f ca="1">VLOOKUP(B1742,'ALL DATABASES'!$A$1:$T$2252,3,FALSE)</f>
        <v>Conference Paper</v>
      </c>
      <c r="H1742" s="50" t="str">
        <f ca="1">VLOOKUP(B1742,'ALL DATABASES'!$A$1:$T$2252,20,FALSE)</f>
        <v>ACM</v>
      </c>
    </row>
    <row r="1743" spans="1:8" ht="12.75" x14ac:dyDescent="0.2">
      <c r="A1743">
        <v>1742</v>
      </c>
      <c r="B1743" s="15" t="str">
        <f ca="1">IFERROR(__xludf.DUMMYFUNCTION("""COMPUTED_VALUE"""),"When the Code becomes a Crime Scene Towards Dark Web Threat Intelligence with Software Quality Metrics")</f>
        <v>When the Code becomes a Crime Scene Towards Dark Web Threat Intelligence with Software Quality Metrics</v>
      </c>
      <c r="C1743" s="15" t="str">
        <f ca="1">VLOOKUP(B1743,'ALL DATABASES'!$A$1:$T$2252,2,FALSE)</f>
        <v>Cascavilla G,Catolino G,Ebert F,Tamburri DA,van den Heuvel WJ</v>
      </c>
      <c r="D1743" s="15">
        <f ca="1">VLOOKUP(B1743,'ALL DATABASES'!$A$1:$T$2252,5,FALSE)</f>
        <v>2022</v>
      </c>
      <c r="E1743" s="53">
        <f ca="1">VLOOKUP(B1743,'ALL DATABASES'!$A$1:$T$2252,10,FALSE)</f>
        <v>44835</v>
      </c>
      <c r="F1743" s="54" t="str">
        <f ca="1">VLOOKUP(B1743,'ALL DATABASES'!$A$1:$T$2252,14,FALSE)</f>
        <v>http://dx.doi.org/10.1109/ICSME55016.2022.00055</v>
      </c>
      <c r="G1743" s="15" t="str">
        <f ca="1">VLOOKUP(B1743,'ALL DATABASES'!$A$1:$T$2252,3,FALSE)</f>
        <v>Conference Paper</v>
      </c>
      <c r="H1743" s="50" t="str">
        <f ca="1">VLOOKUP(B1743,'ALL DATABASES'!$A$1:$T$2252,20,FALSE)</f>
        <v>IEEE</v>
      </c>
    </row>
    <row r="1744" spans="1:8" ht="12.75" x14ac:dyDescent="0.2">
      <c r="A1744">
        <v>1743</v>
      </c>
      <c r="B1744" s="15" t="str">
        <f ca="1">IFERROR(__xludf.DUMMYFUNCTION("""COMPUTED_VALUE"""),"When traceability goes awry: An industrial experience report")</f>
        <v>When traceability goes awry: An industrial experience report</v>
      </c>
      <c r="C1744" s="15" t="str">
        <f ca="1">VLOOKUP(B1744,'ALL DATABASES'!$A$1:$T$2252,2,FALSE)</f>
        <v>Fucci D,Alégroth E,Axelsson T</v>
      </c>
      <c r="D1744" s="15">
        <f ca="1">VLOOKUP(B1744,'ALL DATABASES'!$A$1:$T$2252,5,FALSE)</f>
        <v>2022</v>
      </c>
      <c r="E1744" s="15">
        <f ca="1">VLOOKUP(B1744,'ALL DATABASES'!$A$1:$T$2252,10,FALSE)</f>
        <v>2022</v>
      </c>
      <c r="F1744" s="54" t="str">
        <f ca="1">VLOOKUP(B1744,'ALL DATABASES'!$A$1:$T$2252,14,FALSE)</f>
        <v>https://www.sciencedirect.com/science/article/pii/S0164121222001091;http://dx.doi.org/10.1016/j.jss.2022.111389</v>
      </c>
      <c r="G1744" s="15" t="str">
        <f ca="1">VLOOKUP(B1744,'ALL DATABASES'!$A$1:$T$2252,3,FALSE)</f>
        <v>Journal Article</v>
      </c>
      <c r="H1744" s="50" t="str">
        <f ca="1">VLOOKUP(B1744,'ALL DATABASES'!$A$1:$T$2252,20,FALSE)</f>
        <v>SCIENCEDIRECT</v>
      </c>
    </row>
    <row r="1745" spans="1:8" ht="12.75" x14ac:dyDescent="0.2">
      <c r="A1745">
        <v>1744</v>
      </c>
      <c r="B1745" s="15" t="str">
        <f ca="1">IFERROR(__xludf.DUMMYFUNCTION("""COMPUTED_VALUE"""),"Which Commits Can Be CI Skipped?")</f>
        <v>Which Commits Can Be CI Skipped?</v>
      </c>
      <c r="C1745" s="15" t="str">
        <f ca="1">VLOOKUP(B1745,'ALL DATABASES'!$A$1:$T$2252,2,FALSE)</f>
        <v>Abdalkareem R,Mujahid S,Shihab E,Rilling J</v>
      </c>
      <c r="D1745" s="15">
        <f ca="1">VLOOKUP(B1745,'ALL DATABASES'!$A$1:$T$2252,5,FALSE)</f>
        <v>2021</v>
      </c>
      <c r="E1745" s="15">
        <f ca="1">VLOOKUP(B1745,'ALL DATABASES'!$A$1:$T$2252,10,FALSE)</f>
        <v>2021</v>
      </c>
      <c r="F1745" s="54" t="str">
        <f ca="1">VLOOKUP(B1745,'ALL DATABASES'!$A$1:$T$2252,14,FALSE)</f>
        <v>https://www.scopus.com/inward/record.uri?eid=2-s2.0-85103217766&amp;doi=10.1109%2fTSE.2019.2897300&amp;partnerID=40&amp;md5=17aa466ad61386ef9b07e43639b8c62b;http://dx.doi.org/10.1109/TSE.2019.2897300</v>
      </c>
      <c r="G1745" s="15" t="str">
        <f ca="1">VLOOKUP(B1745,'ALL DATABASES'!$A$1:$T$2252,3,FALSE)</f>
        <v>Journal Article</v>
      </c>
      <c r="H1745" s="50" t="str">
        <f ca="1">VLOOKUP(B1745,'ALL DATABASES'!$A$1:$T$2252,20,FALSE)</f>
        <v>SCOPUS</v>
      </c>
    </row>
    <row r="1746" spans="1:8" ht="12.75" x14ac:dyDescent="0.2">
      <c r="A1746">
        <v>1745</v>
      </c>
      <c r="B1746" s="15" t="str">
        <f ca="1">IFERROR(__xludf.DUMMYFUNCTION("""COMPUTED_VALUE"""),"Which Strategies are Used in the Design of Technical LA Infrastructure?: A Qualitative Interview Study")</f>
        <v>Which Strategies are Used in the Design of Technical LA Infrastructure?: A Qualitative Interview Study</v>
      </c>
      <c r="C1746" s="15" t="str">
        <f ca="1">VLOOKUP(B1746,'ALL DATABASES'!$A$1:$T$2252,2,FALSE)</f>
        <v>Ciordas-Hertel GP,Schneider J,Drachsler H</v>
      </c>
      <c r="D1746" s="15">
        <f ca="1">VLOOKUP(B1746,'ALL DATABASES'!$A$1:$T$2252,5,FALSE)</f>
        <v>2020</v>
      </c>
      <c r="E1746" s="55">
        <f ca="1">VLOOKUP(B1746,'ALL DATABASES'!$A$1:$T$2252,10,FALSE)</f>
        <v>43922</v>
      </c>
      <c r="F1746" s="54" t="str">
        <f ca="1">VLOOKUP(B1746,'ALL DATABASES'!$A$1:$T$2252,14,FALSE)</f>
        <v>http://dx.doi.org/10.1109/EDUCON45650.2020.9125363</v>
      </c>
      <c r="G1746" s="15" t="str">
        <f ca="1">VLOOKUP(B1746,'ALL DATABASES'!$A$1:$T$2252,3,FALSE)</f>
        <v>Conference Paper</v>
      </c>
      <c r="H1746" s="50" t="str">
        <f ca="1">VLOOKUP(B1746,'ALL DATABASES'!$A$1:$T$2252,20,FALSE)</f>
        <v>IEEE</v>
      </c>
    </row>
    <row r="1747" spans="1:8" ht="12.75" x14ac:dyDescent="0.2">
      <c r="A1747">
        <v>1746</v>
      </c>
      <c r="B1747" s="15" t="str">
        <f ca="1">IFERROR(__xludf.DUMMYFUNCTION("""COMPUTED_VALUE"""),"Who is afraid of black box algorithms? On the epistemological and ethical basis of trust in medical AI")</f>
        <v>Who is afraid of black box algorithms? On the epistemological and ethical basis of trust in medical AI</v>
      </c>
      <c r="C1747" s="15" t="str">
        <f ca="1">VLOOKUP(B1747,'ALL DATABASES'!$A$1:$T$2252,2,FALSE)</f>
        <v>Durán JM,Jongsma KR</v>
      </c>
      <c r="D1747" s="15">
        <f ca="1">VLOOKUP(B1747,'ALL DATABASES'!$A$1:$T$2252,5,FALSE)</f>
        <v>2021</v>
      </c>
      <c r="E1747" s="15">
        <f ca="1">VLOOKUP(B1747,'ALL DATABASES'!$A$1:$T$2252,10,FALSE)</f>
        <v>2021</v>
      </c>
      <c r="F1747" s="54" t="str">
        <f ca="1">VLOOKUP(B1747,'ALL DATABASES'!$A$1:$T$2252,14,FALSE)</f>
        <v>https://www.scopus.com/inward/record.uri?eid=2-s2.0-85102615736&amp;doi=10.1136%2fmedethics-2020-106820&amp;partnerID=40&amp;md5=1c247440ebd3e00e8e186d01492a6541;http://dx.doi.org/10.1136/medethics-2020-106820</v>
      </c>
      <c r="G1747" s="15" t="str">
        <f ca="1">VLOOKUP(B1747,'ALL DATABASES'!$A$1:$T$2252,3,FALSE)</f>
        <v>Journal Article</v>
      </c>
      <c r="H1747" s="50" t="str">
        <f ca="1">VLOOKUP(B1747,'ALL DATABASES'!$A$1:$T$2252,20,FALSE)</f>
        <v>SCOPUS</v>
      </c>
    </row>
    <row r="1748" spans="1:8" ht="12.75" x14ac:dyDescent="0.2">
      <c r="A1748">
        <v>1747</v>
      </c>
      <c r="B1748" s="15" t="str">
        <f ca="1">IFERROR(__xludf.DUMMYFUNCTION("""COMPUTED_VALUE"""),"Who needs MLOps: What data scientists seek to accomplish and how can MLOps help?")</f>
        <v>Who needs MLOps: What data scientists seek to accomplish and how can MLOps help?</v>
      </c>
      <c r="C1748" s="15" t="str">
        <f ca="1">VLOOKUP(B1748,'ALL DATABASES'!$A$1:$T$2252,2,FALSE)</f>
        <v>Makinen S,Skogstrom H,Laaksonen E,Mikkonen T</v>
      </c>
      <c r="D1748" s="15">
        <f ca="1">VLOOKUP(B1748,'ALL DATABASES'!$A$1:$T$2252,5,FALSE)</f>
        <v>2021</v>
      </c>
      <c r="E1748" s="15">
        <f ca="1">VLOOKUP(B1748,'ALL DATABASES'!$A$1:$T$2252,10,FALSE)</f>
        <v>2021</v>
      </c>
      <c r="F1748" s="54" t="str">
        <f ca="1">VLOOKUP(B1748,'ALL DATABASES'!$A$1:$T$2252,14,FALSE)</f>
        <v>https://www.scopus.com/inward/record.uri?eid=2-s2.0-85113208599&amp;doi=10.1109%2fWAIN52551.2021.00024&amp;partnerID=40&amp;md5=0d73b7c7f817a297726b2293381e833d;http://dx.doi.org/10.1109/WAIN52551.2021.00024</v>
      </c>
      <c r="G1748" s="15" t="str">
        <f ca="1">VLOOKUP(B1748,'ALL DATABASES'!$A$1:$T$2252,3,FALSE)</f>
        <v>Conference Paper</v>
      </c>
      <c r="H1748" s="50" t="str">
        <f ca="1">VLOOKUP(B1748,'ALL DATABASES'!$A$1:$T$2252,20,FALSE)</f>
        <v>SCOPUS</v>
      </c>
    </row>
    <row r="1749" spans="1:8" ht="12.75" x14ac:dyDescent="0.2">
      <c r="A1749">
        <v>1748</v>
      </c>
      <c r="B1749" s="15" t="str">
        <f ca="1">IFERROR(__xludf.DUMMYFUNCTION("""COMPUTED_VALUE"""),"Why do builds fail?—A conceptual replication study")</f>
        <v>Why do builds fail?—A conceptual replication study</v>
      </c>
      <c r="C1749" s="15" t="str">
        <f ca="1">VLOOKUP(B1749,'ALL DATABASES'!$A$1:$T$2252,2,FALSE)</f>
        <v>Barrak A,Eghan EE,Adams B,Khomh F</v>
      </c>
      <c r="D1749" s="15">
        <f ca="1">VLOOKUP(B1749,'ALL DATABASES'!$A$1:$T$2252,5,FALSE)</f>
        <v>2021</v>
      </c>
      <c r="E1749" s="15">
        <f ca="1">VLOOKUP(B1749,'ALL DATABASES'!$A$1:$T$2252,10,FALSE)</f>
        <v>2021</v>
      </c>
      <c r="F1749" s="54" t="str">
        <f ca="1">VLOOKUP(B1749,'ALL DATABASES'!$A$1:$T$2252,14,FALSE)</f>
        <v>https://www.sciencedirect.com/science/article/pii/S0164121221000364;http://dx.doi.org/10.1016/j.jss.2021.110939</v>
      </c>
      <c r="G1749" s="15" t="str">
        <f ca="1">VLOOKUP(B1749,'ALL DATABASES'!$A$1:$T$2252,3,FALSE)</f>
        <v>Journal Article</v>
      </c>
      <c r="H1749" s="50" t="str">
        <f ca="1">VLOOKUP(B1749,'ALL DATABASES'!$A$1:$T$2252,20,FALSE)</f>
        <v>SCIENCEDIRECT</v>
      </c>
    </row>
    <row r="1750" spans="1:8" ht="12.75" x14ac:dyDescent="0.2">
      <c r="A1750">
        <v>1749</v>
      </c>
      <c r="B1750" s="15" t="str">
        <f ca="1">IFERROR(__xludf.DUMMYFUNCTION("""COMPUTED_VALUE"""),"Why Do Smart Contracts Self-Destruct? Investigating the Selfdestruct Function on Ethereum")</f>
        <v>Why Do Smart Contracts Self-Destruct? Investigating the Selfdestruct Function on Ethereum</v>
      </c>
      <c r="C1750" s="15" t="str">
        <f ca="1">VLOOKUP(B1750,'ALL DATABASES'!$A$1:$T$2252,2,FALSE)</f>
        <v>Chen J,Xia X,Lo D,Grundy J</v>
      </c>
      <c r="D1750" s="15">
        <f ca="1">VLOOKUP(B1750,'ALL DATABASES'!$A$1:$T$2252,5,FALSE)</f>
        <v>2022</v>
      </c>
      <c r="E1750" s="15">
        <f ca="1">VLOOKUP(B1750,'ALL DATABASES'!$A$1:$T$2252,10,FALSE)</f>
        <v>2022</v>
      </c>
      <c r="F1750" s="54" t="str">
        <f ca="1">VLOOKUP(B1750,'ALL DATABASES'!$A$1:$T$2252,14,FALSE)</f>
        <v>https://www.scopus.com/inward/record.uri?eid=2-s2.0-85130710048&amp;doi=10.1145%2f3488245&amp;partnerID=40&amp;md5=bfecfcbf1c8e6522cc763a93063351e6;http://dx.doi.org/10.1145/3488245</v>
      </c>
      <c r="G1750" s="15" t="str">
        <f ca="1">VLOOKUP(B1750,'ALL DATABASES'!$A$1:$T$2252,3,FALSE)</f>
        <v>Journal Article</v>
      </c>
      <c r="H1750" s="50" t="str">
        <f ca="1">VLOOKUP(B1750,'ALL DATABASES'!$A$1:$T$2252,20,FALSE)</f>
        <v>SCOPUS</v>
      </c>
    </row>
    <row r="1751" spans="1:8" ht="12.75" x14ac:dyDescent="0.2">
      <c r="A1751">
        <v>1750</v>
      </c>
      <c r="B1751" s="15" t="str">
        <f ca="1">IFERROR(__xludf.DUMMYFUNCTION("""COMPUTED_VALUE"""),"Why My Code Summarization Model Does Not Work: Code Comment Improvement with Category Prediction")</f>
        <v>Why My Code Summarization Model Does Not Work: Code Comment Improvement with Category Prediction</v>
      </c>
      <c r="C1751" s="15" t="str">
        <f ca="1">VLOOKUP(B1751,'ALL DATABASES'!$A$1:$T$2252,2,FALSE)</f>
        <v>Chen Q,Xia X,Hu H,Lo D,Li S</v>
      </c>
      <c r="D1751" s="15">
        <f ca="1">VLOOKUP(B1751,'ALL DATABASES'!$A$1:$T$2252,5,FALSE)</f>
        <v>2021</v>
      </c>
      <c r="E1751" s="55">
        <f ca="1">VLOOKUP(B1751,'ALL DATABASES'!$A$1:$T$2252,10,FALSE)</f>
        <v>44228</v>
      </c>
      <c r="F1751" s="54" t="str">
        <f ca="1">VLOOKUP(B1751,'ALL DATABASES'!$A$1:$T$2252,14,FALSE)</f>
        <v>https://doi.org/10.1145/3434280;http://dx.doi.org/10.1145/3434280</v>
      </c>
      <c r="G1751" s="15" t="str">
        <f ca="1">VLOOKUP(B1751,'ALL DATABASES'!$A$1:$T$2252,3,FALSE)</f>
        <v>Journal Article</v>
      </c>
      <c r="H1751" s="50" t="str">
        <f ca="1">VLOOKUP(B1751,'ALL DATABASES'!$A$1:$T$2252,20,FALSE)</f>
        <v>ACM</v>
      </c>
    </row>
    <row r="1752" spans="1:8" ht="12.75" x14ac:dyDescent="0.2">
      <c r="A1752">
        <v>1751</v>
      </c>
      <c r="B1752" s="15" t="str">
        <f ca="1">IFERROR(__xludf.DUMMYFUNCTION("""COMPUTED_VALUE"""),"Why secret detection tools are not enough: It’s not just about false positives - An industrial case study")</f>
        <v>Why secret detection tools are not enough: It’s not just about false positives - An industrial case study</v>
      </c>
      <c r="C1752" s="15" t="str">
        <f ca="1">VLOOKUP(B1752,'ALL DATABASES'!$A$1:$T$2252,2,FALSE)</f>
        <v>Rahman MR,Imtiaz N,Storey MA,Williams L</v>
      </c>
      <c r="D1752" s="15">
        <f ca="1">VLOOKUP(B1752,'ALL DATABASES'!$A$1:$T$2252,5,FALSE)</f>
        <v>2022</v>
      </c>
      <c r="E1752" s="15">
        <f ca="1">VLOOKUP(B1752,'ALL DATABASES'!$A$1:$T$2252,10,FALSE)</f>
        <v>2022</v>
      </c>
      <c r="F1752" s="54" t="str">
        <f ca="1">VLOOKUP(B1752,'ALL DATABASES'!$A$1:$T$2252,14,FALSE)</f>
        <v>https://www.scopus.com/inward/record.uri?eid=2-s2.0-85126790322&amp;doi=10.1007%2fs10664-021-10109-y&amp;partnerID=40&amp;md5=ec6b16f333f2b757f75f6ee5ccf333b5;http://dx.doi.org/10.1007/s10664-021-10109-y</v>
      </c>
      <c r="G1752" s="15" t="str">
        <f ca="1">VLOOKUP(B1752,'ALL DATABASES'!$A$1:$T$2252,3,FALSE)</f>
        <v>Journal Article</v>
      </c>
      <c r="H1752" s="50" t="str">
        <f ca="1">VLOOKUP(B1752,'ALL DATABASES'!$A$1:$T$2252,20,FALSE)</f>
        <v>SCOPUS</v>
      </c>
    </row>
    <row r="1753" spans="1:8" ht="12.75" x14ac:dyDescent="0.2">
      <c r="A1753">
        <v>1752</v>
      </c>
      <c r="B1753" s="15" t="str">
        <f ca="1">IFERROR(__xludf.DUMMYFUNCTION("""COMPUTED_VALUE"""),"Why should i trust you? Explaining the predictions of any classifier")</f>
        <v>Why should i trust you? Explaining the predictions of any classifier</v>
      </c>
      <c r="C1753" s="15" t="str">
        <f ca="1">VLOOKUP(B1753,'ALL DATABASES'!$A$1:$T$2252,2,FALSE)</f>
        <v>Ribeiro MT,Singh S,Guestrin C</v>
      </c>
      <c r="D1753" s="15">
        <f ca="1">VLOOKUP(B1753,'ALL DATABASES'!$A$1:$T$2252,5,FALSE)</f>
        <v>2016</v>
      </c>
      <c r="E1753" s="15">
        <f ca="1">VLOOKUP(B1753,'ALL DATABASES'!$A$1:$T$2252,10,FALSE)</f>
        <v>2016</v>
      </c>
      <c r="F1753" s="54" t="str">
        <f ca="1">VLOOKUP(B1753,'ALL DATABASES'!$A$1:$T$2252,14,FALSE)</f>
        <v>https://www.scopus.com/inward/record.uri?eid=2-s2.0-84984985889&amp;doi=10.1145%2f2939672.2939778&amp;partnerID=40&amp;md5=217b33ce367d1ea7001014a5ac694c79;http://dx.doi.org/10.1145/2939672.2939778</v>
      </c>
      <c r="G1753" s="15" t="str">
        <f ca="1">VLOOKUP(B1753,'ALL DATABASES'!$A$1:$T$2252,3,FALSE)</f>
        <v>Conference Paper</v>
      </c>
      <c r="H1753" s="50" t="str">
        <f ca="1">VLOOKUP(B1753,'ALL DATABASES'!$A$1:$T$2252,20,FALSE)</f>
        <v>SCOPUS</v>
      </c>
    </row>
    <row r="1754" spans="1:8" ht="12.75" x14ac:dyDescent="0.2">
      <c r="A1754">
        <v>1753</v>
      </c>
      <c r="B1754" s="15" t="str">
        <f ca="1">IFERROR(__xludf.DUMMYFUNCTION("""COMPUTED_VALUE"""),"Why you should stop predicting customer churn and start using uplift models")</f>
        <v>Why you should stop predicting customer churn and start using uplift models</v>
      </c>
      <c r="C1754" s="15" t="str">
        <f ca="1">VLOOKUP(B1754,'ALL DATABASES'!$A$1:$T$2252,2,FALSE)</f>
        <v>Devriendt F,Berrevoets J,Verbeke W</v>
      </c>
      <c r="D1754" s="15">
        <f ca="1">VLOOKUP(B1754,'ALL DATABASES'!$A$1:$T$2252,5,FALSE)</f>
        <v>2021</v>
      </c>
      <c r="E1754" s="15">
        <f ca="1">VLOOKUP(B1754,'ALL DATABASES'!$A$1:$T$2252,10,FALSE)</f>
        <v>2021</v>
      </c>
      <c r="F1754" s="54" t="str">
        <f ca="1">VLOOKUP(B1754,'ALL DATABASES'!$A$1:$T$2252,14,FALSE)</f>
        <v>https://www.scopus.com/inward/record.uri?eid=2-s2.0-85077973878&amp;doi=10.1016%2fj.ins.2019.12.075&amp;partnerID=40&amp;md5=8fdb7b1e8502ecf7847b9a4f4c70cc02;http://dx.doi.org/10.1016/j.ins.2019.12.075</v>
      </c>
      <c r="G1754" s="15" t="str">
        <f ca="1">VLOOKUP(B1754,'ALL DATABASES'!$A$1:$T$2252,3,FALSE)</f>
        <v>Journal Article</v>
      </c>
      <c r="H1754" s="50" t="str">
        <f ca="1">VLOOKUP(B1754,'ALL DATABASES'!$A$1:$T$2252,20,FALSE)</f>
        <v>SCOPUS</v>
      </c>
    </row>
    <row r="1755" spans="1:8" ht="12.75" x14ac:dyDescent="0.2">
      <c r="A1755">
        <v>1754</v>
      </c>
      <c r="B1755" s="15" t="str">
        <f ca="1">IFERROR(__xludf.DUMMYFUNCTION("""COMPUTED_VALUE"""),"Within-project and cross-project just-in-time defect prediction based on denoising autoencoder and convolutional neural network")</f>
        <v>Within-project and cross-project just-in-time defect prediction based on denoising autoencoder and convolutional neural network</v>
      </c>
      <c r="C1755" s="15" t="str">
        <f ca="1">VLOOKUP(B1755,'ALL DATABASES'!$A$1:$T$2252,2,FALSE)</f>
        <v>Zhu K,Zhang N,Ying S,Zhu D</v>
      </c>
      <c r="D1755" s="15">
        <f ca="1">VLOOKUP(B1755,'ALL DATABASES'!$A$1:$T$2252,5,FALSE)</f>
        <v>2020</v>
      </c>
      <c r="E1755" s="15">
        <f ca="1">VLOOKUP(B1755,'ALL DATABASES'!$A$1:$T$2252,10,FALSE)</f>
        <v>2020</v>
      </c>
      <c r="F1755" s="54" t="str">
        <f ca="1">VLOOKUP(B1755,'ALL DATABASES'!$A$1:$T$2252,14,FALSE)</f>
        <v>https://www.scopus.com/inward/record.uri?eid=2-s2.0-85087734994&amp;doi=10.1049%2fiet-sen.2019.0278&amp;partnerID=40&amp;md5=509ae309532d980eadff266de8bb29d3;http://dx.doi.org/10.1049/iet-sen.2019.0278</v>
      </c>
      <c r="G1755" s="15" t="str">
        <f ca="1">VLOOKUP(B1755,'ALL DATABASES'!$A$1:$T$2252,3,FALSE)</f>
        <v>Journal Article</v>
      </c>
      <c r="H1755" s="50" t="str">
        <f ca="1">VLOOKUP(B1755,'ALL DATABASES'!$A$1:$T$2252,20,FALSE)</f>
        <v>SCOPUS</v>
      </c>
    </row>
    <row r="1756" spans="1:8" ht="12.75" x14ac:dyDescent="0.2">
      <c r="A1756">
        <v>1755</v>
      </c>
      <c r="B1756" s="15" t="str">
        <f ca="1">IFERROR(__xludf.DUMMYFUNCTION("""COMPUTED_VALUE"""),"Word Embeddings for the Software Engineering Domain")</f>
        <v>Word Embeddings for the Software Engineering Domain</v>
      </c>
      <c r="C1756" s="15" t="str">
        <f ca="1">VLOOKUP(B1756,'ALL DATABASES'!$A$1:$T$2252,2,FALSE)</f>
        <v>Efstathiou V,Chatzilenas C,Spinellis D</v>
      </c>
      <c r="D1756" s="15">
        <f ca="1">VLOOKUP(B1756,'ALL DATABASES'!$A$1:$T$2252,5,FALSE)</f>
        <v>2018</v>
      </c>
      <c r="E1756" s="15">
        <f ca="1">VLOOKUP(B1756,'ALL DATABASES'!$A$1:$T$2252,10,FALSE)</f>
        <v>2018</v>
      </c>
      <c r="F1756" s="54" t="str">
        <f ca="1">VLOOKUP(B1756,'ALL DATABASES'!$A$1:$T$2252,14,FALSE)</f>
        <v>https://doi.org/10.1145/3196398.3196448;http://dx.doi.org/10.1145/3196398.3196448</v>
      </c>
      <c r="G1756" s="15" t="str">
        <f ca="1">VLOOKUP(B1756,'ALL DATABASES'!$A$1:$T$2252,3,FALSE)</f>
        <v>Conference Paper</v>
      </c>
      <c r="H1756" s="50" t="str">
        <f ca="1">VLOOKUP(B1756,'ALL DATABASES'!$A$1:$T$2252,20,FALSE)</f>
        <v>ACM</v>
      </c>
    </row>
    <row r="1757" spans="1:8" ht="12.75" x14ac:dyDescent="0.2">
      <c r="A1757">
        <v>1756</v>
      </c>
      <c r="B1757" s="15" t="str">
        <f ca="1">IFERROR(__xludf.DUMMYFUNCTION("""COMPUTED_VALUE"""),"Work Systems in the Indian Information Technology (IT) Industry Delivering Artificial Intelligence (AI) Solutions and the Challenges of Work from Home")</f>
        <v>Work Systems in the Indian Information Technology (IT) Industry Delivering Artificial Intelligence (AI) Solutions and the Challenges of Work from Home</v>
      </c>
      <c r="C1757" s="15" t="str">
        <f ca="1">VLOOKUP(B1757,'ALL DATABASES'!$A$1:$T$2252,2,FALSE)</f>
        <v>Venumuddala VR,Kamath R</v>
      </c>
      <c r="D1757" s="15">
        <f ca="1">VLOOKUP(B1757,'ALL DATABASES'!$A$1:$T$2252,5,FALSE)</f>
        <v>2022</v>
      </c>
      <c r="E1757" s="15">
        <f ca="1">VLOOKUP(B1757,'ALL DATABASES'!$A$1:$T$2252,10,FALSE)</f>
        <v>2022</v>
      </c>
      <c r="F1757" s="54" t="str">
        <f ca="1">VLOOKUP(B1757,'ALL DATABASES'!$A$1:$T$2252,14,FALSE)</f>
        <v>https://www.scopus.com/inward/record.uri?eid=2-s2.0-85126020125&amp;doi=10.1007%2fs10796-022-10259-4&amp;partnerID=40&amp;md5=02d7f58fed7b812eb6ee8d66637e9358;http://dx.doi.org/10.1007/s10796-022-10259-4</v>
      </c>
      <c r="G1757" s="15" t="str">
        <f ca="1">VLOOKUP(B1757,'ALL DATABASES'!$A$1:$T$2252,3,FALSE)</f>
        <v>Journal Article</v>
      </c>
      <c r="H1757" s="50" t="str">
        <f ca="1">VLOOKUP(B1757,'ALL DATABASES'!$A$1:$T$2252,20,FALSE)</f>
        <v>SCOPUS</v>
      </c>
    </row>
    <row r="1758" spans="1:8" ht="12.75" x14ac:dyDescent="0.2">
      <c r="A1758">
        <v>1757</v>
      </c>
      <c r="B1758" s="15" t="str">
        <f ca="1">IFERROR(__xludf.DUMMYFUNCTION("""COMPUTED_VALUE"""),"Your System Gets Better Every Day You Use It: Towards Automated Continuous Experimentation")</f>
        <v>Your System Gets Better Every Day You Use It: Towards Automated Continuous Experimentation</v>
      </c>
      <c r="C1758" s="15" t="str">
        <f ca="1">VLOOKUP(B1758,'ALL DATABASES'!$A$1:$T$2252,2,FALSE)</f>
        <v>Mattos DI,Bosch J,Olsson HH</v>
      </c>
      <c r="D1758" s="15">
        <f ca="1">VLOOKUP(B1758,'ALL DATABASES'!$A$1:$T$2252,5,FALSE)</f>
        <v>2017</v>
      </c>
      <c r="E1758" s="55">
        <f ca="1">VLOOKUP(B1758,'ALL DATABASES'!$A$1:$T$2252,10,FALSE)</f>
        <v>42948</v>
      </c>
      <c r="F1758" s="54" t="str">
        <f ca="1">VLOOKUP(B1758,'ALL DATABASES'!$A$1:$T$2252,14,FALSE)</f>
        <v>http://dx.doi.org/10.1109/SEAA.2017.15</v>
      </c>
      <c r="G1758" s="15" t="str">
        <f ca="1">VLOOKUP(B1758,'ALL DATABASES'!$A$1:$T$2252,3,FALSE)</f>
        <v>Conference Paper</v>
      </c>
      <c r="H1758" s="50" t="str">
        <f ca="1">VLOOKUP(B1758,'ALL DATABASES'!$A$1:$T$2252,20,FALSE)</f>
        <v>IEEE</v>
      </c>
    </row>
    <row r="1759" spans="1:8" ht="12.75" x14ac:dyDescent="0.2">
      <c r="A1759">
        <v>1758</v>
      </c>
      <c r="B1759" s="15" t="str">
        <f ca="1">IFERROR(__xludf.DUMMYFUNCTION("""COMPUTED_VALUE"""),"ZukunftsfÃ¤higkeit durch Innovation, Digitalisierung und Technologien")</f>
        <v>ZukunftsfÃ¤higkeit durch Innovation, Digitalisierung und Technologien</v>
      </c>
      <c r="C1759" s="15" t="str">
        <f ca="1">VLOOKUP(B1759,'ALL DATABASES'!$A$1:$T$2252,2,FALSE)</f>
        <v>Dr. Markus BodemannDr. Wiebke FellnerDr. Vanessa Just</v>
      </c>
      <c r="D1759" s="15">
        <f ca="1">VLOOKUP(B1759,'ALL DATABASES'!$A$1:$T$2252,5,FALSE)</f>
        <v>2021</v>
      </c>
      <c r="E1759" s="15">
        <f ca="1">VLOOKUP(B1759,'ALL DATABASES'!$A$1:$T$2252,10,FALSE)</f>
        <v>0</v>
      </c>
      <c r="F1759" s="54" t="str">
        <f ca="1">VLOOKUP(B1759,'ALL DATABASES'!$A$1:$T$2252,14,FALSE)</f>
        <v>http://link.springer.com/book/10.1007/978-3-662-62148-6</v>
      </c>
      <c r="G1759" s="15" t="str">
        <f ca="1">VLOOKUP(B1759,'ALL DATABASES'!$A$1:$T$2252,3,FALSE)</f>
        <v>Book</v>
      </c>
      <c r="H1759" s="50" t="str">
        <f ca="1">VLOOKUP(B1759,'ALL DATABASES'!$A$1:$T$2252,20,FALSE)</f>
        <v>SPRINGER</v>
      </c>
    </row>
    <row r="1760" spans="1:8" ht="12.75" x14ac:dyDescent="0.2">
      <c r="B1760" s="15"/>
      <c r="C1760" s="15"/>
      <c r="D1760" s="15"/>
      <c r="E1760" s="15"/>
      <c r="F1760" s="15"/>
      <c r="G1760" s="15"/>
      <c r="H1760" s="50"/>
    </row>
    <row r="1761" spans="2:7" ht="12.75" x14ac:dyDescent="0.2">
      <c r="B1761" s="15"/>
      <c r="C1761" s="15"/>
      <c r="D1761" s="15"/>
      <c r="E1761" s="15"/>
      <c r="F1761" s="15"/>
      <c r="G1761" s="15"/>
    </row>
    <row r="1762" spans="2:7" ht="12.75" x14ac:dyDescent="0.2">
      <c r="B1762" s="15"/>
      <c r="C1762" s="15"/>
      <c r="D1762" s="15"/>
      <c r="E1762" s="15"/>
      <c r="F1762" s="15"/>
      <c r="G1762" s="15"/>
    </row>
    <row r="1763" spans="2:7" ht="12.75" x14ac:dyDescent="0.2">
      <c r="B1763" s="15"/>
      <c r="C1763" s="15"/>
      <c r="D1763" s="15"/>
      <c r="E1763" s="15"/>
      <c r="F1763" s="15"/>
      <c r="G1763" s="15"/>
    </row>
    <row r="1764" spans="2:7" ht="12.75" x14ac:dyDescent="0.2">
      <c r="B1764" s="15"/>
      <c r="C1764" s="15"/>
      <c r="D1764" s="15"/>
      <c r="E1764" s="15"/>
      <c r="F1764" s="15"/>
      <c r="G1764" s="15"/>
    </row>
    <row r="1765" spans="2:7" ht="12.75" x14ac:dyDescent="0.2">
      <c r="B1765" s="15"/>
      <c r="C1765" s="15"/>
      <c r="D1765" s="15"/>
      <c r="E1765" s="15"/>
      <c r="F1765" s="15"/>
      <c r="G1765" s="15"/>
    </row>
    <row r="1766" spans="2:7" ht="12.75" x14ac:dyDescent="0.2">
      <c r="B1766" s="15"/>
      <c r="C1766" s="15"/>
      <c r="D1766" s="15"/>
      <c r="E1766" s="15"/>
      <c r="F1766" s="15"/>
      <c r="G1766" s="15"/>
    </row>
    <row r="1767" spans="2:7" ht="12.75" x14ac:dyDescent="0.2">
      <c r="B1767" s="15"/>
      <c r="C1767" s="15"/>
      <c r="D1767" s="15"/>
      <c r="E1767" s="15"/>
      <c r="F1767" s="15"/>
      <c r="G1767" s="15"/>
    </row>
    <row r="1768" spans="2:7" ht="12.75" x14ac:dyDescent="0.2">
      <c r="B1768" s="15"/>
      <c r="C1768" s="15"/>
      <c r="D1768" s="15"/>
      <c r="E1768" s="15"/>
      <c r="F1768" s="15"/>
      <c r="G1768" s="15"/>
    </row>
    <row r="1769" spans="2:7" ht="12.75" x14ac:dyDescent="0.2">
      <c r="B1769" s="15"/>
      <c r="C1769" s="15"/>
      <c r="D1769" s="15"/>
      <c r="E1769" s="15"/>
      <c r="F1769" s="15"/>
      <c r="G1769" s="15"/>
    </row>
    <row r="1770" spans="2:7" ht="12.75" x14ac:dyDescent="0.2">
      <c r="B1770" s="15"/>
      <c r="C1770" s="15"/>
      <c r="D1770" s="15"/>
      <c r="E1770" s="15"/>
      <c r="F1770" s="15"/>
      <c r="G1770" s="15"/>
    </row>
    <row r="1771" spans="2:7" ht="12.75" x14ac:dyDescent="0.2">
      <c r="B1771" s="15"/>
      <c r="C1771" s="15"/>
      <c r="D1771" s="15"/>
      <c r="E1771" s="15"/>
      <c r="F1771" s="15"/>
      <c r="G1771" s="15"/>
    </row>
    <row r="1772" spans="2:7" ht="12.75" x14ac:dyDescent="0.2">
      <c r="B1772" s="15"/>
      <c r="C1772" s="15"/>
      <c r="D1772" s="15"/>
      <c r="E1772" s="15"/>
      <c r="F1772" s="15"/>
      <c r="G1772" s="15"/>
    </row>
    <row r="1773" spans="2:7" ht="12.75" x14ac:dyDescent="0.2">
      <c r="B1773" s="15"/>
      <c r="C1773" s="15"/>
      <c r="D1773" s="15"/>
      <c r="E1773" s="15"/>
      <c r="F1773" s="15"/>
      <c r="G1773" s="15"/>
    </row>
    <row r="1774" spans="2:7" ht="12.75" x14ac:dyDescent="0.2">
      <c r="B1774" s="15"/>
      <c r="C1774" s="15"/>
      <c r="D1774" s="15"/>
      <c r="E1774" s="15"/>
      <c r="F1774" s="15"/>
      <c r="G1774" s="15"/>
    </row>
    <row r="1775" spans="2:7" ht="12.75" x14ac:dyDescent="0.2">
      <c r="B1775" s="15"/>
      <c r="C1775" s="15"/>
      <c r="D1775" s="15"/>
      <c r="E1775" s="15"/>
      <c r="F1775" s="15"/>
      <c r="G1775" s="15"/>
    </row>
    <row r="1776" spans="2:7" ht="12.75" x14ac:dyDescent="0.2">
      <c r="B1776" s="15"/>
      <c r="C1776" s="15"/>
      <c r="D1776" s="15"/>
      <c r="E1776" s="15"/>
      <c r="F1776" s="15"/>
      <c r="G1776" s="15"/>
    </row>
    <row r="1777" spans="2:8" ht="12.75" x14ac:dyDescent="0.2">
      <c r="B1777" s="15"/>
      <c r="C1777" s="15"/>
      <c r="D1777" s="15"/>
      <c r="E1777" s="15"/>
      <c r="F1777" s="15"/>
      <c r="G1777" s="15"/>
    </row>
    <row r="1778" spans="2:8" ht="12.75" x14ac:dyDescent="0.2">
      <c r="B1778" s="15"/>
      <c r="C1778" s="15"/>
      <c r="D1778" s="15"/>
      <c r="E1778" s="15"/>
      <c r="F1778" s="15"/>
      <c r="G1778" s="15"/>
    </row>
    <row r="1779" spans="2:8" ht="12.75" x14ac:dyDescent="0.2">
      <c r="B1779" s="15"/>
      <c r="C1779" s="15"/>
      <c r="D1779" s="15"/>
      <c r="E1779" s="15"/>
      <c r="F1779" s="15"/>
      <c r="G1779" s="15"/>
    </row>
    <row r="1780" spans="2:8" ht="12.75" x14ac:dyDescent="0.2">
      <c r="B1780" s="15"/>
      <c r="C1780" s="15"/>
      <c r="D1780" s="15"/>
      <c r="E1780" s="15"/>
      <c r="F1780" s="15"/>
      <c r="G1780" s="15"/>
    </row>
    <row r="1781" spans="2:8" ht="12.75" x14ac:dyDescent="0.2">
      <c r="B1781" s="15"/>
      <c r="C1781" s="15"/>
      <c r="D1781" s="15"/>
      <c r="E1781" s="15"/>
      <c r="F1781" s="15"/>
      <c r="G1781" s="15"/>
    </row>
    <row r="1782" spans="2:8" ht="12.75" x14ac:dyDescent="0.2">
      <c r="B1782" s="15"/>
      <c r="C1782" s="15"/>
      <c r="D1782" s="15"/>
      <c r="E1782" s="15"/>
      <c r="F1782" s="15"/>
      <c r="G1782" s="29" t="s">
        <v>12839</v>
      </c>
      <c r="H1782" s="50">
        <f>ROWS(H2:H1759)</f>
        <v>1758</v>
      </c>
    </row>
    <row r="1783" spans="2:8" ht="12.75" x14ac:dyDescent="0.2">
      <c r="B1783" s="15">
        <f>2251-H1782</f>
        <v>493</v>
      </c>
      <c r="C1783" s="15"/>
      <c r="D1783" s="15"/>
      <c r="E1783" s="15"/>
      <c r="F1783" s="15"/>
      <c r="G1783" s="15"/>
    </row>
    <row r="1784" spans="2:8" ht="12.75" x14ac:dyDescent="0.2">
      <c r="B1784" s="15"/>
      <c r="C1784" s="15"/>
      <c r="D1784" s="15"/>
      <c r="E1784" s="15"/>
      <c r="F1784" s="15"/>
      <c r="G1784" s="15"/>
    </row>
    <row r="1785" spans="2:8" ht="12.75" x14ac:dyDescent="0.2">
      <c r="B1785" s="15"/>
      <c r="C1785" s="15"/>
      <c r="D1785" s="15"/>
      <c r="E1785" s="15"/>
      <c r="F1785" s="15"/>
      <c r="G1785" s="15"/>
    </row>
    <row r="1786" spans="2:8" ht="12.75" x14ac:dyDescent="0.2">
      <c r="B1786" s="15"/>
      <c r="C1786" s="15"/>
      <c r="D1786" s="15"/>
      <c r="E1786" s="15"/>
      <c r="F1786" s="15"/>
      <c r="G1786" s="15"/>
    </row>
    <row r="1787" spans="2:8" ht="12.75" x14ac:dyDescent="0.2">
      <c r="B1787" s="15"/>
      <c r="C1787" s="15"/>
      <c r="D1787" s="15"/>
      <c r="E1787" s="15"/>
      <c r="F1787" s="15"/>
      <c r="G1787" s="15"/>
    </row>
    <row r="1788" spans="2:8" ht="12.75" x14ac:dyDescent="0.2">
      <c r="B1788" s="15"/>
      <c r="C1788" s="15"/>
      <c r="D1788" s="15"/>
      <c r="E1788" s="15"/>
      <c r="F1788" s="15"/>
      <c r="G1788" s="15"/>
    </row>
    <row r="1789" spans="2:8" ht="12.75" x14ac:dyDescent="0.2">
      <c r="B1789" s="15"/>
      <c r="C1789" s="15"/>
      <c r="D1789" s="15"/>
      <c r="E1789" s="15"/>
      <c r="F1789" s="15"/>
      <c r="G1789" s="15"/>
    </row>
    <row r="1790" spans="2:8" ht="12.75" x14ac:dyDescent="0.2">
      <c r="B1790" s="15"/>
      <c r="C1790" s="15"/>
      <c r="D1790" s="15"/>
      <c r="E1790" s="15"/>
      <c r="F1790" s="15"/>
      <c r="G1790" s="15"/>
    </row>
    <row r="1791" spans="2:8" ht="12.75" x14ac:dyDescent="0.2">
      <c r="B1791" s="15"/>
      <c r="C1791" s="15"/>
      <c r="D1791" s="15"/>
      <c r="E1791" s="15"/>
      <c r="F1791" s="15"/>
      <c r="G1791" s="15"/>
    </row>
    <row r="1792" spans="2:8" ht="12.75" x14ac:dyDescent="0.2">
      <c r="B1792" s="15"/>
      <c r="C1792" s="15"/>
      <c r="D1792" s="15"/>
      <c r="E1792" s="15"/>
      <c r="F1792" s="15"/>
      <c r="G1792" s="15"/>
    </row>
    <row r="1793" spans="2:7" ht="12.75" x14ac:dyDescent="0.2">
      <c r="B1793" s="15"/>
      <c r="C1793" s="15"/>
      <c r="D1793" s="15"/>
      <c r="E1793" s="15"/>
      <c r="F1793" s="15"/>
      <c r="G1793" s="15"/>
    </row>
    <row r="1794" spans="2:7" ht="12.75" x14ac:dyDescent="0.2">
      <c r="B1794" s="15"/>
      <c r="C1794" s="15"/>
      <c r="D1794" s="15"/>
      <c r="E1794" s="15"/>
      <c r="F1794" s="15"/>
      <c r="G1794" s="15"/>
    </row>
    <row r="1795" spans="2:7" ht="12.75" x14ac:dyDescent="0.2">
      <c r="B1795" s="15"/>
      <c r="C1795" s="15"/>
      <c r="D1795" s="15"/>
      <c r="E1795" s="15"/>
      <c r="F1795" s="15"/>
      <c r="G1795" s="15"/>
    </row>
    <row r="1796" spans="2:7" ht="12.75" x14ac:dyDescent="0.2">
      <c r="B1796" s="15"/>
      <c r="C1796" s="15"/>
      <c r="D1796" s="15"/>
      <c r="E1796" s="15"/>
      <c r="F1796" s="15"/>
      <c r="G1796" s="15"/>
    </row>
    <row r="1797" spans="2:7" ht="12.75" x14ac:dyDescent="0.2">
      <c r="B1797" s="15"/>
      <c r="C1797" s="15"/>
      <c r="D1797" s="15"/>
      <c r="E1797" s="15"/>
      <c r="F1797" s="15"/>
      <c r="G1797" s="15"/>
    </row>
    <row r="1798" spans="2:7" ht="12.75" x14ac:dyDescent="0.2">
      <c r="B1798" s="15"/>
      <c r="C1798" s="15"/>
      <c r="D1798" s="15"/>
      <c r="E1798" s="15"/>
      <c r="F1798" s="15"/>
      <c r="G1798" s="15"/>
    </row>
    <row r="1799" spans="2:7" ht="12.75" x14ac:dyDescent="0.2">
      <c r="B1799" s="15"/>
      <c r="C1799" s="15"/>
      <c r="D1799" s="15"/>
      <c r="E1799" s="15"/>
      <c r="F1799" s="15"/>
      <c r="G1799" s="15"/>
    </row>
    <row r="1800" spans="2:7" ht="12.75" x14ac:dyDescent="0.2">
      <c r="B1800" s="15"/>
      <c r="C1800" s="15"/>
      <c r="D1800" s="15"/>
      <c r="E1800" s="15"/>
      <c r="F1800" s="15"/>
      <c r="G1800" s="15"/>
    </row>
    <row r="1801" spans="2:7" ht="12.75" x14ac:dyDescent="0.2">
      <c r="B1801" s="15"/>
      <c r="C1801" s="15"/>
      <c r="D1801" s="15"/>
      <c r="E1801" s="15"/>
      <c r="F1801" s="15"/>
      <c r="G1801" s="15"/>
    </row>
    <row r="1802" spans="2:7" ht="12.75" x14ac:dyDescent="0.2">
      <c r="B1802" s="15"/>
      <c r="C1802" s="15"/>
      <c r="D1802" s="15"/>
      <c r="E1802" s="15"/>
      <c r="F1802" s="15"/>
      <c r="G1802" s="15"/>
    </row>
    <row r="1803" spans="2:7" ht="12.75" x14ac:dyDescent="0.2">
      <c r="B1803" s="15"/>
      <c r="C1803" s="15"/>
      <c r="D1803" s="15"/>
      <c r="E1803" s="15"/>
      <c r="F1803" s="15"/>
      <c r="G1803" s="15"/>
    </row>
    <row r="1804" spans="2:7" ht="12.75" x14ac:dyDescent="0.2">
      <c r="B1804" s="15"/>
      <c r="C1804" s="15"/>
      <c r="D1804" s="15"/>
      <c r="E1804" s="15"/>
      <c r="F1804" s="15"/>
      <c r="G1804" s="15"/>
    </row>
    <row r="1805" spans="2:7" ht="12.75" x14ac:dyDescent="0.2">
      <c r="B1805" s="15"/>
      <c r="C1805" s="15"/>
      <c r="D1805" s="15"/>
      <c r="E1805" s="15"/>
      <c r="F1805" s="15"/>
      <c r="G1805" s="15"/>
    </row>
    <row r="1806" spans="2:7" ht="12.75" x14ac:dyDescent="0.2">
      <c r="B1806" s="15"/>
      <c r="C1806" s="15"/>
      <c r="D1806" s="15"/>
      <c r="E1806" s="15"/>
      <c r="F1806" s="15"/>
      <c r="G1806" s="15"/>
    </row>
    <row r="1807" spans="2:7" ht="12.75" x14ac:dyDescent="0.2">
      <c r="B1807" s="15"/>
      <c r="C1807" s="15"/>
      <c r="D1807" s="15"/>
      <c r="E1807" s="15"/>
      <c r="F1807" s="15"/>
      <c r="G1807" s="15"/>
    </row>
    <row r="1808" spans="2:7" ht="12.75" x14ac:dyDescent="0.2">
      <c r="B1808" s="15"/>
      <c r="C1808" s="15"/>
      <c r="D1808" s="15"/>
      <c r="E1808" s="15"/>
      <c r="F1808" s="15"/>
      <c r="G1808" s="15"/>
    </row>
    <row r="1809" spans="2:7" ht="12.75" x14ac:dyDescent="0.2">
      <c r="B1809" s="15"/>
      <c r="C1809" s="15"/>
      <c r="D1809" s="15"/>
      <c r="E1809" s="15"/>
      <c r="F1809" s="15"/>
      <c r="G1809" s="15"/>
    </row>
    <row r="1810" spans="2:7" ht="12.75" x14ac:dyDescent="0.2">
      <c r="B1810" s="15"/>
      <c r="C1810" s="15"/>
      <c r="D1810" s="15"/>
      <c r="E1810" s="15"/>
      <c r="F1810" s="15"/>
      <c r="G1810" s="15"/>
    </row>
    <row r="1811" spans="2:7" ht="12.75" x14ac:dyDescent="0.2">
      <c r="B1811" s="15"/>
      <c r="C1811" s="15"/>
      <c r="D1811" s="15"/>
      <c r="E1811" s="15"/>
      <c r="F1811" s="15"/>
      <c r="G1811" s="15"/>
    </row>
    <row r="1812" spans="2:7" ht="12.75" x14ac:dyDescent="0.2">
      <c r="B1812" s="15"/>
      <c r="C1812" s="15"/>
      <c r="D1812" s="15"/>
      <c r="E1812" s="15"/>
      <c r="F1812" s="15"/>
      <c r="G1812" s="15"/>
    </row>
    <row r="1813" spans="2:7" ht="12.75" x14ac:dyDescent="0.2">
      <c r="B1813" s="15"/>
      <c r="C1813" s="15"/>
      <c r="D1813" s="15"/>
      <c r="E1813" s="15"/>
      <c r="F1813" s="15"/>
      <c r="G1813" s="15"/>
    </row>
    <row r="1814" spans="2:7" ht="12.75" x14ac:dyDescent="0.2">
      <c r="B1814" s="15"/>
      <c r="C1814" s="15"/>
      <c r="D1814" s="15"/>
      <c r="E1814" s="15"/>
      <c r="F1814" s="15"/>
      <c r="G1814" s="15"/>
    </row>
    <row r="1815" spans="2:7" ht="12.75" x14ac:dyDescent="0.2">
      <c r="B1815" s="15"/>
      <c r="C1815" s="15"/>
      <c r="D1815" s="15"/>
      <c r="E1815" s="15"/>
      <c r="F1815" s="15"/>
      <c r="G1815" s="15"/>
    </row>
    <row r="1816" spans="2:7" ht="12.75" x14ac:dyDescent="0.2">
      <c r="B1816" s="15"/>
      <c r="C1816" s="15"/>
      <c r="D1816" s="15"/>
      <c r="E1816" s="15"/>
      <c r="F1816" s="15"/>
      <c r="G1816" s="15"/>
    </row>
    <row r="1817" spans="2:7" ht="12.75" x14ac:dyDescent="0.2">
      <c r="B1817" s="15"/>
      <c r="C1817" s="15"/>
      <c r="D1817" s="15"/>
      <c r="E1817" s="15"/>
      <c r="F1817" s="15"/>
      <c r="G1817" s="15"/>
    </row>
    <row r="1818" spans="2:7" ht="12.75" x14ac:dyDescent="0.2">
      <c r="B1818" s="15"/>
      <c r="C1818" s="15"/>
      <c r="D1818" s="15"/>
      <c r="E1818" s="15"/>
      <c r="F1818" s="15"/>
      <c r="G1818" s="15"/>
    </row>
    <row r="1819" spans="2:7" ht="12.75" x14ac:dyDescent="0.2">
      <c r="B1819" s="15"/>
      <c r="C1819" s="15"/>
      <c r="D1819" s="15"/>
      <c r="E1819" s="15"/>
      <c r="F1819" s="15"/>
      <c r="G1819" s="15"/>
    </row>
    <row r="1820" spans="2:7" ht="12.75" x14ac:dyDescent="0.2">
      <c r="B1820" s="15"/>
      <c r="C1820" s="15"/>
      <c r="D1820" s="15"/>
      <c r="E1820" s="15"/>
      <c r="F1820" s="15"/>
      <c r="G1820" s="15"/>
    </row>
    <row r="1821" spans="2:7" ht="12.75" x14ac:dyDescent="0.2">
      <c r="B1821" s="15"/>
      <c r="C1821" s="15"/>
      <c r="D1821" s="15"/>
      <c r="E1821" s="15"/>
      <c r="F1821" s="15"/>
      <c r="G1821" s="15"/>
    </row>
    <row r="1822" spans="2:7" ht="12.75" x14ac:dyDescent="0.2">
      <c r="B1822" s="15"/>
      <c r="C1822" s="15"/>
      <c r="D1822" s="15"/>
      <c r="E1822" s="15"/>
      <c r="F1822" s="15"/>
      <c r="G1822" s="15"/>
    </row>
    <row r="1823" spans="2:7" ht="12.75" x14ac:dyDescent="0.2">
      <c r="B1823" s="15"/>
      <c r="C1823" s="15"/>
      <c r="D1823" s="15"/>
      <c r="E1823" s="15"/>
      <c r="F1823" s="15"/>
      <c r="G1823" s="15"/>
    </row>
    <row r="1824" spans="2:7" ht="12.75" x14ac:dyDescent="0.2">
      <c r="B1824" s="15"/>
      <c r="C1824" s="15"/>
      <c r="D1824" s="15"/>
      <c r="E1824" s="15"/>
      <c r="F1824" s="15"/>
      <c r="G1824" s="15"/>
    </row>
    <row r="1825" spans="2:7" ht="12.75" x14ac:dyDescent="0.2">
      <c r="B1825" s="15"/>
      <c r="C1825" s="15"/>
      <c r="D1825" s="15"/>
      <c r="E1825" s="15"/>
      <c r="F1825" s="15"/>
      <c r="G1825" s="15"/>
    </row>
    <row r="1826" spans="2:7" ht="12.75" x14ac:dyDescent="0.2">
      <c r="B1826" s="15"/>
      <c r="C1826" s="15"/>
      <c r="D1826" s="15"/>
      <c r="E1826" s="15"/>
      <c r="F1826" s="15"/>
      <c r="G1826" s="15"/>
    </row>
    <row r="1827" spans="2:7" ht="12.75" x14ac:dyDescent="0.2">
      <c r="B1827" s="15"/>
      <c r="C1827" s="15"/>
      <c r="D1827" s="15"/>
      <c r="E1827" s="15"/>
      <c r="F1827" s="15"/>
      <c r="G1827" s="15"/>
    </row>
    <row r="1828" spans="2:7" ht="12.75" x14ac:dyDescent="0.2">
      <c r="B1828" s="15"/>
      <c r="C1828" s="15"/>
      <c r="D1828" s="15"/>
      <c r="E1828" s="15"/>
      <c r="F1828" s="15"/>
      <c r="G1828" s="15"/>
    </row>
    <row r="1829" spans="2:7" ht="12.75" x14ac:dyDescent="0.2">
      <c r="B1829" s="15"/>
      <c r="C1829" s="15"/>
      <c r="D1829" s="15"/>
      <c r="E1829" s="15"/>
      <c r="F1829" s="15"/>
      <c r="G1829" s="15"/>
    </row>
    <row r="1830" spans="2:7" ht="12.75" x14ac:dyDescent="0.2">
      <c r="B1830" s="15"/>
      <c r="C1830" s="15"/>
      <c r="D1830" s="15"/>
      <c r="E1830" s="15"/>
      <c r="F1830" s="15"/>
      <c r="G1830" s="15"/>
    </row>
    <row r="1831" spans="2:7" ht="12.75" x14ac:dyDescent="0.2">
      <c r="B1831" s="15"/>
      <c r="C1831" s="15"/>
      <c r="D1831" s="15"/>
      <c r="E1831" s="15"/>
      <c r="F1831" s="15"/>
      <c r="G1831" s="15"/>
    </row>
    <row r="1832" spans="2:7" ht="12.75" x14ac:dyDescent="0.2">
      <c r="B1832" s="15"/>
      <c r="C1832" s="15"/>
      <c r="D1832" s="15"/>
      <c r="E1832" s="15"/>
      <c r="F1832" s="15"/>
      <c r="G1832" s="15"/>
    </row>
    <row r="1833" spans="2:7" ht="12.75" x14ac:dyDescent="0.2">
      <c r="B1833" s="15"/>
      <c r="C1833" s="15"/>
      <c r="D1833" s="15"/>
      <c r="E1833" s="15"/>
      <c r="F1833" s="15"/>
      <c r="G1833" s="15"/>
    </row>
    <row r="1834" spans="2:7" ht="12.75" x14ac:dyDescent="0.2">
      <c r="B1834" s="15"/>
      <c r="C1834" s="15"/>
      <c r="D1834" s="15"/>
      <c r="E1834" s="15"/>
      <c r="F1834" s="15"/>
      <c r="G1834" s="15"/>
    </row>
    <row r="1835" spans="2:7" ht="12.75" x14ac:dyDescent="0.2">
      <c r="B1835" s="15"/>
      <c r="C1835" s="15"/>
      <c r="D1835" s="15"/>
      <c r="E1835" s="15"/>
      <c r="F1835" s="15"/>
      <c r="G1835" s="15"/>
    </row>
    <row r="1836" spans="2:7" ht="12.75" x14ac:dyDescent="0.2">
      <c r="B1836" s="15"/>
      <c r="C1836" s="15"/>
      <c r="D1836" s="15"/>
      <c r="E1836" s="15"/>
      <c r="F1836" s="15"/>
      <c r="G1836" s="15"/>
    </row>
    <row r="1837" spans="2:7" ht="12.75" x14ac:dyDescent="0.2">
      <c r="B1837" s="15"/>
      <c r="C1837" s="15"/>
      <c r="D1837" s="15"/>
      <c r="E1837" s="15"/>
      <c r="F1837" s="15"/>
      <c r="G1837" s="15"/>
    </row>
    <row r="1838" spans="2:7" ht="12.75" x14ac:dyDescent="0.2">
      <c r="B1838" s="15"/>
      <c r="C1838" s="15"/>
      <c r="D1838" s="15"/>
      <c r="E1838" s="15"/>
      <c r="F1838" s="15"/>
      <c r="G1838" s="15"/>
    </row>
    <row r="1839" spans="2:7" ht="12.75" x14ac:dyDescent="0.2">
      <c r="B1839" s="15"/>
      <c r="C1839" s="15"/>
      <c r="D1839" s="15"/>
      <c r="E1839" s="15"/>
      <c r="F1839" s="15"/>
      <c r="G1839" s="15"/>
    </row>
    <row r="1840" spans="2:7" ht="12.75" x14ac:dyDescent="0.2">
      <c r="B1840" s="15"/>
      <c r="C1840" s="15"/>
      <c r="D1840" s="15"/>
      <c r="E1840" s="15"/>
      <c r="F1840" s="15"/>
      <c r="G1840" s="15"/>
    </row>
    <row r="1841" spans="2:7" ht="12.75" x14ac:dyDescent="0.2">
      <c r="B1841" s="15"/>
      <c r="C1841" s="15"/>
      <c r="D1841" s="15"/>
      <c r="E1841" s="15"/>
      <c r="F1841" s="15"/>
      <c r="G1841" s="15"/>
    </row>
    <row r="1842" spans="2:7" ht="12.75" x14ac:dyDescent="0.2">
      <c r="B1842" s="15"/>
      <c r="C1842" s="15"/>
      <c r="D1842" s="15"/>
      <c r="E1842" s="15"/>
      <c r="F1842" s="15"/>
      <c r="G1842" s="15"/>
    </row>
    <row r="1843" spans="2:7" ht="12.75" x14ac:dyDescent="0.2">
      <c r="B1843" s="15"/>
      <c r="C1843" s="15"/>
      <c r="D1843" s="15"/>
      <c r="E1843" s="15"/>
      <c r="F1843" s="15"/>
      <c r="G1843" s="15"/>
    </row>
    <row r="1844" spans="2:7" ht="12.75" x14ac:dyDescent="0.2">
      <c r="B1844" s="15"/>
      <c r="C1844" s="15"/>
      <c r="D1844" s="15"/>
      <c r="E1844" s="15"/>
      <c r="F1844" s="15"/>
      <c r="G1844" s="15"/>
    </row>
    <row r="1845" spans="2:7" ht="12.75" x14ac:dyDescent="0.2">
      <c r="B1845" s="15"/>
      <c r="C1845" s="15"/>
      <c r="D1845" s="15"/>
      <c r="E1845" s="15"/>
      <c r="F1845" s="15"/>
      <c r="G1845" s="15"/>
    </row>
    <row r="1846" spans="2:7" ht="12.75" x14ac:dyDescent="0.2">
      <c r="B1846" s="15"/>
      <c r="C1846" s="15"/>
      <c r="D1846" s="15"/>
      <c r="E1846" s="15"/>
      <c r="F1846" s="15"/>
      <c r="G1846" s="15"/>
    </row>
    <row r="1847" spans="2:7" ht="12.75" x14ac:dyDescent="0.2">
      <c r="B1847" s="15"/>
      <c r="C1847" s="15"/>
      <c r="D1847" s="15"/>
      <c r="E1847" s="15"/>
      <c r="F1847" s="15"/>
      <c r="G1847" s="15"/>
    </row>
    <row r="1848" spans="2:7" ht="12.75" x14ac:dyDescent="0.2">
      <c r="B1848" s="15"/>
      <c r="C1848" s="15"/>
      <c r="D1848" s="15"/>
      <c r="E1848" s="15"/>
      <c r="F1848" s="15"/>
      <c r="G1848" s="15"/>
    </row>
    <row r="1849" spans="2:7" ht="12.75" x14ac:dyDescent="0.2">
      <c r="B1849" s="15"/>
      <c r="C1849" s="15"/>
      <c r="D1849" s="15"/>
      <c r="E1849" s="15"/>
      <c r="F1849" s="15"/>
      <c r="G1849" s="15"/>
    </row>
    <row r="1850" spans="2:7" ht="12.75" x14ac:dyDescent="0.2">
      <c r="B1850" s="15"/>
      <c r="C1850" s="15"/>
      <c r="D1850" s="15"/>
      <c r="E1850" s="15"/>
      <c r="F1850" s="15"/>
      <c r="G1850" s="15"/>
    </row>
    <row r="1851" spans="2:7" ht="12.75" x14ac:dyDescent="0.2">
      <c r="B1851" s="15"/>
      <c r="C1851" s="15"/>
      <c r="D1851" s="15"/>
      <c r="E1851" s="15"/>
      <c r="F1851" s="15"/>
      <c r="G1851" s="15"/>
    </row>
    <row r="1852" spans="2:7" ht="12.75" x14ac:dyDescent="0.2">
      <c r="B1852" s="15"/>
      <c r="C1852" s="15"/>
      <c r="D1852" s="15"/>
      <c r="E1852" s="15"/>
      <c r="F1852" s="15"/>
      <c r="G1852" s="15"/>
    </row>
    <row r="1853" spans="2:7" ht="12.75" x14ac:dyDescent="0.2">
      <c r="B1853" s="15"/>
      <c r="C1853" s="15"/>
      <c r="D1853" s="15"/>
      <c r="E1853" s="15"/>
      <c r="F1853" s="15"/>
      <c r="G1853" s="15"/>
    </row>
    <row r="1854" spans="2:7" ht="12.75" x14ac:dyDescent="0.2">
      <c r="B1854" s="15"/>
      <c r="C1854" s="15"/>
      <c r="D1854" s="15"/>
      <c r="E1854" s="15"/>
      <c r="F1854" s="15"/>
      <c r="G1854" s="15"/>
    </row>
    <row r="1855" spans="2:7" ht="12.75" x14ac:dyDescent="0.2">
      <c r="B1855" s="15"/>
      <c r="C1855" s="15"/>
      <c r="D1855" s="15"/>
      <c r="E1855" s="15"/>
      <c r="F1855" s="15"/>
      <c r="G1855" s="15"/>
    </row>
    <row r="1856" spans="2:7" ht="12.75" x14ac:dyDescent="0.2">
      <c r="B1856" s="15"/>
      <c r="C1856" s="15"/>
      <c r="D1856" s="15"/>
      <c r="E1856" s="15"/>
      <c r="F1856" s="15"/>
      <c r="G1856" s="15"/>
    </row>
    <row r="1857" spans="2:7" ht="12.75" x14ac:dyDescent="0.2">
      <c r="B1857" s="15"/>
      <c r="C1857" s="15"/>
      <c r="D1857" s="15"/>
      <c r="E1857" s="15"/>
      <c r="F1857" s="15"/>
      <c r="G1857" s="15"/>
    </row>
    <row r="1858" spans="2:7" ht="12.75" x14ac:dyDescent="0.2">
      <c r="B1858" s="15"/>
      <c r="C1858" s="15"/>
      <c r="D1858" s="15"/>
      <c r="E1858" s="15"/>
      <c r="F1858" s="15"/>
      <c r="G1858" s="15"/>
    </row>
    <row r="1859" spans="2:7" ht="12.75" x14ac:dyDescent="0.2">
      <c r="B1859" s="15"/>
      <c r="C1859" s="15"/>
      <c r="D1859" s="15"/>
      <c r="E1859" s="15"/>
      <c r="F1859" s="15"/>
      <c r="G1859" s="15"/>
    </row>
    <row r="1860" spans="2:7" ht="12.75" x14ac:dyDescent="0.2">
      <c r="B1860" s="15"/>
      <c r="C1860" s="15"/>
      <c r="D1860" s="15"/>
      <c r="E1860" s="15"/>
      <c r="F1860" s="15"/>
      <c r="G1860" s="15"/>
    </row>
    <row r="1861" spans="2:7" ht="12.75" x14ac:dyDescent="0.2">
      <c r="B1861" s="15"/>
      <c r="C1861" s="15"/>
      <c r="D1861" s="15"/>
      <c r="E1861" s="15"/>
      <c r="F1861" s="15"/>
      <c r="G1861" s="15"/>
    </row>
    <row r="1862" spans="2:7" ht="12.75" x14ac:dyDescent="0.2">
      <c r="B1862" s="15"/>
      <c r="C1862" s="15"/>
      <c r="D1862" s="15"/>
      <c r="E1862" s="15"/>
      <c r="F1862" s="15"/>
      <c r="G1862" s="15"/>
    </row>
    <row r="1863" spans="2:7" ht="12.75" x14ac:dyDescent="0.2">
      <c r="B1863" s="15"/>
      <c r="C1863" s="15"/>
      <c r="D1863" s="15"/>
      <c r="E1863" s="15"/>
      <c r="F1863" s="15"/>
      <c r="G1863" s="15"/>
    </row>
    <row r="1864" spans="2:7" ht="12.75" x14ac:dyDescent="0.2">
      <c r="B1864" s="15"/>
      <c r="C1864" s="15"/>
      <c r="D1864" s="15"/>
      <c r="E1864" s="15"/>
      <c r="F1864" s="15"/>
      <c r="G1864" s="15"/>
    </row>
    <row r="1865" spans="2:7" ht="12.75" x14ac:dyDescent="0.2">
      <c r="B1865" s="15"/>
      <c r="C1865" s="15"/>
      <c r="D1865" s="15"/>
      <c r="E1865" s="15"/>
      <c r="F1865" s="15"/>
      <c r="G1865" s="15"/>
    </row>
    <row r="1866" spans="2:7" ht="12.75" x14ac:dyDescent="0.2">
      <c r="B1866" s="15"/>
      <c r="C1866" s="15"/>
      <c r="D1866" s="15"/>
      <c r="E1866" s="15"/>
      <c r="F1866" s="15"/>
      <c r="G1866" s="15"/>
    </row>
    <row r="1867" spans="2:7" ht="12.75" x14ac:dyDescent="0.2">
      <c r="B1867" s="15"/>
      <c r="C1867" s="15"/>
      <c r="D1867" s="15"/>
      <c r="E1867" s="15"/>
      <c r="F1867" s="15"/>
      <c r="G1867" s="15"/>
    </row>
    <row r="1868" spans="2:7" ht="12.75" x14ac:dyDescent="0.2">
      <c r="B1868" s="15"/>
      <c r="C1868" s="15"/>
      <c r="D1868" s="15"/>
      <c r="E1868" s="15"/>
      <c r="F1868" s="15"/>
      <c r="G1868" s="15"/>
    </row>
    <row r="1869" spans="2:7" ht="12.75" x14ac:dyDescent="0.2">
      <c r="B1869" s="15"/>
      <c r="C1869" s="15"/>
      <c r="D1869" s="15"/>
      <c r="E1869" s="15"/>
      <c r="F1869" s="15"/>
      <c r="G1869" s="15"/>
    </row>
    <row r="1870" spans="2:7" ht="12.75" x14ac:dyDescent="0.2">
      <c r="B1870" s="15"/>
      <c r="C1870" s="15"/>
      <c r="D1870" s="15"/>
      <c r="E1870" s="15"/>
      <c r="F1870" s="15"/>
      <c r="G1870" s="15"/>
    </row>
    <row r="1871" spans="2:7" ht="12.75" x14ac:dyDescent="0.2">
      <c r="B1871" s="15"/>
      <c r="C1871" s="15"/>
      <c r="D1871" s="15"/>
      <c r="E1871" s="15"/>
      <c r="F1871" s="15"/>
      <c r="G1871" s="15"/>
    </row>
    <row r="1872" spans="2:7" ht="12.75" x14ac:dyDescent="0.2">
      <c r="B1872" s="15"/>
      <c r="C1872" s="15"/>
      <c r="D1872" s="15"/>
      <c r="E1872" s="15"/>
      <c r="F1872" s="15"/>
      <c r="G1872" s="15"/>
    </row>
    <row r="1873" spans="2:7" ht="12.75" x14ac:dyDescent="0.2">
      <c r="B1873" s="15"/>
      <c r="C1873" s="15"/>
      <c r="D1873" s="15"/>
      <c r="E1873" s="15"/>
      <c r="F1873" s="15"/>
      <c r="G1873" s="15"/>
    </row>
    <row r="1874" spans="2:7" ht="12.75" x14ac:dyDescent="0.2">
      <c r="B1874" s="15"/>
      <c r="C1874" s="15"/>
      <c r="D1874" s="15"/>
      <c r="E1874" s="15"/>
      <c r="F1874" s="15"/>
      <c r="G1874" s="15"/>
    </row>
    <row r="1875" spans="2:7" ht="12.75" x14ac:dyDescent="0.2">
      <c r="B1875" s="15"/>
      <c r="C1875" s="15"/>
      <c r="D1875" s="15"/>
      <c r="E1875" s="15"/>
      <c r="F1875" s="15"/>
      <c r="G1875" s="15"/>
    </row>
    <row r="1876" spans="2:7" ht="12.75" x14ac:dyDescent="0.2">
      <c r="B1876" s="15"/>
      <c r="C1876" s="15"/>
      <c r="D1876" s="15"/>
      <c r="E1876" s="15"/>
      <c r="F1876" s="15"/>
      <c r="G1876" s="15"/>
    </row>
    <row r="1877" spans="2:7" ht="12.75" x14ac:dyDescent="0.2">
      <c r="B1877" s="15"/>
      <c r="C1877" s="15"/>
      <c r="D1877" s="15"/>
      <c r="E1877" s="15"/>
      <c r="F1877" s="15"/>
      <c r="G1877" s="15"/>
    </row>
    <row r="1878" spans="2:7" ht="12.75" x14ac:dyDescent="0.2">
      <c r="B1878" s="15"/>
      <c r="C1878" s="15"/>
      <c r="D1878" s="15"/>
      <c r="E1878" s="15"/>
      <c r="F1878" s="15"/>
      <c r="G1878" s="15"/>
    </row>
    <row r="1879" spans="2:7" ht="12.75" x14ac:dyDescent="0.2">
      <c r="B1879" s="15"/>
      <c r="C1879" s="15"/>
      <c r="D1879" s="15"/>
      <c r="E1879" s="15"/>
      <c r="F1879" s="15"/>
      <c r="G1879" s="15"/>
    </row>
    <row r="1880" spans="2:7" ht="12.75" x14ac:dyDescent="0.2">
      <c r="B1880" s="15"/>
      <c r="C1880" s="15"/>
      <c r="D1880" s="15"/>
      <c r="E1880" s="15"/>
      <c r="F1880" s="15"/>
      <c r="G1880" s="15"/>
    </row>
    <row r="1881" spans="2:7" ht="12.75" x14ac:dyDescent="0.2">
      <c r="B1881" s="15"/>
      <c r="C1881" s="15"/>
      <c r="D1881" s="15"/>
      <c r="E1881" s="15"/>
      <c r="F1881" s="15"/>
      <c r="G1881" s="15"/>
    </row>
    <row r="1882" spans="2:7" ht="12.75" x14ac:dyDescent="0.2">
      <c r="B1882" s="15"/>
      <c r="C1882" s="15"/>
      <c r="D1882" s="15"/>
      <c r="E1882" s="15"/>
      <c r="F1882" s="15"/>
      <c r="G1882" s="15"/>
    </row>
    <row r="1883" spans="2:7" ht="12.75" x14ac:dyDescent="0.2">
      <c r="B1883" s="15"/>
      <c r="C1883" s="15"/>
      <c r="D1883" s="15"/>
      <c r="E1883" s="15"/>
      <c r="F1883" s="15"/>
      <c r="G1883" s="15"/>
    </row>
    <row r="1884" spans="2:7" ht="12.75" x14ac:dyDescent="0.2">
      <c r="B1884" s="15"/>
      <c r="C1884" s="15"/>
      <c r="D1884" s="15"/>
      <c r="E1884" s="15"/>
      <c r="F1884" s="15"/>
      <c r="G1884" s="15"/>
    </row>
    <row r="1885" spans="2:7" ht="12.75" x14ac:dyDescent="0.2">
      <c r="B1885" s="15"/>
      <c r="C1885" s="15"/>
      <c r="D1885" s="15"/>
      <c r="E1885" s="15"/>
      <c r="F1885" s="15"/>
      <c r="G1885" s="15"/>
    </row>
    <row r="1886" spans="2:7" ht="12.75" x14ac:dyDescent="0.2">
      <c r="B1886" s="15"/>
      <c r="C1886" s="15"/>
      <c r="D1886" s="15"/>
      <c r="E1886" s="15"/>
      <c r="F1886" s="15"/>
      <c r="G1886" s="15"/>
    </row>
    <row r="1887" spans="2:7" ht="12.75" x14ac:dyDescent="0.2">
      <c r="B1887" s="15"/>
      <c r="C1887" s="15"/>
      <c r="D1887" s="15"/>
      <c r="E1887" s="15"/>
      <c r="F1887" s="15"/>
      <c r="G1887" s="15"/>
    </row>
    <row r="1888" spans="2:7" ht="12.75" x14ac:dyDescent="0.2">
      <c r="B1888" s="15"/>
      <c r="C1888" s="15"/>
      <c r="D1888" s="15"/>
      <c r="E1888" s="15"/>
      <c r="F1888" s="15"/>
      <c r="G1888" s="15"/>
    </row>
    <row r="1889" spans="2:7" ht="12.75" x14ac:dyDescent="0.2">
      <c r="B1889" s="15"/>
      <c r="C1889" s="15"/>
      <c r="D1889" s="15"/>
      <c r="E1889" s="15"/>
      <c r="F1889" s="15"/>
      <c r="G1889" s="15"/>
    </row>
    <row r="1890" spans="2:7" ht="12.75" x14ac:dyDescent="0.2">
      <c r="B1890" s="15"/>
      <c r="C1890" s="15"/>
      <c r="D1890" s="15"/>
      <c r="E1890" s="15"/>
      <c r="F1890" s="15"/>
      <c r="G1890" s="15"/>
    </row>
    <row r="1891" spans="2:7" ht="12.75" x14ac:dyDescent="0.2">
      <c r="B1891" s="15"/>
      <c r="C1891" s="15"/>
      <c r="D1891" s="15"/>
      <c r="E1891" s="15"/>
      <c r="F1891" s="15"/>
      <c r="G1891" s="15"/>
    </row>
    <row r="1892" spans="2:7" ht="12.75" x14ac:dyDescent="0.2">
      <c r="B1892" s="15"/>
      <c r="C1892" s="15"/>
      <c r="D1892" s="15"/>
      <c r="E1892" s="15"/>
      <c r="F1892" s="15"/>
      <c r="G1892" s="15"/>
    </row>
  </sheetData>
  <autoFilter ref="B1:H1780"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5AB09-0ABF-44B8-94CB-B52426489979}">
  <sheetPr>
    <tabColor rgb="FF00B050"/>
  </sheetPr>
  <dimension ref="A1:W65"/>
  <sheetViews>
    <sheetView tabSelected="1" workbookViewId="0">
      <selection activeCell="D11" sqref="D11"/>
    </sheetView>
  </sheetViews>
  <sheetFormatPr defaultColWidth="12.5703125" defaultRowHeight="12.75" x14ac:dyDescent="0.2"/>
  <cols>
    <col min="1" max="1" width="6.140625" style="60" customWidth="1"/>
    <col min="2" max="2" width="8.5703125" style="60" customWidth="1"/>
    <col min="3" max="3" width="88.42578125" style="60" customWidth="1"/>
    <col min="4" max="4" width="78.140625" style="60" customWidth="1"/>
    <col min="5" max="5" width="7.42578125" style="60" customWidth="1"/>
    <col min="6" max="6" width="12" style="60" customWidth="1"/>
    <col min="7" max="9" width="12.5703125" style="60"/>
    <col min="10" max="10" width="38.42578125" style="60" customWidth="1"/>
    <col min="11" max="13" width="12.5703125" style="60"/>
    <col min="14" max="14" width="17.140625" style="60" customWidth="1"/>
    <col min="15" max="15" width="14.85546875" style="60" customWidth="1"/>
    <col min="16" max="16384" width="12.5703125" style="60"/>
  </cols>
  <sheetData>
    <row r="1" spans="1:23" ht="45" x14ac:dyDescent="0.2">
      <c r="A1" s="58" t="s">
        <v>12846</v>
      </c>
      <c r="B1" s="58" t="s">
        <v>12847</v>
      </c>
      <c r="C1" s="58" t="s">
        <v>2</v>
      </c>
      <c r="D1" s="58" t="s">
        <v>12848</v>
      </c>
      <c r="E1" s="58" t="s">
        <v>12849</v>
      </c>
      <c r="F1" s="58" t="s">
        <v>12845</v>
      </c>
      <c r="G1" s="58" t="s">
        <v>12850</v>
      </c>
      <c r="H1" s="58" t="s">
        <v>12851</v>
      </c>
      <c r="I1" s="58" t="s">
        <v>12852</v>
      </c>
      <c r="J1" s="58" t="s">
        <v>12853</v>
      </c>
      <c r="K1" s="58" t="s">
        <v>12854</v>
      </c>
      <c r="L1" s="58" t="s">
        <v>12855</v>
      </c>
      <c r="M1" s="58" t="s">
        <v>12856</v>
      </c>
      <c r="N1" s="58" t="s">
        <v>12857</v>
      </c>
      <c r="O1" s="58" t="s">
        <v>13235</v>
      </c>
      <c r="P1" s="59"/>
      <c r="Q1" s="59"/>
      <c r="R1" s="59"/>
      <c r="S1" s="59"/>
      <c r="T1" s="59"/>
      <c r="U1" s="59"/>
      <c r="V1" s="59"/>
      <c r="W1" s="59"/>
    </row>
    <row r="2" spans="1:23" ht="15" customHeight="1" x14ac:dyDescent="0.2">
      <c r="A2" s="61">
        <v>1</v>
      </c>
      <c r="B2" s="61" t="s">
        <v>12858</v>
      </c>
      <c r="C2" s="61" t="s">
        <v>6505</v>
      </c>
      <c r="D2" s="61" t="s">
        <v>6504</v>
      </c>
      <c r="E2" s="61">
        <v>2014</v>
      </c>
      <c r="F2" s="61" t="s">
        <v>12688</v>
      </c>
      <c r="G2" s="61" t="s">
        <v>12859</v>
      </c>
      <c r="H2" s="61" t="s">
        <v>12860</v>
      </c>
      <c r="I2" s="61" t="s">
        <v>12861</v>
      </c>
      <c r="J2" s="61" t="s">
        <v>12862</v>
      </c>
      <c r="K2" s="61" t="s">
        <v>12699</v>
      </c>
      <c r="L2" s="61" t="s">
        <v>12863</v>
      </c>
      <c r="M2" s="61" t="s">
        <v>12864</v>
      </c>
      <c r="N2" s="61" t="s">
        <v>12864</v>
      </c>
      <c r="O2" s="61" t="s">
        <v>12865</v>
      </c>
    </row>
    <row r="3" spans="1:23" ht="15" customHeight="1" x14ac:dyDescent="0.2">
      <c r="A3" s="61">
        <v>2</v>
      </c>
      <c r="B3" s="61" t="s">
        <v>12866</v>
      </c>
      <c r="C3" s="61" t="s">
        <v>6254</v>
      </c>
      <c r="D3" s="61" t="s">
        <v>6253</v>
      </c>
      <c r="E3" s="61">
        <v>2015</v>
      </c>
      <c r="F3" s="61" t="s">
        <v>12688</v>
      </c>
      <c r="G3" s="61" t="s">
        <v>12867</v>
      </c>
      <c r="H3" s="61" t="s">
        <v>12868</v>
      </c>
      <c r="I3" s="61" t="s">
        <v>12869</v>
      </c>
      <c r="J3" s="61" t="s">
        <v>13236</v>
      </c>
      <c r="K3" s="61" t="s">
        <v>12699</v>
      </c>
      <c r="L3" s="61" t="s">
        <v>13237</v>
      </c>
      <c r="M3" s="61" t="s">
        <v>12864</v>
      </c>
      <c r="N3" s="61" t="s">
        <v>12864</v>
      </c>
      <c r="O3" s="61" t="s">
        <v>12871</v>
      </c>
    </row>
    <row r="4" spans="1:23" ht="15" customHeight="1" x14ac:dyDescent="0.2">
      <c r="A4" s="61">
        <v>3</v>
      </c>
      <c r="B4" s="61" t="s">
        <v>12872</v>
      </c>
      <c r="C4" s="61" t="s">
        <v>6262</v>
      </c>
      <c r="D4" s="61" t="s">
        <v>6261</v>
      </c>
      <c r="E4" s="61">
        <v>2015</v>
      </c>
      <c r="F4" s="61" t="s">
        <v>12688</v>
      </c>
      <c r="G4" s="61" t="s">
        <v>13238</v>
      </c>
      <c r="H4" s="61" t="s">
        <v>12873</v>
      </c>
      <c r="I4" s="61" t="s">
        <v>12874</v>
      </c>
      <c r="J4" s="61" t="s">
        <v>12875</v>
      </c>
      <c r="K4" s="61" t="s">
        <v>12699</v>
      </c>
      <c r="L4" s="62" t="s">
        <v>13239</v>
      </c>
      <c r="M4" s="61" t="s">
        <v>12864</v>
      </c>
      <c r="N4" s="61" t="s">
        <v>12864</v>
      </c>
      <c r="O4" s="61"/>
    </row>
    <row r="5" spans="1:23" ht="15" customHeight="1" x14ac:dyDescent="0.2">
      <c r="A5" s="61">
        <v>4</v>
      </c>
      <c r="B5" s="61" t="s">
        <v>12876</v>
      </c>
      <c r="C5" s="61" t="s">
        <v>15</v>
      </c>
      <c r="D5" s="61" t="s">
        <v>14</v>
      </c>
      <c r="E5" s="61">
        <v>2017</v>
      </c>
      <c r="F5" s="61" t="s">
        <v>12877</v>
      </c>
      <c r="G5" s="61" t="s">
        <v>12878</v>
      </c>
      <c r="H5" s="61" t="s">
        <v>12879</v>
      </c>
      <c r="I5" s="61" t="s">
        <v>12880</v>
      </c>
      <c r="J5" s="61" t="s">
        <v>12881</v>
      </c>
      <c r="K5" s="61" t="s">
        <v>12882</v>
      </c>
      <c r="L5" s="63" t="s">
        <v>13240</v>
      </c>
      <c r="M5" s="61" t="s">
        <v>12883</v>
      </c>
      <c r="N5" s="61" t="s">
        <v>12884</v>
      </c>
      <c r="O5" s="61" t="s">
        <v>12885</v>
      </c>
    </row>
    <row r="6" spans="1:23" ht="15" customHeight="1" x14ac:dyDescent="0.2">
      <c r="A6" s="61">
        <v>5</v>
      </c>
      <c r="B6" s="61" t="s">
        <v>12886</v>
      </c>
      <c r="C6" s="61" t="s">
        <v>5580</v>
      </c>
      <c r="D6" s="61" t="s">
        <v>5579</v>
      </c>
      <c r="E6" s="61">
        <v>2017</v>
      </c>
      <c r="F6" s="61" t="s">
        <v>12690</v>
      </c>
      <c r="G6" s="61" t="s">
        <v>12889</v>
      </c>
      <c r="H6" s="61" t="s">
        <v>12860</v>
      </c>
      <c r="I6" s="61" t="s">
        <v>12861</v>
      </c>
      <c r="J6" s="61" t="s">
        <v>12890</v>
      </c>
      <c r="K6" s="61" t="s">
        <v>12891</v>
      </c>
      <c r="L6" s="61" t="s">
        <v>12892</v>
      </c>
      <c r="M6" s="61" t="s">
        <v>12887</v>
      </c>
      <c r="N6" s="61" t="s">
        <v>13241</v>
      </c>
      <c r="O6" s="61" t="s">
        <v>13242</v>
      </c>
    </row>
    <row r="7" spans="1:23" ht="15" customHeight="1" x14ac:dyDescent="0.2">
      <c r="A7" s="61">
        <v>6</v>
      </c>
      <c r="B7" s="61" t="s">
        <v>12888</v>
      </c>
      <c r="C7" s="61" t="s">
        <v>83</v>
      </c>
      <c r="D7" s="61" t="s">
        <v>82</v>
      </c>
      <c r="E7" s="61">
        <v>2018</v>
      </c>
      <c r="F7" s="61" t="s">
        <v>12877</v>
      </c>
      <c r="G7" s="61" t="s">
        <v>12895</v>
      </c>
      <c r="H7" s="61" t="s">
        <v>12860</v>
      </c>
      <c r="I7" s="61" t="s">
        <v>12861</v>
      </c>
      <c r="J7" s="61" t="s">
        <v>12896</v>
      </c>
      <c r="K7" s="61" t="s">
        <v>12897</v>
      </c>
      <c r="L7" s="61" t="s">
        <v>13243</v>
      </c>
      <c r="M7" s="61" t="s">
        <v>12898</v>
      </c>
      <c r="N7" s="61" t="s">
        <v>12899</v>
      </c>
      <c r="O7" s="61" t="s">
        <v>12900</v>
      </c>
    </row>
    <row r="8" spans="1:23" ht="15" customHeight="1" x14ac:dyDescent="0.2">
      <c r="A8" s="61">
        <v>7</v>
      </c>
      <c r="B8" s="61" t="s">
        <v>12894</v>
      </c>
      <c r="C8" s="61" t="s">
        <v>6314</v>
      </c>
      <c r="D8" s="61" t="s">
        <v>4688</v>
      </c>
      <c r="E8" s="61">
        <v>2018</v>
      </c>
      <c r="F8" s="61" t="s">
        <v>12688</v>
      </c>
      <c r="G8" s="61" t="s">
        <v>12902</v>
      </c>
      <c r="H8" s="61" t="s">
        <v>12903</v>
      </c>
      <c r="I8" s="61" t="s">
        <v>12904</v>
      </c>
      <c r="J8" s="61" t="s">
        <v>12905</v>
      </c>
      <c r="K8" s="61" t="s">
        <v>12906</v>
      </c>
      <c r="L8" s="61" t="s">
        <v>12907</v>
      </c>
      <c r="M8" s="61" t="s">
        <v>12908</v>
      </c>
      <c r="N8" s="61" t="s">
        <v>12909</v>
      </c>
      <c r="O8" s="61" t="s">
        <v>12910</v>
      </c>
    </row>
    <row r="9" spans="1:23" ht="15" customHeight="1" x14ac:dyDescent="0.2">
      <c r="A9" s="61">
        <v>8</v>
      </c>
      <c r="B9" s="61" t="s">
        <v>12901</v>
      </c>
      <c r="C9" s="61" t="s">
        <v>6143</v>
      </c>
      <c r="D9" s="61" t="s">
        <v>4452</v>
      </c>
      <c r="E9" s="61">
        <v>2018</v>
      </c>
      <c r="F9" s="61" t="s">
        <v>12688</v>
      </c>
      <c r="G9" s="61" t="s">
        <v>12912</v>
      </c>
      <c r="H9" s="61" t="s">
        <v>12860</v>
      </c>
      <c r="I9" s="61" t="s">
        <v>12861</v>
      </c>
      <c r="J9" s="61" t="s">
        <v>12913</v>
      </c>
      <c r="K9" s="61" t="s">
        <v>12914</v>
      </c>
      <c r="L9" s="61" t="s">
        <v>12907</v>
      </c>
      <c r="M9" s="61" t="s">
        <v>12915</v>
      </c>
      <c r="N9" s="61" t="s">
        <v>12916</v>
      </c>
      <c r="O9" s="61" t="s">
        <v>12917</v>
      </c>
    </row>
    <row r="10" spans="1:23" ht="15" customHeight="1" x14ac:dyDescent="0.2">
      <c r="A10" s="61">
        <v>9</v>
      </c>
      <c r="B10" s="61" t="s">
        <v>12911</v>
      </c>
      <c r="C10" s="61" t="s">
        <v>6237</v>
      </c>
      <c r="D10" s="61" t="s">
        <v>5788</v>
      </c>
      <c r="E10" s="61">
        <v>2018</v>
      </c>
      <c r="F10" s="61" t="s">
        <v>12692</v>
      </c>
      <c r="G10" s="61" t="s">
        <v>12919</v>
      </c>
      <c r="H10" s="61" t="s">
        <v>12860</v>
      </c>
      <c r="I10" s="61" t="s">
        <v>12861</v>
      </c>
      <c r="J10" s="61" t="s">
        <v>12920</v>
      </c>
      <c r="K10" s="61" t="s">
        <v>12921</v>
      </c>
      <c r="L10" s="61" t="s">
        <v>12907</v>
      </c>
      <c r="M10" s="61"/>
      <c r="N10" s="61" t="s">
        <v>12922</v>
      </c>
      <c r="O10" s="61" t="s">
        <v>12923</v>
      </c>
    </row>
    <row r="11" spans="1:23" ht="15" customHeight="1" x14ac:dyDescent="0.2">
      <c r="A11" s="61">
        <v>10</v>
      </c>
      <c r="B11" s="61" t="s">
        <v>12918</v>
      </c>
      <c r="C11" s="61" t="s">
        <v>4453</v>
      </c>
      <c r="D11" s="61" t="s">
        <v>4452</v>
      </c>
      <c r="E11" s="61">
        <v>2019</v>
      </c>
      <c r="F11" s="61" t="s">
        <v>12688</v>
      </c>
      <c r="G11" s="61" t="s">
        <v>12925</v>
      </c>
      <c r="H11" s="61" t="s">
        <v>12860</v>
      </c>
      <c r="I11" s="61" t="s">
        <v>12861</v>
      </c>
      <c r="J11" s="61" t="s">
        <v>12926</v>
      </c>
      <c r="K11" s="61" t="s">
        <v>12927</v>
      </c>
      <c r="L11" s="61" t="s">
        <v>13244</v>
      </c>
      <c r="M11" s="61" t="s">
        <v>12928</v>
      </c>
      <c r="N11" s="61" t="s">
        <v>12929</v>
      </c>
      <c r="O11" s="61" t="s">
        <v>12930</v>
      </c>
    </row>
    <row r="12" spans="1:23" ht="15" customHeight="1" x14ac:dyDescent="0.2">
      <c r="A12" s="61">
        <v>11</v>
      </c>
      <c r="B12" s="61" t="s">
        <v>12924</v>
      </c>
      <c r="C12" s="61" t="s">
        <v>5087</v>
      </c>
      <c r="D12" s="61" t="s">
        <v>5086</v>
      </c>
      <c r="E12" s="61">
        <v>2019</v>
      </c>
      <c r="F12" s="61" t="s">
        <v>12688</v>
      </c>
      <c r="G12" s="61" t="s">
        <v>12932</v>
      </c>
      <c r="H12" s="61" t="s">
        <v>12933</v>
      </c>
      <c r="I12" s="61" t="s">
        <v>12934</v>
      </c>
      <c r="J12" s="61" t="s">
        <v>12935</v>
      </c>
      <c r="K12" s="61" t="s">
        <v>12936</v>
      </c>
      <c r="L12" s="61" t="s">
        <v>12907</v>
      </c>
      <c r="M12" s="61" t="s">
        <v>12937</v>
      </c>
      <c r="N12" s="61" t="s">
        <v>12938</v>
      </c>
      <c r="O12" s="61" t="s">
        <v>12939</v>
      </c>
    </row>
    <row r="13" spans="1:23" ht="15" customHeight="1" x14ac:dyDescent="0.2">
      <c r="A13" s="61">
        <v>12</v>
      </c>
      <c r="B13" s="61" t="s">
        <v>12931</v>
      </c>
      <c r="C13" s="61" t="s">
        <v>11245</v>
      </c>
      <c r="D13" s="61" t="s">
        <v>4306</v>
      </c>
      <c r="E13" s="61">
        <v>2019</v>
      </c>
      <c r="F13" s="61" t="s">
        <v>12692</v>
      </c>
      <c r="G13" s="61" t="s">
        <v>12941</v>
      </c>
      <c r="H13" s="61" t="s">
        <v>12860</v>
      </c>
      <c r="I13" s="61" t="s">
        <v>12861</v>
      </c>
      <c r="J13" s="61" t="s">
        <v>12942</v>
      </c>
      <c r="K13" s="61" t="s">
        <v>12943</v>
      </c>
      <c r="L13" s="61" t="s">
        <v>13245</v>
      </c>
      <c r="M13" s="61" t="s">
        <v>12908</v>
      </c>
      <c r="N13" s="61" t="s">
        <v>12944</v>
      </c>
      <c r="O13" s="61" t="s">
        <v>12945</v>
      </c>
    </row>
    <row r="14" spans="1:23" ht="15" customHeight="1" x14ac:dyDescent="0.2">
      <c r="A14" s="61">
        <v>13</v>
      </c>
      <c r="B14" s="61" t="s">
        <v>12940</v>
      </c>
      <c r="C14" s="61" t="s">
        <v>4246</v>
      </c>
      <c r="D14" s="61" t="s">
        <v>9763</v>
      </c>
      <c r="E14" s="61">
        <v>2020</v>
      </c>
      <c r="F14" s="61" t="s">
        <v>12689</v>
      </c>
      <c r="G14" s="61" t="s">
        <v>12947</v>
      </c>
      <c r="H14" s="56" t="s">
        <v>12948</v>
      </c>
      <c r="I14" s="61" t="s">
        <v>12949</v>
      </c>
      <c r="J14" s="61" t="s">
        <v>12950</v>
      </c>
      <c r="K14" s="61" t="s">
        <v>12951</v>
      </c>
      <c r="L14" s="61" t="s">
        <v>12907</v>
      </c>
      <c r="M14" s="61" t="s">
        <v>12908</v>
      </c>
      <c r="N14" s="61" t="s">
        <v>12952</v>
      </c>
      <c r="O14" s="61" t="s">
        <v>13246</v>
      </c>
    </row>
    <row r="15" spans="1:23" ht="15" customHeight="1" x14ac:dyDescent="0.2">
      <c r="A15" s="61">
        <v>14</v>
      </c>
      <c r="B15" s="61" t="s">
        <v>12946</v>
      </c>
      <c r="C15" s="61" t="s">
        <v>6446</v>
      </c>
      <c r="D15" s="61" t="s">
        <v>2862</v>
      </c>
      <c r="E15" s="61">
        <v>2020</v>
      </c>
      <c r="F15" s="61" t="s">
        <v>12688</v>
      </c>
      <c r="G15" s="61" t="s">
        <v>12954</v>
      </c>
      <c r="H15" s="61" t="s">
        <v>12955</v>
      </c>
      <c r="I15" s="61" t="s">
        <v>12956</v>
      </c>
      <c r="J15" s="61" t="s">
        <v>12957</v>
      </c>
      <c r="K15" s="61" t="s">
        <v>12958</v>
      </c>
      <c r="L15" s="61" t="s">
        <v>12959</v>
      </c>
      <c r="M15" s="61" t="s">
        <v>12960</v>
      </c>
      <c r="N15" s="61" t="s">
        <v>12961</v>
      </c>
      <c r="O15" s="61" t="s">
        <v>12962</v>
      </c>
    </row>
    <row r="16" spans="1:23" ht="15" customHeight="1" x14ac:dyDescent="0.2">
      <c r="A16" s="61">
        <v>15</v>
      </c>
      <c r="B16" s="61" t="s">
        <v>12953</v>
      </c>
      <c r="C16" s="61" t="s">
        <v>5058</v>
      </c>
      <c r="D16" s="61" t="s">
        <v>5057</v>
      </c>
      <c r="E16" s="61">
        <v>2020</v>
      </c>
      <c r="F16" s="61" t="s">
        <v>12692</v>
      </c>
      <c r="G16" s="61" t="s">
        <v>12965</v>
      </c>
      <c r="H16" s="61" t="s">
        <v>12966</v>
      </c>
      <c r="I16" s="61" t="s">
        <v>12966</v>
      </c>
      <c r="J16" s="61" t="s">
        <v>12921</v>
      </c>
      <c r="K16" s="61" t="s">
        <v>12967</v>
      </c>
      <c r="L16" s="61" t="s">
        <v>12968</v>
      </c>
      <c r="M16" s="61"/>
      <c r="N16" s="61" t="s">
        <v>12864</v>
      </c>
      <c r="O16" s="61" t="s">
        <v>12969</v>
      </c>
    </row>
    <row r="17" spans="1:15" ht="15" customHeight="1" x14ac:dyDescent="0.2">
      <c r="A17" s="61">
        <v>16</v>
      </c>
      <c r="B17" s="61" t="s">
        <v>12963</v>
      </c>
      <c r="C17" s="61" t="s">
        <v>4122</v>
      </c>
      <c r="D17" s="61" t="s">
        <v>8765</v>
      </c>
      <c r="E17" s="61">
        <v>2020</v>
      </c>
      <c r="F17" s="61" t="s">
        <v>12693</v>
      </c>
      <c r="G17" s="61" t="s">
        <v>12971</v>
      </c>
      <c r="H17" s="61" t="s">
        <v>12972</v>
      </c>
      <c r="I17" s="61" t="s">
        <v>12973</v>
      </c>
      <c r="J17" s="61" t="s">
        <v>12974</v>
      </c>
      <c r="K17" s="61"/>
      <c r="L17" s="61"/>
      <c r="M17" s="61"/>
      <c r="N17" s="61" t="s">
        <v>12864</v>
      </c>
      <c r="O17" s="61"/>
    </row>
    <row r="18" spans="1:15" ht="15" customHeight="1" x14ac:dyDescent="0.2">
      <c r="A18" s="61">
        <v>17</v>
      </c>
      <c r="B18" s="61" t="s">
        <v>12964</v>
      </c>
      <c r="C18" s="61" t="s">
        <v>4973</v>
      </c>
      <c r="D18" s="61" t="s">
        <v>4972</v>
      </c>
      <c r="E18" s="61">
        <v>2020</v>
      </c>
      <c r="F18" s="61" t="s">
        <v>12690</v>
      </c>
      <c r="G18" s="61" t="s">
        <v>12976</v>
      </c>
      <c r="H18" s="61" t="s">
        <v>12977</v>
      </c>
      <c r="I18" s="61" t="s">
        <v>12978</v>
      </c>
      <c r="J18" s="61" t="s">
        <v>12979</v>
      </c>
      <c r="K18" s="61" t="s">
        <v>12980</v>
      </c>
      <c r="L18" s="61" t="s">
        <v>12907</v>
      </c>
      <c r="M18" s="61" t="s">
        <v>12908</v>
      </c>
      <c r="N18" s="61" t="s">
        <v>13247</v>
      </c>
      <c r="O18" s="61" t="s">
        <v>12981</v>
      </c>
    </row>
    <row r="19" spans="1:15" ht="15" customHeight="1" x14ac:dyDescent="0.2">
      <c r="A19" s="61">
        <v>18</v>
      </c>
      <c r="B19" s="61" t="s">
        <v>12970</v>
      </c>
      <c r="C19" s="61" t="s">
        <v>2765</v>
      </c>
      <c r="D19" s="61" t="s">
        <v>9479</v>
      </c>
      <c r="E19" s="61">
        <v>2020</v>
      </c>
      <c r="F19" s="61" t="s">
        <v>12689</v>
      </c>
      <c r="G19" s="61" t="s">
        <v>12983</v>
      </c>
      <c r="H19" s="61" t="s">
        <v>12860</v>
      </c>
      <c r="I19" s="61" t="s">
        <v>12861</v>
      </c>
      <c r="J19" s="61" t="s">
        <v>12984</v>
      </c>
      <c r="K19" s="61" t="s">
        <v>12985</v>
      </c>
      <c r="L19" s="61" t="s">
        <v>12986</v>
      </c>
      <c r="M19" s="61" t="s">
        <v>12987</v>
      </c>
      <c r="N19" s="61" t="s">
        <v>12988</v>
      </c>
      <c r="O19" s="61" t="s">
        <v>12989</v>
      </c>
    </row>
    <row r="20" spans="1:15" ht="15" customHeight="1" x14ac:dyDescent="0.2">
      <c r="A20" s="61">
        <v>19</v>
      </c>
      <c r="B20" s="61" t="s">
        <v>12975</v>
      </c>
      <c r="C20" s="61" t="s">
        <v>12837</v>
      </c>
      <c r="D20" s="61" t="s">
        <v>2750</v>
      </c>
      <c r="E20" s="61">
        <v>2020</v>
      </c>
      <c r="F20" s="61" t="s">
        <v>12690</v>
      </c>
      <c r="G20" s="61" t="s">
        <v>13248</v>
      </c>
      <c r="H20" s="61" t="s">
        <v>12991</v>
      </c>
      <c r="I20" s="61" t="s">
        <v>12992</v>
      </c>
      <c r="J20" s="61" t="s">
        <v>12993</v>
      </c>
      <c r="K20" s="61" t="s">
        <v>12994</v>
      </c>
      <c r="L20" s="61" t="s">
        <v>12995</v>
      </c>
      <c r="M20" s="61" t="s">
        <v>12996</v>
      </c>
      <c r="N20" s="61" t="s">
        <v>12997</v>
      </c>
      <c r="O20" s="61" t="s">
        <v>12998</v>
      </c>
    </row>
    <row r="21" spans="1:15" ht="15" customHeight="1" x14ac:dyDescent="0.2">
      <c r="A21" s="61">
        <v>20</v>
      </c>
      <c r="B21" s="61" t="s">
        <v>12982</v>
      </c>
      <c r="C21" s="61" t="s">
        <v>6327</v>
      </c>
      <c r="D21" s="61" t="s">
        <v>2924</v>
      </c>
      <c r="E21" s="61">
        <v>2021</v>
      </c>
      <c r="F21" s="61" t="s">
        <v>12688</v>
      </c>
      <c r="G21" s="61" t="s">
        <v>13000</v>
      </c>
      <c r="H21" s="61" t="s">
        <v>12860</v>
      </c>
      <c r="I21" s="61" t="s">
        <v>12861</v>
      </c>
      <c r="J21" s="61" t="s">
        <v>13001</v>
      </c>
      <c r="K21" s="61" t="s">
        <v>13002</v>
      </c>
      <c r="L21" s="61" t="s">
        <v>12907</v>
      </c>
      <c r="M21" s="61" t="s">
        <v>13003</v>
      </c>
      <c r="N21" s="61" t="s">
        <v>13004</v>
      </c>
      <c r="O21" s="61" t="s">
        <v>13005</v>
      </c>
    </row>
    <row r="22" spans="1:15" ht="15" customHeight="1" x14ac:dyDescent="0.2">
      <c r="A22" s="61">
        <v>21</v>
      </c>
      <c r="B22" s="61" t="s">
        <v>12990</v>
      </c>
      <c r="C22" s="61" t="s">
        <v>51</v>
      </c>
      <c r="D22" s="61" t="s">
        <v>9485</v>
      </c>
      <c r="E22" s="61">
        <v>2021</v>
      </c>
      <c r="F22" s="61" t="s">
        <v>12877</v>
      </c>
      <c r="G22" s="61" t="s">
        <v>13007</v>
      </c>
      <c r="H22" s="61" t="s">
        <v>12860</v>
      </c>
      <c r="I22" s="61" t="s">
        <v>12861</v>
      </c>
      <c r="J22" s="61" t="s">
        <v>13008</v>
      </c>
      <c r="K22" s="61" t="s">
        <v>13009</v>
      </c>
      <c r="L22" s="61" t="s">
        <v>12907</v>
      </c>
      <c r="M22" s="61" t="s">
        <v>12908</v>
      </c>
      <c r="N22" s="61" t="s">
        <v>13010</v>
      </c>
      <c r="O22" s="61" t="s">
        <v>13011</v>
      </c>
    </row>
    <row r="23" spans="1:15" ht="15" customHeight="1" x14ac:dyDescent="0.2">
      <c r="A23" s="61">
        <v>22</v>
      </c>
      <c r="B23" s="61" t="s">
        <v>12999</v>
      </c>
      <c r="C23" s="61" t="s">
        <v>2857</v>
      </c>
      <c r="D23" s="61" t="s">
        <v>9799</v>
      </c>
      <c r="E23" s="61">
        <v>2021</v>
      </c>
      <c r="F23" s="61" t="s">
        <v>12689</v>
      </c>
      <c r="G23" s="61" t="s">
        <v>13013</v>
      </c>
      <c r="H23" s="61" t="s">
        <v>12860</v>
      </c>
      <c r="I23" s="61" t="s">
        <v>12861</v>
      </c>
      <c r="J23" s="61" t="s">
        <v>13014</v>
      </c>
      <c r="K23" s="61" t="s">
        <v>13015</v>
      </c>
      <c r="L23" s="61" t="s">
        <v>12907</v>
      </c>
      <c r="M23" s="61" t="s">
        <v>12908</v>
      </c>
      <c r="N23" s="61" t="s">
        <v>13016</v>
      </c>
      <c r="O23" s="61" t="s">
        <v>13017</v>
      </c>
    </row>
    <row r="24" spans="1:15" ht="15" customHeight="1" x14ac:dyDescent="0.2">
      <c r="A24" s="61">
        <v>23</v>
      </c>
      <c r="B24" s="61" t="s">
        <v>13006</v>
      </c>
      <c r="C24" s="61" t="s">
        <v>11051</v>
      </c>
      <c r="D24" s="61" t="s">
        <v>1856</v>
      </c>
      <c r="E24" s="61">
        <v>2021</v>
      </c>
      <c r="F24" s="61" t="s">
        <v>12692</v>
      </c>
      <c r="G24" s="61" t="s">
        <v>13019</v>
      </c>
      <c r="H24" s="61" t="s">
        <v>13020</v>
      </c>
      <c r="I24" s="61" t="s">
        <v>13020</v>
      </c>
      <c r="J24" s="61" t="s">
        <v>13021</v>
      </c>
      <c r="K24" s="61" t="s">
        <v>13022</v>
      </c>
      <c r="L24" s="61" t="s">
        <v>12907</v>
      </c>
      <c r="M24" s="61" t="s">
        <v>12898</v>
      </c>
      <c r="N24" s="61" t="s">
        <v>13023</v>
      </c>
      <c r="O24" s="61" t="s">
        <v>13024</v>
      </c>
    </row>
    <row r="25" spans="1:15" ht="15" customHeight="1" x14ac:dyDescent="0.2">
      <c r="A25" s="61">
        <v>24</v>
      </c>
      <c r="B25" s="61" t="s">
        <v>13012</v>
      </c>
      <c r="C25" s="61" t="s">
        <v>11576</v>
      </c>
      <c r="D25" s="61" t="s">
        <v>3183</v>
      </c>
      <c r="E25" s="61">
        <v>2021</v>
      </c>
      <c r="F25" s="61" t="s">
        <v>12692</v>
      </c>
      <c r="G25" s="61" t="s">
        <v>13026</v>
      </c>
      <c r="H25" s="61" t="s">
        <v>12860</v>
      </c>
      <c r="I25" s="61" t="s">
        <v>12861</v>
      </c>
      <c r="J25" s="61" t="s">
        <v>13249</v>
      </c>
      <c r="K25" s="61" t="s">
        <v>13027</v>
      </c>
      <c r="L25" s="61" t="s">
        <v>13028</v>
      </c>
      <c r="M25" s="61" t="s">
        <v>12908</v>
      </c>
      <c r="N25" s="61" t="s">
        <v>13029</v>
      </c>
      <c r="O25" s="61" t="s">
        <v>13030</v>
      </c>
    </row>
    <row r="26" spans="1:15" ht="15" customHeight="1" x14ac:dyDescent="0.2">
      <c r="A26" s="61">
        <v>25</v>
      </c>
      <c r="B26" s="61" t="s">
        <v>13018</v>
      </c>
      <c r="C26" s="61" t="s">
        <v>2436</v>
      </c>
      <c r="D26" s="61" t="s">
        <v>2435</v>
      </c>
      <c r="E26" s="61">
        <v>2021</v>
      </c>
      <c r="F26" s="61" t="s">
        <v>12690</v>
      </c>
      <c r="G26" s="61" t="s">
        <v>13032</v>
      </c>
      <c r="H26" s="61" t="s">
        <v>13033</v>
      </c>
      <c r="I26" s="61" t="s">
        <v>13033</v>
      </c>
      <c r="J26" s="61" t="s">
        <v>13034</v>
      </c>
      <c r="K26" s="61" t="s">
        <v>13035</v>
      </c>
      <c r="L26" s="61" t="s">
        <v>12907</v>
      </c>
      <c r="M26" s="61" t="s">
        <v>12915</v>
      </c>
      <c r="N26" s="61" t="s">
        <v>13036</v>
      </c>
      <c r="O26" s="61" t="s">
        <v>13037</v>
      </c>
    </row>
    <row r="27" spans="1:15" ht="15" customHeight="1" x14ac:dyDescent="0.2">
      <c r="A27" s="61">
        <v>26</v>
      </c>
      <c r="B27" s="61" t="s">
        <v>13025</v>
      </c>
      <c r="C27" s="61" t="s">
        <v>3345</v>
      </c>
      <c r="D27" s="61" t="s">
        <v>9776</v>
      </c>
      <c r="E27" s="61">
        <v>2021</v>
      </c>
      <c r="F27" s="61" t="s">
        <v>12689</v>
      </c>
      <c r="G27" s="61" t="s">
        <v>13039</v>
      </c>
      <c r="H27" s="61" t="s">
        <v>13040</v>
      </c>
      <c r="I27" s="61" t="s">
        <v>13041</v>
      </c>
      <c r="J27" s="61" t="s">
        <v>13042</v>
      </c>
      <c r="K27" s="61" t="s">
        <v>13043</v>
      </c>
      <c r="L27" s="61" t="s">
        <v>13044</v>
      </c>
      <c r="M27" s="61" t="s">
        <v>13045</v>
      </c>
      <c r="N27" s="61" t="s">
        <v>13046</v>
      </c>
      <c r="O27" s="61" t="s">
        <v>13047</v>
      </c>
    </row>
    <row r="28" spans="1:15" ht="15" customHeight="1" x14ac:dyDescent="0.2">
      <c r="A28" s="61">
        <v>27</v>
      </c>
      <c r="B28" s="61" t="s">
        <v>13031</v>
      </c>
      <c r="C28" s="61" t="s">
        <v>3454</v>
      </c>
      <c r="D28" s="61" t="s">
        <v>3453</v>
      </c>
      <c r="E28" s="61">
        <v>2021</v>
      </c>
      <c r="F28" s="61" t="s">
        <v>12690</v>
      </c>
      <c r="G28" s="61" t="s">
        <v>13049</v>
      </c>
      <c r="H28" s="61" t="s">
        <v>12860</v>
      </c>
      <c r="I28" s="61" t="s">
        <v>12861</v>
      </c>
      <c r="J28" s="61" t="s">
        <v>13250</v>
      </c>
      <c r="K28" s="61" t="s">
        <v>13050</v>
      </c>
      <c r="L28" s="61" t="s">
        <v>13051</v>
      </c>
      <c r="M28" s="61" t="s">
        <v>12915</v>
      </c>
      <c r="N28" s="61" t="s">
        <v>13052</v>
      </c>
      <c r="O28" s="61" t="s">
        <v>13053</v>
      </c>
    </row>
    <row r="29" spans="1:15" ht="15" customHeight="1" x14ac:dyDescent="0.2">
      <c r="A29" s="61">
        <v>28</v>
      </c>
      <c r="B29" s="61" t="s">
        <v>13038</v>
      </c>
      <c r="C29" s="61" t="s">
        <v>11667</v>
      </c>
      <c r="D29" s="61" t="s">
        <v>2295</v>
      </c>
      <c r="E29" s="61">
        <v>2021</v>
      </c>
      <c r="F29" s="61" t="s">
        <v>12692</v>
      </c>
      <c r="G29" s="61" t="s">
        <v>13055</v>
      </c>
      <c r="H29" s="61" t="s">
        <v>12860</v>
      </c>
      <c r="I29" s="61" t="s">
        <v>12861</v>
      </c>
      <c r="J29" s="61" t="s">
        <v>13056</v>
      </c>
      <c r="K29" s="61" t="s">
        <v>13057</v>
      </c>
      <c r="L29" s="61" t="s">
        <v>13058</v>
      </c>
      <c r="M29" s="61" t="s">
        <v>13059</v>
      </c>
      <c r="N29" s="61" t="s">
        <v>13060</v>
      </c>
      <c r="O29" s="61" t="s">
        <v>13061</v>
      </c>
    </row>
    <row r="30" spans="1:15" ht="15" customHeight="1" x14ac:dyDescent="0.2">
      <c r="A30" s="61">
        <v>29</v>
      </c>
      <c r="B30" s="61" t="s">
        <v>13048</v>
      </c>
      <c r="C30" s="61" t="s">
        <v>1200</v>
      </c>
      <c r="D30" s="61" t="s">
        <v>1199</v>
      </c>
      <c r="E30" s="61">
        <v>2022</v>
      </c>
      <c r="F30" s="61" t="s">
        <v>12693</v>
      </c>
      <c r="G30" s="61" t="s">
        <v>13063</v>
      </c>
      <c r="H30" s="61" t="s">
        <v>13064</v>
      </c>
      <c r="I30" s="61" t="s">
        <v>13065</v>
      </c>
      <c r="J30" s="61"/>
      <c r="K30" s="61" t="s">
        <v>13066</v>
      </c>
      <c r="L30" s="61" t="s">
        <v>13067</v>
      </c>
      <c r="M30" s="61"/>
      <c r="N30" s="61" t="s">
        <v>13068</v>
      </c>
      <c r="O30" s="61" t="s">
        <v>13069</v>
      </c>
    </row>
    <row r="31" spans="1:15" ht="15" customHeight="1" x14ac:dyDescent="0.2">
      <c r="A31" s="61">
        <v>30</v>
      </c>
      <c r="B31" s="61" t="s">
        <v>13054</v>
      </c>
      <c r="C31" s="61" t="s">
        <v>89</v>
      </c>
      <c r="D31" s="61" t="s">
        <v>88</v>
      </c>
      <c r="E31" s="61">
        <v>2022</v>
      </c>
      <c r="F31" s="61" t="s">
        <v>12877</v>
      </c>
      <c r="G31" s="61" t="s">
        <v>13071</v>
      </c>
      <c r="H31" s="61" t="s">
        <v>13072</v>
      </c>
      <c r="I31" s="61" t="s">
        <v>13072</v>
      </c>
      <c r="J31" s="61" t="s">
        <v>13251</v>
      </c>
      <c r="K31" s="61" t="s">
        <v>13073</v>
      </c>
      <c r="L31" s="61" t="s">
        <v>12907</v>
      </c>
      <c r="M31" s="61" t="s">
        <v>13074</v>
      </c>
      <c r="N31" s="61" t="s">
        <v>13075</v>
      </c>
      <c r="O31" s="61" t="s">
        <v>13252</v>
      </c>
    </row>
    <row r="32" spans="1:15" ht="15" customHeight="1" x14ac:dyDescent="0.2">
      <c r="A32" s="61">
        <v>31</v>
      </c>
      <c r="B32" s="61" t="s">
        <v>13062</v>
      </c>
      <c r="C32" s="61" t="s">
        <v>78</v>
      </c>
      <c r="D32" s="61" t="s">
        <v>13077</v>
      </c>
      <c r="E32" s="61">
        <v>2022</v>
      </c>
      <c r="F32" s="61" t="s">
        <v>12877</v>
      </c>
      <c r="G32" s="61" t="s">
        <v>13078</v>
      </c>
      <c r="H32" s="61" t="s">
        <v>12860</v>
      </c>
      <c r="I32" s="61" t="s">
        <v>12861</v>
      </c>
      <c r="J32" s="61" t="s">
        <v>13079</v>
      </c>
      <c r="K32" s="61" t="s">
        <v>13080</v>
      </c>
      <c r="L32" s="61" t="s">
        <v>13081</v>
      </c>
      <c r="M32" s="61" t="s">
        <v>13082</v>
      </c>
      <c r="N32" s="61" t="s">
        <v>13253</v>
      </c>
      <c r="O32" s="61" t="s">
        <v>13083</v>
      </c>
    </row>
    <row r="33" spans="1:15" ht="15" customHeight="1" x14ac:dyDescent="0.2">
      <c r="A33" s="61">
        <v>32</v>
      </c>
      <c r="B33" s="61" t="s">
        <v>13070</v>
      </c>
      <c r="C33" s="61" t="s">
        <v>2354</v>
      </c>
      <c r="D33" s="61" t="s">
        <v>2353</v>
      </c>
      <c r="E33" s="61">
        <v>2022</v>
      </c>
      <c r="F33" s="61" t="s">
        <v>12690</v>
      </c>
      <c r="G33" s="61" t="s">
        <v>13085</v>
      </c>
      <c r="H33" s="61" t="s">
        <v>12860</v>
      </c>
      <c r="I33" s="61" t="s">
        <v>12861</v>
      </c>
      <c r="J33" s="61" t="s">
        <v>13086</v>
      </c>
      <c r="K33" s="61" t="s">
        <v>13087</v>
      </c>
      <c r="L33" s="61" t="s">
        <v>12907</v>
      </c>
      <c r="M33" s="61" t="s">
        <v>13088</v>
      </c>
      <c r="N33" s="61" t="s">
        <v>13089</v>
      </c>
      <c r="O33" s="61" t="s">
        <v>13090</v>
      </c>
    </row>
    <row r="34" spans="1:15" ht="15" customHeight="1" x14ac:dyDescent="0.2">
      <c r="A34" s="61">
        <v>33</v>
      </c>
      <c r="B34" s="61" t="s">
        <v>13076</v>
      </c>
      <c r="C34" s="61" t="s">
        <v>438</v>
      </c>
      <c r="D34" s="61" t="s">
        <v>437</v>
      </c>
      <c r="E34" s="61">
        <v>2022</v>
      </c>
      <c r="F34" s="61" t="s">
        <v>12690</v>
      </c>
      <c r="G34" s="61" t="s">
        <v>13092</v>
      </c>
      <c r="H34" s="61" t="s">
        <v>12860</v>
      </c>
      <c r="I34" s="61" t="s">
        <v>12861</v>
      </c>
      <c r="J34" s="61" t="s">
        <v>13093</v>
      </c>
      <c r="K34" s="61"/>
      <c r="L34" s="61" t="s">
        <v>13094</v>
      </c>
      <c r="M34" s="61" t="s">
        <v>12898</v>
      </c>
      <c r="N34" s="61" t="s">
        <v>13095</v>
      </c>
      <c r="O34" s="61"/>
    </row>
    <row r="35" spans="1:15" ht="15" customHeight="1" x14ac:dyDescent="0.2">
      <c r="A35" s="61">
        <v>34</v>
      </c>
      <c r="B35" s="61" t="s">
        <v>13084</v>
      </c>
      <c r="C35" s="61" t="s">
        <v>481</v>
      </c>
      <c r="D35" s="61" t="s">
        <v>480</v>
      </c>
      <c r="E35" s="61">
        <v>2022</v>
      </c>
      <c r="F35" s="61" t="s">
        <v>12688</v>
      </c>
      <c r="G35" s="61" t="s">
        <v>13097</v>
      </c>
      <c r="H35" s="61" t="s">
        <v>12860</v>
      </c>
      <c r="I35" s="61" t="s">
        <v>12861</v>
      </c>
      <c r="J35" s="61" t="s">
        <v>12905</v>
      </c>
      <c r="K35" s="61" t="s">
        <v>13098</v>
      </c>
      <c r="L35" s="61" t="s">
        <v>13099</v>
      </c>
      <c r="M35" s="61" t="s">
        <v>12915</v>
      </c>
      <c r="N35" s="61" t="s">
        <v>13100</v>
      </c>
      <c r="O35" s="61"/>
    </row>
    <row r="36" spans="1:15" ht="15" customHeight="1" x14ac:dyDescent="0.2">
      <c r="A36" s="61">
        <v>35</v>
      </c>
      <c r="B36" s="61" t="s">
        <v>13091</v>
      </c>
      <c r="C36" s="61" t="s">
        <v>97</v>
      </c>
      <c r="D36" s="61" t="s">
        <v>9697</v>
      </c>
      <c r="E36" s="61">
        <v>2022</v>
      </c>
      <c r="F36" s="61" t="s">
        <v>12877</v>
      </c>
      <c r="G36" s="61" t="s">
        <v>13102</v>
      </c>
      <c r="H36" s="61" t="s">
        <v>12860</v>
      </c>
      <c r="I36" s="61" t="s">
        <v>12861</v>
      </c>
      <c r="J36" s="61" t="s">
        <v>13103</v>
      </c>
      <c r="K36" s="61" t="s">
        <v>13104</v>
      </c>
      <c r="L36" s="61" t="s">
        <v>13105</v>
      </c>
      <c r="M36" s="61" t="s">
        <v>13106</v>
      </c>
      <c r="N36" s="61" t="s">
        <v>13107</v>
      </c>
      <c r="O36" s="61"/>
    </row>
    <row r="37" spans="1:15" ht="15" customHeight="1" x14ac:dyDescent="0.2">
      <c r="A37" s="61">
        <v>36</v>
      </c>
      <c r="B37" s="61" t="s">
        <v>13096</v>
      </c>
      <c r="C37" s="61" t="s">
        <v>2264</v>
      </c>
      <c r="D37" s="61" t="s">
        <v>2263</v>
      </c>
      <c r="E37" s="61">
        <v>2022</v>
      </c>
      <c r="F37" s="61" t="s">
        <v>12690</v>
      </c>
      <c r="G37" s="61" t="s">
        <v>13109</v>
      </c>
      <c r="H37" s="61" t="s">
        <v>12860</v>
      </c>
      <c r="I37" s="61" t="s">
        <v>12861</v>
      </c>
      <c r="J37" s="61" t="s">
        <v>13110</v>
      </c>
      <c r="K37" s="61" t="s">
        <v>13111</v>
      </c>
      <c r="L37" s="61" t="s">
        <v>12907</v>
      </c>
      <c r="M37" s="61" t="s">
        <v>12898</v>
      </c>
      <c r="N37" s="61" t="s">
        <v>13112</v>
      </c>
      <c r="O37" s="61" t="s">
        <v>13254</v>
      </c>
    </row>
    <row r="38" spans="1:15" ht="15" customHeight="1" x14ac:dyDescent="0.2">
      <c r="A38" s="61">
        <v>37</v>
      </c>
      <c r="B38" s="61" t="s">
        <v>13101</v>
      </c>
      <c r="C38" s="61" t="s">
        <v>31</v>
      </c>
      <c r="D38" s="61" t="s">
        <v>30</v>
      </c>
      <c r="E38" s="61">
        <v>2022</v>
      </c>
      <c r="F38" s="61" t="s">
        <v>12877</v>
      </c>
      <c r="G38" s="61" t="s">
        <v>13114</v>
      </c>
      <c r="H38" s="61" t="s">
        <v>12860</v>
      </c>
      <c r="I38" s="61" t="s">
        <v>12861</v>
      </c>
      <c r="J38" s="61" t="s">
        <v>13115</v>
      </c>
      <c r="K38" s="62" t="s">
        <v>13116</v>
      </c>
      <c r="L38" s="62" t="s">
        <v>13255</v>
      </c>
      <c r="M38" s="61" t="s">
        <v>12898</v>
      </c>
      <c r="N38" s="61" t="s">
        <v>13256</v>
      </c>
      <c r="O38" s="61" t="s">
        <v>13117</v>
      </c>
    </row>
    <row r="39" spans="1:15" ht="15" customHeight="1" x14ac:dyDescent="0.2">
      <c r="A39" s="61">
        <v>38</v>
      </c>
      <c r="B39" s="61" t="s">
        <v>13108</v>
      </c>
      <c r="C39" s="61" t="s">
        <v>110</v>
      </c>
      <c r="D39" s="61" t="s">
        <v>109</v>
      </c>
      <c r="E39" s="61">
        <v>2022</v>
      </c>
      <c r="F39" s="61" t="s">
        <v>12877</v>
      </c>
      <c r="G39" s="61" t="s">
        <v>13119</v>
      </c>
      <c r="H39" s="61" t="s">
        <v>12860</v>
      </c>
      <c r="I39" s="61" t="s">
        <v>12861</v>
      </c>
      <c r="J39" s="61"/>
      <c r="K39" s="61" t="s">
        <v>13120</v>
      </c>
      <c r="L39" s="61" t="s">
        <v>13121</v>
      </c>
      <c r="M39" s="61" t="s">
        <v>13122</v>
      </c>
      <c r="N39" s="61" t="s">
        <v>13123</v>
      </c>
      <c r="O39" s="61" t="s">
        <v>13124</v>
      </c>
    </row>
    <row r="40" spans="1:15" ht="15" customHeight="1" x14ac:dyDescent="0.2">
      <c r="A40" s="61">
        <v>39</v>
      </c>
      <c r="B40" s="61" t="s">
        <v>13113</v>
      </c>
      <c r="C40" s="61" t="s">
        <v>2032</v>
      </c>
      <c r="D40" s="61" t="s">
        <v>2031</v>
      </c>
      <c r="E40" s="61">
        <v>2022</v>
      </c>
      <c r="F40" s="61" t="s">
        <v>12692</v>
      </c>
      <c r="G40" s="61" t="s">
        <v>13126</v>
      </c>
      <c r="H40" s="61" t="s">
        <v>13127</v>
      </c>
      <c r="I40" s="61" t="s">
        <v>13128</v>
      </c>
      <c r="J40" s="61" t="s">
        <v>13129</v>
      </c>
      <c r="K40" s="61" t="s">
        <v>13130</v>
      </c>
      <c r="L40" s="62" t="s">
        <v>13257</v>
      </c>
      <c r="M40" s="61" t="s">
        <v>13131</v>
      </c>
      <c r="N40" s="61" t="s">
        <v>13132</v>
      </c>
      <c r="O40" s="61" t="s">
        <v>13133</v>
      </c>
    </row>
    <row r="41" spans="1:15" ht="15" customHeight="1" x14ac:dyDescent="0.2">
      <c r="A41" s="61">
        <v>40</v>
      </c>
      <c r="B41" s="61" t="s">
        <v>13118</v>
      </c>
      <c r="C41" s="61" t="s">
        <v>1826</v>
      </c>
      <c r="D41" s="61" t="s">
        <v>1825</v>
      </c>
      <c r="E41" s="61">
        <v>2022</v>
      </c>
      <c r="F41" s="61" t="s">
        <v>12693</v>
      </c>
      <c r="G41" s="61" t="s">
        <v>13135</v>
      </c>
      <c r="H41" s="61" t="s">
        <v>12860</v>
      </c>
      <c r="I41" s="61" t="s">
        <v>12861</v>
      </c>
      <c r="J41" s="61"/>
      <c r="K41" s="61" t="s">
        <v>13136</v>
      </c>
      <c r="L41" s="62" t="s">
        <v>13258</v>
      </c>
      <c r="M41" s="61"/>
      <c r="N41" s="61" t="s">
        <v>12864</v>
      </c>
      <c r="O41" s="61"/>
    </row>
    <row r="42" spans="1:15" ht="15" customHeight="1" x14ac:dyDescent="0.2">
      <c r="A42" s="61">
        <v>41</v>
      </c>
      <c r="B42" s="61" t="s">
        <v>13125</v>
      </c>
      <c r="C42" s="61" t="s">
        <v>272</v>
      </c>
      <c r="D42" s="61" t="s">
        <v>271</v>
      </c>
      <c r="E42" s="61">
        <v>2022</v>
      </c>
      <c r="F42" s="61" t="s">
        <v>12690</v>
      </c>
      <c r="G42" s="61" t="s">
        <v>13138</v>
      </c>
      <c r="H42" s="61" t="s">
        <v>12860</v>
      </c>
      <c r="I42" s="61" t="s">
        <v>12861</v>
      </c>
      <c r="J42" s="61" t="s">
        <v>13139</v>
      </c>
      <c r="K42" s="61" t="s">
        <v>13140</v>
      </c>
      <c r="L42" s="61" t="s">
        <v>12907</v>
      </c>
      <c r="M42" s="61" t="s">
        <v>12898</v>
      </c>
      <c r="N42" s="61" t="s">
        <v>13141</v>
      </c>
      <c r="O42" s="61" t="s">
        <v>13142</v>
      </c>
    </row>
    <row r="43" spans="1:15" ht="15" customHeight="1" x14ac:dyDescent="0.2">
      <c r="A43" s="61">
        <v>42</v>
      </c>
      <c r="B43" s="61" t="s">
        <v>13134</v>
      </c>
      <c r="C43" s="61" t="s">
        <v>56</v>
      </c>
      <c r="D43" s="61" t="s">
        <v>9476</v>
      </c>
      <c r="E43" s="61">
        <v>2022</v>
      </c>
      <c r="F43" s="61" t="s">
        <v>12877</v>
      </c>
      <c r="G43" s="61" t="s">
        <v>13259</v>
      </c>
      <c r="H43" s="61" t="s">
        <v>13144</v>
      </c>
      <c r="I43" s="61" t="s">
        <v>13145</v>
      </c>
      <c r="J43" s="61" t="s">
        <v>13146</v>
      </c>
      <c r="K43" s="61" t="s">
        <v>13147</v>
      </c>
      <c r="L43" s="61" t="s">
        <v>13148</v>
      </c>
      <c r="M43" s="61" t="s">
        <v>12898</v>
      </c>
      <c r="N43" s="61" t="s">
        <v>13149</v>
      </c>
      <c r="O43" s="61" t="s">
        <v>13150</v>
      </c>
    </row>
    <row r="44" spans="1:15" ht="15" customHeight="1" x14ac:dyDescent="0.2">
      <c r="A44" s="61">
        <v>43</v>
      </c>
      <c r="B44" s="61" t="s">
        <v>13137</v>
      </c>
      <c r="C44" s="61" t="s">
        <v>11324</v>
      </c>
      <c r="D44" s="61" t="s">
        <v>6466</v>
      </c>
      <c r="E44" s="61">
        <v>2022</v>
      </c>
      <c r="F44" s="61" t="s">
        <v>12692</v>
      </c>
      <c r="G44" s="61" t="s">
        <v>13152</v>
      </c>
      <c r="H44" s="61"/>
      <c r="I44" s="61"/>
      <c r="J44" s="61" t="s">
        <v>13153</v>
      </c>
      <c r="K44" s="61"/>
      <c r="L44" s="61"/>
      <c r="M44" s="61"/>
      <c r="N44" s="61" t="s">
        <v>12864</v>
      </c>
      <c r="O44" s="61" t="s">
        <v>13154</v>
      </c>
    </row>
    <row r="45" spans="1:15" ht="15" customHeight="1" x14ac:dyDescent="0.2">
      <c r="A45" s="61">
        <v>44</v>
      </c>
      <c r="B45" s="61" t="s">
        <v>13143</v>
      </c>
      <c r="C45" s="61" t="s">
        <v>13156</v>
      </c>
      <c r="D45" s="61" t="s">
        <v>13157</v>
      </c>
      <c r="E45" s="61">
        <v>2020</v>
      </c>
      <c r="F45" s="61" t="s">
        <v>12688</v>
      </c>
      <c r="G45" s="64" t="s">
        <v>13260</v>
      </c>
      <c r="H45" s="64" t="s">
        <v>13158</v>
      </c>
      <c r="I45" s="64" t="s">
        <v>13159</v>
      </c>
      <c r="J45" s="64" t="s">
        <v>13160</v>
      </c>
      <c r="K45" s="64" t="s">
        <v>12699</v>
      </c>
      <c r="L45" s="64" t="s">
        <v>13161</v>
      </c>
      <c r="M45" s="64" t="s">
        <v>12699</v>
      </c>
      <c r="N45" s="61" t="s">
        <v>12864</v>
      </c>
      <c r="O45" s="64" t="s">
        <v>13162</v>
      </c>
    </row>
    <row r="46" spans="1:15" ht="15" customHeight="1" x14ac:dyDescent="0.2">
      <c r="A46" s="61">
        <v>45</v>
      </c>
      <c r="B46" s="61" t="s">
        <v>13151</v>
      </c>
      <c r="C46" s="61" t="s">
        <v>13164</v>
      </c>
      <c r="D46" s="61" t="s">
        <v>13165</v>
      </c>
      <c r="E46" s="61">
        <v>2016</v>
      </c>
      <c r="F46" s="61" t="s">
        <v>12692</v>
      </c>
      <c r="G46" s="61" t="s">
        <v>13261</v>
      </c>
      <c r="H46" s="61" t="s">
        <v>13166</v>
      </c>
      <c r="I46" s="61" t="s">
        <v>13167</v>
      </c>
      <c r="J46" s="61" t="s">
        <v>13168</v>
      </c>
      <c r="K46" s="61" t="s">
        <v>12699</v>
      </c>
      <c r="L46" s="61" t="s">
        <v>13262</v>
      </c>
      <c r="M46" s="61" t="s">
        <v>12699</v>
      </c>
      <c r="N46" s="61" t="s">
        <v>12864</v>
      </c>
      <c r="O46" s="61" t="s">
        <v>13169</v>
      </c>
    </row>
    <row r="47" spans="1:15" ht="15" customHeight="1" x14ac:dyDescent="0.2">
      <c r="A47" s="61">
        <v>46</v>
      </c>
      <c r="B47" s="61" t="s">
        <v>13155</v>
      </c>
      <c r="C47" s="61" t="s">
        <v>1417</v>
      </c>
      <c r="D47" s="61" t="s">
        <v>13171</v>
      </c>
      <c r="E47" s="61">
        <v>2022</v>
      </c>
      <c r="F47" s="61" t="s">
        <v>12688</v>
      </c>
      <c r="G47" s="61" t="s">
        <v>13172</v>
      </c>
      <c r="H47" s="61" t="s">
        <v>13173</v>
      </c>
      <c r="I47" s="61" t="s">
        <v>13174</v>
      </c>
      <c r="J47" s="61" t="s">
        <v>13175</v>
      </c>
      <c r="K47" s="61" t="s">
        <v>13176</v>
      </c>
      <c r="L47" s="61" t="s">
        <v>13177</v>
      </c>
      <c r="M47" s="61" t="s">
        <v>13178</v>
      </c>
      <c r="N47" s="61" t="s">
        <v>13179</v>
      </c>
      <c r="O47" s="61" t="s">
        <v>13180</v>
      </c>
    </row>
    <row r="48" spans="1:15" ht="15" customHeight="1" x14ac:dyDescent="0.2">
      <c r="A48" s="61">
        <v>47</v>
      </c>
      <c r="B48" s="61" t="s">
        <v>13163</v>
      </c>
      <c r="C48" s="61" t="s">
        <v>13182</v>
      </c>
      <c r="D48" s="61" t="s">
        <v>13183</v>
      </c>
      <c r="E48" s="61">
        <v>2016</v>
      </c>
      <c r="F48" s="61" t="s">
        <v>12688</v>
      </c>
      <c r="G48" s="61" t="s">
        <v>13184</v>
      </c>
      <c r="H48" s="61" t="s">
        <v>12860</v>
      </c>
      <c r="I48" s="61" t="s">
        <v>12861</v>
      </c>
      <c r="J48" s="61" t="s">
        <v>13168</v>
      </c>
      <c r="K48" s="61"/>
      <c r="L48" s="61" t="s">
        <v>13185</v>
      </c>
      <c r="M48" s="61"/>
      <c r="N48" s="61" t="s">
        <v>12864</v>
      </c>
      <c r="O48" s="61" t="s">
        <v>13186</v>
      </c>
    </row>
    <row r="49" spans="1:15" ht="15" customHeight="1" x14ac:dyDescent="0.2">
      <c r="A49" s="61">
        <v>48</v>
      </c>
      <c r="B49" s="61" t="s">
        <v>13170</v>
      </c>
      <c r="C49" s="61" t="s">
        <v>13188</v>
      </c>
      <c r="D49" s="61" t="s">
        <v>13189</v>
      </c>
      <c r="E49" s="61">
        <v>2016</v>
      </c>
      <c r="F49" s="61" t="s">
        <v>12692</v>
      </c>
      <c r="G49" s="61" t="s">
        <v>13190</v>
      </c>
      <c r="H49" s="61" t="s">
        <v>12860</v>
      </c>
      <c r="I49" s="61" t="s">
        <v>12861</v>
      </c>
      <c r="J49" s="61" t="s">
        <v>13191</v>
      </c>
      <c r="K49" s="61" t="s">
        <v>12699</v>
      </c>
      <c r="L49" s="61" t="s">
        <v>13192</v>
      </c>
      <c r="M49" s="61" t="s">
        <v>13193</v>
      </c>
      <c r="N49" s="61" t="s">
        <v>12864</v>
      </c>
      <c r="O49" s="61" t="s">
        <v>13194</v>
      </c>
    </row>
    <row r="50" spans="1:15" ht="15" customHeight="1" x14ac:dyDescent="0.2">
      <c r="A50" s="61">
        <v>49</v>
      </c>
      <c r="B50" s="61" t="s">
        <v>13181</v>
      </c>
      <c r="C50" s="61" t="s">
        <v>3381</v>
      </c>
      <c r="D50" s="61" t="s">
        <v>13196</v>
      </c>
      <c r="E50" s="61">
        <v>2020</v>
      </c>
      <c r="F50" s="61" t="s">
        <v>12688</v>
      </c>
      <c r="G50" s="61" t="s">
        <v>13197</v>
      </c>
      <c r="H50" s="61" t="s">
        <v>12860</v>
      </c>
      <c r="I50" s="61" t="s">
        <v>12861</v>
      </c>
      <c r="J50" s="61" t="s">
        <v>13198</v>
      </c>
      <c r="K50" s="61" t="s">
        <v>13199</v>
      </c>
      <c r="L50" s="61" t="s">
        <v>13200</v>
      </c>
      <c r="M50" s="61" t="s">
        <v>13201</v>
      </c>
      <c r="N50" s="61" t="s">
        <v>13202</v>
      </c>
      <c r="O50" s="61"/>
    </row>
    <row r="51" spans="1:15" ht="15" customHeight="1" x14ac:dyDescent="0.2">
      <c r="A51" s="61">
        <v>50</v>
      </c>
      <c r="B51" s="61" t="s">
        <v>13187</v>
      </c>
      <c r="C51" s="61" t="s">
        <v>1120</v>
      </c>
      <c r="D51" s="61" t="s">
        <v>13204</v>
      </c>
      <c r="E51" s="61">
        <v>2023</v>
      </c>
      <c r="F51" s="61" t="s">
        <v>12693</v>
      </c>
      <c r="G51" s="61" t="s">
        <v>13205</v>
      </c>
      <c r="H51" s="61" t="s">
        <v>13206</v>
      </c>
      <c r="I51" s="61" t="s">
        <v>13207</v>
      </c>
      <c r="J51" s="61" t="s">
        <v>13208</v>
      </c>
      <c r="K51" s="61" t="s">
        <v>13209</v>
      </c>
      <c r="L51" s="61" t="s">
        <v>12907</v>
      </c>
      <c r="M51" s="61" t="s">
        <v>13210</v>
      </c>
      <c r="N51" s="61" t="s">
        <v>13179</v>
      </c>
      <c r="O51" s="61" t="s">
        <v>13211</v>
      </c>
    </row>
    <row r="52" spans="1:15" ht="15" customHeight="1" x14ac:dyDescent="0.2">
      <c r="A52" s="61">
        <v>51</v>
      </c>
      <c r="B52" s="61" t="s">
        <v>13195</v>
      </c>
      <c r="C52" s="61" t="s">
        <v>945</v>
      </c>
      <c r="D52" s="61" t="s">
        <v>13213</v>
      </c>
      <c r="E52" s="61">
        <v>2023</v>
      </c>
      <c r="F52" s="61" t="s">
        <v>12690</v>
      </c>
      <c r="G52" s="61" t="s">
        <v>13214</v>
      </c>
      <c r="H52" s="61" t="s">
        <v>13206</v>
      </c>
      <c r="I52" s="61" t="s">
        <v>13207</v>
      </c>
      <c r="J52" s="61" t="s">
        <v>13215</v>
      </c>
      <c r="K52" s="61" t="s">
        <v>13216</v>
      </c>
      <c r="L52" s="61" t="s">
        <v>13217</v>
      </c>
      <c r="M52" s="61" t="s">
        <v>13218</v>
      </c>
      <c r="N52" s="61" t="s">
        <v>13219</v>
      </c>
      <c r="O52" s="61" t="s">
        <v>13220</v>
      </c>
    </row>
    <row r="53" spans="1:15" ht="15" customHeight="1" x14ac:dyDescent="0.2">
      <c r="A53" s="61">
        <v>52</v>
      </c>
      <c r="B53" s="61" t="s">
        <v>13203</v>
      </c>
      <c r="C53" s="61" t="s">
        <v>13221</v>
      </c>
      <c r="D53" s="61" t="s">
        <v>13222</v>
      </c>
      <c r="E53" s="61">
        <v>2021</v>
      </c>
      <c r="F53" s="61" t="s">
        <v>12688</v>
      </c>
      <c r="G53" s="61" t="s">
        <v>13223</v>
      </c>
      <c r="H53" s="61" t="s">
        <v>13224</v>
      </c>
      <c r="I53" s="61" t="s">
        <v>13225</v>
      </c>
      <c r="J53" s="61" t="s">
        <v>13226</v>
      </c>
      <c r="K53" s="61" t="s">
        <v>12699</v>
      </c>
      <c r="L53" s="61" t="s">
        <v>13227</v>
      </c>
      <c r="M53" s="61" t="s">
        <v>12699</v>
      </c>
      <c r="N53" s="61" t="s">
        <v>12864</v>
      </c>
      <c r="O53" s="61" t="s">
        <v>13228</v>
      </c>
    </row>
    <row r="54" spans="1:15" ht="15" customHeight="1" x14ac:dyDescent="0.2">
      <c r="A54" s="61">
        <v>55</v>
      </c>
      <c r="B54" s="61" t="s">
        <v>13212</v>
      </c>
      <c r="C54" s="61" t="s">
        <v>13229</v>
      </c>
      <c r="D54" s="61" t="s">
        <v>13230</v>
      </c>
      <c r="E54" s="61">
        <v>2020</v>
      </c>
      <c r="F54" s="61" t="s">
        <v>12690</v>
      </c>
      <c r="G54" s="61" t="s">
        <v>13263</v>
      </c>
      <c r="H54" s="61" t="s">
        <v>13231</v>
      </c>
      <c r="I54" s="61" t="s">
        <v>13232</v>
      </c>
      <c r="J54" s="61" t="s">
        <v>13233</v>
      </c>
      <c r="K54" s="61"/>
      <c r="L54" s="61" t="s">
        <v>12907</v>
      </c>
      <c r="M54" s="61"/>
      <c r="N54" s="61" t="s">
        <v>12864</v>
      </c>
      <c r="O54" s="61" t="s">
        <v>13234</v>
      </c>
    </row>
    <row r="56" spans="1:15" x14ac:dyDescent="0.2">
      <c r="E56" s="76"/>
      <c r="F56" s="76"/>
    </row>
    <row r="57" spans="1:15" x14ac:dyDescent="0.2">
      <c r="E57" s="76"/>
      <c r="F57" s="76"/>
    </row>
    <row r="58" spans="1:15" x14ac:dyDescent="0.2">
      <c r="E58" s="76"/>
      <c r="F58" s="65" t="s">
        <v>12877</v>
      </c>
      <c r="G58" s="75">
        <f t="shared" ref="G58:G63" si="0">COUNTIF($F$2:$F$54,F58)</f>
        <v>9</v>
      </c>
      <c r="I58" s="56"/>
      <c r="J58" s="56"/>
    </row>
    <row r="59" spans="1:15" x14ac:dyDescent="0.2">
      <c r="E59" s="76"/>
      <c r="F59" s="65" t="s">
        <v>12690</v>
      </c>
      <c r="G59" s="75">
        <f t="shared" si="0"/>
        <v>11</v>
      </c>
    </row>
    <row r="60" spans="1:15" x14ac:dyDescent="0.2">
      <c r="E60" s="76"/>
      <c r="F60" s="65" t="s">
        <v>12688</v>
      </c>
      <c r="G60" s="75">
        <f t="shared" si="0"/>
        <v>15</v>
      </c>
    </row>
    <row r="61" spans="1:15" x14ac:dyDescent="0.2">
      <c r="E61" s="76"/>
      <c r="F61" s="65" t="s">
        <v>12692</v>
      </c>
      <c r="G61" s="75">
        <f t="shared" si="0"/>
        <v>10</v>
      </c>
    </row>
    <row r="62" spans="1:15" x14ac:dyDescent="0.2">
      <c r="E62" s="76"/>
      <c r="F62" s="65" t="s">
        <v>12689</v>
      </c>
      <c r="G62" s="75">
        <f t="shared" si="0"/>
        <v>4</v>
      </c>
    </row>
    <row r="63" spans="1:15" x14ac:dyDescent="0.2">
      <c r="E63" s="76"/>
      <c r="F63" s="65" t="s">
        <v>12693</v>
      </c>
      <c r="G63" s="75">
        <f t="shared" si="0"/>
        <v>4</v>
      </c>
    </row>
    <row r="64" spans="1:15" x14ac:dyDescent="0.2">
      <c r="E64" s="74"/>
      <c r="F64" s="65"/>
      <c r="G64" s="75"/>
    </row>
    <row r="65" spans="5:7" x14ac:dyDescent="0.2">
      <c r="E65" s="74"/>
      <c r="F65" s="65" t="s">
        <v>13264</v>
      </c>
      <c r="G65" s="75">
        <f>SUM(G58:G63)</f>
        <v>53</v>
      </c>
    </row>
  </sheetData>
  <phoneticPr fontId="21" type="noConversion"/>
  <hyperlinks>
    <hyperlink ref="L5" r:id="rId1" display="https://github.com/maldonado/tse.satd.data _x000a_Maldonado SATD Dataset (from projects : Ant, ArgoUML, Columba, EMF, Hibernate, JEdit, JFreeChart, JMeter, JRuby and SQuirrel SQL)_x000a_In our previous work [15], we manually classified 33,093 comments extracted from the following projects: Ant, ArgoUML, Columba, JFreeChart and JMeter. _x000a_In the current study we manually classified an additional 29,473 comments from EMF, Hibernate, JEdit, JRuby and SQuirrel, which means that we extended our dataset of classified comments by 89.06%._x000a_In total, we manually classified 62,566 comments into the five different types of self-admitted technical debt mentioned above. " xr:uid="{19ACBDB7-0069-4977-B8F4-1B7CD7D7A8F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3251-2FD9-4CF7-81E2-5F430F576300}">
  <dimension ref="A1:AD1368"/>
  <sheetViews>
    <sheetView workbookViewId="0">
      <selection activeCell="L13" sqref="L13"/>
    </sheetView>
  </sheetViews>
  <sheetFormatPr defaultRowHeight="12.75" x14ac:dyDescent="0.2"/>
  <cols>
    <col min="6" max="6" width="10.7109375" customWidth="1"/>
    <col min="7" max="7" width="10.85546875" customWidth="1"/>
    <col min="8" max="8" width="11" customWidth="1"/>
  </cols>
  <sheetData>
    <row r="1" spans="1:30" ht="13.5" thickBot="1" x14ac:dyDescent="0.25">
      <c r="A1" s="57"/>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row>
    <row r="2" spans="1:30" ht="13.5" thickBot="1" x14ac:dyDescent="0.25">
      <c r="A2" s="57"/>
      <c r="B2" s="77" t="s">
        <v>15</v>
      </c>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row>
    <row r="3" spans="1:30" ht="13.5" thickBot="1" x14ac:dyDescent="0.25">
      <c r="A3" s="57"/>
      <c r="B3" s="78" t="s">
        <v>13365</v>
      </c>
      <c r="C3" s="79"/>
      <c r="D3" s="79"/>
      <c r="E3" s="79"/>
      <c r="F3" s="79"/>
      <c r="G3" s="79"/>
      <c r="H3" s="79"/>
      <c r="I3" s="57"/>
      <c r="J3" s="57"/>
      <c r="K3" s="57"/>
      <c r="L3" s="57"/>
      <c r="M3" s="57"/>
      <c r="N3" s="57"/>
      <c r="O3" s="57"/>
      <c r="P3" s="57"/>
      <c r="Q3" s="57"/>
      <c r="R3" s="57"/>
      <c r="S3" s="57"/>
      <c r="T3" s="57"/>
      <c r="U3" s="57"/>
      <c r="V3" s="57"/>
      <c r="W3" s="57"/>
      <c r="X3" s="57"/>
      <c r="Y3" s="57"/>
      <c r="Z3" s="57"/>
      <c r="AA3" s="57"/>
      <c r="AB3" s="57"/>
      <c r="AC3" s="57"/>
      <c r="AD3" s="57"/>
    </row>
    <row r="4" spans="1:30" ht="13.5" thickBot="1" x14ac:dyDescent="0.25">
      <c r="A4" s="80"/>
      <c r="B4" s="81"/>
      <c r="C4" s="330" t="s">
        <v>13366</v>
      </c>
      <c r="D4" s="331"/>
      <c r="E4" s="332"/>
      <c r="F4" s="330" t="s">
        <v>13367</v>
      </c>
      <c r="G4" s="331"/>
      <c r="H4" s="332"/>
      <c r="I4" s="57"/>
      <c r="J4" s="57"/>
      <c r="K4" s="57"/>
      <c r="L4" s="57"/>
      <c r="M4" s="57"/>
      <c r="N4" s="57"/>
      <c r="O4" s="57"/>
      <c r="P4" s="57"/>
      <c r="Q4" s="57"/>
      <c r="R4" s="57"/>
      <c r="S4" s="57"/>
      <c r="T4" s="57"/>
      <c r="U4" s="57"/>
      <c r="V4" s="57"/>
      <c r="W4" s="57"/>
      <c r="X4" s="57"/>
      <c r="Y4" s="57"/>
      <c r="Z4" s="57"/>
      <c r="AA4" s="57"/>
      <c r="AB4" s="57"/>
      <c r="AC4" s="57"/>
      <c r="AD4" s="57"/>
    </row>
    <row r="5" spans="1:30" ht="39" thickBot="1" x14ac:dyDescent="0.25">
      <c r="A5" s="80"/>
      <c r="B5" s="82" t="s">
        <v>13368</v>
      </c>
      <c r="C5" s="82" t="s">
        <v>13369</v>
      </c>
      <c r="D5" s="82" t="s">
        <v>13370</v>
      </c>
      <c r="E5" s="82" t="s">
        <v>13371</v>
      </c>
      <c r="F5" s="82" t="s">
        <v>13369</v>
      </c>
      <c r="G5" s="82" t="s">
        <v>13370</v>
      </c>
      <c r="H5" s="336" t="s">
        <v>13371</v>
      </c>
      <c r="I5" s="57"/>
      <c r="J5" s="57"/>
      <c r="K5" s="57"/>
      <c r="L5" s="57"/>
      <c r="M5" s="57"/>
      <c r="N5" s="57"/>
      <c r="O5" s="57"/>
      <c r="P5" s="57"/>
      <c r="Q5" s="57"/>
      <c r="R5" s="57"/>
      <c r="S5" s="57"/>
      <c r="T5" s="57"/>
      <c r="U5" s="57"/>
      <c r="V5" s="57"/>
      <c r="W5" s="57"/>
      <c r="X5" s="57"/>
      <c r="Y5" s="57"/>
      <c r="Z5" s="57"/>
      <c r="AA5" s="57"/>
      <c r="AB5" s="57"/>
      <c r="AC5" s="57"/>
      <c r="AD5" s="57"/>
    </row>
    <row r="6" spans="1:30" ht="13.5" thickBot="1" x14ac:dyDescent="0.25">
      <c r="A6" s="80"/>
      <c r="B6" s="83" t="s">
        <v>13372</v>
      </c>
      <c r="C6" s="84" t="s">
        <v>13373</v>
      </c>
      <c r="D6" s="84" t="s">
        <v>13374</v>
      </c>
      <c r="E6" s="84" t="s">
        <v>13375</v>
      </c>
      <c r="F6" s="84" t="s">
        <v>13376</v>
      </c>
      <c r="G6" s="84">
        <v>0</v>
      </c>
      <c r="H6" s="84" t="s">
        <v>13377</v>
      </c>
      <c r="I6" s="57"/>
      <c r="J6" s="57"/>
      <c r="K6" s="57"/>
      <c r="L6" s="57"/>
      <c r="M6" s="57"/>
      <c r="N6" s="57"/>
      <c r="O6" s="57"/>
      <c r="P6" s="57"/>
      <c r="Q6" s="57"/>
      <c r="R6" s="57"/>
      <c r="S6" s="57"/>
      <c r="T6" s="57"/>
      <c r="U6" s="57"/>
      <c r="V6" s="57"/>
      <c r="W6" s="57"/>
      <c r="X6" s="57"/>
      <c r="Y6" s="57"/>
      <c r="Z6" s="57"/>
      <c r="AA6" s="57"/>
      <c r="AB6" s="57"/>
      <c r="AC6" s="57"/>
      <c r="AD6" s="57"/>
    </row>
    <row r="7" spans="1:30" ht="13.5" thickBot="1" x14ac:dyDescent="0.25">
      <c r="A7" s="80"/>
      <c r="B7" s="83" t="s">
        <v>13378</v>
      </c>
      <c r="C7" s="84" t="s">
        <v>13379</v>
      </c>
      <c r="D7" s="84" t="s">
        <v>13380</v>
      </c>
      <c r="E7" s="84" t="s">
        <v>13381</v>
      </c>
      <c r="F7" s="84" t="s">
        <v>13382</v>
      </c>
      <c r="G7" s="84">
        <v>0</v>
      </c>
      <c r="H7" s="84" t="s">
        <v>13383</v>
      </c>
      <c r="I7" s="57"/>
      <c r="J7" s="57"/>
      <c r="K7" s="57"/>
      <c r="L7" s="57"/>
      <c r="M7" s="57"/>
      <c r="N7" s="57"/>
      <c r="O7" s="57"/>
      <c r="P7" s="57"/>
      <c r="Q7" s="57"/>
      <c r="R7" s="57"/>
      <c r="S7" s="57"/>
      <c r="T7" s="57"/>
      <c r="U7" s="57"/>
      <c r="V7" s="57"/>
      <c r="W7" s="57"/>
      <c r="X7" s="57"/>
      <c r="Y7" s="57"/>
      <c r="Z7" s="57"/>
      <c r="AA7" s="57"/>
      <c r="AB7" s="57"/>
      <c r="AC7" s="57"/>
      <c r="AD7" s="57"/>
    </row>
    <row r="8" spans="1:30" ht="13.5" thickBot="1" x14ac:dyDescent="0.25">
      <c r="A8" s="80"/>
      <c r="B8" s="83" t="s">
        <v>13384</v>
      </c>
      <c r="C8" s="84" t="s">
        <v>13385</v>
      </c>
      <c r="D8" s="84" t="s">
        <v>13386</v>
      </c>
      <c r="E8" s="84" t="s">
        <v>13387</v>
      </c>
      <c r="F8" s="84" t="s">
        <v>13388</v>
      </c>
      <c r="G8" s="84" t="s">
        <v>13389</v>
      </c>
      <c r="H8" s="84" t="s">
        <v>13390</v>
      </c>
      <c r="I8" s="57"/>
      <c r="J8" s="57"/>
      <c r="K8" s="57"/>
      <c r="L8" s="57"/>
      <c r="M8" s="57"/>
      <c r="N8" s="57"/>
      <c r="O8" s="57"/>
      <c r="P8" s="57"/>
      <c r="Q8" s="57"/>
      <c r="R8" s="57"/>
      <c r="S8" s="57"/>
      <c r="T8" s="57"/>
      <c r="U8" s="57"/>
      <c r="V8" s="57"/>
      <c r="W8" s="57"/>
      <c r="X8" s="57"/>
      <c r="Y8" s="57"/>
      <c r="Z8" s="57"/>
      <c r="AA8" s="57"/>
      <c r="AB8" s="57"/>
      <c r="AC8" s="57"/>
      <c r="AD8" s="57"/>
    </row>
    <row r="9" spans="1:30" ht="13.5" thickBot="1" x14ac:dyDescent="0.25">
      <c r="A9" s="80"/>
      <c r="B9" s="83" t="s">
        <v>13391</v>
      </c>
      <c r="C9" s="84" t="s">
        <v>13392</v>
      </c>
      <c r="D9" s="84" t="s">
        <v>13393</v>
      </c>
      <c r="E9" s="84" t="s">
        <v>13394</v>
      </c>
      <c r="F9" s="84" t="s">
        <v>13395</v>
      </c>
      <c r="G9" s="84">
        <v>0</v>
      </c>
      <c r="H9" s="84" t="s">
        <v>13396</v>
      </c>
      <c r="I9" s="57"/>
      <c r="J9" s="57"/>
      <c r="K9" s="57"/>
      <c r="L9" s="57"/>
      <c r="M9" s="57"/>
      <c r="N9" s="57"/>
      <c r="O9" s="57"/>
      <c r="P9" s="57"/>
      <c r="Q9" s="57"/>
      <c r="R9" s="57"/>
      <c r="S9" s="57"/>
      <c r="T9" s="57"/>
      <c r="U9" s="57"/>
      <c r="V9" s="57"/>
      <c r="W9" s="57"/>
      <c r="X9" s="57"/>
      <c r="Y9" s="57"/>
      <c r="Z9" s="57"/>
      <c r="AA9" s="57"/>
      <c r="AB9" s="57"/>
      <c r="AC9" s="57"/>
      <c r="AD9" s="57"/>
    </row>
    <row r="10" spans="1:30" ht="13.5" thickBot="1" x14ac:dyDescent="0.25">
      <c r="A10" s="80"/>
      <c r="B10" s="83" t="s">
        <v>13397</v>
      </c>
      <c r="C10" s="84" t="s">
        <v>13398</v>
      </c>
      <c r="D10" s="84" t="s">
        <v>13399</v>
      </c>
      <c r="E10" s="84" t="s">
        <v>13400</v>
      </c>
      <c r="F10" s="84" t="s">
        <v>13401</v>
      </c>
      <c r="G10" s="84">
        <v>0</v>
      </c>
      <c r="H10" s="84" t="s">
        <v>13402</v>
      </c>
      <c r="I10" s="57"/>
      <c r="J10" s="57"/>
      <c r="K10" s="57"/>
      <c r="L10" s="57"/>
      <c r="M10" s="57"/>
      <c r="N10" s="57"/>
      <c r="O10" s="57"/>
      <c r="P10" s="57"/>
      <c r="Q10" s="57"/>
      <c r="R10" s="57"/>
      <c r="S10" s="57"/>
      <c r="T10" s="57"/>
      <c r="U10" s="57"/>
      <c r="V10" s="57"/>
      <c r="W10" s="57"/>
      <c r="X10" s="57"/>
      <c r="Y10" s="57"/>
      <c r="Z10" s="57"/>
      <c r="AA10" s="57"/>
      <c r="AB10" s="57"/>
      <c r="AC10" s="57"/>
      <c r="AD10" s="57"/>
    </row>
    <row r="11" spans="1:30" ht="13.5" thickBot="1" x14ac:dyDescent="0.25">
      <c r="A11" s="80"/>
      <c r="B11" s="83" t="s">
        <v>13403</v>
      </c>
      <c r="C11" s="84" t="s">
        <v>13404</v>
      </c>
      <c r="D11" s="84" t="s">
        <v>13405</v>
      </c>
      <c r="E11" s="84" t="s">
        <v>13387</v>
      </c>
      <c r="F11" s="84" t="s">
        <v>13406</v>
      </c>
      <c r="G11" s="84">
        <v>0</v>
      </c>
      <c r="H11" s="84" t="s">
        <v>13407</v>
      </c>
      <c r="I11" s="57"/>
      <c r="J11" s="57"/>
      <c r="K11" s="57"/>
      <c r="L11" s="57"/>
      <c r="M11" s="57"/>
      <c r="N11" s="57"/>
      <c r="O11" s="57"/>
      <c r="P11" s="57"/>
      <c r="Q11" s="57"/>
      <c r="R11" s="57"/>
      <c r="S11" s="57"/>
      <c r="T11" s="57"/>
      <c r="U11" s="57"/>
      <c r="V11" s="57"/>
      <c r="W11" s="57"/>
      <c r="X11" s="57"/>
      <c r="Y11" s="57"/>
      <c r="Z11" s="57"/>
      <c r="AA11" s="57"/>
      <c r="AB11" s="57"/>
      <c r="AC11" s="57"/>
      <c r="AD11" s="57"/>
    </row>
    <row r="12" spans="1:30" ht="26.25" thickBot="1" x14ac:dyDescent="0.25">
      <c r="A12" s="80"/>
      <c r="B12" s="83" t="s">
        <v>13408</v>
      </c>
      <c r="C12" s="84" t="s">
        <v>13409</v>
      </c>
      <c r="D12" s="84" t="s">
        <v>13410</v>
      </c>
      <c r="E12" s="84" t="s">
        <v>13411</v>
      </c>
      <c r="F12" s="84" t="s">
        <v>13412</v>
      </c>
      <c r="G12" s="84">
        <v>0</v>
      </c>
      <c r="H12" s="84" t="s">
        <v>13396</v>
      </c>
      <c r="I12" s="57"/>
      <c r="J12" s="57"/>
      <c r="K12" s="57"/>
      <c r="L12" s="57"/>
      <c r="M12" s="57"/>
      <c r="N12" s="57"/>
      <c r="O12" s="57"/>
      <c r="P12" s="57"/>
      <c r="Q12" s="57"/>
      <c r="R12" s="57"/>
      <c r="S12" s="57"/>
      <c r="T12" s="57"/>
      <c r="U12" s="57"/>
      <c r="V12" s="57"/>
      <c r="W12" s="57"/>
      <c r="X12" s="57"/>
      <c r="Y12" s="57"/>
      <c r="Z12" s="57"/>
      <c r="AA12" s="57"/>
      <c r="AB12" s="57"/>
      <c r="AC12" s="57"/>
      <c r="AD12" s="57"/>
    </row>
    <row r="13" spans="1:30" ht="13.5" thickBot="1" x14ac:dyDescent="0.25">
      <c r="A13" s="80"/>
      <c r="B13" s="83" t="s">
        <v>13413</v>
      </c>
      <c r="C13" s="84" t="s">
        <v>13414</v>
      </c>
      <c r="D13" s="84" t="s">
        <v>13415</v>
      </c>
      <c r="E13" s="84" t="s">
        <v>13416</v>
      </c>
      <c r="F13" s="84" t="s">
        <v>13374</v>
      </c>
      <c r="G13" s="84" t="s">
        <v>13417</v>
      </c>
      <c r="H13" s="84" t="s">
        <v>13418</v>
      </c>
      <c r="I13" s="57"/>
      <c r="J13" s="57"/>
      <c r="K13" s="57"/>
      <c r="L13" s="57"/>
      <c r="M13" s="57"/>
      <c r="N13" s="57"/>
      <c r="O13" s="57"/>
      <c r="P13" s="57"/>
      <c r="Q13" s="57"/>
      <c r="R13" s="57"/>
      <c r="S13" s="57"/>
      <c r="T13" s="57"/>
      <c r="U13" s="57"/>
      <c r="V13" s="57"/>
      <c r="W13" s="57"/>
      <c r="X13" s="57"/>
      <c r="Y13" s="57"/>
      <c r="Z13" s="57"/>
      <c r="AA13" s="57"/>
      <c r="AB13" s="57"/>
      <c r="AC13" s="57"/>
      <c r="AD13" s="57"/>
    </row>
    <row r="14" spans="1:30" ht="13.5" thickBot="1" x14ac:dyDescent="0.25">
      <c r="A14" s="80"/>
      <c r="B14" s="83" t="s">
        <v>13419</v>
      </c>
      <c r="C14" s="84" t="s">
        <v>13420</v>
      </c>
      <c r="D14" s="84" t="s">
        <v>13421</v>
      </c>
      <c r="E14" s="84" t="s">
        <v>13422</v>
      </c>
      <c r="F14" s="84" t="s">
        <v>13423</v>
      </c>
      <c r="G14" s="84" t="s">
        <v>13424</v>
      </c>
      <c r="H14" s="84" t="s">
        <v>13425</v>
      </c>
      <c r="I14" s="57"/>
      <c r="J14" s="57"/>
      <c r="K14" s="57"/>
      <c r="L14" s="57"/>
      <c r="M14" s="57"/>
      <c r="N14" s="57"/>
      <c r="O14" s="57"/>
      <c r="P14" s="57"/>
      <c r="Q14" s="57"/>
      <c r="R14" s="57"/>
      <c r="S14" s="57"/>
      <c r="T14" s="57"/>
      <c r="U14" s="57"/>
      <c r="V14" s="57"/>
      <c r="W14" s="57"/>
      <c r="X14" s="57"/>
      <c r="Y14" s="57"/>
      <c r="Z14" s="57"/>
      <c r="AA14" s="57"/>
      <c r="AB14" s="57"/>
      <c r="AC14" s="57"/>
      <c r="AD14" s="57"/>
    </row>
    <row r="15" spans="1:30" ht="13.5" thickBot="1" x14ac:dyDescent="0.25">
      <c r="A15" s="80"/>
      <c r="B15" s="83" t="s">
        <v>13426</v>
      </c>
      <c r="C15" s="84" t="s">
        <v>13427</v>
      </c>
      <c r="D15" s="84" t="s">
        <v>13428</v>
      </c>
      <c r="E15" s="84" t="s">
        <v>13429</v>
      </c>
      <c r="F15" s="84" t="s">
        <v>13430</v>
      </c>
      <c r="G15" s="84">
        <v>0</v>
      </c>
      <c r="H15" s="84" t="s">
        <v>13431</v>
      </c>
      <c r="I15" s="57"/>
      <c r="J15" s="57"/>
      <c r="K15" s="57"/>
      <c r="L15" s="57"/>
      <c r="M15" s="57"/>
      <c r="N15" s="57"/>
      <c r="O15" s="57"/>
      <c r="P15" s="57"/>
      <c r="Q15" s="57"/>
      <c r="R15" s="57"/>
      <c r="S15" s="57"/>
      <c r="T15" s="57"/>
      <c r="U15" s="57"/>
      <c r="V15" s="57"/>
      <c r="W15" s="57"/>
      <c r="X15" s="57"/>
      <c r="Y15" s="57"/>
      <c r="Z15" s="57"/>
      <c r="AA15" s="57"/>
      <c r="AB15" s="57"/>
      <c r="AC15" s="57"/>
      <c r="AD15" s="57"/>
    </row>
    <row r="16" spans="1:30" ht="13.5" thickBot="1" x14ac:dyDescent="0.25">
      <c r="A16" s="80"/>
      <c r="B16" s="85" t="s">
        <v>13432</v>
      </c>
      <c r="C16" s="86" t="s">
        <v>13421</v>
      </c>
      <c r="D16" s="86" t="s">
        <v>13433</v>
      </c>
      <c r="E16" s="86" t="s">
        <v>13434</v>
      </c>
      <c r="F16" s="86" t="s">
        <v>13435</v>
      </c>
      <c r="G16" s="86" t="s">
        <v>13436</v>
      </c>
      <c r="H16" s="86" t="s">
        <v>13437</v>
      </c>
      <c r="I16" s="57"/>
      <c r="J16" s="57"/>
      <c r="K16" s="57"/>
      <c r="L16" s="57"/>
      <c r="M16" s="57"/>
      <c r="N16" s="57"/>
      <c r="O16" s="57"/>
      <c r="P16" s="57"/>
      <c r="Q16" s="57"/>
      <c r="R16" s="57"/>
      <c r="S16" s="57"/>
      <c r="T16" s="57"/>
      <c r="U16" s="57"/>
      <c r="V16" s="57"/>
      <c r="W16" s="57"/>
      <c r="X16" s="57"/>
      <c r="Y16" s="57"/>
      <c r="Z16" s="57"/>
      <c r="AA16" s="57"/>
      <c r="AB16" s="57"/>
      <c r="AC16" s="57"/>
      <c r="AD16" s="57"/>
    </row>
    <row r="17" spans="1:30" ht="13.5" thickBot="1" x14ac:dyDescent="0.25">
      <c r="A17" s="57"/>
      <c r="B17" s="57"/>
      <c r="C17" s="57"/>
      <c r="D17" s="57"/>
      <c r="E17" s="57"/>
      <c r="F17" s="57"/>
      <c r="G17" s="57"/>
      <c r="H17" s="57"/>
      <c r="I17" s="57"/>
      <c r="J17" s="57"/>
      <c r="K17" s="57"/>
      <c r="L17" s="57"/>
      <c r="M17" s="57"/>
      <c r="N17" s="57"/>
      <c r="O17" s="57"/>
      <c r="P17" s="57"/>
      <c r="Q17" s="57"/>
      <c r="R17" s="57"/>
      <c r="S17" s="57"/>
      <c r="T17" s="57"/>
      <c r="U17" s="57"/>
      <c r="V17" s="57"/>
      <c r="W17" s="57"/>
      <c r="X17" s="57"/>
      <c r="Y17" s="57"/>
      <c r="Z17" s="57"/>
      <c r="AA17" s="57"/>
      <c r="AB17" s="57"/>
      <c r="AC17" s="57"/>
      <c r="AD17" s="57"/>
    </row>
    <row r="18" spans="1:30" ht="13.5" thickBot="1" x14ac:dyDescent="0.25">
      <c r="A18" s="57"/>
      <c r="B18" s="57"/>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row>
    <row r="19" spans="1:30" ht="13.5" thickBot="1" x14ac:dyDescent="0.25">
      <c r="A19" s="57"/>
      <c r="B19" s="87" t="s">
        <v>13438</v>
      </c>
      <c r="C19" s="88"/>
      <c r="D19" s="88"/>
      <c r="E19" s="88"/>
      <c r="F19" s="88"/>
      <c r="G19" s="88"/>
      <c r="H19" s="88"/>
      <c r="I19" s="88"/>
      <c r="J19" s="88"/>
      <c r="K19" s="88"/>
      <c r="L19" s="57"/>
      <c r="M19" s="57"/>
      <c r="N19" s="57"/>
      <c r="O19" s="57"/>
      <c r="P19" s="57"/>
      <c r="Q19" s="57"/>
      <c r="R19" s="57"/>
      <c r="S19" s="57"/>
      <c r="T19" s="57"/>
      <c r="U19" s="57"/>
      <c r="V19" s="57"/>
      <c r="W19" s="57"/>
      <c r="X19" s="57"/>
      <c r="Y19" s="57"/>
      <c r="Z19" s="57"/>
      <c r="AA19" s="57"/>
      <c r="AB19" s="57"/>
      <c r="AC19" s="57"/>
      <c r="AD19" s="57"/>
    </row>
    <row r="20" spans="1:30" ht="15.75" thickBot="1" x14ac:dyDescent="0.3">
      <c r="A20" s="80"/>
      <c r="B20" s="248" t="s">
        <v>13368</v>
      </c>
      <c r="C20" s="83"/>
      <c r="D20" s="327" t="s">
        <v>13439</v>
      </c>
      <c r="E20" s="328"/>
      <c r="F20" s="327" t="s">
        <v>13440</v>
      </c>
      <c r="G20" s="329"/>
      <c r="H20" s="328"/>
      <c r="I20" s="327" t="s">
        <v>13441</v>
      </c>
      <c r="J20" s="329"/>
      <c r="K20" s="328"/>
      <c r="L20" s="57"/>
      <c r="M20" s="57"/>
      <c r="N20" s="57"/>
      <c r="O20" s="57"/>
      <c r="P20" s="57"/>
      <c r="Q20" s="57"/>
      <c r="R20" s="57"/>
      <c r="S20" s="57"/>
      <c r="T20" s="57"/>
      <c r="U20" s="57"/>
      <c r="V20" s="57"/>
      <c r="W20" s="57"/>
      <c r="X20" s="57"/>
      <c r="Y20" s="57"/>
      <c r="Z20" s="57"/>
      <c r="AA20" s="57"/>
      <c r="AB20" s="57"/>
      <c r="AC20" s="57"/>
      <c r="AD20" s="57"/>
    </row>
    <row r="21" spans="1:30" ht="30.75" thickBot="1" x14ac:dyDescent="0.3">
      <c r="A21" s="80"/>
      <c r="B21" s="250"/>
      <c r="C21" s="89" t="s">
        <v>13442</v>
      </c>
      <c r="D21" s="89" t="s">
        <v>13443</v>
      </c>
      <c r="E21" s="89" t="s">
        <v>13444</v>
      </c>
      <c r="F21" s="89" t="s">
        <v>13442</v>
      </c>
      <c r="G21" s="89" t="s">
        <v>13443</v>
      </c>
      <c r="H21" s="89" t="s">
        <v>13444</v>
      </c>
      <c r="I21" s="89" t="s">
        <v>13442</v>
      </c>
      <c r="J21" s="89" t="s">
        <v>13443</v>
      </c>
      <c r="K21" s="89" t="s">
        <v>13444</v>
      </c>
      <c r="L21" s="57"/>
      <c r="M21" s="57"/>
      <c r="N21" s="57"/>
      <c r="O21" s="57"/>
      <c r="P21" s="57"/>
      <c r="Q21" s="57"/>
      <c r="R21" s="57"/>
      <c r="S21" s="57"/>
      <c r="T21" s="57"/>
      <c r="U21" s="57"/>
      <c r="V21" s="57"/>
      <c r="W21" s="57"/>
      <c r="X21" s="57"/>
      <c r="Y21" s="57"/>
      <c r="Z21" s="57"/>
      <c r="AA21" s="57"/>
      <c r="AB21" s="57"/>
      <c r="AC21" s="57"/>
      <c r="AD21" s="57"/>
    </row>
    <row r="22" spans="1:30" ht="15.75" thickBot="1" x14ac:dyDescent="0.3">
      <c r="A22" s="80"/>
      <c r="B22" s="89" t="s">
        <v>13372</v>
      </c>
      <c r="C22" s="90" t="s">
        <v>13445</v>
      </c>
      <c r="D22" s="90" t="s">
        <v>13446</v>
      </c>
      <c r="E22" s="90" t="s">
        <v>13373</v>
      </c>
      <c r="F22" s="90" t="s">
        <v>13447</v>
      </c>
      <c r="G22" s="90" t="s">
        <v>13448</v>
      </c>
      <c r="H22" s="90" t="s">
        <v>13374</v>
      </c>
      <c r="I22" s="90" t="s">
        <v>13449</v>
      </c>
      <c r="J22" s="90" t="s">
        <v>13450</v>
      </c>
      <c r="K22" s="90" t="s">
        <v>13375</v>
      </c>
      <c r="L22" s="57"/>
      <c r="M22" s="57"/>
      <c r="N22" s="57"/>
      <c r="O22" s="57"/>
      <c r="P22" s="57"/>
      <c r="Q22" s="57"/>
      <c r="R22" s="57"/>
      <c r="S22" s="57"/>
      <c r="T22" s="57"/>
      <c r="U22" s="57"/>
      <c r="V22" s="57"/>
      <c r="W22" s="57"/>
      <c r="X22" s="57"/>
      <c r="Y22" s="57"/>
      <c r="Z22" s="57"/>
      <c r="AA22" s="57"/>
      <c r="AB22" s="57"/>
      <c r="AC22" s="57"/>
      <c r="AD22" s="57"/>
    </row>
    <row r="23" spans="1:30" ht="15.75" thickBot="1" x14ac:dyDescent="0.3">
      <c r="A23" s="80"/>
      <c r="B23" s="89" t="s">
        <v>13378</v>
      </c>
      <c r="C23" s="90" t="s">
        <v>13451</v>
      </c>
      <c r="D23" s="90" t="s">
        <v>13452</v>
      </c>
      <c r="E23" s="90" t="s">
        <v>13379</v>
      </c>
      <c r="F23" s="90" t="s">
        <v>13453</v>
      </c>
      <c r="G23" s="90" t="s">
        <v>13454</v>
      </c>
      <c r="H23" s="90" t="s">
        <v>13380</v>
      </c>
      <c r="I23" s="90" t="s">
        <v>13455</v>
      </c>
      <c r="J23" s="90" t="s">
        <v>13450</v>
      </c>
      <c r="K23" s="90" t="s">
        <v>13381</v>
      </c>
      <c r="L23" s="57"/>
      <c r="M23" s="57"/>
      <c r="N23" s="57"/>
      <c r="O23" s="57"/>
      <c r="P23" s="57"/>
      <c r="Q23" s="57"/>
      <c r="R23" s="57"/>
      <c r="S23" s="57"/>
      <c r="T23" s="57"/>
      <c r="U23" s="57"/>
      <c r="V23" s="57"/>
      <c r="W23" s="57"/>
      <c r="X23" s="57"/>
      <c r="Y23" s="57"/>
      <c r="Z23" s="57"/>
      <c r="AA23" s="57"/>
      <c r="AB23" s="57"/>
      <c r="AC23" s="57"/>
      <c r="AD23" s="57"/>
    </row>
    <row r="24" spans="1:30" ht="15.75" thickBot="1" x14ac:dyDescent="0.3">
      <c r="A24" s="80"/>
      <c r="B24" s="89" t="s">
        <v>13384</v>
      </c>
      <c r="C24" s="90" t="s">
        <v>13456</v>
      </c>
      <c r="D24" s="90" t="s">
        <v>13446</v>
      </c>
      <c r="E24" s="90" t="s">
        <v>13385</v>
      </c>
      <c r="F24" s="90" t="s">
        <v>13457</v>
      </c>
      <c r="G24" s="90" t="s">
        <v>13458</v>
      </c>
      <c r="H24" s="90" t="s">
        <v>13386</v>
      </c>
      <c r="I24" s="90" t="s">
        <v>13459</v>
      </c>
      <c r="J24" s="90" t="s">
        <v>13450</v>
      </c>
      <c r="K24" s="90" t="s">
        <v>13387</v>
      </c>
      <c r="L24" s="57"/>
      <c r="M24" s="57"/>
      <c r="N24" s="57"/>
      <c r="O24" s="57"/>
      <c r="P24" s="57"/>
      <c r="Q24" s="57"/>
      <c r="R24" s="57"/>
      <c r="S24" s="57"/>
      <c r="T24" s="57"/>
      <c r="U24" s="57"/>
      <c r="V24" s="57"/>
      <c r="W24" s="57"/>
      <c r="X24" s="57"/>
      <c r="Y24" s="57"/>
      <c r="Z24" s="57"/>
      <c r="AA24" s="57"/>
      <c r="AB24" s="57"/>
      <c r="AC24" s="57"/>
      <c r="AD24" s="57"/>
    </row>
    <row r="25" spans="1:30" ht="15.75" thickBot="1" x14ac:dyDescent="0.3">
      <c r="A25" s="80"/>
      <c r="B25" s="89" t="s">
        <v>13391</v>
      </c>
      <c r="C25" s="90" t="s">
        <v>13460</v>
      </c>
      <c r="D25" s="90" t="s">
        <v>13461</v>
      </c>
      <c r="E25" s="90" t="s">
        <v>13392</v>
      </c>
      <c r="F25" s="90" t="s">
        <v>13462</v>
      </c>
      <c r="G25" s="90" t="s">
        <v>13463</v>
      </c>
      <c r="H25" s="90" t="s">
        <v>13393</v>
      </c>
      <c r="I25" s="90" t="s">
        <v>13464</v>
      </c>
      <c r="J25" s="90" t="s">
        <v>13450</v>
      </c>
      <c r="K25" s="90" t="s">
        <v>13394</v>
      </c>
      <c r="L25" s="57"/>
      <c r="M25" s="57"/>
      <c r="N25" s="57"/>
      <c r="O25" s="57"/>
      <c r="P25" s="57"/>
      <c r="Q25" s="57"/>
      <c r="R25" s="57"/>
      <c r="S25" s="57"/>
      <c r="T25" s="57"/>
      <c r="U25" s="57"/>
      <c r="V25" s="57"/>
      <c r="W25" s="57"/>
      <c r="X25" s="57"/>
      <c r="Y25" s="57"/>
      <c r="Z25" s="57"/>
      <c r="AA25" s="57"/>
      <c r="AB25" s="57"/>
      <c r="AC25" s="57"/>
      <c r="AD25" s="57"/>
    </row>
    <row r="26" spans="1:30" ht="30.75" thickBot="1" x14ac:dyDescent="0.3">
      <c r="A26" s="80"/>
      <c r="B26" s="89" t="s">
        <v>13397</v>
      </c>
      <c r="C26" s="90" t="s">
        <v>13465</v>
      </c>
      <c r="D26" s="90" t="s">
        <v>13466</v>
      </c>
      <c r="E26" s="90" t="s">
        <v>13398</v>
      </c>
      <c r="F26" s="90" t="s">
        <v>13467</v>
      </c>
      <c r="G26" s="90" t="s">
        <v>13468</v>
      </c>
      <c r="H26" s="90" t="s">
        <v>13399</v>
      </c>
      <c r="I26" s="90" t="s">
        <v>13469</v>
      </c>
      <c r="J26" s="90" t="s">
        <v>13450</v>
      </c>
      <c r="K26" s="90" t="s">
        <v>13400</v>
      </c>
      <c r="L26" s="57"/>
      <c r="M26" s="57"/>
      <c r="N26" s="57"/>
      <c r="O26" s="57"/>
      <c r="P26" s="57"/>
      <c r="Q26" s="57"/>
      <c r="R26" s="57"/>
      <c r="S26" s="57"/>
      <c r="T26" s="57"/>
      <c r="U26" s="57"/>
      <c r="V26" s="57"/>
      <c r="W26" s="57"/>
      <c r="X26" s="57"/>
      <c r="Y26" s="57"/>
      <c r="Z26" s="57"/>
      <c r="AA26" s="57"/>
      <c r="AB26" s="57"/>
      <c r="AC26" s="57"/>
      <c r="AD26" s="57"/>
    </row>
    <row r="27" spans="1:30" ht="15.75" thickBot="1" x14ac:dyDescent="0.3">
      <c r="A27" s="80"/>
      <c r="B27" s="89" t="s">
        <v>13403</v>
      </c>
      <c r="C27" s="90" t="s">
        <v>13470</v>
      </c>
      <c r="D27" s="90" t="s">
        <v>13471</v>
      </c>
      <c r="E27" s="90" t="s">
        <v>13404</v>
      </c>
      <c r="F27" s="90" t="s">
        <v>13472</v>
      </c>
      <c r="G27" s="90" t="s">
        <v>13473</v>
      </c>
      <c r="H27" s="90" t="s">
        <v>13405</v>
      </c>
      <c r="I27" s="90" t="s">
        <v>13459</v>
      </c>
      <c r="J27" s="90" t="s">
        <v>13450</v>
      </c>
      <c r="K27" s="90" t="s">
        <v>13387</v>
      </c>
      <c r="L27" s="57"/>
      <c r="M27" s="57"/>
      <c r="N27" s="57"/>
      <c r="O27" s="57"/>
      <c r="P27" s="57"/>
      <c r="Q27" s="57"/>
      <c r="R27" s="57"/>
      <c r="S27" s="57"/>
      <c r="T27" s="57"/>
      <c r="U27" s="57"/>
      <c r="V27" s="57"/>
      <c r="W27" s="57"/>
      <c r="X27" s="57"/>
      <c r="Y27" s="57"/>
      <c r="Z27" s="57"/>
      <c r="AA27" s="57"/>
      <c r="AB27" s="57"/>
      <c r="AC27" s="57"/>
      <c r="AD27" s="57"/>
    </row>
    <row r="28" spans="1:30" ht="30.75" thickBot="1" x14ac:dyDescent="0.3">
      <c r="A28" s="80"/>
      <c r="B28" s="89" t="s">
        <v>13408</v>
      </c>
      <c r="C28" s="90" t="s">
        <v>13474</v>
      </c>
      <c r="D28" s="90" t="s">
        <v>13461</v>
      </c>
      <c r="E28" s="90" t="s">
        <v>13409</v>
      </c>
      <c r="F28" s="90" t="s">
        <v>13475</v>
      </c>
      <c r="G28" s="90" t="s">
        <v>13476</v>
      </c>
      <c r="H28" s="90" t="s">
        <v>13410</v>
      </c>
      <c r="I28" s="90" t="s">
        <v>13477</v>
      </c>
      <c r="J28" s="90" t="s">
        <v>13450</v>
      </c>
      <c r="K28" s="90" t="s">
        <v>13411</v>
      </c>
      <c r="L28" s="57"/>
      <c r="M28" s="57"/>
      <c r="N28" s="57"/>
      <c r="O28" s="57"/>
      <c r="P28" s="57"/>
      <c r="Q28" s="57"/>
      <c r="R28" s="57"/>
      <c r="S28" s="57"/>
      <c r="T28" s="57"/>
      <c r="U28" s="57"/>
      <c r="V28" s="57"/>
      <c r="W28" s="57"/>
      <c r="X28" s="57"/>
      <c r="Y28" s="57"/>
      <c r="Z28" s="57"/>
      <c r="AA28" s="57"/>
      <c r="AB28" s="57"/>
      <c r="AC28" s="57"/>
      <c r="AD28" s="57"/>
    </row>
    <row r="29" spans="1:30" ht="15.75" thickBot="1" x14ac:dyDescent="0.3">
      <c r="A29" s="80"/>
      <c r="B29" s="89" t="s">
        <v>13413</v>
      </c>
      <c r="C29" s="90" t="s">
        <v>13478</v>
      </c>
      <c r="D29" s="90" t="s">
        <v>13479</v>
      </c>
      <c r="E29" s="90" t="s">
        <v>13414</v>
      </c>
      <c r="F29" s="90" t="s">
        <v>13480</v>
      </c>
      <c r="G29" s="90" t="s">
        <v>13481</v>
      </c>
      <c r="H29" s="90" t="s">
        <v>13415</v>
      </c>
      <c r="I29" s="90" t="s">
        <v>13482</v>
      </c>
      <c r="J29" s="90" t="s">
        <v>13450</v>
      </c>
      <c r="K29" s="90" t="s">
        <v>13416</v>
      </c>
      <c r="L29" s="57"/>
      <c r="M29" s="57"/>
      <c r="N29" s="57"/>
      <c r="O29" s="57"/>
      <c r="P29" s="57"/>
      <c r="Q29" s="57"/>
      <c r="R29" s="57"/>
      <c r="S29" s="57"/>
      <c r="T29" s="57"/>
      <c r="U29" s="57"/>
      <c r="V29" s="57"/>
      <c r="W29" s="57"/>
      <c r="X29" s="57"/>
      <c r="Y29" s="57"/>
      <c r="Z29" s="57"/>
      <c r="AA29" s="57"/>
      <c r="AB29" s="57"/>
      <c r="AC29" s="57"/>
      <c r="AD29" s="57"/>
    </row>
    <row r="30" spans="1:30" ht="15.75" thickBot="1" x14ac:dyDescent="0.3">
      <c r="A30" s="80"/>
      <c r="B30" s="89" t="s">
        <v>13419</v>
      </c>
      <c r="C30" s="90" t="s">
        <v>13483</v>
      </c>
      <c r="D30" s="90" t="s">
        <v>13484</v>
      </c>
      <c r="E30" s="90" t="s">
        <v>13420</v>
      </c>
      <c r="F30" s="90" t="s">
        <v>13485</v>
      </c>
      <c r="G30" s="90" t="s">
        <v>13486</v>
      </c>
      <c r="H30" s="90" t="s">
        <v>13421</v>
      </c>
      <c r="I30" s="90" t="s">
        <v>13487</v>
      </c>
      <c r="J30" s="90" t="s">
        <v>13450</v>
      </c>
      <c r="K30" s="90" t="s">
        <v>13422</v>
      </c>
      <c r="L30" s="57"/>
      <c r="M30" s="57"/>
      <c r="N30" s="57"/>
      <c r="O30" s="57"/>
      <c r="P30" s="57"/>
      <c r="Q30" s="57"/>
      <c r="R30" s="57"/>
      <c r="S30" s="57"/>
      <c r="T30" s="57"/>
      <c r="U30" s="57"/>
      <c r="V30" s="57"/>
      <c r="W30" s="57"/>
      <c r="X30" s="57"/>
      <c r="Y30" s="57"/>
      <c r="Z30" s="57"/>
      <c r="AA30" s="57"/>
      <c r="AB30" s="57"/>
      <c r="AC30" s="57"/>
      <c r="AD30" s="57"/>
    </row>
    <row r="31" spans="1:30" ht="15.75" thickBot="1" x14ac:dyDescent="0.3">
      <c r="A31" s="80"/>
      <c r="B31" s="89" t="s">
        <v>13488</v>
      </c>
      <c r="C31" s="90" t="s">
        <v>13489</v>
      </c>
      <c r="D31" s="90" t="s">
        <v>13490</v>
      </c>
      <c r="E31" s="90" t="s">
        <v>13427</v>
      </c>
      <c r="F31" s="90" t="s">
        <v>13491</v>
      </c>
      <c r="G31" s="90" t="s">
        <v>13492</v>
      </c>
      <c r="H31" s="90" t="s">
        <v>13428</v>
      </c>
      <c r="I31" s="90" t="s">
        <v>13493</v>
      </c>
      <c r="J31" s="90" t="s">
        <v>13450</v>
      </c>
      <c r="K31" s="90" t="s">
        <v>13429</v>
      </c>
      <c r="L31" s="57"/>
      <c r="M31" s="57"/>
      <c r="N31" s="57"/>
      <c r="O31" s="57"/>
      <c r="P31" s="57"/>
      <c r="Q31" s="57"/>
      <c r="R31" s="57"/>
      <c r="S31" s="57"/>
      <c r="T31" s="57"/>
      <c r="U31" s="57"/>
      <c r="V31" s="57"/>
      <c r="W31" s="57"/>
      <c r="X31" s="57"/>
      <c r="Y31" s="57"/>
      <c r="Z31" s="57"/>
      <c r="AA31" s="57"/>
      <c r="AB31" s="57"/>
      <c r="AC31" s="57"/>
      <c r="AD31" s="57"/>
    </row>
    <row r="32" spans="1:30" ht="13.5" thickBot="1" x14ac:dyDescent="0.25">
      <c r="A32" s="57"/>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row>
    <row r="33" spans="1:30" ht="15.75" thickBot="1" x14ac:dyDescent="0.25">
      <c r="A33" s="57"/>
      <c r="B33" s="91" t="s">
        <v>13494</v>
      </c>
      <c r="C33" s="88"/>
      <c r="D33" s="88"/>
      <c r="E33" s="88"/>
      <c r="F33" s="88"/>
      <c r="G33" s="88"/>
      <c r="H33" s="88"/>
      <c r="I33" s="88"/>
      <c r="J33" s="88"/>
      <c r="K33" s="88"/>
      <c r="L33" s="57"/>
      <c r="M33" s="57"/>
      <c r="N33" s="57"/>
      <c r="O33" s="57"/>
      <c r="P33" s="57"/>
      <c r="Q33" s="57"/>
      <c r="R33" s="57"/>
      <c r="S33" s="57"/>
      <c r="T33" s="57"/>
      <c r="U33" s="57"/>
      <c r="V33" s="57"/>
      <c r="W33" s="57"/>
      <c r="X33" s="57"/>
      <c r="Y33" s="57"/>
      <c r="Z33" s="57"/>
      <c r="AA33" s="57"/>
      <c r="AB33" s="57"/>
      <c r="AC33" s="57"/>
      <c r="AD33" s="57"/>
    </row>
    <row r="34" spans="1:30" ht="15.75" thickBot="1" x14ac:dyDescent="0.3">
      <c r="A34" s="80"/>
      <c r="B34" s="248" t="s">
        <v>13368</v>
      </c>
      <c r="C34" s="83"/>
      <c r="D34" s="327" t="s">
        <v>13439</v>
      </c>
      <c r="E34" s="328"/>
      <c r="F34" s="327" t="s">
        <v>13440</v>
      </c>
      <c r="G34" s="329"/>
      <c r="H34" s="328"/>
      <c r="I34" s="327" t="s">
        <v>13441</v>
      </c>
      <c r="J34" s="329"/>
      <c r="K34" s="328"/>
      <c r="L34" s="57"/>
      <c r="M34" s="57"/>
      <c r="N34" s="57"/>
      <c r="O34" s="57"/>
      <c r="P34" s="57"/>
      <c r="Q34" s="57"/>
      <c r="R34" s="57"/>
      <c r="S34" s="57"/>
      <c r="T34" s="57"/>
      <c r="U34" s="57"/>
      <c r="V34" s="57"/>
      <c r="W34" s="57"/>
      <c r="X34" s="57"/>
      <c r="Y34" s="57"/>
      <c r="Z34" s="57"/>
      <c r="AA34" s="57"/>
      <c r="AB34" s="57"/>
      <c r="AC34" s="57"/>
      <c r="AD34" s="57"/>
    </row>
    <row r="35" spans="1:30" ht="30.75" thickBot="1" x14ac:dyDescent="0.3">
      <c r="A35" s="80"/>
      <c r="B35" s="250"/>
      <c r="C35" s="89" t="s">
        <v>13442</v>
      </c>
      <c r="D35" s="89" t="s">
        <v>13443</v>
      </c>
      <c r="E35" s="89" t="s">
        <v>13444</v>
      </c>
      <c r="F35" s="89" t="s">
        <v>13442</v>
      </c>
      <c r="G35" s="89" t="s">
        <v>13443</v>
      </c>
      <c r="H35" s="89" t="s">
        <v>13444</v>
      </c>
      <c r="I35" s="89" t="s">
        <v>13442</v>
      </c>
      <c r="J35" s="89" t="s">
        <v>13443</v>
      </c>
      <c r="K35" s="89" t="s">
        <v>13444</v>
      </c>
      <c r="L35" s="57"/>
      <c r="M35" s="57"/>
      <c r="N35" s="57"/>
      <c r="O35" s="57"/>
      <c r="P35" s="57"/>
      <c r="Q35" s="57"/>
      <c r="R35" s="57"/>
      <c r="S35" s="57"/>
      <c r="T35" s="57"/>
      <c r="U35" s="57"/>
      <c r="V35" s="57"/>
      <c r="W35" s="57"/>
      <c r="X35" s="57"/>
      <c r="Y35" s="57"/>
      <c r="Z35" s="57"/>
      <c r="AA35" s="57"/>
      <c r="AB35" s="57"/>
      <c r="AC35" s="57"/>
      <c r="AD35" s="57"/>
    </row>
    <row r="36" spans="1:30" ht="15.75" thickBot="1" x14ac:dyDescent="0.3">
      <c r="A36" s="80"/>
      <c r="B36" s="89" t="s">
        <v>13372</v>
      </c>
      <c r="C36" s="90" t="s">
        <v>13376</v>
      </c>
      <c r="D36" s="90" t="s">
        <v>13376</v>
      </c>
      <c r="E36" s="90" t="s">
        <v>13376</v>
      </c>
      <c r="F36" s="90">
        <v>0</v>
      </c>
      <c r="G36" s="90">
        <v>0</v>
      </c>
      <c r="H36" s="90">
        <v>0</v>
      </c>
      <c r="I36" s="90" t="s">
        <v>13407</v>
      </c>
      <c r="J36" s="90" t="s">
        <v>13450</v>
      </c>
      <c r="K36" s="90" t="s">
        <v>13377</v>
      </c>
      <c r="L36" s="57"/>
      <c r="M36" s="57"/>
      <c r="N36" s="57"/>
      <c r="O36" s="57"/>
      <c r="P36" s="57"/>
      <c r="Q36" s="57"/>
      <c r="R36" s="57"/>
      <c r="S36" s="57"/>
      <c r="T36" s="57"/>
      <c r="U36" s="57"/>
      <c r="V36" s="57"/>
      <c r="W36" s="57"/>
      <c r="X36" s="57"/>
      <c r="Y36" s="57"/>
      <c r="Z36" s="57"/>
      <c r="AA36" s="57"/>
      <c r="AB36" s="57"/>
      <c r="AC36" s="57"/>
      <c r="AD36" s="57"/>
    </row>
    <row r="37" spans="1:30" ht="15.75" thickBot="1" x14ac:dyDescent="0.3">
      <c r="A37" s="80"/>
      <c r="B37" s="89" t="s">
        <v>13378</v>
      </c>
      <c r="C37" s="90" t="s">
        <v>13495</v>
      </c>
      <c r="D37" s="90" t="s">
        <v>13427</v>
      </c>
      <c r="E37" s="90" t="s">
        <v>13382</v>
      </c>
      <c r="F37" s="90">
        <v>0</v>
      </c>
      <c r="G37" s="90">
        <v>0</v>
      </c>
      <c r="H37" s="90">
        <v>0</v>
      </c>
      <c r="I37" s="90" t="s">
        <v>13425</v>
      </c>
      <c r="J37" s="90" t="s">
        <v>13450</v>
      </c>
      <c r="K37" s="90" t="s">
        <v>13383</v>
      </c>
      <c r="L37" s="57"/>
      <c r="M37" s="57"/>
      <c r="N37" s="57"/>
      <c r="O37" s="57"/>
      <c r="P37" s="57"/>
      <c r="Q37" s="57"/>
      <c r="R37" s="57"/>
      <c r="S37" s="57"/>
      <c r="T37" s="57"/>
      <c r="U37" s="57"/>
      <c r="V37" s="57"/>
      <c r="W37" s="57"/>
      <c r="X37" s="57"/>
      <c r="Y37" s="57"/>
      <c r="Z37" s="57"/>
      <c r="AA37" s="57"/>
      <c r="AB37" s="57"/>
      <c r="AC37" s="57"/>
      <c r="AD37" s="57"/>
    </row>
    <row r="38" spans="1:30" ht="15.75" thickBot="1" x14ac:dyDescent="0.3">
      <c r="A38" s="80"/>
      <c r="B38" s="89" t="s">
        <v>13384</v>
      </c>
      <c r="C38" s="90" t="s">
        <v>13496</v>
      </c>
      <c r="D38" s="90" t="s">
        <v>13497</v>
      </c>
      <c r="E38" s="90" t="s">
        <v>13388</v>
      </c>
      <c r="F38" s="90" t="s">
        <v>13498</v>
      </c>
      <c r="G38" s="90" t="s">
        <v>13499</v>
      </c>
      <c r="H38" s="90" t="s">
        <v>13389</v>
      </c>
      <c r="I38" s="90" t="s">
        <v>13396</v>
      </c>
      <c r="J38" s="90" t="s">
        <v>13450</v>
      </c>
      <c r="K38" s="90" t="s">
        <v>13390</v>
      </c>
      <c r="L38" s="57"/>
      <c r="M38" s="57"/>
      <c r="N38" s="57"/>
      <c r="O38" s="57"/>
      <c r="P38" s="57"/>
      <c r="Q38" s="57"/>
      <c r="R38" s="57"/>
      <c r="S38" s="57"/>
      <c r="T38" s="57"/>
      <c r="U38" s="57"/>
      <c r="V38" s="57"/>
      <c r="W38" s="57"/>
      <c r="X38" s="57"/>
      <c r="Y38" s="57"/>
      <c r="Z38" s="57"/>
      <c r="AA38" s="57"/>
      <c r="AB38" s="57"/>
      <c r="AC38" s="57"/>
      <c r="AD38" s="57"/>
    </row>
    <row r="39" spans="1:30" ht="15.75" thickBot="1" x14ac:dyDescent="0.3">
      <c r="A39" s="80"/>
      <c r="B39" s="89" t="s">
        <v>13391</v>
      </c>
      <c r="C39" s="90" t="s">
        <v>13457</v>
      </c>
      <c r="D39" s="90" t="s">
        <v>13500</v>
      </c>
      <c r="E39" s="90" t="s">
        <v>13395</v>
      </c>
      <c r="F39" s="90">
        <v>0</v>
      </c>
      <c r="G39" s="90">
        <v>0</v>
      </c>
      <c r="H39" s="90">
        <v>0</v>
      </c>
      <c r="I39" s="90" t="s">
        <v>13501</v>
      </c>
      <c r="J39" s="90" t="s">
        <v>13450</v>
      </c>
      <c r="K39" s="90" t="s">
        <v>13396</v>
      </c>
      <c r="L39" s="57"/>
      <c r="M39" s="57"/>
      <c r="N39" s="57"/>
      <c r="O39" s="57"/>
      <c r="P39" s="57"/>
      <c r="Q39" s="57"/>
      <c r="R39" s="57"/>
      <c r="S39" s="57"/>
      <c r="T39" s="57"/>
      <c r="U39" s="57"/>
      <c r="V39" s="57"/>
      <c r="W39" s="57"/>
      <c r="X39" s="57"/>
      <c r="Y39" s="57"/>
      <c r="Z39" s="57"/>
      <c r="AA39" s="57"/>
      <c r="AB39" s="57"/>
      <c r="AC39" s="57"/>
      <c r="AD39" s="57"/>
    </row>
    <row r="40" spans="1:30" ht="30.75" thickBot="1" x14ac:dyDescent="0.3">
      <c r="A40" s="80"/>
      <c r="B40" s="89" t="s">
        <v>13397</v>
      </c>
      <c r="C40" s="90" t="s">
        <v>13502</v>
      </c>
      <c r="D40" s="90" t="s">
        <v>13503</v>
      </c>
      <c r="E40" s="90" t="s">
        <v>13401</v>
      </c>
      <c r="F40" s="90">
        <v>0</v>
      </c>
      <c r="G40" s="90">
        <v>0</v>
      </c>
      <c r="H40" s="90">
        <v>0</v>
      </c>
      <c r="I40" s="90" t="s">
        <v>13504</v>
      </c>
      <c r="J40" s="90" t="s">
        <v>13450</v>
      </c>
      <c r="K40" s="90" t="s">
        <v>13402</v>
      </c>
      <c r="L40" s="57"/>
      <c r="M40" s="57"/>
      <c r="N40" s="57"/>
      <c r="O40" s="57"/>
      <c r="P40" s="57"/>
      <c r="Q40" s="57"/>
      <c r="R40" s="57"/>
      <c r="S40" s="57"/>
      <c r="T40" s="57"/>
      <c r="U40" s="57"/>
      <c r="V40" s="57"/>
      <c r="W40" s="57"/>
      <c r="X40" s="57"/>
      <c r="Y40" s="57"/>
      <c r="Z40" s="57"/>
      <c r="AA40" s="57"/>
      <c r="AB40" s="57"/>
      <c r="AC40" s="57"/>
      <c r="AD40" s="57"/>
    </row>
    <row r="41" spans="1:30" ht="15.75" thickBot="1" x14ac:dyDescent="0.3">
      <c r="A41" s="80"/>
      <c r="B41" s="89" t="s">
        <v>13403</v>
      </c>
      <c r="C41" s="90" t="s">
        <v>13505</v>
      </c>
      <c r="D41" s="90" t="s">
        <v>13506</v>
      </c>
      <c r="E41" s="90" t="s">
        <v>13406</v>
      </c>
      <c r="F41" s="90">
        <v>0</v>
      </c>
      <c r="G41" s="90">
        <v>0</v>
      </c>
      <c r="H41" s="90">
        <v>0</v>
      </c>
      <c r="I41" s="90" t="s">
        <v>13507</v>
      </c>
      <c r="J41" s="90" t="s">
        <v>13450</v>
      </c>
      <c r="K41" s="90" t="s">
        <v>13407</v>
      </c>
      <c r="L41" s="57"/>
      <c r="M41" s="57"/>
      <c r="N41" s="57"/>
      <c r="O41" s="57"/>
      <c r="P41" s="57"/>
      <c r="Q41" s="57"/>
      <c r="R41" s="57"/>
      <c r="S41" s="57"/>
      <c r="T41" s="57"/>
      <c r="U41" s="57"/>
      <c r="V41" s="57"/>
      <c r="W41" s="57"/>
      <c r="X41" s="57"/>
      <c r="Y41" s="57"/>
      <c r="Z41" s="57"/>
      <c r="AA41" s="57"/>
      <c r="AB41" s="57"/>
      <c r="AC41" s="57"/>
      <c r="AD41" s="57"/>
    </row>
    <row r="42" spans="1:30" ht="30.75" thickBot="1" x14ac:dyDescent="0.3">
      <c r="A42" s="80"/>
      <c r="B42" s="89" t="s">
        <v>13408</v>
      </c>
      <c r="C42" s="90" t="s">
        <v>13508</v>
      </c>
      <c r="D42" s="90" t="s">
        <v>13509</v>
      </c>
      <c r="E42" s="90" t="s">
        <v>13412</v>
      </c>
      <c r="F42" s="90" t="s">
        <v>13510</v>
      </c>
      <c r="G42" s="90" t="s">
        <v>13511</v>
      </c>
      <c r="H42" s="90" t="s">
        <v>13417</v>
      </c>
      <c r="I42" s="90" t="s">
        <v>13407</v>
      </c>
      <c r="J42" s="90" t="s">
        <v>13450</v>
      </c>
      <c r="K42" s="90" t="s">
        <v>13396</v>
      </c>
      <c r="L42" s="57"/>
      <c r="M42" s="57"/>
      <c r="N42" s="57"/>
      <c r="O42" s="57"/>
      <c r="P42" s="57"/>
      <c r="Q42" s="57"/>
      <c r="R42" s="57"/>
      <c r="S42" s="57"/>
      <c r="T42" s="57"/>
      <c r="U42" s="57"/>
      <c r="V42" s="57"/>
      <c r="W42" s="57"/>
      <c r="X42" s="57"/>
      <c r="Y42" s="57"/>
      <c r="Z42" s="57"/>
      <c r="AA42" s="57"/>
      <c r="AB42" s="57"/>
      <c r="AC42" s="57"/>
      <c r="AD42" s="57"/>
    </row>
    <row r="43" spans="1:30" ht="15.75" thickBot="1" x14ac:dyDescent="0.3">
      <c r="A43" s="80"/>
      <c r="B43" s="89" t="s">
        <v>13413</v>
      </c>
      <c r="C43" s="90" t="s">
        <v>13512</v>
      </c>
      <c r="D43" s="90" t="s">
        <v>13513</v>
      </c>
      <c r="E43" s="90" t="s">
        <v>13374</v>
      </c>
      <c r="F43" s="90">
        <v>0</v>
      </c>
      <c r="G43" s="90">
        <v>0</v>
      </c>
      <c r="H43" s="90">
        <v>0</v>
      </c>
      <c r="I43" s="90" t="s">
        <v>13407</v>
      </c>
      <c r="J43" s="90" t="s">
        <v>13450</v>
      </c>
      <c r="K43" s="90" t="s">
        <v>13418</v>
      </c>
      <c r="L43" s="57"/>
      <c r="M43" s="57"/>
      <c r="N43" s="57"/>
      <c r="O43" s="57"/>
      <c r="P43" s="57"/>
      <c r="Q43" s="57"/>
      <c r="R43" s="57"/>
      <c r="S43" s="57"/>
      <c r="T43" s="57"/>
      <c r="U43" s="57"/>
      <c r="V43" s="57"/>
      <c r="W43" s="57"/>
      <c r="X43" s="57"/>
      <c r="Y43" s="57"/>
      <c r="Z43" s="57"/>
      <c r="AA43" s="57"/>
      <c r="AB43" s="57"/>
      <c r="AC43" s="57"/>
      <c r="AD43" s="57"/>
    </row>
    <row r="44" spans="1:30" ht="15.75" thickBot="1" x14ac:dyDescent="0.3">
      <c r="A44" s="80"/>
      <c r="B44" s="89" t="s">
        <v>13419</v>
      </c>
      <c r="C44" s="90" t="s">
        <v>13514</v>
      </c>
      <c r="D44" s="90" t="s">
        <v>13515</v>
      </c>
      <c r="E44" s="90" t="s">
        <v>13423</v>
      </c>
      <c r="F44" s="90" t="s">
        <v>13516</v>
      </c>
      <c r="G44" s="90" t="s">
        <v>13515</v>
      </c>
      <c r="H44" s="90" t="s">
        <v>13424</v>
      </c>
      <c r="I44" s="90" t="s">
        <v>13504</v>
      </c>
      <c r="J44" s="90" t="s">
        <v>13450</v>
      </c>
      <c r="K44" s="90" t="s">
        <v>13425</v>
      </c>
      <c r="L44" s="57"/>
      <c r="M44" s="57"/>
      <c r="N44" s="57"/>
      <c r="O44" s="57"/>
      <c r="P44" s="57"/>
      <c r="Q44" s="57"/>
      <c r="R44" s="57"/>
      <c r="S44" s="57"/>
      <c r="T44" s="57"/>
      <c r="U44" s="57"/>
      <c r="V44" s="57"/>
      <c r="W44" s="57"/>
      <c r="X44" s="57"/>
      <c r="Y44" s="57"/>
      <c r="Z44" s="57"/>
      <c r="AA44" s="57"/>
      <c r="AB44" s="57"/>
      <c r="AC44" s="57"/>
      <c r="AD44" s="57"/>
    </row>
    <row r="45" spans="1:30" ht="15.75" thickBot="1" x14ac:dyDescent="0.3">
      <c r="A45" s="80"/>
      <c r="B45" s="89" t="s">
        <v>13517</v>
      </c>
      <c r="C45" s="90" t="s">
        <v>13518</v>
      </c>
      <c r="D45" s="90" t="s">
        <v>13519</v>
      </c>
      <c r="E45" s="90" t="s">
        <v>13430</v>
      </c>
      <c r="F45" s="90">
        <v>0</v>
      </c>
      <c r="G45" s="90">
        <v>0</v>
      </c>
      <c r="H45" s="90">
        <v>0</v>
      </c>
      <c r="I45" s="90" t="s">
        <v>13396</v>
      </c>
      <c r="J45" s="90" t="s">
        <v>13450</v>
      </c>
      <c r="K45" s="90" t="s">
        <v>13431</v>
      </c>
      <c r="L45" s="57"/>
      <c r="M45" s="57"/>
      <c r="N45" s="57"/>
      <c r="O45" s="57"/>
      <c r="P45" s="57"/>
      <c r="Q45" s="57"/>
      <c r="R45" s="57"/>
      <c r="S45" s="57"/>
      <c r="T45" s="57"/>
      <c r="U45" s="57"/>
      <c r="V45" s="57"/>
      <c r="W45" s="57"/>
      <c r="X45" s="57"/>
      <c r="Y45" s="57"/>
      <c r="Z45" s="57"/>
      <c r="AA45" s="57"/>
      <c r="AB45" s="57"/>
      <c r="AC45" s="57"/>
      <c r="AD45" s="57"/>
    </row>
    <row r="46" spans="1:30" ht="13.5" thickBot="1" x14ac:dyDescent="0.25">
      <c r="A46" s="57"/>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row>
    <row r="47" spans="1:30" ht="13.5" thickBot="1" x14ac:dyDescent="0.25">
      <c r="A47" s="57"/>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row>
    <row r="48" spans="1:30" ht="13.5" thickBot="1" x14ac:dyDescent="0.25">
      <c r="A48" s="57"/>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row>
    <row r="49" spans="1:30" ht="13.5" thickBot="1" x14ac:dyDescent="0.25">
      <c r="A49" s="57"/>
      <c r="B49" s="77" t="s">
        <v>1417</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row>
    <row r="50" spans="1:30" ht="13.5" thickBot="1" x14ac:dyDescent="0.25">
      <c r="A50" s="57"/>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row>
    <row r="51" spans="1:30" ht="13.5" thickBot="1" x14ac:dyDescent="0.25">
      <c r="A51" s="57"/>
      <c r="B51" s="87" t="s">
        <v>13520</v>
      </c>
      <c r="C51" s="88"/>
      <c r="D51" s="88"/>
      <c r="E51" s="88"/>
      <c r="F51" s="88"/>
      <c r="G51" s="88"/>
      <c r="H51" s="57"/>
      <c r="I51" s="57"/>
      <c r="J51" s="57"/>
      <c r="K51" s="57"/>
      <c r="L51" s="57"/>
      <c r="M51" s="57"/>
      <c r="N51" s="57"/>
      <c r="O51" s="57"/>
      <c r="P51" s="57"/>
      <c r="Q51" s="57"/>
      <c r="R51" s="57"/>
      <c r="S51" s="57"/>
      <c r="T51" s="57"/>
      <c r="U51" s="57"/>
      <c r="V51" s="57"/>
      <c r="W51" s="57"/>
      <c r="X51" s="57"/>
      <c r="Y51" s="57"/>
      <c r="Z51" s="57"/>
      <c r="AA51" s="57"/>
      <c r="AB51" s="57"/>
      <c r="AC51" s="57"/>
      <c r="AD51" s="57"/>
    </row>
    <row r="52" spans="1:30" ht="13.5" thickBot="1" x14ac:dyDescent="0.25">
      <c r="A52" s="80"/>
      <c r="B52" s="92" t="s">
        <v>13521</v>
      </c>
      <c r="C52" s="92" t="s">
        <v>13522</v>
      </c>
      <c r="D52" s="92" t="s">
        <v>1216</v>
      </c>
      <c r="E52" s="92" t="s">
        <v>13279</v>
      </c>
      <c r="F52" s="92" t="s">
        <v>13281</v>
      </c>
      <c r="G52" s="92" t="s">
        <v>13274</v>
      </c>
      <c r="H52" s="57"/>
      <c r="I52" s="57"/>
      <c r="J52" s="57"/>
      <c r="K52" s="57"/>
      <c r="L52" s="57"/>
      <c r="M52" s="57"/>
      <c r="N52" s="57"/>
      <c r="O52" s="57"/>
      <c r="P52" s="57"/>
      <c r="Q52" s="57"/>
      <c r="R52" s="57"/>
      <c r="S52" s="57"/>
      <c r="T52" s="57"/>
      <c r="U52" s="57"/>
      <c r="V52" s="57"/>
      <c r="W52" s="57"/>
      <c r="X52" s="57"/>
      <c r="Y52" s="57"/>
      <c r="Z52" s="57"/>
      <c r="AA52" s="57"/>
      <c r="AB52" s="57"/>
      <c r="AC52" s="57"/>
      <c r="AD52" s="57"/>
    </row>
    <row r="53" spans="1:30" ht="13.5" thickBot="1" x14ac:dyDescent="0.25">
      <c r="A53" s="80"/>
      <c r="B53" s="92" t="s">
        <v>13523</v>
      </c>
      <c r="C53" s="92" t="s">
        <v>13524</v>
      </c>
      <c r="D53" s="92" t="s">
        <v>13525</v>
      </c>
      <c r="E53" s="92" t="s">
        <v>13484</v>
      </c>
      <c r="F53" s="92" t="s">
        <v>13525</v>
      </c>
      <c r="G53" s="92" t="s">
        <v>13525</v>
      </c>
      <c r="H53" s="57"/>
      <c r="I53" s="57"/>
      <c r="J53" s="57"/>
      <c r="K53" s="57"/>
      <c r="L53" s="57"/>
      <c r="M53" s="57"/>
      <c r="N53" s="57"/>
      <c r="O53" s="57"/>
      <c r="P53" s="57"/>
      <c r="Q53" s="57"/>
      <c r="R53" s="57"/>
      <c r="S53" s="57"/>
      <c r="T53" s="57"/>
      <c r="U53" s="57"/>
      <c r="V53" s="57"/>
      <c r="W53" s="57"/>
      <c r="X53" s="57"/>
      <c r="Y53" s="57"/>
      <c r="Z53" s="57"/>
      <c r="AA53" s="57"/>
      <c r="AB53" s="57"/>
      <c r="AC53" s="57"/>
      <c r="AD53" s="57"/>
    </row>
    <row r="54" spans="1:30" ht="26.25" thickBot="1" x14ac:dyDescent="0.25">
      <c r="A54" s="80"/>
      <c r="B54" s="92" t="s">
        <v>13526</v>
      </c>
      <c r="C54" s="92" t="s">
        <v>13527</v>
      </c>
      <c r="D54" s="92" t="s">
        <v>13528</v>
      </c>
      <c r="E54" s="92" t="s">
        <v>13528</v>
      </c>
      <c r="F54" s="92" t="s">
        <v>13528</v>
      </c>
      <c r="G54" s="92" t="s">
        <v>13528</v>
      </c>
      <c r="H54" s="57"/>
      <c r="I54" s="57"/>
      <c r="J54" s="57"/>
      <c r="K54" s="57"/>
      <c r="L54" s="57"/>
      <c r="M54" s="57"/>
      <c r="N54" s="57"/>
      <c r="O54" s="57"/>
      <c r="P54" s="57"/>
      <c r="Q54" s="57"/>
      <c r="R54" s="57"/>
      <c r="S54" s="57"/>
      <c r="T54" s="57"/>
      <c r="U54" s="57"/>
      <c r="V54" s="57"/>
      <c r="W54" s="57"/>
      <c r="X54" s="57"/>
      <c r="Y54" s="57"/>
      <c r="Z54" s="57"/>
      <c r="AA54" s="57"/>
      <c r="AB54" s="57"/>
      <c r="AC54" s="57"/>
      <c r="AD54" s="57"/>
    </row>
    <row r="55" spans="1:30" ht="26.25" thickBot="1" x14ac:dyDescent="0.25">
      <c r="A55" s="80"/>
      <c r="B55" s="92" t="s">
        <v>13529</v>
      </c>
      <c r="C55" s="92" t="s">
        <v>13530</v>
      </c>
      <c r="D55" s="92" t="s">
        <v>13531</v>
      </c>
      <c r="E55" s="92" t="s">
        <v>13532</v>
      </c>
      <c r="F55" s="92" t="s">
        <v>13532</v>
      </c>
      <c r="G55" s="92" t="s">
        <v>13532</v>
      </c>
      <c r="H55" s="57"/>
      <c r="I55" s="57"/>
      <c r="J55" s="57"/>
      <c r="K55" s="57"/>
      <c r="L55" s="57"/>
      <c r="M55" s="57"/>
      <c r="N55" s="57"/>
      <c r="O55" s="57"/>
      <c r="P55" s="57"/>
      <c r="Q55" s="57"/>
      <c r="R55" s="57"/>
      <c r="S55" s="57"/>
      <c r="T55" s="57"/>
      <c r="U55" s="57"/>
      <c r="V55" s="57"/>
      <c r="W55" s="57"/>
      <c r="X55" s="57"/>
      <c r="Y55" s="57"/>
      <c r="Z55" s="57"/>
      <c r="AA55" s="57"/>
      <c r="AB55" s="57"/>
      <c r="AC55" s="57"/>
      <c r="AD55" s="57"/>
    </row>
    <row r="56" spans="1:30" ht="13.5" thickBot="1" x14ac:dyDescent="0.25">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row>
    <row r="57" spans="1:30" ht="13.5" thickBot="1" x14ac:dyDescent="0.25">
      <c r="A57" s="57"/>
      <c r="B57" s="87" t="s">
        <v>13533</v>
      </c>
      <c r="C57" s="88"/>
      <c r="D57" s="88"/>
      <c r="E57" s="88"/>
      <c r="F57" s="88"/>
      <c r="G57" s="88"/>
      <c r="H57" s="57"/>
      <c r="I57" s="57"/>
      <c r="J57" s="57"/>
      <c r="K57" s="57"/>
      <c r="L57" s="57"/>
      <c r="M57" s="57"/>
      <c r="N57" s="57"/>
      <c r="O57" s="57"/>
      <c r="P57" s="57"/>
      <c r="Q57" s="57"/>
      <c r="R57" s="57"/>
      <c r="S57" s="57"/>
      <c r="T57" s="57"/>
      <c r="U57" s="57"/>
      <c r="V57" s="57"/>
      <c r="W57" s="57"/>
      <c r="X57" s="57"/>
      <c r="Y57" s="57"/>
      <c r="Z57" s="57"/>
      <c r="AA57" s="57"/>
      <c r="AB57" s="57"/>
      <c r="AC57" s="57"/>
      <c r="AD57" s="57"/>
    </row>
    <row r="58" spans="1:30" ht="13.5" thickBot="1" x14ac:dyDescent="0.25">
      <c r="A58" s="80"/>
      <c r="B58" s="93" t="s">
        <v>13522</v>
      </c>
      <c r="C58" s="93" t="s">
        <v>13534</v>
      </c>
      <c r="D58" s="93" t="s">
        <v>1216</v>
      </c>
      <c r="E58" s="93" t="s">
        <v>13279</v>
      </c>
      <c r="F58" s="93" t="s">
        <v>13281</v>
      </c>
      <c r="G58" s="93" t="s">
        <v>13274</v>
      </c>
      <c r="H58" s="57"/>
      <c r="I58" s="57"/>
      <c r="J58" s="57"/>
      <c r="K58" s="57"/>
      <c r="L58" s="57"/>
      <c r="M58" s="57"/>
      <c r="N58" s="57"/>
      <c r="O58" s="57"/>
      <c r="P58" s="57"/>
      <c r="Q58" s="57"/>
      <c r="R58" s="57"/>
      <c r="S58" s="57"/>
      <c r="T58" s="57"/>
      <c r="U58" s="57"/>
      <c r="V58" s="57"/>
      <c r="W58" s="57"/>
      <c r="X58" s="57"/>
      <c r="Y58" s="57"/>
      <c r="Z58" s="57"/>
      <c r="AA58" s="57"/>
      <c r="AB58" s="57"/>
      <c r="AC58" s="57"/>
      <c r="AD58" s="57"/>
    </row>
    <row r="59" spans="1:30" ht="39" thickBot="1" x14ac:dyDescent="0.25">
      <c r="A59" s="80"/>
      <c r="B59" s="84" t="s">
        <v>13535</v>
      </c>
      <c r="C59" s="94" t="s">
        <v>13536</v>
      </c>
      <c r="D59" s="94" t="s">
        <v>13469</v>
      </c>
      <c r="E59" s="94" t="s">
        <v>13487</v>
      </c>
      <c r="F59" s="94" t="s">
        <v>13537</v>
      </c>
      <c r="G59" s="94" t="s">
        <v>13537</v>
      </c>
      <c r="H59" s="57"/>
      <c r="I59" s="57"/>
      <c r="J59" s="57"/>
      <c r="K59" s="57"/>
      <c r="L59" s="57"/>
      <c r="M59" s="57"/>
      <c r="N59" s="57"/>
      <c r="O59" s="57"/>
      <c r="P59" s="57"/>
      <c r="Q59" s="57"/>
      <c r="R59" s="57"/>
      <c r="S59" s="57"/>
      <c r="T59" s="57"/>
      <c r="U59" s="57"/>
      <c r="V59" s="57"/>
      <c r="W59" s="57"/>
      <c r="X59" s="57"/>
      <c r="Y59" s="57"/>
      <c r="Z59" s="57"/>
      <c r="AA59" s="57"/>
      <c r="AB59" s="57"/>
      <c r="AC59" s="57"/>
      <c r="AD59" s="57"/>
    </row>
    <row r="60" spans="1:30" ht="13.5" thickBot="1" x14ac:dyDescent="0.25">
      <c r="A60" s="80"/>
      <c r="B60" s="78" t="s">
        <v>13538</v>
      </c>
      <c r="C60" s="95"/>
      <c r="D60" s="95"/>
      <c r="E60" s="95"/>
      <c r="F60" s="95"/>
      <c r="G60" s="96"/>
      <c r="H60" s="57"/>
      <c r="I60" s="57"/>
      <c r="J60" s="57"/>
      <c r="K60" s="57"/>
      <c r="L60" s="57"/>
      <c r="M60" s="57"/>
      <c r="N60" s="57"/>
      <c r="O60" s="57"/>
      <c r="P60" s="57"/>
      <c r="Q60" s="57"/>
      <c r="R60" s="57"/>
      <c r="S60" s="57"/>
      <c r="T60" s="57"/>
      <c r="U60" s="57"/>
      <c r="V60" s="57"/>
      <c r="W60" s="57"/>
      <c r="X60" s="57"/>
      <c r="Y60" s="57"/>
      <c r="Z60" s="57"/>
      <c r="AA60" s="57"/>
      <c r="AB60" s="57"/>
      <c r="AC60" s="57"/>
      <c r="AD60" s="57"/>
    </row>
    <row r="61" spans="1:30" ht="26.25" thickBot="1" x14ac:dyDescent="0.25">
      <c r="A61" s="80"/>
      <c r="B61" s="84" t="s">
        <v>13539</v>
      </c>
      <c r="C61" s="84" t="s">
        <v>13540</v>
      </c>
      <c r="D61" s="84" t="s">
        <v>13497</v>
      </c>
      <c r="E61" s="84" t="s">
        <v>13528</v>
      </c>
      <c r="F61" s="84" t="s">
        <v>13528</v>
      </c>
      <c r="G61" s="84" t="s">
        <v>13528</v>
      </c>
      <c r="H61" s="57"/>
      <c r="I61" s="57"/>
      <c r="J61" s="57"/>
      <c r="K61" s="57"/>
      <c r="L61" s="57"/>
      <c r="M61" s="57"/>
      <c r="N61" s="57"/>
      <c r="O61" s="57"/>
      <c r="P61" s="57"/>
      <c r="Q61" s="57"/>
      <c r="R61" s="57"/>
      <c r="S61" s="57"/>
      <c r="T61" s="57"/>
      <c r="U61" s="57"/>
      <c r="V61" s="57"/>
      <c r="W61" s="57"/>
      <c r="X61" s="57"/>
      <c r="Y61" s="57"/>
      <c r="Z61" s="57"/>
      <c r="AA61" s="57"/>
      <c r="AB61" s="57"/>
      <c r="AC61" s="57"/>
      <c r="AD61" s="57"/>
    </row>
    <row r="62" spans="1:30" ht="39" thickBot="1" x14ac:dyDescent="0.25">
      <c r="A62" s="80"/>
      <c r="B62" s="94" t="s">
        <v>13541</v>
      </c>
      <c r="C62" s="94" t="s">
        <v>13542</v>
      </c>
      <c r="D62" s="94" t="s">
        <v>13543</v>
      </c>
      <c r="E62" s="94" t="s">
        <v>13544</v>
      </c>
      <c r="F62" s="94" t="s">
        <v>13491</v>
      </c>
      <c r="G62" s="94" t="s">
        <v>13545</v>
      </c>
      <c r="H62" s="57"/>
      <c r="I62" s="57"/>
      <c r="J62" s="57"/>
      <c r="K62" s="57"/>
      <c r="L62" s="57"/>
      <c r="M62" s="57"/>
      <c r="N62" s="57"/>
      <c r="O62" s="57"/>
      <c r="P62" s="57"/>
      <c r="Q62" s="57"/>
      <c r="R62" s="57"/>
      <c r="S62" s="57"/>
      <c r="T62" s="57"/>
      <c r="U62" s="57"/>
      <c r="V62" s="57"/>
      <c r="W62" s="57"/>
      <c r="X62" s="57"/>
      <c r="Y62" s="57"/>
      <c r="Z62" s="57"/>
      <c r="AA62" s="57"/>
      <c r="AB62" s="57"/>
      <c r="AC62" s="57"/>
      <c r="AD62" s="57"/>
    </row>
    <row r="63" spans="1:30" ht="39" thickBot="1" x14ac:dyDescent="0.25">
      <c r="A63" s="80"/>
      <c r="B63" s="94" t="s">
        <v>13546</v>
      </c>
      <c r="C63" s="94" t="s">
        <v>13547</v>
      </c>
      <c r="D63" s="94" t="s">
        <v>13484</v>
      </c>
      <c r="E63" s="94" t="s">
        <v>13484</v>
      </c>
      <c r="F63" s="94" t="s">
        <v>13525</v>
      </c>
      <c r="G63" s="94" t="s">
        <v>13484</v>
      </c>
      <c r="H63" s="57"/>
      <c r="I63" s="57"/>
      <c r="J63" s="57"/>
      <c r="K63" s="57"/>
      <c r="L63" s="57"/>
      <c r="M63" s="57"/>
      <c r="N63" s="57"/>
      <c r="O63" s="57"/>
      <c r="P63" s="57"/>
      <c r="Q63" s="57"/>
      <c r="R63" s="57"/>
      <c r="S63" s="57"/>
      <c r="T63" s="57"/>
      <c r="U63" s="57"/>
      <c r="V63" s="57"/>
      <c r="W63" s="57"/>
      <c r="X63" s="57"/>
      <c r="Y63" s="57"/>
      <c r="Z63" s="57"/>
      <c r="AA63" s="57"/>
      <c r="AB63" s="57"/>
      <c r="AC63" s="57"/>
      <c r="AD63" s="57"/>
    </row>
    <row r="64" spans="1:30" ht="39" thickBot="1" x14ac:dyDescent="0.25">
      <c r="A64" s="80"/>
      <c r="B64" s="94" t="s">
        <v>13548</v>
      </c>
      <c r="C64" s="94" t="s">
        <v>13549</v>
      </c>
      <c r="D64" s="94" t="s">
        <v>13550</v>
      </c>
      <c r="E64" s="94" t="s">
        <v>13550</v>
      </c>
      <c r="F64" s="94" t="s">
        <v>13551</v>
      </c>
      <c r="G64" s="94" t="s">
        <v>13531</v>
      </c>
      <c r="H64" s="57"/>
      <c r="I64" s="57"/>
      <c r="J64" s="57"/>
      <c r="K64" s="57"/>
      <c r="L64" s="57"/>
      <c r="M64" s="57"/>
      <c r="N64" s="57"/>
      <c r="O64" s="57"/>
      <c r="P64" s="57"/>
      <c r="Q64" s="57"/>
      <c r="R64" s="57"/>
      <c r="S64" s="57"/>
      <c r="T64" s="57"/>
      <c r="U64" s="57"/>
      <c r="V64" s="57"/>
      <c r="W64" s="57"/>
      <c r="X64" s="57"/>
      <c r="Y64" s="57"/>
      <c r="Z64" s="57"/>
      <c r="AA64" s="57"/>
      <c r="AB64" s="57"/>
      <c r="AC64" s="57"/>
      <c r="AD64" s="57"/>
    </row>
    <row r="65" spans="1:30" ht="13.5" thickBot="1" x14ac:dyDescent="0.25">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row>
    <row r="66" spans="1:30" ht="13.5" thickBot="1" x14ac:dyDescent="0.25">
      <c r="A66" s="57"/>
      <c r="B66" s="77" t="s">
        <v>11954</v>
      </c>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row>
    <row r="67" spans="1:30" ht="13.5" thickBot="1" x14ac:dyDescent="0.25">
      <c r="A67" s="57"/>
      <c r="B67" s="97" t="s">
        <v>13552</v>
      </c>
      <c r="C67" s="88"/>
      <c r="D67" s="88"/>
      <c r="E67" s="88"/>
      <c r="F67" s="88"/>
      <c r="G67" s="88"/>
      <c r="H67" s="88"/>
      <c r="I67" s="57"/>
      <c r="J67" s="57"/>
      <c r="K67" s="57"/>
      <c r="L67" s="57"/>
      <c r="M67" s="57"/>
      <c r="N67" s="57"/>
      <c r="O67" s="57"/>
      <c r="P67" s="57"/>
      <c r="Q67" s="57"/>
      <c r="R67" s="57"/>
      <c r="S67" s="57"/>
      <c r="T67" s="57"/>
      <c r="U67" s="57"/>
      <c r="V67" s="57"/>
      <c r="W67" s="57"/>
      <c r="X67" s="57"/>
      <c r="Y67" s="57"/>
      <c r="Z67" s="57"/>
      <c r="AA67" s="57"/>
      <c r="AB67" s="57"/>
      <c r="AC67" s="57"/>
      <c r="AD67" s="57"/>
    </row>
    <row r="68" spans="1:30" ht="26.25" thickBot="1" x14ac:dyDescent="0.25">
      <c r="A68" s="80"/>
      <c r="B68" s="98" t="s">
        <v>13368</v>
      </c>
      <c r="C68" s="99" t="s">
        <v>13553</v>
      </c>
      <c r="D68" s="98" t="s">
        <v>13443</v>
      </c>
      <c r="E68" s="98" t="s">
        <v>13554</v>
      </c>
      <c r="F68" s="99" t="s">
        <v>13555</v>
      </c>
      <c r="G68" s="98" t="s">
        <v>13443</v>
      </c>
      <c r="H68" s="98" t="s">
        <v>13554</v>
      </c>
      <c r="I68" s="57"/>
      <c r="J68" s="57"/>
      <c r="K68" s="57"/>
      <c r="L68" s="57"/>
      <c r="M68" s="57"/>
      <c r="N68" s="57"/>
      <c r="O68" s="57"/>
      <c r="P68" s="57"/>
      <c r="Q68" s="57"/>
      <c r="R68" s="57"/>
      <c r="S68" s="57"/>
      <c r="T68" s="57"/>
      <c r="U68" s="57"/>
      <c r="V68" s="57"/>
      <c r="W68" s="57"/>
      <c r="X68" s="57"/>
      <c r="Y68" s="57"/>
      <c r="Z68" s="57"/>
      <c r="AA68" s="57"/>
      <c r="AB68" s="57"/>
      <c r="AC68" s="57"/>
      <c r="AD68" s="57"/>
    </row>
    <row r="69" spans="1:30" ht="39" thickBot="1" x14ac:dyDescent="0.25">
      <c r="A69" s="80"/>
      <c r="B69" s="94" t="s">
        <v>13556</v>
      </c>
      <c r="C69" s="94" t="s">
        <v>13557</v>
      </c>
      <c r="D69" s="94" t="s">
        <v>13450</v>
      </c>
      <c r="E69" s="94" t="s">
        <v>13558</v>
      </c>
      <c r="F69" s="94" t="s">
        <v>13558</v>
      </c>
      <c r="G69" s="94" t="s">
        <v>13450</v>
      </c>
      <c r="H69" s="94" t="s">
        <v>13559</v>
      </c>
      <c r="I69" s="57"/>
      <c r="J69" s="57"/>
      <c r="K69" s="57"/>
      <c r="L69" s="57"/>
      <c r="M69" s="57"/>
      <c r="N69" s="57"/>
      <c r="O69" s="57"/>
      <c r="P69" s="57"/>
      <c r="Q69" s="57"/>
      <c r="R69" s="57"/>
      <c r="S69" s="57"/>
      <c r="T69" s="57"/>
      <c r="U69" s="57"/>
      <c r="V69" s="57"/>
      <c r="W69" s="57"/>
      <c r="X69" s="57"/>
      <c r="Y69" s="57"/>
      <c r="Z69" s="57"/>
      <c r="AA69" s="57"/>
      <c r="AB69" s="57"/>
      <c r="AC69" s="57"/>
      <c r="AD69" s="57"/>
    </row>
    <row r="70" spans="1:30" ht="26.25" thickBot="1" x14ac:dyDescent="0.25">
      <c r="A70" s="80"/>
      <c r="B70" s="94" t="s">
        <v>13560</v>
      </c>
      <c r="C70" s="94" t="s">
        <v>13558</v>
      </c>
      <c r="D70" s="94" t="s">
        <v>13545</v>
      </c>
      <c r="E70" s="94" t="s">
        <v>13561</v>
      </c>
      <c r="F70" s="94" t="s">
        <v>13561</v>
      </c>
      <c r="G70" s="94" t="s">
        <v>13562</v>
      </c>
      <c r="H70" s="94" t="s">
        <v>13421</v>
      </c>
      <c r="I70" s="57"/>
      <c r="J70" s="57"/>
      <c r="K70" s="57"/>
      <c r="L70" s="57"/>
      <c r="M70" s="57"/>
      <c r="N70" s="57"/>
      <c r="O70" s="57"/>
      <c r="P70" s="57"/>
      <c r="Q70" s="57"/>
      <c r="R70" s="57"/>
      <c r="S70" s="57"/>
      <c r="T70" s="57"/>
      <c r="U70" s="57"/>
      <c r="V70" s="57"/>
      <c r="W70" s="57"/>
      <c r="X70" s="57"/>
      <c r="Y70" s="57"/>
      <c r="Z70" s="57"/>
      <c r="AA70" s="57"/>
      <c r="AB70" s="57"/>
      <c r="AC70" s="57"/>
      <c r="AD70" s="57"/>
    </row>
    <row r="71" spans="1:30" ht="26.25" thickBot="1" x14ac:dyDescent="0.25">
      <c r="A71" s="80"/>
      <c r="B71" s="94" t="s">
        <v>13563</v>
      </c>
      <c r="C71" s="94" t="s">
        <v>13492</v>
      </c>
      <c r="D71" s="94">
        <v>1</v>
      </c>
      <c r="E71" s="94" t="s">
        <v>13564</v>
      </c>
      <c r="F71" s="94" t="s">
        <v>13561</v>
      </c>
      <c r="G71" s="94" t="s">
        <v>13484</v>
      </c>
      <c r="H71" s="94" t="s">
        <v>13545</v>
      </c>
      <c r="I71" s="57"/>
      <c r="J71" s="57"/>
      <c r="K71" s="57"/>
      <c r="L71" s="57"/>
      <c r="M71" s="57"/>
      <c r="N71" s="57"/>
      <c r="O71" s="57"/>
      <c r="P71" s="57"/>
      <c r="Q71" s="57"/>
      <c r="R71" s="57"/>
      <c r="S71" s="57"/>
      <c r="T71" s="57"/>
      <c r="U71" s="57"/>
      <c r="V71" s="57"/>
      <c r="W71" s="57"/>
      <c r="X71" s="57"/>
      <c r="Y71" s="57"/>
      <c r="Z71" s="57"/>
      <c r="AA71" s="57"/>
      <c r="AB71" s="57"/>
      <c r="AC71" s="57"/>
      <c r="AD71" s="57"/>
    </row>
    <row r="72" spans="1:30" ht="13.5" thickBot="1" x14ac:dyDescent="0.25">
      <c r="A72" s="80"/>
      <c r="B72" s="100" t="s">
        <v>13565</v>
      </c>
      <c r="C72" s="101" t="s">
        <v>13566</v>
      </c>
      <c r="D72" s="101" t="s">
        <v>13567</v>
      </c>
      <c r="E72" s="101" t="s">
        <v>13568</v>
      </c>
      <c r="F72" s="101" t="s">
        <v>13569</v>
      </c>
      <c r="G72" s="101" t="s">
        <v>13502</v>
      </c>
      <c r="H72" s="101" t="s">
        <v>13558</v>
      </c>
      <c r="I72" s="57"/>
      <c r="J72" s="57"/>
      <c r="K72" s="57"/>
      <c r="L72" s="57"/>
      <c r="M72" s="57"/>
      <c r="N72" s="57"/>
      <c r="O72" s="57"/>
      <c r="P72" s="57"/>
      <c r="Q72" s="57"/>
      <c r="R72" s="57"/>
      <c r="S72" s="57"/>
      <c r="T72" s="57"/>
      <c r="U72" s="57"/>
      <c r="V72" s="57"/>
      <c r="W72" s="57"/>
      <c r="X72" s="57"/>
      <c r="Y72" s="57"/>
      <c r="Z72" s="57"/>
      <c r="AA72" s="57"/>
      <c r="AB72" s="57"/>
      <c r="AC72" s="57"/>
      <c r="AD72" s="57"/>
    </row>
    <row r="73" spans="1:30" ht="13.5" thickBot="1" x14ac:dyDescent="0.25">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row>
    <row r="74" spans="1:30" ht="13.5" thickBot="1" x14ac:dyDescent="0.25">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row>
    <row r="75" spans="1:30" ht="13.5" thickBot="1" x14ac:dyDescent="0.25">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row>
    <row r="76" spans="1:30" ht="13.5" thickBot="1" x14ac:dyDescent="0.25">
      <c r="A76" s="57"/>
      <c r="B76" s="77" t="s">
        <v>5580</v>
      </c>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row>
    <row r="77" spans="1:30" ht="13.5" thickBot="1" x14ac:dyDescent="0.25">
      <c r="A77" s="57"/>
      <c r="B77" s="87" t="s">
        <v>13570</v>
      </c>
      <c r="C77" s="88"/>
      <c r="D77" s="88"/>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row>
    <row r="78" spans="1:30" ht="26.25" thickBot="1" x14ac:dyDescent="0.25">
      <c r="A78" s="80"/>
      <c r="B78" s="83" t="s">
        <v>13571</v>
      </c>
      <c r="C78" s="83" t="s">
        <v>13572</v>
      </c>
      <c r="D78" s="87" t="s">
        <v>13573</v>
      </c>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row>
    <row r="79" spans="1:30" ht="13.5" thickBot="1" x14ac:dyDescent="0.25">
      <c r="A79" s="80"/>
      <c r="B79" s="84" t="s">
        <v>13543</v>
      </c>
      <c r="C79" s="84" t="s">
        <v>13574</v>
      </c>
      <c r="D79" s="84" t="s">
        <v>13525</v>
      </c>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row>
    <row r="80" spans="1:30" ht="13.5" thickBot="1" x14ac:dyDescent="0.25">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row>
    <row r="81" spans="1:30" ht="13.5" thickBot="1" x14ac:dyDescent="0.25">
      <c r="A81" s="57"/>
      <c r="B81" s="77" t="s">
        <v>83</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row>
    <row r="82" spans="1:30" ht="13.5" thickBot="1" x14ac:dyDescent="0.25">
      <c r="A82" s="57"/>
      <c r="B82" s="87" t="s">
        <v>13575</v>
      </c>
      <c r="C82" s="88"/>
      <c r="D82" s="88"/>
      <c r="E82" s="88"/>
      <c r="F82" s="88"/>
      <c r="G82" s="88"/>
      <c r="H82" s="88"/>
      <c r="I82" s="88"/>
      <c r="J82" s="57"/>
      <c r="K82" s="57"/>
      <c r="L82" s="57"/>
      <c r="M82" s="57"/>
      <c r="N82" s="57"/>
      <c r="O82" s="57"/>
      <c r="P82" s="57"/>
      <c r="Q82" s="57"/>
      <c r="R82" s="57"/>
      <c r="S82" s="57"/>
      <c r="T82" s="57"/>
      <c r="U82" s="57"/>
      <c r="V82" s="57"/>
      <c r="W82" s="57"/>
      <c r="X82" s="57"/>
      <c r="Y82" s="57"/>
      <c r="Z82" s="57"/>
      <c r="AA82" s="57"/>
      <c r="AB82" s="57"/>
      <c r="AC82" s="57"/>
      <c r="AD82" s="57"/>
    </row>
    <row r="83" spans="1:30" ht="13.5" thickBot="1" x14ac:dyDescent="0.25">
      <c r="A83" s="57"/>
      <c r="B83" s="88" t="s">
        <v>13576</v>
      </c>
      <c r="C83" s="88" t="s">
        <v>13577</v>
      </c>
      <c r="D83" s="88" t="s">
        <v>13578</v>
      </c>
      <c r="E83" s="88" t="s">
        <v>13579</v>
      </c>
      <c r="F83" s="88" t="s">
        <v>13524</v>
      </c>
      <c r="G83" s="88" t="s">
        <v>13580</v>
      </c>
      <c r="H83" s="88" t="s">
        <v>13581</v>
      </c>
      <c r="I83" s="88" t="s">
        <v>13582</v>
      </c>
      <c r="J83" s="57"/>
      <c r="K83" s="57"/>
      <c r="L83" s="57"/>
      <c r="M83" s="57"/>
      <c r="N83" s="57"/>
      <c r="O83" s="57"/>
      <c r="P83" s="57"/>
      <c r="Q83" s="57"/>
      <c r="R83" s="57"/>
      <c r="S83" s="57"/>
      <c r="T83" s="57"/>
      <c r="U83" s="57"/>
      <c r="V83" s="57"/>
      <c r="W83" s="57"/>
      <c r="X83" s="57"/>
      <c r="Y83" s="57"/>
      <c r="Z83" s="57"/>
      <c r="AA83" s="57"/>
      <c r="AB83" s="57"/>
      <c r="AC83" s="57"/>
      <c r="AD83" s="57"/>
    </row>
    <row r="84" spans="1:30" ht="13.5" thickBot="1" x14ac:dyDescent="0.25">
      <c r="A84" s="57"/>
      <c r="B84" s="102" t="s">
        <v>13378</v>
      </c>
      <c r="C84" s="103" t="s">
        <v>13388</v>
      </c>
      <c r="D84" s="104" t="s">
        <v>13583</v>
      </c>
      <c r="E84" s="104" t="s">
        <v>13584</v>
      </c>
      <c r="F84" s="104" t="s">
        <v>13585</v>
      </c>
      <c r="G84" s="104" t="s">
        <v>13586</v>
      </c>
      <c r="H84" s="104" t="s">
        <v>13587</v>
      </c>
      <c r="I84" s="104" t="s">
        <v>13588</v>
      </c>
      <c r="J84" s="57"/>
      <c r="K84" s="57"/>
      <c r="L84" s="57"/>
      <c r="M84" s="57"/>
      <c r="N84" s="57"/>
      <c r="O84" s="57"/>
      <c r="P84" s="57"/>
      <c r="Q84" s="57"/>
      <c r="R84" s="57"/>
      <c r="S84" s="57"/>
      <c r="T84" s="57"/>
      <c r="U84" s="57"/>
      <c r="V84" s="57"/>
      <c r="W84" s="57"/>
      <c r="X84" s="57"/>
      <c r="Y84" s="57"/>
      <c r="Z84" s="57"/>
      <c r="AA84" s="57"/>
      <c r="AB84" s="57"/>
      <c r="AC84" s="57"/>
      <c r="AD84" s="57"/>
    </row>
    <row r="85" spans="1:30" ht="13.5" thickBot="1" x14ac:dyDescent="0.25">
      <c r="A85" s="57"/>
      <c r="B85" s="102" t="s">
        <v>13384</v>
      </c>
      <c r="C85" s="104" t="s">
        <v>13484</v>
      </c>
      <c r="D85" s="104" t="s">
        <v>13589</v>
      </c>
      <c r="E85" s="104" t="s">
        <v>13590</v>
      </c>
      <c r="F85" s="103" t="s">
        <v>13472</v>
      </c>
      <c r="G85" s="104" t="s">
        <v>13591</v>
      </c>
      <c r="H85" s="104" t="s">
        <v>13592</v>
      </c>
      <c r="I85" s="104" t="s">
        <v>13593</v>
      </c>
      <c r="J85" s="57"/>
      <c r="K85" s="57"/>
      <c r="L85" s="57"/>
      <c r="M85" s="57"/>
      <c r="N85" s="57"/>
      <c r="O85" s="57"/>
      <c r="P85" s="57"/>
      <c r="Q85" s="57"/>
      <c r="R85" s="57"/>
      <c r="S85" s="57"/>
      <c r="T85" s="57"/>
      <c r="U85" s="57"/>
      <c r="V85" s="57"/>
      <c r="W85" s="57"/>
      <c r="X85" s="57"/>
      <c r="Y85" s="57"/>
      <c r="Z85" s="57"/>
      <c r="AA85" s="57"/>
      <c r="AB85" s="57"/>
      <c r="AC85" s="57"/>
      <c r="AD85" s="57"/>
    </row>
    <row r="86" spans="1:30" ht="13.5" thickBot="1" x14ac:dyDescent="0.25">
      <c r="A86" s="57"/>
      <c r="B86" s="102" t="s">
        <v>13397</v>
      </c>
      <c r="C86" s="104" t="s">
        <v>13594</v>
      </c>
      <c r="D86" s="104" t="s">
        <v>13532</v>
      </c>
      <c r="E86" s="104" t="s">
        <v>13595</v>
      </c>
      <c r="F86" s="103">
        <v>1</v>
      </c>
      <c r="G86" s="104" t="s">
        <v>13596</v>
      </c>
      <c r="H86" s="104" t="s">
        <v>13514</v>
      </c>
      <c r="I86" s="104" t="s">
        <v>13597</v>
      </c>
      <c r="J86" s="57"/>
      <c r="K86" s="57"/>
      <c r="L86" s="57"/>
      <c r="M86" s="57"/>
      <c r="N86" s="57"/>
      <c r="O86" s="57"/>
      <c r="P86" s="57"/>
      <c r="Q86" s="57"/>
      <c r="R86" s="57"/>
      <c r="S86" s="57"/>
      <c r="T86" s="57"/>
      <c r="U86" s="57"/>
      <c r="V86" s="57"/>
      <c r="W86" s="57"/>
      <c r="X86" s="57"/>
      <c r="Y86" s="57"/>
      <c r="Z86" s="57"/>
      <c r="AA86" s="57"/>
      <c r="AB86" s="57"/>
      <c r="AC86" s="57"/>
      <c r="AD86" s="57"/>
    </row>
    <row r="87" spans="1:30" ht="13.5" thickBot="1" x14ac:dyDescent="0.25">
      <c r="A87" s="57"/>
      <c r="B87" s="102" t="s">
        <v>13598</v>
      </c>
      <c r="C87" s="104" t="s">
        <v>13599</v>
      </c>
      <c r="D87" s="103" t="s">
        <v>13472</v>
      </c>
      <c r="E87" s="104" t="s">
        <v>13600</v>
      </c>
      <c r="F87" s="104">
        <v>0</v>
      </c>
      <c r="G87" s="104" t="s">
        <v>13601</v>
      </c>
      <c r="H87" s="104" t="s">
        <v>13602</v>
      </c>
      <c r="I87" s="104" t="s">
        <v>13603</v>
      </c>
      <c r="J87" s="57"/>
      <c r="K87" s="57"/>
      <c r="L87" s="57"/>
      <c r="M87" s="57"/>
      <c r="N87" s="57"/>
      <c r="O87" s="57"/>
      <c r="P87" s="57"/>
      <c r="Q87" s="57"/>
      <c r="R87" s="57"/>
      <c r="S87" s="57"/>
      <c r="T87" s="57"/>
      <c r="U87" s="57"/>
      <c r="V87" s="57"/>
      <c r="W87" s="57"/>
      <c r="X87" s="57"/>
      <c r="Y87" s="57"/>
      <c r="Z87" s="57"/>
      <c r="AA87" s="57"/>
      <c r="AB87" s="57"/>
      <c r="AC87" s="57"/>
      <c r="AD87" s="57"/>
    </row>
    <row r="88" spans="1:30" ht="26.25" thickBot="1" x14ac:dyDescent="0.25">
      <c r="A88" s="57"/>
      <c r="B88" s="102" t="s">
        <v>13408</v>
      </c>
      <c r="C88" s="104" t="s">
        <v>13604</v>
      </c>
      <c r="D88" s="103" t="s">
        <v>13605</v>
      </c>
      <c r="E88" s="104" t="s">
        <v>13606</v>
      </c>
      <c r="F88" s="104" t="s">
        <v>13607</v>
      </c>
      <c r="G88" s="104" t="s">
        <v>13608</v>
      </c>
      <c r="H88" s="104" t="s">
        <v>13609</v>
      </c>
      <c r="I88" s="104" t="s">
        <v>13610</v>
      </c>
      <c r="J88" s="57"/>
      <c r="K88" s="57"/>
      <c r="L88" s="57"/>
      <c r="M88" s="57"/>
      <c r="N88" s="57"/>
      <c r="O88" s="57"/>
      <c r="P88" s="57"/>
      <c r="Q88" s="57"/>
      <c r="R88" s="57"/>
      <c r="S88" s="57"/>
      <c r="T88" s="57"/>
      <c r="U88" s="57"/>
      <c r="V88" s="57"/>
      <c r="W88" s="57"/>
      <c r="X88" s="57"/>
      <c r="Y88" s="57"/>
      <c r="Z88" s="57"/>
      <c r="AA88" s="57"/>
      <c r="AB88" s="57"/>
      <c r="AC88" s="57"/>
      <c r="AD88" s="57"/>
    </row>
    <row r="89" spans="1:30" ht="13.5" thickBot="1" x14ac:dyDescent="0.25">
      <c r="A89" s="57"/>
      <c r="B89" s="102" t="s">
        <v>13413</v>
      </c>
      <c r="C89" s="104" t="s">
        <v>13611</v>
      </c>
      <c r="D89" s="104" t="s">
        <v>13612</v>
      </c>
      <c r="E89" s="104" t="s">
        <v>13613</v>
      </c>
      <c r="F89" s="103">
        <v>1</v>
      </c>
      <c r="G89" s="104" t="s">
        <v>13421</v>
      </c>
      <c r="H89" s="104" t="s">
        <v>13614</v>
      </c>
      <c r="I89" s="104" t="s">
        <v>13615</v>
      </c>
      <c r="J89" s="57"/>
      <c r="K89" s="57"/>
      <c r="L89" s="57"/>
      <c r="M89" s="57"/>
      <c r="N89" s="57"/>
      <c r="O89" s="57"/>
      <c r="P89" s="57"/>
      <c r="Q89" s="57"/>
      <c r="R89" s="57"/>
      <c r="S89" s="57"/>
      <c r="T89" s="57"/>
      <c r="U89" s="57"/>
      <c r="V89" s="57"/>
      <c r="W89" s="57"/>
      <c r="X89" s="57"/>
      <c r="Y89" s="57"/>
      <c r="Z89" s="57"/>
      <c r="AA89" s="57"/>
      <c r="AB89" s="57"/>
      <c r="AC89" s="57"/>
      <c r="AD89" s="57"/>
    </row>
    <row r="90" spans="1:30" ht="13.5" thickBot="1" x14ac:dyDescent="0.25">
      <c r="A90" s="57"/>
      <c r="B90" s="102" t="s">
        <v>13419</v>
      </c>
      <c r="C90" s="104" t="s">
        <v>13616</v>
      </c>
      <c r="D90" s="104" t="s">
        <v>13583</v>
      </c>
      <c r="E90" s="104" t="s">
        <v>13617</v>
      </c>
      <c r="F90" s="103" t="s">
        <v>13532</v>
      </c>
      <c r="G90" s="104" t="s">
        <v>13618</v>
      </c>
      <c r="H90" s="104" t="s">
        <v>13619</v>
      </c>
      <c r="I90" s="104" t="s">
        <v>13620</v>
      </c>
      <c r="J90" s="57"/>
      <c r="K90" s="57"/>
      <c r="L90" s="57"/>
      <c r="M90" s="57"/>
      <c r="N90" s="57"/>
      <c r="O90" s="57"/>
      <c r="P90" s="57"/>
      <c r="Q90" s="57"/>
      <c r="R90" s="57"/>
      <c r="S90" s="57"/>
      <c r="T90" s="57"/>
      <c r="U90" s="57"/>
      <c r="V90" s="57"/>
      <c r="W90" s="57"/>
      <c r="X90" s="57"/>
      <c r="Y90" s="57"/>
      <c r="Z90" s="57"/>
      <c r="AA90" s="57"/>
      <c r="AB90" s="57"/>
      <c r="AC90" s="57"/>
      <c r="AD90" s="57"/>
    </row>
    <row r="91" spans="1:30" ht="13.5" thickBot="1" x14ac:dyDescent="0.25">
      <c r="A91" s="57"/>
      <c r="B91" s="95" t="s">
        <v>13517</v>
      </c>
      <c r="C91" s="105" t="s">
        <v>13621</v>
      </c>
      <c r="D91" s="105" t="s">
        <v>13622</v>
      </c>
      <c r="E91" s="105" t="s">
        <v>13500</v>
      </c>
      <c r="F91" s="106" t="s">
        <v>13623</v>
      </c>
      <c r="G91" s="105" t="s">
        <v>13624</v>
      </c>
      <c r="H91" s="105" t="s">
        <v>13625</v>
      </c>
      <c r="I91" s="105" t="s">
        <v>13626</v>
      </c>
      <c r="J91" s="57"/>
      <c r="K91" s="57"/>
      <c r="L91" s="57"/>
      <c r="M91" s="57"/>
      <c r="N91" s="57"/>
      <c r="O91" s="57"/>
      <c r="P91" s="57"/>
      <c r="Q91" s="57"/>
      <c r="R91" s="57"/>
      <c r="S91" s="57"/>
      <c r="T91" s="57"/>
      <c r="U91" s="57"/>
      <c r="V91" s="57"/>
      <c r="W91" s="57"/>
      <c r="X91" s="57"/>
      <c r="Y91" s="57"/>
      <c r="Z91" s="57"/>
      <c r="AA91" s="57"/>
      <c r="AB91" s="57"/>
      <c r="AC91" s="57"/>
      <c r="AD91" s="57"/>
    </row>
    <row r="92" spans="1:30" ht="13.5" thickBot="1" x14ac:dyDescent="0.25">
      <c r="A92" s="80"/>
      <c r="B92" s="85" t="s">
        <v>13627</v>
      </c>
      <c r="C92" s="86" t="s">
        <v>13628</v>
      </c>
      <c r="D92" s="86" t="s">
        <v>13484</v>
      </c>
      <c r="E92" s="86" t="s">
        <v>13629</v>
      </c>
      <c r="F92" s="86" t="s">
        <v>13630</v>
      </c>
      <c r="G92" s="86" t="s">
        <v>13631</v>
      </c>
      <c r="H92" s="86" t="s">
        <v>13632</v>
      </c>
      <c r="I92" s="86" t="s">
        <v>13633</v>
      </c>
      <c r="J92" s="57"/>
      <c r="K92" s="57"/>
      <c r="L92" s="57"/>
      <c r="M92" s="57"/>
      <c r="N92" s="57"/>
      <c r="O92" s="57"/>
      <c r="P92" s="57"/>
      <c r="Q92" s="57"/>
      <c r="R92" s="57"/>
      <c r="S92" s="57"/>
      <c r="T92" s="57"/>
      <c r="U92" s="57"/>
      <c r="V92" s="57"/>
      <c r="W92" s="57"/>
      <c r="X92" s="57"/>
      <c r="Y92" s="57"/>
      <c r="Z92" s="57"/>
      <c r="AA92" s="57"/>
      <c r="AB92" s="57"/>
      <c r="AC92" s="57"/>
      <c r="AD92" s="57"/>
    </row>
    <row r="93" spans="1:30" ht="13.5" thickBot="1" x14ac:dyDescent="0.25">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c r="AA93" s="57"/>
      <c r="AB93" s="57"/>
      <c r="AC93" s="57"/>
      <c r="AD93" s="57"/>
    </row>
    <row r="94" spans="1:30" ht="13.5" thickBot="1" x14ac:dyDescent="0.25">
      <c r="A94" s="57"/>
      <c r="B94" s="87" t="s">
        <v>13634</v>
      </c>
      <c r="C94" s="88"/>
      <c r="D94" s="88"/>
      <c r="E94" s="88"/>
      <c r="F94" s="88"/>
      <c r="G94" s="88"/>
      <c r="H94" s="88"/>
      <c r="I94" s="88"/>
      <c r="J94" s="57"/>
      <c r="K94" s="57"/>
      <c r="L94" s="57"/>
      <c r="M94" s="57"/>
      <c r="N94" s="57"/>
      <c r="O94" s="57"/>
      <c r="P94" s="57"/>
      <c r="Q94" s="57"/>
      <c r="R94" s="57"/>
      <c r="S94" s="57"/>
      <c r="T94" s="57"/>
      <c r="U94" s="57"/>
      <c r="V94" s="57"/>
      <c r="W94" s="57"/>
      <c r="X94" s="57"/>
      <c r="Y94" s="57"/>
      <c r="Z94" s="57"/>
      <c r="AA94" s="57"/>
      <c r="AB94" s="57"/>
      <c r="AC94" s="57"/>
      <c r="AD94" s="57"/>
    </row>
    <row r="95" spans="1:30" ht="13.5" thickBot="1" x14ac:dyDescent="0.25">
      <c r="A95" s="57"/>
      <c r="B95" s="88" t="s">
        <v>13576</v>
      </c>
      <c r="C95" s="88" t="s">
        <v>13577</v>
      </c>
      <c r="D95" s="88" t="s">
        <v>13578</v>
      </c>
      <c r="E95" s="88" t="s">
        <v>13579</v>
      </c>
      <c r="F95" s="88" t="s">
        <v>13524</v>
      </c>
      <c r="G95" s="88" t="s">
        <v>13580</v>
      </c>
      <c r="H95" s="88" t="s">
        <v>13581</v>
      </c>
      <c r="I95" s="88" t="s">
        <v>13582</v>
      </c>
      <c r="J95" s="57"/>
      <c r="K95" s="57"/>
      <c r="L95" s="57"/>
      <c r="M95" s="57"/>
      <c r="N95" s="57"/>
      <c r="O95" s="57"/>
      <c r="P95" s="57"/>
      <c r="Q95" s="57"/>
      <c r="R95" s="57"/>
      <c r="S95" s="57"/>
      <c r="T95" s="57"/>
      <c r="U95" s="57"/>
      <c r="V95" s="57"/>
      <c r="W95" s="57"/>
      <c r="X95" s="57"/>
      <c r="Y95" s="57"/>
      <c r="Z95" s="57"/>
      <c r="AA95" s="57"/>
      <c r="AB95" s="57"/>
      <c r="AC95" s="57"/>
      <c r="AD95" s="57"/>
    </row>
    <row r="96" spans="1:30" ht="13.5" thickBot="1" x14ac:dyDescent="0.25">
      <c r="A96" s="57"/>
      <c r="B96" s="102" t="s">
        <v>13378</v>
      </c>
      <c r="C96" s="104" t="s">
        <v>13635</v>
      </c>
      <c r="D96" s="104" t="s">
        <v>13636</v>
      </c>
      <c r="E96" s="104" t="s">
        <v>13637</v>
      </c>
      <c r="F96" s="104" t="s">
        <v>13638</v>
      </c>
      <c r="G96" s="104" t="s">
        <v>13639</v>
      </c>
      <c r="H96" s="104" t="s">
        <v>13640</v>
      </c>
      <c r="I96" s="103" t="s">
        <v>13641</v>
      </c>
      <c r="J96" s="57"/>
      <c r="K96" s="57"/>
      <c r="L96" s="57"/>
      <c r="M96" s="57"/>
      <c r="N96" s="57"/>
      <c r="O96" s="57"/>
      <c r="P96" s="57"/>
      <c r="Q96" s="57"/>
      <c r="R96" s="57"/>
      <c r="S96" s="57"/>
      <c r="T96" s="57"/>
      <c r="U96" s="57"/>
      <c r="V96" s="57"/>
      <c r="W96" s="57"/>
      <c r="X96" s="57"/>
      <c r="Y96" s="57"/>
      <c r="Z96" s="57"/>
      <c r="AA96" s="57"/>
      <c r="AB96" s="57"/>
      <c r="AC96" s="57"/>
      <c r="AD96" s="57"/>
    </row>
    <row r="97" spans="1:30" ht="13.5" thickBot="1" x14ac:dyDescent="0.25">
      <c r="A97" s="57"/>
      <c r="B97" s="102" t="s">
        <v>13384</v>
      </c>
      <c r="C97" s="103" t="s">
        <v>13642</v>
      </c>
      <c r="D97" s="104" t="s">
        <v>13487</v>
      </c>
      <c r="E97" s="104" t="s">
        <v>13528</v>
      </c>
      <c r="F97" s="104" t="s">
        <v>13643</v>
      </c>
      <c r="G97" s="104" t="s">
        <v>13644</v>
      </c>
      <c r="H97" s="104" t="s">
        <v>13528</v>
      </c>
      <c r="I97" s="104" t="s">
        <v>13645</v>
      </c>
      <c r="J97" s="57"/>
      <c r="K97" s="57"/>
      <c r="L97" s="57"/>
      <c r="M97" s="57"/>
      <c r="N97" s="57"/>
      <c r="O97" s="57"/>
      <c r="P97" s="57"/>
      <c r="Q97" s="57"/>
      <c r="R97" s="57"/>
      <c r="S97" s="57"/>
      <c r="T97" s="57"/>
      <c r="U97" s="57"/>
      <c r="V97" s="57"/>
      <c r="W97" s="57"/>
      <c r="X97" s="57"/>
      <c r="Y97" s="57"/>
      <c r="Z97" s="57"/>
      <c r="AA97" s="57"/>
      <c r="AB97" s="57"/>
      <c r="AC97" s="57"/>
      <c r="AD97" s="57"/>
    </row>
    <row r="98" spans="1:30" ht="13.5" thickBot="1" x14ac:dyDescent="0.25">
      <c r="A98" s="57"/>
      <c r="B98" s="102" t="s">
        <v>13397</v>
      </c>
      <c r="C98" s="104" t="s">
        <v>13646</v>
      </c>
      <c r="D98" s="104" t="s">
        <v>13416</v>
      </c>
      <c r="E98" s="103" t="s">
        <v>13647</v>
      </c>
      <c r="F98" s="104" t="s">
        <v>13648</v>
      </c>
      <c r="G98" s="104" t="s">
        <v>13515</v>
      </c>
      <c r="H98" s="104" t="s">
        <v>13649</v>
      </c>
      <c r="I98" s="104" t="s">
        <v>13502</v>
      </c>
      <c r="J98" s="57"/>
      <c r="K98" s="57"/>
      <c r="L98" s="57"/>
      <c r="M98" s="57"/>
      <c r="N98" s="57"/>
      <c r="O98" s="57"/>
      <c r="P98" s="57"/>
      <c r="Q98" s="57"/>
      <c r="R98" s="57"/>
      <c r="S98" s="57"/>
      <c r="T98" s="57"/>
      <c r="U98" s="57"/>
      <c r="V98" s="57"/>
      <c r="W98" s="57"/>
      <c r="X98" s="57"/>
      <c r="Y98" s="57"/>
      <c r="Z98" s="57"/>
      <c r="AA98" s="57"/>
      <c r="AB98" s="57"/>
      <c r="AC98" s="57"/>
      <c r="AD98" s="57"/>
    </row>
    <row r="99" spans="1:30" ht="13.5" thickBot="1" x14ac:dyDescent="0.25">
      <c r="A99" s="57"/>
      <c r="B99" s="102" t="s">
        <v>13598</v>
      </c>
      <c r="C99" s="104" t="s">
        <v>13650</v>
      </c>
      <c r="D99" s="104" t="s">
        <v>13651</v>
      </c>
      <c r="E99" s="103" t="s">
        <v>13652</v>
      </c>
      <c r="F99" s="104">
        <v>0</v>
      </c>
      <c r="G99" s="104" t="s">
        <v>13476</v>
      </c>
      <c r="H99" s="104" t="s">
        <v>13445</v>
      </c>
      <c r="I99" s="104" t="s">
        <v>13653</v>
      </c>
      <c r="J99" s="57"/>
      <c r="K99" s="57"/>
      <c r="L99" s="57"/>
      <c r="M99" s="57"/>
      <c r="N99" s="57"/>
      <c r="O99" s="57"/>
      <c r="P99" s="57"/>
      <c r="Q99" s="57"/>
      <c r="R99" s="57"/>
      <c r="S99" s="57"/>
      <c r="T99" s="57"/>
      <c r="U99" s="57"/>
      <c r="V99" s="57"/>
      <c r="W99" s="57"/>
      <c r="X99" s="57"/>
      <c r="Y99" s="57"/>
      <c r="Z99" s="57"/>
      <c r="AA99" s="57"/>
      <c r="AB99" s="57"/>
      <c r="AC99" s="57"/>
      <c r="AD99" s="57"/>
    </row>
    <row r="100" spans="1:30" ht="26.25" thickBot="1" x14ac:dyDescent="0.25">
      <c r="A100" s="57"/>
      <c r="B100" s="102" t="s">
        <v>13408</v>
      </c>
      <c r="C100" s="103" t="s">
        <v>13456</v>
      </c>
      <c r="D100" s="104" t="s">
        <v>13654</v>
      </c>
      <c r="E100" s="104" t="s">
        <v>13655</v>
      </c>
      <c r="F100" s="104" t="s">
        <v>13656</v>
      </c>
      <c r="G100" s="104" t="s">
        <v>13657</v>
      </c>
      <c r="H100" s="104" t="s">
        <v>13658</v>
      </c>
      <c r="I100" s="104" t="s">
        <v>13659</v>
      </c>
      <c r="J100" s="57"/>
      <c r="K100" s="57"/>
      <c r="L100" s="57"/>
      <c r="M100" s="57"/>
      <c r="N100" s="57"/>
      <c r="O100" s="57"/>
      <c r="P100" s="57"/>
      <c r="Q100" s="57"/>
      <c r="R100" s="57"/>
      <c r="S100" s="57"/>
      <c r="T100" s="57"/>
      <c r="U100" s="57"/>
      <c r="V100" s="57"/>
      <c r="W100" s="57"/>
      <c r="X100" s="57"/>
      <c r="Y100" s="57"/>
      <c r="Z100" s="57"/>
      <c r="AA100" s="57"/>
      <c r="AB100" s="57"/>
      <c r="AC100" s="57"/>
      <c r="AD100" s="57"/>
    </row>
    <row r="101" spans="1:30" ht="13.5" thickBot="1" x14ac:dyDescent="0.25">
      <c r="A101" s="57"/>
      <c r="B101" s="102" t="s">
        <v>13413</v>
      </c>
      <c r="C101" s="103" t="s">
        <v>13586</v>
      </c>
      <c r="D101" s="104" t="s">
        <v>13654</v>
      </c>
      <c r="E101" s="104" t="s">
        <v>13660</v>
      </c>
      <c r="F101" s="104" t="s">
        <v>13425</v>
      </c>
      <c r="G101" s="104" t="s">
        <v>13661</v>
      </c>
      <c r="H101" s="104" t="s">
        <v>13496</v>
      </c>
      <c r="I101" s="104" t="s">
        <v>13662</v>
      </c>
      <c r="J101" s="57"/>
      <c r="K101" s="57"/>
      <c r="L101" s="57"/>
      <c r="M101" s="57"/>
      <c r="N101" s="57"/>
      <c r="O101" s="57"/>
      <c r="P101" s="57"/>
      <c r="Q101" s="57"/>
      <c r="R101" s="57"/>
      <c r="S101" s="57"/>
      <c r="T101" s="57"/>
      <c r="U101" s="57"/>
      <c r="V101" s="57"/>
      <c r="W101" s="57"/>
      <c r="X101" s="57"/>
      <c r="Y101" s="57"/>
      <c r="Z101" s="57"/>
      <c r="AA101" s="57"/>
      <c r="AB101" s="57"/>
      <c r="AC101" s="57"/>
      <c r="AD101" s="57"/>
    </row>
    <row r="102" spans="1:30" ht="13.5" thickBot="1" x14ac:dyDescent="0.25">
      <c r="A102" s="57"/>
      <c r="B102" s="102" t="s">
        <v>13419</v>
      </c>
      <c r="C102" s="103" t="s">
        <v>13663</v>
      </c>
      <c r="D102" s="104" t="s">
        <v>13429</v>
      </c>
      <c r="E102" s="104" t="s">
        <v>13525</v>
      </c>
      <c r="F102" s="104" t="s">
        <v>13449</v>
      </c>
      <c r="G102" s="104" t="s">
        <v>13664</v>
      </c>
      <c r="H102" s="104" t="s">
        <v>13665</v>
      </c>
      <c r="I102" s="104" t="s">
        <v>13666</v>
      </c>
      <c r="J102" s="57"/>
      <c r="K102" s="57"/>
      <c r="L102" s="57"/>
      <c r="M102" s="57"/>
      <c r="N102" s="57"/>
      <c r="O102" s="57"/>
      <c r="P102" s="57"/>
      <c r="Q102" s="57"/>
      <c r="R102" s="57"/>
      <c r="S102" s="57"/>
      <c r="T102" s="57"/>
      <c r="U102" s="57"/>
      <c r="V102" s="57"/>
      <c r="W102" s="57"/>
      <c r="X102" s="57"/>
      <c r="Y102" s="57"/>
      <c r="Z102" s="57"/>
      <c r="AA102" s="57"/>
      <c r="AB102" s="57"/>
      <c r="AC102" s="57"/>
      <c r="AD102" s="57"/>
    </row>
    <row r="103" spans="1:30" ht="13.5" thickBot="1" x14ac:dyDescent="0.25">
      <c r="A103" s="57"/>
      <c r="B103" s="95" t="s">
        <v>13517</v>
      </c>
      <c r="C103" s="105" t="s">
        <v>13667</v>
      </c>
      <c r="D103" s="105" t="s">
        <v>13668</v>
      </c>
      <c r="E103" s="105" t="s">
        <v>13669</v>
      </c>
      <c r="F103" s="105" t="s">
        <v>13492</v>
      </c>
      <c r="G103" s="105" t="s">
        <v>13670</v>
      </c>
      <c r="H103" s="106" t="s">
        <v>13671</v>
      </c>
      <c r="I103" s="105" t="s">
        <v>13518</v>
      </c>
      <c r="J103" s="57"/>
      <c r="K103" s="57"/>
      <c r="L103" s="57"/>
      <c r="M103" s="57"/>
      <c r="N103" s="57"/>
      <c r="O103" s="57"/>
      <c r="P103" s="57"/>
      <c r="Q103" s="57"/>
      <c r="R103" s="57"/>
      <c r="S103" s="57"/>
      <c r="T103" s="57"/>
      <c r="U103" s="57"/>
      <c r="V103" s="57"/>
      <c r="W103" s="57"/>
      <c r="X103" s="57"/>
      <c r="Y103" s="57"/>
      <c r="Z103" s="57"/>
      <c r="AA103" s="57"/>
      <c r="AB103" s="57"/>
      <c r="AC103" s="57"/>
      <c r="AD103" s="57"/>
    </row>
    <row r="104" spans="1:30" ht="13.5" thickBot="1" x14ac:dyDescent="0.25">
      <c r="A104" s="80"/>
      <c r="B104" s="85" t="s">
        <v>13627</v>
      </c>
      <c r="C104" s="86" t="s">
        <v>13672</v>
      </c>
      <c r="D104" s="86" t="s">
        <v>13499</v>
      </c>
      <c r="E104" s="86" t="s">
        <v>13630</v>
      </c>
      <c r="F104" s="86" t="s">
        <v>13668</v>
      </c>
      <c r="G104" s="86" t="s">
        <v>13673</v>
      </c>
      <c r="H104" s="86" t="s">
        <v>13674</v>
      </c>
      <c r="I104" s="86" t="s">
        <v>13675</v>
      </c>
      <c r="J104" s="57"/>
      <c r="K104" s="57"/>
      <c r="L104" s="57"/>
      <c r="M104" s="57"/>
      <c r="N104" s="57"/>
      <c r="O104" s="57"/>
      <c r="P104" s="57"/>
      <c r="Q104" s="57"/>
      <c r="R104" s="57"/>
      <c r="S104" s="57"/>
      <c r="T104" s="57"/>
      <c r="U104" s="57"/>
      <c r="V104" s="57"/>
      <c r="W104" s="57"/>
      <c r="X104" s="57"/>
      <c r="Y104" s="57"/>
      <c r="Z104" s="57"/>
      <c r="AA104" s="57"/>
      <c r="AB104" s="57"/>
      <c r="AC104" s="57"/>
      <c r="AD104" s="57"/>
    </row>
    <row r="105" spans="1:30" ht="13.5" thickBot="1" x14ac:dyDescent="0.25">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c r="AD105" s="57"/>
    </row>
    <row r="106" spans="1:30" ht="13.5" thickBot="1" x14ac:dyDescent="0.25">
      <c r="A106" s="57"/>
      <c r="B106" s="87" t="s">
        <v>13676</v>
      </c>
      <c r="C106" s="88"/>
      <c r="D106" s="88"/>
      <c r="E106" s="88"/>
      <c r="F106" s="88"/>
      <c r="G106" s="88"/>
      <c r="H106" s="88"/>
      <c r="I106" s="88"/>
      <c r="J106" s="57"/>
      <c r="K106" s="57"/>
      <c r="L106" s="57"/>
      <c r="M106" s="57"/>
      <c r="N106" s="57"/>
      <c r="O106" s="57"/>
      <c r="P106" s="57"/>
      <c r="Q106" s="57"/>
      <c r="R106" s="57"/>
      <c r="S106" s="57"/>
      <c r="T106" s="57"/>
      <c r="U106" s="57"/>
      <c r="V106" s="57"/>
      <c r="W106" s="57"/>
      <c r="X106" s="57"/>
      <c r="Y106" s="57"/>
      <c r="Z106" s="57"/>
      <c r="AA106" s="57"/>
      <c r="AB106" s="57"/>
      <c r="AC106" s="57"/>
      <c r="AD106" s="57"/>
    </row>
    <row r="107" spans="1:30" ht="13.5" thickBot="1" x14ac:dyDescent="0.25">
      <c r="A107" s="80"/>
      <c r="B107" s="83" t="s">
        <v>13576</v>
      </c>
      <c r="C107" s="83" t="s">
        <v>13577</v>
      </c>
      <c r="D107" s="83" t="s">
        <v>13578</v>
      </c>
      <c r="E107" s="83" t="s">
        <v>13579</v>
      </c>
      <c r="F107" s="83" t="s">
        <v>13524</v>
      </c>
      <c r="G107" s="83" t="s">
        <v>13580</v>
      </c>
      <c r="H107" s="83" t="s">
        <v>13581</v>
      </c>
      <c r="I107" s="83" t="s">
        <v>13582</v>
      </c>
      <c r="J107" s="57"/>
      <c r="K107" s="57"/>
      <c r="L107" s="57"/>
      <c r="M107" s="57"/>
      <c r="N107" s="57"/>
      <c r="O107" s="57"/>
      <c r="P107" s="57"/>
      <c r="Q107" s="57"/>
      <c r="R107" s="57"/>
      <c r="S107" s="57"/>
      <c r="T107" s="57"/>
      <c r="U107" s="57"/>
      <c r="V107" s="57"/>
      <c r="W107" s="57"/>
      <c r="X107" s="57"/>
      <c r="Y107" s="57"/>
      <c r="Z107" s="57"/>
      <c r="AA107" s="57"/>
      <c r="AB107" s="57"/>
      <c r="AC107" s="57"/>
      <c r="AD107" s="57"/>
    </row>
    <row r="108" spans="1:30" ht="13.5" thickBot="1" x14ac:dyDescent="0.25">
      <c r="A108" s="80"/>
      <c r="B108" s="96" t="s">
        <v>13378</v>
      </c>
      <c r="C108" s="93" t="s">
        <v>13677</v>
      </c>
      <c r="D108" s="94" t="s">
        <v>13678</v>
      </c>
      <c r="E108" s="94" t="s">
        <v>13679</v>
      </c>
      <c r="F108" s="94" t="s">
        <v>13454</v>
      </c>
      <c r="G108" s="94" t="s">
        <v>13680</v>
      </c>
      <c r="H108" s="94" t="s">
        <v>13628</v>
      </c>
      <c r="I108" s="94" t="s">
        <v>13681</v>
      </c>
      <c r="J108" s="57"/>
      <c r="K108" s="57"/>
      <c r="L108" s="57"/>
      <c r="M108" s="57"/>
      <c r="N108" s="57"/>
      <c r="O108" s="57"/>
      <c r="P108" s="57"/>
      <c r="Q108" s="57"/>
      <c r="R108" s="57"/>
      <c r="S108" s="57"/>
      <c r="T108" s="57"/>
      <c r="U108" s="57"/>
      <c r="V108" s="57"/>
      <c r="W108" s="57"/>
      <c r="X108" s="57"/>
      <c r="Y108" s="57"/>
      <c r="Z108" s="57"/>
      <c r="AA108" s="57"/>
      <c r="AB108" s="57"/>
      <c r="AC108" s="57"/>
      <c r="AD108" s="57"/>
    </row>
    <row r="109" spans="1:30" ht="13.5" thickBot="1" x14ac:dyDescent="0.25">
      <c r="A109" s="80"/>
      <c r="B109" s="96" t="s">
        <v>13384</v>
      </c>
      <c r="C109" s="93" t="s">
        <v>13647</v>
      </c>
      <c r="D109" s="94" t="s">
        <v>13468</v>
      </c>
      <c r="E109" s="94" t="s">
        <v>13682</v>
      </c>
      <c r="F109" s="94" t="s">
        <v>13683</v>
      </c>
      <c r="G109" s="94" t="s">
        <v>13684</v>
      </c>
      <c r="H109" s="94" t="s">
        <v>13685</v>
      </c>
      <c r="I109" s="94" t="s">
        <v>13686</v>
      </c>
      <c r="J109" s="57"/>
      <c r="K109" s="57"/>
      <c r="L109" s="57"/>
      <c r="M109" s="57"/>
      <c r="N109" s="57"/>
      <c r="O109" s="57"/>
      <c r="P109" s="57"/>
      <c r="Q109" s="57"/>
      <c r="R109" s="57"/>
      <c r="S109" s="57"/>
      <c r="T109" s="57"/>
      <c r="U109" s="57"/>
      <c r="V109" s="57"/>
      <c r="W109" s="57"/>
      <c r="X109" s="57"/>
      <c r="Y109" s="57"/>
      <c r="Z109" s="57"/>
      <c r="AA109" s="57"/>
      <c r="AB109" s="57"/>
      <c r="AC109" s="57"/>
      <c r="AD109" s="57"/>
    </row>
    <row r="110" spans="1:30" ht="13.5" thickBot="1" x14ac:dyDescent="0.25">
      <c r="A110" s="80"/>
      <c r="B110" s="96" t="s">
        <v>13397</v>
      </c>
      <c r="C110" s="93" t="s">
        <v>13451</v>
      </c>
      <c r="D110" s="94" t="s">
        <v>13687</v>
      </c>
      <c r="E110" s="94" t="s">
        <v>13688</v>
      </c>
      <c r="F110" s="94" t="s">
        <v>13689</v>
      </c>
      <c r="G110" s="94" t="s">
        <v>13690</v>
      </c>
      <c r="H110" s="94" t="s">
        <v>13691</v>
      </c>
      <c r="I110" s="94" t="s">
        <v>13692</v>
      </c>
      <c r="J110" s="57"/>
      <c r="K110" s="57"/>
      <c r="L110" s="57"/>
      <c r="M110" s="57"/>
      <c r="N110" s="57"/>
      <c r="O110" s="57"/>
      <c r="P110" s="57"/>
      <c r="Q110" s="57"/>
      <c r="R110" s="57"/>
      <c r="S110" s="57"/>
      <c r="T110" s="57"/>
      <c r="U110" s="57"/>
      <c r="V110" s="57"/>
      <c r="W110" s="57"/>
      <c r="X110" s="57"/>
      <c r="Y110" s="57"/>
      <c r="Z110" s="57"/>
      <c r="AA110" s="57"/>
      <c r="AB110" s="57"/>
      <c r="AC110" s="57"/>
      <c r="AD110" s="57"/>
    </row>
    <row r="111" spans="1:30" ht="13.5" thickBot="1" x14ac:dyDescent="0.25">
      <c r="A111" s="80"/>
      <c r="B111" s="96" t="s">
        <v>13598</v>
      </c>
      <c r="C111" s="93" t="s">
        <v>13693</v>
      </c>
      <c r="D111" s="94" t="s">
        <v>13694</v>
      </c>
      <c r="E111" s="94" t="s">
        <v>13695</v>
      </c>
      <c r="F111" s="94">
        <v>0</v>
      </c>
      <c r="G111" s="94" t="s">
        <v>13696</v>
      </c>
      <c r="H111" s="94" t="s">
        <v>13697</v>
      </c>
      <c r="I111" s="94" t="s">
        <v>13697</v>
      </c>
      <c r="J111" s="57"/>
      <c r="K111" s="57"/>
      <c r="L111" s="57"/>
      <c r="M111" s="57"/>
      <c r="N111" s="57"/>
      <c r="O111" s="57"/>
      <c r="P111" s="57"/>
      <c r="Q111" s="57"/>
      <c r="R111" s="57"/>
      <c r="S111" s="57"/>
      <c r="T111" s="57"/>
      <c r="U111" s="57"/>
      <c r="V111" s="57"/>
      <c r="W111" s="57"/>
      <c r="X111" s="57"/>
      <c r="Y111" s="57"/>
      <c r="Z111" s="57"/>
      <c r="AA111" s="57"/>
      <c r="AB111" s="57"/>
      <c r="AC111" s="57"/>
      <c r="AD111" s="57"/>
    </row>
    <row r="112" spans="1:30" ht="26.25" thickBot="1" x14ac:dyDescent="0.25">
      <c r="A112" s="80"/>
      <c r="B112" s="96" t="s">
        <v>13408</v>
      </c>
      <c r="C112" s="93" t="s">
        <v>13698</v>
      </c>
      <c r="D112" s="94" t="s">
        <v>13699</v>
      </c>
      <c r="E112" s="94" t="s">
        <v>13700</v>
      </c>
      <c r="F112" s="94" t="s">
        <v>13387</v>
      </c>
      <c r="G112" s="94" t="s">
        <v>13412</v>
      </c>
      <c r="H112" s="94" t="s">
        <v>13513</v>
      </c>
      <c r="I112" s="94" t="s">
        <v>13450</v>
      </c>
      <c r="J112" s="57"/>
      <c r="K112" s="57"/>
      <c r="L112" s="57"/>
      <c r="M112" s="57"/>
      <c r="N112" s="57"/>
      <c r="O112" s="57"/>
      <c r="P112" s="57"/>
      <c r="Q112" s="57"/>
      <c r="R112" s="57"/>
      <c r="S112" s="57"/>
      <c r="T112" s="57"/>
      <c r="U112" s="57"/>
      <c r="V112" s="57"/>
      <c r="W112" s="57"/>
      <c r="X112" s="57"/>
      <c r="Y112" s="57"/>
      <c r="Z112" s="57"/>
      <c r="AA112" s="57"/>
      <c r="AB112" s="57"/>
      <c r="AC112" s="57"/>
      <c r="AD112" s="57"/>
    </row>
    <row r="113" spans="1:30" ht="13.5" thickBot="1" x14ac:dyDescent="0.25">
      <c r="A113" s="80"/>
      <c r="B113" s="96" t="s">
        <v>13413</v>
      </c>
      <c r="C113" s="93" t="s">
        <v>13618</v>
      </c>
      <c r="D113" s="94" t="s">
        <v>13699</v>
      </c>
      <c r="E113" s="94" t="s">
        <v>13701</v>
      </c>
      <c r="F113" s="94" t="s">
        <v>13702</v>
      </c>
      <c r="G113" s="94" t="s">
        <v>13703</v>
      </c>
      <c r="H113" s="94" t="s">
        <v>13704</v>
      </c>
      <c r="I113" s="94" t="s">
        <v>13705</v>
      </c>
      <c r="J113" s="57"/>
      <c r="K113" s="57"/>
      <c r="L113" s="57"/>
      <c r="M113" s="57"/>
      <c r="N113" s="57"/>
      <c r="O113" s="57"/>
      <c r="P113" s="57"/>
      <c r="Q113" s="57"/>
      <c r="R113" s="57"/>
      <c r="S113" s="57"/>
      <c r="T113" s="57"/>
      <c r="U113" s="57"/>
      <c r="V113" s="57"/>
      <c r="W113" s="57"/>
      <c r="X113" s="57"/>
      <c r="Y113" s="57"/>
      <c r="Z113" s="57"/>
      <c r="AA113" s="57"/>
      <c r="AB113" s="57"/>
      <c r="AC113" s="57"/>
      <c r="AD113" s="57"/>
    </row>
    <row r="114" spans="1:30" ht="13.5" thickBot="1" x14ac:dyDescent="0.25">
      <c r="A114" s="80"/>
      <c r="B114" s="96" t="s">
        <v>13419</v>
      </c>
      <c r="C114" s="93" t="s">
        <v>13665</v>
      </c>
      <c r="D114" s="94" t="s">
        <v>13510</v>
      </c>
      <c r="E114" s="94" t="s">
        <v>13706</v>
      </c>
      <c r="F114" s="94" t="s">
        <v>13707</v>
      </c>
      <c r="G114" s="94" t="s">
        <v>13708</v>
      </c>
      <c r="H114" s="94" t="s">
        <v>13709</v>
      </c>
      <c r="I114" s="94" t="s">
        <v>13710</v>
      </c>
      <c r="J114" s="57"/>
      <c r="K114" s="57"/>
      <c r="L114" s="57"/>
      <c r="M114" s="57"/>
      <c r="N114" s="57"/>
      <c r="O114" s="57"/>
      <c r="P114" s="57"/>
      <c r="Q114" s="57"/>
      <c r="R114" s="57"/>
      <c r="S114" s="57"/>
      <c r="T114" s="57"/>
      <c r="U114" s="57"/>
      <c r="V114" s="57"/>
      <c r="W114" s="57"/>
      <c r="X114" s="57"/>
      <c r="Y114" s="57"/>
      <c r="Z114" s="57"/>
      <c r="AA114" s="57"/>
      <c r="AB114" s="57"/>
      <c r="AC114" s="57"/>
      <c r="AD114" s="57"/>
    </row>
    <row r="115" spans="1:30" ht="13.5" thickBot="1" x14ac:dyDescent="0.25">
      <c r="A115" s="80"/>
      <c r="B115" s="96" t="s">
        <v>13517</v>
      </c>
      <c r="C115" s="93" t="s">
        <v>13711</v>
      </c>
      <c r="D115" s="94" t="s">
        <v>13712</v>
      </c>
      <c r="E115" s="94" t="s">
        <v>13629</v>
      </c>
      <c r="F115" s="94" t="s">
        <v>13713</v>
      </c>
      <c r="G115" s="94" t="s">
        <v>13714</v>
      </c>
      <c r="H115" s="94" t="s">
        <v>13715</v>
      </c>
      <c r="I115" s="94" t="s">
        <v>13423</v>
      </c>
      <c r="J115" s="57"/>
      <c r="K115" s="57"/>
      <c r="L115" s="57"/>
      <c r="M115" s="57"/>
      <c r="N115" s="57"/>
      <c r="O115" s="57"/>
      <c r="P115" s="57"/>
      <c r="Q115" s="57"/>
      <c r="R115" s="57"/>
      <c r="S115" s="57"/>
      <c r="T115" s="57"/>
      <c r="U115" s="57"/>
      <c r="V115" s="57"/>
      <c r="W115" s="57"/>
      <c r="X115" s="57"/>
      <c r="Y115" s="57"/>
      <c r="Z115" s="57"/>
      <c r="AA115" s="57"/>
      <c r="AB115" s="57"/>
      <c r="AC115" s="57"/>
      <c r="AD115" s="57"/>
    </row>
    <row r="116" spans="1:30" ht="13.5" thickBot="1" x14ac:dyDescent="0.25">
      <c r="A116" s="80"/>
      <c r="B116" s="85" t="s">
        <v>13627</v>
      </c>
      <c r="C116" s="86" t="s">
        <v>13716</v>
      </c>
      <c r="D116" s="86" t="s">
        <v>13422</v>
      </c>
      <c r="E116" s="86" t="s">
        <v>13717</v>
      </c>
      <c r="F116" s="86" t="s">
        <v>13718</v>
      </c>
      <c r="G116" s="86" t="s">
        <v>13714</v>
      </c>
      <c r="H116" s="86" t="s">
        <v>13719</v>
      </c>
      <c r="I116" s="86" t="s">
        <v>13720</v>
      </c>
      <c r="J116" s="57"/>
      <c r="K116" s="57"/>
      <c r="L116" s="57"/>
      <c r="M116" s="57"/>
      <c r="N116" s="57"/>
      <c r="O116" s="57"/>
      <c r="P116" s="57"/>
      <c r="Q116" s="57"/>
      <c r="R116" s="57"/>
      <c r="S116" s="57"/>
      <c r="T116" s="57"/>
      <c r="U116" s="57"/>
      <c r="V116" s="57"/>
      <c r="W116" s="57"/>
      <c r="X116" s="57"/>
      <c r="Y116" s="57"/>
      <c r="Z116" s="57"/>
      <c r="AA116" s="57"/>
      <c r="AB116" s="57"/>
      <c r="AC116" s="57"/>
      <c r="AD116" s="57"/>
    </row>
    <row r="117" spans="1:30" ht="13.5" thickBot="1" x14ac:dyDescent="0.25">
      <c r="A117" s="80"/>
      <c r="B117" s="85" t="s">
        <v>13721</v>
      </c>
      <c r="C117" s="85" t="s">
        <v>13722</v>
      </c>
      <c r="D117" s="107">
        <v>49919</v>
      </c>
      <c r="E117" s="86" t="s">
        <v>13723</v>
      </c>
      <c r="F117" s="107">
        <v>88267</v>
      </c>
      <c r="G117" s="86" t="s">
        <v>13724</v>
      </c>
      <c r="H117" s="86" t="s">
        <v>13725</v>
      </c>
      <c r="I117" s="86" t="s">
        <v>13726</v>
      </c>
      <c r="J117" s="57"/>
      <c r="K117" s="57"/>
      <c r="L117" s="57"/>
      <c r="M117" s="57"/>
      <c r="N117" s="57"/>
      <c r="O117" s="57"/>
      <c r="P117" s="57"/>
      <c r="Q117" s="57"/>
      <c r="R117" s="57"/>
      <c r="S117" s="57"/>
      <c r="T117" s="57"/>
      <c r="U117" s="57"/>
      <c r="V117" s="57"/>
      <c r="W117" s="57"/>
      <c r="X117" s="57"/>
      <c r="Y117" s="57"/>
      <c r="Z117" s="57"/>
      <c r="AA117" s="57"/>
      <c r="AB117" s="57"/>
      <c r="AC117" s="57"/>
      <c r="AD117" s="57"/>
    </row>
    <row r="118" spans="1:30" ht="13.5" thickBot="1" x14ac:dyDescent="0.25">
      <c r="A118" s="80"/>
      <c r="B118" s="85" t="s">
        <v>13727</v>
      </c>
      <c r="C118" s="85" t="s">
        <v>13722</v>
      </c>
      <c r="D118" s="86" t="s">
        <v>13728</v>
      </c>
      <c r="E118" s="86" t="s">
        <v>13729</v>
      </c>
      <c r="F118" s="86" t="s">
        <v>13730</v>
      </c>
      <c r="G118" s="86" t="s">
        <v>13730</v>
      </c>
      <c r="H118" s="86" t="s">
        <v>13459</v>
      </c>
      <c r="I118" s="86" t="s">
        <v>13731</v>
      </c>
      <c r="J118" s="57"/>
      <c r="K118" s="57"/>
      <c r="L118" s="57"/>
      <c r="M118" s="57"/>
      <c r="N118" s="57"/>
      <c r="O118" s="57"/>
      <c r="P118" s="57"/>
      <c r="Q118" s="57"/>
      <c r="R118" s="57"/>
      <c r="S118" s="57"/>
      <c r="T118" s="57"/>
      <c r="U118" s="57"/>
      <c r="V118" s="57"/>
      <c r="W118" s="57"/>
      <c r="X118" s="57"/>
      <c r="Y118" s="57"/>
      <c r="Z118" s="57"/>
      <c r="AA118" s="57"/>
      <c r="AB118" s="57"/>
      <c r="AC118" s="57"/>
      <c r="AD118" s="57"/>
    </row>
    <row r="119" spans="1:30" ht="26.25" thickBot="1" x14ac:dyDescent="0.25">
      <c r="A119" s="80"/>
      <c r="B119" s="85" t="s">
        <v>13732</v>
      </c>
      <c r="C119" s="85" t="s">
        <v>13722</v>
      </c>
      <c r="D119" s="86">
        <v>1</v>
      </c>
      <c r="E119" s="86" t="s">
        <v>13531</v>
      </c>
      <c r="F119" s="86">
        <v>1</v>
      </c>
      <c r="G119" s="86">
        <v>1</v>
      </c>
      <c r="H119" s="86" t="s">
        <v>13558</v>
      </c>
      <c r="I119" s="86" t="s">
        <v>13561</v>
      </c>
      <c r="J119" s="57"/>
      <c r="K119" s="57"/>
      <c r="L119" s="57"/>
      <c r="M119" s="57"/>
      <c r="N119" s="57"/>
      <c r="O119" s="57"/>
      <c r="P119" s="57"/>
      <c r="Q119" s="57"/>
      <c r="R119" s="57"/>
      <c r="S119" s="57"/>
      <c r="T119" s="57"/>
      <c r="U119" s="57"/>
      <c r="V119" s="57"/>
      <c r="W119" s="57"/>
      <c r="X119" s="57"/>
      <c r="Y119" s="57"/>
      <c r="Z119" s="57"/>
      <c r="AA119" s="57"/>
      <c r="AB119" s="57"/>
      <c r="AC119" s="57"/>
      <c r="AD119" s="57"/>
    </row>
    <row r="120" spans="1:30" ht="13.5" thickBot="1" x14ac:dyDescent="0.25">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c r="AA120" s="57"/>
      <c r="AB120" s="57"/>
      <c r="AC120" s="57"/>
      <c r="AD120" s="57"/>
    </row>
    <row r="121" spans="1:30" ht="13.5" thickBot="1" x14ac:dyDescent="0.25">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c r="AA121" s="57"/>
      <c r="AB121" s="57"/>
      <c r="AC121" s="57"/>
      <c r="AD121" s="57"/>
    </row>
    <row r="122" spans="1:30" ht="13.5" thickBot="1" x14ac:dyDescent="0.25">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c r="AA122" s="57"/>
      <c r="AB122" s="57"/>
      <c r="AC122" s="57"/>
      <c r="AD122" s="57"/>
    </row>
    <row r="123" spans="1:30" ht="13.5" thickBot="1" x14ac:dyDescent="0.25">
      <c r="A123" s="57"/>
      <c r="B123" s="77" t="s">
        <v>4973</v>
      </c>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c r="AA123" s="57"/>
      <c r="AB123" s="57"/>
      <c r="AC123" s="57"/>
      <c r="AD123" s="57"/>
    </row>
    <row r="124" spans="1:30" ht="13.5" thickBot="1" x14ac:dyDescent="0.25">
      <c r="A124" s="57"/>
      <c r="B124" s="108" t="s">
        <v>13733</v>
      </c>
      <c r="C124" s="88"/>
      <c r="D124" s="88"/>
      <c r="E124" s="88"/>
      <c r="F124" s="88"/>
      <c r="G124" s="88"/>
      <c r="H124" s="88"/>
      <c r="I124" s="88"/>
      <c r="J124" s="88"/>
      <c r="K124" s="88"/>
      <c r="L124" s="88"/>
      <c r="M124" s="88"/>
      <c r="N124" s="88"/>
      <c r="O124" s="57"/>
      <c r="P124" s="57"/>
      <c r="Q124" s="57"/>
      <c r="R124" s="57"/>
      <c r="S124" s="57"/>
      <c r="T124" s="57"/>
      <c r="U124" s="57"/>
      <c r="V124" s="57"/>
      <c r="W124" s="57"/>
      <c r="X124" s="57"/>
      <c r="Y124" s="57"/>
      <c r="Z124" s="57"/>
      <c r="AA124" s="57"/>
      <c r="AB124" s="57"/>
      <c r="AC124" s="57"/>
      <c r="AD124" s="57"/>
    </row>
    <row r="125" spans="1:30" ht="13.5" thickBot="1" x14ac:dyDescent="0.25">
      <c r="A125" s="80"/>
      <c r="B125" s="320"/>
      <c r="C125" s="296" t="s">
        <v>13734</v>
      </c>
      <c r="D125" s="297"/>
      <c r="E125" s="298"/>
      <c r="F125" s="296" t="s">
        <v>13015</v>
      </c>
      <c r="G125" s="297"/>
      <c r="H125" s="298"/>
      <c r="I125" s="296" t="s">
        <v>13735</v>
      </c>
      <c r="J125" s="297"/>
      <c r="K125" s="298"/>
      <c r="L125" s="296" t="s">
        <v>13736</v>
      </c>
      <c r="M125" s="297"/>
      <c r="N125" s="298"/>
      <c r="O125" s="57"/>
      <c r="P125" s="57"/>
      <c r="Q125" s="57"/>
      <c r="R125" s="57"/>
      <c r="S125" s="57"/>
      <c r="T125" s="57"/>
      <c r="U125" s="57"/>
      <c r="V125" s="57"/>
      <c r="W125" s="57"/>
      <c r="X125" s="57"/>
      <c r="Y125" s="57"/>
      <c r="Z125" s="57"/>
      <c r="AA125" s="57"/>
      <c r="AB125" s="57"/>
      <c r="AC125" s="57"/>
      <c r="AD125" s="57"/>
    </row>
    <row r="126" spans="1:30" ht="13.5" thickBot="1" x14ac:dyDescent="0.25">
      <c r="A126" s="80"/>
      <c r="B126" s="321"/>
      <c r="C126" s="99" t="s">
        <v>13737</v>
      </c>
      <c r="D126" s="99" t="s">
        <v>13738</v>
      </c>
      <c r="E126" s="99" t="s">
        <v>13739</v>
      </c>
      <c r="F126" s="99" t="s">
        <v>13737</v>
      </c>
      <c r="G126" s="99" t="s">
        <v>13738</v>
      </c>
      <c r="H126" s="99" t="s">
        <v>13739</v>
      </c>
      <c r="I126" s="99" t="s">
        <v>13737</v>
      </c>
      <c r="J126" s="99" t="s">
        <v>13738</v>
      </c>
      <c r="K126" s="99" t="s">
        <v>13739</v>
      </c>
      <c r="L126" s="99" t="s">
        <v>13737</v>
      </c>
      <c r="M126" s="99" t="s">
        <v>13738</v>
      </c>
      <c r="N126" s="99" t="s">
        <v>13739</v>
      </c>
      <c r="O126" s="57"/>
      <c r="P126" s="57"/>
      <c r="Q126" s="57"/>
      <c r="R126" s="57"/>
      <c r="S126" s="57"/>
      <c r="T126" s="57"/>
      <c r="U126" s="57"/>
      <c r="V126" s="57"/>
      <c r="W126" s="57"/>
      <c r="X126" s="57"/>
      <c r="Y126" s="57"/>
      <c r="Z126" s="57"/>
      <c r="AA126" s="57"/>
      <c r="AB126" s="57"/>
      <c r="AC126" s="57"/>
      <c r="AD126" s="57"/>
    </row>
    <row r="127" spans="1:30" ht="13.5" thickBot="1" x14ac:dyDescent="0.25">
      <c r="A127" s="80"/>
      <c r="B127" s="99" t="s">
        <v>13372</v>
      </c>
      <c r="C127" s="99" t="s">
        <v>13740</v>
      </c>
      <c r="D127" s="99" t="s">
        <v>13447</v>
      </c>
      <c r="E127" s="109" t="s">
        <v>13741</v>
      </c>
      <c r="F127" s="99" t="s">
        <v>13742</v>
      </c>
      <c r="G127" s="109" t="s">
        <v>13743</v>
      </c>
      <c r="H127" s="99" t="s">
        <v>13744</v>
      </c>
      <c r="I127" s="109" t="s">
        <v>13745</v>
      </c>
      <c r="J127" s="99" t="s">
        <v>13746</v>
      </c>
      <c r="K127" s="99" t="s">
        <v>13747</v>
      </c>
      <c r="L127" s="99" t="s">
        <v>13445</v>
      </c>
      <c r="M127" s="99" t="s">
        <v>13446</v>
      </c>
      <c r="N127" s="99" t="s">
        <v>13373</v>
      </c>
      <c r="O127" s="57"/>
      <c r="P127" s="57"/>
      <c r="Q127" s="57"/>
      <c r="R127" s="57"/>
      <c r="S127" s="57"/>
      <c r="T127" s="57"/>
      <c r="U127" s="57"/>
      <c r="V127" s="57"/>
      <c r="W127" s="57"/>
      <c r="X127" s="57"/>
      <c r="Y127" s="57"/>
      <c r="Z127" s="57"/>
      <c r="AA127" s="57"/>
      <c r="AB127" s="57"/>
      <c r="AC127" s="57"/>
      <c r="AD127" s="57"/>
    </row>
    <row r="128" spans="1:30" ht="13.5" thickBot="1" x14ac:dyDescent="0.25">
      <c r="A128" s="80"/>
      <c r="B128" s="99" t="s">
        <v>13378</v>
      </c>
      <c r="C128" s="109" t="s">
        <v>13748</v>
      </c>
      <c r="D128" s="99" t="s">
        <v>13483</v>
      </c>
      <c r="E128" s="109" t="s">
        <v>13749</v>
      </c>
      <c r="F128" s="99" t="s">
        <v>13750</v>
      </c>
      <c r="G128" s="109" t="s">
        <v>13751</v>
      </c>
      <c r="H128" s="99" t="s">
        <v>13669</v>
      </c>
      <c r="I128" s="99" t="s">
        <v>13752</v>
      </c>
      <c r="J128" s="99" t="s">
        <v>13655</v>
      </c>
      <c r="K128" s="99" t="s">
        <v>13753</v>
      </c>
      <c r="L128" s="99" t="s">
        <v>13451</v>
      </c>
      <c r="M128" s="99" t="s">
        <v>13452</v>
      </c>
      <c r="N128" s="99" t="s">
        <v>13379</v>
      </c>
      <c r="O128" s="57"/>
      <c r="P128" s="57"/>
      <c r="Q128" s="57"/>
      <c r="R128" s="57"/>
      <c r="S128" s="57"/>
      <c r="T128" s="57"/>
      <c r="U128" s="57"/>
      <c r="V128" s="57"/>
      <c r="W128" s="57"/>
      <c r="X128" s="57"/>
      <c r="Y128" s="57"/>
      <c r="Z128" s="57"/>
      <c r="AA128" s="57"/>
      <c r="AB128" s="57"/>
      <c r="AC128" s="57"/>
      <c r="AD128" s="57"/>
    </row>
    <row r="129" spans="1:30" ht="13.5" thickBot="1" x14ac:dyDescent="0.25">
      <c r="A129" s="80"/>
      <c r="B129" s="99" t="s">
        <v>13384</v>
      </c>
      <c r="C129" s="99" t="s">
        <v>13754</v>
      </c>
      <c r="D129" s="99" t="s">
        <v>13480</v>
      </c>
      <c r="E129" s="99" t="s">
        <v>13755</v>
      </c>
      <c r="F129" s="99" t="s">
        <v>13417</v>
      </c>
      <c r="G129" s="99" t="s">
        <v>13623</v>
      </c>
      <c r="H129" s="99" t="s">
        <v>13756</v>
      </c>
      <c r="I129" s="99" t="s">
        <v>13757</v>
      </c>
      <c r="J129" s="109" t="s">
        <v>13748</v>
      </c>
      <c r="K129" s="109" t="s">
        <v>13758</v>
      </c>
      <c r="L129" s="109" t="s">
        <v>13456</v>
      </c>
      <c r="M129" s="99" t="s">
        <v>13446</v>
      </c>
      <c r="N129" s="99" t="s">
        <v>13385</v>
      </c>
      <c r="O129" s="57"/>
      <c r="P129" s="57"/>
      <c r="Q129" s="57"/>
      <c r="R129" s="57"/>
      <c r="S129" s="57"/>
      <c r="T129" s="57"/>
      <c r="U129" s="57"/>
      <c r="V129" s="57"/>
      <c r="W129" s="57"/>
      <c r="X129" s="57"/>
      <c r="Y129" s="57"/>
      <c r="Z129" s="57"/>
      <c r="AA129" s="57"/>
      <c r="AB129" s="57"/>
      <c r="AC129" s="57"/>
      <c r="AD129" s="57"/>
    </row>
    <row r="130" spans="1:30" ht="13.5" thickBot="1" x14ac:dyDescent="0.25">
      <c r="A130" s="80"/>
      <c r="B130" s="99" t="s">
        <v>13391</v>
      </c>
      <c r="C130" s="99" t="s">
        <v>13759</v>
      </c>
      <c r="D130" s="99" t="s">
        <v>13760</v>
      </c>
      <c r="E130" s="99" t="s">
        <v>13761</v>
      </c>
      <c r="F130" s="99" t="s">
        <v>13499</v>
      </c>
      <c r="G130" s="109" t="s">
        <v>13531</v>
      </c>
      <c r="H130" s="99" t="s">
        <v>13468</v>
      </c>
      <c r="I130" s="109" t="s">
        <v>13681</v>
      </c>
      <c r="J130" s="99" t="s">
        <v>13762</v>
      </c>
      <c r="K130" s="109" t="s">
        <v>13763</v>
      </c>
      <c r="L130" s="99" t="s">
        <v>13460</v>
      </c>
      <c r="M130" s="99" t="s">
        <v>13461</v>
      </c>
      <c r="N130" s="99" t="s">
        <v>13392</v>
      </c>
      <c r="O130" s="57"/>
      <c r="P130" s="57"/>
      <c r="Q130" s="57"/>
      <c r="R130" s="57"/>
      <c r="S130" s="57"/>
      <c r="T130" s="57"/>
      <c r="U130" s="57"/>
      <c r="V130" s="57"/>
      <c r="W130" s="57"/>
      <c r="X130" s="57"/>
      <c r="Y130" s="57"/>
      <c r="Z130" s="57"/>
      <c r="AA130" s="57"/>
      <c r="AB130" s="57"/>
      <c r="AC130" s="57"/>
      <c r="AD130" s="57"/>
    </row>
    <row r="131" spans="1:30" ht="13.5" thickBot="1" x14ac:dyDescent="0.25">
      <c r="A131" s="80"/>
      <c r="B131" s="99" t="s">
        <v>13397</v>
      </c>
      <c r="C131" s="99" t="s">
        <v>13764</v>
      </c>
      <c r="D131" s="109" t="s">
        <v>13765</v>
      </c>
      <c r="E131" s="109" t="s">
        <v>13379</v>
      </c>
      <c r="F131" s="99" t="s">
        <v>13766</v>
      </c>
      <c r="G131" s="99" t="s">
        <v>13767</v>
      </c>
      <c r="H131" s="99" t="s">
        <v>13768</v>
      </c>
      <c r="I131" s="109" t="s">
        <v>13605</v>
      </c>
      <c r="J131" s="99" t="s">
        <v>13769</v>
      </c>
      <c r="K131" s="99" t="s">
        <v>13770</v>
      </c>
      <c r="L131" s="99" t="s">
        <v>13465</v>
      </c>
      <c r="M131" s="99" t="s">
        <v>13466</v>
      </c>
      <c r="N131" s="99" t="s">
        <v>13398</v>
      </c>
      <c r="O131" s="57"/>
      <c r="P131" s="57"/>
      <c r="Q131" s="57"/>
      <c r="R131" s="57"/>
      <c r="S131" s="57"/>
      <c r="T131" s="57"/>
      <c r="U131" s="57"/>
      <c r="V131" s="57"/>
      <c r="W131" s="57"/>
      <c r="X131" s="57"/>
      <c r="Y131" s="57"/>
      <c r="Z131" s="57"/>
      <c r="AA131" s="57"/>
      <c r="AB131" s="57"/>
      <c r="AC131" s="57"/>
      <c r="AD131" s="57"/>
    </row>
    <row r="132" spans="1:30" ht="13.5" thickBot="1" x14ac:dyDescent="0.25">
      <c r="A132" s="80"/>
      <c r="B132" s="99" t="s">
        <v>13403</v>
      </c>
      <c r="C132" s="99" t="s">
        <v>13771</v>
      </c>
      <c r="D132" s="109" t="s">
        <v>13772</v>
      </c>
      <c r="E132" s="99" t="s">
        <v>13697</v>
      </c>
      <c r="F132" s="99" t="s">
        <v>13473</v>
      </c>
      <c r="G132" s="99" t="s">
        <v>13398</v>
      </c>
      <c r="H132" s="99" t="s">
        <v>13607</v>
      </c>
      <c r="I132" s="109" t="s">
        <v>13773</v>
      </c>
      <c r="J132" s="99" t="s">
        <v>13774</v>
      </c>
      <c r="K132" s="109" t="s">
        <v>13574</v>
      </c>
      <c r="L132" s="99" t="s">
        <v>13470</v>
      </c>
      <c r="M132" s="99" t="s">
        <v>13471</v>
      </c>
      <c r="N132" s="99" t="s">
        <v>13404</v>
      </c>
      <c r="O132" s="57"/>
      <c r="P132" s="57"/>
      <c r="Q132" s="57"/>
      <c r="R132" s="57"/>
      <c r="S132" s="57"/>
      <c r="T132" s="57"/>
      <c r="U132" s="57"/>
      <c r="V132" s="57"/>
      <c r="W132" s="57"/>
      <c r="X132" s="57"/>
      <c r="Y132" s="57"/>
      <c r="Z132" s="57"/>
      <c r="AA132" s="57"/>
      <c r="AB132" s="57"/>
      <c r="AC132" s="57"/>
      <c r="AD132" s="57"/>
    </row>
    <row r="133" spans="1:30" ht="26.25" thickBot="1" x14ac:dyDescent="0.25">
      <c r="A133" s="80"/>
      <c r="B133" s="99" t="s">
        <v>13408</v>
      </c>
      <c r="C133" s="99" t="s">
        <v>13775</v>
      </c>
      <c r="D133" s="99" t="s">
        <v>13672</v>
      </c>
      <c r="E133" s="109" t="s">
        <v>13776</v>
      </c>
      <c r="F133" s="99" t="s">
        <v>13673</v>
      </c>
      <c r="G133" s="109" t="s">
        <v>13777</v>
      </c>
      <c r="H133" s="99" t="s">
        <v>13602</v>
      </c>
      <c r="I133" s="109" t="s">
        <v>13778</v>
      </c>
      <c r="J133" s="99" t="s">
        <v>13500</v>
      </c>
      <c r="K133" s="99" t="s">
        <v>13779</v>
      </c>
      <c r="L133" s="99" t="s">
        <v>13474</v>
      </c>
      <c r="M133" s="99" t="s">
        <v>13461</v>
      </c>
      <c r="N133" s="99" t="s">
        <v>13409</v>
      </c>
      <c r="O133" s="57"/>
      <c r="P133" s="57"/>
      <c r="Q133" s="57"/>
      <c r="R133" s="57"/>
      <c r="S133" s="57"/>
      <c r="T133" s="57"/>
      <c r="U133" s="57"/>
      <c r="V133" s="57"/>
      <c r="W133" s="57"/>
      <c r="X133" s="57"/>
      <c r="Y133" s="57"/>
      <c r="Z133" s="57"/>
      <c r="AA133" s="57"/>
      <c r="AB133" s="57"/>
      <c r="AC133" s="57"/>
      <c r="AD133" s="57"/>
    </row>
    <row r="134" spans="1:30" ht="13.5" thickBot="1" x14ac:dyDescent="0.25">
      <c r="A134" s="80"/>
      <c r="B134" s="99" t="s">
        <v>13413</v>
      </c>
      <c r="C134" s="99" t="s">
        <v>13780</v>
      </c>
      <c r="D134" s="109" t="s">
        <v>13781</v>
      </c>
      <c r="E134" s="109" t="s">
        <v>13782</v>
      </c>
      <c r="F134" s="99" t="s">
        <v>13783</v>
      </c>
      <c r="G134" s="99" t="s">
        <v>13635</v>
      </c>
      <c r="H134" s="99" t="s">
        <v>13784</v>
      </c>
      <c r="I134" s="99" t="s">
        <v>13587</v>
      </c>
      <c r="J134" s="99" t="s">
        <v>13785</v>
      </c>
      <c r="K134" s="99" t="s">
        <v>13786</v>
      </c>
      <c r="L134" s="109" t="s">
        <v>13478</v>
      </c>
      <c r="M134" s="99" t="s">
        <v>13479</v>
      </c>
      <c r="N134" s="99" t="s">
        <v>13414</v>
      </c>
      <c r="O134" s="57"/>
      <c r="P134" s="57"/>
      <c r="Q134" s="57"/>
      <c r="R134" s="57"/>
      <c r="S134" s="57"/>
      <c r="T134" s="57"/>
      <c r="U134" s="57"/>
      <c r="V134" s="57"/>
      <c r="W134" s="57"/>
      <c r="X134" s="57"/>
      <c r="Y134" s="57"/>
      <c r="Z134" s="57"/>
      <c r="AA134" s="57"/>
      <c r="AB134" s="57"/>
      <c r="AC134" s="57"/>
      <c r="AD134" s="57"/>
    </row>
    <row r="135" spans="1:30" ht="13.5" thickBot="1" x14ac:dyDescent="0.25">
      <c r="A135" s="80"/>
      <c r="B135" s="99" t="s">
        <v>13419</v>
      </c>
      <c r="C135" s="99" t="s">
        <v>13787</v>
      </c>
      <c r="D135" s="99" t="s">
        <v>13788</v>
      </c>
      <c r="E135" s="109" t="s">
        <v>13665</v>
      </c>
      <c r="F135" s="99" t="s">
        <v>13789</v>
      </c>
      <c r="G135" s="109" t="s">
        <v>13790</v>
      </c>
      <c r="H135" s="99" t="s">
        <v>13614</v>
      </c>
      <c r="I135" s="109" t="s">
        <v>13663</v>
      </c>
      <c r="J135" s="99" t="s">
        <v>13583</v>
      </c>
      <c r="K135" s="99" t="s">
        <v>13647</v>
      </c>
      <c r="L135" s="99" t="s">
        <v>13483</v>
      </c>
      <c r="M135" s="99" t="s">
        <v>13484</v>
      </c>
      <c r="N135" s="99" t="s">
        <v>13752</v>
      </c>
      <c r="O135" s="57"/>
      <c r="P135" s="57"/>
      <c r="Q135" s="57"/>
      <c r="R135" s="57"/>
      <c r="S135" s="57"/>
      <c r="T135" s="57"/>
      <c r="U135" s="57"/>
      <c r="V135" s="57"/>
      <c r="W135" s="57"/>
      <c r="X135" s="57"/>
      <c r="Y135" s="57"/>
      <c r="Z135" s="57"/>
      <c r="AA135" s="57"/>
      <c r="AB135" s="57"/>
      <c r="AC135" s="57"/>
      <c r="AD135" s="57"/>
    </row>
    <row r="136" spans="1:30" ht="13.5" thickBot="1" x14ac:dyDescent="0.25">
      <c r="A136" s="80"/>
      <c r="B136" s="99" t="s">
        <v>13426</v>
      </c>
      <c r="C136" s="99" t="s">
        <v>13791</v>
      </c>
      <c r="D136" s="99" t="s">
        <v>13621</v>
      </c>
      <c r="E136" s="109" t="s">
        <v>13792</v>
      </c>
      <c r="F136" s="99" t="s">
        <v>13793</v>
      </c>
      <c r="G136" s="109" t="s">
        <v>13794</v>
      </c>
      <c r="H136" s="99" t="s">
        <v>13795</v>
      </c>
      <c r="I136" s="109" t="s">
        <v>13796</v>
      </c>
      <c r="J136" s="99" t="s">
        <v>13558</v>
      </c>
      <c r="K136" s="99" t="s">
        <v>13567</v>
      </c>
      <c r="L136" s="99" t="s">
        <v>13489</v>
      </c>
      <c r="M136" s="99" t="s">
        <v>13490</v>
      </c>
      <c r="N136" s="99" t="s">
        <v>13427</v>
      </c>
      <c r="O136" s="57"/>
      <c r="P136" s="57"/>
      <c r="Q136" s="57"/>
      <c r="R136" s="57"/>
      <c r="S136" s="57"/>
      <c r="T136" s="57"/>
      <c r="U136" s="57"/>
      <c r="V136" s="57"/>
      <c r="W136" s="57"/>
      <c r="X136" s="57"/>
      <c r="Y136" s="57"/>
      <c r="Z136" s="57"/>
      <c r="AA136" s="57"/>
      <c r="AB136" s="57"/>
      <c r="AC136" s="57"/>
      <c r="AD136" s="57"/>
    </row>
    <row r="137" spans="1:30" ht="13.5" thickBot="1" x14ac:dyDescent="0.25">
      <c r="A137" s="80"/>
      <c r="B137" s="110" t="s">
        <v>13432</v>
      </c>
      <c r="C137" s="110" t="s">
        <v>13792</v>
      </c>
      <c r="D137" s="110" t="s">
        <v>13797</v>
      </c>
      <c r="E137" s="111" t="s">
        <v>13561</v>
      </c>
      <c r="F137" s="110" t="s">
        <v>13798</v>
      </c>
      <c r="G137" s="111" t="s">
        <v>13799</v>
      </c>
      <c r="H137" s="110" t="s">
        <v>13503</v>
      </c>
      <c r="I137" s="111" t="s">
        <v>13379</v>
      </c>
      <c r="J137" s="110" t="s">
        <v>13584</v>
      </c>
      <c r="K137" s="110" t="s">
        <v>13800</v>
      </c>
      <c r="L137" s="110" t="s">
        <v>13801</v>
      </c>
      <c r="M137" s="110" t="s">
        <v>13559</v>
      </c>
      <c r="N137" s="110" t="s">
        <v>13421</v>
      </c>
      <c r="O137" s="57"/>
      <c r="P137" s="57"/>
      <c r="Q137" s="57"/>
      <c r="R137" s="57"/>
      <c r="S137" s="57"/>
      <c r="T137" s="57"/>
      <c r="U137" s="57"/>
      <c r="V137" s="57"/>
      <c r="W137" s="57"/>
      <c r="X137" s="57"/>
      <c r="Y137" s="57"/>
      <c r="Z137" s="57"/>
      <c r="AA137" s="57"/>
      <c r="AB137" s="57"/>
      <c r="AC137" s="57"/>
      <c r="AD137" s="57"/>
    </row>
    <row r="138" spans="1:30" ht="13.5" thickBot="1" x14ac:dyDescent="0.25">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c r="AA138" s="57"/>
      <c r="AB138" s="57"/>
      <c r="AC138" s="57"/>
      <c r="AD138" s="57"/>
    </row>
    <row r="139" spans="1:30" ht="13.5" thickBot="1" x14ac:dyDescent="0.25">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c r="AA139" s="57"/>
      <c r="AB139" s="57"/>
      <c r="AC139" s="57"/>
      <c r="AD139" s="57"/>
    </row>
    <row r="140" spans="1:30" ht="13.5" thickBot="1" x14ac:dyDescent="0.25">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c r="AA140" s="57"/>
      <c r="AB140" s="57"/>
      <c r="AC140" s="57"/>
      <c r="AD140" s="57"/>
    </row>
    <row r="141" spans="1:30" ht="13.5" thickBot="1" x14ac:dyDescent="0.25">
      <c r="A141" s="57"/>
      <c r="B141" s="108" t="s">
        <v>13802</v>
      </c>
      <c r="C141" s="88"/>
      <c r="D141" s="88"/>
      <c r="E141" s="88"/>
      <c r="F141" s="88"/>
      <c r="G141" s="88"/>
      <c r="H141" s="88"/>
      <c r="I141" s="88"/>
      <c r="J141" s="88"/>
      <c r="K141" s="88"/>
      <c r="L141" s="88"/>
      <c r="M141" s="88"/>
      <c r="N141" s="88"/>
      <c r="O141" s="57"/>
      <c r="P141" s="57"/>
      <c r="Q141" s="57"/>
      <c r="R141" s="57"/>
      <c r="S141" s="57"/>
      <c r="T141" s="57"/>
      <c r="U141" s="57"/>
      <c r="V141" s="57"/>
      <c r="W141" s="57"/>
      <c r="X141" s="57"/>
      <c r="Y141" s="57"/>
      <c r="Z141" s="57"/>
      <c r="AA141" s="57"/>
      <c r="AB141" s="57"/>
      <c r="AC141" s="57"/>
      <c r="AD141" s="57"/>
    </row>
    <row r="142" spans="1:30" ht="13.5" thickBot="1" x14ac:dyDescent="0.25">
      <c r="A142" s="80"/>
      <c r="B142" s="320"/>
      <c r="C142" s="296" t="s">
        <v>13734</v>
      </c>
      <c r="D142" s="297"/>
      <c r="E142" s="298"/>
      <c r="F142" s="95"/>
      <c r="G142" s="95" t="s">
        <v>13015</v>
      </c>
      <c r="H142" s="96"/>
      <c r="I142" s="296" t="s">
        <v>13735</v>
      </c>
      <c r="J142" s="297"/>
      <c r="K142" s="298"/>
      <c r="L142" s="296" t="s">
        <v>13736</v>
      </c>
      <c r="M142" s="297"/>
      <c r="N142" s="298"/>
      <c r="O142" s="57"/>
      <c r="P142" s="57"/>
      <c r="Q142" s="57"/>
      <c r="R142" s="57"/>
      <c r="S142" s="57"/>
      <c r="T142" s="57"/>
      <c r="U142" s="57"/>
      <c r="V142" s="57"/>
      <c r="W142" s="57"/>
      <c r="X142" s="57"/>
      <c r="Y142" s="57"/>
      <c r="Z142" s="57"/>
      <c r="AA142" s="57"/>
      <c r="AB142" s="57"/>
      <c r="AC142" s="57"/>
      <c r="AD142" s="57"/>
    </row>
    <row r="143" spans="1:30" ht="13.5" thickBot="1" x14ac:dyDescent="0.25">
      <c r="A143" s="80"/>
      <c r="B143" s="321"/>
      <c r="C143" s="99" t="s">
        <v>13737</v>
      </c>
      <c r="D143" s="99" t="s">
        <v>13738</v>
      </c>
      <c r="E143" s="99" t="s">
        <v>13739</v>
      </c>
      <c r="F143" s="99" t="s">
        <v>13737</v>
      </c>
      <c r="G143" s="99" t="s">
        <v>13738</v>
      </c>
      <c r="H143" s="99" t="s">
        <v>13739</v>
      </c>
      <c r="I143" s="99" t="s">
        <v>13737</v>
      </c>
      <c r="J143" s="99" t="s">
        <v>13738</v>
      </c>
      <c r="K143" s="99" t="s">
        <v>13739</v>
      </c>
      <c r="L143" s="99" t="s">
        <v>13737</v>
      </c>
      <c r="M143" s="99" t="s">
        <v>13738</v>
      </c>
      <c r="N143" s="99" t="s">
        <v>13739</v>
      </c>
      <c r="O143" s="57"/>
      <c r="P143" s="57"/>
      <c r="Q143" s="57"/>
      <c r="R143" s="57"/>
      <c r="S143" s="57"/>
      <c r="T143" s="57"/>
      <c r="U143" s="57"/>
      <c r="V143" s="57"/>
      <c r="W143" s="57"/>
      <c r="X143" s="57"/>
      <c r="Y143" s="57"/>
      <c r="Z143" s="57"/>
      <c r="AA143" s="57"/>
      <c r="AB143" s="57"/>
      <c r="AC143" s="57"/>
      <c r="AD143" s="57"/>
    </row>
    <row r="144" spans="1:30" ht="13.5" thickBot="1" x14ac:dyDescent="0.25">
      <c r="A144" s="80"/>
      <c r="B144" s="99" t="s">
        <v>13372</v>
      </c>
      <c r="C144" s="99" t="s">
        <v>13803</v>
      </c>
      <c r="D144" s="99" t="s">
        <v>13450</v>
      </c>
      <c r="E144" s="109" t="s">
        <v>13804</v>
      </c>
      <c r="F144" s="99" t="s">
        <v>13390</v>
      </c>
      <c r="G144" s="109" t="s">
        <v>13805</v>
      </c>
      <c r="H144" s="99" t="s">
        <v>13806</v>
      </c>
      <c r="I144" s="109" t="s">
        <v>13569</v>
      </c>
      <c r="J144" s="99" t="s">
        <v>13807</v>
      </c>
      <c r="K144" s="99" t="s">
        <v>13808</v>
      </c>
      <c r="L144" s="99" t="s">
        <v>13376</v>
      </c>
      <c r="M144" s="99" t="s">
        <v>13376</v>
      </c>
      <c r="N144" s="99" t="s">
        <v>13376</v>
      </c>
      <c r="O144" s="57"/>
      <c r="P144" s="57"/>
      <c r="Q144" s="57"/>
      <c r="R144" s="57"/>
      <c r="S144" s="57"/>
      <c r="T144" s="57"/>
      <c r="U144" s="57"/>
      <c r="V144" s="57"/>
      <c r="W144" s="57"/>
      <c r="X144" s="57"/>
      <c r="Y144" s="57"/>
      <c r="Z144" s="57"/>
      <c r="AA144" s="57"/>
      <c r="AB144" s="57"/>
      <c r="AC144" s="57"/>
      <c r="AD144" s="57"/>
    </row>
    <row r="145" spans="1:30" ht="13.5" thickBot="1" x14ac:dyDescent="0.25">
      <c r="A145" s="80"/>
      <c r="B145" s="99" t="s">
        <v>13378</v>
      </c>
      <c r="C145" s="109" t="s">
        <v>13809</v>
      </c>
      <c r="D145" s="99" t="s">
        <v>13810</v>
      </c>
      <c r="E145" s="99" t="s">
        <v>13811</v>
      </c>
      <c r="F145" s="99" t="s">
        <v>13812</v>
      </c>
      <c r="G145" s="109" t="s">
        <v>13635</v>
      </c>
      <c r="H145" s="99" t="s">
        <v>13813</v>
      </c>
      <c r="I145" s="99" t="s">
        <v>13470</v>
      </c>
      <c r="J145" s="99" t="s">
        <v>13658</v>
      </c>
      <c r="K145" s="109" t="s">
        <v>13814</v>
      </c>
      <c r="L145" s="99" t="s">
        <v>13495</v>
      </c>
      <c r="M145" s="99" t="s">
        <v>13427</v>
      </c>
      <c r="N145" s="99" t="s">
        <v>13382</v>
      </c>
      <c r="O145" s="57"/>
      <c r="P145" s="57"/>
      <c r="Q145" s="57"/>
      <c r="R145" s="57"/>
      <c r="S145" s="57"/>
      <c r="T145" s="57"/>
      <c r="U145" s="57"/>
      <c r="V145" s="57"/>
      <c r="W145" s="57"/>
      <c r="X145" s="57"/>
      <c r="Y145" s="57"/>
      <c r="Z145" s="57"/>
      <c r="AA145" s="57"/>
      <c r="AB145" s="57"/>
      <c r="AC145" s="57"/>
      <c r="AD145" s="57"/>
    </row>
    <row r="146" spans="1:30" ht="13.5" thickBot="1" x14ac:dyDescent="0.25">
      <c r="A146" s="80"/>
      <c r="B146" s="99" t="s">
        <v>13384</v>
      </c>
      <c r="C146" s="109" t="s">
        <v>13497</v>
      </c>
      <c r="D146" s="99" t="s">
        <v>13496</v>
      </c>
      <c r="E146" s="99" t="s">
        <v>13388</v>
      </c>
      <c r="F146" s="99" t="s">
        <v>13380</v>
      </c>
      <c r="G146" s="109">
        <v>1</v>
      </c>
      <c r="H146" s="99" t="s">
        <v>13415</v>
      </c>
      <c r="I146" s="99" t="s">
        <v>13618</v>
      </c>
      <c r="J146" s="99" t="s">
        <v>13815</v>
      </c>
      <c r="K146" s="109" t="s">
        <v>13816</v>
      </c>
      <c r="L146" s="99" t="s">
        <v>13496</v>
      </c>
      <c r="M146" s="99" t="s">
        <v>13497</v>
      </c>
      <c r="N146" s="99" t="s">
        <v>13388</v>
      </c>
      <c r="O146" s="57"/>
      <c r="P146" s="57"/>
      <c r="Q146" s="57"/>
      <c r="R146" s="57"/>
      <c r="S146" s="57"/>
      <c r="T146" s="57"/>
      <c r="U146" s="57"/>
      <c r="V146" s="57"/>
      <c r="W146" s="57"/>
      <c r="X146" s="57"/>
      <c r="Y146" s="57"/>
      <c r="Z146" s="57"/>
      <c r="AA146" s="57"/>
      <c r="AB146" s="57"/>
      <c r="AC146" s="57"/>
      <c r="AD146" s="57"/>
    </row>
    <row r="147" spans="1:30" ht="13.5" thickBot="1" x14ac:dyDescent="0.25">
      <c r="A147" s="80"/>
      <c r="B147" s="99" t="s">
        <v>13391</v>
      </c>
      <c r="C147" s="99" t="s">
        <v>13498</v>
      </c>
      <c r="D147" s="109" t="s">
        <v>13583</v>
      </c>
      <c r="E147" s="99" t="s">
        <v>13450</v>
      </c>
      <c r="F147" s="99" t="s">
        <v>13817</v>
      </c>
      <c r="G147" s="99" t="s">
        <v>13818</v>
      </c>
      <c r="H147" s="99" t="s">
        <v>13638</v>
      </c>
      <c r="I147" s="109" t="s">
        <v>13616</v>
      </c>
      <c r="J147" s="99" t="s">
        <v>13686</v>
      </c>
      <c r="K147" s="109" t="s">
        <v>13819</v>
      </c>
      <c r="L147" s="99" t="s">
        <v>13457</v>
      </c>
      <c r="M147" s="99" t="s">
        <v>13500</v>
      </c>
      <c r="N147" s="99" t="s">
        <v>13395</v>
      </c>
      <c r="O147" s="57"/>
      <c r="P147" s="57"/>
      <c r="Q147" s="57"/>
      <c r="R147" s="57"/>
      <c r="S147" s="57"/>
      <c r="T147" s="57"/>
      <c r="U147" s="57"/>
      <c r="V147" s="57"/>
      <c r="W147" s="57"/>
      <c r="X147" s="57"/>
      <c r="Y147" s="57"/>
      <c r="Z147" s="57"/>
      <c r="AA147" s="57"/>
      <c r="AB147" s="57"/>
      <c r="AC147" s="57"/>
      <c r="AD147" s="57"/>
    </row>
    <row r="148" spans="1:30" ht="13.5" thickBot="1" x14ac:dyDescent="0.25">
      <c r="A148" s="80"/>
      <c r="B148" s="99" t="s">
        <v>13397</v>
      </c>
      <c r="C148" s="99" t="s">
        <v>13757</v>
      </c>
      <c r="D148" s="99" t="s">
        <v>13757</v>
      </c>
      <c r="E148" s="99" t="s">
        <v>13757</v>
      </c>
      <c r="F148" s="99" t="s">
        <v>13820</v>
      </c>
      <c r="G148" s="99" t="s">
        <v>13821</v>
      </c>
      <c r="H148" s="99" t="s">
        <v>13822</v>
      </c>
      <c r="I148" s="99" t="s">
        <v>13823</v>
      </c>
      <c r="J148" s="99" t="s">
        <v>13423</v>
      </c>
      <c r="K148" s="99" t="s">
        <v>13824</v>
      </c>
      <c r="L148" s="99" t="s">
        <v>13502</v>
      </c>
      <c r="M148" s="99" t="s">
        <v>13503</v>
      </c>
      <c r="N148" s="99" t="s">
        <v>13401</v>
      </c>
      <c r="O148" s="57"/>
      <c r="P148" s="57"/>
      <c r="Q148" s="57"/>
      <c r="R148" s="57"/>
      <c r="S148" s="57"/>
      <c r="T148" s="57"/>
      <c r="U148" s="57"/>
      <c r="V148" s="57"/>
      <c r="W148" s="57"/>
      <c r="X148" s="57"/>
      <c r="Y148" s="57"/>
      <c r="Z148" s="57"/>
      <c r="AA148" s="57"/>
      <c r="AB148" s="57"/>
      <c r="AC148" s="57"/>
      <c r="AD148" s="57"/>
    </row>
    <row r="149" spans="1:30" ht="13.5" thickBot="1" x14ac:dyDescent="0.25">
      <c r="A149" s="80"/>
      <c r="B149" s="99" t="s">
        <v>13403</v>
      </c>
      <c r="C149" s="99" t="s">
        <v>13825</v>
      </c>
      <c r="D149" s="99" t="s">
        <v>13826</v>
      </c>
      <c r="E149" s="99" t="s">
        <v>13827</v>
      </c>
      <c r="F149" s="99" t="s">
        <v>13431</v>
      </c>
      <c r="G149" s="109" t="s">
        <v>13828</v>
      </c>
      <c r="H149" s="99" t="s">
        <v>13636</v>
      </c>
      <c r="I149" s="109" t="s">
        <v>13829</v>
      </c>
      <c r="J149" s="99" t="s">
        <v>13830</v>
      </c>
      <c r="K149" s="109" t="s">
        <v>13831</v>
      </c>
      <c r="L149" s="99" t="s">
        <v>13505</v>
      </c>
      <c r="M149" s="99" t="s">
        <v>13506</v>
      </c>
      <c r="N149" s="99" t="s">
        <v>13406</v>
      </c>
      <c r="O149" s="57"/>
      <c r="P149" s="57"/>
      <c r="Q149" s="57"/>
      <c r="R149" s="57"/>
      <c r="S149" s="57"/>
      <c r="T149" s="57"/>
      <c r="U149" s="57"/>
      <c r="V149" s="57"/>
      <c r="W149" s="57"/>
      <c r="X149" s="57"/>
      <c r="Y149" s="57"/>
      <c r="Z149" s="57"/>
      <c r="AA149" s="57"/>
      <c r="AB149" s="57"/>
      <c r="AC149" s="57"/>
      <c r="AD149" s="57"/>
    </row>
    <row r="150" spans="1:30" ht="26.25" thickBot="1" x14ac:dyDescent="0.25">
      <c r="A150" s="80"/>
      <c r="B150" s="99" t="s">
        <v>13408</v>
      </c>
      <c r="C150" s="99" t="s">
        <v>13457</v>
      </c>
      <c r="D150" s="99" t="s">
        <v>13511</v>
      </c>
      <c r="E150" s="99" t="s">
        <v>13832</v>
      </c>
      <c r="F150" s="99" t="s">
        <v>13833</v>
      </c>
      <c r="G150" s="109" t="s">
        <v>13457</v>
      </c>
      <c r="H150" s="99" t="s">
        <v>13834</v>
      </c>
      <c r="I150" s="109" t="s">
        <v>13835</v>
      </c>
      <c r="J150" s="99" t="s">
        <v>13836</v>
      </c>
      <c r="K150" s="109" t="s">
        <v>13837</v>
      </c>
      <c r="L150" s="99" t="s">
        <v>13838</v>
      </c>
      <c r="M150" s="99" t="s">
        <v>13509</v>
      </c>
      <c r="N150" s="99" t="s">
        <v>13412</v>
      </c>
      <c r="O150" s="57"/>
      <c r="P150" s="57"/>
      <c r="Q150" s="57"/>
      <c r="R150" s="57"/>
      <c r="S150" s="57"/>
      <c r="T150" s="57"/>
      <c r="U150" s="57"/>
      <c r="V150" s="57"/>
      <c r="W150" s="57"/>
      <c r="X150" s="57"/>
      <c r="Y150" s="57"/>
      <c r="Z150" s="57"/>
      <c r="AA150" s="57"/>
      <c r="AB150" s="57"/>
      <c r="AC150" s="57"/>
      <c r="AD150" s="57"/>
    </row>
    <row r="151" spans="1:30" ht="13.5" thickBot="1" x14ac:dyDescent="0.25">
      <c r="A151" s="80"/>
      <c r="B151" s="99" t="s">
        <v>13413</v>
      </c>
      <c r="C151" s="99" t="s">
        <v>13839</v>
      </c>
      <c r="D151" s="99" t="s">
        <v>13597</v>
      </c>
      <c r="E151" s="109" t="s">
        <v>13840</v>
      </c>
      <c r="F151" s="99" t="s">
        <v>13493</v>
      </c>
      <c r="G151" s="109" t="s">
        <v>13623</v>
      </c>
      <c r="H151" s="99" t="s">
        <v>13454</v>
      </c>
      <c r="I151" s="109" t="s">
        <v>13691</v>
      </c>
      <c r="J151" s="99" t="s">
        <v>13775</v>
      </c>
      <c r="K151" s="99" t="s">
        <v>13614</v>
      </c>
      <c r="L151" s="99" t="s">
        <v>13512</v>
      </c>
      <c r="M151" s="99" t="s">
        <v>13513</v>
      </c>
      <c r="N151" s="99" t="s">
        <v>13374</v>
      </c>
      <c r="O151" s="57"/>
      <c r="P151" s="57"/>
      <c r="Q151" s="57"/>
      <c r="R151" s="57"/>
      <c r="S151" s="57"/>
      <c r="T151" s="57"/>
      <c r="U151" s="57"/>
      <c r="V151" s="57"/>
      <c r="W151" s="57"/>
      <c r="X151" s="57"/>
      <c r="Y151" s="57"/>
      <c r="Z151" s="57"/>
      <c r="AA151" s="57"/>
      <c r="AB151" s="57"/>
      <c r="AC151" s="57"/>
      <c r="AD151" s="57"/>
    </row>
    <row r="152" spans="1:30" ht="13.5" thickBot="1" x14ac:dyDescent="0.25">
      <c r="A152" s="80"/>
      <c r="B152" s="99" t="s">
        <v>13419</v>
      </c>
      <c r="C152" s="99" t="s">
        <v>13841</v>
      </c>
      <c r="D152" s="109" t="s">
        <v>13532</v>
      </c>
      <c r="E152" s="99" t="s">
        <v>13491</v>
      </c>
      <c r="F152" s="99" t="s">
        <v>13842</v>
      </c>
      <c r="G152" s="99" t="s">
        <v>13843</v>
      </c>
      <c r="H152" s="99" t="s">
        <v>13844</v>
      </c>
      <c r="I152" s="109" t="s">
        <v>13781</v>
      </c>
      <c r="J152" s="99" t="s">
        <v>13845</v>
      </c>
      <c r="K152" s="109" t="s">
        <v>13457</v>
      </c>
      <c r="L152" s="99" t="s">
        <v>13514</v>
      </c>
      <c r="M152" s="99" t="s">
        <v>13515</v>
      </c>
      <c r="N152" s="99" t="s">
        <v>13423</v>
      </c>
      <c r="O152" s="57"/>
      <c r="P152" s="57"/>
      <c r="Q152" s="57"/>
      <c r="R152" s="57"/>
      <c r="S152" s="57"/>
      <c r="T152" s="57"/>
      <c r="U152" s="57"/>
      <c r="V152" s="57"/>
      <c r="W152" s="57"/>
      <c r="X152" s="57"/>
      <c r="Y152" s="57"/>
      <c r="Z152" s="57"/>
      <c r="AA152" s="57"/>
      <c r="AB152" s="57"/>
      <c r="AC152" s="57"/>
      <c r="AD152" s="57"/>
    </row>
    <row r="153" spans="1:30" ht="13.5" thickBot="1" x14ac:dyDescent="0.25">
      <c r="A153" s="80"/>
      <c r="B153" s="99" t="s">
        <v>13426</v>
      </c>
      <c r="C153" s="99" t="s">
        <v>13846</v>
      </c>
      <c r="D153" s="99" t="s">
        <v>13847</v>
      </c>
      <c r="E153" s="99" t="s">
        <v>13839</v>
      </c>
      <c r="F153" s="99" t="s">
        <v>13848</v>
      </c>
      <c r="G153" s="109" t="s">
        <v>13525</v>
      </c>
      <c r="H153" s="99" t="s">
        <v>13849</v>
      </c>
      <c r="I153" s="109" t="s">
        <v>13850</v>
      </c>
      <c r="J153" s="99" t="s">
        <v>13851</v>
      </c>
      <c r="K153" s="109" t="s">
        <v>13852</v>
      </c>
      <c r="L153" s="99" t="s">
        <v>13518</v>
      </c>
      <c r="M153" s="99" t="s">
        <v>13519</v>
      </c>
      <c r="N153" s="99" t="s">
        <v>13430</v>
      </c>
      <c r="O153" s="57"/>
      <c r="P153" s="57"/>
      <c r="Q153" s="57"/>
      <c r="R153" s="57"/>
      <c r="S153" s="57"/>
      <c r="T153" s="57"/>
      <c r="U153" s="57"/>
      <c r="V153" s="57"/>
      <c r="W153" s="57"/>
      <c r="X153" s="57"/>
      <c r="Y153" s="57"/>
      <c r="Z153" s="57"/>
      <c r="AA153" s="57"/>
      <c r="AB153" s="57"/>
      <c r="AC153" s="57"/>
      <c r="AD153" s="57"/>
    </row>
    <row r="154" spans="1:30" ht="13.5" thickBot="1" x14ac:dyDescent="0.25">
      <c r="A154" s="80"/>
      <c r="B154" s="112" t="s">
        <v>13432</v>
      </c>
      <c r="C154" s="112" t="s">
        <v>13853</v>
      </c>
      <c r="D154" s="112" t="s">
        <v>13854</v>
      </c>
      <c r="E154" s="112" t="s">
        <v>13604</v>
      </c>
      <c r="F154" s="112" t="s">
        <v>13855</v>
      </c>
      <c r="G154" s="113" t="s">
        <v>13823</v>
      </c>
      <c r="H154" s="112" t="s">
        <v>13713</v>
      </c>
      <c r="I154" s="113" t="s">
        <v>13856</v>
      </c>
      <c r="J154" s="112" t="s">
        <v>13597</v>
      </c>
      <c r="K154" s="113" t="s">
        <v>13857</v>
      </c>
      <c r="L154" s="112" t="s">
        <v>13858</v>
      </c>
      <c r="M154" s="112" t="s">
        <v>13859</v>
      </c>
      <c r="N154" s="112" t="s">
        <v>13435</v>
      </c>
      <c r="O154" s="57"/>
      <c r="P154" s="57"/>
      <c r="Q154" s="57"/>
      <c r="R154" s="57"/>
      <c r="S154" s="57"/>
      <c r="T154" s="57"/>
      <c r="U154" s="57"/>
      <c r="V154" s="57"/>
      <c r="W154" s="57"/>
      <c r="X154" s="57"/>
      <c r="Y154" s="57"/>
      <c r="Z154" s="57"/>
      <c r="AA154" s="57"/>
      <c r="AB154" s="57"/>
      <c r="AC154" s="57"/>
      <c r="AD154" s="57"/>
    </row>
    <row r="155" spans="1:30" ht="13.5" thickBot="1" x14ac:dyDescent="0.25">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c r="AA155" s="57"/>
      <c r="AB155" s="57"/>
      <c r="AC155" s="57"/>
      <c r="AD155" s="57"/>
    </row>
    <row r="156" spans="1:30" ht="13.5" thickBot="1" x14ac:dyDescent="0.25">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c r="AA156" s="57"/>
      <c r="AB156" s="57"/>
      <c r="AC156" s="57"/>
      <c r="AD156" s="57"/>
    </row>
    <row r="157" spans="1:30" ht="13.5" thickBot="1" x14ac:dyDescent="0.25">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c r="AA157" s="57"/>
      <c r="AB157" s="57"/>
      <c r="AC157" s="57"/>
      <c r="AD157" s="57"/>
    </row>
    <row r="158" spans="1:30" ht="13.5" thickBot="1" x14ac:dyDescent="0.25">
      <c r="A158" s="57"/>
      <c r="B158" s="77" t="s">
        <v>5087</v>
      </c>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c r="AA158" s="57"/>
      <c r="AB158" s="57"/>
      <c r="AC158" s="57"/>
      <c r="AD158" s="57"/>
    </row>
    <row r="159" spans="1:30" ht="13.5" thickBot="1" x14ac:dyDescent="0.25">
      <c r="A159" s="57"/>
      <c r="B159" s="114" t="s">
        <v>13860</v>
      </c>
      <c r="C159" s="115"/>
      <c r="D159" s="115"/>
      <c r="E159" s="115"/>
      <c r="F159" s="115"/>
      <c r="G159" s="115"/>
      <c r="H159" s="115"/>
      <c r="I159" s="115"/>
      <c r="J159" s="115"/>
      <c r="K159" s="115"/>
      <c r="L159" s="115"/>
      <c r="M159" s="115"/>
      <c r="N159" s="115"/>
      <c r="O159" s="57"/>
      <c r="P159" s="57"/>
      <c r="Q159" s="57"/>
      <c r="R159" s="57"/>
      <c r="S159" s="57"/>
      <c r="T159" s="57"/>
      <c r="U159" s="57"/>
      <c r="V159" s="57"/>
      <c r="W159" s="57"/>
      <c r="X159" s="57"/>
      <c r="Y159" s="57"/>
      <c r="Z159" s="57"/>
      <c r="AA159" s="57"/>
      <c r="AB159" s="57"/>
      <c r="AC159" s="57"/>
      <c r="AD159" s="57"/>
    </row>
    <row r="160" spans="1:30" ht="13.5" thickBot="1" x14ac:dyDescent="0.25">
      <c r="A160" s="116"/>
      <c r="B160" s="312" t="s">
        <v>13368</v>
      </c>
      <c r="C160" s="117"/>
      <c r="D160" s="323" t="s">
        <v>12905</v>
      </c>
      <c r="E160" s="324"/>
      <c r="F160" s="118"/>
      <c r="G160" s="117"/>
      <c r="H160" s="323" t="s">
        <v>13861</v>
      </c>
      <c r="I160" s="324"/>
      <c r="J160" s="118"/>
      <c r="K160" s="117"/>
      <c r="L160" s="325" t="s">
        <v>13079</v>
      </c>
      <c r="M160" s="326"/>
      <c r="N160" s="118"/>
      <c r="O160" s="57"/>
      <c r="P160" s="57"/>
      <c r="Q160" s="57"/>
      <c r="R160" s="57"/>
      <c r="S160" s="57"/>
      <c r="T160" s="57"/>
      <c r="U160" s="57"/>
      <c r="V160" s="57"/>
      <c r="W160" s="57"/>
      <c r="X160" s="57"/>
      <c r="Y160" s="57"/>
      <c r="Z160" s="57"/>
      <c r="AA160" s="57"/>
      <c r="AB160" s="57"/>
      <c r="AC160" s="57"/>
      <c r="AD160" s="57"/>
    </row>
    <row r="161" spans="1:30" ht="13.5" thickBot="1" x14ac:dyDescent="0.25">
      <c r="A161" s="116"/>
      <c r="B161" s="313"/>
      <c r="C161" s="118" t="s">
        <v>13442</v>
      </c>
      <c r="D161" s="118" t="s">
        <v>13443</v>
      </c>
      <c r="E161" s="119" t="s">
        <v>13739</v>
      </c>
      <c r="F161" s="118" t="s">
        <v>13862</v>
      </c>
      <c r="G161" s="118" t="s">
        <v>13442</v>
      </c>
      <c r="H161" s="118" t="s">
        <v>13443</v>
      </c>
      <c r="I161" s="119" t="s">
        <v>13739</v>
      </c>
      <c r="J161" s="118" t="s">
        <v>13862</v>
      </c>
      <c r="K161" s="118" t="s">
        <v>13442</v>
      </c>
      <c r="L161" s="118" t="s">
        <v>13443</v>
      </c>
      <c r="M161" s="119" t="s">
        <v>13739</v>
      </c>
      <c r="N161" s="118" t="s">
        <v>13862</v>
      </c>
      <c r="O161" s="57"/>
      <c r="P161" s="57"/>
      <c r="Q161" s="57"/>
      <c r="R161" s="57"/>
      <c r="S161" s="57"/>
      <c r="T161" s="57"/>
      <c r="U161" s="57"/>
      <c r="V161" s="57"/>
      <c r="W161" s="57"/>
      <c r="X161" s="57"/>
      <c r="Y161" s="57"/>
      <c r="Z161" s="57"/>
      <c r="AA161" s="57"/>
      <c r="AB161" s="57"/>
      <c r="AC161" s="57"/>
      <c r="AD161" s="57"/>
    </row>
    <row r="162" spans="1:30" ht="13.5" thickBot="1" x14ac:dyDescent="0.25">
      <c r="A162" s="116"/>
      <c r="B162" s="119" t="s">
        <v>13372</v>
      </c>
      <c r="C162" s="119" t="s">
        <v>13545</v>
      </c>
      <c r="D162" s="119" t="s">
        <v>13863</v>
      </c>
      <c r="E162" s="118" t="s">
        <v>13795</v>
      </c>
      <c r="F162" s="119" t="s">
        <v>13693</v>
      </c>
      <c r="G162" s="119" t="s">
        <v>13864</v>
      </c>
      <c r="H162" s="119" t="s">
        <v>13393</v>
      </c>
      <c r="I162" s="118" t="s">
        <v>13865</v>
      </c>
      <c r="J162" s="119" t="s">
        <v>13866</v>
      </c>
      <c r="K162" s="119" t="s">
        <v>13867</v>
      </c>
      <c r="L162" s="119" t="s">
        <v>13868</v>
      </c>
      <c r="M162" s="118" t="s">
        <v>13869</v>
      </c>
      <c r="N162" s="119" t="s">
        <v>13591</v>
      </c>
      <c r="O162" s="57"/>
      <c r="P162" s="57"/>
      <c r="Q162" s="57"/>
      <c r="R162" s="57"/>
      <c r="S162" s="57"/>
      <c r="T162" s="57"/>
      <c r="U162" s="57"/>
      <c r="V162" s="57"/>
      <c r="W162" s="57"/>
      <c r="X162" s="57"/>
      <c r="Y162" s="57"/>
      <c r="Z162" s="57"/>
      <c r="AA162" s="57"/>
      <c r="AB162" s="57"/>
      <c r="AC162" s="57"/>
      <c r="AD162" s="57"/>
    </row>
    <row r="163" spans="1:30" ht="13.5" thickBot="1" x14ac:dyDescent="0.25">
      <c r="A163" s="116"/>
      <c r="B163" s="119" t="s">
        <v>13413</v>
      </c>
      <c r="C163" s="119" t="s">
        <v>13870</v>
      </c>
      <c r="D163" s="119" t="s">
        <v>13544</v>
      </c>
      <c r="E163" s="118" t="s">
        <v>13814</v>
      </c>
      <c r="F163" s="119" t="s">
        <v>13617</v>
      </c>
      <c r="G163" s="119" t="s">
        <v>13871</v>
      </c>
      <c r="H163" s="119" t="s">
        <v>13872</v>
      </c>
      <c r="I163" s="118" t="s">
        <v>13655</v>
      </c>
      <c r="J163" s="119" t="s">
        <v>13873</v>
      </c>
      <c r="K163" s="119" t="s">
        <v>13874</v>
      </c>
      <c r="L163" s="119" t="s">
        <v>13596</v>
      </c>
      <c r="M163" s="118" t="s">
        <v>13875</v>
      </c>
      <c r="N163" s="119" t="s">
        <v>13680</v>
      </c>
      <c r="O163" s="57"/>
      <c r="P163" s="57"/>
      <c r="Q163" s="57"/>
      <c r="R163" s="57"/>
      <c r="S163" s="57"/>
      <c r="T163" s="57"/>
      <c r="U163" s="57"/>
      <c r="V163" s="57"/>
      <c r="W163" s="57"/>
      <c r="X163" s="57"/>
      <c r="Y163" s="57"/>
      <c r="Z163" s="57"/>
      <c r="AA163" s="57"/>
      <c r="AB163" s="57"/>
      <c r="AC163" s="57"/>
      <c r="AD163" s="57"/>
    </row>
    <row r="164" spans="1:30" ht="13.5" thickBot="1" x14ac:dyDescent="0.25">
      <c r="A164" s="116"/>
      <c r="B164" s="119" t="s">
        <v>13378</v>
      </c>
      <c r="C164" s="119" t="s">
        <v>13876</v>
      </c>
      <c r="D164" s="119" t="s">
        <v>13877</v>
      </c>
      <c r="E164" s="118" t="s">
        <v>13878</v>
      </c>
      <c r="F164" s="119" t="s">
        <v>13661</v>
      </c>
      <c r="G164" s="119" t="s">
        <v>13640</v>
      </c>
      <c r="H164" s="119" t="s">
        <v>13879</v>
      </c>
      <c r="I164" s="118" t="s">
        <v>13878</v>
      </c>
      <c r="J164" s="119" t="s">
        <v>13880</v>
      </c>
      <c r="K164" s="119" t="s">
        <v>13881</v>
      </c>
      <c r="L164" s="119" t="s">
        <v>13882</v>
      </c>
      <c r="M164" s="118" t="s">
        <v>13883</v>
      </c>
      <c r="N164" s="119" t="s">
        <v>13832</v>
      </c>
      <c r="O164" s="57"/>
      <c r="P164" s="57"/>
      <c r="Q164" s="57"/>
      <c r="R164" s="57"/>
      <c r="S164" s="57"/>
      <c r="T164" s="57"/>
      <c r="U164" s="57"/>
      <c r="V164" s="57"/>
      <c r="W164" s="57"/>
      <c r="X164" s="57"/>
      <c r="Y164" s="57"/>
      <c r="Z164" s="57"/>
      <c r="AA164" s="57"/>
      <c r="AB164" s="57"/>
      <c r="AC164" s="57"/>
      <c r="AD164" s="57"/>
    </row>
    <row r="165" spans="1:30" ht="13.5" thickBot="1" x14ac:dyDescent="0.25">
      <c r="A165" s="116"/>
      <c r="B165" s="119" t="s">
        <v>13384</v>
      </c>
      <c r="C165" s="119" t="s">
        <v>13816</v>
      </c>
      <c r="D165" s="119" t="s">
        <v>13835</v>
      </c>
      <c r="E165" s="118" t="s">
        <v>13884</v>
      </c>
      <c r="F165" s="119" t="s">
        <v>13885</v>
      </c>
      <c r="G165" s="119" t="s">
        <v>13788</v>
      </c>
      <c r="H165" s="119" t="s">
        <v>13453</v>
      </c>
      <c r="I165" s="118" t="s">
        <v>13886</v>
      </c>
      <c r="J165" s="119" t="s">
        <v>13714</v>
      </c>
      <c r="K165" s="119" t="s">
        <v>13887</v>
      </c>
      <c r="L165" s="119" t="s">
        <v>13485</v>
      </c>
      <c r="M165" s="118" t="s">
        <v>13480</v>
      </c>
      <c r="N165" s="119" t="s">
        <v>13888</v>
      </c>
      <c r="O165" s="57"/>
      <c r="P165" s="57"/>
      <c r="Q165" s="57"/>
      <c r="R165" s="57"/>
      <c r="S165" s="57"/>
      <c r="T165" s="57"/>
      <c r="U165" s="57"/>
      <c r="V165" s="57"/>
      <c r="W165" s="57"/>
      <c r="X165" s="57"/>
      <c r="Y165" s="57"/>
      <c r="Z165" s="57"/>
      <c r="AA165" s="57"/>
      <c r="AB165" s="57"/>
      <c r="AC165" s="57"/>
      <c r="AD165" s="57"/>
    </row>
    <row r="166" spans="1:30" ht="13.5" thickBot="1" x14ac:dyDescent="0.25">
      <c r="A166" s="116"/>
      <c r="B166" s="119" t="s">
        <v>13391</v>
      </c>
      <c r="C166" s="119" t="s">
        <v>13889</v>
      </c>
      <c r="D166" s="119" t="s">
        <v>13600</v>
      </c>
      <c r="E166" s="118" t="s">
        <v>13769</v>
      </c>
      <c r="F166" s="119" t="s">
        <v>13890</v>
      </c>
      <c r="G166" s="119" t="s">
        <v>13891</v>
      </c>
      <c r="H166" s="119" t="s">
        <v>13892</v>
      </c>
      <c r="I166" s="118" t="s">
        <v>13696</v>
      </c>
      <c r="J166" s="119" t="s">
        <v>13705</v>
      </c>
      <c r="K166" s="119" t="s">
        <v>13893</v>
      </c>
      <c r="L166" s="119" t="s">
        <v>13894</v>
      </c>
      <c r="M166" s="118" t="s">
        <v>13895</v>
      </c>
      <c r="N166" s="119" t="s">
        <v>13896</v>
      </c>
      <c r="O166" s="57"/>
      <c r="P166" s="57"/>
      <c r="Q166" s="57"/>
      <c r="R166" s="57"/>
      <c r="S166" s="57"/>
      <c r="T166" s="57"/>
      <c r="U166" s="57"/>
      <c r="V166" s="57"/>
      <c r="W166" s="57"/>
      <c r="X166" s="57"/>
      <c r="Y166" s="57"/>
      <c r="Z166" s="57"/>
      <c r="AA166" s="57"/>
      <c r="AB166" s="57"/>
      <c r="AC166" s="57"/>
      <c r="AD166" s="57"/>
    </row>
    <row r="167" spans="1:30" ht="13.5" thickBot="1" x14ac:dyDescent="0.25">
      <c r="A167" s="116"/>
      <c r="B167" s="119" t="s">
        <v>13397</v>
      </c>
      <c r="C167" s="119" t="s">
        <v>13897</v>
      </c>
      <c r="D167" s="119" t="s">
        <v>13898</v>
      </c>
      <c r="E167" s="118" t="s">
        <v>13743</v>
      </c>
      <c r="F167" s="119" t="s">
        <v>13899</v>
      </c>
      <c r="G167" s="119" t="s">
        <v>13879</v>
      </c>
      <c r="H167" s="119" t="s">
        <v>13764</v>
      </c>
      <c r="I167" s="118" t="s">
        <v>13870</v>
      </c>
      <c r="J167" s="119" t="s">
        <v>13900</v>
      </c>
      <c r="K167" s="119" t="s">
        <v>13901</v>
      </c>
      <c r="L167" s="119" t="s">
        <v>13874</v>
      </c>
      <c r="M167" s="118" t="s">
        <v>13743</v>
      </c>
      <c r="N167" s="119" t="s">
        <v>13894</v>
      </c>
      <c r="O167" s="57"/>
      <c r="P167" s="57"/>
      <c r="Q167" s="57"/>
      <c r="R167" s="57"/>
      <c r="S167" s="57"/>
      <c r="T167" s="57"/>
      <c r="U167" s="57"/>
      <c r="V167" s="57"/>
      <c r="W167" s="57"/>
      <c r="X167" s="57"/>
      <c r="Y167" s="57"/>
      <c r="Z167" s="57"/>
      <c r="AA167" s="57"/>
      <c r="AB167" s="57"/>
      <c r="AC167" s="57"/>
      <c r="AD167" s="57"/>
    </row>
    <row r="168" spans="1:30" ht="13.5" thickBot="1" x14ac:dyDescent="0.25">
      <c r="A168" s="116"/>
      <c r="B168" s="119" t="s">
        <v>13403</v>
      </c>
      <c r="C168" s="119" t="s">
        <v>13716</v>
      </c>
      <c r="D168" s="119" t="s">
        <v>13508</v>
      </c>
      <c r="E168" s="118" t="s">
        <v>13804</v>
      </c>
      <c r="F168" s="119" t="s">
        <v>13851</v>
      </c>
      <c r="G168" s="119" t="s">
        <v>13902</v>
      </c>
      <c r="H168" s="119" t="s">
        <v>13903</v>
      </c>
      <c r="I168" s="118" t="s">
        <v>13904</v>
      </c>
      <c r="J168" s="119" t="s">
        <v>13866</v>
      </c>
      <c r="K168" s="119" t="s">
        <v>13709</v>
      </c>
      <c r="L168" s="119" t="s">
        <v>13905</v>
      </c>
      <c r="M168" s="118" t="s">
        <v>13682</v>
      </c>
      <c r="N168" s="119" t="s">
        <v>13906</v>
      </c>
      <c r="O168" s="57"/>
      <c r="P168" s="57"/>
      <c r="Q168" s="57"/>
      <c r="R168" s="57"/>
      <c r="S168" s="57"/>
      <c r="T168" s="57"/>
      <c r="U168" s="57"/>
      <c r="V168" s="57"/>
      <c r="W168" s="57"/>
      <c r="X168" s="57"/>
      <c r="Y168" s="57"/>
      <c r="Z168" s="57"/>
      <c r="AA168" s="57"/>
      <c r="AB168" s="57"/>
      <c r="AC168" s="57"/>
      <c r="AD168" s="57"/>
    </row>
    <row r="169" spans="1:30" ht="26.25" thickBot="1" x14ac:dyDescent="0.25">
      <c r="A169" s="116"/>
      <c r="B169" s="119" t="s">
        <v>13408</v>
      </c>
      <c r="C169" s="119" t="s">
        <v>13671</v>
      </c>
      <c r="D169" s="119" t="s">
        <v>13907</v>
      </c>
      <c r="E169" s="118" t="s">
        <v>13908</v>
      </c>
      <c r="F169" s="119" t="s">
        <v>13853</v>
      </c>
      <c r="G169" s="119" t="s">
        <v>13593</v>
      </c>
      <c r="H169" s="119" t="s">
        <v>13909</v>
      </c>
      <c r="I169" s="118" t="s">
        <v>13910</v>
      </c>
      <c r="J169" s="119" t="s">
        <v>13911</v>
      </c>
      <c r="K169" s="119" t="s">
        <v>13621</v>
      </c>
      <c r="L169" s="119" t="s">
        <v>13844</v>
      </c>
      <c r="M169" s="118" t="s">
        <v>13813</v>
      </c>
      <c r="N169" s="119" t="s">
        <v>13680</v>
      </c>
      <c r="O169" s="57"/>
      <c r="P169" s="57"/>
      <c r="Q169" s="57"/>
      <c r="R169" s="57"/>
      <c r="S169" s="57"/>
      <c r="T169" s="57"/>
      <c r="U169" s="57"/>
      <c r="V169" s="57"/>
      <c r="W169" s="57"/>
      <c r="X169" s="57"/>
      <c r="Y169" s="57"/>
      <c r="Z169" s="57"/>
      <c r="AA169" s="57"/>
      <c r="AB169" s="57"/>
      <c r="AC169" s="57"/>
      <c r="AD169" s="57"/>
    </row>
    <row r="170" spans="1:30" ht="13.5" thickBot="1" x14ac:dyDescent="0.25">
      <c r="A170" s="116"/>
      <c r="B170" s="119" t="s">
        <v>13419</v>
      </c>
      <c r="C170" s="119" t="s">
        <v>13912</v>
      </c>
      <c r="D170" s="119" t="s">
        <v>13574</v>
      </c>
      <c r="E170" s="118" t="s">
        <v>13876</v>
      </c>
      <c r="F170" s="119" t="s">
        <v>13812</v>
      </c>
      <c r="G170" s="119" t="s">
        <v>13913</v>
      </c>
      <c r="H170" s="119" t="s">
        <v>13886</v>
      </c>
      <c r="I170" s="118" t="s">
        <v>13605</v>
      </c>
      <c r="J170" s="119" t="s">
        <v>13914</v>
      </c>
      <c r="K170" s="119" t="s">
        <v>13915</v>
      </c>
      <c r="L170" s="119" t="s">
        <v>13916</v>
      </c>
      <c r="M170" s="118" t="s">
        <v>13889</v>
      </c>
      <c r="N170" s="119" t="s">
        <v>13917</v>
      </c>
      <c r="O170" s="57"/>
      <c r="P170" s="57"/>
      <c r="Q170" s="57"/>
      <c r="R170" s="57"/>
      <c r="S170" s="57"/>
      <c r="T170" s="57"/>
      <c r="U170" s="57"/>
      <c r="V170" s="57"/>
      <c r="W170" s="57"/>
      <c r="X170" s="57"/>
      <c r="Y170" s="57"/>
      <c r="Z170" s="57"/>
      <c r="AA170" s="57"/>
      <c r="AB170" s="57"/>
      <c r="AC170" s="57"/>
      <c r="AD170" s="57"/>
    </row>
    <row r="171" spans="1:30" ht="13.5" thickBot="1" x14ac:dyDescent="0.25">
      <c r="A171" s="116"/>
      <c r="B171" s="120" t="s">
        <v>13517</v>
      </c>
      <c r="C171" s="120" t="s">
        <v>13918</v>
      </c>
      <c r="D171" s="120" t="s">
        <v>13810</v>
      </c>
      <c r="E171" s="121" t="s">
        <v>13919</v>
      </c>
      <c r="F171" s="120" t="s">
        <v>13920</v>
      </c>
      <c r="G171" s="120" t="s">
        <v>13895</v>
      </c>
      <c r="H171" s="120" t="s">
        <v>13745</v>
      </c>
      <c r="I171" s="121" t="s">
        <v>13818</v>
      </c>
      <c r="J171" s="120" t="s">
        <v>13650</v>
      </c>
      <c r="K171" s="120" t="s">
        <v>13857</v>
      </c>
      <c r="L171" s="120" t="s">
        <v>13921</v>
      </c>
      <c r="M171" s="121" t="s">
        <v>13495</v>
      </c>
      <c r="N171" s="120" t="s">
        <v>13922</v>
      </c>
      <c r="O171" s="57"/>
      <c r="P171" s="57"/>
      <c r="Q171" s="57"/>
      <c r="R171" s="57"/>
      <c r="S171" s="57"/>
      <c r="T171" s="57"/>
      <c r="U171" s="57"/>
      <c r="V171" s="57"/>
      <c r="W171" s="57"/>
      <c r="X171" s="57"/>
      <c r="Y171" s="57"/>
      <c r="Z171" s="57"/>
      <c r="AA171" s="57"/>
      <c r="AB171" s="57"/>
      <c r="AC171" s="57"/>
      <c r="AD171" s="57"/>
    </row>
    <row r="172" spans="1:30" ht="26.25" thickBot="1" x14ac:dyDescent="0.25">
      <c r="A172" s="80"/>
      <c r="B172" s="122" t="s">
        <v>13923</v>
      </c>
      <c r="C172" s="123" t="s">
        <v>13924</v>
      </c>
      <c r="D172" s="123" t="s">
        <v>13925</v>
      </c>
      <c r="E172" s="123" t="s">
        <v>13926</v>
      </c>
      <c r="F172" s="123" t="s">
        <v>13927</v>
      </c>
      <c r="G172" s="123" t="s">
        <v>13928</v>
      </c>
      <c r="H172" s="123" t="s">
        <v>13929</v>
      </c>
      <c r="I172" s="123" t="s">
        <v>13930</v>
      </c>
      <c r="J172" s="123" t="s">
        <v>13931</v>
      </c>
      <c r="K172" s="123" t="s">
        <v>13932</v>
      </c>
      <c r="L172" s="123" t="s">
        <v>13933</v>
      </c>
      <c r="M172" s="123" t="s">
        <v>13934</v>
      </c>
      <c r="N172" s="123" t="s">
        <v>13935</v>
      </c>
      <c r="O172" s="57"/>
      <c r="P172" s="57"/>
      <c r="Q172" s="57"/>
      <c r="R172" s="57"/>
      <c r="S172" s="57"/>
      <c r="T172" s="57"/>
      <c r="U172" s="57"/>
      <c r="V172" s="57"/>
      <c r="W172" s="57"/>
      <c r="X172" s="57"/>
      <c r="Y172" s="57"/>
      <c r="Z172" s="57"/>
      <c r="AA172" s="57"/>
      <c r="AB172" s="57"/>
      <c r="AC172" s="57"/>
      <c r="AD172" s="57"/>
    </row>
    <row r="173" spans="1:30" ht="13.5" thickBot="1" x14ac:dyDescent="0.25">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c r="AA173" s="57"/>
      <c r="AB173" s="57"/>
      <c r="AC173" s="57"/>
      <c r="AD173" s="57"/>
    </row>
    <row r="174" spans="1:30" ht="13.5" thickBot="1" x14ac:dyDescent="0.25">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c r="AA174" s="57"/>
      <c r="AB174" s="57"/>
      <c r="AC174" s="57"/>
      <c r="AD174" s="57"/>
    </row>
    <row r="175" spans="1:30" ht="13.5" thickBot="1" x14ac:dyDescent="0.25">
      <c r="A175" s="57"/>
      <c r="B175" s="114" t="s">
        <v>13936</v>
      </c>
      <c r="C175" s="115"/>
      <c r="D175" s="115"/>
      <c r="E175" s="115"/>
      <c r="F175" s="115"/>
      <c r="G175" s="115"/>
      <c r="H175" s="115"/>
      <c r="I175" s="115"/>
      <c r="J175" s="115"/>
      <c r="K175" s="57"/>
      <c r="L175" s="114" t="s">
        <v>13937</v>
      </c>
      <c r="M175" s="115"/>
      <c r="N175" s="115"/>
      <c r="O175" s="57"/>
      <c r="P175" s="57"/>
      <c r="Q175" s="57"/>
      <c r="R175" s="57"/>
      <c r="S175" s="57"/>
      <c r="T175" s="57"/>
      <c r="U175" s="57"/>
      <c r="V175" s="57"/>
      <c r="W175" s="57"/>
      <c r="X175" s="57"/>
      <c r="Y175" s="57"/>
      <c r="Z175" s="57"/>
      <c r="AA175" s="57"/>
      <c r="AB175" s="57"/>
      <c r="AC175" s="57"/>
      <c r="AD175" s="57"/>
    </row>
    <row r="176" spans="1:30" ht="26.25" thickBot="1" x14ac:dyDescent="0.25">
      <c r="A176" s="116"/>
      <c r="B176" s="312" t="s">
        <v>13368</v>
      </c>
      <c r="C176" s="314" t="s">
        <v>13938</v>
      </c>
      <c r="D176" s="315"/>
      <c r="E176" s="315"/>
      <c r="F176" s="316"/>
      <c r="G176" s="314" t="s">
        <v>13939</v>
      </c>
      <c r="H176" s="315"/>
      <c r="I176" s="315"/>
      <c r="J176" s="316"/>
      <c r="K176" s="116"/>
      <c r="L176" s="119" t="s">
        <v>13368</v>
      </c>
      <c r="M176" s="118" t="s">
        <v>13940</v>
      </c>
      <c r="N176" s="118" t="s">
        <v>13941</v>
      </c>
      <c r="O176" s="57"/>
      <c r="P176" s="57"/>
      <c r="Q176" s="57"/>
      <c r="R176" s="57"/>
      <c r="S176" s="57"/>
      <c r="T176" s="57"/>
      <c r="U176" s="57"/>
      <c r="V176" s="57"/>
      <c r="W176" s="57"/>
      <c r="X176" s="57"/>
      <c r="Y176" s="57"/>
      <c r="Z176" s="57"/>
      <c r="AA176" s="57"/>
      <c r="AB176" s="57"/>
      <c r="AC176" s="57"/>
      <c r="AD176" s="57"/>
    </row>
    <row r="177" spans="1:30" ht="13.5" thickBot="1" x14ac:dyDescent="0.25">
      <c r="A177" s="116"/>
      <c r="B177" s="313"/>
      <c r="C177" s="119" t="s">
        <v>13279</v>
      </c>
      <c r="D177" s="118" t="s">
        <v>13281</v>
      </c>
      <c r="E177" s="118" t="s">
        <v>13739</v>
      </c>
      <c r="F177" s="118" t="s">
        <v>13276</v>
      </c>
      <c r="G177" s="119" t="s">
        <v>13279</v>
      </c>
      <c r="H177" s="118" t="s">
        <v>13281</v>
      </c>
      <c r="I177" s="118" t="s">
        <v>13739</v>
      </c>
      <c r="J177" s="118" t="s">
        <v>13276</v>
      </c>
      <c r="K177" s="116"/>
      <c r="L177" s="119" t="s">
        <v>13372</v>
      </c>
      <c r="M177" s="119" t="s">
        <v>13795</v>
      </c>
      <c r="N177" s="119" t="s">
        <v>13942</v>
      </c>
      <c r="O177" s="57"/>
      <c r="P177" s="57"/>
      <c r="Q177" s="57"/>
      <c r="R177" s="57"/>
      <c r="S177" s="57"/>
      <c r="T177" s="57"/>
      <c r="U177" s="57"/>
      <c r="V177" s="57"/>
      <c r="W177" s="57"/>
      <c r="X177" s="57"/>
      <c r="Y177" s="57"/>
      <c r="Z177" s="57"/>
      <c r="AA177" s="57"/>
      <c r="AB177" s="57"/>
      <c r="AC177" s="57"/>
      <c r="AD177" s="57"/>
    </row>
    <row r="178" spans="1:30" ht="13.5" thickBot="1" x14ac:dyDescent="0.25">
      <c r="A178" s="116"/>
      <c r="B178" s="119" t="s">
        <v>13372</v>
      </c>
      <c r="C178" s="118" t="s">
        <v>13545</v>
      </c>
      <c r="D178" s="118" t="s">
        <v>13508</v>
      </c>
      <c r="E178" s="118" t="s">
        <v>13943</v>
      </c>
      <c r="F178" s="118" t="s">
        <v>13566</v>
      </c>
      <c r="G178" s="118" t="s">
        <v>13567</v>
      </c>
      <c r="H178" s="118" t="s">
        <v>13564</v>
      </c>
      <c r="I178" s="118" t="s">
        <v>13905</v>
      </c>
      <c r="J178" s="118" t="s">
        <v>13944</v>
      </c>
      <c r="K178" s="116"/>
      <c r="L178" s="119" t="s">
        <v>13413</v>
      </c>
      <c r="M178" s="119" t="s">
        <v>13814</v>
      </c>
      <c r="N178" s="119" t="s">
        <v>13830</v>
      </c>
      <c r="O178" s="57"/>
      <c r="P178" s="57"/>
      <c r="Q178" s="57"/>
      <c r="R178" s="57"/>
      <c r="S178" s="57"/>
      <c r="T178" s="57"/>
      <c r="U178" s="57"/>
      <c r="V178" s="57"/>
      <c r="W178" s="57"/>
      <c r="X178" s="57"/>
      <c r="Y178" s="57"/>
      <c r="Z178" s="57"/>
      <c r="AA178" s="57"/>
      <c r="AB178" s="57"/>
      <c r="AC178" s="57"/>
      <c r="AD178" s="57"/>
    </row>
    <row r="179" spans="1:30" ht="13.5" thickBot="1" x14ac:dyDescent="0.25">
      <c r="A179" s="116"/>
      <c r="B179" s="119" t="s">
        <v>13413</v>
      </c>
      <c r="C179" s="118" t="s">
        <v>13528</v>
      </c>
      <c r="D179" s="118" t="s">
        <v>13544</v>
      </c>
      <c r="E179" s="118" t="s">
        <v>13484</v>
      </c>
      <c r="F179" s="118" t="s">
        <v>13945</v>
      </c>
      <c r="G179" s="118" t="s">
        <v>13846</v>
      </c>
      <c r="H179" s="118" t="s">
        <v>13946</v>
      </c>
      <c r="I179" s="118" t="s">
        <v>13543</v>
      </c>
      <c r="J179" s="118" t="s">
        <v>13947</v>
      </c>
      <c r="K179" s="116"/>
      <c r="L179" s="118" t="s">
        <v>13378</v>
      </c>
      <c r="M179" s="119" t="s">
        <v>13878</v>
      </c>
      <c r="N179" s="119" t="s">
        <v>13948</v>
      </c>
      <c r="O179" s="57"/>
      <c r="P179" s="57"/>
      <c r="Q179" s="57"/>
      <c r="R179" s="57"/>
      <c r="S179" s="57"/>
      <c r="T179" s="57"/>
      <c r="U179" s="57"/>
      <c r="V179" s="57"/>
      <c r="W179" s="57"/>
      <c r="X179" s="57"/>
      <c r="Y179" s="57"/>
      <c r="Z179" s="57"/>
      <c r="AA179" s="57"/>
      <c r="AB179" s="57"/>
      <c r="AC179" s="57"/>
      <c r="AD179" s="57"/>
    </row>
    <row r="180" spans="1:30" ht="13.5" thickBot="1" x14ac:dyDescent="0.25">
      <c r="A180" s="116"/>
      <c r="B180" s="119" t="s">
        <v>13378</v>
      </c>
      <c r="C180" s="118" t="s">
        <v>13949</v>
      </c>
      <c r="D180" s="118" t="s">
        <v>13467</v>
      </c>
      <c r="E180" s="118" t="s">
        <v>13950</v>
      </c>
      <c r="F180" s="118" t="s">
        <v>13951</v>
      </c>
      <c r="G180" s="118" t="s">
        <v>13952</v>
      </c>
      <c r="H180" s="118" t="s">
        <v>13467</v>
      </c>
      <c r="I180" s="118" t="s">
        <v>13953</v>
      </c>
      <c r="J180" s="118" t="s">
        <v>13747</v>
      </c>
      <c r="K180" s="116"/>
      <c r="L180" s="119" t="s">
        <v>13384</v>
      </c>
      <c r="M180" s="119" t="s">
        <v>13884</v>
      </c>
      <c r="N180" s="119" t="s">
        <v>13583</v>
      </c>
      <c r="O180" s="57"/>
      <c r="P180" s="57"/>
      <c r="Q180" s="57"/>
      <c r="R180" s="57"/>
      <c r="S180" s="57"/>
      <c r="T180" s="57"/>
      <c r="U180" s="57"/>
      <c r="V180" s="57"/>
      <c r="W180" s="57"/>
      <c r="X180" s="57"/>
      <c r="Y180" s="57"/>
      <c r="Z180" s="57"/>
      <c r="AA180" s="57"/>
      <c r="AB180" s="57"/>
      <c r="AC180" s="57"/>
      <c r="AD180" s="57"/>
    </row>
    <row r="181" spans="1:30" ht="13.5" thickBot="1" x14ac:dyDescent="0.25">
      <c r="A181" s="116"/>
      <c r="B181" s="119" t="s">
        <v>13384</v>
      </c>
      <c r="C181" s="118" t="s">
        <v>13952</v>
      </c>
      <c r="D181" s="118" t="s">
        <v>13952</v>
      </c>
      <c r="E181" s="118" t="s">
        <v>13952</v>
      </c>
      <c r="F181" s="118" t="s">
        <v>13951</v>
      </c>
      <c r="G181" s="118" t="s">
        <v>13846</v>
      </c>
      <c r="H181" s="118" t="s">
        <v>13954</v>
      </c>
      <c r="I181" s="118" t="s">
        <v>13544</v>
      </c>
      <c r="J181" s="118" t="s">
        <v>13785</v>
      </c>
      <c r="K181" s="116"/>
      <c r="L181" s="119" t="s">
        <v>13391</v>
      </c>
      <c r="M181" s="119" t="s">
        <v>13769</v>
      </c>
      <c r="N181" s="119" t="s">
        <v>13907</v>
      </c>
      <c r="O181" s="57"/>
      <c r="P181" s="57"/>
      <c r="Q181" s="57"/>
      <c r="R181" s="57"/>
      <c r="S181" s="57"/>
      <c r="T181" s="57"/>
      <c r="U181" s="57"/>
      <c r="V181" s="57"/>
      <c r="W181" s="57"/>
      <c r="X181" s="57"/>
      <c r="Y181" s="57"/>
      <c r="Z181" s="57"/>
      <c r="AA181" s="57"/>
      <c r="AB181" s="57"/>
      <c r="AC181" s="57"/>
      <c r="AD181" s="57"/>
    </row>
    <row r="182" spans="1:30" ht="13.5" thickBot="1" x14ac:dyDescent="0.25">
      <c r="A182" s="116"/>
      <c r="B182" s="119" t="s">
        <v>13391</v>
      </c>
      <c r="C182" s="118" t="s">
        <v>13949</v>
      </c>
      <c r="D182" s="118" t="s">
        <v>13955</v>
      </c>
      <c r="E182" s="118" t="s">
        <v>13769</v>
      </c>
      <c r="F182" s="118" t="s">
        <v>13947</v>
      </c>
      <c r="G182" s="118" t="s">
        <v>13557</v>
      </c>
      <c r="H182" s="118" t="s">
        <v>13956</v>
      </c>
      <c r="I182" s="118" t="s">
        <v>13945</v>
      </c>
      <c r="J182" s="118" t="s">
        <v>13944</v>
      </c>
      <c r="K182" s="116"/>
      <c r="L182" s="119" t="s">
        <v>13397</v>
      </c>
      <c r="M182" s="119" t="s">
        <v>13743</v>
      </c>
      <c r="N182" s="119" t="s">
        <v>13843</v>
      </c>
      <c r="O182" s="57"/>
      <c r="P182" s="57"/>
      <c r="Q182" s="57"/>
      <c r="R182" s="57"/>
      <c r="S182" s="57"/>
      <c r="T182" s="57"/>
      <c r="U182" s="57"/>
      <c r="V182" s="57"/>
      <c r="W182" s="57"/>
      <c r="X182" s="57"/>
      <c r="Y182" s="57"/>
      <c r="Z182" s="57"/>
      <c r="AA182" s="57"/>
      <c r="AB182" s="57"/>
      <c r="AC182" s="57"/>
      <c r="AD182" s="57"/>
    </row>
    <row r="183" spans="1:30" ht="13.5" thickBot="1" x14ac:dyDescent="0.25">
      <c r="A183" s="116"/>
      <c r="B183" s="119" t="s">
        <v>13397</v>
      </c>
      <c r="C183" s="118" t="s">
        <v>13897</v>
      </c>
      <c r="D183" s="118" t="s">
        <v>13543</v>
      </c>
      <c r="E183" s="118" t="s">
        <v>13528</v>
      </c>
      <c r="F183" s="118" t="s">
        <v>13639</v>
      </c>
      <c r="G183" s="118" t="s">
        <v>13897</v>
      </c>
      <c r="H183" s="118" t="s">
        <v>13544</v>
      </c>
      <c r="I183" s="118" t="s">
        <v>13949</v>
      </c>
      <c r="J183" s="118" t="s">
        <v>13650</v>
      </c>
      <c r="K183" s="116"/>
      <c r="L183" s="119" t="s">
        <v>13403</v>
      </c>
      <c r="M183" s="119" t="s">
        <v>13804</v>
      </c>
      <c r="N183" s="119" t="s">
        <v>13680</v>
      </c>
      <c r="O183" s="57"/>
      <c r="P183" s="57"/>
      <c r="Q183" s="57"/>
      <c r="R183" s="57"/>
      <c r="S183" s="57"/>
      <c r="T183" s="57"/>
      <c r="U183" s="57"/>
      <c r="V183" s="57"/>
      <c r="W183" s="57"/>
      <c r="X183" s="57"/>
      <c r="Y183" s="57"/>
      <c r="Z183" s="57"/>
      <c r="AA183" s="57"/>
      <c r="AB183" s="57"/>
      <c r="AC183" s="57"/>
      <c r="AD183" s="57"/>
    </row>
    <row r="184" spans="1:30" ht="26.25" thickBot="1" x14ac:dyDescent="0.25">
      <c r="A184" s="116"/>
      <c r="B184" s="119" t="s">
        <v>13403</v>
      </c>
      <c r="C184" s="118" t="s">
        <v>13567</v>
      </c>
      <c r="D184" s="118" t="s">
        <v>13508</v>
      </c>
      <c r="E184" s="118" t="s">
        <v>13943</v>
      </c>
      <c r="F184" s="118" t="s">
        <v>13427</v>
      </c>
      <c r="G184" s="118" t="s">
        <v>13957</v>
      </c>
      <c r="H184" s="118" t="s">
        <v>13958</v>
      </c>
      <c r="I184" s="118" t="s">
        <v>13959</v>
      </c>
      <c r="J184" s="118" t="s">
        <v>13559</v>
      </c>
      <c r="K184" s="116"/>
      <c r="L184" s="118" t="s">
        <v>13408</v>
      </c>
      <c r="M184" s="119" t="s">
        <v>13908</v>
      </c>
      <c r="N184" s="119" t="s">
        <v>13847</v>
      </c>
      <c r="O184" s="57"/>
      <c r="P184" s="57"/>
      <c r="Q184" s="57"/>
      <c r="R184" s="57"/>
      <c r="S184" s="57"/>
      <c r="T184" s="57"/>
      <c r="U184" s="57"/>
      <c r="V184" s="57"/>
      <c r="W184" s="57"/>
      <c r="X184" s="57"/>
      <c r="Y184" s="57"/>
      <c r="Z184" s="57"/>
      <c r="AA184" s="57"/>
      <c r="AB184" s="57"/>
      <c r="AC184" s="57"/>
      <c r="AD184" s="57"/>
    </row>
    <row r="185" spans="1:30" ht="26.25" thickBot="1" x14ac:dyDescent="0.25">
      <c r="A185" s="116"/>
      <c r="B185" s="119" t="s">
        <v>13408</v>
      </c>
      <c r="C185" s="118" t="s">
        <v>13561</v>
      </c>
      <c r="D185" s="118" t="s">
        <v>13519</v>
      </c>
      <c r="E185" s="118" t="s">
        <v>13944</v>
      </c>
      <c r="F185" s="118" t="s">
        <v>13650</v>
      </c>
      <c r="G185" s="118" t="s">
        <v>13954</v>
      </c>
      <c r="H185" s="118" t="s">
        <v>13960</v>
      </c>
      <c r="I185" s="118" t="s">
        <v>13427</v>
      </c>
      <c r="J185" s="118" t="s">
        <v>13961</v>
      </c>
      <c r="K185" s="116"/>
      <c r="L185" s="119" t="s">
        <v>13419</v>
      </c>
      <c r="M185" s="119" t="s">
        <v>13876</v>
      </c>
      <c r="N185" s="119" t="s">
        <v>13874</v>
      </c>
      <c r="O185" s="57"/>
      <c r="P185" s="57"/>
      <c r="Q185" s="57"/>
      <c r="R185" s="57"/>
      <c r="S185" s="57"/>
      <c r="T185" s="57"/>
      <c r="U185" s="57"/>
      <c r="V185" s="57"/>
      <c r="W185" s="57"/>
      <c r="X185" s="57"/>
      <c r="Y185" s="57"/>
      <c r="Z185" s="57"/>
      <c r="AA185" s="57"/>
      <c r="AB185" s="57"/>
      <c r="AC185" s="57"/>
      <c r="AD185" s="57"/>
    </row>
    <row r="186" spans="1:30" ht="13.5" thickBot="1" x14ac:dyDescent="0.25">
      <c r="A186" s="116"/>
      <c r="B186" s="119" t="s">
        <v>13419</v>
      </c>
      <c r="C186" s="118" t="s">
        <v>13952</v>
      </c>
      <c r="D186" s="118" t="s">
        <v>13574</v>
      </c>
      <c r="E186" s="118" t="s">
        <v>13949</v>
      </c>
      <c r="F186" s="118" t="s">
        <v>13779</v>
      </c>
      <c r="G186" s="118" t="s">
        <v>13467</v>
      </c>
      <c r="H186" s="118" t="s">
        <v>13558</v>
      </c>
      <c r="I186" s="118" t="s">
        <v>13567</v>
      </c>
      <c r="J186" s="118" t="s">
        <v>13392</v>
      </c>
      <c r="K186" s="116"/>
      <c r="L186" s="120" t="s">
        <v>13517</v>
      </c>
      <c r="M186" s="120" t="s">
        <v>13919</v>
      </c>
      <c r="N186" s="120" t="s">
        <v>13962</v>
      </c>
      <c r="O186" s="57"/>
      <c r="P186" s="57"/>
      <c r="Q186" s="57"/>
      <c r="R186" s="57"/>
      <c r="S186" s="57"/>
      <c r="T186" s="57"/>
      <c r="U186" s="57"/>
      <c r="V186" s="57"/>
      <c r="W186" s="57"/>
      <c r="X186" s="57"/>
      <c r="Y186" s="57"/>
      <c r="Z186" s="57"/>
      <c r="AA186" s="57"/>
      <c r="AB186" s="57"/>
      <c r="AC186" s="57"/>
      <c r="AD186" s="57"/>
    </row>
    <row r="187" spans="1:30" ht="26.25" thickBot="1" x14ac:dyDescent="0.25">
      <c r="A187" s="116"/>
      <c r="B187" s="120" t="s">
        <v>13517</v>
      </c>
      <c r="C187" s="121" t="s">
        <v>13545</v>
      </c>
      <c r="D187" s="121" t="s">
        <v>13954</v>
      </c>
      <c r="E187" s="121" t="s">
        <v>13491</v>
      </c>
      <c r="F187" s="121" t="s">
        <v>13747</v>
      </c>
      <c r="G187" s="121" t="s">
        <v>13551</v>
      </c>
      <c r="H187" s="121" t="s">
        <v>13427</v>
      </c>
      <c r="I187" s="121" t="s">
        <v>13561</v>
      </c>
      <c r="J187" s="121" t="s">
        <v>13769</v>
      </c>
      <c r="K187" s="80"/>
      <c r="L187" s="122" t="s">
        <v>13923</v>
      </c>
      <c r="M187" s="122" t="s">
        <v>13926</v>
      </c>
      <c r="N187" s="122" t="s">
        <v>13963</v>
      </c>
      <c r="O187" s="57"/>
      <c r="P187" s="57"/>
      <c r="Q187" s="57"/>
      <c r="R187" s="57"/>
      <c r="S187" s="57"/>
      <c r="T187" s="57"/>
      <c r="U187" s="57"/>
      <c r="V187" s="57"/>
      <c r="W187" s="57"/>
      <c r="X187" s="57"/>
      <c r="Y187" s="57"/>
      <c r="Z187" s="57"/>
      <c r="AA187" s="57"/>
      <c r="AB187" s="57"/>
      <c r="AC187" s="57"/>
      <c r="AD187" s="57"/>
    </row>
    <row r="188" spans="1:30" ht="26.25" thickBot="1" x14ac:dyDescent="0.25">
      <c r="A188" s="80"/>
      <c r="B188" s="122" t="s">
        <v>13923</v>
      </c>
      <c r="C188" s="122" t="s">
        <v>13964</v>
      </c>
      <c r="D188" s="122" t="s">
        <v>13965</v>
      </c>
      <c r="E188" s="122" t="s">
        <v>13966</v>
      </c>
      <c r="F188" s="122" t="s">
        <v>13914</v>
      </c>
      <c r="G188" s="122" t="s">
        <v>13809</v>
      </c>
      <c r="H188" s="122" t="s">
        <v>13967</v>
      </c>
      <c r="I188" s="122" t="s">
        <v>13968</v>
      </c>
      <c r="J188" s="122" t="s">
        <v>13969</v>
      </c>
      <c r="K188" s="57"/>
      <c r="L188" s="57"/>
      <c r="M188" s="57"/>
      <c r="N188" s="57"/>
      <c r="O188" s="57"/>
      <c r="P188" s="57"/>
      <c r="Q188" s="57"/>
      <c r="R188" s="57"/>
      <c r="S188" s="57"/>
      <c r="T188" s="57"/>
      <c r="U188" s="57"/>
      <c r="V188" s="57"/>
      <c r="W188" s="57"/>
      <c r="X188" s="57"/>
      <c r="Y188" s="57"/>
      <c r="Z188" s="57"/>
      <c r="AA188" s="57"/>
      <c r="AB188" s="57"/>
      <c r="AC188" s="57"/>
      <c r="AD188" s="57"/>
    </row>
    <row r="189" spans="1:30" ht="13.5" thickBot="1" x14ac:dyDescent="0.25">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c r="AA189" s="57"/>
      <c r="AB189" s="57"/>
      <c r="AC189" s="57"/>
      <c r="AD189" s="57"/>
    </row>
    <row r="190" spans="1:30" ht="13.5" thickBot="1" x14ac:dyDescent="0.25">
      <c r="A190" s="57"/>
      <c r="B190" s="77" t="s">
        <v>6314</v>
      </c>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c r="AA190" s="57"/>
      <c r="AB190" s="57"/>
      <c r="AC190" s="57"/>
      <c r="AD190" s="57"/>
    </row>
    <row r="191" spans="1:30" ht="13.5" thickBot="1" x14ac:dyDescent="0.25">
      <c r="A191" s="57"/>
      <c r="B191" s="87" t="s">
        <v>13970</v>
      </c>
      <c r="C191" s="88"/>
      <c r="D191" s="88"/>
      <c r="E191" s="88"/>
      <c r="F191" s="88"/>
      <c r="G191" s="88"/>
      <c r="H191" s="88"/>
      <c r="I191" s="88"/>
      <c r="J191" s="88"/>
      <c r="K191" s="88"/>
      <c r="L191" s="88"/>
      <c r="M191" s="88"/>
      <c r="N191" s="88"/>
      <c r="O191" s="57"/>
      <c r="P191" s="57"/>
      <c r="Q191" s="57"/>
      <c r="R191" s="57"/>
      <c r="S191" s="57"/>
      <c r="T191" s="57"/>
      <c r="U191" s="57"/>
      <c r="V191" s="57"/>
      <c r="W191" s="57"/>
      <c r="X191" s="57"/>
      <c r="Y191" s="57"/>
      <c r="Z191" s="57"/>
      <c r="AA191" s="57"/>
      <c r="AB191" s="57"/>
      <c r="AC191" s="57"/>
      <c r="AD191" s="57"/>
    </row>
    <row r="192" spans="1:30" ht="13.5" thickBot="1" x14ac:dyDescent="0.25">
      <c r="A192" s="80"/>
      <c r="B192" s="96"/>
      <c r="C192" s="317" t="s">
        <v>13366</v>
      </c>
      <c r="D192" s="318"/>
      <c r="E192" s="318"/>
      <c r="F192" s="318"/>
      <c r="G192" s="318"/>
      <c r="H192" s="319"/>
      <c r="I192" s="317" t="s">
        <v>13971</v>
      </c>
      <c r="J192" s="318"/>
      <c r="K192" s="318"/>
      <c r="L192" s="318"/>
      <c r="M192" s="318"/>
      <c r="N192" s="319"/>
      <c r="O192" s="57"/>
      <c r="P192" s="57"/>
      <c r="Q192" s="57"/>
      <c r="R192" s="57"/>
      <c r="S192" s="57"/>
      <c r="T192" s="57"/>
      <c r="U192" s="57"/>
      <c r="V192" s="57"/>
      <c r="W192" s="57"/>
      <c r="X192" s="57"/>
      <c r="Y192" s="57"/>
      <c r="Z192" s="57"/>
      <c r="AA192" s="57"/>
      <c r="AB192" s="57"/>
      <c r="AC192" s="57"/>
      <c r="AD192" s="57"/>
    </row>
    <row r="193" spans="1:30" ht="13.5" thickBot="1" x14ac:dyDescent="0.25">
      <c r="A193" s="80"/>
      <c r="B193" s="320"/>
      <c r="C193" s="322" t="s">
        <v>13369</v>
      </c>
      <c r="D193" s="303"/>
      <c r="E193" s="96"/>
      <c r="F193" s="296" t="s">
        <v>13941</v>
      </c>
      <c r="G193" s="297"/>
      <c r="H193" s="298"/>
      <c r="I193" s="296" t="s">
        <v>13369</v>
      </c>
      <c r="J193" s="297"/>
      <c r="K193" s="298"/>
      <c r="L193" s="296" t="s">
        <v>13941</v>
      </c>
      <c r="M193" s="297"/>
      <c r="N193" s="298"/>
      <c r="O193" s="57"/>
      <c r="P193" s="57"/>
      <c r="Q193" s="57"/>
      <c r="R193" s="57"/>
      <c r="S193" s="57"/>
      <c r="T193" s="57"/>
      <c r="U193" s="57"/>
      <c r="V193" s="57"/>
      <c r="W193" s="57"/>
      <c r="X193" s="57"/>
      <c r="Y193" s="57"/>
      <c r="Z193" s="57"/>
      <c r="AA193" s="57"/>
      <c r="AB193" s="57"/>
      <c r="AC193" s="57"/>
      <c r="AD193" s="57"/>
    </row>
    <row r="194" spans="1:30" ht="13.5" thickBot="1" x14ac:dyDescent="0.25">
      <c r="A194" s="80"/>
      <c r="B194" s="321"/>
      <c r="C194" s="95" t="s">
        <v>13442</v>
      </c>
      <c r="D194" s="95" t="s">
        <v>13443</v>
      </c>
      <c r="E194" s="96" t="s">
        <v>13739</v>
      </c>
      <c r="F194" s="95" t="s">
        <v>13442</v>
      </c>
      <c r="G194" s="95" t="s">
        <v>13443</v>
      </c>
      <c r="H194" s="96" t="s">
        <v>13739</v>
      </c>
      <c r="I194" s="95" t="s">
        <v>13442</v>
      </c>
      <c r="J194" s="95" t="s">
        <v>13443</v>
      </c>
      <c r="K194" s="96" t="s">
        <v>13739</v>
      </c>
      <c r="L194" s="95" t="s">
        <v>13442</v>
      </c>
      <c r="M194" s="95" t="s">
        <v>13443</v>
      </c>
      <c r="N194" s="96" t="s">
        <v>13739</v>
      </c>
      <c r="O194" s="57"/>
      <c r="P194" s="57"/>
      <c r="Q194" s="57"/>
      <c r="R194" s="57"/>
      <c r="S194" s="57"/>
      <c r="T194" s="57"/>
      <c r="U194" s="57"/>
      <c r="V194" s="57"/>
      <c r="W194" s="57"/>
      <c r="X194" s="57"/>
      <c r="Y194" s="57"/>
      <c r="Z194" s="57"/>
      <c r="AA194" s="57"/>
      <c r="AB194" s="57"/>
      <c r="AC194" s="57"/>
      <c r="AD194" s="57"/>
    </row>
    <row r="195" spans="1:30" ht="13.5" thickBot="1" x14ac:dyDescent="0.25">
      <c r="A195" s="80"/>
      <c r="B195" s="124" t="s">
        <v>13372</v>
      </c>
      <c r="C195" s="102" t="s">
        <v>13745</v>
      </c>
      <c r="D195" s="102" t="s">
        <v>13746</v>
      </c>
      <c r="E195" s="124" t="s">
        <v>13747</v>
      </c>
      <c r="F195" s="102" t="s">
        <v>13445</v>
      </c>
      <c r="G195" s="102" t="s">
        <v>13446</v>
      </c>
      <c r="H195" s="124" t="s">
        <v>13373</v>
      </c>
      <c r="I195" s="102" t="s">
        <v>13569</v>
      </c>
      <c r="J195" s="102" t="s">
        <v>13807</v>
      </c>
      <c r="K195" s="124" t="s">
        <v>13808</v>
      </c>
      <c r="L195" s="102" t="s">
        <v>13376</v>
      </c>
      <c r="M195" s="102" t="s">
        <v>13376</v>
      </c>
      <c r="N195" s="124" t="s">
        <v>13376</v>
      </c>
      <c r="O195" s="57"/>
      <c r="P195" s="57"/>
      <c r="Q195" s="57"/>
      <c r="R195" s="57"/>
      <c r="S195" s="57"/>
      <c r="T195" s="57"/>
      <c r="U195" s="57"/>
      <c r="V195" s="57"/>
      <c r="W195" s="57"/>
      <c r="X195" s="57"/>
      <c r="Y195" s="57"/>
      <c r="Z195" s="57"/>
      <c r="AA195" s="57"/>
      <c r="AB195" s="57"/>
      <c r="AC195" s="57"/>
      <c r="AD195" s="57"/>
    </row>
    <row r="196" spans="1:30" ht="13.5" thickBot="1" x14ac:dyDescent="0.25">
      <c r="A196" s="80"/>
      <c r="B196" s="124" t="s">
        <v>13378</v>
      </c>
      <c r="C196" s="102" t="s">
        <v>13752</v>
      </c>
      <c r="D196" s="102" t="s">
        <v>13655</v>
      </c>
      <c r="E196" s="124" t="s">
        <v>13753</v>
      </c>
      <c r="F196" s="102" t="s">
        <v>13451</v>
      </c>
      <c r="G196" s="102" t="s">
        <v>13452</v>
      </c>
      <c r="H196" s="124" t="s">
        <v>13379</v>
      </c>
      <c r="I196" s="102" t="s">
        <v>13470</v>
      </c>
      <c r="J196" s="102" t="s">
        <v>13658</v>
      </c>
      <c r="K196" s="124" t="s">
        <v>13814</v>
      </c>
      <c r="L196" s="102" t="s">
        <v>13495</v>
      </c>
      <c r="M196" s="102" t="s">
        <v>13427</v>
      </c>
      <c r="N196" s="124" t="s">
        <v>13382</v>
      </c>
      <c r="O196" s="57"/>
      <c r="P196" s="57"/>
      <c r="Q196" s="57"/>
      <c r="R196" s="57"/>
      <c r="S196" s="57"/>
      <c r="T196" s="57"/>
      <c r="U196" s="57"/>
      <c r="V196" s="57"/>
      <c r="W196" s="57"/>
      <c r="X196" s="57"/>
      <c r="Y196" s="57"/>
      <c r="Z196" s="57"/>
      <c r="AA196" s="57"/>
      <c r="AB196" s="57"/>
      <c r="AC196" s="57"/>
      <c r="AD196" s="57"/>
    </row>
    <row r="197" spans="1:30" ht="13.5" thickBot="1" x14ac:dyDescent="0.25">
      <c r="A197" s="80"/>
      <c r="B197" s="124" t="s">
        <v>13384</v>
      </c>
      <c r="C197" s="102" t="s">
        <v>13757</v>
      </c>
      <c r="D197" s="102" t="s">
        <v>13748</v>
      </c>
      <c r="E197" s="124" t="s">
        <v>13758</v>
      </c>
      <c r="F197" s="102" t="s">
        <v>13456</v>
      </c>
      <c r="G197" s="102" t="s">
        <v>13446</v>
      </c>
      <c r="H197" s="124" t="s">
        <v>13385</v>
      </c>
      <c r="I197" s="102" t="s">
        <v>13618</v>
      </c>
      <c r="J197" s="102" t="s">
        <v>13815</v>
      </c>
      <c r="K197" s="124" t="s">
        <v>13816</v>
      </c>
      <c r="L197" s="102" t="s">
        <v>13496</v>
      </c>
      <c r="M197" s="102" t="s">
        <v>13497</v>
      </c>
      <c r="N197" s="124" t="s">
        <v>13388</v>
      </c>
      <c r="O197" s="57"/>
      <c r="P197" s="57"/>
      <c r="Q197" s="57"/>
      <c r="R197" s="57"/>
      <c r="S197" s="57"/>
      <c r="T197" s="57"/>
      <c r="U197" s="57"/>
      <c r="V197" s="57"/>
      <c r="W197" s="57"/>
      <c r="X197" s="57"/>
      <c r="Y197" s="57"/>
      <c r="Z197" s="57"/>
      <c r="AA197" s="57"/>
      <c r="AB197" s="57"/>
      <c r="AC197" s="57"/>
      <c r="AD197" s="57"/>
    </row>
    <row r="198" spans="1:30" ht="13.5" thickBot="1" x14ac:dyDescent="0.25">
      <c r="A198" s="80"/>
      <c r="B198" s="124" t="s">
        <v>13391</v>
      </c>
      <c r="C198" s="102" t="s">
        <v>13681</v>
      </c>
      <c r="D198" s="102" t="s">
        <v>13762</v>
      </c>
      <c r="E198" s="124" t="s">
        <v>13763</v>
      </c>
      <c r="F198" s="102" t="s">
        <v>13460</v>
      </c>
      <c r="G198" s="102" t="s">
        <v>13461</v>
      </c>
      <c r="H198" s="124" t="s">
        <v>13392</v>
      </c>
      <c r="I198" s="102" t="s">
        <v>13616</v>
      </c>
      <c r="J198" s="102" t="s">
        <v>13686</v>
      </c>
      <c r="K198" s="124" t="s">
        <v>13819</v>
      </c>
      <c r="L198" s="102" t="s">
        <v>13457</v>
      </c>
      <c r="M198" s="102" t="s">
        <v>13500</v>
      </c>
      <c r="N198" s="124" t="s">
        <v>13395</v>
      </c>
      <c r="O198" s="57"/>
      <c r="P198" s="57"/>
      <c r="Q198" s="57"/>
      <c r="R198" s="57"/>
      <c r="S198" s="57"/>
      <c r="T198" s="57"/>
      <c r="U198" s="57"/>
      <c r="V198" s="57"/>
      <c r="W198" s="57"/>
      <c r="X198" s="57"/>
      <c r="Y198" s="57"/>
      <c r="Z198" s="57"/>
      <c r="AA198" s="57"/>
      <c r="AB198" s="57"/>
      <c r="AC198" s="57"/>
      <c r="AD198" s="57"/>
    </row>
    <row r="199" spans="1:30" ht="13.5" thickBot="1" x14ac:dyDescent="0.25">
      <c r="A199" s="80"/>
      <c r="B199" s="124" t="s">
        <v>13397</v>
      </c>
      <c r="C199" s="102" t="s">
        <v>13605</v>
      </c>
      <c r="D199" s="102" t="s">
        <v>13769</v>
      </c>
      <c r="E199" s="124" t="s">
        <v>13770</v>
      </c>
      <c r="F199" s="102" t="s">
        <v>13465</v>
      </c>
      <c r="G199" s="102" t="s">
        <v>13466</v>
      </c>
      <c r="H199" s="124" t="s">
        <v>13398</v>
      </c>
      <c r="I199" s="102" t="s">
        <v>13823</v>
      </c>
      <c r="J199" s="102" t="s">
        <v>13423</v>
      </c>
      <c r="K199" s="124" t="s">
        <v>13824</v>
      </c>
      <c r="L199" s="102" t="s">
        <v>13502</v>
      </c>
      <c r="M199" s="102" t="s">
        <v>13503</v>
      </c>
      <c r="N199" s="124" t="s">
        <v>13401</v>
      </c>
      <c r="O199" s="57"/>
      <c r="P199" s="57"/>
      <c r="Q199" s="57"/>
      <c r="R199" s="57"/>
      <c r="S199" s="57"/>
      <c r="T199" s="57"/>
      <c r="U199" s="57"/>
      <c r="V199" s="57"/>
      <c r="W199" s="57"/>
      <c r="X199" s="57"/>
      <c r="Y199" s="57"/>
      <c r="Z199" s="57"/>
      <c r="AA199" s="57"/>
      <c r="AB199" s="57"/>
      <c r="AC199" s="57"/>
      <c r="AD199" s="57"/>
    </row>
    <row r="200" spans="1:30" ht="13.5" thickBot="1" x14ac:dyDescent="0.25">
      <c r="A200" s="80"/>
      <c r="B200" s="124" t="s">
        <v>13403</v>
      </c>
      <c r="C200" s="102" t="s">
        <v>13773</v>
      </c>
      <c r="D200" s="102" t="s">
        <v>13774</v>
      </c>
      <c r="E200" s="124" t="s">
        <v>13574</v>
      </c>
      <c r="F200" s="102" t="s">
        <v>13470</v>
      </c>
      <c r="G200" s="102" t="s">
        <v>13471</v>
      </c>
      <c r="H200" s="124" t="s">
        <v>13404</v>
      </c>
      <c r="I200" s="102" t="s">
        <v>13829</v>
      </c>
      <c r="J200" s="102" t="s">
        <v>13830</v>
      </c>
      <c r="K200" s="124" t="s">
        <v>13831</v>
      </c>
      <c r="L200" s="102" t="s">
        <v>13505</v>
      </c>
      <c r="M200" s="102" t="s">
        <v>13506</v>
      </c>
      <c r="N200" s="124" t="s">
        <v>13406</v>
      </c>
      <c r="O200" s="57"/>
      <c r="P200" s="57"/>
      <c r="Q200" s="57"/>
      <c r="R200" s="57"/>
      <c r="S200" s="57"/>
      <c r="T200" s="57"/>
      <c r="U200" s="57"/>
      <c r="V200" s="57"/>
      <c r="W200" s="57"/>
      <c r="X200" s="57"/>
      <c r="Y200" s="57"/>
      <c r="Z200" s="57"/>
      <c r="AA200" s="57"/>
      <c r="AB200" s="57"/>
      <c r="AC200" s="57"/>
      <c r="AD200" s="57"/>
    </row>
    <row r="201" spans="1:30" ht="26.25" thickBot="1" x14ac:dyDescent="0.25">
      <c r="A201" s="80"/>
      <c r="B201" s="124" t="s">
        <v>13408</v>
      </c>
      <c r="C201" s="102" t="s">
        <v>13778</v>
      </c>
      <c r="D201" s="102" t="s">
        <v>13500</v>
      </c>
      <c r="E201" s="124" t="s">
        <v>13779</v>
      </c>
      <c r="F201" s="102" t="s">
        <v>13474</v>
      </c>
      <c r="G201" s="102" t="s">
        <v>13461</v>
      </c>
      <c r="H201" s="124" t="s">
        <v>13409</v>
      </c>
      <c r="I201" s="102" t="s">
        <v>13835</v>
      </c>
      <c r="J201" s="102" t="s">
        <v>13836</v>
      </c>
      <c r="K201" s="124" t="s">
        <v>13837</v>
      </c>
      <c r="L201" s="102" t="s">
        <v>13838</v>
      </c>
      <c r="M201" s="102" t="s">
        <v>13509</v>
      </c>
      <c r="N201" s="124" t="s">
        <v>13412</v>
      </c>
      <c r="O201" s="57"/>
      <c r="P201" s="57"/>
      <c r="Q201" s="57"/>
      <c r="R201" s="57"/>
      <c r="S201" s="57"/>
      <c r="T201" s="57"/>
      <c r="U201" s="57"/>
      <c r="V201" s="57"/>
      <c r="W201" s="57"/>
      <c r="X201" s="57"/>
      <c r="Y201" s="57"/>
      <c r="Z201" s="57"/>
      <c r="AA201" s="57"/>
      <c r="AB201" s="57"/>
      <c r="AC201" s="57"/>
      <c r="AD201" s="57"/>
    </row>
    <row r="202" spans="1:30" ht="13.5" thickBot="1" x14ac:dyDescent="0.25">
      <c r="A202" s="80"/>
      <c r="B202" s="124" t="s">
        <v>13413</v>
      </c>
      <c r="C202" s="102" t="s">
        <v>13587</v>
      </c>
      <c r="D202" s="102" t="s">
        <v>13785</v>
      </c>
      <c r="E202" s="124" t="s">
        <v>13786</v>
      </c>
      <c r="F202" s="102" t="s">
        <v>13478</v>
      </c>
      <c r="G202" s="102" t="s">
        <v>13479</v>
      </c>
      <c r="H202" s="124" t="s">
        <v>13414</v>
      </c>
      <c r="I202" s="102" t="s">
        <v>13691</v>
      </c>
      <c r="J202" s="102" t="s">
        <v>13775</v>
      </c>
      <c r="K202" s="124" t="s">
        <v>13614</v>
      </c>
      <c r="L202" s="102" t="s">
        <v>13512</v>
      </c>
      <c r="M202" s="102" t="s">
        <v>13513</v>
      </c>
      <c r="N202" s="124" t="s">
        <v>13374</v>
      </c>
      <c r="O202" s="57"/>
      <c r="P202" s="57"/>
      <c r="Q202" s="57"/>
      <c r="R202" s="57"/>
      <c r="S202" s="57"/>
      <c r="T202" s="57"/>
      <c r="U202" s="57"/>
      <c r="V202" s="57"/>
      <c r="W202" s="57"/>
      <c r="X202" s="57"/>
      <c r="Y202" s="57"/>
      <c r="Z202" s="57"/>
      <c r="AA202" s="57"/>
      <c r="AB202" s="57"/>
      <c r="AC202" s="57"/>
      <c r="AD202" s="57"/>
    </row>
    <row r="203" spans="1:30" ht="13.5" thickBot="1" x14ac:dyDescent="0.25">
      <c r="A203" s="80"/>
      <c r="B203" s="124" t="s">
        <v>13419</v>
      </c>
      <c r="C203" s="102" t="s">
        <v>13663</v>
      </c>
      <c r="D203" s="102" t="s">
        <v>13583</v>
      </c>
      <c r="E203" s="124" t="s">
        <v>13647</v>
      </c>
      <c r="F203" s="102" t="s">
        <v>13483</v>
      </c>
      <c r="G203" s="102" t="s">
        <v>13484</v>
      </c>
      <c r="H203" s="124" t="s">
        <v>13420</v>
      </c>
      <c r="I203" s="102" t="s">
        <v>13781</v>
      </c>
      <c r="J203" s="102" t="s">
        <v>13845</v>
      </c>
      <c r="K203" s="124" t="s">
        <v>13457</v>
      </c>
      <c r="L203" s="102" t="s">
        <v>13514</v>
      </c>
      <c r="M203" s="102" t="s">
        <v>13515</v>
      </c>
      <c r="N203" s="124" t="s">
        <v>13423</v>
      </c>
      <c r="O203" s="57"/>
      <c r="P203" s="57"/>
      <c r="Q203" s="57"/>
      <c r="R203" s="57"/>
      <c r="S203" s="57"/>
      <c r="T203" s="57"/>
      <c r="U203" s="57"/>
      <c r="V203" s="57"/>
      <c r="W203" s="57"/>
      <c r="X203" s="57"/>
      <c r="Y203" s="57"/>
      <c r="Z203" s="57"/>
      <c r="AA203" s="57"/>
      <c r="AB203" s="57"/>
      <c r="AC203" s="57"/>
      <c r="AD203" s="57"/>
    </row>
    <row r="204" spans="1:30" ht="13.5" thickBot="1" x14ac:dyDescent="0.25">
      <c r="A204" s="80"/>
      <c r="B204" s="96" t="s">
        <v>13517</v>
      </c>
      <c r="C204" s="95" t="s">
        <v>13796</v>
      </c>
      <c r="D204" s="95" t="s">
        <v>13558</v>
      </c>
      <c r="E204" s="96" t="s">
        <v>13567</v>
      </c>
      <c r="F204" s="95" t="s">
        <v>13489</v>
      </c>
      <c r="G204" s="95" t="s">
        <v>13490</v>
      </c>
      <c r="H204" s="96" t="s">
        <v>13427</v>
      </c>
      <c r="I204" s="95" t="s">
        <v>13850</v>
      </c>
      <c r="J204" s="95" t="s">
        <v>13851</v>
      </c>
      <c r="K204" s="96" t="s">
        <v>13852</v>
      </c>
      <c r="L204" s="95" t="s">
        <v>13518</v>
      </c>
      <c r="M204" s="95" t="s">
        <v>13519</v>
      </c>
      <c r="N204" s="96" t="s">
        <v>13430</v>
      </c>
      <c r="O204" s="57"/>
      <c r="P204" s="57"/>
      <c r="Q204" s="57"/>
      <c r="R204" s="57"/>
      <c r="S204" s="57"/>
      <c r="T204" s="57"/>
      <c r="U204" s="57"/>
      <c r="V204" s="57"/>
      <c r="W204" s="57"/>
      <c r="X204" s="57"/>
      <c r="Y204" s="57"/>
      <c r="Z204" s="57"/>
      <c r="AA204" s="57"/>
      <c r="AB204" s="57"/>
      <c r="AC204" s="57"/>
      <c r="AD204" s="57"/>
    </row>
    <row r="205" spans="1:30" ht="13.5" thickBot="1" x14ac:dyDescent="0.25">
      <c r="A205" s="80"/>
      <c r="B205" s="85" t="s">
        <v>13432</v>
      </c>
      <c r="C205" s="86" t="s">
        <v>13379</v>
      </c>
      <c r="D205" s="86" t="s">
        <v>13584</v>
      </c>
      <c r="E205" s="86" t="s">
        <v>13800</v>
      </c>
      <c r="F205" s="86" t="s">
        <v>13801</v>
      </c>
      <c r="G205" s="86" t="s">
        <v>13559</v>
      </c>
      <c r="H205" s="86" t="s">
        <v>13421</v>
      </c>
      <c r="I205" s="86" t="s">
        <v>13856</v>
      </c>
      <c r="J205" s="86" t="s">
        <v>13597</v>
      </c>
      <c r="K205" s="86" t="s">
        <v>13857</v>
      </c>
      <c r="L205" s="86" t="s">
        <v>13858</v>
      </c>
      <c r="M205" s="86" t="s">
        <v>13859</v>
      </c>
      <c r="N205" s="86" t="s">
        <v>13435</v>
      </c>
      <c r="O205" s="57"/>
      <c r="P205" s="57"/>
      <c r="Q205" s="57"/>
      <c r="R205" s="57"/>
      <c r="S205" s="57"/>
      <c r="T205" s="57"/>
      <c r="U205" s="57"/>
      <c r="V205" s="57"/>
      <c r="W205" s="57"/>
      <c r="X205" s="57"/>
      <c r="Y205" s="57"/>
      <c r="Z205" s="57"/>
      <c r="AA205" s="57"/>
      <c r="AB205" s="57"/>
      <c r="AC205" s="57"/>
      <c r="AD205" s="57"/>
    </row>
    <row r="206" spans="1:30" ht="13.5" thickBot="1" x14ac:dyDescent="0.25">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c r="AA206" s="57"/>
      <c r="AB206" s="57"/>
      <c r="AC206" s="57"/>
      <c r="AD206" s="57"/>
    </row>
    <row r="207" spans="1:30" ht="13.5" thickBot="1" x14ac:dyDescent="0.25">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c r="AA207" s="57"/>
      <c r="AB207" s="57"/>
      <c r="AC207" s="57"/>
      <c r="AD207" s="57"/>
    </row>
    <row r="208" spans="1:30" ht="13.5" thickBot="1" x14ac:dyDescent="0.25">
      <c r="A208" s="57"/>
      <c r="B208" s="87" t="s">
        <v>13972</v>
      </c>
      <c r="C208" s="88"/>
      <c r="D208" s="88"/>
      <c r="E208" s="88"/>
      <c r="F208" s="57"/>
      <c r="G208" s="57"/>
      <c r="H208" s="57"/>
      <c r="I208" s="57"/>
      <c r="J208" s="57"/>
      <c r="K208" s="57"/>
      <c r="L208" s="57"/>
      <c r="M208" s="57"/>
      <c r="N208" s="57"/>
      <c r="O208" s="57"/>
      <c r="P208" s="57"/>
      <c r="Q208" s="57"/>
      <c r="R208" s="57"/>
      <c r="S208" s="57"/>
      <c r="T208" s="57"/>
      <c r="U208" s="57"/>
      <c r="V208" s="57"/>
      <c r="W208" s="57"/>
      <c r="X208" s="57"/>
      <c r="Y208" s="57"/>
      <c r="Z208" s="57"/>
      <c r="AA208" s="57"/>
      <c r="AB208" s="57"/>
      <c r="AC208" s="57"/>
      <c r="AD208" s="57"/>
    </row>
    <row r="209" spans="1:30" ht="13.5" thickBot="1" x14ac:dyDescent="0.25">
      <c r="A209" s="80"/>
      <c r="B209" s="96"/>
      <c r="C209" s="95" t="s">
        <v>13442</v>
      </c>
      <c r="D209" s="95" t="s">
        <v>13443</v>
      </c>
      <c r="E209" s="96" t="s">
        <v>12915</v>
      </c>
      <c r="F209" s="57"/>
      <c r="G209" s="57"/>
      <c r="H209" s="57"/>
      <c r="I209" s="57"/>
      <c r="J209" s="57"/>
      <c r="K209" s="57"/>
      <c r="L209" s="57"/>
      <c r="M209" s="57"/>
      <c r="N209" s="57"/>
      <c r="O209" s="57"/>
      <c r="P209" s="57"/>
      <c r="Q209" s="57"/>
      <c r="R209" s="57"/>
      <c r="S209" s="57"/>
      <c r="T209" s="57"/>
      <c r="U209" s="57"/>
      <c r="V209" s="57"/>
      <c r="W209" s="57"/>
      <c r="X209" s="57"/>
      <c r="Y209" s="57"/>
      <c r="Z209" s="57"/>
      <c r="AA209" s="57"/>
      <c r="AB209" s="57"/>
      <c r="AC209" s="57"/>
      <c r="AD209" s="57"/>
    </row>
    <row r="210" spans="1:30" ht="26.25" thickBot="1" x14ac:dyDescent="0.25">
      <c r="A210" s="80"/>
      <c r="B210" s="124" t="s">
        <v>13973</v>
      </c>
      <c r="C210" s="102" t="s">
        <v>13944</v>
      </c>
      <c r="D210" s="102" t="s">
        <v>13481</v>
      </c>
      <c r="E210" s="124" t="s">
        <v>13974</v>
      </c>
      <c r="F210" s="57"/>
      <c r="G210" s="57"/>
      <c r="H210" s="57"/>
      <c r="I210" s="57"/>
      <c r="J210" s="57"/>
      <c r="K210" s="57"/>
      <c r="L210" s="57"/>
      <c r="M210" s="57"/>
      <c r="N210" s="57"/>
      <c r="O210" s="57"/>
      <c r="P210" s="57"/>
      <c r="Q210" s="57"/>
      <c r="R210" s="57"/>
      <c r="S210" s="57"/>
      <c r="T210" s="57"/>
      <c r="U210" s="57"/>
      <c r="V210" s="57"/>
      <c r="W210" s="57"/>
      <c r="X210" s="57"/>
      <c r="Y210" s="57"/>
      <c r="Z210" s="57"/>
      <c r="AA210" s="57"/>
      <c r="AB210" s="57"/>
      <c r="AC210" s="57"/>
      <c r="AD210" s="57"/>
    </row>
    <row r="211" spans="1:30" ht="26.25" thickBot="1" x14ac:dyDescent="0.25">
      <c r="A211" s="80"/>
      <c r="B211" s="125" t="s">
        <v>13735</v>
      </c>
      <c r="C211" s="126" t="s">
        <v>13421</v>
      </c>
      <c r="D211" s="126" t="s">
        <v>13771</v>
      </c>
      <c r="E211" s="125" t="s">
        <v>13607</v>
      </c>
      <c r="F211" s="57"/>
      <c r="G211" s="57"/>
      <c r="H211" s="57"/>
      <c r="I211" s="57"/>
      <c r="J211" s="57"/>
      <c r="K211" s="57"/>
      <c r="L211" s="57"/>
      <c r="M211" s="57"/>
      <c r="N211" s="57"/>
      <c r="O211" s="57"/>
      <c r="P211" s="57"/>
      <c r="Q211" s="57"/>
      <c r="R211" s="57"/>
      <c r="S211" s="57"/>
      <c r="T211" s="57"/>
      <c r="U211" s="57"/>
      <c r="V211" s="57"/>
      <c r="W211" s="57"/>
      <c r="X211" s="57"/>
      <c r="Y211" s="57"/>
      <c r="Z211" s="57"/>
      <c r="AA211" s="57"/>
      <c r="AB211" s="57"/>
      <c r="AC211" s="57"/>
      <c r="AD211" s="57"/>
    </row>
    <row r="212" spans="1:30" ht="13.5" thickBot="1" x14ac:dyDescent="0.25">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c r="AA212" s="57"/>
      <c r="AB212" s="57"/>
      <c r="AC212" s="57"/>
      <c r="AD212" s="57"/>
    </row>
    <row r="213" spans="1:30" ht="13.5" thickBot="1" x14ac:dyDescent="0.25">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c r="AA213" s="57"/>
      <c r="AB213" s="57"/>
      <c r="AC213" s="57"/>
      <c r="AD213" s="57"/>
    </row>
    <row r="214" spans="1:30" ht="13.5" thickBot="1" x14ac:dyDescent="0.25">
      <c r="A214" s="57"/>
      <c r="B214" s="77" t="s">
        <v>4246</v>
      </c>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c r="AA214" s="57"/>
      <c r="AB214" s="57"/>
      <c r="AC214" s="57"/>
      <c r="AD214" s="57"/>
    </row>
    <row r="215" spans="1:30" ht="13.5" thickBot="1" x14ac:dyDescent="0.25">
      <c r="A215" s="57"/>
      <c r="B215" s="87" t="s">
        <v>13975</v>
      </c>
      <c r="C215" s="88"/>
      <c r="D215" s="88"/>
      <c r="E215" s="88"/>
      <c r="F215" s="88"/>
      <c r="G215" s="57"/>
      <c r="H215" s="87" t="s">
        <v>13976</v>
      </c>
      <c r="I215" s="88"/>
      <c r="J215" s="88"/>
      <c r="K215" s="88"/>
      <c r="L215" s="88"/>
      <c r="M215" s="57"/>
      <c r="N215" s="87" t="s">
        <v>13977</v>
      </c>
      <c r="O215" s="88"/>
      <c r="P215" s="88"/>
      <c r="Q215" s="88"/>
      <c r="R215" s="88"/>
      <c r="S215" s="57"/>
      <c r="T215" s="57"/>
      <c r="U215" s="57"/>
      <c r="V215" s="57"/>
      <c r="W215" s="57"/>
      <c r="X215" s="57"/>
      <c r="Y215" s="57"/>
      <c r="Z215" s="57"/>
      <c r="AA215" s="57"/>
      <c r="AB215" s="57"/>
      <c r="AC215" s="57"/>
      <c r="AD215" s="57"/>
    </row>
    <row r="216" spans="1:30" ht="26.25" thickBot="1" x14ac:dyDescent="0.25">
      <c r="A216" s="57"/>
      <c r="B216" s="127" t="s">
        <v>13368</v>
      </c>
      <c r="C216" s="127" t="s">
        <v>13577</v>
      </c>
      <c r="D216" s="127" t="s">
        <v>13978</v>
      </c>
      <c r="E216" s="127" t="s">
        <v>13582</v>
      </c>
      <c r="F216" s="127" t="s">
        <v>13979</v>
      </c>
      <c r="G216" s="57"/>
      <c r="H216" s="127" t="s">
        <v>13368</v>
      </c>
      <c r="I216" s="127" t="s">
        <v>13577</v>
      </c>
      <c r="J216" s="127" t="s">
        <v>13978</v>
      </c>
      <c r="K216" s="127" t="s">
        <v>13582</v>
      </c>
      <c r="L216" s="127" t="s">
        <v>13979</v>
      </c>
      <c r="M216" s="57"/>
      <c r="N216" s="127" t="s">
        <v>13368</v>
      </c>
      <c r="O216" s="127" t="s">
        <v>13577</v>
      </c>
      <c r="P216" s="127" t="s">
        <v>13978</v>
      </c>
      <c r="Q216" s="127" t="s">
        <v>13582</v>
      </c>
      <c r="R216" s="127" t="s">
        <v>13979</v>
      </c>
      <c r="S216" s="57"/>
      <c r="T216" s="57"/>
      <c r="U216" s="57"/>
      <c r="V216" s="57"/>
      <c r="W216" s="57"/>
      <c r="X216" s="57"/>
      <c r="Y216" s="57"/>
      <c r="Z216" s="57"/>
      <c r="AA216" s="57"/>
      <c r="AB216" s="57"/>
      <c r="AC216" s="57"/>
      <c r="AD216" s="57"/>
    </row>
    <row r="217" spans="1:30" ht="13.5" thickBot="1" x14ac:dyDescent="0.25">
      <c r="A217" s="57"/>
      <c r="B217" s="128" t="s">
        <v>13372</v>
      </c>
      <c r="C217" s="129" t="s">
        <v>13980</v>
      </c>
      <c r="D217" s="128" t="s">
        <v>13981</v>
      </c>
      <c r="E217" s="128" t="s">
        <v>13982</v>
      </c>
      <c r="F217" s="128" t="s">
        <v>13983</v>
      </c>
      <c r="G217" s="57"/>
      <c r="H217" s="128" t="s">
        <v>13372</v>
      </c>
      <c r="I217" s="129" t="s">
        <v>13984</v>
      </c>
      <c r="J217" s="128" t="s">
        <v>13985</v>
      </c>
      <c r="K217" s="128" t="s">
        <v>13986</v>
      </c>
      <c r="L217" s="128" t="s">
        <v>13987</v>
      </c>
      <c r="M217" s="57"/>
      <c r="N217" s="128" t="s">
        <v>13372</v>
      </c>
      <c r="O217" s="129" t="s">
        <v>13988</v>
      </c>
      <c r="P217" s="128" t="s">
        <v>13989</v>
      </c>
      <c r="Q217" s="128" t="s">
        <v>13990</v>
      </c>
      <c r="R217" s="128" t="s">
        <v>13991</v>
      </c>
      <c r="S217" s="57"/>
      <c r="T217" s="57"/>
      <c r="U217" s="57"/>
      <c r="V217" s="57"/>
      <c r="W217" s="57"/>
      <c r="X217" s="57"/>
      <c r="Y217" s="57"/>
      <c r="Z217" s="57"/>
      <c r="AA217" s="57"/>
      <c r="AB217" s="57"/>
      <c r="AC217" s="57"/>
      <c r="AD217" s="57"/>
    </row>
    <row r="218" spans="1:30" ht="13.5" thickBot="1" x14ac:dyDescent="0.25">
      <c r="A218" s="57"/>
      <c r="B218" s="128" t="s">
        <v>13413</v>
      </c>
      <c r="C218" s="129" t="s">
        <v>13992</v>
      </c>
      <c r="D218" s="128">
        <v>70</v>
      </c>
      <c r="E218" s="128" t="s">
        <v>13993</v>
      </c>
      <c r="F218" s="128" t="s">
        <v>13994</v>
      </c>
      <c r="G218" s="57"/>
      <c r="H218" s="128" t="s">
        <v>13413</v>
      </c>
      <c r="I218" s="129" t="s">
        <v>13995</v>
      </c>
      <c r="J218" s="128" t="s">
        <v>13996</v>
      </c>
      <c r="K218" s="128" t="s">
        <v>13997</v>
      </c>
      <c r="L218" s="128" t="s">
        <v>13998</v>
      </c>
      <c r="M218" s="57"/>
      <c r="N218" s="128" t="s">
        <v>13413</v>
      </c>
      <c r="O218" s="129" t="s">
        <v>13999</v>
      </c>
      <c r="P218" s="128" t="s">
        <v>14000</v>
      </c>
      <c r="Q218" s="128">
        <v>79</v>
      </c>
      <c r="R218" s="128" t="s">
        <v>14001</v>
      </c>
      <c r="S218" s="57"/>
      <c r="T218" s="57"/>
      <c r="U218" s="57"/>
      <c r="V218" s="57"/>
      <c r="W218" s="57"/>
      <c r="X218" s="57"/>
      <c r="Y218" s="57"/>
      <c r="Z218" s="57"/>
      <c r="AA218" s="57"/>
      <c r="AB218" s="57"/>
      <c r="AC218" s="57"/>
      <c r="AD218" s="57"/>
    </row>
    <row r="219" spans="1:30" ht="13.5" thickBot="1" x14ac:dyDescent="0.25">
      <c r="A219" s="57"/>
      <c r="B219" s="128" t="s">
        <v>13378</v>
      </c>
      <c r="C219" s="128" t="s">
        <v>14002</v>
      </c>
      <c r="D219" s="128" t="s">
        <v>14003</v>
      </c>
      <c r="E219" s="129" t="s">
        <v>14004</v>
      </c>
      <c r="F219" s="128" t="s">
        <v>14005</v>
      </c>
      <c r="G219" s="57"/>
      <c r="H219" s="128" t="s">
        <v>13378</v>
      </c>
      <c r="I219" s="129" t="s">
        <v>14006</v>
      </c>
      <c r="J219" s="128" t="s">
        <v>14007</v>
      </c>
      <c r="K219" s="128" t="s">
        <v>14008</v>
      </c>
      <c r="L219" s="128" t="s">
        <v>14009</v>
      </c>
      <c r="M219" s="57"/>
      <c r="N219" s="128" t="s">
        <v>13378</v>
      </c>
      <c r="O219" s="129" t="s">
        <v>14010</v>
      </c>
      <c r="P219" s="128" t="s">
        <v>14011</v>
      </c>
      <c r="Q219" s="128" t="s">
        <v>14012</v>
      </c>
      <c r="R219" s="128" t="s">
        <v>14013</v>
      </c>
      <c r="S219" s="57"/>
      <c r="T219" s="57"/>
      <c r="U219" s="57"/>
      <c r="V219" s="57"/>
      <c r="W219" s="57"/>
      <c r="X219" s="57"/>
      <c r="Y219" s="57"/>
      <c r="Z219" s="57"/>
      <c r="AA219" s="57"/>
      <c r="AB219" s="57"/>
      <c r="AC219" s="57"/>
      <c r="AD219" s="57"/>
    </row>
    <row r="220" spans="1:30" ht="13.5" thickBot="1" x14ac:dyDescent="0.25">
      <c r="A220" s="57"/>
      <c r="B220" s="128" t="s">
        <v>13384</v>
      </c>
      <c r="C220" s="129" t="s">
        <v>14014</v>
      </c>
      <c r="D220" s="128">
        <v>90</v>
      </c>
      <c r="E220" s="128" t="s">
        <v>14015</v>
      </c>
      <c r="F220" s="128" t="s">
        <v>14016</v>
      </c>
      <c r="G220" s="57"/>
      <c r="H220" s="128" t="s">
        <v>13384</v>
      </c>
      <c r="I220" s="129" t="s">
        <v>14017</v>
      </c>
      <c r="J220" s="128" t="s">
        <v>14018</v>
      </c>
      <c r="K220" s="128">
        <v>87</v>
      </c>
      <c r="L220" s="128" t="s">
        <v>14019</v>
      </c>
      <c r="M220" s="57"/>
      <c r="N220" s="128" t="s">
        <v>13384</v>
      </c>
      <c r="O220" s="129" t="s">
        <v>14020</v>
      </c>
      <c r="P220" s="128" t="s">
        <v>14021</v>
      </c>
      <c r="Q220" s="128" t="s">
        <v>14019</v>
      </c>
      <c r="R220" s="128" t="s">
        <v>14022</v>
      </c>
      <c r="S220" s="57"/>
      <c r="T220" s="57"/>
      <c r="U220" s="57"/>
      <c r="V220" s="57"/>
      <c r="W220" s="57"/>
      <c r="X220" s="57"/>
      <c r="Y220" s="57"/>
      <c r="Z220" s="57"/>
      <c r="AA220" s="57"/>
      <c r="AB220" s="57"/>
      <c r="AC220" s="57"/>
      <c r="AD220" s="57"/>
    </row>
    <row r="221" spans="1:30" ht="13.5" thickBot="1" x14ac:dyDescent="0.25">
      <c r="A221" s="57"/>
      <c r="B221" s="128" t="s">
        <v>13391</v>
      </c>
      <c r="C221" s="129" t="s">
        <v>14023</v>
      </c>
      <c r="D221" s="128">
        <v>50</v>
      </c>
      <c r="E221" s="128" t="s">
        <v>14024</v>
      </c>
      <c r="F221" s="128" t="s">
        <v>14025</v>
      </c>
      <c r="G221" s="57"/>
      <c r="H221" s="128" t="s">
        <v>13391</v>
      </c>
      <c r="I221" s="129" t="s">
        <v>14026</v>
      </c>
      <c r="J221" s="128" t="s">
        <v>14018</v>
      </c>
      <c r="K221" s="128" t="s">
        <v>14027</v>
      </c>
      <c r="L221" s="128" t="s">
        <v>14028</v>
      </c>
      <c r="M221" s="57"/>
      <c r="N221" s="128" t="s">
        <v>13391</v>
      </c>
      <c r="O221" s="129" t="s">
        <v>14029</v>
      </c>
      <c r="P221" s="128" t="s">
        <v>14030</v>
      </c>
      <c r="Q221" s="128" t="s">
        <v>14031</v>
      </c>
      <c r="R221" s="128" t="s">
        <v>14032</v>
      </c>
      <c r="S221" s="57"/>
      <c r="T221" s="57"/>
      <c r="U221" s="57"/>
      <c r="V221" s="57"/>
      <c r="W221" s="57"/>
      <c r="X221" s="57"/>
      <c r="Y221" s="57"/>
      <c r="Z221" s="57"/>
      <c r="AA221" s="57"/>
      <c r="AB221" s="57"/>
      <c r="AC221" s="57"/>
      <c r="AD221" s="57"/>
    </row>
    <row r="222" spans="1:30" ht="13.5" thickBot="1" x14ac:dyDescent="0.25">
      <c r="A222" s="57"/>
      <c r="B222" s="128" t="s">
        <v>13397</v>
      </c>
      <c r="C222" s="128" t="s">
        <v>14033</v>
      </c>
      <c r="D222" s="129" t="s">
        <v>14034</v>
      </c>
      <c r="E222" s="128" t="s">
        <v>14035</v>
      </c>
      <c r="F222" s="128" t="s">
        <v>14036</v>
      </c>
      <c r="G222" s="57"/>
      <c r="H222" s="128" t="s">
        <v>13397</v>
      </c>
      <c r="I222" s="129" t="s">
        <v>14037</v>
      </c>
      <c r="J222" s="128" t="s">
        <v>14038</v>
      </c>
      <c r="K222" s="128">
        <v>75</v>
      </c>
      <c r="L222" s="128" t="s">
        <v>14039</v>
      </c>
      <c r="M222" s="57"/>
      <c r="N222" s="128" t="s">
        <v>13397</v>
      </c>
      <c r="O222" s="129" t="s">
        <v>14040</v>
      </c>
      <c r="P222" s="128" t="s">
        <v>14041</v>
      </c>
      <c r="Q222" s="128">
        <v>80</v>
      </c>
      <c r="R222" s="128" t="s">
        <v>14042</v>
      </c>
      <c r="S222" s="57"/>
      <c r="T222" s="57"/>
      <c r="U222" s="57"/>
      <c r="V222" s="57"/>
      <c r="W222" s="57"/>
      <c r="X222" s="57"/>
      <c r="Y222" s="57"/>
      <c r="Z222" s="57"/>
      <c r="AA222" s="57"/>
      <c r="AB222" s="57"/>
      <c r="AC222" s="57"/>
      <c r="AD222" s="57"/>
    </row>
    <row r="223" spans="1:30" ht="13.5" thickBot="1" x14ac:dyDescent="0.25">
      <c r="A223" s="57"/>
      <c r="B223" s="128" t="s">
        <v>13403</v>
      </c>
      <c r="C223" s="128" t="s">
        <v>14043</v>
      </c>
      <c r="D223" s="129" t="s">
        <v>14044</v>
      </c>
      <c r="E223" s="128" t="s">
        <v>14045</v>
      </c>
      <c r="F223" s="128" t="s">
        <v>14046</v>
      </c>
      <c r="G223" s="57"/>
      <c r="H223" s="128" t="s">
        <v>13403</v>
      </c>
      <c r="I223" s="129" t="s">
        <v>14047</v>
      </c>
      <c r="J223" s="128" t="s">
        <v>14048</v>
      </c>
      <c r="K223" s="128" t="s">
        <v>14049</v>
      </c>
      <c r="L223" s="128" t="s">
        <v>14050</v>
      </c>
      <c r="M223" s="57"/>
      <c r="N223" s="128" t="s">
        <v>13403</v>
      </c>
      <c r="O223" s="129" t="s">
        <v>14051</v>
      </c>
      <c r="P223" s="128" t="s">
        <v>14052</v>
      </c>
      <c r="Q223" s="128" t="s">
        <v>14053</v>
      </c>
      <c r="R223" s="128" t="s">
        <v>14054</v>
      </c>
      <c r="S223" s="57"/>
      <c r="T223" s="57"/>
      <c r="U223" s="57"/>
      <c r="V223" s="57"/>
      <c r="W223" s="57"/>
      <c r="X223" s="57"/>
      <c r="Y223" s="57"/>
      <c r="Z223" s="57"/>
      <c r="AA223" s="57"/>
      <c r="AB223" s="57"/>
      <c r="AC223" s="57"/>
      <c r="AD223" s="57"/>
    </row>
    <row r="224" spans="1:30" ht="26.25" thickBot="1" x14ac:dyDescent="0.25">
      <c r="A224" s="57"/>
      <c r="B224" s="128" t="s">
        <v>13408</v>
      </c>
      <c r="C224" s="128" t="s">
        <v>14055</v>
      </c>
      <c r="D224" s="129" t="s">
        <v>14056</v>
      </c>
      <c r="E224" s="128" t="s">
        <v>14057</v>
      </c>
      <c r="F224" s="128" t="s">
        <v>14058</v>
      </c>
      <c r="G224" s="57"/>
      <c r="H224" s="128" t="s">
        <v>13408</v>
      </c>
      <c r="I224" s="129" t="s">
        <v>14059</v>
      </c>
      <c r="J224" s="128" t="s">
        <v>14060</v>
      </c>
      <c r="K224" s="128" t="s">
        <v>14061</v>
      </c>
      <c r="L224" s="128" t="s">
        <v>14062</v>
      </c>
      <c r="M224" s="57"/>
      <c r="N224" s="128" t="s">
        <v>13408</v>
      </c>
      <c r="O224" s="129" t="s">
        <v>14063</v>
      </c>
      <c r="P224" s="128" t="s">
        <v>14064</v>
      </c>
      <c r="Q224" s="128">
        <v>67</v>
      </c>
      <c r="R224" s="128" t="s">
        <v>14065</v>
      </c>
      <c r="S224" s="57"/>
      <c r="T224" s="57"/>
      <c r="U224" s="57"/>
      <c r="V224" s="57"/>
      <c r="W224" s="57"/>
      <c r="X224" s="57"/>
      <c r="Y224" s="57"/>
      <c r="Z224" s="57"/>
      <c r="AA224" s="57"/>
      <c r="AB224" s="57"/>
      <c r="AC224" s="57"/>
      <c r="AD224" s="57"/>
    </row>
    <row r="225" spans="1:30" ht="13.5" thickBot="1" x14ac:dyDescent="0.25">
      <c r="A225" s="57"/>
      <c r="B225" s="128" t="s">
        <v>13419</v>
      </c>
      <c r="C225" s="129" t="s">
        <v>14066</v>
      </c>
      <c r="D225" s="128">
        <v>75</v>
      </c>
      <c r="E225" s="128" t="s">
        <v>14067</v>
      </c>
      <c r="F225" s="128" t="s">
        <v>14068</v>
      </c>
      <c r="G225" s="57"/>
      <c r="H225" s="128" t="s">
        <v>13419</v>
      </c>
      <c r="I225" s="129" t="s">
        <v>14069</v>
      </c>
      <c r="J225" s="128" t="s">
        <v>14070</v>
      </c>
      <c r="K225" s="128" t="s">
        <v>14071</v>
      </c>
      <c r="L225" s="128" t="s">
        <v>14068</v>
      </c>
      <c r="M225" s="57"/>
      <c r="N225" s="128" t="s">
        <v>13419</v>
      </c>
      <c r="O225" s="129" t="s">
        <v>14072</v>
      </c>
      <c r="P225" s="128" t="s">
        <v>14073</v>
      </c>
      <c r="Q225" s="128">
        <v>84</v>
      </c>
      <c r="R225" s="128" t="s">
        <v>14068</v>
      </c>
      <c r="S225" s="57"/>
      <c r="T225" s="57"/>
      <c r="U225" s="57"/>
      <c r="V225" s="57"/>
      <c r="W225" s="57"/>
      <c r="X225" s="57"/>
      <c r="Y225" s="57"/>
      <c r="Z225" s="57"/>
      <c r="AA225" s="57"/>
      <c r="AB225" s="57"/>
      <c r="AC225" s="57"/>
      <c r="AD225" s="57"/>
    </row>
    <row r="226" spans="1:30" ht="13.5" thickBot="1" x14ac:dyDescent="0.25">
      <c r="A226" s="57"/>
      <c r="B226" s="127" t="s">
        <v>13517</v>
      </c>
      <c r="C226" s="130" t="s">
        <v>14074</v>
      </c>
      <c r="D226" s="127" t="s">
        <v>14075</v>
      </c>
      <c r="E226" s="127">
        <v>67</v>
      </c>
      <c r="F226" s="127" t="s">
        <v>14076</v>
      </c>
      <c r="G226" s="57"/>
      <c r="H226" s="127" t="s">
        <v>13517</v>
      </c>
      <c r="I226" s="130" t="s">
        <v>14077</v>
      </c>
      <c r="J226" s="127" t="s">
        <v>14078</v>
      </c>
      <c r="K226" s="127" t="s">
        <v>14079</v>
      </c>
      <c r="L226" s="127" t="s">
        <v>14080</v>
      </c>
      <c r="M226" s="57"/>
      <c r="N226" s="127" t="s">
        <v>13517</v>
      </c>
      <c r="O226" s="130" t="s">
        <v>14081</v>
      </c>
      <c r="P226" s="127" t="s">
        <v>14082</v>
      </c>
      <c r="Q226" s="127" t="s">
        <v>14083</v>
      </c>
      <c r="R226" s="127" t="s">
        <v>14084</v>
      </c>
      <c r="S226" s="57"/>
      <c r="T226" s="57"/>
      <c r="U226" s="57"/>
      <c r="V226" s="57"/>
      <c r="W226" s="57"/>
      <c r="X226" s="57"/>
      <c r="Y226" s="57"/>
      <c r="Z226" s="57"/>
      <c r="AA226" s="57"/>
      <c r="AB226" s="57"/>
      <c r="AC226" s="57"/>
      <c r="AD226" s="57"/>
    </row>
    <row r="227" spans="1:30" ht="13.5" thickBot="1" x14ac:dyDescent="0.25">
      <c r="A227" s="80"/>
      <c r="B227" s="85" t="s">
        <v>13432</v>
      </c>
      <c r="C227" s="86" t="s">
        <v>14085</v>
      </c>
      <c r="D227" s="86" t="s">
        <v>14086</v>
      </c>
      <c r="E227" s="86" t="s">
        <v>14087</v>
      </c>
      <c r="F227" s="86" t="s">
        <v>14088</v>
      </c>
      <c r="G227" s="80"/>
      <c r="H227" s="85" t="s">
        <v>13432</v>
      </c>
      <c r="I227" s="86" t="s">
        <v>14089</v>
      </c>
      <c r="J227" s="86" t="s">
        <v>14090</v>
      </c>
      <c r="K227" s="86">
        <v>67</v>
      </c>
      <c r="L227" s="86" t="s">
        <v>14091</v>
      </c>
      <c r="M227" s="80"/>
      <c r="N227" s="85" t="s">
        <v>13432</v>
      </c>
      <c r="O227" s="86" t="s">
        <v>14092</v>
      </c>
      <c r="P227" s="86" t="s">
        <v>14093</v>
      </c>
      <c r="Q227" s="86" t="s">
        <v>14094</v>
      </c>
      <c r="R227" s="86" t="s">
        <v>14095</v>
      </c>
      <c r="S227" s="57"/>
      <c r="T227" s="57"/>
      <c r="U227" s="57"/>
      <c r="V227" s="57"/>
      <c r="W227" s="57"/>
      <c r="X227" s="57"/>
      <c r="Y227" s="57"/>
      <c r="Z227" s="57"/>
      <c r="AA227" s="57"/>
      <c r="AB227" s="57"/>
      <c r="AC227" s="57"/>
      <c r="AD227" s="57"/>
    </row>
    <row r="228" spans="1:30" ht="13.5" thickBot="1" x14ac:dyDescent="0.25">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c r="AA228" s="57"/>
      <c r="AB228" s="57"/>
      <c r="AC228" s="57"/>
      <c r="AD228" s="57"/>
    </row>
    <row r="229" spans="1:30" ht="13.5" thickBot="1" x14ac:dyDescent="0.25">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c r="AA229" s="57"/>
      <c r="AB229" s="57"/>
      <c r="AC229" s="57"/>
      <c r="AD229" s="57"/>
    </row>
    <row r="230" spans="1:30" ht="13.5" thickBot="1" x14ac:dyDescent="0.25">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c r="AA230" s="57"/>
      <c r="AB230" s="57"/>
      <c r="AC230" s="57"/>
      <c r="AD230" s="57"/>
    </row>
    <row r="231" spans="1:30" ht="13.5" thickBot="1" x14ac:dyDescent="0.25">
      <c r="A231" s="57"/>
      <c r="B231" s="87" t="s">
        <v>14096</v>
      </c>
      <c r="C231" s="88"/>
      <c r="D231" s="88"/>
      <c r="E231" s="88"/>
      <c r="F231" s="88"/>
      <c r="G231" s="88"/>
      <c r="H231" s="88"/>
      <c r="I231" s="57"/>
      <c r="J231" s="57"/>
      <c r="K231" s="57"/>
      <c r="L231" s="57"/>
      <c r="M231" s="57"/>
      <c r="N231" s="57"/>
      <c r="O231" s="57"/>
      <c r="P231" s="57"/>
      <c r="Q231" s="57"/>
      <c r="R231" s="57"/>
      <c r="S231" s="57"/>
      <c r="T231" s="57"/>
      <c r="U231" s="57"/>
      <c r="V231" s="57"/>
      <c r="W231" s="57"/>
      <c r="X231" s="57"/>
      <c r="Y231" s="57"/>
      <c r="Z231" s="57"/>
      <c r="AA231" s="57"/>
      <c r="AB231" s="57"/>
      <c r="AC231" s="57"/>
      <c r="AD231" s="57"/>
    </row>
    <row r="232" spans="1:30" ht="13.5" thickBot="1" x14ac:dyDescent="0.25">
      <c r="A232" s="80"/>
      <c r="B232" s="305" t="s">
        <v>14097</v>
      </c>
      <c r="C232" s="307" t="s">
        <v>14098</v>
      </c>
      <c r="D232" s="309" t="s">
        <v>14099</v>
      </c>
      <c r="E232" s="310"/>
      <c r="F232" s="309" t="s">
        <v>14100</v>
      </c>
      <c r="G232" s="311"/>
      <c r="H232" s="310"/>
      <c r="I232" s="57"/>
      <c r="J232" s="57"/>
      <c r="K232" s="57"/>
      <c r="L232" s="57"/>
      <c r="M232" s="57"/>
      <c r="N232" s="57"/>
      <c r="O232" s="57"/>
      <c r="P232" s="57"/>
      <c r="Q232" s="57"/>
      <c r="R232" s="57"/>
      <c r="S232" s="57"/>
      <c r="T232" s="57"/>
      <c r="U232" s="57"/>
      <c r="V232" s="57"/>
      <c r="W232" s="57"/>
      <c r="X232" s="57"/>
      <c r="Y232" s="57"/>
      <c r="Z232" s="57"/>
      <c r="AA232" s="57"/>
      <c r="AB232" s="57"/>
      <c r="AC232" s="57"/>
      <c r="AD232" s="57"/>
    </row>
    <row r="233" spans="1:30" ht="26.25" thickBot="1" x14ac:dyDescent="0.25">
      <c r="A233" s="80"/>
      <c r="B233" s="306"/>
      <c r="C233" s="308"/>
      <c r="D233" s="81" t="s">
        <v>14101</v>
      </c>
      <c r="E233" s="81" t="s">
        <v>14102</v>
      </c>
      <c r="F233" s="81" t="s">
        <v>14103</v>
      </c>
      <c r="G233" s="81" t="s">
        <v>14104</v>
      </c>
      <c r="H233" s="81" t="s">
        <v>14105</v>
      </c>
      <c r="I233" s="57"/>
      <c r="J233" s="57"/>
      <c r="K233" s="57"/>
      <c r="L233" s="57"/>
      <c r="M233" s="57"/>
      <c r="N233" s="57"/>
      <c r="O233" s="57"/>
      <c r="P233" s="57"/>
      <c r="Q233" s="57"/>
      <c r="R233" s="57"/>
      <c r="S233" s="57"/>
      <c r="T233" s="57"/>
      <c r="U233" s="57"/>
      <c r="V233" s="57"/>
      <c r="W233" s="57"/>
      <c r="X233" s="57"/>
      <c r="Y233" s="57"/>
      <c r="Z233" s="57"/>
      <c r="AA233" s="57"/>
      <c r="AB233" s="57"/>
      <c r="AC233" s="57"/>
      <c r="AD233" s="57"/>
    </row>
    <row r="234" spans="1:30" ht="13.5" thickBot="1" x14ac:dyDescent="0.25">
      <c r="A234" s="80"/>
      <c r="B234" s="81" t="s">
        <v>13442</v>
      </c>
      <c r="C234" s="131" t="s">
        <v>14106</v>
      </c>
      <c r="D234" s="132" t="s">
        <v>13641</v>
      </c>
      <c r="E234" s="132" t="s">
        <v>14107</v>
      </c>
      <c r="F234" s="132" t="s">
        <v>13770</v>
      </c>
      <c r="G234" s="132" t="s">
        <v>14108</v>
      </c>
      <c r="H234" s="132" t="s">
        <v>13799</v>
      </c>
      <c r="I234" s="57"/>
      <c r="J234" s="57"/>
      <c r="K234" s="57"/>
      <c r="L234" s="57"/>
      <c r="M234" s="57"/>
      <c r="N234" s="57"/>
      <c r="O234" s="57"/>
      <c r="P234" s="57"/>
      <c r="Q234" s="57"/>
      <c r="R234" s="57"/>
      <c r="S234" s="57"/>
      <c r="T234" s="57"/>
      <c r="U234" s="57"/>
      <c r="V234" s="57"/>
      <c r="W234" s="57"/>
      <c r="X234" s="57"/>
      <c r="Y234" s="57"/>
      <c r="Z234" s="57"/>
      <c r="AA234" s="57"/>
      <c r="AB234" s="57"/>
      <c r="AC234" s="57"/>
      <c r="AD234" s="57"/>
    </row>
    <row r="235" spans="1:30" ht="13.5" thickBot="1" x14ac:dyDescent="0.25">
      <c r="A235" s="80"/>
      <c r="B235" s="81" t="s">
        <v>14109</v>
      </c>
      <c r="C235" s="81" t="s">
        <v>12699</v>
      </c>
      <c r="D235" s="81" t="s">
        <v>14110</v>
      </c>
      <c r="E235" s="81" t="s">
        <v>14111</v>
      </c>
      <c r="F235" s="81" t="s">
        <v>14112</v>
      </c>
      <c r="G235" s="81" t="s">
        <v>14113</v>
      </c>
      <c r="H235" s="81" t="s">
        <v>14114</v>
      </c>
      <c r="I235" s="57"/>
      <c r="J235" s="57"/>
      <c r="K235" s="57"/>
      <c r="L235" s="57"/>
      <c r="M235" s="57"/>
      <c r="N235" s="57"/>
      <c r="O235" s="57"/>
      <c r="P235" s="57"/>
      <c r="Q235" s="57"/>
      <c r="R235" s="57"/>
      <c r="S235" s="57"/>
      <c r="T235" s="57"/>
      <c r="U235" s="57"/>
      <c r="V235" s="57"/>
      <c r="W235" s="57"/>
      <c r="X235" s="57"/>
      <c r="Y235" s="57"/>
      <c r="Z235" s="57"/>
      <c r="AA235" s="57"/>
      <c r="AB235" s="57"/>
      <c r="AC235" s="57"/>
      <c r="AD235" s="57"/>
    </row>
    <row r="236" spans="1:30" ht="13.5" thickBot="1" x14ac:dyDescent="0.25">
      <c r="A236" s="80"/>
      <c r="B236" s="81" t="s">
        <v>13443</v>
      </c>
      <c r="C236" s="131" t="s">
        <v>14115</v>
      </c>
      <c r="D236" s="132" t="s">
        <v>14116</v>
      </c>
      <c r="E236" s="132" t="s">
        <v>13623</v>
      </c>
      <c r="F236" s="132" t="s">
        <v>14117</v>
      </c>
      <c r="G236" s="132" t="s">
        <v>14118</v>
      </c>
      <c r="H236" s="132" t="s">
        <v>13586</v>
      </c>
      <c r="I236" s="57"/>
      <c r="J236" s="57"/>
      <c r="K236" s="57"/>
      <c r="L236" s="57"/>
      <c r="M236" s="57"/>
      <c r="N236" s="57"/>
      <c r="O236" s="57"/>
      <c r="P236" s="57"/>
      <c r="Q236" s="57"/>
      <c r="R236" s="57"/>
      <c r="S236" s="57"/>
      <c r="T236" s="57"/>
      <c r="U236" s="57"/>
      <c r="V236" s="57"/>
      <c r="W236" s="57"/>
      <c r="X236" s="57"/>
      <c r="Y236" s="57"/>
      <c r="Z236" s="57"/>
      <c r="AA236" s="57"/>
      <c r="AB236" s="57"/>
      <c r="AC236" s="57"/>
      <c r="AD236" s="57"/>
    </row>
    <row r="237" spans="1:30" ht="26.25" thickBot="1" x14ac:dyDescent="0.25">
      <c r="A237" s="80"/>
      <c r="B237" s="81" t="s">
        <v>14109</v>
      </c>
      <c r="C237" s="81" t="s">
        <v>12699</v>
      </c>
      <c r="D237" s="81" t="s">
        <v>14119</v>
      </c>
      <c r="E237" s="81" t="s">
        <v>14120</v>
      </c>
      <c r="F237" s="133">
        <v>0.26079999999999998</v>
      </c>
      <c r="G237" s="81" t="s">
        <v>14121</v>
      </c>
      <c r="H237" s="81" t="s">
        <v>14122</v>
      </c>
      <c r="I237" s="57"/>
      <c r="J237" s="57"/>
      <c r="K237" s="57"/>
      <c r="L237" s="57"/>
      <c r="M237" s="57"/>
      <c r="N237" s="57"/>
      <c r="O237" s="57"/>
      <c r="P237" s="57"/>
      <c r="Q237" s="57"/>
      <c r="R237" s="57"/>
      <c r="S237" s="57"/>
      <c r="T237" s="57"/>
      <c r="U237" s="57"/>
      <c r="V237" s="57"/>
      <c r="W237" s="57"/>
      <c r="X237" s="57"/>
      <c r="Y237" s="57"/>
      <c r="Z237" s="57"/>
      <c r="AA237" s="57"/>
      <c r="AB237" s="57"/>
      <c r="AC237" s="57"/>
      <c r="AD237" s="57"/>
    </row>
    <row r="238" spans="1:30" ht="13.5" thickBot="1" x14ac:dyDescent="0.25">
      <c r="A238" s="80"/>
      <c r="B238" s="81" t="s">
        <v>14123</v>
      </c>
      <c r="C238" s="131" t="s">
        <v>14124</v>
      </c>
      <c r="D238" s="132" t="s">
        <v>13605</v>
      </c>
      <c r="E238" s="132" t="s">
        <v>14125</v>
      </c>
      <c r="F238" s="132" t="s">
        <v>13872</v>
      </c>
      <c r="G238" s="132" t="s">
        <v>14126</v>
      </c>
      <c r="H238" s="132" t="s">
        <v>13528</v>
      </c>
      <c r="I238" s="57"/>
      <c r="J238" s="57"/>
      <c r="K238" s="57"/>
      <c r="L238" s="57"/>
      <c r="M238" s="57"/>
      <c r="N238" s="57"/>
      <c r="O238" s="57"/>
      <c r="P238" s="57"/>
      <c r="Q238" s="57"/>
      <c r="R238" s="57"/>
      <c r="S238" s="57"/>
      <c r="T238" s="57"/>
      <c r="U238" s="57"/>
      <c r="V238" s="57"/>
      <c r="W238" s="57"/>
      <c r="X238" s="57"/>
      <c r="Y238" s="57"/>
      <c r="Z238" s="57"/>
      <c r="AA238" s="57"/>
      <c r="AB238" s="57"/>
      <c r="AC238" s="57"/>
      <c r="AD238" s="57"/>
    </row>
    <row r="239" spans="1:30" ht="26.25" thickBot="1" x14ac:dyDescent="0.25">
      <c r="A239" s="80"/>
      <c r="B239" s="81" t="s">
        <v>14109</v>
      </c>
      <c r="C239" s="81" t="s">
        <v>12699</v>
      </c>
      <c r="D239" s="81" t="s">
        <v>14127</v>
      </c>
      <c r="E239" s="81" t="s">
        <v>14128</v>
      </c>
      <c r="F239" s="81" t="s">
        <v>14129</v>
      </c>
      <c r="G239" s="81" t="s">
        <v>14130</v>
      </c>
      <c r="H239" s="81" t="s">
        <v>14131</v>
      </c>
      <c r="I239" s="57"/>
      <c r="J239" s="57"/>
      <c r="K239" s="57"/>
      <c r="L239" s="57"/>
      <c r="M239" s="57"/>
      <c r="N239" s="57"/>
      <c r="O239" s="57"/>
      <c r="P239" s="57"/>
      <c r="Q239" s="57"/>
      <c r="R239" s="57"/>
      <c r="S239" s="57"/>
      <c r="T239" s="57"/>
      <c r="U239" s="57"/>
      <c r="V239" s="57"/>
      <c r="W239" s="57"/>
      <c r="X239" s="57"/>
      <c r="Y239" s="57"/>
      <c r="Z239" s="57"/>
      <c r="AA239" s="57"/>
      <c r="AB239" s="57"/>
      <c r="AC239" s="57"/>
      <c r="AD239" s="57"/>
    </row>
    <row r="240" spans="1:30" ht="13.5" thickBot="1" x14ac:dyDescent="0.25">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c r="AA240" s="57"/>
      <c r="AB240" s="57"/>
      <c r="AC240" s="57"/>
      <c r="AD240" s="57"/>
    </row>
    <row r="241" spans="1:30" ht="13.5" thickBot="1" x14ac:dyDescent="0.25">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c r="AA241" s="57"/>
      <c r="AB241" s="57"/>
      <c r="AC241" s="57"/>
      <c r="AD241" s="57"/>
    </row>
    <row r="242" spans="1:30" ht="13.5" thickBot="1" x14ac:dyDescent="0.25">
      <c r="A242" s="57"/>
      <c r="B242" s="77" t="s">
        <v>3184</v>
      </c>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c r="AA242" s="57"/>
      <c r="AB242" s="57"/>
      <c r="AC242" s="57"/>
      <c r="AD242" s="57"/>
    </row>
    <row r="243" spans="1:30" ht="13.5" thickBot="1" x14ac:dyDescent="0.25">
      <c r="A243" s="57"/>
      <c r="B243" s="87" t="s">
        <v>14132</v>
      </c>
      <c r="C243" s="88"/>
      <c r="D243" s="88"/>
      <c r="E243" s="88"/>
      <c r="F243" s="88"/>
      <c r="G243" s="88"/>
      <c r="H243" s="88"/>
      <c r="I243" s="57"/>
      <c r="J243" s="87" t="s">
        <v>14133</v>
      </c>
      <c r="K243" s="88"/>
      <c r="L243" s="88"/>
      <c r="M243" s="88"/>
      <c r="N243" s="88"/>
      <c r="O243" s="88"/>
      <c r="P243" s="88"/>
      <c r="Q243" s="57"/>
      <c r="R243" s="57"/>
      <c r="S243" s="57"/>
      <c r="T243" s="57"/>
      <c r="U243" s="57"/>
      <c r="V243" s="57"/>
      <c r="W243" s="57"/>
      <c r="X243" s="57"/>
      <c r="Y243" s="57"/>
      <c r="Z243" s="57"/>
      <c r="AA243" s="57"/>
      <c r="AB243" s="57"/>
      <c r="AC243" s="57"/>
      <c r="AD243" s="57"/>
    </row>
    <row r="244" spans="1:30" ht="13.5" thickBot="1" x14ac:dyDescent="0.25">
      <c r="A244" s="57"/>
      <c r="B244" s="300" t="s">
        <v>13368</v>
      </c>
      <c r="C244" s="296" t="s">
        <v>14134</v>
      </c>
      <c r="D244" s="297"/>
      <c r="E244" s="298"/>
      <c r="F244" s="296" t="s">
        <v>14135</v>
      </c>
      <c r="G244" s="297"/>
      <c r="H244" s="299"/>
      <c r="I244" s="57"/>
      <c r="J244" s="294" t="s">
        <v>14136</v>
      </c>
      <c r="K244" s="296" t="s">
        <v>14137</v>
      </c>
      <c r="L244" s="297"/>
      <c r="M244" s="298"/>
      <c r="N244" s="296" t="s">
        <v>14138</v>
      </c>
      <c r="O244" s="297"/>
      <c r="P244" s="299"/>
      <c r="Q244" s="57"/>
      <c r="R244" s="57"/>
      <c r="S244" s="57"/>
      <c r="T244" s="57"/>
      <c r="U244" s="57"/>
      <c r="V244" s="57"/>
      <c r="W244" s="57"/>
      <c r="X244" s="57"/>
      <c r="Y244" s="57"/>
      <c r="Z244" s="57"/>
      <c r="AA244" s="57"/>
      <c r="AB244" s="57"/>
      <c r="AC244" s="57"/>
      <c r="AD244" s="57"/>
    </row>
    <row r="245" spans="1:30" ht="13.5" thickBot="1" x14ac:dyDescent="0.25">
      <c r="A245" s="57"/>
      <c r="B245" s="301"/>
      <c r="C245" s="95" t="s">
        <v>13442</v>
      </c>
      <c r="D245" s="95" t="s">
        <v>13443</v>
      </c>
      <c r="E245" s="96" t="s">
        <v>13739</v>
      </c>
      <c r="F245" s="95" t="s">
        <v>13442</v>
      </c>
      <c r="G245" s="95" t="s">
        <v>13443</v>
      </c>
      <c r="H245" s="95" t="s">
        <v>13739</v>
      </c>
      <c r="I245" s="57"/>
      <c r="J245" s="295"/>
      <c r="K245" s="96" t="s">
        <v>14139</v>
      </c>
      <c r="L245" s="96" t="s">
        <v>13577</v>
      </c>
      <c r="M245" s="99" t="s">
        <v>14140</v>
      </c>
      <c r="N245" s="96" t="s">
        <v>14139</v>
      </c>
      <c r="O245" s="96" t="s">
        <v>13577</v>
      </c>
      <c r="P245" s="134" t="s">
        <v>14140</v>
      </c>
      <c r="Q245" s="57"/>
      <c r="R245" s="57"/>
      <c r="S245" s="57"/>
      <c r="T245" s="57"/>
      <c r="U245" s="57"/>
      <c r="V245" s="57"/>
      <c r="W245" s="57"/>
      <c r="X245" s="57"/>
      <c r="Y245" s="57"/>
      <c r="Z245" s="57"/>
      <c r="AA245" s="57"/>
      <c r="AB245" s="57"/>
      <c r="AC245" s="57"/>
      <c r="AD245" s="57"/>
    </row>
    <row r="246" spans="1:30" ht="26.25" thickBot="1" x14ac:dyDescent="0.25">
      <c r="A246" s="57"/>
      <c r="B246" s="124" t="s">
        <v>14141</v>
      </c>
      <c r="C246" s="102" t="s">
        <v>14142</v>
      </c>
      <c r="D246" s="135" t="s">
        <v>14143</v>
      </c>
      <c r="E246" s="124" t="s">
        <v>14144</v>
      </c>
      <c r="F246" s="135" t="s">
        <v>14145</v>
      </c>
      <c r="G246" s="102" t="s">
        <v>14146</v>
      </c>
      <c r="H246" s="102" t="s">
        <v>14147</v>
      </c>
      <c r="I246" s="57"/>
      <c r="J246" s="124" t="s">
        <v>14141</v>
      </c>
      <c r="K246" s="136" t="s">
        <v>14148</v>
      </c>
      <c r="L246" s="136" t="s">
        <v>14144</v>
      </c>
      <c r="M246" s="136" t="s">
        <v>14149</v>
      </c>
      <c r="N246" s="136" t="s">
        <v>14150</v>
      </c>
      <c r="O246" s="136" t="s">
        <v>14147</v>
      </c>
      <c r="P246" s="137" t="s">
        <v>14151</v>
      </c>
      <c r="Q246" s="57"/>
      <c r="R246" s="57"/>
      <c r="S246" s="57"/>
      <c r="T246" s="57"/>
      <c r="U246" s="57"/>
      <c r="V246" s="57"/>
      <c r="W246" s="57"/>
      <c r="X246" s="57"/>
      <c r="Y246" s="57"/>
      <c r="Z246" s="57"/>
      <c r="AA246" s="57"/>
      <c r="AB246" s="57"/>
      <c r="AC246" s="57"/>
      <c r="AD246" s="57"/>
    </row>
    <row r="247" spans="1:30" ht="13.5" thickBot="1" x14ac:dyDescent="0.25">
      <c r="A247" s="57"/>
      <c r="B247" s="124" t="s">
        <v>13378</v>
      </c>
      <c r="C247" s="102" t="s">
        <v>14152</v>
      </c>
      <c r="D247" s="102" t="s">
        <v>14153</v>
      </c>
      <c r="E247" s="124" t="s">
        <v>14154</v>
      </c>
      <c r="F247" s="102" t="s">
        <v>14155</v>
      </c>
      <c r="G247" s="102" t="s">
        <v>14156</v>
      </c>
      <c r="H247" s="102" t="s">
        <v>13796</v>
      </c>
      <c r="I247" s="57"/>
      <c r="J247" s="124" t="s">
        <v>13378</v>
      </c>
      <c r="K247" s="136" t="s">
        <v>14157</v>
      </c>
      <c r="L247" s="136" t="s">
        <v>14154</v>
      </c>
      <c r="M247" s="136" t="s">
        <v>14158</v>
      </c>
      <c r="N247" s="136" t="s">
        <v>14159</v>
      </c>
      <c r="O247" s="136" t="s">
        <v>13796</v>
      </c>
      <c r="P247" s="137" t="s">
        <v>14160</v>
      </c>
      <c r="Q247" s="57"/>
      <c r="R247" s="57"/>
      <c r="S247" s="57"/>
      <c r="T247" s="57"/>
      <c r="U247" s="57"/>
      <c r="V247" s="57"/>
      <c r="W247" s="57"/>
      <c r="X247" s="57"/>
      <c r="Y247" s="57"/>
      <c r="Z247" s="57"/>
      <c r="AA247" s="57"/>
      <c r="AB247" s="57"/>
      <c r="AC247" s="57"/>
      <c r="AD247" s="57"/>
    </row>
    <row r="248" spans="1:30" ht="13.5" thickBot="1" x14ac:dyDescent="0.25">
      <c r="A248" s="57"/>
      <c r="B248" s="124" t="s">
        <v>13384</v>
      </c>
      <c r="C248" s="102" t="s">
        <v>14161</v>
      </c>
      <c r="D248" s="102" t="s">
        <v>14162</v>
      </c>
      <c r="E248" s="124" t="s">
        <v>14163</v>
      </c>
      <c r="F248" s="102" t="s">
        <v>14164</v>
      </c>
      <c r="G248" s="102" t="s">
        <v>14165</v>
      </c>
      <c r="H248" s="102" t="s">
        <v>14166</v>
      </c>
      <c r="I248" s="57"/>
      <c r="J248" s="124" t="s">
        <v>13384</v>
      </c>
      <c r="K248" s="136" t="s">
        <v>14167</v>
      </c>
      <c r="L248" s="136" t="s">
        <v>14163</v>
      </c>
      <c r="M248" s="136" t="s">
        <v>14168</v>
      </c>
      <c r="N248" s="136" t="s">
        <v>14169</v>
      </c>
      <c r="O248" s="136" t="s">
        <v>14166</v>
      </c>
      <c r="P248" s="137" t="s">
        <v>14170</v>
      </c>
      <c r="Q248" s="57"/>
      <c r="R248" s="57"/>
      <c r="S248" s="57"/>
      <c r="T248" s="57"/>
      <c r="U248" s="57"/>
      <c r="V248" s="57"/>
      <c r="W248" s="57"/>
      <c r="X248" s="57"/>
      <c r="Y248" s="57"/>
      <c r="Z248" s="57"/>
      <c r="AA248" s="57"/>
      <c r="AB248" s="57"/>
      <c r="AC248" s="57"/>
      <c r="AD248" s="57"/>
    </row>
    <row r="249" spans="1:30" ht="13.5" thickBot="1" x14ac:dyDescent="0.25">
      <c r="A249" s="57"/>
      <c r="B249" s="124" t="s">
        <v>13391</v>
      </c>
      <c r="C249" s="102" t="s">
        <v>14171</v>
      </c>
      <c r="D249" s="102" t="s">
        <v>14172</v>
      </c>
      <c r="E249" s="124" t="s">
        <v>14173</v>
      </c>
      <c r="F249" s="102" t="s">
        <v>14174</v>
      </c>
      <c r="G249" s="102" t="s">
        <v>14175</v>
      </c>
      <c r="H249" s="102" t="s">
        <v>14176</v>
      </c>
      <c r="I249" s="57"/>
      <c r="J249" s="124" t="s">
        <v>13391</v>
      </c>
      <c r="K249" s="136" t="s">
        <v>13774</v>
      </c>
      <c r="L249" s="136" t="s">
        <v>14173</v>
      </c>
      <c r="M249" s="136" t="s">
        <v>14177</v>
      </c>
      <c r="N249" s="136" t="s">
        <v>14178</v>
      </c>
      <c r="O249" s="136" t="s">
        <v>14176</v>
      </c>
      <c r="P249" s="137" t="s">
        <v>14179</v>
      </c>
      <c r="Q249" s="57"/>
      <c r="R249" s="57"/>
      <c r="S249" s="57"/>
      <c r="T249" s="57"/>
      <c r="U249" s="57"/>
      <c r="V249" s="57"/>
      <c r="W249" s="57"/>
      <c r="X249" s="57"/>
      <c r="Y249" s="57"/>
      <c r="Z249" s="57"/>
      <c r="AA249" s="57"/>
      <c r="AB249" s="57"/>
      <c r="AC249" s="57"/>
      <c r="AD249" s="57"/>
    </row>
    <row r="250" spans="1:30" ht="13.5" thickBot="1" x14ac:dyDescent="0.25">
      <c r="A250" s="57"/>
      <c r="B250" s="124" t="s">
        <v>13397</v>
      </c>
      <c r="C250" s="102" t="s">
        <v>14180</v>
      </c>
      <c r="D250" s="102" t="s">
        <v>14181</v>
      </c>
      <c r="E250" s="124" t="s">
        <v>14182</v>
      </c>
      <c r="F250" s="102" t="s">
        <v>14183</v>
      </c>
      <c r="G250" s="102" t="s">
        <v>14184</v>
      </c>
      <c r="H250" s="102" t="s">
        <v>14185</v>
      </c>
      <c r="I250" s="57"/>
      <c r="J250" s="124" t="s">
        <v>13397</v>
      </c>
      <c r="K250" s="136" t="s">
        <v>14186</v>
      </c>
      <c r="L250" s="136" t="s">
        <v>14182</v>
      </c>
      <c r="M250" s="136" t="s">
        <v>14187</v>
      </c>
      <c r="N250" s="136" t="s">
        <v>14188</v>
      </c>
      <c r="O250" s="136" t="s">
        <v>14185</v>
      </c>
      <c r="P250" s="137" t="s">
        <v>14189</v>
      </c>
      <c r="Q250" s="57"/>
      <c r="R250" s="57"/>
      <c r="S250" s="57"/>
      <c r="T250" s="57"/>
      <c r="U250" s="57"/>
      <c r="V250" s="57"/>
      <c r="W250" s="57"/>
      <c r="X250" s="57"/>
      <c r="Y250" s="57"/>
      <c r="Z250" s="57"/>
      <c r="AA250" s="57"/>
      <c r="AB250" s="57"/>
      <c r="AC250" s="57"/>
      <c r="AD250" s="57"/>
    </row>
    <row r="251" spans="1:30" ht="13.5" thickBot="1" x14ac:dyDescent="0.25">
      <c r="A251" s="57"/>
      <c r="B251" s="124" t="s">
        <v>13403</v>
      </c>
      <c r="C251" s="135" t="s">
        <v>14190</v>
      </c>
      <c r="D251" s="102" t="s">
        <v>14191</v>
      </c>
      <c r="E251" s="138" t="s">
        <v>14192</v>
      </c>
      <c r="F251" s="102" t="s">
        <v>14193</v>
      </c>
      <c r="G251" s="102" t="s">
        <v>14194</v>
      </c>
      <c r="H251" s="102" t="s">
        <v>14195</v>
      </c>
      <c r="I251" s="57"/>
      <c r="J251" s="124" t="s">
        <v>13403</v>
      </c>
      <c r="K251" s="136" t="s">
        <v>14196</v>
      </c>
      <c r="L251" s="136" t="s">
        <v>14192</v>
      </c>
      <c r="M251" s="136" t="s">
        <v>14197</v>
      </c>
      <c r="N251" s="136" t="s">
        <v>13720</v>
      </c>
      <c r="O251" s="136" t="s">
        <v>14195</v>
      </c>
      <c r="P251" s="137" t="s">
        <v>14198</v>
      </c>
      <c r="Q251" s="57"/>
      <c r="R251" s="57"/>
      <c r="S251" s="57"/>
      <c r="T251" s="57"/>
      <c r="U251" s="57"/>
      <c r="V251" s="57"/>
      <c r="W251" s="57"/>
      <c r="X251" s="57"/>
      <c r="Y251" s="57"/>
      <c r="Z251" s="57"/>
      <c r="AA251" s="57"/>
      <c r="AB251" s="57"/>
      <c r="AC251" s="57"/>
      <c r="AD251" s="57"/>
    </row>
    <row r="252" spans="1:30" ht="26.25" thickBot="1" x14ac:dyDescent="0.25">
      <c r="A252" s="57"/>
      <c r="B252" s="124" t="s">
        <v>13408</v>
      </c>
      <c r="C252" s="102" t="s">
        <v>14199</v>
      </c>
      <c r="D252" s="102" t="s">
        <v>14200</v>
      </c>
      <c r="E252" s="124" t="s">
        <v>13532</v>
      </c>
      <c r="F252" s="102" t="s">
        <v>14201</v>
      </c>
      <c r="G252" s="135" t="s">
        <v>14202</v>
      </c>
      <c r="H252" s="135" t="s">
        <v>14203</v>
      </c>
      <c r="I252" s="57"/>
      <c r="J252" s="124" t="s">
        <v>13408</v>
      </c>
      <c r="K252" s="136" t="s">
        <v>14204</v>
      </c>
      <c r="L252" s="136" t="s">
        <v>13532</v>
      </c>
      <c r="M252" s="136" t="s">
        <v>14205</v>
      </c>
      <c r="N252" s="136" t="s">
        <v>14206</v>
      </c>
      <c r="O252" s="136" t="s">
        <v>14203</v>
      </c>
      <c r="P252" s="137" t="s">
        <v>14207</v>
      </c>
      <c r="Q252" s="57"/>
      <c r="R252" s="57"/>
      <c r="S252" s="57"/>
      <c r="T252" s="57"/>
      <c r="U252" s="57"/>
      <c r="V252" s="57"/>
      <c r="W252" s="57"/>
      <c r="X252" s="57"/>
      <c r="Y252" s="57"/>
      <c r="Z252" s="57"/>
      <c r="AA252" s="57"/>
      <c r="AB252" s="57"/>
      <c r="AC252" s="57"/>
      <c r="AD252" s="57"/>
    </row>
    <row r="253" spans="1:30" ht="13.5" thickBot="1" x14ac:dyDescent="0.25">
      <c r="A253" s="57"/>
      <c r="B253" s="124" t="s">
        <v>13413</v>
      </c>
      <c r="C253" s="102" t="s">
        <v>14208</v>
      </c>
      <c r="D253" s="102" t="s">
        <v>14209</v>
      </c>
      <c r="E253" s="124" t="s">
        <v>14210</v>
      </c>
      <c r="F253" s="102" t="s">
        <v>14211</v>
      </c>
      <c r="G253" s="102" t="s">
        <v>14212</v>
      </c>
      <c r="H253" s="102" t="s">
        <v>14213</v>
      </c>
      <c r="I253" s="57"/>
      <c r="J253" s="124" t="s">
        <v>13413</v>
      </c>
      <c r="K253" s="136" t="s">
        <v>14214</v>
      </c>
      <c r="L253" s="136" t="s">
        <v>14210</v>
      </c>
      <c r="M253" s="136" t="s">
        <v>14215</v>
      </c>
      <c r="N253" s="136" t="s">
        <v>14216</v>
      </c>
      <c r="O253" s="136" t="s">
        <v>14213</v>
      </c>
      <c r="P253" s="137" t="s">
        <v>14217</v>
      </c>
      <c r="Q253" s="57"/>
      <c r="R253" s="57"/>
      <c r="S253" s="57"/>
      <c r="T253" s="57"/>
      <c r="U253" s="57"/>
      <c r="V253" s="57"/>
      <c r="W253" s="57"/>
      <c r="X253" s="57"/>
      <c r="Y253" s="57"/>
      <c r="Z253" s="57"/>
      <c r="AA253" s="57"/>
      <c r="AB253" s="57"/>
      <c r="AC253" s="57"/>
      <c r="AD253" s="57"/>
    </row>
    <row r="254" spans="1:30" ht="13.5" thickBot="1" x14ac:dyDescent="0.25">
      <c r="A254" s="57"/>
      <c r="B254" s="124" t="s">
        <v>13419</v>
      </c>
      <c r="C254" s="102" t="s">
        <v>14218</v>
      </c>
      <c r="D254" s="102" t="s">
        <v>14219</v>
      </c>
      <c r="E254" s="124" t="s">
        <v>14220</v>
      </c>
      <c r="F254" s="102" t="s">
        <v>14221</v>
      </c>
      <c r="G254" s="102" t="s">
        <v>14222</v>
      </c>
      <c r="H254" s="102" t="s">
        <v>14223</v>
      </c>
      <c r="I254" s="57"/>
      <c r="J254" s="124" t="s">
        <v>13419</v>
      </c>
      <c r="K254" s="136" t="s">
        <v>14224</v>
      </c>
      <c r="L254" s="136" t="s">
        <v>14220</v>
      </c>
      <c r="M254" s="136" t="s">
        <v>14225</v>
      </c>
      <c r="N254" s="136" t="s">
        <v>14226</v>
      </c>
      <c r="O254" s="136" t="s">
        <v>14223</v>
      </c>
      <c r="P254" s="137" t="s">
        <v>14227</v>
      </c>
      <c r="Q254" s="57"/>
      <c r="R254" s="57"/>
      <c r="S254" s="57"/>
      <c r="T254" s="57"/>
      <c r="U254" s="57"/>
      <c r="V254" s="57"/>
      <c r="W254" s="57"/>
      <c r="X254" s="57"/>
      <c r="Y254" s="57"/>
      <c r="Z254" s="57"/>
      <c r="AA254" s="57"/>
      <c r="AB254" s="57"/>
      <c r="AC254" s="57"/>
      <c r="AD254" s="57"/>
    </row>
    <row r="255" spans="1:30" ht="13.5" thickBot="1" x14ac:dyDescent="0.25">
      <c r="A255" s="57"/>
      <c r="B255" s="96" t="s">
        <v>13517</v>
      </c>
      <c r="C255" s="95" t="s">
        <v>14228</v>
      </c>
      <c r="D255" s="95" t="s">
        <v>14229</v>
      </c>
      <c r="E255" s="96" t="s">
        <v>14230</v>
      </c>
      <c r="F255" s="95" t="s">
        <v>14231</v>
      </c>
      <c r="G255" s="95" t="s">
        <v>14232</v>
      </c>
      <c r="H255" s="95" t="s">
        <v>14233</v>
      </c>
      <c r="I255" s="57"/>
      <c r="J255" s="96" t="s">
        <v>13517</v>
      </c>
      <c r="K255" s="99" t="s">
        <v>14234</v>
      </c>
      <c r="L255" s="99" t="s">
        <v>14230</v>
      </c>
      <c r="M255" s="99" t="s">
        <v>14235</v>
      </c>
      <c r="N255" s="99" t="s">
        <v>14236</v>
      </c>
      <c r="O255" s="99" t="s">
        <v>14233</v>
      </c>
      <c r="P255" s="134" t="s">
        <v>14237</v>
      </c>
      <c r="Q255" s="57"/>
      <c r="R255" s="57"/>
      <c r="S255" s="57"/>
      <c r="T255" s="57"/>
      <c r="U255" s="57"/>
      <c r="V255" s="57"/>
      <c r="W255" s="57"/>
      <c r="X255" s="57"/>
      <c r="Y255" s="57"/>
      <c r="Z255" s="57"/>
      <c r="AA255" s="57"/>
      <c r="AB255" s="57"/>
      <c r="AC255" s="57"/>
      <c r="AD255" s="57"/>
    </row>
    <row r="256" spans="1:30" ht="13.5" thickBot="1" x14ac:dyDescent="0.25">
      <c r="A256" s="80"/>
      <c r="B256" s="85" t="s">
        <v>13432</v>
      </c>
      <c r="C256" s="86" t="s">
        <v>14238</v>
      </c>
      <c r="D256" s="86" t="s">
        <v>14239</v>
      </c>
      <c r="E256" s="86" t="s">
        <v>14240</v>
      </c>
      <c r="F256" s="86" t="s">
        <v>14241</v>
      </c>
      <c r="G256" s="86" t="s">
        <v>14242</v>
      </c>
      <c r="H256" s="86" t="s">
        <v>14243</v>
      </c>
      <c r="I256" s="80"/>
      <c r="J256" s="85" t="s">
        <v>13432</v>
      </c>
      <c r="K256" s="86" t="s">
        <v>14244</v>
      </c>
      <c r="L256" s="86" t="s">
        <v>14240</v>
      </c>
      <c r="M256" s="85" t="s">
        <v>14245</v>
      </c>
      <c r="N256" s="86" t="s">
        <v>14246</v>
      </c>
      <c r="O256" s="86" t="s">
        <v>14243</v>
      </c>
      <c r="P256" s="85" t="s">
        <v>14247</v>
      </c>
      <c r="Q256" s="57"/>
      <c r="R256" s="57"/>
      <c r="S256" s="57"/>
      <c r="T256" s="57"/>
      <c r="U256" s="57"/>
      <c r="V256" s="57"/>
      <c r="W256" s="57"/>
      <c r="X256" s="57"/>
      <c r="Y256" s="57"/>
      <c r="Z256" s="57"/>
      <c r="AA256" s="57"/>
      <c r="AB256" s="57"/>
      <c r="AC256" s="57"/>
      <c r="AD256" s="57"/>
    </row>
    <row r="257" spans="1:30" ht="13.5" thickBot="1" x14ac:dyDescent="0.25">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c r="AA257" s="57"/>
      <c r="AB257" s="57"/>
      <c r="AC257" s="57"/>
      <c r="AD257" s="57"/>
    </row>
    <row r="258" spans="1:30" ht="13.5" thickBot="1" x14ac:dyDescent="0.25">
      <c r="A258" s="57"/>
      <c r="B258" s="87" t="s">
        <v>14248</v>
      </c>
      <c r="C258" s="88"/>
      <c r="D258" s="88"/>
      <c r="E258" s="88"/>
      <c r="F258" s="88"/>
      <c r="G258" s="88"/>
      <c r="H258" s="88"/>
      <c r="I258" s="88"/>
      <c r="J258" s="88"/>
      <c r="K258" s="88"/>
      <c r="L258" s="88"/>
      <c r="M258" s="57"/>
      <c r="N258" s="57"/>
      <c r="O258" s="57"/>
      <c r="P258" s="57"/>
      <c r="Q258" s="57"/>
      <c r="R258" s="57"/>
      <c r="S258" s="57"/>
      <c r="T258" s="57"/>
      <c r="U258" s="57"/>
      <c r="V258" s="57"/>
      <c r="W258" s="57"/>
      <c r="X258" s="57"/>
      <c r="Y258" s="57"/>
      <c r="Z258" s="57"/>
      <c r="AA258" s="57"/>
      <c r="AB258" s="57"/>
      <c r="AC258" s="57"/>
      <c r="AD258" s="57"/>
    </row>
    <row r="259" spans="1:30" ht="13.5" thickBot="1" x14ac:dyDescent="0.25">
      <c r="A259" s="57"/>
      <c r="B259" s="300" t="s">
        <v>14136</v>
      </c>
      <c r="C259" s="95"/>
      <c r="D259" s="302" t="s">
        <v>14249</v>
      </c>
      <c r="E259" s="303"/>
      <c r="F259" s="95" t="s">
        <v>14250</v>
      </c>
      <c r="G259" s="139"/>
      <c r="H259" s="95"/>
      <c r="I259" s="304" t="s">
        <v>14135</v>
      </c>
      <c r="J259" s="297"/>
      <c r="K259" s="299"/>
      <c r="L259" s="95"/>
      <c r="M259" s="57"/>
      <c r="N259" s="57"/>
      <c r="O259" s="57"/>
      <c r="P259" s="57"/>
      <c r="Q259" s="57"/>
      <c r="R259" s="57"/>
      <c r="S259" s="57"/>
      <c r="T259" s="57"/>
      <c r="U259" s="57"/>
      <c r="V259" s="57"/>
      <c r="W259" s="57"/>
      <c r="X259" s="57"/>
      <c r="Y259" s="57"/>
      <c r="Z259" s="57"/>
      <c r="AA259" s="57"/>
      <c r="AB259" s="57"/>
      <c r="AC259" s="57"/>
      <c r="AD259" s="57"/>
    </row>
    <row r="260" spans="1:30" ht="26.25" thickBot="1" x14ac:dyDescent="0.25">
      <c r="A260" s="57"/>
      <c r="B260" s="301"/>
      <c r="C260" s="96" t="s">
        <v>14251</v>
      </c>
      <c r="D260" s="96" t="s">
        <v>14252</v>
      </c>
      <c r="E260" s="96" t="s">
        <v>14253</v>
      </c>
      <c r="F260" s="96" t="s">
        <v>14254</v>
      </c>
      <c r="G260" s="139" t="s">
        <v>14255</v>
      </c>
      <c r="H260" s="96" t="s">
        <v>14251</v>
      </c>
      <c r="I260" s="96" t="s">
        <v>14252</v>
      </c>
      <c r="J260" s="96" t="s">
        <v>14253</v>
      </c>
      <c r="K260" s="96" t="s">
        <v>14254</v>
      </c>
      <c r="L260" s="95" t="s">
        <v>14255</v>
      </c>
      <c r="M260" s="57"/>
      <c r="N260" s="57"/>
      <c r="O260" s="57"/>
      <c r="P260" s="57"/>
      <c r="Q260" s="57"/>
      <c r="R260" s="57"/>
      <c r="S260" s="57"/>
      <c r="T260" s="57"/>
      <c r="U260" s="57"/>
      <c r="V260" s="57"/>
      <c r="W260" s="57"/>
      <c r="X260" s="57"/>
      <c r="Y260" s="57"/>
      <c r="Z260" s="57"/>
      <c r="AA260" s="57"/>
      <c r="AB260" s="57"/>
      <c r="AC260" s="57"/>
      <c r="AD260" s="57"/>
    </row>
    <row r="261" spans="1:30" ht="26.25" thickBot="1" x14ac:dyDescent="0.25">
      <c r="A261" s="57"/>
      <c r="B261" s="124" t="s">
        <v>14141</v>
      </c>
      <c r="C261" s="124" t="s">
        <v>14144</v>
      </c>
      <c r="D261" s="136" t="s">
        <v>14256</v>
      </c>
      <c r="E261" s="136" t="s">
        <v>14257</v>
      </c>
      <c r="F261" s="124" t="s">
        <v>14258</v>
      </c>
      <c r="G261" s="140" t="s">
        <v>14259</v>
      </c>
      <c r="H261" s="124" t="s">
        <v>14147</v>
      </c>
      <c r="I261" s="136" t="s">
        <v>14260</v>
      </c>
      <c r="J261" s="136" t="s">
        <v>14261</v>
      </c>
      <c r="K261" s="124" t="s">
        <v>14262</v>
      </c>
      <c r="L261" s="137" t="s">
        <v>14263</v>
      </c>
      <c r="M261" s="57"/>
      <c r="N261" s="57"/>
      <c r="O261" s="57"/>
      <c r="P261" s="57"/>
      <c r="Q261" s="57"/>
      <c r="R261" s="57"/>
      <c r="S261" s="57"/>
      <c r="T261" s="57"/>
      <c r="U261" s="57"/>
      <c r="V261" s="57"/>
      <c r="W261" s="57"/>
      <c r="X261" s="57"/>
      <c r="Y261" s="57"/>
      <c r="Z261" s="57"/>
      <c r="AA261" s="57"/>
      <c r="AB261" s="57"/>
      <c r="AC261" s="57"/>
      <c r="AD261" s="57"/>
    </row>
    <row r="262" spans="1:30" ht="13.5" thickBot="1" x14ac:dyDescent="0.25">
      <c r="A262" s="57"/>
      <c r="B262" s="124" t="s">
        <v>13378</v>
      </c>
      <c r="C262" s="124" t="s">
        <v>14154</v>
      </c>
      <c r="D262" s="136" t="s">
        <v>14264</v>
      </c>
      <c r="E262" s="136" t="s">
        <v>14265</v>
      </c>
      <c r="F262" s="124" t="s">
        <v>14266</v>
      </c>
      <c r="G262" s="140" t="s">
        <v>14267</v>
      </c>
      <c r="H262" s="124" t="s">
        <v>13796</v>
      </c>
      <c r="I262" s="136" t="s">
        <v>14268</v>
      </c>
      <c r="J262" s="136" t="s">
        <v>14269</v>
      </c>
      <c r="K262" s="124" t="s">
        <v>13889</v>
      </c>
      <c r="L262" s="137" t="s">
        <v>13557</v>
      </c>
      <c r="M262" s="57"/>
      <c r="N262" s="57"/>
      <c r="O262" s="57"/>
      <c r="P262" s="57"/>
      <c r="Q262" s="57"/>
      <c r="R262" s="57"/>
      <c r="S262" s="57"/>
      <c r="T262" s="57"/>
      <c r="U262" s="57"/>
      <c r="V262" s="57"/>
      <c r="W262" s="57"/>
      <c r="X262" s="57"/>
      <c r="Y262" s="57"/>
      <c r="Z262" s="57"/>
      <c r="AA262" s="57"/>
      <c r="AB262" s="57"/>
      <c r="AC262" s="57"/>
      <c r="AD262" s="57"/>
    </row>
    <row r="263" spans="1:30" ht="13.5" thickBot="1" x14ac:dyDescent="0.25">
      <c r="A263" s="57"/>
      <c r="B263" s="124" t="s">
        <v>13384</v>
      </c>
      <c r="C263" s="124" t="s">
        <v>14163</v>
      </c>
      <c r="D263" s="136" t="s">
        <v>14270</v>
      </c>
      <c r="E263" s="136" t="s">
        <v>14271</v>
      </c>
      <c r="F263" s="124" t="s">
        <v>14272</v>
      </c>
      <c r="G263" s="140" t="s">
        <v>14161</v>
      </c>
      <c r="H263" s="124" t="s">
        <v>14166</v>
      </c>
      <c r="I263" s="136" t="s">
        <v>14273</v>
      </c>
      <c r="J263" s="136" t="s">
        <v>14274</v>
      </c>
      <c r="K263" s="124" t="s">
        <v>14275</v>
      </c>
      <c r="L263" s="137" t="s">
        <v>14276</v>
      </c>
      <c r="M263" s="57"/>
      <c r="N263" s="57"/>
      <c r="O263" s="57"/>
      <c r="P263" s="57"/>
      <c r="Q263" s="57"/>
      <c r="R263" s="57"/>
      <c r="S263" s="57"/>
      <c r="T263" s="57"/>
      <c r="U263" s="57"/>
      <c r="V263" s="57"/>
      <c r="W263" s="57"/>
      <c r="X263" s="57"/>
      <c r="Y263" s="57"/>
      <c r="Z263" s="57"/>
      <c r="AA263" s="57"/>
      <c r="AB263" s="57"/>
      <c r="AC263" s="57"/>
      <c r="AD263" s="57"/>
    </row>
    <row r="264" spans="1:30" ht="13.5" thickBot="1" x14ac:dyDescent="0.25">
      <c r="A264" s="57"/>
      <c r="B264" s="124" t="s">
        <v>13391</v>
      </c>
      <c r="C264" s="124" t="s">
        <v>14173</v>
      </c>
      <c r="D264" s="136" t="s">
        <v>14277</v>
      </c>
      <c r="E264" s="136" t="s">
        <v>14278</v>
      </c>
      <c r="F264" s="124" t="s">
        <v>14279</v>
      </c>
      <c r="G264" s="140" t="s">
        <v>14280</v>
      </c>
      <c r="H264" s="124" t="s">
        <v>14176</v>
      </c>
      <c r="I264" s="136" t="s">
        <v>14281</v>
      </c>
      <c r="J264" s="136" t="s">
        <v>14282</v>
      </c>
      <c r="K264" s="124" t="s">
        <v>14283</v>
      </c>
      <c r="L264" s="137" t="s">
        <v>14284</v>
      </c>
      <c r="M264" s="57"/>
      <c r="N264" s="57"/>
      <c r="O264" s="57"/>
      <c r="P264" s="57"/>
      <c r="Q264" s="57"/>
      <c r="R264" s="57"/>
      <c r="S264" s="57"/>
      <c r="T264" s="57"/>
      <c r="U264" s="57"/>
      <c r="V264" s="57"/>
      <c r="W264" s="57"/>
      <c r="X264" s="57"/>
      <c r="Y264" s="57"/>
      <c r="Z264" s="57"/>
      <c r="AA264" s="57"/>
      <c r="AB264" s="57"/>
      <c r="AC264" s="57"/>
      <c r="AD264" s="57"/>
    </row>
    <row r="265" spans="1:30" ht="13.5" thickBot="1" x14ac:dyDescent="0.25">
      <c r="A265" s="57"/>
      <c r="B265" s="124" t="s">
        <v>13397</v>
      </c>
      <c r="C265" s="124" t="s">
        <v>14182</v>
      </c>
      <c r="D265" s="136" t="s">
        <v>14285</v>
      </c>
      <c r="E265" s="136" t="s">
        <v>14286</v>
      </c>
      <c r="F265" s="124" t="s">
        <v>14287</v>
      </c>
      <c r="G265" s="140" t="s">
        <v>14288</v>
      </c>
      <c r="H265" s="124" t="s">
        <v>14185</v>
      </c>
      <c r="I265" s="136" t="s">
        <v>14289</v>
      </c>
      <c r="J265" s="136" t="s">
        <v>14290</v>
      </c>
      <c r="K265" s="124" t="s">
        <v>14291</v>
      </c>
      <c r="L265" s="137" t="s">
        <v>14292</v>
      </c>
      <c r="M265" s="57"/>
      <c r="N265" s="57"/>
      <c r="O265" s="57"/>
      <c r="P265" s="57"/>
      <c r="Q265" s="57"/>
      <c r="R265" s="57"/>
      <c r="S265" s="57"/>
      <c r="T265" s="57"/>
      <c r="U265" s="57"/>
      <c r="V265" s="57"/>
      <c r="W265" s="57"/>
      <c r="X265" s="57"/>
      <c r="Y265" s="57"/>
      <c r="Z265" s="57"/>
      <c r="AA265" s="57"/>
      <c r="AB265" s="57"/>
      <c r="AC265" s="57"/>
      <c r="AD265" s="57"/>
    </row>
    <row r="266" spans="1:30" ht="13.5" thickBot="1" x14ac:dyDescent="0.25">
      <c r="A266" s="57"/>
      <c r="B266" s="124" t="s">
        <v>13403</v>
      </c>
      <c r="C266" s="124" t="s">
        <v>14192</v>
      </c>
      <c r="D266" s="136" t="s">
        <v>14293</v>
      </c>
      <c r="E266" s="136" t="s">
        <v>14294</v>
      </c>
      <c r="F266" s="124" t="s">
        <v>14295</v>
      </c>
      <c r="G266" s="140" t="s">
        <v>14296</v>
      </c>
      <c r="H266" s="124" t="s">
        <v>14195</v>
      </c>
      <c r="I266" s="136" t="s">
        <v>14297</v>
      </c>
      <c r="J266" s="136" t="s">
        <v>14298</v>
      </c>
      <c r="K266" s="124" t="s">
        <v>14299</v>
      </c>
      <c r="L266" s="137" t="s">
        <v>14300</v>
      </c>
      <c r="M266" s="57"/>
      <c r="N266" s="57"/>
      <c r="O266" s="57"/>
      <c r="P266" s="57"/>
      <c r="Q266" s="57"/>
      <c r="R266" s="57"/>
      <c r="S266" s="57"/>
      <c r="T266" s="57"/>
      <c r="U266" s="57"/>
      <c r="V266" s="57"/>
      <c r="W266" s="57"/>
      <c r="X266" s="57"/>
      <c r="Y266" s="57"/>
      <c r="Z266" s="57"/>
      <c r="AA266" s="57"/>
      <c r="AB266" s="57"/>
      <c r="AC266" s="57"/>
      <c r="AD266" s="57"/>
    </row>
    <row r="267" spans="1:30" ht="26.25" thickBot="1" x14ac:dyDescent="0.25">
      <c r="A267" s="57"/>
      <c r="B267" s="124" t="s">
        <v>13408</v>
      </c>
      <c r="C267" s="124" t="s">
        <v>13532</v>
      </c>
      <c r="D267" s="136" t="s">
        <v>14301</v>
      </c>
      <c r="E267" s="136" t="s">
        <v>14302</v>
      </c>
      <c r="F267" s="124" t="s">
        <v>14303</v>
      </c>
      <c r="G267" s="140" t="s">
        <v>14304</v>
      </c>
      <c r="H267" s="124" t="s">
        <v>14203</v>
      </c>
      <c r="I267" s="136" t="s">
        <v>14305</v>
      </c>
      <c r="J267" s="136" t="s">
        <v>14306</v>
      </c>
      <c r="K267" s="124" t="s">
        <v>14307</v>
      </c>
      <c r="L267" s="137" t="s">
        <v>14308</v>
      </c>
      <c r="M267" s="57"/>
      <c r="N267" s="57"/>
      <c r="O267" s="57"/>
      <c r="P267" s="57"/>
      <c r="Q267" s="57"/>
      <c r="R267" s="57"/>
      <c r="S267" s="57"/>
      <c r="T267" s="57"/>
      <c r="U267" s="57"/>
      <c r="V267" s="57"/>
      <c r="W267" s="57"/>
      <c r="X267" s="57"/>
      <c r="Y267" s="57"/>
      <c r="Z267" s="57"/>
      <c r="AA267" s="57"/>
      <c r="AB267" s="57"/>
      <c r="AC267" s="57"/>
      <c r="AD267" s="57"/>
    </row>
    <row r="268" spans="1:30" ht="13.5" thickBot="1" x14ac:dyDescent="0.25">
      <c r="A268" s="57"/>
      <c r="B268" s="124" t="s">
        <v>13413</v>
      </c>
      <c r="C268" s="124" t="s">
        <v>14210</v>
      </c>
      <c r="D268" s="136" t="s">
        <v>14309</v>
      </c>
      <c r="E268" s="136" t="s">
        <v>14276</v>
      </c>
      <c r="F268" s="124" t="s">
        <v>14310</v>
      </c>
      <c r="G268" s="140" t="s">
        <v>14311</v>
      </c>
      <c r="H268" s="124" t="s">
        <v>14213</v>
      </c>
      <c r="I268" s="136" t="s">
        <v>14312</v>
      </c>
      <c r="J268" s="136" t="s">
        <v>14313</v>
      </c>
      <c r="K268" s="124" t="s">
        <v>14314</v>
      </c>
      <c r="L268" s="137" t="s">
        <v>14315</v>
      </c>
      <c r="M268" s="57"/>
      <c r="N268" s="57"/>
      <c r="O268" s="57"/>
      <c r="P268" s="57"/>
      <c r="Q268" s="57"/>
      <c r="R268" s="57"/>
      <c r="S268" s="57"/>
      <c r="T268" s="57"/>
      <c r="U268" s="57"/>
      <c r="V268" s="57"/>
      <c r="W268" s="57"/>
      <c r="X268" s="57"/>
      <c r="Y268" s="57"/>
      <c r="Z268" s="57"/>
      <c r="AA268" s="57"/>
      <c r="AB268" s="57"/>
      <c r="AC268" s="57"/>
      <c r="AD268" s="57"/>
    </row>
    <row r="269" spans="1:30" ht="13.5" thickBot="1" x14ac:dyDescent="0.25">
      <c r="A269" s="57"/>
      <c r="B269" s="124" t="s">
        <v>13419</v>
      </c>
      <c r="C269" s="124" t="s">
        <v>14220</v>
      </c>
      <c r="D269" s="136" t="s">
        <v>13532</v>
      </c>
      <c r="E269" s="136" t="s">
        <v>14210</v>
      </c>
      <c r="F269" s="124" t="s">
        <v>14316</v>
      </c>
      <c r="G269" s="140" t="s">
        <v>14163</v>
      </c>
      <c r="H269" s="124" t="s">
        <v>14223</v>
      </c>
      <c r="I269" s="136" t="s">
        <v>14317</v>
      </c>
      <c r="J269" s="136" t="s">
        <v>14318</v>
      </c>
      <c r="K269" s="124" t="s">
        <v>14319</v>
      </c>
      <c r="L269" s="137" t="s">
        <v>14224</v>
      </c>
      <c r="M269" s="57"/>
      <c r="N269" s="57"/>
      <c r="O269" s="57"/>
      <c r="P269" s="57"/>
      <c r="Q269" s="57"/>
      <c r="R269" s="57"/>
      <c r="S269" s="57"/>
      <c r="T269" s="57"/>
      <c r="U269" s="57"/>
      <c r="V269" s="57"/>
      <c r="W269" s="57"/>
      <c r="X269" s="57"/>
      <c r="Y269" s="57"/>
      <c r="Z269" s="57"/>
      <c r="AA269" s="57"/>
      <c r="AB269" s="57"/>
      <c r="AC269" s="57"/>
      <c r="AD269" s="57"/>
    </row>
    <row r="270" spans="1:30" ht="13.5" thickBot="1" x14ac:dyDescent="0.25">
      <c r="A270" s="57"/>
      <c r="B270" s="96" t="s">
        <v>13517</v>
      </c>
      <c r="C270" s="96" t="s">
        <v>14230</v>
      </c>
      <c r="D270" s="99" t="s">
        <v>14320</v>
      </c>
      <c r="E270" s="99" t="s">
        <v>14321</v>
      </c>
      <c r="F270" s="96" t="s">
        <v>13611</v>
      </c>
      <c r="G270" s="141" t="s">
        <v>13457</v>
      </c>
      <c r="H270" s="96" t="s">
        <v>14233</v>
      </c>
      <c r="I270" s="99" t="s">
        <v>14322</v>
      </c>
      <c r="J270" s="99" t="s">
        <v>14323</v>
      </c>
      <c r="K270" s="96" t="s">
        <v>14324</v>
      </c>
      <c r="L270" s="134" t="s">
        <v>14325</v>
      </c>
      <c r="M270" s="57"/>
      <c r="N270" s="57"/>
      <c r="O270" s="57"/>
      <c r="P270" s="57"/>
      <c r="Q270" s="57"/>
      <c r="R270" s="57"/>
      <c r="S270" s="57"/>
      <c r="T270" s="57"/>
      <c r="U270" s="57"/>
      <c r="V270" s="57"/>
      <c r="W270" s="57"/>
      <c r="X270" s="57"/>
      <c r="Y270" s="57"/>
      <c r="Z270" s="57"/>
      <c r="AA270" s="57"/>
      <c r="AB270" s="57"/>
      <c r="AC270" s="57"/>
      <c r="AD270" s="57"/>
    </row>
    <row r="271" spans="1:30" ht="13.5" thickBot="1" x14ac:dyDescent="0.25">
      <c r="A271" s="80"/>
      <c r="B271" s="85" t="s">
        <v>13432</v>
      </c>
      <c r="C271" s="86" t="s">
        <v>14240</v>
      </c>
      <c r="D271" s="86" t="s">
        <v>14326</v>
      </c>
      <c r="E271" s="86" t="s">
        <v>14327</v>
      </c>
      <c r="F271" s="86" t="s">
        <v>14328</v>
      </c>
      <c r="G271" s="86" t="s">
        <v>13948</v>
      </c>
      <c r="H271" s="86" t="s">
        <v>14243</v>
      </c>
      <c r="I271" s="86" t="s">
        <v>14329</v>
      </c>
      <c r="J271" s="86" t="s">
        <v>14330</v>
      </c>
      <c r="K271" s="86" t="s">
        <v>14331</v>
      </c>
      <c r="L271" s="86" t="s">
        <v>14332</v>
      </c>
      <c r="M271" s="57"/>
      <c r="N271" s="57"/>
      <c r="O271" s="57"/>
      <c r="P271" s="57"/>
      <c r="Q271" s="57"/>
      <c r="R271" s="57"/>
      <c r="S271" s="57"/>
      <c r="T271" s="57"/>
      <c r="U271" s="57"/>
      <c r="V271" s="57"/>
      <c r="W271" s="57"/>
      <c r="X271" s="57"/>
      <c r="Y271" s="57"/>
      <c r="Z271" s="57"/>
      <c r="AA271" s="57"/>
      <c r="AB271" s="57"/>
      <c r="AC271" s="57"/>
      <c r="AD271" s="57"/>
    </row>
    <row r="272" spans="1:30" ht="13.5" thickBot="1" x14ac:dyDescent="0.25">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c r="AA272" s="57"/>
      <c r="AB272" s="57"/>
      <c r="AC272" s="57"/>
      <c r="AD272" s="57"/>
    </row>
    <row r="273" spans="1:30" ht="13.5" thickBot="1" x14ac:dyDescent="0.25">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c r="AA273" s="57"/>
      <c r="AB273" s="57"/>
      <c r="AC273" s="57"/>
      <c r="AD273" s="57"/>
    </row>
    <row r="274" spans="1:30" ht="13.5" thickBot="1" x14ac:dyDescent="0.25">
      <c r="A274" s="57"/>
      <c r="B274" s="77" t="s">
        <v>2436</v>
      </c>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c r="AA274" s="57"/>
      <c r="AB274" s="57"/>
      <c r="AC274" s="57"/>
      <c r="AD274" s="57"/>
    </row>
    <row r="275" spans="1:30" ht="13.5" thickBot="1" x14ac:dyDescent="0.25">
      <c r="A275" s="57"/>
      <c r="B275" s="87" t="s">
        <v>14333</v>
      </c>
      <c r="C275" s="88"/>
      <c r="D275" s="88"/>
      <c r="E275" s="88"/>
      <c r="F275" s="88"/>
      <c r="G275" s="88"/>
      <c r="H275" s="57"/>
      <c r="I275" s="87" t="s">
        <v>14334</v>
      </c>
      <c r="J275" s="88"/>
      <c r="K275" s="88"/>
      <c r="L275" s="88"/>
      <c r="M275" s="88"/>
      <c r="N275" s="57"/>
      <c r="O275" s="57"/>
      <c r="P275" s="57"/>
      <c r="Q275" s="57"/>
      <c r="R275" s="57"/>
      <c r="S275" s="57"/>
      <c r="T275" s="57"/>
      <c r="U275" s="57"/>
      <c r="V275" s="57"/>
      <c r="W275" s="57"/>
      <c r="X275" s="57"/>
      <c r="Y275" s="57"/>
      <c r="Z275" s="57"/>
      <c r="AA275" s="57"/>
      <c r="AB275" s="57"/>
      <c r="AC275" s="57"/>
      <c r="AD275" s="57"/>
    </row>
    <row r="276" spans="1:30" ht="26.25" thickBot="1" x14ac:dyDescent="0.25">
      <c r="A276" s="57"/>
      <c r="B276" s="95" t="s">
        <v>14136</v>
      </c>
      <c r="C276" s="95" t="s">
        <v>13978</v>
      </c>
      <c r="D276" s="95" t="s">
        <v>13582</v>
      </c>
      <c r="E276" s="95" t="s">
        <v>14335</v>
      </c>
      <c r="F276" s="95" t="s">
        <v>14336</v>
      </c>
      <c r="G276" s="142" t="s">
        <v>13035</v>
      </c>
      <c r="H276" s="57"/>
      <c r="I276" s="95" t="s">
        <v>14136</v>
      </c>
      <c r="J276" s="95" t="s">
        <v>14336</v>
      </c>
      <c r="K276" s="95" t="s">
        <v>13015</v>
      </c>
      <c r="L276" s="95" t="s">
        <v>14337</v>
      </c>
      <c r="M276" s="142" t="s">
        <v>13035</v>
      </c>
      <c r="N276" s="57"/>
      <c r="O276" s="57"/>
      <c r="P276" s="57"/>
      <c r="Q276" s="57"/>
      <c r="R276" s="57"/>
      <c r="S276" s="57"/>
      <c r="T276" s="57"/>
      <c r="U276" s="57"/>
      <c r="V276" s="57"/>
      <c r="W276" s="57"/>
      <c r="X276" s="57"/>
      <c r="Y276" s="57"/>
      <c r="Z276" s="57"/>
      <c r="AA276" s="57"/>
      <c r="AB276" s="57"/>
      <c r="AC276" s="57"/>
      <c r="AD276" s="57"/>
    </row>
    <row r="277" spans="1:30" ht="13.5" thickBot="1" x14ac:dyDescent="0.25">
      <c r="A277" s="57"/>
      <c r="B277" s="102" t="s">
        <v>13372</v>
      </c>
      <c r="C277" s="102" t="s">
        <v>14338</v>
      </c>
      <c r="D277" s="102" t="s">
        <v>14339</v>
      </c>
      <c r="E277" s="102" t="s">
        <v>13812</v>
      </c>
      <c r="F277" s="102" t="s">
        <v>13584</v>
      </c>
      <c r="G277" s="143" t="s">
        <v>13566</v>
      </c>
      <c r="H277" s="57"/>
      <c r="I277" s="102" t="s">
        <v>13372</v>
      </c>
      <c r="J277" s="102" t="s">
        <v>13682</v>
      </c>
      <c r="K277" s="102" t="s">
        <v>14340</v>
      </c>
      <c r="L277" s="102" t="s">
        <v>14341</v>
      </c>
      <c r="M277" s="144" t="s">
        <v>14342</v>
      </c>
      <c r="N277" s="57"/>
      <c r="O277" s="57"/>
      <c r="P277" s="57"/>
      <c r="Q277" s="57"/>
      <c r="R277" s="57"/>
      <c r="S277" s="57"/>
      <c r="T277" s="57"/>
      <c r="U277" s="57"/>
      <c r="V277" s="57"/>
      <c r="W277" s="57"/>
      <c r="X277" s="57"/>
      <c r="Y277" s="57"/>
      <c r="Z277" s="57"/>
      <c r="AA277" s="57"/>
      <c r="AB277" s="57"/>
      <c r="AC277" s="57"/>
      <c r="AD277" s="57"/>
    </row>
    <row r="278" spans="1:30" ht="13.5" thickBot="1" x14ac:dyDescent="0.25">
      <c r="A278" s="57"/>
      <c r="B278" s="102" t="s">
        <v>13378</v>
      </c>
      <c r="C278" s="102" t="s">
        <v>13678</v>
      </c>
      <c r="D278" s="102" t="s">
        <v>13681</v>
      </c>
      <c r="E278" s="102" t="s">
        <v>14343</v>
      </c>
      <c r="F278" s="102" t="s">
        <v>13594</v>
      </c>
      <c r="G278" s="143" t="s">
        <v>13663</v>
      </c>
      <c r="H278" s="57"/>
      <c r="I278" s="102" t="s">
        <v>13378</v>
      </c>
      <c r="J278" s="102" t="s">
        <v>13894</v>
      </c>
      <c r="K278" s="102" t="s">
        <v>13602</v>
      </c>
      <c r="L278" s="102" t="s">
        <v>13900</v>
      </c>
      <c r="M278" s="144" t="s">
        <v>13844</v>
      </c>
      <c r="N278" s="57"/>
      <c r="O278" s="57"/>
      <c r="P278" s="57"/>
      <c r="Q278" s="57"/>
      <c r="R278" s="57"/>
      <c r="S278" s="57"/>
      <c r="T278" s="57"/>
      <c r="U278" s="57"/>
      <c r="V278" s="57"/>
      <c r="W278" s="57"/>
      <c r="X278" s="57"/>
      <c r="Y278" s="57"/>
      <c r="Z278" s="57"/>
      <c r="AA278" s="57"/>
      <c r="AB278" s="57"/>
      <c r="AC278" s="57"/>
      <c r="AD278" s="57"/>
    </row>
    <row r="279" spans="1:30" ht="13.5" thickBot="1" x14ac:dyDescent="0.25">
      <c r="A279" s="57"/>
      <c r="B279" s="102" t="s">
        <v>13384</v>
      </c>
      <c r="C279" s="102" t="s">
        <v>13468</v>
      </c>
      <c r="D279" s="102" t="s">
        <v>13686</v>
      </c>
      <c r="E279" s="102" t="s">
        <v>13889</v>
      </c>
      <c r="F279" s="102" t="s">
        <v>13912</v>
      </c>
      <c r="G279" s="143" t="s">
        <v>14344</v>
      </c>
      <c r="H279" s="57"/>
      <c r="I279" s="102" t="s">
        <v>13384</v>
      </c>
      <c r="J279" s="102" t="s">
        <v>14345</v>
      </c>
      <c r="K279" s="102" t="s">
        <v>14346</v>
      </c>
      <c r="L279" s="102" t="s">
        <v>14347</v>
      </c>
      <c r="M279" s="144" t="s">
        <v>13890</v>
      </c>
      <c r="N279" s="57"/>
      <c r="O279" s="57"/>
      <c r="P279" s="57"/>
      <c r="Q279" s="57"/>
      <c r="R279" s="57"/>
      <c r="S279" s="57"/>
      <c r="T279" s="57"/>
      <c r="U279" s="57"/>
      <c r="V279" s="57"/>
      <c r="W279" s="57"/>
      <c r="X279" s="57"/>
      <c r="Y279" s="57"/>
      <c r="Z279" s="57"/>
      <c r="AA279" s="57"/>
      <c r="AB279" s="57"/>
      <c r="AC279" s="57"/>
      <c r="AD279" s="57"/>
    </row>
    <row r="280" spans="1:30" ht="13.5" thickBot="1" x14ac:dyDescent="0.25">
      <c r="A280" s="57"/>
      <c r="B280" s="102" t="s">
        <v>13391</v>
      </c>
      <c r="C280" s="102" t="s">
        <v>14348</v>
      </c>
      <c r="D280" s="102" t="s">
        <v>13460</v>
      </c>
      <c r="E280" s="102" t="s">
        <v>14349</v>
      </c>
      <c r="F280" s="102" t="s">
        <v>13568</v>
      </c>
      <c r="G280" s="143" t="s">
        <v>13944</v>
      </c>
      <c r="H280" s="57"/>
      <c r="I280" s="102" t="s">
        <v>13391</v>
      </c>
      <c r="J280" s="102" t="s">
        <v>14350</v>
      </c>
      <c r="K280" s="102" t="s">
        <v>14351</v>
      </c>
      <c r="L280" s="102" t="s">
        <v>14352</v>
      </c>
      <c r="M280" s="144" t="s">
        <v>14353</v>
      </c>
      <c r="N280" s="57"/>
      <c r="O280" s="57"/>
      <c r="P280" s="57"/>
      <c r="Q280" s="57"/>
      <c r="R280" s="57"/>
      <c r="S280" s="57"/>
      <c r="T280" s="57"/>
      <c r="U280" s="57"/>
      <c r="V280" s="57"/>
      <c r="W280" s="57"/>
      <c r="X280" s="57"/>
      <c r="Y280" s="57"/>
      <c r="Z280" s="57"/>
      <c r="AA280" s="57"/>
      <c r="AB280" s="57"/>
      <c r="AC280" s="57"/>
      <c r="AD280" s="57"/>
    </row>
    <row r="281" spans="1:30" ht="13.5" thickBot="1" x14ac:dyDescent="0.25">
      <c r="A281" s="57"/>
      <c r="B281" s="102" t="s">
        <v>13397</v>
      </c>
      <c r="C281" s="102" t="s">
        <v>13687</v>
      </c>
      <c r="D281" s="102" t="s">
        <v>13692</v>
      </c>
      <c r="E281" s="102" t="s">
        <v>13948</v>
      </c>
      <c r="F281" s="102" t="s">
        <v>13628</v>
      </c>
      <c r="G281" s="143" t="s">
        <v>13743</v>
      </c>
      <c r="H281" s="57"/>
      <c r="I281" s="102" t="s">
        <v>13397</v>
      </c>
      <c r="J281" s="102" t="s">
        <v>13969</v>
      </c>
      <c r="K281" s="102" t="s">
        <v>14354</v>
      </c>
      <c r="L281" s="102" t="s">
        <v>13373</v>
      </c>
      <c r="M281" s="144" t="s">
        <v>14355</v>
      </c>
      <c r="N281" s="57"/>
      <c r="O281" s="57"/>
      <c r="P281" s="57"/>
      <c r="Q281" s="57"/>
      <c r="R281" s="57"/>
      <c r="S281" s="57"/>
      <c r="T281" s="57"/>
      <c r="U281" s="57"/>
      <c r="V281" s="57"/>
      <c r="W281" s="57"/>
      <c r="X281" s="57"/>
      <c r="Y281" s="57"/>
      <c r="Z281" s="57"/>
      <c r="AA281" s="57"/>
      <c r="AB281" s="57"/>
      <c r="AC281" s="57"/>
      <c r="AD281" s="57"/>
    </row>
    <row r="282" spans="1:30" ht="13.5" thickBot="1" x14ac:dyDescent="0.25">
      <c r="A282" s="57"/>
      <c r="B282" s="102" t="s">
        <v>13403</v>
      </c>
      <c r="C282" s="102" t="s">
        <v>13694</v>
      </c>
      <c r="D282" s="102" t="s">
        <v>13697</v>
      </c>
      <c r="E282" s="102" t="s">
        <v>13461</v>
      </c>
      <c r="F282" s="102" t="s">
        <v>13900</v>
      </c>
      <c r="G282" s="143" t="s">
        <v>14349</v>
      </c>
      <c r="H282" s="57"/>
      <c r="I282" s="102" t="s">
        <v>13403</v>
      </c>
      <c r="J282" s="102" t="s">
        <v>13700</v>
      </c>
      <c r="K282" s="102" t="s">
        <v>14356</v>
      </c>
      <c r="L282" s="102" t="s">
        <v>14357</v>
      </c>
      <c r="M282" s="144" t="s">
        <v>13945</v>
      </c>
      <c r="N282" s="57"/>
      <c r="O282" s="57"/>
      <c r="P282" s="57"/>
      <c r="Q282" s="57"/>
      <c r="R282" s="57"/>
      <c r="S282" s="57"/>
      <c r="T282" s="57"/>
      <c r="U282" s="57"/>
      <c r="V282" s="57"/>
      <c r="W282" s="57"/>
      <c r="X282" s="57"/>
      <c r="Y282" s="57"/>
      <c r="Z282" s="57"/>
      <c r="AA282" s="57"/>
      <c r="AB282" s="57"/>
      <c r="AC282" s="57"/>
      <c r="AD282" s="57"/>
    </row>
    <row r="283" spans="1:30" ht="26.25" thickBot="1" x14ac:dyDescent="0.25">
      <c r="A283" s="57"/>
      <c r="B283" s="102" t="s">
        <v>13408</v>
      </c>
      <c r="C283" s="102" t="s">
        <v>13699</v>
      </c>
      <c r="D283" s="102" t="s">
        <v>13450</v>
      </c>
      <c r="E283" s="102" t="s">
        <v>14358</v>
      </c>
      <c r="F283" s="102" t="s">
        <v>13385</v>
      </c>
      <c r="G283" s="143" t="s">
        <v>14359</v>
      </c>
      <c r="H283" s="57"/>
      <c r="I283" s="102" t="s">
        <v>13408</v>
      </c>
      <c r="J283" s="102" t="s">
        <v>13789</v>
      </c>
      <c r="K283" s="102" t="s">
        <v>14360</v>
      </c>
      <c r="L283" s="102" t="s">
        <v>14361</v>
      </c>
      <c r="M283" s="144" t="s">
        <v>14362</v>
      </c>
      <c r="N283" s="57"/>
      <c r="O283" s="57"/>
      <c r="P283" s="57"/>
      <c r="Q283" s="57"/>
      <c r="R283" s="57"/>
      <c r="S283" s="57"/>
      <c r="T283" s="57"/>
      <c r="U283" s="57"/>
      <c r="V283" s="57"/>
      <c r="W283" s="57"/>
      <c r="X283" s="57"/>
      <c r="Y283" s="57"/>
      <c r="Z283" s="57"/>
      <c r="AA283" s="57"/>
      <c r="AB283" s="57"/>
      <c r="AC283" s="57"/>
      <c r="AD283" s="57"/>
    </row>
    <row r="284" spans="1:30" ht="13.5" thickBot="1" x14ac:dyDescent="0.25">
      <c r="A284" s="57"/>
      <c r="B284" s="102" t="s">
        <v>13413</v>
      </c>
      <c r="C284" s="102" t="s">
        <v>13510</v>
      </c>
      <c r="D284" s="102" t="s">
        <v>13705</v>
      </c>
      <c r="E284" s="102" t="s">
        <v>13665</v>
      </c>
      <c r="F284" s="102" t="s">
        <v>13596</v>
      </c>
      <c r="G284" s="143" t="s">
        <v>14363</v>
      </c>
      <c r="H284" s="57"/>
      <c r="I284" s="102" t="s">
        <v>13413</v>
      </c>
      <c r="J284" s="102" t="s">
        <v>14339</v>
      </c>
      <c r="K284" s="102" t="s">
        <v>14339</v>
      </c>
      <c r="L284" s="102" t="s">
        <v>14362</v>
      </c>
      <c r="M284" s="144" t="s">
        <v>14364</v>
      </c>
      <c r="N284" s="57"/>
      <c r="O284" s="57"/>
      <c r="P284" s="57"/>
      <c r="Q284" s="57"/>
      <c r="R284" s="57"/>
      <c r="S284" s="57"/>
      <c r="T284" s="57"/>
      <c r="U284" s="57"/>
      <c r="V284" s="57"/>
      <c r="W284" s="57"/>
      <c r="X284" s="57"/>
      <c r="Y284" s="57"/>
      <c r="Z284" s="57"/>
      <c r="AA284" s="57"/>
      <c r="AB284" s="57"/>
      <c r="AC284" s="57"/>
      <c r="AD284" s="57"/>
    </row>
    <row r="285" spans="1:30" ht="13.5" thickBot="1" x14ac:dyDescent="0.25">
      <c r="A285" s="57"/>
      <c r="B285" s="102" t="s">
        <v>13419</v>
      </c>
      <c r="C285" s="102" t="s">
        <v>13712</v>
      </c>
      <c r="D285" s="102" t="s">
        <v>13710</v>
      </c>
      <c r="E285" s="102" t="s">
        <v>14365</v>
      </c>
      <c r="F285" s="102" t="s">
        <v>13778</v>
      </c>
      <c r="G285" s="143" t="s">
        <v>13465</v>
      </c>
      <c r="H285" s="57"/>
      <c r="I285" s="102" t="s">
        <v>13419</v>
      </c>
      <c r="J285" s="102" t="s">
        <v>14366</v>
      </c>
      <c r="K285" s="102" t="s">
        <v>13409</v>
      </c>
      <c r="L285" s="102" t="s">
        <v>13859</v>
      </c>
      <c r="M285" s="144" t="s">
        <v>14367</v>
      </c>
      <c r="N285" s="57"/>
      <c r="O285" s="57"/>
      <c r="P285" s="57"/>
      <c r="Q285" s="57"/>
      <c r="R285" s="57"/>
      <c r="S285" s="57"/>
      <c r="T285" s="57"/>
      <c r="U285" s="57"/>
      <c r="V285" s="57"/>
      <c r="W285" s="57"/>
      <c r="X285" s="57"/>
      <c r="Y285" s="57"/>
      <c r="Z285" s="57"/>
      <c r="AA285" s="57"/>
      <c r="AB285" s="57"/>
      <c r="AC285" s="57"/>
      <c r="AD285" s="57"/>
    </row>
    <row r="286" spans="1:30" ht="13.5" thickBot="1" x14ac:dyDescent="0.25">
      <c r="A286" s="57"/>
      <c r="B286" s="102" t="s">
        <v>13517</v>
      </c>
      <c r="C286" s="102" t="s">
        <v>13422</v>
      </c>
      <c r="D286" s="102" t="s">
        <v>13423</v>
      </c>
      <c r="E286" s="102" t="s">
        <v>13887</v>
      </c>
      <c r="F286" s="102" t="s">
        <v>13615</v>
      </c>
      <c r="G286" s="143" t="s">
        <v>13824</v>
      </c>
      <c r="H286" s="57"/>
      <c r="I286" s="102" t="s">
        <v>13517</v>
      </c>
      <c r="J286" s="102" t="s">
        <v>14361</v>
      </c>
      <c r="K286" s="102" t="s">
        <v>14368</v>
      </c>
      <c r="L286" s="102" t="s">
        <v>14369</v>
      </c>
      <c r="M286" s="144" t="s">
        <v>13769</v>
      </c>
      <c r="N286" s="57"/>
      <c r="O286" s="57"/>
      <c r="P286" s="57"/>
      <c r="Q286" s="57"/>
      <c r="R286" s="57"/>
      <c r="S286" s="57"/>
      <c r="T286" s="57"/>
      <c r="U286" s="57"/>
      <c r="V286" s="57"/>
      <c r="W286" s="57"/>
      <c r="X286" s="57"/>
      <c r="Y286" s="57"/>
      <c r="Z286" s="57"/>
      <c r="AA286" s="57"/>
      <c r="AB286" s="57"/>
      <c r="AC286" s="57"/>
      <c r="AD286" s="57"/>
    </row>
    <row r="287" spans="1:30" ht="13.5" thickBot="1" x14ac:dyDescent="0.25">
      <c r="A287" s="57"/>
      <c r="B287" s="145" t="s">
        <v>14370</v>
      </c>
      <c r="C287" s="145" t="s">
        <v>13505</v>
      </c>
      <c r="D287" s="145" t="s">
        <v>14371</v>
      </c>
      <c r="E287" s="145" t="s">
        <v>14372</v>
      </c>
      <c r="F287" s="145" t="s">
        <v>14373</v>
      </c>
      <c r="G287" s="145" t="s">
        <v>14374</v>
      </c>
      <c r="H287" s="57"/>
      <c r="I287" s="145" t="s">
        <v>14370</v>
      </c>
      <c r="J287" s="145" t="s">
        <v>14375</v>
      </c>
      <c r="K287" s="145" t="s">
        <v>14376</v>
      </c>
      <c r="L287" s="145" t="s">
        <v>13682</v>
      </c>
      <c r="M287" s="146" t="s">
        <v>13595</v>
      </c>
      <c r="N287" s="57"/>
      <c r="O287" s="57"/>
      <c r="P287" s="57"/>
      <c r="Q287" s="57"/>
      <c r="R287" s="57"/>
      <c r="S287" s="57"/>
      <c r="T287" s="57"/>
      <c r="U287" s="57"/>
      <c r="V287" s="57"/>
      <c r="W287" s="57"/>
      <c r="X287" s="57"/>
      <c r="Y287" s="57"/>
      <c r="Z287" s="57"/>
      <c r="AA287" s="57"/>
      <c r="AB287" s="57"/>
      <c r="AC287" s="57"/>
      <c r="AD287" s="57"/>
    </row>
    <row r="288" spans="1:30" ht="13.5" thickBot="1" x14ac:dyDescent="0.25">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c r="AA288" s="57"/>
      <c r="AB288" s="57"/>
      <c r="AC288" s="57"/>
      <c r="AD288" s="57"/>
    </row>
    <row r="289" spans="1:30" ht="13.5" thickBot="1" x14ac:dyDescent="0.25">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c r="AA289" s="57"/>
      <c r="AB289" s="57"/>
      <c r="AC289" s="57"/>
      <c r="AD289" s="57"/>
    </row>
    <row r="290" spans="1:30" ht="13.5" thickBot="1" x14ac:dyDescent="0.25">
      <c r="A290" s="57"/>
      <c r="B290" s="77" t="s">
        <v>2354</v>
      </c>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c r="AA290" s="57"/>
      <c r="AB290" s="57"/>
      <c r="AC290" s="57"/>
      <c r="AD290" s="57"/>
    </row>
    <row r="291" spans="1:30" ht="13.5" thickBot="1" x14ac:dyDescent="0.25">
      <c r="A291" s="57"/>
      <c r="B291" s="87" t="s">
        <v>14377</v>
      </c>
      <c r="C291" s="88"/>
      <c r="D291" s="88"/>
      <c r="E291" s="88"/>
      <c r="F291" s="57"/>
      <c r="G291" s="57"/>
      <c r="H291" s="57"/>
      <c r="I291" s="57"/>
      <c r="J291" s="57"/>
      <c r="K291" s="57"/>
      <c r="L291" s="57"/>
      <c r="M291" s="57"/>
      <c r="N291" s="57"/>
      <c r="O291" s="57"/>
      <c r="P291" s="57"/>
      <c r="Q291" s="57"/>
      <c r="R291" s="57"/>
      <c r="S291" s="57"/>
      <c r="T291" s="57"/>
      <c r="U291" s="57"/>
      <c r="V291" s="57"/>
      <c r="W291" s="57"/>
      <c r="X291" s="57"/>
      <c r="Y291" s="57"/>
      <c r="Z291" s="57"/>
      <c r="AA291" s="57"/>
      <c r="AB291" s="57"/>
      <c r="AC291" s="57"/>
      <c r="AD291" s="57"/>
    </row>
    <row r="292" spans="1:30" ht="13.5" thickBot="1" x14ac:dyDescent="0.25">
      <c r="A292" s="80"/>
      <c r="B292" s="83"/>
      <c r="C292" s="147" t="s">
        <v>13442</v>
      </c>
      <c r="D292" s="147" t="s">
        <v>13443</v>
      </c>
      <c r="E292" s="147" t="s">
        <v>14378</v>
      </c>
      <c r="F292" s="57"/>
      <c r="G292" s="57"/>
      <c r="H292" s="57"/>
      <c r="I292" s="57"/>
      <c r="J292" s="57"/>
      <c r="K292" s="57"/>
      <c r="L292" s="57"/>
      <c r="M292" s="57"/>
      <c r="N292" s="57"/>
      <c r="O292" s="57"/>
      <c r="P292" s="57"/>
      <c r="Q292" s="57"/>
      <c r="R292" s="57"/>
      <c r="S292" s="57"/>
      <c r="T292" s="57"/>
      <c r="U292" s="57"/>
      <c r="V292" s="57"/>
      <c r="W292" s="57"/>
      <c r="X292" s="57"/>
      <c r="Y292" s="57"/>
      <c r="Z292" s="57"/>
      <c r="AA292" s="57"/>
      <c r="AB292" s="57"/>
      <c r="AC292" s="57"/>
      <c r="AD292" s="57"/>
    </row>
    <row r="293" spans="1:30" ht="90" thickBot="1" x14ac:dyDescent="0.25">
      <c r="A293" s="80"/>
      <c r="B293" s="83" t="s">
        <v>14379</v>
      </c>
      <c r="C293" s="84" t="s">
        <v>13630</v>
      </c>
      <c r="D293" s="84" t="s">
        <v>14380</v>
      </c>
      <c r="E293" s="84" t="s">
        <v>14381</v>
      </c>
      <c r="F293" s="57"/>
      <c r="G293" s="57"/>
      <c r="H293" s="57"/>
      <c r="I293" s="57"/>
      <c r="J293" s="57"/>
      <c r="K293" s="57"/>
      <c r="L293" s="57"/>
      <c r="M293" s="57"/>
      <c r="N293" s="57"/>
      <c r="O293" s="57"/>
      <c r="P293" s="57"/>
      <c r="Q293" s="57"/>
      <c r="R293" s="57"/>
      <c r="S293" s="57"/>
      <c r="T293" s="57"/>
      <c r="U293" s="57"/>
      <c r="V293" s="57"/>
      <c r="W293" s="57"/>
      <c r="X293" s="57"/>
      <c r="Y293" s="57"/>
      <c r="Z293" s="57"/>
      <c r="AA293" s="57"/>
      <c r="AB293" s="57"/>
      <c r="AC293" s="57"/>
      <c r="AD293" s="57"/>
    </row>
    <row r="294" spans="1:30" ht="77.25" thickBot="1" x14ac:dyDescent="0.25">
      <c r="A294" s="80"/>
      <c r="B294" s="83" t="s">
        <v>14382</v>
      </c>
      <c r="C294" s="84" t="s">
        <v>14383</v>
      </c>
      <c r="D294" s="84" t="s">
        <v>14384</v>
      </c>
      <c r="E294" s="84" t="s">
        <v>14385</v>
      </c>
      <c r="F294" s="57"/>
      <c r="G294" s="57"/>
      <c r="H294" s="57"/>
      <c r="I294" s="57"/>
      <c r="J294" s="57"/>
      <c r="K294" s="57"/>
      <c r="L294" s="57"/>
      <c r="M294" s="57"/>
      <c r="N294" s="57"/>
      <c r="O294" s="57"/>
      <c r="P294" s="57"/>
      <c r="Q294" s="57"/>
      <c r="R294" s="57"/>
      <c r="S294" s="57"/>
      <c r="T294" s="57"/>
      <c r="U294" s="57"/>
      <c r="V294" s="57"/>
      <c r="W294" s="57"/>
      <c r="X294" s="57"/>
      <c r="Y294" s="57"/>
      <c r="Z294" s="57"/>
      <c r="AA294" s="57"/>
      <c r="AB294" s="57"/>
      <c r="AC294" s="57"/>
      <c r="AD294" s="57"/>
    </row>
    <row r="295" spans="1:30" ht="13.5" thickBot="1" x14ac:dyDescent="0.25">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c r="AA295" s="57"/>
      <c r="AB295" s="57"/>
      <c r="AC295" s="57"/>
      <c r="AD295" s="57"/>
    </row>
    <row r="296" spans="1:30" ht="13.5" thickBot="1" x14ac:dyDescent="0.25">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c r="AA296" s="57"/>
      <c r="AB296" s="57"/>
      <c r="AC296" s="57"/>
      <c r="AD296" s="57"/>
    </row>
    <row r="297" spans="1:30" ht="13.5" thickBot="1" x14ac:dyDescent="0.25">
      <c r="A297" s="57"/>
      <c r="B297" s="77" t="s">
        <v>2264</v>
      </c>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c r="AA297" s="57"/>
      <c r="AB297" s="57"/>
      <c r="AC297" s="57"/>
      <c r="AD297" s="57"/>
    </row>
    <row r="298" spans="1:30" ht="13.5" thickBot="1" x14ac:dyDescent="0.25">
      <c r="A298" s="57"/>
      <c r="B298" s="87" t="s">
        <v>14386</v>
      </c>
      <c r="C298" s="88"/>
      <c r="D298" s="88"/>
      <c r="E298" s="88"/>
      <c r="F298" s="88"/>
      <c r="G298" s="88"/>
      <c r="H298" s="88"/>
      <c r="I298" s="57"/>
      <c r="J298" s="57"/>
      <c r="K298" s="57"/>
      <c r="L298" s="148" t="s">
        <v>14387</v>
      </c>
      <c r="M298" s="88"/>
      <c r="N298" s="88"/>
      <c r="O298" s="88"/>
      <c r="P298" s="88"/>
      <c r="Q298" s="88"/>
      <c r="R298" s="88"/>
      <c r="S298" s="57"/>
      <c r="T298" s="57"/>
      <c r="U298" s="57"/>
      <c r="V298" s="57"/>
      <c r="W298" s="57"/>
      <c r="X298" s="57"/>
      <c r="Y298" s="57"/>
      <c r="Z298" s="57"/>
      <c r="AA298" s="57"/>
      <c r="AB298" s="57"/>
      <c r="AC298" s="57"/>
      <c r="AD298" s="57"/>
    </row>
    <row r="299" spans="1:30" ht="13.5" thickBot="1" x14ac:dyDescent="0.25">
      <c r="A299" s="80"/>
      <c r="B299" s="288" t="s">
        <v>14136</v>
      </c>
      <c r="C299" s="95" t="s">
        <v>13442</v>
      </c>
      <c r="D299" s="95"/>
      <c r="E299" s="95" t="s">
        <v>13443</v>
      </c>
      <c r="F299" s="95"/>
      <c r="G299" s="95" t="s">
        <v>13739</v>
      </c>
      <c r="H299" s="96"/>
      <c r="I299" s="57"/>
      <c r="J299" s="57"/>
      <c r="K299" s="57"/>
      <c r="L299" s="290" t="s">
        <v>14136</v>
      </c>
      <c r="M299" s="95" t="s">
        <v>13442</v>
      </c>
      <c r="N299" s="95"/>
      <c r="O299" s="96" t="s">
        <v>13443</v>
      </c>
      <c r="P299" s="83"/>
      <c r="Q299" s="95" t="s">
        <v>13739</v>
      </c>
      <c r="R299" s="95"/>
      <c r="S299" s="57"/>
      <c r="T299" s="57"/>
      <c r="U299" s="57"/>
      <c r="V299" s="57"/>
      <c r="W299" s="57"/>
      <c r="X299" s="57"/>
      <c r="Y299" s="57"/>
      <c r="Z299" s="57"/>
      <c r="AA299" s="57"/>
      <c r="AB299" s="57"/>
      <c r="AC299" s="57"/>
      <c r="AD299" s="57"/>
    </row>
    <row r="300" spans="1:30" ht="13.5" thickBot="1" x14ac:dyDescent="0.25">
      <c r="A300" s="80"/>
      <c r="B300" s="289"/>
      <c r="C300" s="95" t="s">
        <v>14336</v>
      </c>
      <c r="D300" s="95" t="s">
        <v>14388</v>
      </c>
      <c r="E300" s="95" t="s">
        <v>14336</v>
      </c>
      <c r="F300" s="95" t="s">
        <v>14388</v>
      </c>
      <c r="G300" s="95" t="s">
        <v>14336</v>
      </c>
      <c r="H300" s="96" t="s">
        <v>14388</v>
      </c>
      <c r="I300" s="57"/>
      <c r="J300" s="57"/>
      <c r="K300" s="57"/>
      <c r="L300" s="291"/>
      <c r="M300" s="95" t="s">
        <v>14389</v>
      </c>
      <c r="N300" s="95" t="s">
        <v>14388</v>
      </c>
      <c r="O300" s="95" t="s">
        <v>14389</v>
      </c>
      <c r="P300" s="95" t="s">
        <v>14388</v>
      </c>
      <c r="Q300" s="95" t="s">
        <v>14389</v>
      </c>
      <c r="R300" s="95" t="s">
        <v>14388</v>
      </c>
      <c r="S300" s="57"/>
      <c r="T300" s="57"/>
      <c r="U300" s="57"/>
      <c r="V300" s="57"/>
      <c r="W300" s="57"/>
      <c r="X300" s="57"/>
      <c r="Y300" s="57"/>
      <c r="Z300" s="57"/>
      <c r="AA300" s="57"/>
      <c r="AB300" s="57"/>
      <c r="AC300" s="57"/>
      <c r="AD300" s="57"/>
    </row>
    <row r="301" spans="1:30" ht="13.5" thickBot="1" x14ac:dyDescent="0.25">
      <c r="A301" s="80"/>
      <c r="B301" s="102" t="s">
        <v>13372</v>
      </c>
      <c r="C301" s="102" t="s">
        <v>13675</v>
      </c>
      <c r="D301" s="102" t="s">
        <v>13612</v>
      </c>
      <c r="E301" s="102" t="s">
        <v>13867</v>
      </c>
      <c r="F301" s="102" t="s">
        <v>13770</v>
      </c>
      <c r="G301" s="102" t="s">
        <v>14390</v>
      </c>
      <c r="H301" s="149" t="s">
        <v>14391</v>
      </c>
      <c r="I301" s="57"/>
      <c r="J301" s="57"/>
      <c r="K301" s="57"/>
      <c r="L301" s="102" t="s">
        <v>13372</v>
      </c>
      <c r="M301" s="102" t="s">
        <v>13457</v>
      </c>
      <c r="N301" s="102" t="s">
        <v>13612</v>
      </c>
      <c r="O301" s="102" t="s">
        <v>13690</v>
      </c>
      <c r="P301" s="102" t="s">
        <v>13770</v>
      </c>
      <c r="Q301" s="102" t="s">
        <v>13825</v>
      </c>
      <c r="R301" s="104" t="s">
        <v>14391</v>
      </c>
      <c r="S301" s="57"/>
      <c r="T301" s="57"/>
      <c r="U301" s="57"/>
      <c r="V301" s="57"/>
      <c r="W301" s="57"/>
      <c r="X301" s="57"/>
      <c r="Y301" s="57"/>
      <c r="Z301" s="57"/>
      <c r="AA301" s="57"/>
      <c r="AB301" s="57"/>
      <c r="AC301" s="57"/>
      <c r="AD301" s="57"/>
    </row>
    <row r="302" spans="1:30" ht="13.5" thickBot="1" x14ac:dyDescent="0.25">
      <c r="A302" s="80"/>
      <c r="B302" s="102" t="s">
        <v>13378</v>
      </c>
      <c r="C302" s="102" t="s">
        <v>14392</v>
      </c>
      <c r="D302" s="102" t="s">
        <v>14393</v>
      </c>
      <c r="E302" s="102" t="s">
        <v>14394</v>
      </c>
      <c r="F302" s="102" t="s">
        <v>14395</v>
      </c>
      <c r="G302" s="102" t="s">
        <v>14396</v>
      </c>
      <c r="H302" s="149" t="s">
        <v>13550</v>
      </c>
      <c r="I302" s="57"/>
      <c r="J302" s="57"/>
      <c r="K302" s="57"/>
      <c r="L302" s="102" t="s">
        <v>13378</v>
      </c>
      <c r="M302" s="102" t="s">
        <v>14397</v>
      </c>
      <c r="N302" s="102" t="s">
        <v>14393</v>
      </c>
      <c r="O302" s="102" t="s">
        <v>13532</v>
      </c>
      <c r="P302" s="102" t="s">
        <v>14395</v>
      </c>
      <c r="Q302" s="102" t="s">
        <v>13465</v>
      </c>
      <c r="R302" s="104" t="s">
        <v>13550</v>
      </c>
      <c r="S302" s="57"/>
      <c r="T302" s="57"/>
      <c r="U302" s="57"/>
      <c r="V302" s="57"/>
      <c r="W302" s="57"/>
      <c r="X302" s="57"/>
      <c r="Y302" s="57"/>
      <c r="Z302" s="57"/>
      <c r="AA302" s="57"/>
      <c r="AB302" s="57"/>
      <c r="AC302" s="57"/>
      <c r="AD302" s="57"/>
    </row>
    <row r="303" spans="1:30" ht="13.5" thickBot="1" x14ac:dyDescent="0.25">
      <c r="A303" s="80"/>
      <c r="B303" s="102" t="s">
        <v>13384</v>
      </c>
      <c r="C303" s="102" t="s">
        <v>14398</v>
      </c>
      <c r="D303" s="102" t="s">
        <v>14399</v>
      </c>
      <c r="E303" s="102" t="s">
        <v>13953</v>
      </c>
      <c r="F303" s="102" t="s">
        <v>14400</v>
      </c>
      <c r="G303" s="102" t="s">
        <v>13949</v>
      </c>
      <c r="H303" s="149" t="s">
        <v>13879</v>
      </c>
      <c r="I303" s="57"/>
      <c r="J303" s="57"/>
      <c r="K303" s="57"/>
      <c r="L303" s="102" t="s">
        <v>13384</v>
      </c>
      <c r="M303" s="102" t="s">
        <v>13882</v>
      </c>
      <c r="N303" s="102" t="s">
        <v>14399</v>
      </c>
      <c r="O303" s="102" t="s">
        <v>14401</v>
      </c>
      <c r="P303" s="102" t="s">
        <v>14400</v>
      </c>
      <c r="Q303" s="102" t="s">
        <v>14402</v>
      </c>
      <c r="R303" s="104" t="s">
        <v>13879</v>
      </c>
      <c r="S303" s="57"/>
      <c r="T303" s="57"/>
      <c r="U303" s="57"/>
      <c r="V303" s="57"/>
      <c r="W303" s="57"/>
      <c r="X303" s="57"/>
      <c r="Y303" s="57"/>
      <c r="Z303" s="57"/>
      <c r="AA303" s="57"/>
      <c r="AB303" s="57"/>
      <c r="AC303" s="57"/>
      <c r="AD303" s="57"/>
    </row>
    <row r="304" spans="1:30" ht="13.5" thickBot="1" x14ac:dyDescent="0.25">
      <c r="A304" s="80"/>
      <c r="B304" s="102" t="s">
        <v>13391</v>
      </c>
      <c r="C304" s="102">
        <v>1</v>
      </c>
      <c r="D304" s="102" t="s">
        <v>13457</v>
      </c>
      <c r="E304" s="102" t="s">
        <v>13770</v>
      </c>
      <c r="F304" s="102" t="s">
        <v>14391</v>
      </c>
      <c r="G304" s="102" t="s">
        <v>13716</v>
      </c>
      <c r="H304" s="149" t="s">
        <v>14403</v>
      </c>
      <c r="I304" s="57"/>
      <c r="J304" s="57"/>
      <c r="K304" s="57"/>
      <c r="L304" s="102" t="s">
        <v>13391</v>
      </c>
      <c r="M304" s="102" t="s">
        <v>14391</v>
      </c>
      <c r="N304" s="102" t="s">
        <v>13457</v>
      </c>
      <c r="O304" s="102" t="s">
        <v>13590</v>
      </c>
      <c r="P304" s="102" t="s">
        <v>14391</v>
      </c>
      <c r="Q304" s="102" t="s">
        <v>13832</v>
      </c>
      <c r="R304" s="104" t="s">
        <v>14403</v>
      </c>
      <c r="S304" s="57"/>
      <c r="T304" s="57"/>
      <c r="U304" s="57"/>
      <c r="V304" s="57"/>
      <c r="W304" s="57"/>
      <c r="X304" s="57"/>
      <c r="Y304" s="57"/>
      <c r="Z304" s="57"/>
      <c r="AA304" s="57"/>
      <c r="AB304" s="57"/>
      <c r="AC304" s="57"/>
      <c r="AD304" s="57"/>
    </row>
    <row r="305" spans="1:30" ht="13.5" thickBot="1" x14ac:dyDescent="0.25">
      <c r="A305" s="80"/>
      <c r="B305" s="102" t="s">
        <v>13397</v>
      </c>
      <c r="C305" s="102" t="s">
        <v>13586</v>
      </c>
      <c r="D305" s="102" t="s">
        <v>13532</v>
      </c>
      <c r="E305" s="102" t="s">
        <v>13420</v>
      </c>
      <c r="F305" s="102" t="s">
        <v>14404</v>
      </c>
      <c r="G305" s="102" t="s">
        <v>14405</v>
      </c>
      <c r="H305" s="149" t="s">
        <v>14269</v>
      </c>
      <c r="I305" s="57"/>
      <c r="J305" s="57"/>
      <c r="K305" s="57"/>
      <c r="L305" s="102" t="s">
        <v>13397</v>
      </c>
      <c r="M305" s="102" t="s">
        <v>13751</v>
      </c>
      <c r="N305" s="102" t="s">
        <v>13532</v>
      </c>
      <c r="O305" s="102" t="s">
        <v>13588</v>
      </c>
      <c r="P305" s="102" t="s">
        <v>14404</v>
      </c>
      <c r="Q305" s="102" t="s">
        <v>13677</v>
      </c>
      <c r="R305" s="104" t="s">
        <v>14269</v>
      </c>
      <c r="S305" s="57"/>
      <c r="T305" s="57"/>
      <c r="U305" s="57"/>
      <c r="V305" s="57"/>
      <c r="W305" s="57"/>
      <c r="X305" s="57"/>
      <c r="Y305" s="57"/>
      <c r="Z305" s="57"/>
      <c r="AA305" s="57"/>
      <c r="AB305" s="57"/>
      <c r="AC305" s="57"/>
      <c r="AD305" s="57"/>
    </row>
    <row r="306" spans="1:30" ht="13.5" thickBot="1" x14ac:dyDescent="0.25">
      <c r="A306" s="80"/>
      <c r="B306" s="102" t="s">
        <v>13403</v>
      </c>
      <c r="C306" s="102" t="s">
        <v>13591</v>
      </c>
      <c r="D306" s="102" t="s">
        <v>13485</v>
      </c>
      <c r="E306" s="102" t="s">
        <v>14406</v>
      </c>
      <c r="F306" s="102" t="s">
        <v>14407</v>
      </c>
      <c r="G306" s="102" t="s">
        <v>14408</v>
      </c>
      <c r="H306" s="149" t="s">
        <v>14409</v>
      </c>
      <c r="I306" s="57"/>
      <c r="J306" s="57"/>
      <c r="K306" s="57"/>
      <c r="L306" s="102" t="s">
        <v>13403</v>
      </c>
      <c r="M306" s="102" t="s">
        <v>13457</v>
      </c>
      <c r="N306" s="102" t="s">
        <v>13485</v>
      </c>
      <c r="O306" s="102" t="s">
        <v>14410</v>
      </c>
      <c r="P306" s="102" t="s">
        <v>14407</v>
      </c>
      <c r="Q306" s="102" t="s">
        <v>13696</v>
      </c>
      <c r="R306" s="104" t="s">
        <v>14409</v>
      </c>
      <c r="S306" s="57"/>
      <c r="T306" s="57"/>
      <c r="U306" s="57"/>
      <c r="V306" s="57"/>
      <c r="W306" s="57"/>
      <c r="X306" s="57"/>
      <c r="Y306" s="57"/>
      <c r="Z306" s="57"/>
      <c r="AA306" s="57"/>
      <c r="AB306" s="57"/>
      <c r="AC306" s="57"/>
      <c r="AD306" s="57"/>
    </row>
    <row r="307" spans="1:30" ht="26.25" thickBot="1" x14ac:dyDescent="0.25">
      <c r="A307" s="80"/>
      <c r="B307" s="102" t="s">
        <v>13408</v>
      </c>
      <c r="C307" s="102" t="s">
        <v>14372</v>
      </c>
      <c r="D307" s="102" t="s">
        <v>14391</v>
      </c>
      <c r="E307" s="102" t="s">
        <v>14384</v>
      </c>
      <c r="F307" s="102">
        <v>1</v>
      </c>
      <c r="G307" s="102" t="s">
        <v>13916</v>
      </c>
      <c r="H307" s="149" t="s">
        <v>13457</v>
      </c>
      <c r="I307" s="57"/>
      <c r="J307" s="57"/>
      <c r="K307" s="57"/>
      <c r="L307" s="102" t="s">
        <v>13408</v>
      </c>
      <c r="M307" s="102" t="s">
        <v>14407</v>
      </c>
      <c r="N307" s="102" t="s">
        <v>14391</v>
      </c>
      <c r="O307" s="102" t="s">
        <v>13602</v>
      </c>
      <c r="P307" s="102">
        <v>1</v>
      </c>
      <c r="Q307" s="102" t="s">
        <v>14411</v>
      </c>
      <c r="R307" s="104" t="s">
        <v>13457</v>
      </c>
      <c r="S307" s="57"/>
      <c r="T307" s="57"/>
      <c r="U307" s="57"/>
      <c r="V307" s="57"/>
      <c r="W307" s="57"/>
      <c r="X307" s="57"/>
      <c r="Y307" s="57"/>
      <c r="Z307" s="57"/>
      <c r="AA307" s="57"/>
      <c r="AB307" s="57"/>
      <c r="AC307" s="57"/>
      <c r="AD307" s="57"/>
    </row>
    <row r="308" spans="1:30" ht="13.5" thickBot="1" x14ac:dyDescent="0.25">
      <c r="A308" s="80"/>
      <c r="B308" s="102" t="s">
        <v>14412</v>
      </c>
      <c r="C308" s="102" t="s">
        <v>14413</v>
      </c>
      <c r="D308" s="102" t="s">
        <v>14414</v>
      </c>
      <c r="E308" s="102" t="s">
        <v>14415</v>
      </c>
      <c r="F308" s="102" t="s">
        <v>14416</v>
      </c>
      <c r="G308" s="102" t="s">
        <v>13787</v>
      </c>
      <c r="H308" s="149" t="s">
        <v>13767</v>
      </c>
      <c r="I308" s="57"/>
      <c r="J308" s="57"/>
      <c r="K308" s="57"/>
      <c r="L308" s="102" t="s">
        <v>14412</v>
      </c>
      <c r="M308" s="102" t="s">
        <v>13883</v>
      </c>
      <c r="N308" s="102" t="s">
        <v>14414</v>
      </c>
      <c r="O308" s="102" t="s">
        <v>13457</v>
      </c>
      <c r="P308" s="102" t="s">
        <v>14416</v>
      </c>
      <c r="Q308" s="102" t="s">
        <v>13949</v>
      </c>
      <c r="R308" s="104" t="s">
        <v>13767</v>
      </c>
      <c r="S308" s="57"/>
      <c r="T308" s="57"/>
      <c r="U308" s="57"/>
      <c r="V308" s="57"/>
      <c r="W308" s="57"/>
      <c r="X308" s="57"/>
      <c r="Y308" s="57"/>
      <c r="Z308" s="57"/>
      <c r="AA308" s="57"/>
      <c r="AB308" s="57"/>
      <c r="AC308" s="57"/>
      <c r="AD308" s="57"/>
    </row>
    <row r="309" spans="1:30" ht="13.5" thickBot="1" x14ac:dyDescent="0.25">
      <c r="A309" s="80"/>
      <c r="B309" s="102" t="s">
        <v>14417</v>
      </c>
      <c r="C309" s="102" t="s">
        <v>13952</v>
      </c>
      <c r="D309" s="102" t="s">
        <v>14418</v>
      </c>
      <c r="E309" s="102" t="s">
        <v>13642</v>
      </c>
      <c r="F309" s="102" t="s">
        <v>14396</v>
      </c>
      <c r="G309" s="102" t="s">
        <v>13452</v>
      </c>
      <c r="H309" s="149" t="s">
        <v>14419</v>
      </c>
      <c r="I309" s="57"/>
      <c r="J309" s="57"/>
      <c r="K309" s="57"/>
      <c r="L309" s="102" t="s">
        <v>14417</v>
      </c>
      <c r="M309" s="102" t="s">
        <v>14420</v>
      </c>
      <c r="N309" s="102" t="s">
        <v>14418</v>
      </c>
      <c r="O309" s="102" t="s">
        <v>13794</v>
      </c>
      <c r="P309" s="102" t="s">
        <v>14396</v>
      </c>
      <c r="Q309" s="102" t="s">
        <v>14413</v>
      </c>
      <c r="R309" s="104" t="s">
        <v>14419</v>
      </c>
      <c r="S309" s="57"/>
      <c r="T309" s="57"/>
      <c r="U309" s="57"/>
      <c r="V309" s="57"/>
      <c r="W309" s="57"/>
      <c r="X309" s="57"/>
      <c r="Y309" s="57"/>
      <c r="Z309" s="57"/>
      <c r="AA309" s="57"/>
      <c r="AB309" s="57"/>
      <c r="AC309" s="57"/>
      <c r="AD309" s="57"/>
    </row>
    <row r="310" spans="1:30" ht="13.5" thickBot="1" x14ac:dyDescent="0.25">
      <c r="A310" s="80"/>
      <c r="B310" s="102" t="s">
        <v>13517</v>
      </c>
      <c r="C310" s="102" t="s">
        <v>13950</v>
      </c>
      <c r="D310" s="102">
        <v>1</v>
      </c>
      <c r="E310" s="102" t="s">
        <v>13918</v>
      </c>
      <c r="F310" s="102" t="s">
        <v>13918</v>
      </c>
      <c r="G310" s="102" t="s">
        <v>13752</v>
      </c>
      <c r="H310" s="149" t="s">
        <v>13605</v>
      </c>
      <c r="I310" s="57"/>
      <c r="J310" s="57"/>
      <c r="K310" s="57"/>
      <c r="L310" s="102" t="s">
        <v>13517</v>
      </c>
      <c r="M310" s="102" t="s">
        <v>14413</v>
      </c>
      <c r="N310" s="102">
        <v>1</v>
      </c>
      <c r="O310" s="102" t="s">
        <v>14391</v>
      </c>
      <c r="P310" s="102" t="s">
        <v>13918</v>
      </c>
      <c r="Q310" s="102" t="s">
        <v>13649</v>
      </c>
      <c r="R310" s="104" t="s">
        <v>13605</v>
      </c>
      <c r="S310" s="57"/>
      <c r="T310" s="57"/>
      <c r="U310" s="57"/>
      <c r="V310" s="57"/>
      <c r="W310" s="57"/>
      <c r="X310" s="57"/>
      <c r="Y310" s="57"/>
      <c r="Z310" s="57"/>
      <c r="AA310" s="57"/>
      <c r="AB310" s="57"/>
      <c r="AC310" s="57"/>
      <c r="AD310" s="57"/>
    </row>
    <row r="311" spans="1:30" ht="13.5" thickBot="1" x14ac:dyDescent="0.25">
      <c r="A311" s="80"/>
      <c r="B311" s="145" t="s">
        <v>13432</v>
      </c>
      <c r="C311" s="145" t="s">
        <v>13782</v>
      </c>
      <c r="D311" s="145" t="s">
        <v>13878</v>
      </c>
      <c r="E311" s="145" t="s">
        <v>14421</v>
      </c>
      <c r="F311" s="145" t="s">
        <v>14363</v>
      </c>
      <c r="G311" s="145" t="s">
        <v>14422</v>
      </c>
      <c r="H311" s="145" t="s">
        <v>13876</v>
      </c>
      <c r="I311" s="57"/>
      <c r="J311" s="57"/>
      <c r="K311" s="57"/>
      <c r="L311" s="145" t="s">
        <v>13432</v>
      </c>
      <c r="M311" s="145" t="s">
        <v>13665</v>
      </c>
      <c r="N311" s="145" t="s">
        <v>13878</v>
      </c>
      <c r="O311" s="145" t="s">
        <v>14423</v>
      </c>
      <c r="P311" s="145" t="s">
        <v>14363</v>
      </c>
      <c r="Q311" s="145" t="s">
        <v>14424</v>
      </c>
      <c r="R311" s="145" t="s">
        <v>13876</v>
      </c>
      <c r="S311" s="57"/>
      <c r="T311" s="57"/>
      <c r="U311" s="57"/>
      <c r="V311" s="57"/>
      <c r="W311" s="57"/>
      <c r="X311" s="57"/>
      <c r="Y311" s="57"/>
      <c r="Z311" s="57"/>
      <c r="AA311" s="57"/>
      <c r="AB311" s="57"/>
      <c r="AC311" s="57"/>
      <c r="AD311" s="57"/>
    </row>
    <row r="312" spans="1:30" ht="13.5" thickBot="1" x14ac:dyDescent="0.25">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c r="AA312" s="57"/>
      <c r="AB312" s="57"/>
      <c r="AC312" s="57"/>
      <c r="AD312" s="57"/>
    </row>
    <row r="313" spans="1:30" ht="13.5" thickBot="1" x14ac:dyDescent="0.25">
      <c r="A313" s="57"/>
      <c r="B313" s="87" t="s">
        <v>14425</v>
      </c>
      <c r="C313" s="88"/>
      <c r="D313" s="88"/>
      <c r="E313" s="88"/>
      <c r="F313" s="88"/>
      <c r="G313" s="88"/>
      <c r="H313" s="88"/>
      <c r="I313" s="57"/>
      <c r="J313" s="57"/>
      <c r="K313" s="57"/>
      <c r="L313" s="87" t="s">
        <v>14426</v>
      </c>
      <c r="M313" s="88"/>
      <c r="N313" s="88"/>
      <c r="O313" s="88"/>
      <c r="P313" s="88"/>
      <c r="Q313" s="88"/>
      <c r="R313" s="88"/>
      <c r="S313" s="57"/>
      <c r="T313" s="57"/>
      <c r="U313" s="57"/>
      <c r="V313" s="57"/>
      <c r="W313" s="57"/>
      <c r="X313" s="57"/>
      <c r="Y313" s="57"/>
      <c r="Z313" s="57"/>
      <c r="AA313" s="57"/>
      <c r="AB313" s="57"/>
      <c r="AC313" s="57"/>
      <c r="AD313" s="57"/>
    </row>
    <row r="314" spans="1:30" ht="13.5" thickBot="1" x14ac:dyDescent="0.25">
      <c r="A314" s="57"/>
      <c r="B314" s="290" t="s">
        <v>14136</v>
      </c>
      <c r="C314" s="95" t="s">
        <v>13442</v>
      </c>
      <c r="D314" s="96"/>
      <c r="E314" s="96" t="s">
        <v>13443</v>
      </c>
      <c r="F314" s="83"/>
      <c r="G314" s="96" t="s">
        <v>13739</v>
      </c>
      <c r="H314" s="95"/>
      <c r="I314" s="57"/>
      <c r="J314" s="57"/>
      <c r="K314" s="57"/>
      <c r="L314" s="290" t="s">
        <v>14136</v>
      </c>
      <c r="M314" s="95" t="s">
        <v>13442</v>
      </c>
      <c r="N314" s="95"/>
      <c r="O314" s="96" t="s">
        <v>13443</v>
      </c>
      <c r="P314" s="83"/>
      <c r="Q314" s="95" t="s">
        <v>13739</v>
      </c>
      <c r="R314" s="95"/>
      <c r="S314" s="57"/>
      <c r="T314" s="57"/>
      <c r="U314" s="57"/>
      <c r="V314" s="57"/>
      <c r="W314" s="57"/>
      <c r="X314" s="57"/>
      <c r="Y314" s="57"/>
      <c r="Z314" s="57"/>
      <c r="AA314" s="57"/>
      <c r="AB314" s="57"/>
      <c r="AC314" s="57"/>
      <c r="AD314" s="57"/>
    </row>
    <row r="315" spans="1:30" ht="13.5" thickBot="1" x14ac:dyDescent="0.25">
      <c r="A315" s="57"/>
      <c r="B315" s="291"/>
      <c r="C315" s="95" t="s">
        <v>14336</v>
      </c>
      <c r="D315" s="96" t="s">
        <v>14388</v>
      </c>
      <c r="E315" s="96" t="s">
        <v>14336</v>
      </c>
      <c r="F315" s="96" t="s">
        <v>14388</v>
      </c>
      <c r="G315" s="96" t="s">
        <v>14336</v>
      </c>
      <c r="H315" s="95" t="s">
        <v>14388</v>
      </c>
      <c r="I315" s="57"/>
      <c r="J315" s="57"/>
      <c r="K315" s="57"/>
      <c r="L315" s="291"/>
      <c r="M315" s="95" t="s">
        <v>14389</v>
      </c>
      <c r="N315" s="95" t="s">
        <v>14388</v>
      </c>
      <c r="O315" s="95" t="s">
        <v>14389</v>
      </c>
      <c r="P315" s="95" t="s">
        <v>14388</v>
      </c>
      <c r="Q315" s="95" t="s">
        <v>14389</v>
      </c>
      <c r="R315" s="95" t="s">
        <v>14388</v>
      </c>
      <c r="S315" s="57"/>
      <c r="T315" s="57"/>
      <c r="U315" s="57"/>
      <c r="V315" s="57"/>
      <c r="W315" s="57"/>
      <c r="X315" s="57"/>
      <c r="Y315" s="57"/>
      <c r="Z315" s="57"/>
      <c r="AA315" s="57"/>
      <c r="AB315" s="57"/>
      <c r="AC315" s="57"/>
      <c r="AD315" s="57"/>
    </row>
    <row r="316" spans="1:30" ht="13.5" thickBot="1" x14ac:dyDescent="0.25">
      <c r="A316" s="57"/>
      <c r="B316" s="102" t="s">
        <v>13372</v>
      </c>
      <c r="C316" s="102" t="s">
        <v>13559</v>
      </c>
      <c r="D316" s="102" t="s">
        <v>14427</v>
      </c>
      <c r="E316" s="102" t="s">
        <v>13516</v>
      </c>
      <c r="F316" s="102" t="s">
        <v>14428</v>
      </c>
      <c r="G316" s="102" t="s">
        <v>13824</v>
      </c>
      <c r="H316" s="104" t="s">
        <v>13711</v>
      </c>
      <c r="I316" s="57"/>
      <c r="J316" s="57"/>
      <c r="K316" s="57"/>
      <c r="L316" s="102" t="s">
        <v>13372</v>
      </c>
      <c r="M316" s="102" t="s">
        <v>14429</v>
      </c>
      <c r="N316" s="102" t="s">
        <v>14427</v>
      </c>
      <c r="O316" s="102" t="s">
        <v>13603</v>
      </c>
      <c r="P316" s="102" t="s">
        <v>14428</v>
      </c>
      <c r="Q316" s="102" t="s">
        <v>13704</v>
      </c>
      <c r="R316" s="104" t="s">
        <v>13711</v>
      </c>
      <c r="S316" s="57"/>
      <c r="T316" s="57"/>
      <c r="U316" s="57"/>
      <c r="V316" s="57"/>
      <c r="W316" s="57"/>
      <c r="X316" s="57"/>
      <c r="Y316" s="57"/>
      <c r="Z316" s="57"/>
      <c r="AA316" s="57"/>
      <c r="AB316" s="57"/>
      <c r="AC316" s="57"/>
      <c r="AD316" s="57"/>
    </row>
    <row r="317" spans="1:30" ht="13.5" thickBot="1" x14ac:dyDescent="0.25">
      <c r="A317" s="57"/>
      <c r="B317" s="102" t="s">
        <v>13378</v>
      </c>
      <c r="C317" s="102" t="s">
        <v>13711</v>
      </c>
      <c r="D317" s="102" t="s">
        <v>14430</v>
      </c>
      <c r="E317" s="102" t="s">
        <v>14431</v>
      </c>
      <c r="F317" s="102" t="s">
        <v>13773</v>
      </c>
      <c r="G317" s="102" t="s">
        <v>14409</v>
      </c>
      <c r="H317" s="104" t="s">
        <v>13953</v>
      </c>
      <c r="I317" s="57"/>
      <c r="J317" s="57"/>
      <c r="K317" s="57"/>
      <c r="L317" s="102" t="s">
        <v>13378</v>
      </c>
      <c r="M317" s="102" t="s">
        <v>14344</v>
      </c>
      <c r="N317" s="102" t="s">
        <v>14430</v>
      </c>
      <c r="O317" s="102" t="s">
        <v>14432</v>
      </c>
      <c r="P317" s="102" t="s">
        <v>13773</v>
      </c>
      <c r="Q317" s="102" t="s">
        <v>13485</v>
      </c>
      <c r="R317" s="104" t="s">
        <v>13953</v>
      </c>
      <c r="S317" s="57"/>
      <c r="T317" s="57"/>
      <c r="U317" s="57"/>
      <c r="V317" s="57"/>
      <c r="W317" s="57"/>
      <c r="X317" s="57"/>
      <c r="Y317" s="57"/>
      <c r="Z317" s="57"/>
      <c r="AA317" s="57"/>
      <c r="AB317" s="57"/>
      <c r="AC317" s="57"/>
      <c r="AD317" s="57"/>
    </row>
    <row r="318" spans="1:30" ht="13.5" thickBot="1" x14ac:dyDescent="0.25">
      <c r="A318" s="57"/>
      <c r="B318" s="102" t="s">
        <v>13384</v>
      </c>
      <c r="C318" s="102" t="s">
        <v>13474</v>
      </c>
      <c r="D318" s="102" t="s">
        <v>14433</v>
      </c>
      <c r="E318" s="102" t="s">
        <v>14434</v>
      </c>
      <c r="F318" s="102" t="s">
        <v>13641</v>
      </c>
      <c r="G318" s="102" t="s">
        <v>13646</v>
      </c>
      <c r="H318" s="104" t="s">
        <v>14435</v>
      </c>
      <c r="I318" s="57"/>
      <c r="J318" s="57"/>
      <c r="K318" s="57"/>
      <c r="L318" s="102" t="s">
        <v>13384</v>
      </c>
      <c r="M318" s="102" t="s">
        <v>13765</v>
      </c>
      <c r="N318" s="102" t="s">
        <v>14433</v>
      </c>
      <c r="O318" s="102" t="s">
        <v>14436</v>
      </c>
      <c r="P318" s="102" t="s">
        <v>13641</v>
      </c>
      <c r="Q318" s="102" t="s">
        <v>14437</v>
      </c>
      <c r="R318" s="104" t="s">
        <v>14435</v>
      </c>
      <c r="S318" s="57"/>
      <c r="T318" s="57"/>
      <c r="U318" s="57"/>
      <c r="V318" s="57"/>
      <c r="W318" s="57"/>
      <c r="X318" s="57"/>
      <c r="Y318" s="57"/>
      <c r="Z318" s="57"/>
      <c r="AA318" s="57"/>
      <c r="AB318" s="57"/>
      <c r="AC318" s="57"/>
      <c r="AD318" s="57"/>
    </row>
    <row r="319" spans="1:30" ht="13.5" thickBot="1" x14ac:dyDescent="0.25">
      <c r="A319" s="57"/>
      <c r="B319" s="102" t="s">
        <v>13391</v>
      </c>
      <c r="C319" s="102" t="s">
        <v>13792</v>
      </c>
      <c r="D319" s="102" t="s">
        <v>13686</v>
      </c>
      <c r="E319" s="102" t="s">
        <v>14438</v>
      </c>
      <c r="F319" s="102" t="s">
        <v>13688</v>
      </c>
      <c r="G319" s="102" t="s">
        <v>14355</v>
      </c>
      <c r="H319" s="104" t="s">
        <v>14439</v>
      </c>
      <c r="I319" s="57"/>
      <c r="J319" s="57"/>
      <c r="K319" s="57"/>
      <c r="L319" s="102" t="s">
        <v>13391</v>
      </c>
      <c r="M319" s="102" t="s">
        <v>14391</v>
      </c>
      <c r="N319" s="102" t="s">
        <v>13686</v>
      </c>
      <c r="O319" s="102" t="s">
        <v>14440</v>
      </c>
      <c r="P319" s="102" t="s">
        <v>13688</v>
      </c>
      <c r="Q319" s="102" t="s">
        <v>13435</v>
      </c>
      <c r="R319" s="104" t="s">
        <v>14439</v>
      </c>
      <c r="S319" s="57"/>
      <c r="T319" s="57"/>
      <c r="U319" s="57"/>
      <c r="V319" s="57"/>
      <c r="W319" s="57"/>
      <c r="X319" s="57"/>
      <c r="Y319" s="57"/>
      <c r="Z319" s="57"/>
      <c r="AA319" s="57"/>
      <c r="AB319" s="57"/>
      <c r="AC319" s="57"/>
      <c r="AD319" s="57"/>
    </row>
    <row r="320" spans="1:30" ht="13.5" thickBot="1" x14ac:dyDescent="0.25">
      <c r="A320" s="57"/>
      <c r="B320" s="102" t="s">
        <v>13397</v>
      </c>
      <c r="C320" s="102" t="s">
        <v>13484</v>
      </c>
      <c r="D320" s="102" t="s">
        <v>13821</v>
      </c>
      <c r="E320" s="102" t="s">
        <v>13809</v>
      </c>
      <c r="F320" s="102" t="s">
        <v>14416</v>
      </c>
      <c r="G320" s="102" t="s">
        <v>13856</v>
      </c>
      <c r="H320" s="104" t="s">
        <v>14441</v>
      </c>
      <c r="I320" s="57"/>
      <c r="J320" s="57"/>
      <c r="K320" s="57"/>
      <c r="L320" s="102" t="s">
        <v>13397</v>
      </c>
      <c r="M320" s="102" t="s">
        <v>13829</v>
      </c>
      <c r="N320" s="102" t="s">
        <v>13821</v>
      </c>
      <c r="O320" s="102" t="s">
        <v>14403</v>
      </c>
      <c r="P320" s="102" t="s">
        <v>14416</v>
      </c>
      <c r="Q320" s="102" t="s">
        <v>13948</v>
      </c>
      <c r="R320" s="104" t="s">
        <v>14441</v>
      </c>
      <c r="S320" s="57"/>
      <c r="T320" s="57"/>
      <c r="U320" s="57"/>
      <c r="V320" s="57"/>
      <c r="W320" s="57"/>
      <c r="X320" s="57"/>
      <c r="Y320" s="57"/>
      <c r="Z320" s="57"/>
      <c r="AA320" s="57"/>
      <c r="AB320" s="57"/>
      <c r="AC320" s="57"/>
      <c r="AD320" s="57"/>
    </row>
    <row r="321" spans="1:30" ht="13.5" thickBot="1" x14ac:dyDescent="0.25">
      <c r="A321" s="57"/>
      <c r="B321" s="102" t="s">
        <v>13403</v>
      </c>
      <c r="C321" s="102" t="s">
        <v>13562</v>
      </c>
      <c r="D321" s="102" t="s">
        <v>14442</v>
      </c>
      <c r="E321" s="102" t="s">
        <v>13703</v>
      </c>
      <c r="F321" s="102" t="s">
        <v>13942</v>
      </c>
      <c r="G321" s="102" t="s">
        <v>13450</v>
      </c>
      <c r="H321" s="104" t="s">
        <v>13792</v>
      </c>
      <c r="I321" s="57"/>
      <c r="J321" s="57"/>
      <c r="K321" s="57"/>
      <c r="L321" s="102" t="s">
        <v>13403</v>
      </c>
      <c r="M321" s="102" t="s">
        <v>13379</v>
      </c>
      <c r="N321" s="102" t="s">
        <v>14442</v>
      </c>
      <c r="O321" s="102" t="s">
        <v>14443</v>
      </c>
      <c r="P321" s="102" t="s">
        <v>13942</v>
      </c>
      <c r="Q321" s="102" t="s">
        <v>14444</v>
      </c>
      <c r="R321" s="104" t="s">
        <v>13792</v>
      </c>
      <c r="S321" s="57"/>
      <c r="T321" s="57"/>
      <c r="U321" s="57"/>
      <c r="V321" s="57"/>
      <c r="W321" s="57"/>
      <c r="X321" s="57"/>
      <c r="Y321" s="57"/>
      <c r="Z321" s="57"/>
      <c r="AA321" s="57"/>
      <c r="AB321" s="57"/>
      <c r="AC321" s="57"/>
      <c r="AD321" s="57"/>
    </row>
    <row r="322" spans="1:30" ht="26.25" thickBot="1" x14ac:dyDescent="0.25">
      <c r="A322" s="57"/>
      <c r="B322" s="102" t="s">
        <v>13408</v>
      </c>
      <c r="C322" s="102" t="s">
        <v>14367</v>
      </c>
      <c r="D322" s="102" t="s">
        <v>14445</v>
      </c>
      <c r="E322" s="102" t="s">
        <v>13559</v>
      </c>
      <c r="F322" s="102" t="s">
        <v>13597</v>
      </c>
      <c r="G322" s="102" t="s">
        <v>13762</v>
      </c>
      <c r="H322" s="104" t="s">
        <v>13704</v>
      </c>
      <c r="I322" s="57"/>
      <c r="J322" s="57"/>
      <c r="K322" s="57"/>
      <c r="L322" s="102" t="s">
        <v>13408</v>
      </c>
      <c r="M322" s="102" t="s">
        <v>14446</v>
      </c>
      <c r="N322" s="102" t="s">
        <v>14445</v>
      </c>
      <c r="O322" s="102" t="s">
        <v>14447</v>
      </c>
      <c r="P322" s="102" t="s">
        <v>13597</v>
      </c>
      <c r="Q322" s="102" t="s">
        <v>13584</v>
      </c>
      <c r="R322" s="104" t="s">
        <v>13704</v>
      </c>
      <c r="S322" s="57"/>
      <c r="T322" s="57"/>
      <c r="U322" s="57"/>
      <c r="V322" s="57"/>
      <c r="W322" s="57"/>
      <c r="X322" s="57"/>
      <c r="Y322" s="57"/>
      <c r="Z322" s="57"/>
      <c r="AA322" s="57"/>
      <c r="AB322" s="57"/>
      <c r="AC322" s="57"/>
      <c r="AD322" s="57"/>
    </row>
    <row r="323" spans="1:30" ht="13.5" thickBot="1" x14ac:dyDescent="0.25">
      <c r="A323" s="57"/>
      <c r="B323" s="102" t="s">
        <v>14412</v>
      </c>
      <c r="C323" s="102" t="s">
        <v>14448</v>
      </c>
      <c r="D323" s="102" t="s">
        <v>13485</v>
      </c>
      <c r="E323" s="102" t="s">
        <v>13420</v>
      </c>
      <c r="F323" s="102" t="s">
        <v>13611</v>
      </c>
      <c r="G323" s="102" t="s">
        <v>14449</v>
      </c>
      <c r="H323" s="104" t="s">
        <v>13889</v>
      </c>
      <c r="I323" s="57"/>
      <c r="J323" s="57"/>
      <c r="K323" s="57"/>
      <c r="L323" s="102" t="s">
        <v>14412</v>
      </c>
      <c r="M323" s="102" t="s">
        <v>13663</v>
      </c>
      <c r="N323" s="102" t="s">
        <v>13485</v>
      </c>
      <c r="O323" s="102" t="s">
        <v>14108</v>
      </c>
      <c r="P323" s="102" t="s">
        <v>13611</v>
      </c>
      <c r="Q323" s="102" t="s">
        <v>13611</v>
      </c>
      <c r="R323" s="104" t="s">
        <v>13889</v>
      </c>
      <c r="S323" s="57"/>
      <c r="T323" s="57"/>
      <c r="U323" s="57"/>
      <c r="V323" s="57"/>
      <c r="W323" s="57"/>
      <c r="X323" s="57"/>
      <c r="Y323" s="57"/>
      <c r="Z323" s="57"/>
      <c r="AA323" s="57"/>
      <c r="AB323" s="57"/>
      <c r="AC323" s="57"/>
      <c r="AD323" s="57"/>
    </row>
    <row r="324" spans="1:30" ht="13.5" thickBot="1" x14ac:dyDescent="0.25">
      <c r="A324" s="57"/>
      <c r="B324" s="102" t="s">
        <v>14417</v>
      </c>
      <c r="C324" s="102" t="s">
        <v>13420</v>
      </c>
      <c r="D324" s="102" t="s">
        <v>13485</v>
      </c>
      <c r="E324" s="102" t="s">
        <v>14450</v>
      </c>
      <c r="F324" s="102" t="s">
        <v>14451</v>
      </c>
      <c r="G324" s="102" t="s">
        <v>14344</v>
      </c>
      <c r="H324" s="104" t="s">
        <v>14452</v>
      </c>
      <c r="I324" s="57"/>
      <c r="J324" s="57"/>
      <c r="K324" s="57"/>
      <c r="L324" s="102" t="s">
        <v>14417</v>
      </c>
      <c r="M324" s="102" t="s">
        <v>14420</v>
      </c>
      <c r="N324" s="102" t="s">
        <v>13485</v>
      </c>
      <c r="O324" s="102" t="s">
        <v>14381</v>
      </c>
      <c r="P324" s="102" t="s">
        <v>14451</v>
      </c>
      <c r="Q324" s="102" t="s">
        <v>14435</v>
      </c>
      <c r="R324" s="104" t="s">
        <v>14452</v>
      </c>
      <c r="S324" s="57"/>
      <c r="T324" s="57"/>
      <c r="U324" s="57"/>
      <c r="V324" s="57"/>
      <c r="W324" s="57"/>
      <c r="X324" s="57"/>
      <c r="Y324" s="57"/>
      <c r="Z324" s="57"/>
      <c r="AA324" s="57"/>
      <c r="AB324" s="57"/>
      <c r="AC324" s="57"/>
      <c r="AD324" s="57"/>
    </row>
    <row r="325" spans="1:30" ht="13.5" thickBot="1" x14ac:dyDescent="0.25">
      <c r="A325" s="57"/>
      <c r="B325" s="102" t="s">
        <v>13517</v>
      </c>
      <c r="C325" s="102" t="s">
        <v>13685</v>
      </c>
      <c r="D325" s="102" t="s">
        <v>13456</v>
      </c>
      <c r="E325" s="102" t="s">
        <v>13800</v>
      </c>
      <c r="F325" s="102" t="s">
        <v>14445</v>
      </c>
      <c r="G325" s="102" t="s">
        <v>14453</v>
      </c>
      <c r="H325" s="104" t="s">
        <v>13414</v>
      </c>
      <c r="I325" s="57"/>
      <c r="J325" s="57"/>
      <c r="K325" s="57"/>
      <c r="L325" s="102" t="s">
        <v>13517</v>
      </c>
      <c r="M325" s="102" t="s">
        <v>14454</v>
      </c>
      <c r="N325" s="102" t="s">
        <v>13456</v>
      </c>
      <c r="O325" s="102" t="s">
        <v>13631</v>
      </c>
      <c r="P325" s="102" t="s">
        <v>14445</v>
      </c>
      <c r="Q325" s="102" t="s">
        <v>13709</v>
      </c>
      <c r="R325" s="104" t="s">
        <v>13414</v>
      </c>
      <c r="S325" s="57"/>
      <c r="T325" s="57"/>
      <c r="U325" s="57"/>
      <c r="V325" s="57"/>
      <c r="W325" s="57"/>
      <c r="X325" s="57"/>
      <c r="Y325" s="57"/>
      <c r="Z325" s="57"/>
      <c r="AA325" s="57"/>
      <c r="AB325" s="57"/>
      <c r="AC325" s="57"/>
      <c r="AD325" s="57"/>
    </row>
    <row r="326" spans="1:30" ht="13.5" thickBot="1" x14ac:dyDescent="0.25">
      <c r="A326" s="57"/>
      <c r="B326" s="145" t="s">
        <v>13432</v>
      </c>
      <c r="C326" s="145" t="s">
        <v>13857</v>
      </c>
      <c r="D326" s="145" t="s">
        <v>13457</v>
      </c>
      <c r="E326" s="145" t="s">
        <v>14142</v>
      </c>
      <c r="F326" s="145" t="s">
        <v>13596</v>
      </c>
      <c r="G326" s="145" t="s">
        <v>13872</v>
      </c>
      <c r="H326" s="145" t="s">
        <v>13843</v>
      </c>
      <c r="I326" s="57"/>
      <c r="J326" s="57"/>
      <c r="K326" s="57"/>
      <c r="L326" s="145" t="s">
        <v>13432</v>
      </c>
      <c r="M326" s="145" t="s">
        <v>13787</v>
      </c>
      <c r="N326" s="145" t="s">
        <v>13457</v>
      </c>
      <c r="O326" s="145" t="s">
        <v>14455</v>
      </c>
      <c r="P326" s="145" t="s">
        <v>13596</v>
      </c>
      <c r="Q326" s="145" t="s">
        <v>14456</v>
      </c>
      <c r="R326" s="145" t="s">
        <v>13843</v>
      </c>
      <c r="S326" s="57"/>
      <c r="T326" s="57"/>
      <c r="U326" s="57"/>
      <c r="V326" s="57"/>
      <c r="W326" s="57"/>
      <c r="X326" s="57"/>
      <c r="Y326" s="57"/>
      <c r="Z326" s="57"/>
      <c r="AA326" s="57"/>
      <c r="AB326" s="57"/>
      <c r="AC326" s="57"/>
      <c r="AD326" s="57"/>
    </row>
    <row r="327" spans="1:30" ht="13.5" thickBot="1" x14ac:dyDescent="0.25">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c r="AA327" s="57"/>
      <c r="AB327" s="57"/>
      <c r="AC327" s="57"/>
      <c r="AD327" s="57"/>
    </row>
    <row r="328" spans="1:30" ht="13.5" thickBot="1" x14ac:dyDescent="0.25">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c r="AA328" s="57"/>
      <c r="AB328" s="57"/>
      <c r="AC328" s="57"/>
      <c r="AD328" s="57"/>
    </row>
    <row r="329" spans="1:30" ht="13.5" thickBot="1" x14ac:dyDescent="0.25">
      <c r="A329" s="57"/>
      <c r="B329" s="87" t="s">
        <v>14457</v>
      </c>
      <c r="C329" s="88"/>
      <c r="D329" s="88"/>
      <c r="E329" s="88"/>
      <c r="F329" s="88"/>
      <c r="G329" s="88"/>
      <c r="H329" s="57"/>
      <c r="I329" s="57"/>
      <c r="J329" s="57"/>
      <c r="K329" s="57"/>
      <c r="L329" s="57"/>
      <c r="M329" s="57"/>
      <c r="N329" s="57"/>
      <c r="O329" s="57"/>
      <c r="P329" s="57"/>
      <c r="Q329" s="57"/>
      <c r="R329" s="57"/>
      <c r="S329" s="57"/>
      <c r="T329" s="57"/>
      <c r="U329" s="57"/>
      <c r="V329" s="57"/>
      <c r="W329" s="57"/>
      <c r="X329" s="57"/>
      <c r="Y329" s="57"/>
      <c r="Z329" s="57"/>
      <c r="AA329" s="57"/>
      <c r="AB329" s="57"/>
      <c r="AC329" s="57"/>
      <c r="AD329" s="57"/>
    </row>
    <row r="330" spans="1:30" ht="13.5" thickBot="1" x14ac:dyDescent="0.25">
      <c r="A330" s="57"/>
      <c r="B330" s="95" t="s">
        <v>14458</v>
      </c>
      <c r="C330" s="95" t="s">
        <v>14388</v>
      </c>
      <c r="D330" s="95" t="s">
        <v>14336</v>
      </c>
      <c r="E330" s="95" t="s">
        <v>14335</v>
      </c>
      <c r="F330" s="95" t="s">
        <v>13582</v>
      </c>
      <c r="G330" s="95" t="s">
        <v>14459</v>
      </c>
      <c r="H330" s="57"/>
      <c r="I330" s="57"/>
      <c r="J330" s="57"/>
      <c r="K330" s="57"/>
      <c r="L330" s="57"/>
      <c r="M330" s="57"/>
      <c r="N330" s="57"/>
      <c r="O330" s="57"/>
      <c r="P330" s="57"/>
      <c r="Q330" s="57"/>
      <c r="R330" s="57"/>
      <c r="S330" s="57"/>
      <c r="T330" s="57"/>
      <c r="U330" s="57"/>
      <c r="V330" s="57"/>
      <c r="W330" s="57"/>
      <c r="X330" s="57"/>
      <c r="Y330" s="57"/>
      <c r="Z330" s="57"/>
      <c r="AA330" s="57"/>
      <c r="AB330" s="57"/>
      <c r="AC330" s="57"/>
      <c r="AD330" s="57"/>
    </row>
    <row r="331" spans="1:30" ht="13.5" thickBot="1" x14ac:dyDescent="0.25">
      <c r="A331" s="57"/>
      <c r="B331" s="102" t="s">
        <v>13442</v>
      </c>
      <c r="C331" s="102" t="s">
        <v>13457</v>
      </c>
      <c r="D331" s="102" t="s">
        <v>13857</v>
      </c>
      <c r="E331" s="102" t="s">
        <v>13599</v>
      </c>
      <c r="F331" s="102" t="s">
        <v>13632</v>
      </c>
      <c r="G331" s="104" t="s">
        <v>13787</v>
      </c>
      <c r="H331" s="57"/>
      <c r="I331" s="57"/>
      <c r="J331" s="57"/>
      <c r="K331" s="57"/>
      <c r="L331" s="57"/>
      <c r="M331" s="57"/>
      <c r="N331" s="57"/>
      <c r="O331" s="57"/>
      <c r="P331" s="57"/>
      <c r="Q331" s="57"/>
      <c r="R331" s="57"/>
      <c r="S331" s="57"/>
      <c r="T331" s="57"/>
      <c r="U331" s="57"/>
      <c r="V331" s="57"/>
      <c r="W331" s="57"/>
      <c r="X331" s="57"/>
      <c r="Y331" s="57"/>
      <c r="Z331" s="57"/>
      <c r="AA331" s="57"/>
      <c r="AB331" s="57"/>
      <c r="AC331" s="57"/>
      <c r="AD331" s="57"/>
    </row>
    <row r="332" spans="1:30" ht="13.5" thickBot="1" x14ac:dyDescent="0.25">
      <c r="A332" s="57"/>
      <c r="B332" s="102" t="s">
        <v>13443</v>
      </c>
      <c r="C332" s="102" t="s">
        <v>13596</v>
      </c>
      <c r="D332" s="102" t="s">
        <v>14142</v>
      </c>
      <c r="E332" s="102" t="s">
        <v>13918</v>
      </c>
      <c r="F332" s="102" t="s">
        <v>13763</v>
      </c>
      <c r="G332" s="104" t="s">
        <v>14455</v>
      </c>
      <c r="H332" s="57"/>
      <c r="I332" s="57"/>
      <c r="J332" s="57"/>
      <c r="K332" s="57"/>
      <c r="L332" s="57"/>
      <c r="M332" s="57"/>
      <c r="N332" s="57"/>
      <c r="O332" s="57"/>
      <c r="P332" s="57"/>
      <c r="Q332" s="57"/>
      <c r="R332" s="57"/>
      <c r="S332" s="57"/>
      <c r="T332" s="57"/>
      <c r="U332" s="57"/>
      <c r="V332" s="57"/>
      <c r="W332" s="57"/>
      <c r="X332" s="57"/>
      <c r="Y332" s="57"/>
      <c r="Z332" s="57"/>
      <c r="AA332" s="57"/>
      <c r="AB332" s="57"/>
      <c r="AC332" s="57"/>
      <c r="AD332" s="57"/>
    </row>
    <row r="333" spans="1:30" ht="13.5" thickBot="1" x14ac:dyDescent="0.25">
      <c r="A333" s="57"/>
      <c r="B333" s="95" t="s">
        <v>13739</v>
      </c>
      <c r="C333" s="95" t="s">
        <v>13843</v>
      </c>
      <c r="D333" s="95" t="s">
        <v>13872</v>
      </c>
      <c r="E333" s="95" t="s">
        <v>14460</v>
      </c>
      <c r="F333" s="95" t="s">
        <v>14371</v>
      </c>
      <c r="G333" s="105" t="s">
        <v>14456</v>
      </c>
      <c r="H333" s="57"/>
      <c r="I333" s="57"/>
      <c r="J333" s="57"/>
      <c r="K333" s="57"/>
      <c r="L333" s="57"/>
      <c r="M333" s="57"/>
      <c r="N333" s="57"/>
      <c r="O333" s="57"/>
      <c r="P333" s="57"/>
      <c r="Q333" s="57"/>
      <c r="R333" s="57"/>
      <c r="S333" s="57"/>
      <c r="T333" s="57"/>
      <c r="U333" s="57"/>
      <c r="V333" s="57"/>
      <c r="W333" s="57"/>
      <c r="X333" s="57"/>
      <c r="Y333" s="57"/>
      <c r="Z333" s="57"/>
      <c r="AA333" s="57"/>
      <c r="AB333" s="57"/>
      <c r="AC333" s="57"/>
      <c r="AD333" s="57"/>
    </row>
    <row r="334" spans="1:30" ht="13.5" thickBot="1" x14ac:dyDescent="0.25">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c r="AA334" s="57"/>
      <c r="AB334" s="57"/>
      <c r="AC334" s="57"/>
      <c r="AD334" s="57"/>
    </row>
    <row r="335" spans="1:30" ht="13.5" thickBot="1" x14ac:dyDescent="0.25">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c r="AA335" s="57"/>
      <c r="AB335" s="57"/>
      <c r="AC335" s="57"/>
      <c r="AD335" s="57"/>
    </row>
    <row r="336" spans="1:30" ht="13.5" thickBot="1" x14ac:dyDescent="0.25">
      <c r="A336" s="57"/>
      <c r="B336" s="77" t="s">
        <v>2032</v>
      </c>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c r="AA336" s="57"/>
      <c r="AB336" s="57"/>
      <c r="AC336" s="57"/>
      <c r="AD336" s="57"/>
    </row>
    <row r="337" spans="1:30" ht="13.5" thickBot="1" x14ac:dyDescent="0.25">
      <c r="A337" s="57"/>
      <c r="B337" s="87" t="s">
        <v>14461</v>
      </c>
      <c r="C337" s="88"/>
      <c r="D337" s="88"/>
      <c r="E337" s="88"/>
      <c r="F337" s="88"/>
      <c r="G337" s="88"/>
      <c r="H337" s="88"/>
      <c r="I337" s="57"/>
      <c r="J337" s="57"/>
      <c r="K337" s="57"/>
      <c r="L337" s="57"/>
      <c r="M337" s="57"/>
      <c r="N337" s="57"/>
      <c r="O337" s="57"/>
      <c r="P337" s="57"/>
      <c r="Q337" s="57"/>
      <c r="R337" s="57"/>
      <c r="S337" s="57"/>
      <c r="T337" s="57"/>
      <c r="U337" s="57"/>
      <c r="V337" s="57"/>
      <c r="W337" s="57"/>
      <c r="X337" s="57"/>
      <c r="Y337" s="57"/>
      <c r="Z337" s="57"/>
      <c r="AA337" s="57"/>
      <c r="AB337" s="57"/>
      <c r="AC337" s="57"/>
      <c r="AD337" s="57"/>
    </row>
    <row r="338" spans="1:30" ht="13.5" thickBot="1" x14ac:dyDescent="0.25">
      <c r="A338" s="80"/>
      <c r="B338" s="96"/>
      <c r="C338" s="292" t="s">
        <v>13442</v>
      </c>
      <c r="D338" s="293"/>
      <c r="E338" s="292" t="s">
        <v>13443</v>
      </c>
      <c r="F338" s="293"/>
      <c r="G338" s="292" t="s">
        <v>14462</v>
      </c>
      <c r="H338" s="293"/>
      <c r="I338" s="57"/>
      <c r="J338" s="57"/>
      <c r="K338" s="57"/>
      <c r="L338" s="57"/>
      <c r="M338" s="57"/>
      <c r="N338" s="57"/>
      <c r="O338" s="57"/>
      <c r="P338" s="57"/>
      <c r="Q338" s="57"/>
      <c r="R338" s="57"/>
      <c r="S338" s="57"/>
      <c r="T338" s="57"/>
      <c r="U338" s="57"/>
      <c r="V338" s="57"/>
      <c r="W338" s="57"/>
      <c r="X338" s="57"/>
      <c r="Y338" s="57"/>
      <c r="Z338" s="57"/>
      <c r="AA338" s="57"/>
      <c r="AB338" s="57"/>
      <c r="AC338" s="57"/>
      <c r="AD338" s="57"/>
    </row>
    <row r="339" spans="1:30" ht="26.25" thickBot="1" x14ac:dyDescent="0.25">
      <c r="A339" s="80"/>
      <c r="B339" s="150" t="s">
        <v>14463</v>
      </c>
      <c r="C339" s="150" t="s">
        <v>14464</v>
      </c>
      <c r="D339" s="150" t="s">
        <v>14465</v>
      </c>
      <c r="E339" s="150" t="s">
        <v>14464</v>
      </c>
      <c r="F339" s="150" t="s">
        <v>14465</v>
      </c>
      <c r="G339" s="150" t="s">
        <v>14464</v>
      </c>
      <c r="H339" s="150" t="s">
        <v>14465</v>
      </c>
      <c r="I339" s="57"/>
      <c r="J339" s="57"/>
      <c r="K339" s="57"/>
      <c r="L339" s="57"/>
      <c r="M339" s="57"/>
      <c r="N339" s="57"/>
      <c r="O339" s="57"/>
      <c r="P339" s="57"/>
      <c r="Q339" s="57"/>
      <c r="R339" s="57"/>
      <c r="S339" s="57"/>
      <c r="T339" s="57"/>
      <c r="U339" s="57"/>
      <c r="V339" s="57"/>
      <c r="W339" s="57"/>
      <c r="X339" s="57"/>
      <c r="Y339" s="57"/>
      <c r="Z339" s="57"/>
      <c r="AA339" s="57"/>
      <c r="AB339" s="57"/>
      <c r="AC339" s="57"/>
      <c r="AD339" s="57"/>
    </row>
    <row r="340" spans="1:30" ht="13.5" thickBot="1" x14ac:dyDescent="0.25">
      <c r="A340" s="80"/>
      <c r="B340" s="95"/>
      <c r="C340" s="279" t="s">
        <v>14466</v>
      </c>
      <c r="D340" s="280"/>
      <c r="E340" s="280"/>
      <c r="F340" s="281"/>
      <c r="G340" s="282"/>
      <c r="H340" s="283"/>
      <c r="I340" s="57"/>
      <c r="J340" s="57"/>
      <c r="K340" s="57"/>
      <c r="L340" s="57"/>
      <c r="M340" s="57"/>
      <c r="N340" s="57"/>
      <c r="O340" s="57"/>
      <c r="P340" s="57"/>
      <c r="Q340" s="57"/>
      <c r="R340" s="57"/>
      <c r="S340" s="57"/>
      <c r="T340" s="57"/>
      <c r="U340" s="57"/>
      <c r="V340" s="57"/>
      <c r="W340" s="57"/>
      <c r="X340" s="57"/>
      <c r="Y340" s="57"/>
      <c r="Z340" s="57"/>
      <c r="AA340" s="57"/>
      <c r="AB340" s="57"/>
      <c r="AC340" s="57"/>
      <c r="AD340" s="57"/>
    </row>
    <row r="341" spans="1:30" ht="13.5" thickBot="1" x14ac:dyDescent="0.25">
      <c r="A341" s="80"/>
      <c r="B341" s="151" t="s">
        <v>14467</v>
      </c>
      <c r="C341" s="151" t="s">
        <v>14468</v>
      </c>
      <c r="D341" s="150">
        <v>1</v>
      </c>
      <c r="E341" s="151" t="s">
        <v>13871</v>
      </c>
      <c r="F341" s="150">
        <v>1</v>
      </c>
      <c r="G341" s="151" t="s">
        <v>14416</v>
      </c>
      <c r="H341" s="150">
        <v>1</v>
      </c>
      <c r="I341" s="57"/>
      <c r="J341" s="57"/>
      <c r="K341" s="57"/>
      <c r="L341" s="57"/>
      <c r="M341" s="57"/>
      <c r="N341" s="57"/>
      <c r="O341" s="57"/>
      <c r="P341" s="57"/>
      <c r="Q341" s="57"/>
      <c r="R341" s="57"/>
      <c r="S341" s="57"/>
      <c r="T341" s="57"/>
      <c r="U341" s="57"/>
      <c r="V341" s="57"/>
      <c r="W341" s="57"/>
      <c r="X341" s="57"/>
      <c r="Y341" s="57"/>
      <c r="Z341" s="57"/>
      <c r="AA341" s="57"/>
      <c r="AB341" s="57"/>
      <c r="AC341" s="57"/>
      <c r="AD341" s="57"/>
    </row>
    <row r="342" spans="1:30" ht="26.25" thickBot="1" x14ac:dyDescent="0.25">
      <c r="A342" s="80"/>
      <c r="B342" s="151" t="s">
        <v>14469</v>
      </c>
      <c r="C342" s="151" t="s">
        <v>14470</v>
      </c>
      <c r="D342" s="150">
        <v>1</v>
      </c>
      <c r="E342" s="151" t="s">
        <v>14471</v>
      </c>
      <c r="F342" s="150">
        <v>1</v>
      </c>
      <c r="G342" s="151" t="s">
        <v>14472</v>
      </c>
      <c r="H342" s="150">
        <v>1</v>
      </c>
      <c r="I342" s="57"/>
      <c r="J342" s="57"/>
      <c r="K342" s="57"/>
      <c r="L342" s="57"/>
      <c r="M342" s="57"/>
      <c r="N342" s="57"/>
      <c r="O342" s="57"/>
      <c r="P342" s="57"/>
      <c r="Q342" s="57"/>
      <c r="R342" s="57"/>
      <c r="S342" s="57"/>
      <c r="T342" s="57"/>
      <c r="U342" s="57"/>
      <c r="V342" s="57"/>
      <c r="W342" s="57"/>
      <c r="X342" s="57"/>
      <c r="Y342" s="57"/>
      <c r="Z342" s="57"/>
      <c r="AA342" s="57"/>
      <c r="AB342" s="57"/>
      <c r="AC342" s="57"/>
      <c r="AD342" s="57"/>
    </row>
    <row r="343" spans="1:30" ht="13.5" thickBot="1" x14ac:dyDescent="0.25">
      <c r="A343" s="80"/>
      <c r="B343" s="95"/>
      <c r="C343" s="279" t="s">
        <v>14473</v>
      </c>
      <c r="D343" s="280"/>
      <c r="E343" s="280"/>
      <c r="F343" s="281"/>
      <c r="G343" s="282"/>
      <c r="H343" s="283"/>
      <c r="I343" s="57"/>
      <c r="J343" s="57"/>
      <c r="K343" s="57"/>
      <c r="L343" s="57"/>
      <c r="M343" s="57"/>
      <c r="N343" s="57"/>
      <c r="O343" s="57"/>
      <c r="P343" s="57"/>
      <c r="Q343" s="57"/>
      <c r="R343" s="57"/>
      <c r="S343" s="57"/>
      <c r="T343" s="57"/>
      <c r="U343" s="57"/>
      <c r="V343" s="57"/>
      <c r="W343" s="57"/>
      <c r="X343" s="57"/>
      <c r="Y343" s="57"/>
      <c r="Z343" s="57"/>
      <c r="AA343" s="57"/>
      <c r="AB343" s="57"/>
      <c r="AC343" s="57"/>
      <c r="AD343" s="57"/>
    </row>
    <row r="344" spans="1:30" ht="13.5" thickBot="1" x14ac:dyDescent="0.25">
      <c r="A344" s="80"/>
      <c r="B344" s="151" t="s">
        <v>14474</v>
      </c>
      <c r="C344" s="151" t="s">
        <v>13969</v>
      </c>
      <c r="D344" s="150">
        <v>1</v>
      </c>
      <c r="E344" s="151" t="s">
        <v>13503</v>
      </c>
      <c r="F344" s="150">
        <v>1</v>
      </c>
      <c r="G344" s="151" t="s">
        <v>14339</v>
      </c>
      <c r="H344" s="150">
        <v>1</v>
      </c>
      <c r="I344" s="57"/>
      <c r="J344" s="57"/>
      <c r="K344" s="57"/>
      <c r="L344" s="57"/>
      <c r="M344" s="57"/>
      <c r="N344" s="57"/>
      <c r="O344" s="57"/>
      <c r="P344" s="57"/>
      <c r="Q344" s="57"/>
      <c r="R344" s="57"/>
      <c r="S344" s="57"/>
      <c r="T344" s="57"/>
      <c r="U344" s="57"/>
      <c r="V344" s="57"/>
      <c r="W344" s="57"/>
      <c r="X344" s="57"/>
      <c r="Y344" s="57"/>
      <c r="Z344" s="57"/>
      <c r="AA344" s="57"/>
      <c r="AB344" s="57"/>
      <c r="AC344" s="57"/>
      <c r="AD344" s="57"/>
    </row>
    <row r="345" spans="1:30" ht="13.5" thickBot="1" x14ac:dyDescent="0.25">
      <c r="A345" s="80"/>
      <c r="B345" s="151" t="s">
        <v>14475</v>
      </c>
      <c r="C345" s="151" t="s">
        <v>13952</v>
      </c>
      <c r="D345" s="150">
        <v>1</v>
      </c>
      <c r="E345" s="151" t="s">
        <v>13952</v>
      </c>
      <c r="F345" s="150">
        <v>1</v>
      </c>
      <c r="G345" s="151" t="s">
        <v>13952</v>
      </c>
      <c r="H345" s="150">
        <v>1</v>
      </c>
      <c r="I345" s="57"/>
      <c r="J345" s="57"/>
      <c r="K345" s="57"/>
      <c r="L345" s="57"/>
      <c r="M345" s="57"/>
      <c r="N345" s="57"/>
      <c r="O345" s="57"/>
      <c r="P345" s="57"/>
      <c r="Q345" s="57"/>
      <c r="R345" s="57"/>
      <c r="S345" s="57"/>
      <c r="T345" s="57"/>
      <c r="U345" s="57"/>
      <c r="V345" s="57"/>
      <c r="W345" s="57"/>
      <c r="X345" s="57"/>
      <c r="Y345" s="57"/>
      <c r="Z345" s="57"/>
      <c r="AA345" s="57"/>
      <c r="AB345" s="57"/>
      <c r="AC345" s="57"/>
      <c r="AD345" s="57"/>
    </row>
    <row r="346" spans="1:30" ht="26.25" thickBot="1" x14ac:dyDescent="0.25">
      <c r="A346" s="80"/>
      <c r="B346" s="151" t="s">
        <v>14476</v>
      </c>
      <c r="C346" s="150">
        <v>1</v>
      </c>
      <c r="D346" s="150">
        <v>1</v>
      </c>
      <c r="E346" s="150">
        <v>1</v>
      </c>
      <c r="F346" s="150">
        <v>1</v>
      </c>
      <c r="G346" s="150">
        <v>1</v>
      </c>
      <c r="H346" s="150">
        <v>1</v>
      </c>
      <c r="I346" s="57"/>
      <c r="J346" s="57"/>
      <c r="K346" s="57"/>
      <c r="L346" s="57"/>
      <c r="M346" s="57"/>
      <c r="N346" s="57"/>
      <c r="O346" s="57"/>
      <c r="P346" s="57"/>
      <c r="Q346" s="57"/>
      <c r="R346" s="57"/>
      <c r="S346" s="57"/>
      <c r="T346" s="57"/>
      <c r="U346" s="57"/>
      <c r="V346" s="57"/>
      <c r="W346" s="57"/>
      <c r="X346" s="57"/>
      <c r="Y346" s="57"/>
      <c r="Z346" s="57"/>
      <c r="AA346" s="57"/>
      <c r="AB346" s="57"/>
      <c r="AC346" s="57"/>
      <c r="AD346" s="57"/>
    </row>
    <row r="347" spans="1:30" ht="26.25" thickBot="1" x14ac:dyDescent="0.25">
      <c r="A347" s="80"/>
      <c r="B347" s="151" t="s">
        <v>14477</v>
      </c>
      <c r="C347" s="151" t="s">
        <v>13450</v>
      </c>
      <c r="D347" s="150" t="s">
        <v>13748</v>
      </c>
      <c r="E347" s="151" t="s">
        <v>14478</v>
      </c>
      <c r="F347" s="150">
        <v>1</v>
      </c>
      <c r="G347" s="151" t="s">
        <v>14479</v>
      </c>
      <c r="H347" s="150" t="s">
        <v>14480</v>
      </c>
      <c r="I347" s="57"/>
      <c r="J347" s="57"/>
      <c r="K347" s="57"/>
      <c r="L347" s="57"/>
      <c r="M347" s="57"/>
      <c r="N347" s="57"/>
      <c r="O347" s="57"/>
      <c r="P347" s="57"/>
      <c r="Q347" s="57"/>
      <c r="R347" s="57"/>
      <c r="S347" s="57"/>
      <c r="T347" s="57"/>
      <c r="U347" s="57"/>
      <c r="V347" s="57"/>
      <c r="W347" s="57"/>
      <c r="X347" s="57"/>
      <c r="Y347" s="57"/>
      <c r="Z347" s="57"/>
      <c r="AA347" s="57"/>
      <c r="AB347" s="57"/>
      <c r="AC347" s="57"/>
      <c r="AD347" s="57"/>
    </row>
    <row r="348" spans="1:30" ht="13.5" thickBot="1" x14ac:dyDescent="0.25">
      <c r="A348" s="80"/>
      <c r="B348" s="151" t="s">
        <v>14481</v>
      </c>
      <c r="C348" s="151" t="s">
        <v>13450</v>
      </c>
      <c r="D348" s="150" t="s">
        <v>14480</v>
      </c>
      <c r="E348" s="151" t="s">
        <v>14391</v>
      </c>
      <c r="F348" s="150" t="s">
        <v>13561</v>
      </c>
      <c r="G348" s="151" t="s">
        <v>13825</v>
      </c>
      <c r="H348" s="150" t="s">
        <v>14482</v>
      </c>
      <c r="I348" s="57"/>
      <c r="J348" s="57"/>
      <c r="K348" s="57"/>
      <c r="L348" s="57"/>
      <c r="M348" s="57"/>
      <c r="N348" s="57"/>
      <c r="O348" s="57"/>
      <c r="P348" s="57"/>
      <c r="Q348" s="57"/>
      <c r="R348" s="57"/>
      <c r="S348" s="57"/>
      <c r="T348" s="57"/>
      <c r="U348" s="57"/>
      <c r="V348" s="57"/>
      <c r="W348" s="57"/>
      <c r="X348" s="57"/>
      <c r="Y348" s="57"/>
      <c r="Z348" s="57"/>
      <c r="AA348" s="57"/>
      <c r="AB348" s="57"/>
      <c r="AC348" s="57"/>
      <c r="AD348" s="57"/>
    </row>
    <row r="349" spans="1:30" ht="13.5" thickBot="1" x14ac:dyDescent="0.25">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c r="AA349" s="57"/>
      <c r="AB349" s="57"/>
      <c r="AC349" s="57"/>
      <c r="AD349" s="57"/>
    </row>
    <row r="350" spans="1:30" ht="13.5" thickBot="1" x14ac:dyDescent="0.25">
      <c r="A350" s="152"/>
      <c r="B350" s="152"/>
      <c r="C350" s="152"/>
      <c r="D350" s="152"/>
      <c r="E350" s="152"/>
      <c r="F350" s="152"/>
      <c r="G350" s="152"/>
      <c r="H350" s="152"/>
      <c r="I350" s="152"/>
      <c r="J350" s="152"/>
      <c r="K350" s="152"/>
      <c r="L350" s="152"/>
      <c r="M350" s="152"/>
      <c r="N350" s="152"/>
      <c r="O350" s="152"/>
      <c r="P350" s="152"/>
      <c r="Q350" s="152"/>
      <c r="R350" s="152"/>
      <c r="S350" s="152"/>
      <c r="T350" s="152"/>
      <c r="U350" s="152"/>
      <c r="V350" s="152"/>
      <c r="W350" s="152"/>
      <c r="X350" s="152"/>
      <c r="Y350" s="152"/>
      <c r="Z350" s="152"/>
      <c r="AA350" s="152"/>
      <c r="AB350" s="152"/>
      <c r="AC350" s="152"/>
      <c r="AD350" s="152"/>
    </row>
    <row r="351" spans="1:30" ht="13.5" thickBot="1" x14ac:dyDescent="0.25">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c r="AA351" s="57"/>
      <c r="AB351" s="57"/>
      <c r="AC351" s="57"/>
      <c r="AD351" s="57"/>
    </row>
    <row r="352" spans="1:30" ht="90" thickBot="1" x14ac:dyDescent="0.25">
      <c r="A352" s="57"/>
      <c r="B352" s="153" t="s">
        <v>6505</v>
      </c>
      <c r="C352" s="154" t="s">
        <v>14483</v>
      </c>
      <c r="D352" s="57"/>
      <c r="E352" s="57"/>
      <c r="F352" s="57"/>
      <c r="G352" s="57"/>
      <c r="H352" s="57"/>
      <c r="I352" s="57"/>
      <c r="J352" s="57"/>
      <c r="K352" s="57"/>
      <c r="L352" s="57"/>
      <c r="M352" s="57"/>
      <c r="N352" s="57"/>
      <c r="O352" s="57"/>
      <c r="P352" s="57"/>
      <c r="Q352" s="57"/>
      <c r="R352" s="57"/>
      <c r="S352" s="57"/>
      <c r="T352" s="57"/>
      <c r="U352" s="57"/>
      <c r="V352" s="57"/>
      <c r="W352" s="57"/>
      <c r="X352" s="57"/>
      <c r="Y352" s="57"/>
      <c r="Z352" s="57"/>
      <c r="AA352" s="57"/>
      <c r="AB352" s="57"/>
      <c r="AC352" s="57"/>
      <c r="AD352" s="57"/>
    </row>
    <row r="353" spans="1:30" ht="13.5" thickBot="1" x14ac:dyDescent="0.25">
      <c r="A353" s="57"/>
      <c r="B353" s="155" t="s">
        <v>14484</v>
      </c>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c r="AA353" s="57"/>
      <c r="AB353" s="57"/>
      <c r="AC353" s="57"/>
      <c r="AD353" s="57"/>
    </row>
    <row r="354" spans="1:30" ht="13.5" thickBot="1" x14ac:dyDescent="0.25">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c r="AA354" s="57"/>
      <c r="AB354" s="57"/>
      <c r="AC354" s="57"/>
      <c r="AD354" s="57"/>
    </row>
    <row r="355" spans="1:30" ht="13.5" thickBot="1" x14ac:dyDescent="0.25">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c r="AA355" s="57"/>
      <c r="AB355" s="57"/>
      <c r="AC355" s="57"/>
      <c r="AD355" s="57"/>
    </row>
    <row r="356" spans="1:30" ht="13.5" thickBot="1" x14ac:dyDescent="0.25">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c r="AA356" s="57"/>
      <c r="AB356" s="57"/>
      <c r="AC356" s="57"/>
      <c r="AD356" s="57"/>
    </row>
    <row r="357" spans="1:30" ht="153.75" thickBot="1" x14ac:dyDescent="0.25">
      <c r="A357" s="57"/>
      <c r="B357" s="153" t="s">
        <v>6254</v>
      </c>
      <c r="C357" s="154" t="s">
        <v>14483</v>
      </c>
      <c r="D357" s="57"/>
      <c r="E357" s="57"/>
      <c r="F357" s="57"/>
      <c r="G357" s="57"/>
      <c r="H357" s="57"/>
      <c r="I357" s="57"/>
      <c r="J357" s="57"/>
      <c r="K357" s="57"/>
      <c r="L357" s="57"/>
      <c r="M357" s="57"/>
      <c r="N357" s="57"/>
      <c r="O357" s="57"/>
      <c r="P357" s="57"/>
      <c r="Q357" s="57"/>
      <c r="R357" s="57"/>
      <c r="S357" s="57"/>
      <c r="T357" s="57"/>
      <c r="U357" s="57"/>
      <c r="V357" s="57"/>
      <c r="W357" s="57"/>
      <c r="X357" s="57"/>
      <c r="Y357" s="57"/>
      <c r="Z357" s="57"/>
      <c r="AA357" s="57"/>
      <c r="AB357" s="57"/>
      <c r="AC357" s="57"/>
      <c r="AD357" s="57"/>
    </row>
    <row r="358" spans="1:30" ht="13.5" thickBot="1" x14ac:dyDescent="0.25">
      <c r="A358" s="57"/>
      <c r="B358" s="155" t="s">
        <v>12870</v>
      </c>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c r="AA358" s="57"/>
      <c r="AB358" s="57"/>
      <c r="AC358" s="57"/>
      <c r="AD358" s="57"/>
    </row>
    <row r="359" spans="1:30" ht="13.5" thickBot="1" x14ac:dyDescent="0.25">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c r="AA359" s="57"/>
      <c r="AB359" s="57"/>
      <c r="AC359" s="57"/>
      <c r="AD359" s="57"/>
    </row>
    <row r="360" spans="1:30" ht="13.5" thickBot="1" x14ac:dyDescent="0.25">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c r="AA360" s="57"/>
      <c r="AB360" s="57"/>
      <c r="AC360" s="57"/>
      <c r="AD360" s="57"/>
    </row>
    <row r="361" spans="1:30" ht="128.25" thickBot="1" x14ac:dyDescent="0.25">
      <c r="A361" s="57"/>
      <c r="B361" s="153" t="s">
        <v>6262</v>
      </c>
      <c r="C361" s="154" t="s">
        <v>14483</v>
      </c>
      <c r="D361" s="57"/>
      <c r="E361" s="57"/>
      <c r="F361" s="57"/>
      <c r="G361" s="57"/>
      <c r="H361" s="57"/>
      <c r="I361" s="57"/>
      <c r="J361" s="57"/>
      <c r="K361" s="57"/>
      <c r="L361" s="57"/>
      <c r="M361" s="57"/>
      <c r="N361" s="57"/>
      <c r="O361" s="57"/>
      <c r="P361" s="57"/>
      <c r="Q361" s="57"/>
      <c r="R361" s="57"/>
      <c r="S361" s="57"/>
      <c r="T361" s="57"/>
      <c r="U361" s="57"/>
      <c r="V361" s="57"/>
      <c r="W361" s="57"/>
      <c r="X361" s="57"/>
      <c r="Y361" s="57"/>
      <c r="Z361" s="57"/>
      <c r="AA361" s="57"/>
      <c r="AB361" s="57"/>
      <c r="AC361" s="57"/>
      <c r="AD361" s="57"/>
    </row>
    <row r="362" spans="1:30" ht="13.5" thickBot="1" x14ac:dyDescent="0.25">
      <c r="A362" s="57"/>
      <c r="B362" s="156" t="s">
        <v>14485</v>
      </c>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c r="AA362" s="57"/>
      <c r="AB362" s="57"/>
      <c r="AC362" s="57"/>
      <c r="AD362" s="57"/>
    </row>
    <row r="363" spans="1:30" ht="13.5" thickBot="1" x14ac:dyDescent="0.25">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c r="AA363" s="57"/>
      <c r="AB363" s="57"/>
      <c r="AC363" s="57"/>
      <c r="AD363" s="57"/>
    </row>
    <row r="364" spans="1:30" ht="13.5" thickBot="1" x14ac:dyDescent="0.25">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row>
    <row r="365" spans="1:30" ht="13.5" thickBot="1" x14ac:dyDescent="0.25">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c r="AA365" s="57"/>
      <c r="AB365" s="57"/>
      <c r="AC365" s="57"/>
      <c r="AD365" s="57"/>
    </row>
    <row r="366" spans="1:30" ht="13.5" thickBot="1" x14ac:dyDescent="0.25">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c r="AA366" s="57"/>
      <c r="AB366" s="57"/>
      <c r="AC366" s="57"/>
      <c r="AD366" s="57"/>
    </row>
    <row r="367" spans="1:30" ht="77.25" thickBot="1" x14ac:dyDescent="0.25">
      <c r="A367" s="57"/>
      <c r="B367" s="153" t="s">
        <v>5580</v>
      </c>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c r="AA367" s="57"/>
      <c r="AB367" s="57"/>
      <c r="AC367" s="57"/>
      <c r="AD367" s="57"/>
    </row>
    <row r="368" spans="1:30" ht="115.5" thickBot="1" x14ac:dyDescent="0.25">
      <c r="A368" s="57"/>
      <c r="B368" s="57"/>
      <c r="C368" s="157" t="s">
        <v>12893</v>
      </c>
      <c r="D368" s="57"/>
      <c r="E368" s="57"/>
      <c r="F368" s="57"/>
      <c r="G368" s="57"/>
      <c r="H368" s="57"/>
      <c r="I368" s="57"/>
      <c r="J368" s="57"/>
      <c r="K368" s="57"/>
      <c r="L368" s="57"/>
      <c r="M368" s="57"/>
      <c r="N368" s="57"/>
      <c r="O368" s="57"/>
      <c r="P368" s="57"/>
      <c r="Q368" s="57"/>
      <c r="R368" s="57"/>
      <c r="S368" s="57"/>
      <c r="T368" s="57"/>
      <c r="U368" s="57"/>
      <c r="V368" s="57"/>
      <c r="W368" s="57"/>
      <c r="X368" s="57"/>
      <c r="Y368" s="57"/>
      <c r="Z368" s="57"/>
      <c r="AA368" s="57"/>
      <c r="AB368" s="57"/>
      <c r="AC368" s="57"/>
      <c r="AD368" s="57"/>
    </row>
    <row r="369" spans="1:30" ht="13.5" thickBot="1" x14ac:dyDescent="0.25">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c r="AA369" s="57"/>
      <c r="AB369" s="57"/>
      <c r="AC369" s="57"/>
      <c r="AD369" s="57"/>
    </row>
    <row r="370" spans="1:30" ht="13.5" thickBot="1" x14ac:dyDescent="0.25">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c r="AA370" s="57"/>
      <c r="AB370" s="57"/>
      <c r="AC370" s="57"/>
      <c r="AD370" s="57"/>
    </row>
    <row r="371" spans="1:30" ht="13.5" thickBot="1" x14ac:dyDescent="0.25">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c r="AA371" s="57"/>
      <c r="AB371" s="57"/>
      <c r="AC371" s="57"/>
      <c r="AD371" s="57"/>
    </row>
    <row r="372" spans="1:30" ht="13.5" thickBot="1" x14ac:dyDescent="0.25">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c r="AA372" s="57"/>
      <c r="AB372" s="57"/>
      <c r="AC372" s="57"/>
      <c r="AD372" s="57"/>
    </row>
    <row r="373" spans="1:30" ht="13.5" thickBot="1" x14ac:dyDescent="0.25">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c r="AA373" s="57"/>
      <c r="AB373" s="57"/>
      <c r="AC373" s="57"/>
      <c r="AD373" s="57"/>
    </row>
    <row r="374" spans="1:30" ht="13.5" thickBot="1" x14ac:dyDescent="0.25">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c r="AA374" s="57"/>
      <c r="AB374" s="57"/>
      <c r="AC374" s="57"/>
      <c r="AD374" s="57"/>
    </row>
    <row r="375" spans="1:30" ht="13.5" thickBot="1" x14ac:dyDescent="0.25">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c r="AA375" s="57"/>
      <c r="AB375" s="57"/>
      <c r="AC375" s="57"/>
      <c r="AD375" s="57"/>
    </row>
    <row r="376" spans="1:30" ht="13.5" thickBot="1" x14ac:dyDescent="0.25">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c r="AA376" s="57"/>
      <c r="AB376" s="57"/>
      <c r="AC376" s="57"/>
      <c r="AD376" s="57"/>
    </row>
    <row r="377" spans="1:30" ht="13.5" thickBot="1" x14ac:dyDescent="0.25">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c r="AA377" s="57"/>
      <c r="AB377" s="57"/>
      <c r="AC377" s="57"/>
      <c r="AD377" s="57"/>
    </row>
    <row r="378" spans="1:30" ht="13.5" thickBot="1" x14ac:dyDescent="0.25">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c r="AA378" s="57"/>
      <c r="AB378" s="57"/>
      <c r="AC378" s="57"/>
      <c r="AD378" s="57"/>
    </row>
    <row r="379" spans="1:30" ht="13.5" thickBot="1" x14ac:dyDescent="0.25">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c r="AA379" s="57"/>
      <c r="AB379" s="57"/>
      <c r="AC379" s="57"/>
      <c r="AD379" s="57"/>
    </row>
    <row r="380" spans="1:30" ht="166.5" thickBot="1" x14ac:dyDescent="0.25">
      <c r="A380" s="57"/>
      <c r="B380" s="153" t="s">
        <v>11245</v>
      </c>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c r="AA380" s="57"/>
      <c r="AB380" s="57"/>
      <c r="AC380" s="57"/>
      <c r="AD380" s="57"/>
    </row>
    <row r="381" spans="1:30" ht="13.5" thickBot="1" x14ac:dyDescent="0.25">
      <c r="A381" s="57"/>
      <c r="B381" s="158" t="s">
        <v>14486</v>
      </c>
      <c r="C381" s="79"/>
      <c r="D381" s="79"/>
      <c r="E381" s="79"/>
      <c r="F381" s="79"/>
      <c r="G381" s="79"/>
      <c r="H381" s="79"/>
      <c r="I381" s="79"/>
      <c r="J381" s="79"/>
      <c r="K381" s="79"/>
      <c r="L381" s="57"/>
      <c r="M381" s="57"/>
      <c r="N381" s="57"/>
      <c r="O381" s="57"/>
      <c r="P381" s="57"/>
      <c r="Q381" s="57"/>
      <c r="R381" s="57"/>
      <c r="S381" s="57"/>
      <c r="T381" s="57"/>
      <c r="U381" s="57"/>
      <c r="V381" s="57"/>
      <c r="W381" s="57"/>
      <c r="X381" s="57"/>
      <c r="Y381" s="57"/>
      <c r="Z381" s="57"/>
      <c r="AA381" s="57"/>
      <c r="AB381" s="57"/>
      <c r="AC381" s="57"/>
      <c r="AD381" s="57"/>
    </row>
    <row r="382" spans="1:30" ht="13.5" thickBot="1" x14ac:dyDescent="0.25">
      <c r="A382" s="57"/>
      <c r="B382" s="284" t="s">
        <v>14136</v>
      </c>
      <c r="C382" s="79"/>
      <c r="D382" s="159" t="s">
        <v>13442</v>
      </c>
      <c r="E382" s="159" t="s">
        <v>14109</v>
      </c>
      <c r="F382" s="79"/>
      <c r="G382" s="159" t="s">
        <v>13443</v>
      </c>
      <c r="H382" s="159" t="s">
        <v>14109</v>
      </c>
      <c r="I382" s="79"/>
      <c r="J382" s="286" t="s">
        <v>12915</v>
      </c>
      <c r="K382" s="287"/>
      <c r="L382" s="57"/>
      <c r="M382" s="57"/>
      <c r="N382" s="57"/>
      <c r="O382" s="57"/>
      <c r="P382" s="57"/>
      <c r="Q382" s="57"/>
      <c r="R382" s="57"/>
      <c r="S382" s="57"/>
      <c r="T382" s="57"/>
      <c r="U382" s="57"/>
      <c r="V382" s="57"/>
      <c r="W382" s="57"/>
      <c r="X382" s="57"/>
      <c r="Y382" s="57"/>
      <c r="Z382" s="57"/>
      <c r="AA382" s="57"/>
      <c r="AB382" s="57"/>
      <c r="AC382" s="57"/>
      <c r="AD382" s="57"/>
    </row>
    <row r="383" spans="1:30" ht="13.5" thickBot="1" x14ac:dyDescent="0.25">
      <c r="A383" s="57"/>
      <c r="B383" s="285"/>
      <c r="C383" s="159" t="s">
        <v>14487</v>
      </c>
      <c r="D383" s="159" t="s">
        <v>14488</v>
      </c>
      <c r="E383" s="79"/>
      <c r="F383" s="159" t="s">
        <v>14487</v>
      </c>
      <c r="G383" s="159" t="s">
        <v>14488</v>
      </c>
      <c r="H383" s="79"/>
      <c r="I383" s="159" t="s">
        <v>14487</v>
      </c>
      <c r="J383" s="159" t="s">
        <v>14488</v>
      </c>
      <c r="K383" s="159" t="s">
        <v>14109</v>
      </c>
      <c r="L383" s="57"/>
      <c r="M383" s="57"/>
      <c r="N383" s="57"/>
      <c r="O383" s="57"/>
      <c r="P383" s="57"/>
      <c r="Q383" s="57"/>
      <c r="R383" s="57"/>
      <c r="S383" s="57"/>
      <c r="T383" s="57"/>
      <c r="U383" s="57"/>
      <c r="V383" s="57"/>
      <c r="W383" s="57"/>
      <c r="X383" s="57"/>
      <c r="Y383" s="57"/>
      <c r="Z383" s="57"/>
      <c r="AA383" s="57"/>
      <c r="AB383" s="57"/>
      <c r="AC383" s="57"/>
      <c r="AD383" s="57"/>
    </row>
    <row r="384" spans="1:30" ht="26.25" thickBot="1" x14ac:dyDescent="0.25">
      <c r="A384" s="57"/>
      <c r="B384" s="160" t="s">
        <v>14141</v>
      </c>
      <c r="C384" s="160" t="s">
        <v>13601</v>
      </c>
      <c r="D384" s="160" t="s">
        <v>13710</v>
      </c>
      <c r="E384" s="160" t="s">
        <v>14489</v>
      </c>
      <c r="F384" s="160" t="s">
        <v>13805</v>
      </c>
      <c r="G384" s="160" t="s">
        <v>14490</v>
      </c>
      <c r="H384" s="160" t="s">
        <v>14491</v>
      </c>
      <c r="I384" s="161" t="s">
        <v>14492</v>
      </c>
      <c r="J384" s="160" t="s">
        <v>13946</v>
      </c>
      <c r="K384" s="162" t="s">
        <v>14493</v>
      </c>
      <c r="L384" s="57"/>
      <c r="M384" s="57"/>
      <c r="N384" s="57"/>
      <c r="O384" s="57"/>
      <c r="P384" s="57"/>
      <c r="Q384" s="57"/>
      <c r="R384" s="57"/>
      <c r="S384" s="57"/>
      <c r="T384" s="57"/>
      <c r="U384" s="57"/>
      <c r="V384" s="57"/>
      <c r="W384" s="57"/>
      <c r="X384" s="57"/>
      <c r="Y384" s="57"/>
      <c r="Z384" s="57"/>
      <c r="AA384" s="57"/>
      <c r="AB384" s="57"/>
      <c r="AC384" s="57"/>
      <c r="AD384" s="57"/>
    </row>
    <row r="385" spans="1:30" ht="13.5" thickBot="1" x14ac:dyDescent="0.25">
      <c r="A385" s="57"/>
      <c r="B385" s="160" t="s">
        <v>13378</v>
      </c>
      <c r="C385" s="160" t="s">
        <v>13480</v>
      </c>
      <c r="D385" s="160" t="s">
        <v>14416</v>
      </c>
      <c r="E385" s="160" t="s">
        <v>14494</v>
      </c>
      <c r="F385" s="160" t="s">
        <v>14435</v>
      </c>
      <c r="G385" s="160" t="s">
        <v>13897</v>
      </c>
      <c r="H385" s="160" t="s">
        <v>14495</v>
      </c>
      <c r="I385" s="160" t="s">
        <v>13497</v>
      </c>
      <c r="J385" s="160" t="s">
        <v>14496</v>
      </c>
      <c r="K385" s="163" t="s">
        <v>14497</v>
      </c>
      <c r="L385" s="57"/>
      <c r="M385" s="57"/>
      <c r="N385" s="57"/>
      <c r="O385" s="57"/>
      <c r="P385" s="57"/>
      <c r="Q385" s="57"/>
      <c r="R385" s="57"/>
      <c r="S385" s="57"/>
      <c r="T385" s="57"/>
      <c r="U385" s="57"/>
      <c r="V385" s="57"/>
      <c r="W385" s="57"/>
      <c r="X385" s="57"/>
      <c r="Y385" s="57"/>
      <c r="Z385" s="57"/>
      <c r="AA385" s="57"/>
      <c r="AB385" s="57"/>
      <c r="AC385" s="57"/>
      <c r="AD385" s="57"/>
    </row>
    <row r="386" spans="1:30" ht="13.5" thickBot="1" x14ac:dyDescent="0.25">
      <c r="A386" s="57"/>
      <c r="B386" s="160" t="s">
        <v>13384</v>
      </c>
      <c r="C386" s="160" t="s">
        <v>13453</v>
      </c>
      <c r="D386" s="160" t="s">
        <v>13949</v>
      </c>
      <c r="E386" s="160" t="s">
        <v>14498</v>
      </c>
      <c r="F386" s="160" t="s">
        <v>13453</v>
      </c>
      <c r="G386" s="160" t="s">
        <v>14499</v>
      </c>
      <c r="H386" s="160" t="s">
        <v>14500</v>
      </c>
      <c r="I386" s="160" t="s">
        <v>13453</v>
      </c>
      <c r="J386" s="160" t="s">
        <v>13913</v>
      </c>
      <c r="K386" s="164" t="s">
        <v>14501</v>
      </c>
      <c r="L386" s="57"/>
      <c r="M386" s="57"/>
      <c r="N386" s="57"/>
      <c r="O386" s="57"/>
      <c r="P386" s="57"/>
      <c r="Q386" s="57"/>
      <c r="R386" s="57"/>
      <c r="S386" s="57"/>
      <c r="T386" s="57"/>
      <c r="U386" s="57"/>
      <c r="V386" s="57"/>
      <c r="W386" s="57"/>
      <c r="X386" s="57"/>
      <c r="Y386" s="57"/>
      <c r="Z386" s="57"/>
      <c r="AA386" s="57"/>
      <c r="AB386" s="57"/>
      <c r="AC386" s="57"/>
      <c r="AD386" s="57"/>
    </row>
    <row r="387" spans="1:30" ht="13.5" thickBot="1" x14ac:dyDescent="0.25">
      <c r="A387" s="57"/>
      <c r="B387" s="160" t="s">
        <v>13391</v>
      </c>
      <c r="C387" s="160" t="s">
        <v>13674</v>
      </c>
      <c r="D387" s="160" t="s">
        <v>13453</v>
      </c>
      <c r="E387" s="160" t="s">
        <v>14502</v>
      </c>
      <c r="F387" s="160" t="s">
        <v>14503</v>
      </c>
      <c r="G387" s="160" t="s">
        <v>13893</v>
      </c>
      <c r="H387" s="160" t="s">
        <v>14504</v>
      </c>
      <c r="I387" s="160" t="s">
        <v>14455</v>
      </c>
      <c r="J387" s="160" t="s">
        <v>14372</v>
      </c>
      <c r="K387" s="162" t="s">
        <v>14505</v>
      </c>
      <c r="L387" s="57"/>
      <c r="M387" s="57"/>
      <c r="N387" s="57"/>
      <c r="O387" s="57"/>
      <c r="P387" s="57"/>
      <c r="Q387" s="57"/>
      <c r="R387" s="57"/>
      <c r="S387" s="57"/>
      <c r="T387" s="57"/>
      <c r="U387" s="57"/>
      <c r="V387" s="57"/>
      <c r="W387" s="57"/>
      <c r="X387" s="57"/>
      <c r="Y387" s="57"/>
      <c r="Z387" s="57"/>
      <c r="AA387" s="57"/>
      <c r="AB387" s="57"/>
      <c r="AC387" s="57"/>
      <c r="AD387" s="57"/>
    </row>
    <row r="388" spans="1:30" ht="13.5" thickBot="1" x14ac:dyDescent="0.25">
      <c r="A388" s="57"/>
      <c r="B388" s="160" t="s">
        <v>13397</v>
      </c>
      <c r="C388" s="160" t="s">
        <v>14506</v>
      </c>
      <c r="D388" s="160" t="s">
        <v>13550</v>
      </c>
      <c r="E388" s="160" t="s">
        <v>14507</v>
      </c>
      <c r="F388" s="160" t="s">
        <v>13588</v>
      </c>
      <c r="G388" s="160" t="s">
        <v>14508</v>
      </c>
      <c r="H388" s="160" t="s">
        <v>14509</v>
      </c>
      <c r="I388" s="160" t="s">
        <v>13856</v>
      </c>
      <c r="J388" s="160" t="s">
        <v>13616</v>
      </c>
      <c r="K388" s="163" t="s">
        <v>14510</v>
      </c>
      <c r="L388" s="57"/>
      <c r="M388" s="57"/>
      <c r="N388" s="57"/>
      <c r="O388" s="57"/>
      <c r="P388" s="57"/>
      <c r="Q388" s="57"/>
      <c r="R388" s="57"/>
      <c r="S388" s="57"/>
      <c r="T388" s="57"/>
      <c r="U388" s="57"/>
      <c r="V388" s="57"/>
      <c r="W388" s="57"/>
      <c r="X388" s="57"/>
      <c r="Y388" s="57"/>
      <c r="Z388" s="57"/>
      <c r="AA388" s="57"/>
      <c r="AB388" s="57"/>
      <c r="AC388" s="57"/>
      <c r="AD388" s="57"/>
    </row>
    <row r="389" spans="1:30" ht="13.5" thickBot="1" x14ac:dyDescent="0.25">
      <c r="A389" s="57"/>
      <c r="B389" s="160" t="s">
        <v>13403</v>
      </c>
      <c r="C389" s="160" t="s">
        <v>13586</v>
      </c>
      <c r="D389" s="160" t="s">
        <v>13874</v>
      </c>
      <c r="E389" s="160" t="s">
        <v>14511</v>
      </c>
      <c r="F389" s="160" t="s">
        <v>14512</v>
      </c>
      <c r="G389" s="160" t="s">
        <v>14513</v>
      </c>
      <c r="H389" s="160" t="s">
        <v>14514</v>
      </c>
      <c r="I389" s="160" t="s">
        <v>13841</v>
      </c>
      <c r="J389" s="161" t="s">
        <v>14515</v>
      </c>
      <c r="K389" s="163" t="s">
        <v>14516</v>
      </c>
      <c r="L389" s="57"/>
      <c r="M389" s="57"/>
      <c r="N389" s="57"/>
      <c r="O389" s="57"/>
      <c r="P389" s="57"/>
      <c r="Q389" s="57"/>
      <c r="R389" s="57"/>
      <c r="S389" s="57"/>
      <c r="T389" s="57"/>
      <c r="U389" s="57"/>
      <c r="V389" s="57"/>
      <c r="W389" s="57"/>
      <c r="X389" s="57"/>
      <c r="Y389" s="57"/>
      <c r="Z389" s="57"/>
      <c r="AA389" s="57"/>
      <c r="AB389" s="57"/>
      <c r="AC389" s="57"/>
      <c r="AD389" s="57"/>
    </row>
    <row r="390" spans="1:30" ht="13.5" thickBot="1" x14ac:dyDescent="0.25">
      <c r="A390" s="57"/>
      <c r="B390" s="160" t="s">
        <v>13408</v>
      </c>
      <c r="C390" s="160" t="s">
        <v>14517</v>
      </c>
      <c r="D390" s="160" t="s">
        <v>13514</v>
      </c>
      <c r="E390" s="160" t="s">
        <v>14518</v>
      </c>
      <c r="F390" s="160" t="s">
        <v>13780</v>
      </c>
      <c r="G390" s="160" t="s">
        <v>13681</v>
      </c>
      <c r="H390" s="160" t="s">
        <v>14519</v>
      </c>
      <c r="I390" s="160" t="s">
        <v>13921</v>
      </c>
      <c r="J390" s="160" t="s">
        <v>14520</v>
      </c>
      <c r="K390" s="164" t="s">
        <v>14521</v>
      </c>
      <c r="L390" s="57"/>
      <c r="M390" s="57"/>
      <c r="N390" s="57"/>
      <c r="O390" s="57"/>
      <c r="P390" s="57"/>
      <c r="Q390" s="57"/>
      <c r="R390" s="57"/>
      <c r="S390" s="57"/>
      <c r="T390" s="57"/>
      <c r="U390" s="57"/>
      <c r="V390" s="57"/>
      <c r="W390" s="57"/>
      <c r="X390" s="57"/>
      <c r="Y390" s="57"/>
      <c r="Z390" s="57"/>
      <c r="AA390" s="57"/>
      <c r="AB390" s="57"/>
      <c r="AC390" s="57"/>
      <c r="AD390" s="57"/>
    </row>
    <row r="391" spans="1:30" ht="13.5" thickBot="1" x14ac:dyDescent="0.25">
      <c r="A391" s="57"/>
      <c r="B391" s="160" t="s">
        <v>13413</v>
      </c>
      <c r="C391" s="160" t="s">
        <v>13647</v>
      </c>
      <c r="D391" s="160" t="s">
        <v>13767</v>
      </c>
      <c r="E391" s="160" t="s">
        <v>14522</v>
      </c>
      <c r="F391" s="160" t="s">
        <v>14398</v>
      </c>
      <c r="G391" s="160" t="s">
        <v>14523</v>
      </c>
      <c r="H391" s="160" t="s">
        <v>14524</v>
      </c>
      <c r="I391" s="160" t="s">
        <v>13453</v>
      </c>
      <c r="J391" s="160" t="s">
        <v>13677</v>
      </c>
      <c r="K391" s="163" t="s">
        <v>14525</v>
      </c>
      <c r="L391" s="57"/>
      <c r="M391" s="57"/>
      <c r="N391" s="57"/>
      <c r="O391" s="57"/>
      <c r="P391" s="57"/>
      <c r="Q391" s="57"/>
      <c r="R391" s="57"/>
      <c r="S391" s="57"/>
      <c r="T391" s="57"/>
      <c r="U391" s="57"/>
      <c r="V391" s="57"/>
      <c r="W391" s="57"/>
      <c r="X391" s="57"/>
      <c r="Y391" s="57"/>
      <c r="Z391" s="57"/>
      <c r="AA391" s="57"/>
      <c r="AB391" s="57"/>
      <c r="AC391" s="57"/>
      <c r="AD391" s="57"/>
    </row>
    <row r="392" spans="1:30" ht="13.5" thickBot="1" x14ac:dyDescent="0.25">
      <c r="A392" s="57"/>
      <c r="B392" s="160" t="s">
        <v>13419</v>
      </c>
      <c r="C392" s="160" t="s">
        <v>13420</v>
      </c>
      <c r="D392" s="160" t="s">
        <v>14383</v>
      </c>
      <c r="E392" s="160" t="s">
        <v>14526</v>
      </c>
      <c r="F392" s="160" t="s">
        <v>14343</v>
      </c>
      <c r="G392" s="160" t="s">
        <v>13550</v>
      </c>
      <c r="H392" s="160" t="s">
        <v>14527</v>
      </c>
      <c r="I392" s="160" t="s">
        <v>13949</v>
      </c>
      <c r="J392" s="160" t="s">
        <v>13749</v>
      </c>
      <c r="K392" s="163" t="s">
        <v>14528</v>
      </c>
      <c r="L392" s="57"/>
      <c r="M392" s="57"/>
      <c r="N392" s="57"/>
      <c r="O392" s="57"/>
      <c r="P392" s="57"/>
      <c r="Q392" s="57"/>
      <c r="R392" s="57"/>
      <c r="S392" s="57"/>
      <c r="T392" s="57"/>
      <c r="U392" s="57"/>
      <c r="V392" s="57"/>
      <c r="W392" s="57"/>
      <c r="X392" s="57"/>
      <c r="Y392" s="57"/>
      <c r="Z392" s="57"/>
      <c r="AA392" s="57"/>
      <c r="AB392" s="57"/>
      <c r="AC392" s="57"/>
      <c r="AD392" s="57"/>
    </row>
    <row r="393" spans="1:30" ht="13.5" thickBot="1" x14ac:dyDescent="0.25">
      <c r="A393" s="57"/>
      <c r="B393" s="165" t="s">
        <v>13517</v>
      </c>
      <c r="C393" s="165" t="s">
        <v>13484</v>
      </c>
      <c r="D393" s="165" t="s">
        <v>14404</v>
      </c>
      <c r="E393" s="165" t="s">
        <v>14529</v>
      </c>
      <c r="F393" s="165" t="s">
        <v>14530</v>
      </c>
      <c r="G393" s="165" t="s">
        <v>13805</v>
      </c>
      <c r="H393" s="165" t="s">
        <v>14531</v>
      </c>
      <c r="I393" s="165" t="s">
        <v>14449</v>
      </c>
      <c r="J393" s="165" t="s">
        <v>14520</v>
      </c>
      <c r="K393" s="166" t="s">
        <v>14532</v>
      </c>
      <c r="L393" s="57"/>
      <c r="M393" s="57"/>
      <c r="N393" s="57"/>
      <c r="O393" s="57"/>
      <c r="P393" s="57"/>
      <c r="Q393" s="57"/>
      <c r="R393" s="57"/>
      <c r="S393" s="57"/>
      <c r="T393" s="57"/>
      <c r="U393" s="57"/>
      <c r="V393" s="57"/>
      <c r="W393" s="57"/>
      <c r="X393" s="57"/>
      <c r="Y393" s="57"/>
      <c r="Z393" s="57"/>
      <c r="AA393" s="57"/>
      <c r="AB393" s="57"/>
      <c r="AC393" s="57"/>
      <c r="AD393" s="57"/>
    </row>
    <row r="394" spans="1:30" ht="13.5" thickBot="1" x14ac:dyDescent="0.25">
      <c r="A394" s="57"/>
      <c r="B394" s="165" t="s">
        <v>13432</v>
      </c>
      <c r="C394" s="165" t="s">
        <v>13819</v>
      </c>
      <c r="D394" s="165" t="s">
        <v>13451</v>
      </c>
      <c r="E394" s="165" t="s">
        <v>14533</v>
      </c>
      <c r="F394" s="165" t="s">
        <v>13543</v>
      </c>
      <c r="G394" s="165" t="s">
        <v>13658</v>
      </c>
      <c r="H394" s="165" t="s">
        <v>14534</v>
      </c>
      <c r="I394" s="165" t="s">
        <v>13709</v>
      </c>
      <c r="J394" s="165" t="s">
        <v>13586</v>
      </c>
      <c r="K394" s="166" t="s">
        <v>14535</v>
      </c>
      <c r="L394" s="57"/>
      <c r="M394" s="57"/>
      <c r="N394" s="57"/>
      <c r="O394" s="57"/>
      <c r="P394" s="57"/>
      <c r="Q394" s="57"/>
      <c r="R394" s="57"/>
      <c r="S394" s="57"/>
      <c r="T394" s="57"/>
      <c r="U394" s="57"/>
      <c r="V394" s="57"/>
      <c r="W394" s="57"/>
      <c r="X394" s="57"/>
      <c r="Y394" s="57"/>
      <c r="Z394" s="57"/>
      <c r="AA394" s="57"/>
      <c r="AB394" s="57"/>
      <c r="AC394" s="57"/>
      <c r="AD394" s="57"/>
    </row>
    <row r="395" spans="1:30" ht="13.5" thickBot="1" x14ac:dyDescent="0.25">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c r="AA395" s="57"/>
      <c r="AB395" s="57"/>
      <c r="AC395" s="57"/>
      <c r="AD395" s="57"/>
    </row>
    <row r="396" spans="1:30" ht="13.5" thickBot="1" x14ac:dyDescent="0.25">
      <c r="A396" s="57"/>
      <c r="B396" s="97" t="s">
        <v>14536</v>
      </c>
      <c r="C396" s="88"/>
      <c r="D396" s="88"/>
      <c r="E396" s="88"/>
      <c r="F396" s="88"/>
      <c r="G396" s="88"/>
      <c r="H396" s="88"/>
      <c r="I396" s="88"/>
      <c r="J396" s="88"/>
      <c r="K396" s="88"/>
      <c r="L396" s="57"/>
      <c r="M396" s="57"/>
      <c r="N396" s="57"/>
      <c r="O396" s="57"/>
      <c r="P396" s="57"/>
      <c r="Q396" s="57"/>
      <c r="R396" s="57"/>
      <c r="S396" s="57"/>
      <c r="T396" s="57"/>
      <c r="U396" s="57"/>
      <c r="V396" s="57"/>
      <c r="W396" s="57"/>
      <c r="X396" s="57"/>
      <c r="Y396" s="57"/>
      <c r="Z396" s="57"/>
      <c r="AA396" s="57"/>
      <c r="AB396" s="57"/>
      <c r="AC396" s="57"/>
      <c r="AD396" s="57"/>
    </row>
    <row r="397" spans="1:30" ht="13.5" thickBot="1" x14ac:dyDescent="0.25">
      <c r="A397" s="80"/>
      <c r="B397" s="271" t="s">
        <v>14136</v>
      </c>
      <c r="C397" s="273" t="s">
        <v>13442</v>
      </c>
      <c r="D397" s="274"/>
      <c r="E397" s="275"/>
      <c r="F397" s="273" t="s">
        <v>13443</v>
      </c>
      <c r="G397" s="274"/>
      <c r="H397" s="275"/>
      <c r="I397" s="273" t="s">
        <v>12915</v>
      </c>
      <c r="J397" s="274"/>
      <c r="K397" s="275"/>
      <c r="L397" s="57"/>
      <c r="M397" s="57"/>
      <c r="N397" s="57"/>
      <c r="O397" s="57"/>
      <c r="P397" s="57"/>
      <c r="Q397" s="57"/>
      <c r="R397" s="57"/>
      <c r="S397" s="57"/>
      <c r="T397" s="57"/>
      <c r="U397" s="57"/>
      <c r="V397" s="57"/>
      <c r="W397" s="57"/>
      <c r="X397" s="57"/>
      <c r="Y397" s="57"/>
      <c r="Z397" s="57"/>
      <c r="AA397" s="57"/>
      <c r="AB397" s="57"/>
      <c r="AC397" s="57"/>
      <c r="AD397" s="57"/>
    </row>
    <row r="398" spans="1:30" ht="13.5" thickBot="1" x14ac:dyDescent="0.25">
      <c r="A398" s="80"/>
      <c r="B398" s="272"/>
      <c r="C398" s="167" t="s">
        <v>14537</v>
      </c>
      <c r="D398" s="168" t="s">
        <v>14538</v>
      </c>
      <c r="E398" s="167" t="s">
        <v>14109</v>
      </c>
      <c r="F398" s="167" t="s">
        <v>14537</v>
      </c>
      <c r="G398" s="168" t="s">
        <v>14538</v>
      </c>
      <c r="H398" s="167" t="s">
        <v>14109</v>
      </c>
      <c r="I398" s="167" t="s">
        <v>14537</v>
      </c>
      <c r="J398" s="167" t="s">
        <v>14538</v>
      </c>
      <c r="K398" s="167" t="s">
        <v>14109</v>
      </c>
      <c r="L398" s="57"/>
      <c r="M398" s="57"/>
      <c r="N398" s="57"/>
      <c r="O398" s="57"/>
      <c r="P398" s="57"/>
      <c r="Q398" s="57"/>
      <c r="R398" s="57"/>
      <c r="S398" s="57"/>
      <c r="T398" s="57"/>
      <c r="U398" s="57"/>
      <c r="V398" s="57"/>
      <c r="W398" s="57"/>
      <c r="X398" s="57"/>
      <c r="Y398" s="57"/>
      <c r="Z398" s="57"/>
      <c r="AA398" s="57"/>
      <c r="AB398" s="57"/>
      <c r="AC398" s="57"/>
      <c r="AD398" s="57"/>
    </row>
    <row r="399" spans="1:30" ht="26.25" thickBot="1" x14ac:dyDescent="0.25">
      <c r="A399" s="57"/>
      <c r="B399" s="160" t="s">
        <v>14141</v>
      </c>
      <c r="C399" s="160" t="s">
        <v>14438</v>
      </c>
      <c r="D399" s="160" t="s">
        <v>13601</v>
      </c>
      <c r="E399" s="160" t="s">
        <v>14539</v>
      </c>
      <c r="F399" s="160" t="s">
        <v>14355</v>
      </c>
      <c r="G399" s="160" t="s">
        <v>13805</v>
      </c>
      <c r="H399" s="160" t="s">
        <v>14540</v>
      </c>
      <c r="I399" s="160" t="s">
        <v>14541</v>
      </c>
      <c r="J399" s="160" t="s">
        <v>14492</v>
      </c>
      <c r="K399" s="160" t="s">
        <v>14542</v>
      </c>
      <c r="L399" s="57"/>
      <c r="M399" s="57"/>
      <c r="N399" s="57"/>
      <c r="O399" s="57"/>
      <c r="P399" s="57"/>
      <c r="Q399" s="57"/>
      <c r="R399" s="57"/>
      <c r="S399" s="57"/>
      <c r="T399" s="57"/>
      <c r="U399" s="57"/>
      <c r="V399" s="57"/>
      <c r="W399" s="57"/>
      <c r="X399" s="57"/>
      <c r="Y399" s="57"/>
      <c r="Z399" s="57"/>
      <c r="AA399" s="57"/>
      <c r="AB399" s="57"/>
      <c r="AC399" s="57"/>
      <c r="AD399" s="57"/>
    </row>
    <row r="400" spans="1:30" ht="13.5" thickBot="1" x14ac:dyDescent="0.25">
      <c r="A400" s="57"/>
      <c r="B400" s="160" t="s">
        <v>13378</v>
      </c>
      <c r="C400" s="160" t="s">
        <v>14383</v>
      </c>
      <c r="D400" s="160" t="s">
        <v>13480</v>
      </c>
      <c r="E400" s="160" t="s">
        <v>14543</v>
      </c>
      <c r="F400" s="160" t="s">
        <v>14544</v>
      </c>
      <c r="G400" s="160" t="s">
        <v>14435</v>
      </c>
      <c r="H400" s="160" t="s">
        <v>14545</v>
      </c>
      <c r="I400" s="160" t="s">
        <v>13913</v>
      </c>
      <c r="J400" s="160" t="s">
        <v>13497</v>
      </c>
      <c r="K400" s="160" t="s">
        <v>14546</v>
      </c>
      <c r="L400" s="57"/>
      <c r="M400" s="57"/>
      <c r="N400" s="57"/>
      <c r="O400" s="57"/>
      <c r="P400" s="57"/>
      <c r="Q400" s="57"/>
      <c r="R400" s="57"/>
      <c r="S400" s="57"/>
      <c r="T400" s="57"/>
      <c r="U400" s="57"/>
      <c r="V400" s="57"/>
      <c r="W400" s="57"/>
      <c r="X400" s="57"/>
      <c r="Y400" s="57"/>
      <c r="Z400" s="57"/>
      <c r="AA400" s="57"/>
      <c r="AB400" s="57"/>
      <c r="AC400" s="57"/>
      <c r="AD400" s="57"/>
    </row>
    <row r="401" spans="1:30" ht="13.5" thickBot="1" x14ac:dyDescent="0.25">
      <c r="A401" s="57"/>
      <c r="B401" s="160" t="s">
        <v>13384</v>
      </c>
      <c r="C401" s="160" t="s">
        <v>14415</v>
      </c>
      <c r="D401" s="160" t="s">
        <v>13453</v>
      </c>
      <c r="E401" s="160" t="s">
        <v>14547</v>
      </c>
      <c r="F401" s="160" t="s">
        <v>14442</v>
      </c>
      <c r="G401" s="160" t="s">
        <v>13453</v>
      </c>
      <c r="H401" s="160" t="s">
        <v>14548</v>
      </c>
      <c r="I401" s="160" t="s">
        <v>14549</v>
      </c>
      <c r="J401" s="160" t="s">
        <v>13453</v>
      </c>
      <c r="K401" s="160" t="s">
        <v>14550</v>
      </c>
      <c r="L401" s="57"/>
      <c r="M401" s="57"/>
      <c r="N401" s="57"/>
      <c r="O401" s="57"/>
      <c r="P401" s="57"/>
      <c r="Q401" s="57"/>
      <c r="R401" s="57"/>
      <c r="S401" s="57"/>
      <c r="T401" s="57"/>
      <c r="U401" s="57"/>
      <c r="V401" s="57"/>
      <c r="W401" s="57"/>
      <c r="X401" s="57"/>
      <c r="Y401" s="57"/>
      <c r="Z401" s="57"/>
      <c r="AA401" s="57"/>
      <c r="AB401" s="57"/>
      <c r="AC401" s="57"/>
      <c r="AD401" s="57"/>
    </row>
    <row r="402" spans="1:30" ht="13.5" thickBot="1" x14ac:dyDescent="0.25">
      <c r="A402" s="57"/>
      <c r="B402" s="160" t="s">
        <v>13391</v>
      </c>
      <c r="C402" s="160" t="s">
        <v>14424</v>
      </c>
      <c r="D402" s="160" t="s">
        <v>13674</v>
      </c>
      <c r="E402" s="160" t="s">
        <v>14551</v>
      </c>
      <c r="F402" s="160" t="s">
        <v>13922</v>
      </c>
      <c r="G402" s="160" t="s">
        <v>14503</v>
      </c>
      <c r="H402" s="160" t="s">
        <v>14552</v>
      </c>
      <c r="I402" s="160" t="s">
        <v>13967</v>
      </c>
      <c r="J402" s="160" t="s">
        <v>14455</v>
      </c>
      <c r="K402" s="160" t="s">
        <v>14553</v>
      </c>
      <c r="L402" s="57"/>
      <c r="M402" s="57"/>
      <c r="N402" s="57"/>
      <c r="O402" s="57"/>
      <c r="P402" s="57"/>
      <c r="Q402" s="57"/>
      <c r="R402" s="57"/>
      <c r="S402" s="57"/>
      <c r="T402" s="57"/>
      <c r="U402" s="57"/>
      <c r="V402" s="57"/>
      <c r="W402" s="57"/>
      <c r="X402" s="57"/>
      <c r="Y402" s="57"/>
      <c r="Z402" s="57"/>
      <c r="AA402" s="57"/>
      <c r="AB402" s="57"/>
      <c r="AC402" s="57"/>
      <c r="AD402" s="57"/>
    </row>
    <row r="403" spans="1:30" ht="26.25" thickBot="1" x14ac:dyDescent="0.25">
      <c r="A403" s="57"/>
      <c r="B403" s="160" t="s">
        <v>14554</v>
      </c>
      <c r="C403" s="160" t="s">
        <v>14555</v>
      </c>
      <c r="D403" s="160" t="s">
        <v>14556</v>
      </c>
      <c r="E403" s="160" t="s">
        <v>14557</v>
      </c>
      <c r="F403" s="160" t="s">
        <v>14558</v>
      </c>
      <c r="G403" s="160" t="s">
        <v>14559</v>
      </c>
      <c r="H403" s="160" t="s">
        <v>14560</v>
      </c>
      <c r="I403" s="160" t="s">
        <v>14561</v>
      </c>
      <c r="J403" s="160" t="s">
        <v>14562</v>
      </c>
      <c r="K403" s="160" t="s">
        <v>14563</v>
      </c>
      <c r="L403" s="57"/>
      <c r="M403" s="57"/>
      <c r="N403" s="57"/>
      <c r="O403" s="57"/>
      <c r="P403" s="57"/>
      <c r="Q403" s="57"/>
      <c r="R403" s="57"/>
      <c r="S403" s="57"/>
      <c r="T403" s="57"/>
      <c r="U403" s="57"/>
      <c r="V403" s="57"/>
      <c r="W403" s="57"/>
      <c r="X403" s="57"/>
      <c r="Y403" s="57"/>
      <c r="Z403" s="57"/>
      <c r="AA403" s="57"/>
      <c r="AB403" s="57"/>
      <c r="AC403" s="57"/>
      <c r="AD403" s="57"/>
    </row>
    <row r="404" spans="1:30" ht="13.5" thickBot="1" x14ac:dyDescent="0.25">
      <c r="A404" s="57"/>
      <c r="B404" s="160" t="s">
        <v>13408</v>
      </c>
      <c r="C404" s="160" t="s">
        <v>13704</v>
      </c>
      <c r="D404" s="160" t="s">
        <v>14517</v>
      </c>
      <c r="E404" s="160" t="s">
        <v>14564</v>
      </c>
      <c r="F404" s="160" t="s">
        <v>14449</v>
      </c>
      <c r="G404" s="160" t="s">
        <v>13780</v>
      </c>
      <c r="H404" s="160" t="s">
        <v>14565</v>
      </c>
      <c r="I404" s="160" t="s">
        <v>14391</v>
      </c>
      <c r="J404" s="160" t="s">
        <v>13921</v>
      </c>
      <c r="K404" s="160" t="s">
        <v>14566</v>
      </c>
      <c r="L404" s="57"/>
      <c r="M404" s="57"/>
      <c r="N404" s="57"/>
      <c r="O404" s="57"/>
      <c r="P404" s="57"/>
      <c r="Q404" s="57"/>
      <c r="R404" s="57"/>
      <c r="S404" s="57"/>
      <c r="T404" s="57"/>
      <c r="U404" s="57"/>
      <c r="V404" s="57"/>
      <c r="W404" s="57"/>
      <c r="X404" s="57"/>
      <c r="Y404" s="57"/>
      <c r="Z404" s="57"/>
      <c r="AA404" s="57"/>
      <c r="AB404" s="57"/>
      <c r="AC404" s="57"/>
      <c r="AD404" s="57"/>
    </row>
    <row r="405" spans="1:30" ht="13.5" thickBot="1" x14ac:dyDescent="0.25">
      <c r="A405" s="57"/>
      <c r="B405" s="160" t="s">
        <v>13413</v>
      </c>
      <c r="C405" s="160" t="s">
        <v>13831</v>
      </c>
      <c r="D405" s="160" t="s">
        <v>13647</v>
      </c>
      <c r="E405" s="102"/>
      <c r="F405" s="160" t="s">
        <v>13875</v>
      </c>
      <c r="G405" s="160" t="s">
        <v>14398</v>
      </c>
      <c r="H405" s="102"/>
      <c r="I405" s="102"/>
      <c r="J405" s="160" t="s">
        <v>13846</v>
      </c>
      <c r="K405" s="160" t="s">
        <v>13453</v>
      </c>
      <c r="L405" s="57"/>
      <c r="M405" s="57"/>
      <c r="N405" s="57"/>
      <c r="O405" s="57"/>
      <c r="P405" s="57"/>
      <c r="Q405" s="57"/>
      <c r="R405" s="57"/>
      <c r="S405" s="57"/>
      <c r="T405" s="57"/>
      <c r="U405" s="57"/>
      <c r="V405" s="57"/>
      <c r="W405" s="57"/>
      <c r="X405" s="57"/>
      <c r="Y405" s="57"/>
      <c r="Z405" s="57"/>
      <c r="AA405" s="57"/>
      <c r="AB405" s="57"/>
      <c r="AC405" s="57"/>
      <c r="AD405" s="57"/>
    </row>
    <row r="406" spans="1:30" ht="13.5" thickBot="1" x14ac:dyDescent="0.25">
      <c r="A406" s="57"/>
      <c r="B406" s="160" t="s">
        <v>13419</v>
      </c>
      <c r="C406" s="160" t="s">
        <v>13856</v>
      </c>
      <c r="D406" s="160" t="s">
        <v>13420</v>
      </c>
      <c r="E406" s="102"/>
      <c r="F406" s="160" t="s">
        <v>13777</v>
      </c>
      <c r="G406" s="160" t="s">
        <v>14343</v>
      </c>
      <c r="H406" s="102"/>
      <c r="I406" s="102"/>
      <c r="J406" s="160" t="s">
        <v>13758</v>
      </c>
      <c r="K406" s="160" t="s">
        <v>13949</v>
      </c>
      <c r="L406" s="57"/>
      <c r="M406" s="57"/>
      <c r="N406" s="57"/>
      <c r="O406" s="57"/>
      <c r="P406" s="57"/>
      <c r="Q406" s="57"/>
      <c r="R406" s="57"/>
      <c r="S406" s="57"/>
      <c r="T406" s="57"/>
      <c r="U406" s="57"/>
      <c r="V406" s="57"/>
      <c r="W406" s="57"/>
      <c r="X406" s="57"/>
      <c r="Y406" s="57"/>
      <c r="Z406" s="57"/>
      <c r="AA406" s="57"/>
      <c r="AB406" s="57"/>
      <c r="AC406" s="57"/>
      <c r="AD406" s="57"/>
    </row>
    <row r="407" spans="1:30" ht="13.5" thickBot="1" x14ac:dyDescent="0.25">
      <c r="A407" s="57"/>
      <c r="B407" s="160" t="s">
        <v>13517</v>
      </c>
      <c r="C407" s="160" t="s">
        <v>13583</v>
      </c>
      <c r="D407" s="160" t="s">
        <v>13484</v>
      </c>
      <c r="E407" s="102"/>
      <c r="F407" s="160" t="s">
        <v>13645</v>
      </c>
      <c r="G407" s="160" t="s">
        <v>14530</v>
      </c>
      <c r="H407" s="102"/>
      <c r="I407" s="102"/>
      <c r="J407" s="160" t="s">
        <v>13674</v>
      </c>
      <c r="K407" s="160" t="s">
        <v>14449</v>
      </c>
      <c r="L407" s="57"/>
      <c r="M407" s="57"/>
      <c r="N407" s="57"/>
      <c r="O407" s="57"/>
      <c r="P407" s="57"/>
      <c r="Q407" s="57"/>
      <c r="R407" s="57"/>
      <c r="S407" s="57"/>
      <c r="T407" s="57"/>
      <c r="U407" s="57"/>
      <c r="V407" s="57"/>
      <c r="W407" s="57"/>
      <c r="X407" s="57"/>
      <c r="Y407" s="57"/>
      <c r="Z407" s="57"/>
      <c r="AA407" s="57"/>
      <c r="AB407" s="57"/>
      <c r="AC407" s="57"/>
      <c r="AD407" s="57"/>
    </row>
    <row r="408" spans="1:30" ht="13.5" thickBot="1" x14ac:dyDescent="0.25">
      <c r="A408" s="57"/>
      <c r="B408" s="160" t="s">
        <v>13432</v>
      </c>
      <c r="C408" s="160" t="s">
        <v>13672</v>
      </c>
      <c r="D408" s="160" t="s">
        <v>13819</v>
      </c>
      <c r="E408" s="160" t="s">
        <v>14567</v>
      </c>
      <c r="F408" s="160" t="s">
        <v>14365</v>
      </c>
      <c r="G408" s="160" t="s">
        <v>13543</v>
      </c>
      <c r="H408" s="160" t="s">
        <v>14568</v>
      </c>
      <c r="I408" s="160" t="s">
        <v>13585</v>
      </c>
      <c r="J408" s="160" t="s">
        <v>13709</v>
      </c>
      <c r="K408" s="160" t="s">
        <v>14569</v>
      </c>
      <c r="L408" s="57"/>
      <c r="M408" s="57"/>
      <c r="N408" s="57"/>
      <c r="O408" s="57"/>
      <c r="P408" s="57"/>
      <c r="Q408" s="57"/>
      <c r="R408" s="57"/>
      <c r="S408" s="57"/>
      <c r="T408" s="57"/>
      <c r="U408" s="57"/>
      <c r="V408" s="57"/>
      <c r="W408" s="57"/>
      <c r="X408" s="57"/>
      <c r="Y408" s="57"/>
      <c r="Z408" s="57"/>
      <c r="AA408" s="57"/>
      <c r="AB408" s="57"/>
      <c r="AC408" s="57"/>
      <c r="AD408" s="57"/>
    </row>
    <row r="409" spans="1:30" ht="13.5" thickBot="1" x14ac:dyDescent="0.25">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c r="AA409" s="57"/>
      <c r="AB409" s="57"/>
      <c r="AC409" s="57"/>
      <c r="AD409" s="57"/>
    </row>
    <row r="410" spans="1:30" ht="13.5" thickBot="1" x14ac:dyDescent="0.25">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c r="AA410" s="57"/>
      <c r="AB410" s="57"/>
      <c r="AC410" s="57"/>
      <c r="AD410" s="57"/>
    </row>
    <row r="411" spans="1:30" ht="13.5" thickBot="1" x14ac:dyDescent="0.25">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c r="AA411" s="57"/>
      <c r="AB411" s="57"/>
      <c r="AC411" s="57"/>
      <c r="AD411" s="57"/>
    </row>
    <row r="412" spans="1:30" ht="13.5" thickBot="1" x14ac:dyDescent="0.25">
      <c r="A412" s="57"/>
      <c r="B412" s="169" t="s">
        <v>14570</v>
      </c>
      <c r="C412" s="88"/>
      <c r="D412" s="88"/>
      <c r="E412" s="88"/>
      <c r="F412" s="88"/>
      <c r="G412" s="88"/>
      <c r="H412" s="88"/>
      <c r="I412" s="88"/>
      <c r="J412" s="88"/>
      <c r="K412" s="88"/>
      <c r="L412" s="57"/>
      <c r="M412" s="57"/>
      <c r="N412" s="57"/>
      <c r="O412" s="57"/>
      <c r="P412" s="57"/>
      <c r="Q412" s="57"/>
      <c r="R412" s="57"/>
      <c r="S412" s="57"/>
      <c r="T412" s="57"/>
      <c r="U412" s="57"/>
      <c r="V412" s="57"/>
      <c r="W412" s="57"/>
      <c r="X412" s="57"/>
      <c r="Y412" s="57"/>
      <c r="Z412" s="57"/>
      <c r="AA412" s="57"/>
      <c r="AB412" s="57"/>
      <c r="AC412" s="57"/>
      <c r="AD412" s="57"/>
    </row>
    <row r="413" spans="1:30" ht="13.5" thickBot="1" x14ac:dyDescent="0.25">
      <c r="A413" s="80"/>
      <c r="B413" s="271" t="s">
        <v>13368</v>
      </c>
      <c r="C413" s="276" t="s">
        <v>13442</v>
      </c>
      <c r="D413" s="277"/>
      <c r="E413" s="278"/>
      <c r="F413" s="276" t="s">
        <v>13443</v>
      </c>
      <c r="G413" s="277"/>
      <c r="H413" s="278"/>
      <c r="I413" s="276" t="s">
        <v>12915</v>
      </c>
      <c r="J413" s="277"/>
      <c r="K413" s="278"/>
      <c r="L413" s="57"/>
      <c r="M413" s="57"/>
      <c r="N413" s="57"/>
      <c r="O413" s="57"/>
      <c r="P413" s="57"/>
      <c r="Q413" s="57"/>
      <c r="R413" s="57"/>
      <c r="S413" s="57"/>
      <c r="T413" s="57"/>
      <c r="U413" s="57"/>
      <c r="V413" s="57"/>
      <c r="W413" s="57"/>
      <c r="X413" s="57"/>
      <c r="Y413" s="57"/>
      <c r="Z413" s="57"/>
      <c r="AA413" s="57"/>
      <c r="AB413" s="57"/>
      <c r="AC413" s="57"/>
      <c r="AD413" s="57"/>
    </row>
    <row r="414" spans="1:30" ht="13.5" thickBot="1" x14ac:dyDescent="0.25">
      <c r="A414" s="80"/>
      <c r="B414" s="272"/>
      <c r="C414" s="170" t="s">
        <v>14335</v>
      </c>
      <c r="D414" s="171" t="s">
        <v>14388</v>
      </c>
      <c r="E414" s="170" t="s">
        <v>14109</v>
      </c>
      <c r="F414" s="170" t="s">
        <v>14335</v>
      </c>
      <c r="G414" s="171" t="s">
        <v>14388</v>
      </c>
      <c r="H414" s="170" t="s">
        <v>14109</v>
      </c>
      <c r="I414" s="171" t="s">
        <v>14335</v>
      </c>
      <c r="J414" s="171" t="s">
        <v>14388</v>
      </c>
      <c r="K414" s="171" t="s">
        <v>14109</v>
      </c>
      <c r="L414" s="57"/>
      <c r="M414" s="57"/>
      <c r="N414" s="57"/>
      <c r="O414" s="57"/>
      <c r="P414" s="57"/>
      <c r="Q414" s="57"/>
      <c r="R414" s="57"/>
      <c r="S414" s="57"/>
      <c r="T414" s="57"/>
      <c r="U414" s="57"/>
      <c r="V414" s="57"/>
      <c r="W414" s="57"/>
      <c r="X414" s="57"/>
      <c r="Y414" s="57"/>
      <c r="Z414" s="57"/>
      <c r="AA414" s="57"/>
      <c r="AB414" s="57"/>
      <c r="AC414" s="57"/>
      <c r="AD414" s="57"/>
    </row>
    <row r="415" spans="1:30" ht="26.25" thickBot="1" x14ac:dyDescent="0.25">
      <c r="A415" s="80"/>
      <c r="B415" s="172" t="s">
        <v>14141</v>
      </c>
      <c r="C415" s="173" t="s">
        <v>13597</v>
      </c>
      <c r="D415" s="173" t="s">
        <v>13710</v>
      </c>
      <c r="E415" s="172" t="s">
        <v>14571</v>
      </c>
      <c r="F415" s="172" t="s">
        <v>13622</v>
      </c>
      <c r="G415" s="172" t="s">
        <v>14490</v>
      </c>
      <c r="H415" s="172" t="s">
        <v>14572</v>
      </c>
      <c r="I415" s="172" t="s">
        <v>13847</v>
      </c>
      <c r="J415" s="172" t="s">
        <v>13946</v>
      </c>
      <c r="K415" s="174" t="s">
        <v>14573</v>
      </c>
      <c r="L415" s="57"/>
      <c r="M415" s="57"/>
      <c r="N415" s="57"/>
      <c r="O415" s="57"/>
      <c r="P415" s="57"/>
      <c r="Q415" s="57"/>
      <c r="R415" s="57"/>
      <c r="S415" s="57"/>
      <c r="T415" s="57"/>
      <c r="U415" s="57"/>
      <c r="V415" s="57"/>
      <c r="W415" s="57"/>
      <c r="X415" s="57"/>
      <c r="Y415" s="57"/>
      <c r="Z415" s="57"/>
      <c r="AA415" s="57"/>
      <c r="AB415" s="57"/>
      <c r="AC415" s="57"/>
      <c r="AD415" s="57"/>
    </row>
    <row r="416" spans="1:30" ht="13.5" thickBot="1" x14ac:dyDescent="0.25">
      <c r="A416" s="80"/>
      <c r="B416" s="172" t="s">
        <v>13378</v>
      </c>
      <c r="C416" s="172" t="s">
        <v>13886</v>
      </c>
      <c r="D416" s="172" t="s">
        <v>14416</v>
      </c>
      <c r="E416" s="172" t="s">
        <v>14574</v>
      </c>
      <c r="F416" s="172" t="s">
        <v>13663</v>
      </c>
      <c r="G416" s="172" t="s">
        <v>13897</v>
      </c>
      <c r="H416" s="172" t="s">
        <v>14575</v>
      </c>
      <c r="I416" s="172" t="s">
        <v>14576</v>
      </c>
      <c r="J416" s="172" t="s">
        <v>14496</v>
      </c>
      <c r="K416" s="172" t="s">
        <v>14577</v>
      </c>
      <c r="L416" s="57"/>
      <c r="M416" s="57"/>
      <c r="N416" s="57"/>
      <c r="O416" s="57"/>
      <c r="P416" s="57"/>
      <c r="Q416" s="57"/>
      <c r="R416" s="57"/>
      <c r="S416" s="57"/>
      <c r="T416" s="57"/>
      <c r="U416" s="57"/>
      <c r="V416" s="57"/>
      <c r="W416" s="57"/>
      <c r="X416" s="57"/>
      <c r="Y416" s="57"/>
      <c r="Z416" s="57"/>
      <c r="AA416" s="57"/>
      <c r="AB416" s="57"/>
      <c r="AC416" s="57"/>
      <c r="AD416" s="57"/>
    </row>
    <row r="417" spans="1:30" ht="13.5" thickBot="1" x14ac:dyDescent="0.25">
      <c r="A417" s="80"/>
      <c r="B417" s="172" t="s">
        <v>13384</v>
      </c>
      <c r="C417" s="172" t="s">
        <v>13870</v>
      </c>
      <c r="D417" s="172" t="s">
        <v>13949</v>
      </c>
      <c r="E417" s="172" t="s">
        <v>14578</v>
      </c>
      <c r="F417" s="172" t="s">
        <v>14383</v>
      </c>
      <c r="G417" s="172" t="s">
        <v>14499</v>
      </c>
      <c r="H417" s="172" t="s">
        <v>14579</v>
      </c>
      <c r="I417" s="172" t="s">
        <v>13831</v>
      </c>
      <c r="J417" s="172" t="s">
        <v>13913</v>
      </c>
      <c r="K417" s="172" t="s">
        <v>14580</v>
      </c>
      <c r="L417" s="57"/>
      <c r="M417" s="57"/>
      <c r="N417" s="57"/>
      <c r="O417" s="57"/>
      <c r="P417" s="57"/>
      <c r="Q417" s="57"/>
      <c r="R417" s="57"/>
      <c r="S417" s="57"/>
      <c r="T417" s="57"/>
      <c r="U417" s="57"/>
      <c r="V417" s="57"/>
      <c r="W417" s="57"/>
      <c r="X417" s="57"/>
      <c r="Y417" s="57"/>
      <c r="Z417" s="57"/>
      <c r="AA417" s="57"/>
      <c r="AB417" s="57"/>
      <c r="AC417" s="57"/>
      <c r="AD417" s="57"/>
    </row>
    <row r="418" spans="1:30" ht="13.5" thickBot="1" x14ac:dyDescent="0.25">
      <c r="A418" s="80"/>
      <c r="B418" s="172" t="s">
        <v>13391</v>
      </c>
      <c r="C418" s="172" t="s">
        <v>13854</v>
      </c>
      <c r="D418" s="172" t="s">
        <v>13453</v>
      </c>
      <c r="E418" s="172" t="s">
        <v>14581</v>
      </c>
      <c r="F418" s="172" t="s">
        <v>13603</v>
      </c>
      <c r="G418" s="172" t="s">
        <v>13893</v>
      </c>
      <c r="H418" s="172" t="s">
        <v>14582</v>
      </c>
      <c r="I418" s="172" t="s">
        <v>14478</v>
      </c>
      <c r="J418" s="172" t="s">
        <v>14372</v>
      </c>
      <c r="K418" s="174" t="s">
        <v>14583</v>
      </c>
      <c r="L418" s="57"/>
      <c r="M418" s="57"/>
      <c r="N418" s="57"/>
      <c r="O418" s="57"/>
      <c r="P418" s="57"/>
      <c r="Q418" s="57"/>
      <c r="R418" s="57"/>
      <c r="S418" s="57"/>
      <c r="T418" s="57"/>
      <c r="U418" s="57"/>
      <c r="V418" s="57"/>
      <c r="W418" s="57"/>
      <c r="X418" s="57"/>
      <c r="Y418" s="57"/>
      <c r="Z418" s="57"/>
      <c r="AA418" s="57"/>
      <c r="AB418" s="57"/>
      <c r="AC418" s="57"/>
      <c r="AD418" s="57"/>
    </row>
    <row r="419" spans="1:30" ht="13.5" thickBot="1" x14ac:dyDescent="0.25">
      <c r="A419" s="80"/>
      <c r="B419" s="172" t="s">
        <v>13397</v>
      </c>
      <c r="C419" s="172" t="s">
        <v>13901</v>
      </c>
      <c r="D419" s="172" t="s">
        <v>13550</v>
      </c>
      <c r="E419" s="172" t="s">
        <v>14584</v>
      </c>
      <c r="F419" s="172" t="s">
        <v>14585</v>
      </c>
      <c r="G419" s="172" t="s">
        <v>14508</v>
      </c>
      <c r="H419" s="172" t="s">
        <v>14586</v>
      </c>
      <c r="I419" s="172" t="s">
        <v>13964</v>
      </c>
      <c r="J419" s="172" t="s">
        <v>13616</v>
      </c>
      <c r="K419" s="172" t="s">
        <v>14587</v>
      </c>
      <c r="L419" s="57"/>
      <c r="M419" s="57"/>
      <c r="N419" s="57"/>
      <c r="O419" s="57"/>
      <c r="P419" s="57"/>
      <c r="Q419" s="57"/>
      <c r="R419" s="57"/>
      <c r="S419" s="57"/>
      <c r="T419" s="57"/>
      <c r="U419" s="57"/>
      <c r="V419" s="57"/>
      <c r="W419" s="57"/>
      <c r="X419" s="57"/>
      <c r="Y419" s="57"/>
      <c r="Z419" s="57"/>
      <c r="AA419" s="57"/>
      <c r="AB419" s="57"/>
      <c r="AC419" s="57"/>
      <c r="AD419" s="57"/>
    </row>
    <row r="420" spans="1:30" ht="13.5" thickBot="1" x14ac:dyDescent="0.25">
      <c r="A420" s="80"/>
      <c r="B420" s="172" t="s">
        <v>13403</v>
      </c>
      <c r="C420" s="172" t="s">
        <v>13797</v>
      </c>
      <c r="D420" s="172" t="s">
        <v>13874</v>
      </c>
      <c r="E420" s="172" t="s">
        <v>14524</v>
      </c>
      <c r="F420" s="173" t="s">
        <v>14588</v>
      </c>
      <c r="G420" s="173" t="s">
        <v>14513</v>
      </c>
      <c r="H420" s="172" t="s">
        <v>14589</v>
      </c>
      <c r="I420" s="173" t="s">
        <v>13906</v>
      </c>
      <c r="J420" s="173" t="s">
        <v>14515</v>
      </c>
      <c r="K420" s="174" t="s">
        <v>14590</v>
      </c>
      <c r="L420" s="57"/>
      <c r="M420" s="57"/>
      <c r="N420" s="57"/>
      <c r="O420" s="57"/>
      <c r="P420" s="57"/>
      <c r="Q420" s="57"/>
      <c r="R420" s="57"/>
      <c r="S420" s="57"/>
      <c r="T420" s="57"/>
      <c r="U420" s="57"/>
      <c r="V420" s="57"/>
      <c r="W420" s="57"/>
      <c r="X420" s="57"/>
      <c r="Y420" s="57"/>
      <c r="Z420" s="57"/>
      <c r="AA420" s="57"/>
      <c r="AB420" s="57"/>
      <c r="AC420" s="57"/>
      <c r="AD420" s="57"/>
    </row>
    <row r="421" spans="1:30" ht="13.5" thickBot="1" x14ac:dyDescent="0.25">
      <c r="A421" s="80"/>
      <c r="B421" s="172" t="s">
        <v>13408</v>
      </c>
      <c r="C421" s="172" t="s">
        <v>14591</v>
      </c>
      <c r="D421" s="172" t="s">
        <v>13514</v>
      </c>
      <c r="E421" s="172" t="s">
        <v>14592</v>
      </c>
      <c r="F421" s="172" t="s">
        <v>13672</v>
      </c>
      <c r="G421" s="172" t="s">
        <v>13681</v>
      </c>
      <c r="H421" s="172" t="s">
        <v>14592</v>
      </c>
      <c r="I421" s="172" t="s">
        <v>13745</v>
      </c>
      <c r="J421" s="172" t="s">
        <v>14520</v>
      </c>
      <c r="K421" s="172" t="s">
        <v>14593</v>
      </c>
      <c r="L421" s="57"/>
      <c r="M421" s="57"/>
      <c r="N421" s="57"/>
      <c r="O421" s="57"/>
      <c r="P421" s="57"/>
      <c r="Q421" s="57"/>
      <c r="R421" s="57"/>
      <c r="S421" s="57"/>
      <c r="T421" s="57"/>
      <c r="U421" s="57"/>
      <c r="V421" s="57"/>
      <c r="W421" s="57"/>
      <c r="X421" s="57"/>
      <c r="Y421" s="57"/>
      <c r="Z421" s="57"/>
      <c r="AA421" s="57"/>
      <c r="AB421" s="57"/>
      <c r="AC421" s="57"/>
      <c r="AD421" s="57"/>
    </row>
    <row r="422" spans="1:30" ht="13.5" thickBot="1" x14ac:dyDescent="0.25">
      <c r="A422" s="80"/>
      <c r="B422" s="172" t="s">
        <v>13413</v>
      </c>
      <c r="C422" s="172" t="s">
        <v>14436</v>
      </c>
      <c r="D422" s="172" t="s">
        <v>13767</v>
      </c>
      <c r="E422" s="172" t="s">
        <v>14594</v>
      </c>
      <c r="F422" s="172" t="s">
        <v>13484</v>
      </c>
      <c r="G422" s="172" t="s">
        <v>14523</v>
      </c>
      <c r="H422" s="172" t="s">
        <v>14595</v>
      </c>
      <c r="I422" s="172" t="s">
        <v>13831</v>
      </c>
      <c r="J422" s="172" t="s">
        <v>13677</v>
      </c>
      <c r="K422" s="172" t="s">
        <v>14596</v>
      </c>
      <c r="L422" s="57"/>
      <c r="M422" s="57"/>
      <c r="N422" s="57"/>
      <c r="O422" s="57"/>
      <c r="P422" s="57"/>
      <c r="Q422" s="57"/>
      <c r="R422" s="57"/>
      <c r="S422" s="57"/>
      <c r="T422" s="57"/>
      <c r="U422" s="57"/>
      <c r="V422" s="57"/>
      <c r="W422" s="57"/>
      <c r="X422" s="57"/>
      <c r="Y422" s="57"/>
      <c r="Z422" s="57"/>
      <c r="AA422" s="57"/>
      <c r="AB422" s="57"/>
      <c r="AC422" s="57"/>
      <c r="AD422" s="57"/>
    </row>
    <row r="423" spans="1:30" ht="26.25" thickBot="1" x14ac:dyDescent="0.25">
      <c r="A423" s="80"/>
      <c r="B423" s="172" t="s">
        <v>13419</v>
      </c>
      <c r="C423" s="172" t="s">
        <v>14397</v>
      </c>
      <c r="D423" s="172" t="s">
        <v>14383</v>
      </c>
      <c r="E423" s="172" t="s">
        <v>14597</v>
      </c>
      <c r="F423" s="172" t="s">
        <v>14598</v>
      </c>
      <c r="G423" s="172" t="s">
        <v>13550</v>
      </c>
      <c r="H423" s="172" t="s">
        <v>14599</v>
      </c>
      <c r="I423" s="172" t="s">
        <v>13457</v>
      </c>
      <c r="J423" s="172" t="s">
        <v>13749</v>
      </c>
      <c r="K423" s="172" t="s">
        <v>14600</v>
      </c>
      <c r="L423" s="57"/>
      <c r="M423" s="57"/>
      <c r="N423" s="57"/>
      <c r="O423" s="57"/>
      <c r="P423" s="57"/>
      <c r="Q423" s="57"/>
      <c r="R423" s="57"/>
      <c r="S423" s="57"/>
      <c r="T423" s="57"/>
      <c r="U423" s="57"/>
      <c r="V423" s="57"/>
      <c r="W423" s="57"/>
      <c r="X423" s="57"/>
      <c r="Y423" s="57"/>
      <c r="Z423" s="57"/>
      <c r="AA423" s="57"/>
      <c r="AB423" s="57"/>
      <c r="AC423" s="57"/>
      <c r="AD423" s="57"/>
    </row>
    <row r="424" spans="1:30" ht="13.5" thickBot="1" x14ac:dyDescent="0.25">
      <c r="A424" s="80"/>
      <c r="B424" s="168" t="s">
        <v>13517</v>
      </c>
      <c r="C424" s="175" t="s">
        <v>13752</v>
      </c>
      <c r="D424" s="172" t="s">
        <v>14404</v>
      </c>
      <c r="E424" s="96"/>
      <c r="F424" s="172" t="s">
        <v>14601</v>
      </c>
      <c r="G424" s="172" t="s">
        <v>13805</v>
      </c>
      <c r="H424" s="96"/>
      <c r="I424" s="172" t="s">
        <v>14445</v>
      </c>
      <c r="J424" s="172" t="s">
        <v>14520</v>
      </c>
      <c r="K424" s="96"/>
      <c r="L424" s="57"/>
      <c r="M424" s="57"/>
      <c r="N424" s="57"/>
      <c r="O424" s="57"/>
      <c r="P424" s="57"/>
      <c r="Q424" s="57"/>
      <c r="R424" s="57"/>
      <c r="S424" s="57"/>
      <c r="T424" s="57"/>
      <c r="U424" s="57"/>
      <c r="V424" s="57"/>
      <c r="W424" s="57"/>
      <c r="X424" s="57"/>
      <c r="Y424" s="57"/>
      <c r="Z424" s="57"/>
      <c r="AA424" s="57"/>
      <c r="AB424" s="57"/>
      <c r="AC424" s="57"/>
      <c r="AD424" s="57"/>
    </row>
    <row r="425" spans="1:30" ht="13.5" thickBot="1" x14ac:dyDescent="0.25">
      <c r="A425" s="80"/>
      <c r="B425" s="172" t="s">
        <v>13432</v>
      </c>
      <c r="C425" s="172" t="s">
        <v>14602</v>
      </c>
      <c r="D425" s="172" t="s">
        <v>13451</v>
      </c>
      <c r="E425" s="172" t="s">
        <v>14603</v>
      </c>
      <c r="F425" s="172" t="s">
        <v>14604</v>
      </c>
      <c r="G425" s="172" t="s">
        <v>13658</v>
      </c>
      <c r="H425" s="172" t="s">
        <v>14605</v>
      </c>
      <c r="I425" s="172" t="s">
        <v>14606</v>
      </c>
      <c r="J425" s="172" t="s">
        <v>13586</v>
      </c>
      <c r="K425" s="174" t="s">
        <v>14607</v>
      </c>
      <c r="L425" s="57"/>
      <c r="M425" s="57"/>
      <c r="N425" s="57"/>
      <c r="O425" s="57"/>
      <c r="P425" s="57"/>
      <c r="Q425" s="57"/>
      <c r="R425" s="57"/>
      <c r="S425" s="57"/>
      <c r="T425" s="57"/>
      <c r="U425" s="57"/>
      <c r="V425" s="57"/>
      <c r="W425" s="57"/>
      <c r="X425" s="57"/>
      <c r="Y425" s="57"/>
      <c r="Z425" s="57"/>
      <c r="AA425" s="57"/>
      <c r="AB425" s="57"/>
      <c r="AC425" s="57"/>
      <c r="AD425" s="57"/>
    </row>
    <row r="426" spans="1:30" ht="13.5" thickBot="1" x14ac:dyDescent="0.25">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c r="AA426" s="57"/>
      <c r="AB426" s="57"/>
      <c r="AC426" s="57"/>
      <c r="AD426" s="57"/>
    </row>
    <row r="427" spans="1:30" ht="13.5" thickBot="1" x14ac:dyDescent="0.25">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c r="AA427" s="57"/>
      <c r="AB427" s="57"/>
      <c r="AC427" s="57"/>
      <c r="AD427" s="57"/>
    </row>
    <row r="428" spans="1:30" ht="13.5" thickBot="1" x14ac:dyDescent="0.25">
      <c r="A428" s="57"/>
      <c r="B428" s="176" t="s">
        <v>6446</v>
      </c>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c r="AA428" s="57"/>
      <c r="AB428" s="57"/>
      <c r="AC428" s="57"/>
      <c r="AD428" s="57"/>
    </row>
    <row r="429" spans="1:30" ht="13.5" thickBot="1" x14ac:dyDescent="0.25">
      <c r="A429" s="57"/>
      <c r="B429" s="156" t="s">
        <v>12961</v>
      </c>
      <c r="C429" s="57"/>
      <c r="D429" s="57"/>
      <c r="E429" s="57"/>
      <c r="F429" s="57"/>
      <c r="G429" s="57"/>
      <c r="H429" s="57"/>
      <c r="I429" s="57"/>
      <c r="J429" s="177"/>
      <c r="K429" s="57"/>
      <c r="L429" s="57"/>
      <c r="M429" s="57"/>
      <c r="N429" s="57"/>
      <c r="O429" s="57"/>
      <c r="P429" s="57"/>
      <c r="Q429" s="57"/>
      <c r="R429" s="57"/>
      <c r="S429" s="57"/>
      <c r="T429" s="57"/>
      <c r="U429" s="57"/>
      <c r="V429" s="57"/>
      <c r="W429" s="57"/>
      <c r="X429" s="57"/>
      <c r="Y429" s="57"/>
      <c r="Z429" s="57"/>
      <c r="AA429" s="57"/>
      <c r="AB429" s="57"/>
      <c r="AC429" s="57"/>
      <c r="AD429" s="57"/>
    </row>
    <row r="430" spans="1:30" ht="13.5" thickBot="1" x14ac:dyDescent="0.25">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c r="AA430" s="57"/>
      <c r="AB430" s="57"/>
      <c r="AC430" s="57"/>
      <c r="AD430" s="57"/>
    </row>
    <row r="431" spans="1:30" ht="13.5" thickBot="1" x14ac:dyDescent="0.25">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c r="AA431" s="57"/>
      <c r="AB431" s="57"/>
      <c r="AC431" s="57"/>
      <c r="AD431" s="57"/>
    </row>
    <row r="432" spans="1:30" ht="13.5" thickBot="1" x14ac:dyDescent="0.25">
      <c r="A432" s="57"/>
      <c r="B432" s="176" t="s">
        <v>2863</v>
      </c>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c r="AA432" s="57"/>
      <c r="AB432" s="57"/>
      <c r="AC432" s="57"/>
      <c r="AD432" s="57"/>
    </row>
    <row r="433" spans="1:30" ht="13.5" thickBot="1" x14ac:dyDescent="0.25">
      <c r="A433" s="57"/>
      <c r="B433" s="97" t="s">
        <v>14608</v>
      </c>
      <c r="C433" s="88"/>
      <c r="D433" s="88"/>
      <c r="E433" s="88"/>
      <c r="F433" s="88"/>
      <c r="G433" s="88"/>
      <c r="H433" s="57"/>
      <c r="I433" s="57"/>
      <c r="J433" s="57"/>
      <c r="K433" s="57"/>
      <c r="L433" s="57"/>
      <c r="M433" s="57"/>
      <c r="N433" s="57"/>
      <c r="O433" s="57"/>
      <c r="P433" s="57"/>
      <c r="Q433" s="57"/>
      <c r="R433" s="57"/>
      <c r="S433" s="57"/>
      <c r="T433" s="57"/>
      <c r="U433" s="57"/>
      <c r="V433" s="57"/>
      <c r="W433" s="57"/>
      <c r="X433" s="57"/>
      <c r="Y433" s="57"/>
      <c r="Z433" s="57"/>
      <c r="AA433" s="57"/>
      <c r="AB433" s="57"/>
      <c r="AC433" s="57"/>
      <c r="AD433" s="57"/>
    </row>
    <row r="434" spans="1:30" ht="13.5" thickBot="1" x14ac:dyDescent="0.25">
      <c r="A434" s="57"/>
      <c r="B434" s="178" t="s">
        <v>14463</v>
      </c>
      <c r="C434" s="179" t="s">
        <v>13737</v>
      </c>
      <c r="D434" s="178" t="s">
        <v>13738</v>
      </c>
      <c r="E434" s="178" t="s">
        <v>13739</v>
      </c>
      <c r="F434" s="178" t="s">
        <v>14378</v>
      </c>
      <c r="G434" s="178" t="s">
        <v>14609</v>
      </c>
      <c r="H434" s="57"/>
      <c r="I434" s="57"/>
      <c r="J434" s="57"/>
      <c r="K434" s="57"/>
      <c r="L434" s="57"/>
      <c r="M434" s="57"/>
      <c r="N434" s="57"/>
      <c r="O434" s="57"/>
      <c r="P434" s="57"/>
      <c r="Q434" s="57"/>
      <c r="R434" s="57"/>
      <c r="S434" s="57"/>
      <c r="T434" s="57"/>
      <c r="U434" s="57"/>
      <c r="V434" s="57"/>
      <c r="W434" s="57"/>
      <c r="X434" s="57"/>
      <c r="Y434" s="57"/>
      <c r="Z434" s="57"/>
      <c r="AA434" s="57"/>
      <c r="AB434" s="57"/>
      <c r="AC434" s="57"/>
      <c r="AD434" s="57"/>
    </row>
    <row r="435" spans="1:30" ht="26.25" thickBot="1" x14ac:dyDescent="0.25">
      <c r="A435" s="57"/>
      <c r="B435" s="180" t="s">
        <v>14610</v>
      </c>
      <c r="C435" s="180" t="s">
        <v>14611</v>
      </c>
      <c r="D435" s="180" t="s">
        <v>14612</v>
      </c>
      <c r="E435" s="180" t="s">
        <v>14061</v>
      </c>
      <c r="F435" s="180" t="s">
        <v>13567</v>
      </c>
      <c r="G435" s="180" t="s">
        <v>13450</v>
      </c>
      <c r="H435" s="57"/>
      <c r="I435" s="57"/>
      <c r="J435" s="57"/>
      <c r="K435" s="57"/>
      <c r="L435" s="57"/>
      <c r="M435" s="57"/>
      <c r="N435" s="57"/>
      <c r="O435" s="57"/>
      <c r="P435" s="57"/>
      <c r="Q435" s="57"/>
      <c r="R435" s="57"/>
      <c r="S435" s="57"/>
      <c r="T435" s="57"/>
      <c r="U435" s="57"/>
      <c r="V435" s="57"/>
      <c r="W435" s="57"/>
      <c r="X435" s="57"/>
      <c r="Y435" s="57"/>
      <c r="Z435" s="57"/>
      <c r="AA435" s="57"/>
      <c r="AB435" s="57"/>
      <c r="AC435" s="57"/>
      <c r="AD435" s="57"/>
    </row>
    <row r="436" spans="1:30" ht="26.25" thickBot="1" x14ac:dyDescent="0.25">
      <c r="A436" s="57"/>
      <c r="B436" s="180" t="s">
        <v>14613</v>
      </c>
      <c r="C436" s="180" t="s">
        <v>14614</v>
      </c>
      <c r="D436" s="180" t="s">
        <v>14615</v>
      </c>
      <c r="E436" s="180" t="s">
        <v>14616</v>
      </c>
      <c r="F436" s="180" t="s">
        <v>13544</v>
      </c>
      <c r="G436" s="180" t="s">
        <v>13392</v>
      </c>
      <c r="H436" s="57"/>
      <c r="I436" s="57"/>
      <c r="J436" s="57"/>
      <c r="K436" s="57"/>
      <c r="L436" s="57"/>
      <c r="M436" s="57"/>
      <c r="N436" s="57"/>
      <c r="O436" s="57"/>
      <c r="P436" s="57"/>
      <c r="Q436" s="57"/>
      <c r="R436" s="57"/>
      <c r="S436" s="57"/>
      <c r="T436" s="57"/>
      <c r="U436" s="57"/>
      <c r="V436" s="57"/>
      <c r="W436" s="57"/>
      <c r="X436" s="57"/>
      <c r="Y436" s="57"/>
      <c r="Z436" s="57"/>
      <c r="AA436" s="57"/>
      <c r="AB436" s="57"/>
      <c r="AC436" s="57"/>
      <c r="AD436" s="57"/>
    </row>
    <row r="437" spans="1:30" ht="13.5" thickBot="1" x14ac:dyDescent="0.25">
      <c r="A437" s="57"/>
      <c r="B437" s="180" t="s">
        <v>14617</v>
      </c>
      <c r="C437" s="180" t="s">
        <v>14618</v>
      </c>
      <c r="D437" s="180" t="s">
        <v>14619</v>
      </c>
      <c r="E437" s="180" t="s">
        <v>14620</v>
      </c>
      <c r="F437" s="180" t="s">
        <v>13543</v>
      </c>
      <c r="G437" s="180" t="s">
        <v>13650</v>
      </c>
      <c r="H437" s="57"/>
      <c r="I437" s="57"/>
      <c r="J437" s="57"/>
      <c r="K437" s="57"/>
      <c r="L437" s="57"/>
      <c r="M437" s="57"/>
      <c r="N437" s="57"/>
      <c r="O437" s="57"/>
      <c r="P437" s="57"/>
      <c r="Q437" s="57"/>
      <c r="R437" s="57"/>
      <c r="S437" s="57"/>
      <c r="T437" s="57"/>
      <c r="U437" s="57"/>
      <c r="V437" s="57"/>
      <c r="W437" s="57"/>
      <c r="X437" s="57"/>
      <c r="Y437" s="57"/>
      <c r="Z437" s="57"/>
      <c r="AA437" s="57"/>
      <c r="AB437" s="57"/>
      <c r="AC437" s="57"/>
      <c r="AD437" s="57"/>
    </row>
    <row r="438" spans="1:30" ht="26.25" thickBot="1" x14ac:dyDescent="0.25">
      <c r="A438" s="57"/>
      <c r="B438" s="180" t="s">
        <v>14621</v>
      </c>
      <c r="C438" s="180">
        <v>50</v>
      </c>
      <c r="D438" s="180">
        <v>48</v>
      </c>
      <c r="E438" s="180" t="s">
        <v>14622</v>
      </c>
      <c r="F438" s="180" t="s">
        <v>13545</v>
      </c>
      <c r="G438" s="180" t="s">
        <v>13960</v>
      </c>
      <c r="H438" s="57"/>
      <c r="I438" s="57"/>
      <c r="J438" s="57"/>
      <c r="K438" s="57"/>
      <c r="L438" s="57"/>
      <c r="M438" s="57"/>
      <c r="N438" s="57"/>
      <c r="O438" s="57"/>
      <c r="P438" s="57"/>
      <c r="Q438" s="57"/>
      <c r="R438" s="57"/>
      <c r="S438" s="57"/>
      <c r="T438" s="57"/>
      <c r="U438" s="57"/>
      <c r="V438" s="57"/>
      <c r="W438" s="57"/>
      <c r="X438" s="57"/>
      <c r="Y438" s="57"/>
      <c r="Z438" s="57"/>
      <c r="AA438" s="57"/>
      <c r="AB438" s="57"/>
      <c r="AC438" s="57"/>
      <c r="AD438" s="57"/>
    </row>
    <row r="439" spans="1:30" ht="13.5" thickBot="1" x14ac:dyDescent="0.25">
      <c r="A439" s="57"/>
      <c r="B439" s="180" t="s">
        <v>14623</v>
      </c>
      <c r="C439" s="180" t="s">
        <v>14624</v>
      </c>
      <c r="D439" s="180" t="s">
        <v>14625</v>
      </c>
      <c r="E439" s="180" t="s">
        <v>14626</v>
      </c>
      <c r="F439" s="180" t="s">
        <v>13543</v>
      </c>
      <c r="G439" s="180" t="s">
        <v>13785</v>
      </c>
      <c r="H439" s="57"/>
      <c r="I439" s="57"/>
      <c r="J439" s="57"/>
      <c r="K439" s="57"/>
      <c r="L439" s="57"/>
      <c r="M439" s="57"/>
      <c r="N439" s="57"/>
      <c r="O439" s="57"/>
      <c r="P439" s="57"/>
      <c r="Q439" s="57"/>
      <c r="R439" s="57"/>
      <c r="S439" s="57"/>
      <c r="T439" s="57"/>
      <c r="U439" s="57"/>
      <c r="V439" s="57"/>
      <c r="W439" s="57"/>
      <c r="X439" s="57"/>
      <c r="Y439" s="57"/>
      <c r="Z439" s="57"/>
      <c r="AA439" s="57"/>
      <c r="AB439" s="57"/>
      <c r="AC439" s="57"/>
      <c r="AD439" s="57"/>
    </row>
    <row r="440" spans="1:30" ht="13.5" thickBot="1" x14ac:dyDescent="0.25">
      <c r="A440" s="57"/>
      <c r="B440" s="178" t="s">
        <v>14627</v>
      </c>
      <c r="C440" s="178" t="s">
        <v>14628</v>
      </c>
      <c r="D440" s="178" t="s">
        <v>14629</v>
      </c>
      <c r="E440" s="178" t="s">
        <v>14630</v>
      </c>
      <c r="F440" s="178" t="s">
        <v>13583</v>
      </c>
      <c r="G440" s="178" t="s">
        <v>13947</v>
      </c>
      <c r="H440" s="57"/>
      <c r="I440" s="57"/>
      <c r="J440" s="57"/>
      <c r="K440" s="57"/>
      <c r="L440" s="57"/>
      <c r="M440" s="57"/>
      <c r="N440" s="57"/>
      <c r="O440" s="57"/>
      <c r="P440" s="57"/>
      <c r="Q440" s="57"/>
      <c r="R440" s="57"/>
      <c r="S440" s="57"/>
      <c r="T440" s="57"/>
      <c r="U440" s="57"/>
      <c r="V440" s="57"/>
      <c r="W440" s="57"/>
      <c r="X440" s="57"/>
      <c r="Y440" s="57"/>
      <c r="Z440" s="57"/>
      <c r="AA440" s="57"/>
      <c r="AB440" s="57"/>
      <c r="AC440" s="57"/>
      <c r="AD440" s="57"/>
    </row>
    <row r="441" spans="1:30" ht="13.5" thickBot="1" x14ac:dyDescent="0.25">
      <c r="A441" s="57"/>
      <c r="B441" s="178" t="s">
        <v>14631</v>
      </c>
      <c r="C441" s="178" t="s">
        <v>14632</v>
      </c>
      <c r="D441" s="178" t="s">
        <v>14633</v>
      </c>
      <c r="E441" s="178" t="s">
        <v>14634</v>
      </c>
      <c r="F441" s="178" t="s">
        <v>13544</v>
      </c>
      <c r="G441" s="178" t="s">
        <v>13519</v>
      </c>
      <c r="H441" s="57"/>
      <c r="I441" s="57"/>
      <c r="J441" s="57"/>
      <c r="K441" s="57"/>
      <c r="L441" s="57"/>
      <c r="M441" s="57"/>
      <c r="N441" s="57"/>
      <c r="O441" s="57"/>
      <c r="P441" s="57"/>
      <c r="Q441" s="57"/>
      <c r="R441" s="57"/>
      <c r="S441" s="57"/>
      <c r="T441" s="57"/>
      <c r="U441" s="57"/>
      <c r="V441" s="57"/>
      <c r="W441" s="57"/>
      <c r="X441" s="57"/>
      <c r="Y441" s="57"/>
      <c r="Z441" s="57"/>
      <c r="AA441" s="57"/>
      <c r="AB441" s="57"/>
      <c r="AC441" s="57"/>
      <c r="AD441" s="57"/>
    </row>
    <row r="442" spans="1:30" ht="13.5" thickBot="1" x14ac:dyDescent="0.25">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c r="AA442" s="57"/>
      <c r="AB442" s="57"/>
      <c r="AC442" s="57"/>
      <c r="AD442" s="57"/>
    </row>
    <row r="443" spans="1:30" ht="13.5" thickBot="1" x14ac:dyDescent="0.25">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c r="AA443" s="57"/>
      <c r="AB443" s="57"/>
      <c r="AC443" s="57"/>
      <c r="AD443" s="57"/>
    </row>
    <row r="444" spans="1:30" ht="128.25" thickBot="1" x14ac:dyDescent="0.25">
      <c r="A444" s="57"/>
      <c r="B444" s="153" t="s">
        <v>5058</v>
      </c>
      <c r="C444" s="154" t="s">
        <v>14483</v>
      </c>
      <c r="D444" s="57"/>
      <c r="E444" s="57"/>
      <c r="F444" s="57"/>
      <c r="G444" s="57"/>
      <c r="H444" s="57"/>
      <c r="I444" s="57"/>
      <c r="J444" s="57"/>
      <c r="K444" s="57"/>
      <c r="L444" s="57"/>
      <c r="M444" s="57"/>
      <c r="N444" s="57"/>
      <c r="O444" s="57"/>
      <c r="P444" s="57"/>
      <c r="Q444" s="57"/>
      <c r="R444" s="57"/>
      <c r="S444" s="57"/>
      <c r="T444" s="57"/>
      <c r="U444" s="57"/>
      <c r="V444" s="57"/>
      <c r="W444" s="57"/>
      <c r="X444" s="57"/>
      <c r="Y444" s="57"/>
      <c r="Z444" s="57"/>
      <c r="AA444" s="57"/>
      <c r="AB444" s="57"/>
      <c r="AC444" s="57"/>
      <c r="AD444" s="57"/>
    </row>
    <row r="445" spans="1:30" ht="13.5" thickBot="1" x14ac:dyDescent="0.25">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c r="AA445" s="57"/>
      <c r="AB445" s="57"/>
      <c r="AC445" s="57"/>
      <c r="AD445" s="57"/>
    </row>
    <row r="446" spans="1:30" ht="13.5" thickBot="1" x14ac:dyDescent="0.25">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c r="AA446" s="57"/>
      <c r="AB446" s="57"/>
      <c r="AC446" s="57"/>
      <c r="AD446" s="57"/>
    </row>
    <row r="447" spans="1:30" ht="102.75" thickBot="1" x14ac:dyDescent="0.25">
      <c r="A447" s="57"/>
      <c r="B447" s="153" t="s">
        <v>13164</v>
      </c>
      <c r="C447" s="154" t="s">
        <v>14483</v>
      </c>
      <c r="D447" s="57"/>
      <c r="E447" s="57"/>
      <c r="F447" s="57"/>
      <c r="G447" s="57"/>
      <c r="H447" s="57"/>
      <c r="I447" s="57"/>
      <c r="J447" s="57"/>
      <c r="K447" s="57"/>
      <c r="L447" s="57"/>
      <c r="M447" s="57"/>
      <c r="N447" s="57"/>
      <c r="O447" s="57"/>
      <c r="P447" s="57"/>
      <c r="Q447" s="57"/>
      <c r="R447" s="57"/>
      <c r="S447" s="57"/>
      <c r="T447" s="57"/>
      <c r="U447" s="57"/>
      <c r="V447" s="57"/>
      <c r="W447" s="57"/>
      <c r="X447" s="57"/>
      <c r="Y447" s="57"/>
      <c r="Z447" s="57"/>
      <c r="AA447" s="57"/>
      <c r="AB447" s="57"/>
      <c r="AC447" s="57"/>
      <c r="AD447" s="57"/>
    </row>
    <row r="448" spans="1:30" ht="13.5" thickBot="1" x14ac:dyDescent="0.25">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c r="AA448" s="57"/>
      <c r="AB448" s="57"/>
      <c r="AC448" s="57"/>
      <c r="AD448" s="57"/>
    </row>
    <row r="449" spans="1:30" ht="13.5" thickBot="1" x14ac:dyDescent="0.25">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c r="AA449" s="57"/>
      <c r="AB449" s="57"/>
      <c r="AC449" s="57"/>
      <c r="AD449" s="57"/>
    </row>
    <row r="450" spans="1:30" ht="115.5" thickBot="1" x14ac:dyDescent="0.25">
      <c r="A450" s="57"/>
      <c r="B450" s="153" t="s">
        <v>13182</v>
      </c>
      <c r="C450" s="154" t="s">
        <v>14483</v>
      </c>
      <c r="D450" s="57"/>
      <c r="E450" s="57"/>
      <c r="F450" s="57"/>
      <c r="G450" s="57"/>
      <c r="H450" s="57"/>
      <c r="I450" s="57"/>
      <c r="J450" s="57"/>
      <c r="K450" s="57"/>
      <c r="L450" s="57"/>
      <c r="M450" s="57"/>
      <c r="N450" s="57"/>
      <c r="O450" s="57"/>
      <c r="P450" s="57"/>
      <c r="Q450" s="57"/>
      <c r="R450" s="57"/>
      <c r="S450" s="57"/>
      <c r="T450" s="57"/>
      <c r="U450" s="57"/>
      <c r="V450" s="57"/>
      <c r="W450" s="57"/>
      <c r="X450" s="57"/>
      <c r="Y450" s="57"/>
      <c r="Z450" s="57"/>
      <c r="AA450" s="57"/>
      <c r="AB450" s="57"/>
      <c r="AC450" s="57"/>
      <c r="AD450" s="57"/>
    </row>
    <row r="451" spans="1:30" ht="13.5" thickBot="1" x14ac:dyDescent="0.25">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c r="AA451" s="57"/>
      <c r="AB451" s="57"/>
      <c r="AC451" s="57"/>
      <c r="AD451" s="57"/>
    </row>
    <row r="452" spans="1:30" ht="13.5" thickBot="1" x14ac:dyDescent="0.25">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c r="AA452" s="57"/>
      <c r="AB452" s="57"/>
      <c r="AC452" s="57"/>
      <c r="AD452" s="57"/>
    </row>
    <row r="453" spans="1:30" ht="115.5" thickBot="1" x14ac:dyDescent="0.25">
      <c r="A453" s="57"/>
      <c r="B453" s="153" t="s">
        <v>13188</v>
      </c>
      <c r="C453" s="154" t="s">
        <v>14483</v>
      </c>
      <c r="D453" s="57"/>
      <c r="E453" s="57"/>
      <c r="F453" s="57"/>
      <c r="G453" s="57"/>
      <c r="H453" s="57"/>
      <c r="I453" s="57"/>
      <c r="J453" s="57"/>
      <c r="K453" s="57"/>
      <c r="L453" s="57"/>
      <c r="M453" s="57"/>
      <c r="N453" s="57"/>
      <c r="O453" s="57"/>
      <c r="P453" s="57"/>
      <c r="Q453" s="57"/>
      <c r="R453" s="57"/>
      <c r="S453" s="57"/>
      <c r="T453" s="57"/>
      <c r="U453" s="57"/>
      <c r="V453" s="57"/>
      <c r="W453" s="57"/>
      <c r="X453" s="57"/>
      <c r="Y453" s="57"/>
      <c r="Z453" s="57"/>
      <c r="AA453" s="57"/>
      <c r="AB453" s="57"/>
      <c r="AC453" s="57"/>
      <c r="AD453" s="57"/>
    </row>
    <row r="454" spans="1:30" ht="13.5" thickBot="1" x14ac:dyDescent="0.25">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c r="AA454" s="57"/>
      <c r="AB454" s="57"/>
      <c r="AC454" s="57"/>
      <c r="AD454" s="57"/>
    </row>
    <row r="455" spans="1:30" ht="13.5" thickBot="1" x14ac:dyDescent="0.25">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c r="AA455" s="57"/>
      <c r="AB455" s="57"/>
      <c r="AC455" s="57"/>
      <c r="AD455" s="57"/>
    </row>
    <row r="456" spans="1:30" ht="13.5" thickBot="1" x14ac:dyDescent="0.25">
      <c r="A456" s="57"/>
      <c r="B456" s="176" t="s">
        <v>6143</v>
      </c>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c r="AA456" s="57"/>
      <c r="AB456" s="57"/>
      <c r="AC456" s="57"/>
      <c r="AD456" s="57"/>
    </row>
    <row r="457" spans="1:30" ht="13.5" thickBot="1" x14ac:dyDescent="0.25">
      <c r="A457" s="57"/>
      <c r="B457" s="155" t="s">
        <v>12917</v>
      </c>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c r="AA457" s="57"/>
      <c r="AB457" s="57"/>
      <c r="AC457" s="57"/>
      <c r="AD457" s="57"/>
    </row>
    <row r="458" spans="1:30" ht="13.5" thickBot="1" x14ac:dyDescent="0.25">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c r="AA458" s="57"/>
      <c r="AB458" s="57"/>
      <c r="AC458" s="57"/>
      <c r="AD458" s="57"/>
    </row>
    <row r="459" spans="1:30" ht="13.5" thickBot="1" x14ac:dyDescent="0.25">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c r="AA459" s="57"/>
      <c r="AB459" s="57"/>
      <c r="AC459" s="57"/>
      <c r="AD459" s="57"/>
    </row>
    <row r="460" spans="1:30" ht="13.5" thickBot="1" x14ac:dyDescent="0.25">
      <c r="A460" s="57"/>
      <c r="B460" s="176" t="s">
        <v>12837</v>
      </c>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c r="AA460" s="57"/>
      <c r="AB460" s="57"/>
      <c r="AC460" s="57"/>
      <c r="AD460" s="57"/>
    </row>
    <row r="461" spans="1:30" ht="13.5" thickBot="1" x14ac:dyDescent="0.25">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c r="AA461" s="57"/>
      <c r="AB461" s="57"/>
      <c r="AC461" s="57"/>
      <c r="AD461" s="57"/>
    </row>
    <row r="462" spans="1:30" ht="13.5" thickBot="1" x14ac:dyDescent="0.25">
      <c r="A462" s="57"/>
      <c r="B462" s="169" t="s">
        <v>14635</v>
      </c>
      <c r="C462" s="88"/>
      <c r="D462" s="88"/>
      <c r="E462" s="88"/>
      <c r="F462" s="88"/>
      <c r="G462" s="57"/>
      <c r="H462" s="57"/>
      <c r="I462" s="57"/>
      <c r="J462" s="57"/>
      <c r="K462" s="57"/>
      <c r="L462" s="57"/>
      <c r="M462" s="57"/>
      <c r="N462" s="57"/>
      <c r="O462" s="57"/>
      <c r="P462" s="57"/>
      <c r="Q462" s="57"/>
      <c r="R462" s="57"/>
      <c r="S462" s="57"/>
      <c r="T462" s="57"/>
      <c r="U462" s="57"/>
      <c r="V462" s="57"/>
      <c r="W462" s="57"/>
      <c r="X462" s="57"/>
      <c r="Y462" s="57"/>
      <c r="Z462" s="57"/>
      <c r="AA462" s="57"/>
      <c r="AB462" s="57"/>
      <c r="AC462" s="57"/>
      <c r="AD462" s="57"/>
    </row>
    <row r="463" spans="1:30" ht="26.25" thickBot="1" x14ac:dyDescent="0.25">
      <c r="A463" s="57"/>
      <c r="B463" s="102"/>
      <c r="C463" s="102"/>
      <c r="D463" s="102"/>
      <c r="E463" s="102"/>
      <c r="F463" s="180" t="s">
        <v>14636</v>
      </c>
      <c r="G463" s="57"/>
      <c r="H463" s="57"/>
      <c r="I463" s="57"/>
      <c r="J463" s="57"/>
      <c r="K463" s="57"/>
      <c r="L463" s="57"/>
      <c r="M463" s="57"/>
      <c r="N463" s="57"/>
      <c r="O463" s="57"/>
      <c r="P463" s="57"/>
      <c r="Q463" s="57"/>
      <c r="R463" s="57"/>
      <c r="S463" s="57"/>
      <c r="T463" s="57"/>
      <c r="U463" s="57"/>
      <c r="V463" s="57"/>
      <c r="W463" s="57"/>
      <c r="X463" s="57"/>
      <c r="Y463" s="57"/>
      <c r="Z463" s="57"/>
      <c r="AA463" s="57"/>
      <c r="AB463" s="57"/>
      <c r="AC463" s="57"/>
      <c r="AD463" s="57"/>
    </row>
    <row r="464" spans="1:30" ht="26.25" thickBot="1" x14ac:dyDescent="0.25">
      <c r="A464" s="57"/>
      <c r="B464" s="95"/>
      <c r="C464" s="178" t="s">
        <v>14637</v>
      </c>
      <c r="D464" s="178" t="s">
        <v>13079</v>
      </c>
      <c r="E464" s="178" t="s">
        <v>14636</v>
      </c>
      <c r="F464" s="97" t="s">
        <v>14638</v>
      </c>
      <c r="G464" s="57"/>
      <c r="H464" s="57"/>
      <c r="I464" s="57"/>
      <c r="J464" s="57"/>
      <c r="K464" s="57"/>
      <c r="L464" s="57"/>
      <c r="M464" s="57"/>
      <c r="N464" s="57"/>
      <c r="O464" s="57"/>
      <c r="P464" s="57"/>
      <c r="Q464" s="57"/>
      <c r="R464" s="57"/>
      <c r="S464" s="57"/>
      <c r="T464" s="57"/>
      <c r="U464" s="57"/>
      <c r="V464" s="57"/>
      <c r="W464" s="57"/>
      <c r="X464" s="57"/>
      <c r="Y464" s="57"/>
      <c r="Z464" s="57"/>
      <c r="AA464" s="57"/>
      <c r="AB464" s="57"/>
      <c r="AC464" s="57"/>
      <c r="AD464" s="57"/>
    </row>
    <row r="465" spans="1:30" ht="13.5" thickBot="1" x14ac:dyDescent="0.25">
      <c r="A465" s="57"/>
      <c r="B465" s="180" t="s">
        <v>13442</v>
      </c>
      <c r="C465" s="180" t="s">
        <v>13469</v>
      </c>
      <c r="D465" s="180" t="s">
        <v>13544</v>
      </c>
      <c r="E465" s="180" t="s">
        <v>13583</v>
      </c>
      <c r="F465" s="181" t="s">
        <v>13525</v>
      </c>
      <c r="G465" s="57"/>
      <c r="H465" s="57"/>
      <c r="I465" s="57"/>
      <c r="J465" s="57"/>
      <c r="K465" s="57"/>
      <c r="L465" s="57"/>
      <c r="M465" s="57"/>
      <c r="N465" s="57"/>
      <c r="O465" s="57"/>
      <c r="P465" s="57"/>
      <c r="Q465" s="57"/>
      <c r="R465" s="57"/>
      <c r="S465" s="57"/>
      <c r="T465" s="57"/>
      <c r="U465" s="57"/>
      <c r="V465" s="57"/>
      <c r="W465" s="57"/>
      <c r="X465" s="57"/>
      <c r="Y465" s="57"/>
      <c r="Z465" s="57"/>
      <c r="AA465" s="57"/>
      <c r="AB465" s="57"/>
      <c r="AC465" s="57"/>
      <c r="AD465" s="57"/>
    </row>
    <row r="466" spans="1:30" ht="13.5" thickBot="1" x14ac:dyDescent="0.25">
      <c r="A466" s="57"/>
      <c r="B466" s="180" t="s">
        <v>13443</v>
      </c>
      <c r="C466" s="180" t="s">
        <v>13946</v>
      </c>
      <c r="D466" s="180" t="s">
        <v>13509</v>
      </c>
      <c r="E466" s="181" t="s">
        <v>13846</v>
      </c>
      <c r="F466" s="180" t="s">
        <v>13484</v>
      </c>
      <c r="G466" s="57"/>
      <c r="H466" s="57"/>
      <c r="I466" s="57"/>
      <c r="J466" s="57"/>
      <c r="K466" s="57"/>
      <c r="L466" s="57"/>
      <c r="M466" s="57"/>
      <c r="N466" s="57"/>
      <c r="O466" s="57"/>
      <c r="P466" s="57"/>
      <c r="Q466" s="57"/>
      <c r="R466" s="57"/>
      <c r="S466" s="57"/>
      <c r="T466" s="57"/>
      <c r="U466" s="57"/>
      <c r="V466" s="57"/>
      <c r="W466" s="57"/>
      <c r="X466" s="57"/>
      <c r="Y466" s="57"/>
      <c r="Z466" s="57"/>
      <c r="AA466" s="57"/>
      <c r="AB466" s="57"/>
      <c r="AC466" s="57"/>
      <c r="AD466" s="57"/>
    </row>
    <row r="467" spans="1:30" ht="13.5" thickBot="1" x14ac:dyDescent="0.25">
      <c r="A467" s="57"/>
      <c r="B467" s="180" t="s">
        <v>13739</v>
      </c>
      <c r="C467" s="180" t="s">
        <v>13508</v>
      </c>
      <c r="D467" s="180" t="s">
        <v>13946</v>
      </c>
      <c r="E467" s="181" t="s">
        <v>13484</v>
      </c>
      <c r="F467" s="180" t="s">
        <v>13525</v>
      </c>
      <c r="G467" s="57"/>
      <c r="H467" s="57"/>
      <c r="I467" s="57"/>
      <c r="J467" s="57"/>
      <c r="K467" s="57"/>
      <c r="L467" s="57"/>
      <c r="M467" s="57"/>
      <c r="N467" s="57"/>
      <c r="O467" s="57"/>
      <c r="P467" s="57"/>
      <c r="Q467" s="57"/>
      <c r="R467" s="57"/>
      <c r="S467" s="57"/>
      <c r="T467" s="57"/>
      <c r="U467" s="57"/>
      <c r="V467" s="57"/>
      <c r="W467" s="57"/>
      <c r="X467" s="57"/>
      <c r="Y467" s="57"/>
      <c r="Z467" s="57"/>
      <c r="AA467" s="57"/>
      <c r="AB467" s="57"/>
      <c r="AC467" s="57"/>
      <c r="AD467" s="57"/>
    </row>
    <row r="468" spans="1:30" ht="13.5" thickBot="1" x14ac:dyDescent="0.25">
      <c r="A468" s="57"/>
      <c r="B468" s="178" t="s">
        <v>14378</v>
      </c>
      <c r="C468" s="178" t="s">
        <v>13491</v>
      </c>
      <c r="D468" s="178" t="s">
        <v>14480</v>
      </c>
      <c r="E468" s="182" t="s">
        <v>14639</v>
      </c>
      <c r="F468" s="182" t="s">
        <v>14639</v>
      </c>
      <c r="G468" s="57"/>
      <c r="H468" s="57"/>
      <c r="I468" s="57"/>
      <c r="J468" s="57"/>
      <c r="K468" s="57"/>
      <c r="L468" s="57"/>
      <c r="M468" s="57"/>
      <c r="N468" s="57"/>
      <c r="O468" s="57"/>
      <c r="P468" s="57"/>
      <c r="Q468" s="57"/>
      <c r="R468" s="57"/>
      <c r="S468" s="57"/>
      <c r="T468" s="57"/>
      <c r="U468" s="57"/>
      <c r="V468" s="57"/>
      <c r="W468" s="57"/>
      <c r="X468" s="57"/>
      <c r="Y468" s="57"/>
      <c r="Z468" s="57"/>
      <c r="AA468" s="57"/>
      <c r="AB468" s="57"/>
      <c r="AC468" s="57"/>
      <c r="AD468" s="57"/>
    </row>
    <row r="469" spans="1:30" ht="13.5" thickBot="1" x14ac:dyDescent="0.25">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c r="AA469" s="57"/>
      <c r="AB469" s="57"/>
      <c r="AC469" s="57"/>
      <c r="AD469" s="57"/>
    </row>
    <row r="470" spans="1:30" ht="13.5" thickBot="1" x14ac:dyDescent="0.25">
      <c r="A470" s="57"/>
      <c r="B470" s="169" t="s">
        <v>14640</v>
      </c>
      <c r="C470" s="88"/>
      <c r="D470" s="88"/>
      <c r="E470" s="88"/>
      <c r="F470" s="88"/>
      <c r="G470" s="88"/>
      <c r="H470" s="57"/>
      <c r="I470" s="57"/>
      <c r="J470" s="57"/>
      <c r="K470" s="57"/>
      <c r="L470" s="57"/>
      <c r="M470" s="57"/>
      <c r="N470" s="57"/>
      <c r="O470" s="57"/>
      <c r="P470" s="57"/>
      <c r="Q470" s="57"/>
      <c r="R470" s="57"/>
      <c r="S470" s="57"/>
      <c r="T470" s="57"/>
      <c r="U470" s="57"/>
      <c r="V470" s="57"/>
      <c r="W470" s="57"/>
      <c r="X470" s="57"/>
      <c r="Y470" s="57"/>
      <c r="Z470" s="57"/>
      <c r="AA470" s="57"/>
      <c r="AB470" s="57"/>
      <c r="AC470" s="57"/>
      <c r="AD470" s="57"/>
    </row>
    <row r="471" spans="1:30" ht="26.25" thickBot="1" x14ac:dyDescent="0.25">
      <c r="A471" s="57"/>
      <c r="B471" s="183" t="s">
        <v>13368</v>
      </c>
      <c r="C471" s="183" t="s">
        <v>14641</v>
      </c>
      <c r="D471" s="183" t="s">
        <v>13442</v>
      </c>
      <c r="E471" s="183" t="s">
        <v>13443</v>
      </c>
      <c r="F471" s="183" t="s">
        <v>13739</v>
      </c>
      <c r="G471" s="183" t="s">
        <v>14378</v>
      </c>
      <c r="H471" s="57"/>
      <c r="I471" s="57"/>
      <c r="J471" s="57"/>
      <c r="K471" s="57"/>
      <c r="L471" s="57"/>
      <c r="M471" s="57"/>
      <c r="N471" s="57"/>
      <c r="O471" s="57"/>
      <c r="P471" s="57"/>
      <c r="Q471" s="57"/>
      <c r="R471" s="57"/>
      <c r="S471" s="57"/>
      <c r="T471" s="57"/>
      <c r="U471" s="57"/>
      <c r="V471" s="57"/>
      <c r="W471" s="57"/>
      <c r="X471" s="57"/>
      <c r="Y471" s="57"/>
      <c r="Z471" s="57"/>
      <c r="AA471" s="57"/>
      <c r="AB471" s="57"/>
      <c r="AC471" s="57"/>
      <c r="AD471" s="57"/>
    </row>
    <row r="472" spans="1:30" ht="26.25" thickBot="1" x14ac:dyDescent="0.25">
      <c r="A472" s="57"/>
      <c r="B472" s="180" t="s">
        <v>14642</v>
      </c>
      <c r="C472" s="180" t="s">
        <v>14643</v>
      </c>
      <c r="D472" s="180" t="s">
        <v>13450</v>
      </c>
      <c r="E472" s="180" t="s">
        <v>13562</v>
      </c>
      <c r="F472" s="180" t="s">
        <v>13786</v>
      </c>
      <c r="G472" s="184" t="s">
        <v>14480</v>
      </c>
      <c r="H472" s="57"/>
      <c r="I472" s="57"/>
      <c r="J472" s="57"/>
      <c r="K472" s="57"/>
      <c r="L472" s="57"/>
      <c r="M472" s="57"/>
      <c r="N472" s="57"/>
      <c r="O472" s="57"/>
      <c r="P472" s="57"/>
      <c r="Q472" s="57"/>
      <c r="R472" s="57"/>
      <c r="S472" s="57"/>
      <c r="T472" s="57"/>
      <c r="U472" s="57"/>
      <c r="V472" s="57"/>
      <c r="W472" s="57"/>
      <c r="X472" s="57"/>
      <c r="Y472" s="57"/>
      <c r="Z472" s="57"/>
      <c r="AA472" s="57"/>
      <c r="AB472" s="57"/>
      <c r="AC472" s="57"/>
      <c r="AD472" s="57"/>
    </row>
    <row r="473" spans="1:30" ht="26.25" thickBot="1" x14ac:dyDescent="0.25">
      <c r="A473" s="57"/>
      <c r="B473" s="180" t="s">
        <v>14644</v>
      </c>
      <c r="C473" s="180" t="s">
        <v>14645</v>
      </c>
      <c r="D473" s="180" t="s">
        <v>13574</v>
      </c>
      <c r="E473" s="180" t="s">
        <v>13779</v>
      </c>
      <c r="F473" s="180" t="s">
        <v>13566</v>
      </c>
      <c r="G473" s="184" t="s">
        <v>13957</v>
      </c>
      <c r="H473" s="57"/>
      <c r="I473" s="57"/>
      <c r="J473" s="57"/>
      <c r="K473" s="57"/>
      <c r="L473" s="57"/>
      <c r="M473" s="57"/>
      <c r="N473" s="57"/>
      <c r="O473" s="57"/>
      <c r="P473" s="57"/>
      <c r="Q473" s="57"/>
      <c r="R473" s="57"/>
      <c r="S473" s="57"/>
      <c r="T473" s="57"/>
      <c r="U473" s="57"/>
      <c r="V473" s="57"/>
      <c r="W473" s="57"/>
      <c r="X473" s="57"/>
      <c r="Y473" s="57"/>
      <c r="Z473" s="57"/>
      <c r="AA473" s="57"/>
      <c r="AB473" s="57"/>
      <c r="AC473" s="57"/>
      <c r="AD473" s="57"/>
    </row>
    <row r="474" spans="1:30" ht="26.25" thickBot="1" x14ac:dyDescent="0.25">
      <c r="A474" s="57"/>
      <c r="B474" s="180" t="s">
        <v>14646</v>
      </c>
      <c r="C474" s="180" t="s">
        <v>14647</v>
      </c>
      <c r="D474" s="180" t="s">
        <v>13502</v>
      </c>
      <c r="E474" s="180" t="s">
        <v>13952</v>
      </c>
      <c r="F474" s="180" t="s">
        <v>13545</v>
      </c>
      <c r="G474" s="184" t="s">
        <v>13957</v>
      </c>
      <c r="H474" s="57"/>
      <c r="I474" s="57"/>
      <c r="J474" s="57"/>
      <c r="K474" s="57"/>
      <c r="L474" s="57"/>
      <c r="M474" s="57"/>
      <c r="N474" s="57"/>
      <c r="O474" s="57"/>
      <c r="P474" s="57"/>
      <c r="Q474" s="57"/>
      <c r="R474" s="57"/>
      <c r="S474" s="57"/>
      <c r="T474" s="57"/>
      <c r="U474" s="57"/>
      <c r="V474" s="57"/>
      <c r="W474" s="57"/>
      <c r="X474" s="57"/>
      <c r="Y474" s="57"/>
      <c r="Z474" s="57"/>
      <c r="AA474" s="57"/>
      <c r="AB474" s="57"/>
      <c r="AC474" s="57"/>
      <c r="AD474" s="57"/>
    </row>
    <row r="475" spans="1:30" ht="26.25" thickBot="1" x14ac:dyDescent="0.25">
      <c r="A475" s="57"/>
      <c r="B475" s="180" t="s">
        <v>14648</v>
      </c>
      <c r="C475" s="180" t="s">
        <v>14649</v>
      </c>
      <c r="D475" s="180" t="s">
        <v>13564</v>
      </c>
      <c r="E475" s="180" t="s">
        <v>13450</v>
      </c>
      <c r="F475" s="180" t="s">
        <v>14650</v>
      </c>
      <c r="G475" s="184" t="s">
        <v>13467</v>
      </c>
      <c r="H475" s="57"/>
      <c r="I475" s="57"/>
      <c r="J475" s="57"/>
      <c r="K475" s="57"/>
      <c r="L475" s="57"/>
      <c r="M475" s="57"/>
      <c r="N475" s="57"/>
      <c r="O475" s="57"/>
      <c r="P475" s="57"/>
      <c r="Q475" s="57"/>
      <c r="R475" s="57"/>
      <c r="S475" s="57"/>
      <c r="T475" s="57"/>
      <c r="U475" s="57"/>
      <c r="V475" s="57"/>
      <c r="W475" s="57"/>
      <c r="X475" s="57"/>
      <c r="Y475" s="57"/>
      <c r="Z475" s="57"/>
      <c r="AA475" s="57"/>
      <c r="AB475" s="57"/>
      <c r="AC475" s="57"/>
      <c r="AD475" s="57"/>
    </row>
    <row r="476" spans="1:30" ht="13.5" thickBot="1" x14ac:dyDescent="0.25">
      <c r="A476" s="57"/>
      <c r="B476" s="180" t="s">
        <v>13378</v>
      </c>
      <c r="C476" s="180" t="s">
        <v>14651</v>
      </c>
      <c r="D476" s="180" t="s">
        <v>13747</v>
      </c>
      <c r="E476" s="180" t="s">
        <v>13974</v>
      </c>
      <c r="F476" s="180" t="s">
        <v>13803</v>
      </c>
      <c r="G476" s="184" t="s">
        <v>13528</v>
      </c>
      <c r="H476" s="57"/>
      <c r="I476" s="57"/>
      <c r="J476" s="57"/>
      <c r="K476" s="57"/>
      <c r="L476" s="57"/>
      <c r="M476" s="57"/>
      <c r="N476" s="57"/>
      <c r="O476" s="57"/>
      <c r="P476" s="57"/>
      <c r="Q476" s="57"/>
      <c r="R476" s="57"/>
      <c r="S476" s="57"/>
      <c r="T476" s="57"/>
      <c r="U476" s="57"/>
      <c r="V476" s="57"/>
      <c r="W476" s="57"/>
      <c r="X476" s="57"/>
      <c r="Y476" s="57"/>
      <c r="Z476" s="57"/>
      <c r="AA476" s="57"/>
      <c r="AB476" s="57"/>
      <c r="AC476" s="57"/>
      <c r="AD476" s="57"/>
    </row>
    <row r="477" spans="1:30" ht="39" thickBot="1" x14ac:dyDescent="0.25">
      <c r="A477" s="57"/>
      <c r="B477" s="180" t="s">
        <v>14652</v>
      </c>
      <c r="C477" s="180" t="s">
        <v>14653</v>
      </c>
      <c r="D477" s="180" t="s">
        <v>13509</v>
      </c>
      <c r="E477" s="180" t="s">
        <v>13450</v>
      </c>
      <c r="F477" s="180" t="s">
        <v>13944</v>
      </c>
      <c r="G477" s="184" t="s">
        <v>13531</v>
      </c>
      <c r="H477" s="57"/>
      <c r="I477" s="57"/>
      <c r="J477" s="57"/>
      <c r="K477" s="57"/>
      <c r="L477" s="57"/>
      <c r="M477" s="57"/>
      <c r="N477" s="57"/>
      <c r="O477" s="57"/>
      <c r="P477" s="57"/>
      <c r="Q477" s="57"/>
      <c r="R477" s="57"/>
      <c r="S477" s="57"/>
      <c r="T477" s="57"/>
      <c r="U477" s="57"/>
      <c r="V477" s="57"/>
      <c r="W477" s="57"/>
      <c r="X477" s="57"/>
      <c r="Y477" s="57"/>
      <c r="Z477" s="57"/>
      <c r="AA477" s="57"/>
      <c r="AB477" s="57"/>
      <c r="AC477" s="57"/>
      <c r="AD477" s="57"/>
    </row>
    <row r="478" spans="1:30" ht="13.5" thickBot="1" x14ac:dyDescent="0.25">
      <c r="A478" s="57"/>
      <c r="B478" s="180" t="s">
        <v>13403</v>
      </c>
      <c r="C478" s="180" t="s">
        <v>14654</v>
      </c>
      <c r="D478" s="180" t="s">
        <v>13639</v>
      </c>
      <c r="E478" s="180" t="s">
        <v>13561</v>
      </c>
      <c r="F478" s="180" t="s">
        <v>13960</v>
      </c>
      <c r="G478" s="184" t="s">
        <v>13531</v>
      </c>
      <c r="H478" s="57"/>
      <c r="I478" s="57"/>
      <c r="J478" s="57"/>
      <c r="K478" s="57"/>
      <c r="L478" s="57"/>
      <c r="M478" s="57"/>
      <c r="N478" s="57"/>
      <c r="O478" s="57"/>
      <c r="P478" s="57"/>
      <c r="Q478" s="57"/>
      <c r="R478" s="57"/>
      <c r="S478" s="57"/>
      <c r="T478" s="57"/>
      <c r="U478" s="57"/>
      <c r="V478" s="57"/>
      <c r="W478" s="57"/>
      <c r="X478" s="57"/>
      <c r="Y478" s="57"/>
      <c r="Z478" s="57"/>
      <c r="AA478" s="57"/>
      <c r="AB478" s="57"/>
      <c r="AC478" s="57"/>
      <c r="AD478" s="57"/>
    </row>
    <row r="479" spans="1:30" ht="13.5" thickBot="1" x14ac:dyDescent="0.25">
      <c r="A479" s="57"/>
      <c r="B479" s="180" t="s">
        <v>13419</v>
      </c>
      <c r="C479" s="180" t="s">
        <v>14655</v>
      </c>
      <c r="D479" s="180" t="s">
        <v>13519</v>
      </c>
      <c r="E479" s="180" t="s">
        <v>13562</v>
      </c>
      <c r="F479" s="180" t="s">
        <v>13568</v>
      </c>
      <c r="G479" s="184" t="s">
        <v>14480</v>
      </c>
      <c r="H479" s="57"/>
      <c r="I479" s="57"/>
      <c r="J479" s="57"/>
      <c r="K479" s="57"/>
      <c r="L479" s="57"/>
      <c r="M479" s="57"/>
      <c r="N479" s="57"/>
      <c r="O479" s="57"/>
      <c r="P479" s="57"/>
      <c r="Q479" s="57"/>
      <c r="R479" s="57"/>
      <c r="S479" s="57"/>
      <c r="T479" s="57"/>
      <c r="U479" s="57"/>
      <c r="V479" s="57"/>
      <c r="W479" s="57"/>
      <c r="X479" s="57"/>
      <c r="Y479" s="57"/>
      <c r="Z479" s="57"/>
      <c r="AA479" s="57"/>
      <c r="AB479" s="57"/>
      <c r="AC479" s="57"/>
      <c r="AD479" s="57"/>
    </row>
    <row r="480" spans="1:30" ht="13.5" thickBot="1" x14ac:dyDescent="0.25">
      <c r="A480" s="57"/>
      <c r="B480" s="180" t="s">
        <v>13517</v>
      </c>
      <c r="C480" s="180" t="s">
        <v>14656</v>
      </c>
      <c r="D480" s="180" t="s">
        <v>14657</v>
      </c>
      <c r="E480" s="180" t="s">
        <v>13960</v>
      </c>
      <c r="F480" s="180" t="s">
        <v>13955</v>
      </c>
      <c r="G480" s="184" t="s">
        <v>13531</v>
      </c>
      <c r="H480" s="57"/>
      <c r="I480" s="57"/>
      <c r="J480" s="57"/>
      <c r="K480" s="57"/>
      <c r="L480" s="57"/>
      <c r="M480" s="57"/>
      <c r="N480" s="57"/>
      <c r="O480" s="57"/>
      <c r="P480" s="57"/>
      <c r="Q480" s="57"/>
      <c r="R480" s="57"/>
      <c r="S480" s="57"/>
      <c r="T480" s="57"/>
      <c r="U480" s="57"/>
      <c r="V480" s="57"/>
      <c r="W480" s="57"/>
      <c r="X480" s="57"/>
      <c r="Y480" s="57"/>
      <c r="Z480" s="57"/>
      <c r="AA480" s="57"/>
      <c r="AB480" s="57"/>
      <c r="AC480" s="57"/>
      <c r="AD480" s="57"/>
    </row>
    <row r="481" spans="1:30" ht="13.5" thickBot="1" x14ac:dyDescent="0.25">
      <c r="A481" s="57"/>
      <c r="B481" s="178" t="s">
        <v>13432</v>
      </c>
      <c r="C481" s="178" t="s">
        <v>14658</v>
      </c>
      <c r="D481" s="178" t="s">
        <v>13519</v>
      </c>
      <c r="E481" s="178" t="s">
        <v>13566</v>
      </c>
      <c r="F481" s="178" t="s">
        <v>13769</v>
      </c>
      <c r="G481" s="185" t="s">
        <v>13550</v>
      </c>
      <c r="H481" s="57"/>
      <c r="I481" s="57"/>
      <c r="J481" s="57"/>
      <c r="K481" s="57"/>
      <c r="L481" s="57"/>
      <c r="M481" s="57"/>
      <c r="N481" s="57"/>
      <c r="O481" s="57"/>
      <c r="P481" s="57"/>
      <c r="Q481" s="57"/>
      <c r="R481" s="57"/>
      <c r="S481" s="57"/>
      <c r="T481" s="57"/>
      <c r="U481" s="57"/>
      <c r="V481" s="57"/>
      <c r="W481" s="57"/>
      <c r="X481" s="57"/>
      <c r="Y481" s="57"/>
      <c r="Z481" s="57"/>
      <c r="AA481" s="57"/>
      <c r="AB481" s="57"/>
      <c r="AC481" s="57"/>
      <c r="AD481" s="57"/>
    </row>
    <row r="482" spans="1:30" ht="13.5" thickBot="1" x14ac:dyDescent="0.25">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c r="AA482" s="57"/>
      <c r="AB482" s="57"/>
      <c r="AC482" s="57"/>
      <c r="AD482" s="57"/>
    </row>
    <row r="483" spans="1:30" ht="13.5" thickBot="1" x14ac:dyDescent="0.25">
      <c r="A483" s="57"/>
      <c r="B483" s="169" t="s">
        <v>14659</v>
      </c>
      <c r="C483" s="88"/>
      <c r="D483" s="88"/>
      <c r="E483" s="88"/>
      <c r="F483" s="88"/>
      <c r="G483" s="88"/>
      <c r="H483" s="57"/>
      <c r="I483" s="57"/>
      <c r="J483" s="57"/>
      <c r="K483" s="57"/>
      <c r="L483" s="57"/>
      <c r="M483" s="57"/>
      <c r="N483" s="57"/>
      <c r="O483" s="57"/>
      <c r="P483" s="57"/>
      <c r="Q483" s="57"/>
      <c r="R483" s="57"/>
      <c r="S483" s="57"/>
      <c r="T483" s="57"/>
      <c r="U483" s="57"/>
      <c r="V483" s="57"/>
      <c r="W483" s="57"/>
      <c r="X483" s="57"/>
      <c r="Y483" s="57"/>
      <c r="Z483" s="57"/>
      <c r="AA483" s="57"/>
      <c r="AB483" s="57"/>
      <c r="AC483" s="57"/>
      <c r="AD483" s="57"/>
    </row>
    <row r="484" spans="1:30" ht="26.25" thickBot="1" x14ac:dyDescent="0.25">
      <c r="A484" s="57"/>
      <c r="B484" s="183" t="s">
        <v>13368</v>
      </c>
      <c r="C484" s="183" t="s">
        <v>14641</v>
      </c>
      <c r="D484" s="183" t="s">
        <v>13442</v>
      </c>
      <c r="E484" s="183" t="s">
        <v>13443</v>
      </c>
      <c r="F484" s="183" t="s">
        <v>13739</v>
      </c>
      <c r="G484" s="183" t="s">
        <v>14378</v>
      </c>
      <c r="H484" s="57"/>
      <c r="I484" s="57"/>
      <c r="J484" s="57"/>
      <c r="K484" s="57"/>
      <c r="L484" s="57"/>
      <c r="M484" s="57"/>
      <c r="N484" s="57"/>
      <c r="O484" s="57"/>
      <c r="P484" s="57"/>
      <c r="Q484" s="57"/>
      <c r="R484" s="57"/>
      <c r="S484" s="57"/>
      <c r="T484" s="57"/>
      <c r="U484" s="57"/>
      <c r="V484" s="57"/>
      <c r="W484" s="57"/>
      <c r="X484" s="57"/>
      <c r="Y484" s="57"/>
      <c r="Z484" s="57"/>
      <c r="AA484" s="57"/>
      <c r="AB484" s="57"/>
      <c r="AC484" s="57"/>
      <c r="AD484" s="57"/>
    </row>
    <row r="485" spans="1:30" ht="26.25" thickBot="1" x14ac:dyDescent="0.25">
      <c r="A485" s="57"/>
      <c r="B485" s="180" t="s">
        <v>14660</v>
      </c>
      <c r="C485" s="180" t="s">
        <v>14643</v>
      </c>
      <c r="D485" s="180" t="s">
        <v>13564</v>
      </c>
      <c r="E485" s="180" t="s">
        <v>13457</v>
      </c>
      <c r="F485" s="180" t="s">
        <v>13905</v>
      </c>
      <c r="G485" s="184" t="s">
        <v>13497</v>
      </c>
      <c r="H485" s="57"/>
      <c r="I485" s="57"/>
      <c r="J485" s="57"/>
      <c r="K485" s="57"/>
      <c r="L485" s="57"/>
      <c r="M485" s="57"/>
      <c r="N485" s="57"/>
      <c r="O485" s="57"/>
      <c r="P485" s="57"/>
      <c r="Q485" s="57"/>
      <c r="R485" s="57"/>
      <c r="S485" s="57"/>
      <c r="T485" s="57"/>
      <c r="U485" s="57"/>
      <c r="V485" s="57"/>
      <c r="W485" s="57"/>
      <c r="X485" s="57"/>
      <c r="Y485" s="57"/>
      <c r="Z485" s="57"/>
      <c r="AA485" s="57"/>
      <c r="AB485" s="57"/>
      <c r="AC485" s="57"/>
      <c r="AD485" s="57"/>
    </row>
    <row r="486" spans="1:30" ht="26.25" thickBot="1" x14ac:dyDescent="0.25">
      <c r="A486" s="57"/>
      <c r="B486" s="180" t="s">
        <v>14644</v>
      </c>
      <c r="C486" s="180" t="s">
        <v>14645</v>
      </c>
      <c r="D486" s="180" t="s">
        <v>13531</v>
      </c>
      <c r="E486" s="180" t="s">
        <v>13502</v>
      </c>
      <c r="F486" s="180" t="s">
        <v>13544</v>
      </c>
      <c r="G486" s="184" t="s">
        <v>14661</v>
      </c>
      <c r="H486" s="57"/>
      <c r="I486" s="57"/>
      <c r="J486" s="57"/>
      <c r="K486" s="57"/>
      <c r="L486" s="57"/>
      <c r="M486" s="57"/>
      <c r="N486" s="57"/>
      <c r="O486" s="57"/>
      <c r="P486" s="57"/>
      <c r="Q486" s="57"/>
      <c r="R486" s="57"/>
      <c r="S486" s="57"/>
      <c r="T486" s="57"/>
      <c r="U486" s="57"/>
      <c r="V486" s="57"/>
      <c r="W486" s="57"/>
      <c r="X486" s="57"/>
      <c r="Y486" s="57"/>
      <c r="Z486" s="57"/>
      <c r="AA486" s="57"/>
      <c r="AB486" s="57"/>
      <c r="AC486" s="57"/>
      <c r="AD486" s="57"/>
    </row>
    <row r="487" spans="1:30" ht="26.25" thickBot="1" x14ac:dyDescent="0.25">
      <c r="A487" s="57"/>
      <c r="B487" s="180" t="s">
        <v>14646</v>
      </c>
      <c r="C487" s="180" t="s">
        <v>14647</v>
      </c>
      <c r="D487" s="180" t="s">
        <v>13952</v>
      </c>
      <c r="E487" s="180" t="s">
        <v>13457</v>
      </c>
      <c r="F487" s="180" t="s">
        <v>14482</v>
      </c>
      <c r="G487" s="184" t="s">
        <v>14661</v>
      </c>
      <c r="H487" s="57"/>
      <c r="I487" s="57"/>
      <c r="J487" s="57"/>
      <c r="K487" s="57"/>
      <c r="L487" s="57"/>
      <c r="M487" s="57"/>
      <c r="N487" s="57"/>
      <c r="O487" s="57"/>
      <c r="P487" s="57"/>
      <c r="Q487" s="57"/>
      <c r="R487" s="57"/>
      <c r="S487" s="57"/>
      <c r="T487" s="57"/>
      <c r="U487" s="57"/>
      <c r="V487" s="57"/>
      <c r="W487" s="57"/>
      <c r="X487" s="57"/>
      <c r="Y487" s="57"/>
      <c r="Z487" s="57"/>
      <c r="AA487" s="57"/>
      <c r="AB487" s="57"/>
      <c r="AC487" s="57"/>
      <c r="AD487" s="57"/>
    </row>
    <row r="488" spans="1:30" ht="26.25" thickBot="1" x14ac:dyDescent="0.25">
      <c r="A488" s="57"/>
      <c r="B488" s="180" t="s">
        <v>14648</v>
      </c>
      <c r="C488" s="180" t="s">
        <v>14649</v>
      </c>
      <c r="D488" s="180" t="s">
        <v>13544</v>
      </c>
      <c r="E488" s="180" t="s">
        <v>13569</v>
      </c>
      <c r="F488" s="180" t="s">
        <v>13946</v>
      </c>
      <c r="G488" s="184" t="s">
        <v>14661</v>
      </c>
      <c r="H488" s="57"/>
      <c r="I488" s="57"/>
      <c r="J488" s="57"/>
      <c r="K488" s="57"/>
      <c r="L488" s="57"/>
      <c r="M488" s="57"/>
      <c r="N488" s="57"/>
      <c r="O488" s="57"/>
      <c r="P488" s="57"/>
      <c r="Q488" s="57"/>
      <c r="R488" s="57"/>
      <c r="S488" s="57"/>
      <c r="T488" s="57"/>
      <c r="U488" s="57"/>
      <c r="V488" s="57"/>
      <c r="W488" s="57"/>
      <c r="X488" s="57"/>
      <c r="Y488" s="57"/>
      <c r="Z488" s="57"/>
      <c r="AA488" s="57"/>
      <c r="AB488" s="57"/>
      <c r="AC488" s="57"/>
      <c r="AD488" s="57"/>
    </row>
    <row r="489" spans="1:30" ht="13.5" thickBot="1" x14ac:dyDescent="0.25">
      <c r="A489" s="57"/>
      <c r="B489" s="180" t="s">
        <v>13378</v>
      </c>
      <c r="C489" s="180" t="s">
        <v>14651</v>
      </c>
      <c r="D489" s="180" t="s">
        <v>13946</v>
      </c>
      <c r="E489" s="180" t="s">
        <v>14482</v>
      </c>
      <c r="F489" s="180" t="s">
        <v>13545</v>
      </c>
      <c r="G489" s="184" t="s">
        <v>14639</v>
      </c>
      <c r="H489" s="57"/>
      <c r="I489" s="57"/>
      <c r="J489" s="57"/>
      <c r="K489" s="57"/>
      <c r="L489" s="57"/>
      <c r="M489" s="57"/>
      <c r="N489" s="57"/>
      <c r="O489" s="57"/>
      <c r="P489" s="57"/>
      <c r="Q489" s="57"/>
      <c r="R489" s="57"/>
      <c r="S489" s="57"/>
      <c r="T489" s="57"/>
      <c r="U489" s="57"/>
      <c r="V489" s="57"/>
      <c r="W489" s="57"/>
      <c r="X489" s="57"/>
      <c r="Y489" s="57"/>
      <c r="Z489" s="57"/>
      <c r="AA489" s="57"/>
      <c r="AB489" s="57"/>
      <c r="AC489" s="57"/>
      <c r="AD489" s="57"/>
    </row>
    <row r="490" spans="1:30" ht="39" thickBot="1" x14ac:dyDescent="0.25">
      <c r="A490" s="57"/>
      <c r="B490" s="180" t="s">
        <v>14652</v>
      </c>
      <c r="C490" s="180" t="s">
        <v>14653</v>
      </c>
      <c r="D490" s="180" t="s">
        <v>14662</v>
      </c>
      <c r="E490" s="180" t="s">
        <v>13905</v>
      </c>
      <c r="F490" s="180" t="s">
        <v>13508</v>
      </c>
      <c r="G490" s="184" t="s">
        <v>13497</v>
      </c>
      <c r="H490" s="57"/>
      <c r="I490" s="57"/>
      <c r="J490" s="57"/>
      <c r="K490" s="57"/>
      <c r="L490" s="57"/>
      <c r="M490" s="57"/>
      <c r="N490" s="57"/>
      <c r="O490" s="57"/>
      <c r="P490" s="57"/>
      <c r="Q490" s="57"/>
      <c r="R490" s="57"/>
      <c r="S490" s="57"/>
      <c r="T490" s="57"/>
      <c r="U490" s="57"/>
      <c r="V490" s="57"/>
      <c r="W490" s="57"/>
      <c r="X490" s="57"/>
      <c r="Y490" s="57"/>
      <c r="Z490" s="57"/>
      <c r="AA490" s="57"/>
      <c r="AB490" s="57"/>
      <c r="AC490" s="57"/>
      <c r="AD490" s="57"/>
    </row>
    <row r="491" spans="1:30" ht="13.5" thickBot="1" x14ac:dyDescent="0.25">
      <c r="A491" s="57"/>
      <c r="B491" s="180" t="s">
        <v>13403</v>
      </c>
      <c r="C491" s="180" t="s">
        <v>14654</v>
      </c>
      <c r="D491" s="180" t="s">
        <v>13481</v>
      </c>
      <c r="E491" s="180" t="s">
        <v>13457</v>
      </c>
      <c r="F491" s="180" t="s">
        <v>13713</v>
      </c>
      <c r="G491" s="184" t="s">
        <v>13532</v>
      </c>
      <c r="H491" s="57"/>
      <c r="I491" s="57"/>
      <c r="J491" s="57"/>
      <c r="K491" s="57"/>
      <c r="L491" s="57"/>
      <c r="M491" s="57"/>
      <c r="N491" s="57"/>
      <c r="O491" s="57"/>
      <c r="P491" s="57"/>
      <c r="Q491" s="57"/>
      <c r="R491" s="57"/>
      <c r="S491" s="57"/>
      <c r="T491" s="57"/>
      <c r="U491" s="57"/>
      <c r="V491" s="57"/>
      <c r="W491" s="57"/>
      <c r="X491" s="57"/>
      <c r="Y491" s="57"/>
      <c r="Z491" s="57"/>
      <c r="AA491" s="57"/>
      <c r="AB491" s="57"/>
      <c r="AC491" s="57"/>
      <c r="AD491" s="57"/>
    </row>
    <row r="492" spans="1:30" ht="13.5" thickBot="1" x14ac:dyDescent="0.25">
      <c r="A492" s="57"/>
      <c r="B492" s="180" t="s">
        <v>13419</v>
      </c>
      <c r="C492" s="180" t="s">
        <v>14655</v>
      </c>
      <c r="D492" s="180" t="s">
        <v>13491</v>
      </c>
      <c r="E492" s="180" t="s">
        <v>13457</v>
      </c>
      <c r="F492" s="180" t="s">
        <v>13491</v>
      </c>
      <c r="G492" s="184" t="s">
        <v>14661</v>
      </c>
      <c r="H492" s="57"/>
      <c r="I492" s="57"/>
      <c r="J492" s="57"/>
      <c r="K492" s="57"/>
      <c r="L492" s="57"/>
      <c r="M492" s="57"/>
      <c r="N492" s="57"/>
      <c r="O492" s="57"/>
      <c r="P492" s="57"/>
      <c r="Q492" s="57"/>
      <c r="R492" s="57"/>
      <c r="S492" s="57"/>
      <c r="T492" s="57"/>
      <c r="U492" s="57"/>
      <c r="V492" s="57"/>
      <c r="W492" s="57"/>
      <c r="X492" s="57"/>
      <c r="Y492" s="57"/>
      <c r="Z492" s="57"/>
      <c r="AA492" s="57"/>
      <c r="AB492" s="57"/>
      <c r="AC492" s="57"/>
      <c r="AD492" s="57"/>
    </row>
    <row r="493" spans="1:30" ht="13.5" thickBot="1" x14ac:dyDescent="0.25">
      <c r="A493" s="57"/>
      <c r="B493" s="180" t="s">
        <v>13517</v>
      </c>
      <c r="C493" s="180" t="s">
        <v>14656</v>
      </c>
      <c r="D493" s="180" t="s">
        <v>14662</v>
      </c>
      <c r="E493" s="180">
        <v>1</v>
      </c>
      <c r="F493" s="180" t="s">
        <v>13500</v>
      </c>
      <c r="G493" s="184" t="s">
        <v>13551</v>
      </c>
      <c r="H493" s="57"/>
      <c r="I493" s="57"/>
      <c r="J493" s="57"/>
      <c r="K493" s="57"/>
      <c r="L493" s="57"/>
      <c r="M493" s="57"/>
      <c r="N493" s="57"/>
      <c r="O493" s="57"/>
      <c r="P493" s="57"/>
      <c r="Q493" s="57"/>
      <c r="R493" s="57"/>
      <c r="S493" s="57"/>
      <c r="T493" s="57"/>
      <c r="U493" s="57"/>
      <c r="V493" s="57"/>
      <c r="W493" s="57"/>
      <c r="X493" s="57"/>
      <c r="Y493" s="57"/>
      <c r="Z493" s="57"/>
      <c r="AA493" s="57"/>
      <c r="AB493" s="57"/>
      <c r="AC493" s="57"/>
      <c r="AD493" s="57"/>
    </row>
    <row r="494" spans="1:30" ht="13.5" thickBot="1" x14ac:dyDescent="0.25">
      <c r="A494" s="57"/>
      <c r="B494" s="178" t="s">
        <v>13432</v>
      </c>
      <c r="C494" s="178" t="s">
        <v>14658</v>
      </c>
      <c r="D494" s="178" t="s">
        <v>13947</v>
      </c>
      <c r="E494" s="178" t="s">
        <v>13544</v>
      </c>
      <c r="F494" s="178" t="s">
        <v>13450</v>
      </c>
      <c r="G494" s="185" t="s">
        <v>13748</v>
      </c>
      <c r="H494" s="57"/>
      <c r="I494" s="57"/>
      <c r="J494" s="57"/>
      <c r="K494" s="57"/>
      <c r="L494" s="57"/>
      <c r="M494" s="57"/>
      <c r="N494" s="57"/>
      <c r="O494" s="57"/>
      <c r="P494" s="57"/>
      <c r="Q494" s="57"/>
      <c r="R494" s="57"/>
      <c r="S494" s="57"/>
      <c r="T494" s="57"/>
      <c r="U494" s="57"/>
      <c r="V494" s="57"/>
      <c r="W494" s="57"/>
      <c r="X494" s="57"/>
      <c r="Y494" s="57"/>
      <c r="Z494" s="57"/>
      <c r="AA494" s="57"/>
      <c r="AB494" s="57"/>
      <c r="AC494" s="57"/>
      <c r="AD494" s="57"/>
    </row>
    <row r="495" spans="1:30" ht="13.5" thickBot="1" x14ac:dyDescent="0.25">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c r="AA495" s="57"/>
      <c r="AB495" s="57"/>
      <c r="AC495" s="57"/>
      <c r="AD495" s="57"/>
    </row>
    <row r="496" spans="1:30" ht="13.5" thickBot="1" x14ac:dyDescent="0.25">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c r="AA496" s="57"/>
      <c r="AB496" s="57"/>
      <c r="AC496" s="57"/>
      <c r="AD496" s="57"/>
    </row>
    <row r="497" spans="1:30" ht="13.5" thickBot="1" x14ac:dyDescent="0.25">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c r="AA497" s="57"/>
      <c r="AB497" s="57"/>
      <c r="AC497" s="57"/>
      <c r="AD497" s="57"/>
    </row>
    <row r="498" spans="1:30" ht="13.5" thickBot="1" x14ac:dyDescent="0.25">
      <c r="A498" s="57"/>
      <c r="B498" s="176" t="s">
        <v>4868</v>
      </c>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c r="AA498" s="57"/>
      <c r="AB498" s="57"/>
      <c r="AC498" s="57"/>
      <c r="AD498" s="57"/>
    </row>
    <row r="499" spans="1:30" ht="13.5" thickBot="1" x14ac:dyDescent="0.25">
      <c r="A499" s="57"/>
      <c r="B499" s="97" t="s">
        <v>14663</v>
      </c>
      <c r="C499" s="88"/>
      <c r="D499" s="88"/>
      <c r="E499" s="88"/>
      <c r="F499" s="88"/>
      <c r="G499" s="88"/>
      <c r="H499" s="57"/>
      <c r="I499" s="57"/>
      <c r="J499" s="57"/>
      <c r="K499" s="57"/>
      <c r="L499" s="57"/>
      <c r="M499" s="57"/>
      <c r="N499" s="57"/>
      <c r="O499" s="57"/>
      <c r="P499" s="57"/>
      <c r="Q499" s="57"/>
      <c r="R499" s="57"/>
      <c r="S499" s="57"/>
      <c r="T499" s="57"/>
      <c r="U499" s="57"/>
      <c r="V499" s="57"/>
      <c r="W499" s="57"/>
      <c r="X499" s="57"/>
      <c r="Y499" s="57"/>
      <c r="Z499" s="57"/>
      <c r="AA499" s="57"/>
      <c r="AB499" s="57"/>
      <c r="AC499" s="57"/>
      <c r="AD499" s="57"/>
    </row>
    <row r="500" spans="1:30" ht="13.5" thickBot="1" x14ac:dyDescent="0.25">
      <c r="A500" s="57"/>
      <c r="B500" s="178" t="s">
        <v>14463</v>
      </c>
      <c r="C500" s="179" t="s">
        <v>13737</v>
      </c>
      <c r="D500" s="178" t="s">
        <v>13738</v>
      </c>
      <c r="E500" s="178" t="s">
        <v>13739</v>
      </c>
      <c r="F500" s="178" t="s">
        <v>14378</v>
      </c>
      <c r="G500" s="178" t="s">
        <v>14609</v>
      </c>
      <c r="H500" s="57"/>
      <c r="I500" s="57"/>
      <c r="J500" s="57"/>
      <c r="K500" s="57"/>
      <c r="L500" s="57"/>
      <c r="M500" s="57"/>
      <c r="N500" s="57"/>
      <c r="O500" s="57"/>
      <c r="P500" s="57"/>
      <c r="Q500" s="57"/>
      <c r="R500" s="57"/>
      <c r="S500" s="57"/>
      <c r="T500" s="57"/>
      <c r="U500" s="57"/>
      <c r="V500" s="57"/>
      <c r="W500" s="57"/>
      <c r="X500" s="57"/>
      <c r="Y500" s="57"/>
      <c r="Z500" s="57"/>
      <c r="AA500" s="57"/>
      <c r="AB500" s="57"/>
      <c r="AC500" s="57"/>
      <c r="AD500" s="57"/>
    </row>
    <row r="501" spans="1:30" ht="26.25" thickBot="1" x14ac:dyDescent="0.25">
      <c r="A501" s="57"/>
      <c r="B501" s="180" t="s">
        <v>14610</v>
      </c>
      <c r="C501" s="180" t="s">
        <v>14664</v>
      </c>
      <c r="D501" s="180" t="s">
        <v>14665</v>
      </c>
      <c r="E501" s="180" t="s">
        <v>14666</v>
      </c>
      <c r="F501" s="180" t="s">
        <v>13559</v>
      </c>
      <c r="G501" s="180" t="s">
        <v>14667</v>
      </c>
      <c r="H501" s="57"/>
      <c r="I501" s="186" t="s">
        <v>14668</v>
      </c>
      <c r="J501" s="186" t="s">
        <v>14669</v>
      </c>
      <c r="K501" s="186" t="s">
        <v>14670</v>
      </c>
      <c r="L501" s="57"/>
      <c r="M501" s="57"/>
      <c r="N501" s="57"/>
      <c r="O501" s="57"/>
      <c r="P501" s="57"/>
      <c r="Q501" s="57"/>
      <c r="R501" s="57"/>
      <c r="S501" s="57"/>
      <c r="T501" s="57"/>
      <c r="U501" s="57"/>
      <c r="V501" s="57"/>
      <c r="W501" s="57"/>
      <c r="X501" s="57"/>
      <c r="Y501" s="57"/>
      <c r="Z501" s="57"/>
      <c r="AA501" s="57"/>
      <c r="AB501" s="57"/>
      <c r="AC501" s="57"/>
      <c r="AD501" s="57"/>
    </row>
    <row r="502" spans="1:30" ht="26.25" thickBot="1" x14ac:dyDescent="0.25">
      <c r="A502" s="57"/>
      <c r="B502" s="180" t="s">
        <v>14613</v>
      </c>
      <c r="C502" s="180" t="s">
        <v>14671</v>
      </c>
      <c r="D502" s="180" t="s">
        <v>14672</v>
      </c>
      <c r="E502" s="180" t="s">
        <v>14673</v>
      </c>
      <c r="F502" s="180" t="s">
        <v>13509</v>
      </c>
      <c r="G502" s="180" t="s">
        <v>13564</v>
      </c>
      <c r="H502" s="57"/>
      <c r="I502" s="186" t="s">
        <v>14674</v>
      </c>
      <c r="J502" s="186" t="s">
        <v>14675</v>
      </c>
      <c r="K502" s="186" t="s">
        <v>14676</v>
      </c>
      <c r="L502" s="57"/>
      <c r="M502" s="57"/>
      <c r="N502" s="57"/>
      <c r="O502" s="57"/>
      <c r="P502" s="57"/>
      <c r="Q502" s="57"/>
      <c r="R502" s="57"/>
      <c r="S502" s="57"/>
      <c r="T502" s="57"/>
      <c r="U502" s="57"/>
      <c r="V502" s="57"/>
      <c r="W502" s="57"/>
      <c r="X502" s="57"/>
      <c r="Y502" s="57"/>
      <c r="Z502" s="57"/>
      <c r="AA502" s="57"/>
      <c r="AB502" s="57"/>
      <c r="AC502" s="57"/>
      <c r="AD502" s="57"/>
    </row>
    <row r="503" spans="1:30" ht="13.5" thickBot="1" x14ac:dyDescent="0.25">
      <c r="A503" s="57"/>
      <c r="B503" s="180" t="s">
        <v>14617</v>
      </c>
      <c r="C503" s="180" t="s">
        <v>14677</v>
      </c>
      <c r="D503" s="180" t="s">
        <v>14678</v>
      </c>
      <c r="E503" s="180" t="s">
        <v>14679</v>
      </c>
      <c r="F503" s="180" t="s">
        <v>13502</v>
      </c>
      <c r="G503" s="180" t="s">
        <v>13508</v>
      </c>
      <c r="H503" s="57"/>
      <c r="I503" s="186" t="s">
        <v>14680</v>
      </c>
      <c r="J503" s="186" t="s">
        <v>14681</v>
      </c>
      <c r="K503" s="186" t="s">
        <v>14682</v>
      </c>
      <c r="L503" s="57"/>
      <c r="M503" s="57"/>
      <c r="N503" s="57"/>
      <c r="O503" s="57"/>
      <c r="P503" s="57"/>
      <c r="Q503" s="57"/>
      <c r="R503" s="57"/>
      <c r="S503" s="57"/>
      <c r="T503" s="57"/>
      <c r="U503" s="57"/>
      <c r="V503" s="57"/>
      <c r="W503" s="57"/>
      <c r="X503" s="57"/>
      <c r="Y503" s="57"/>
      <c r="Z503" s="57"/>
      <c r="AA503" s="57"/>
      <c r="AB503" s="57"/>
      <c r="AC503" s="57"/>
      <c r="AD503" s="57"/>
    </row>
    <row r="504" spans="1:30" ht="26.25" thickBot="1" x14ac:dyDescent="0.25">
      <c r="A504" s="57"/>
      <c r="B504" s="180" t="s">
        <v>14621</v>
      </c>
      <c r="C504" s="180" t="s">
        <v>14683</v>
      </c>
      <c r="D504" s="180">
        <v>30</v>
      </c>
      <c r="E504" s="180" t="s">
        <v>14684</v>
      </c>
      <c r="F504" s="180" t="s">
        <v>13502</v>
      </c>
      <c r="G504" s="180" t="s">
        <v>13803</v>
      </c>
      <c r="H504" s="57"/>
      <c r="I504" s="186" t="s">
        <v>14685</v>
      </c>
      <c r="J504" s="186" t="s">
        <v>13905</v>
      </c>
      <c r="K504" s="186" t="s">
        <v>14686</v>
      </c>
      <c r="L504" s="57"/>
      <c r="M504" s="57"/>
      <c r="N504" s="57"/>
      <c r="O504" s="57"/>
      <c r="P504" s="57"/>
      <c r="Q504" s="57"/>
      <c r="R504" s="57"/>
      <c r="S504" s="57"/>
      <c r="T504" s="57"/>
      <c r="U504" s="57"/>
      <c r="V504" s="57"/>
      <c r="W504" s="57"/>
      <c r="X504" s="57"/>
      <c r="Y504" s="57"/>
      <c r="Z504" s="57"/>
      <c r="AA504" s="57"/>
      <c r="AB504" s="57"/>
      <c r="AC504" s="57"/>
      <c r="AD504" s="57"/>
    </row>
    <row r="505" spans="1:30" ht="13.5" thickBot="1" x14ac:dyDescent="0.25">
      <c r="A505" s="57"/>
      <c r="B505" s="180" t="s">
        <v>14623</v>
      </c>
      <c r="C505" s="180" t="s">
        <v>14687</v>
      </c>
      <c r="D505" s="180" t="s">
        <v>14688</v>
      </c>
      <c r="E505" s="180" t="s">
        <v>14689</v>
      </c>
      <c r="F505" s="180" t="s">
        <v>13561</v>
      </c>
      <c r="G505" s="180" t="s">
        <v>13639</v>
      </c>
      <c r="H505" s="57"/>
      <c r="I505" s="186" t="s">
        <v>14690</v>
      </c>
      <c r="J505" s="186" t="s">
        <v>14691</v>
      </c>
      <c r="K505" s="186" t="s">
        <v>14692</v>
      </c>
      <c r="L505" s="57"/>
      <c r="M505" s="57"/>
      <c r="N505" s="57"/>
      <c r="O505" s="57"/>
      <c r="P505" s="57"/>
      <c r="Q505" s="57"/>
      <c r="R505" s="57"/>
      <c r="S505" s="57"/>
      <c r="T505" s="57"/>
      <c r="U505" s="57"/>
      <c r="V505" s="57"/>
      <c r="W505" s="57"/>
      <c r="X505" s="57"/>
      <c r="Y505" s="57"/>
      <c r="Z505" s="57"/>
      <c r="AA505" s="57"/>
      <c r="AB505" s="57"/>
      <c r="AC505" s="57"/>
      <c r="AD505" s="57"/>
    </row>
    <row r="506" spans="1:30" ht="13.5" thickBot="1" x14ac:dyDescent="0.25">
      <c r="A506" s="57"/>
      <c r="B506" s="178" t="s">
        <v>14627</v>
      </c>
      <c r="C506" s="178" t="s">
        <v>14693</v>
      </c>
      <c r="D506" s="178" t="s">
        <v>14694</v>
      </c>
      <c r="E506" s="178" t="s">
        <v>14695</v>
      </c>
      <c r="F506" s="178" t="s">
        <v>13558</v>
      </c>
      <c r="G506" s="178" t="s">
        <v>14696</v>
      </c>
      <c r="H506" s="57"/>
      <c r="I506" s="186" t="s">
        <v>14697</v>
      </c>
      <c r="J506" s="186" t="s">
        <v>14698</v>
      </c>
      <c r="K506" s="186" t="s">
        <v>14699</v>
      </c>
      <c r="L506" s="57"/>
      <c r="M506" s="57"/>
      <c r="N506" s="57"/>
      <c r="O506" s="57"/>
      <c r="P506" s="57"/>
      <c r="Q506" s="57"/>
      <c r="R506" s="57"/>
      <c r="S506" s="57"/>
      <c r="T506" s="57"/>
      <c r="U506" s="57"/>
      <c r="V506" s="57"/>
      <c r="W506" s="57"/>
      <c r="X506" s="57"/>
      <c r="Y506" s="57"/>
      <c r="Z506" s="57"/>
      <c r="AA506" s="57"/>
      <c r="AB506" s="57"/>
      <c r="AC506" s="57"/>
      <c r="AD506" s="57"/>
    </row>
    <row r="507" spans="1:30" ht="13.5" thickBot="1" x14ac:dyDescent="0.25">
      <c r="A507" s="57"/>
      <c r="B507" s="178" t="s">
        <v>14631</v>
      </c>
      <c r="C507" s="178" t="s">
        <v>14700</v>
      </c>
      <c r="D507" s="178" t="s">
        <v>14701</v>
      </c>
      <c r="E507" s="178" t="s">
        <v>14702</v>
      </c>
      <c r="F507" s="178" t="s">
        <v>13502</v>
      </c>
      <c r="G507" s="178" t="s">
        <v>13838</v>
      </c>
      <c r="H507" s="57"/>
      <c r="I507" s="57"/>
      <c r="J507" s="57"/>
      <c r="K507" s="57"/>
      <c r="L507" s="57"/>
      <c r="M507" s="57"/>
      <c r="N507" s="57"/>
      <c r="O507" s="57"/>
      <c r="P507" s="57"/>
      <c r="Q507" s="57"/>
      <c r="R507" s="57"/>
      <c r="S507" s="57"/>
      <c r="T507" s="57"/>
      <c r="U507" s="57"/>
      <c r="V507" s="57"/>
      <c r="W507" s="57"/>
      <c r="X507" s="57"/>
      <c r="Y507" s="57"/>
      <c r="Z507" s="57"/>
      <c r="AA507" s="57"/>
      <c r="AB507" s="57"/>
      <c r="AC507" s="57"/>
      <c r="AD507" s="57"/>
    </row>
    <row r="508" spans="1:30" ht="13.5" thickBot="1" x14ac:dyDescent="0.25">
      <c r="A508" s="57"/>
      <c r="B508" s="102"/>
      <c r="C508" s="57"/>
      <c r="D508" s="57"/>
      <c r="E508" s="268"/>
      <c r="F508" s="269"/>
      <c r="G508" s="102"/>
      <c r="H508" s="57"/>
      <c r="I508" s="57"/>
      <c r="J508" s="57"/>
      <c r="K508" s="57"/>
      <c r="L508" s="57"/>
      <c r="M508" s="57"/>
      <c r="N508" s="57"/>
      <c r="O508" s="57"/>
      <c r="P508" s="57"/>
      <c r="Q508" s="57"/>
      <c r="R508" s="57"/>
      <c r="S508" s="57"/>
      <c r="T508" s="57"/>
      <c r="U508" s="57"/>
      <c r="V508" s="57"/>
      <c r="W508" s="57"/>
      <c r="X508" s="57"/>
      <c r="Y508" s="57"/>
      <c r="Z508" s="57"/>
      <c r="AA508" s="57"/>
      <c r="AB508" s="57"/>
      <c r="AC508" s="57"/>
      <c r="AD508" s="57"/>
    </row>
    <row r="509" spans="1:30" ht="13.5" thickBot="1" x14ac:dyDescent="0.25">
      <c r="A509" s="57"/>
      <c r="B509" s="156" t="s">
        <v>14703</v>
      </c>
      <c r="C509" s="102"/>
      <c r="D509" s="102"/>
      <c r="E509" s="102"/>
      <c r="F509" s="102"/>
      <c r="G509" s="102"/>
      <c r="H509" s="57"/>
      <c r="I509" s="57"/>
      <c r="J509" s="57"/>
      <c r="K509" s="57"/>
      <c r="L509" s="57"/>
      <c r="M509" s="57"/>
      <c r="N509" s="57"/>
      <c r="O509" s="57"/>
      <c r="P509" s="57"/>
      <c r="Q509" s="57"/>
      <c r="R509" s="57"/>
      <c r="S509" s="57"/>
      <c r="T509" s="57"/>
      <c r="U509" s="57"/>
      <c r="V509" s="57"/>
      <c r="W509" s="57"/>
      <c r="X509" s="57"/>
      <c r="Y509" s="57"/>
      <c r="Z509" s="57"/>
      <c r="AA509" s="57"/>
      <c r="AB509" s="57"/>
      <c r="AC509" s="57"/>
      <c r="AD509" s="57"/>
    </row>
    <row r="510" spans="1:30" ht="13.5" thickBot="1" x14ac:dyDescent="0.25">
      <c r="A510" s="57"/>
      <c r="B510" s="180" t="s">
        <v>14463</v>
      </c>
      <c r="C510" s="180" t="s">
        <v>13737</v>
      </c>
      <c r="D510" s="180" t="s">
        <v>13738</v>
      </c>
      <c r="E510" s="180" t="s">
        <v>13739</v>
      </c>
      <c r="F510" s="180" t="s">
        <v>14378</v>
      </c>
      <c r="G510" s="180" t="s">
        <v>14609</v>
      </c>
      <c r="H510" s="57"/>
      <c r="I510" s="57"/>
      <c r="J510" s="57"/>
      <c r="K510" s="57"/>
      <c r="L510" s="57"/>
      <c r="M510" s="57"/>
      <c r="N510" s="57"/>
      <c r="O510" s="57"/>
      <c r="P510" s="57"/>
      <c r="Q510" s="57"/>
      <c r="R510" s="57"/>
      <c r="S510" s="57"/>
      <c r="T510" s="57"/>
      <c r="U510" s="57"/>
      <c r="V510" s="57"/>
      <c r="W510" s="57"/>
      <c r="X510" s="57"/>
      <c r="Y510" s="57"/>
      <c r="Z510" s="57"/>
      <c r="AA510" s="57"/>
      <c r="AB510" s="57"/>
      <c r="AC510" s="57"/>
      <c r="AD510" s="57"/>
    </row>
    <row r="511" spans="1:30" ht="26.25" thickBot="1" x14ac:dyDescent="0.25">
      <c r="A511" s="57"/>
      <c r="B511" s="154" t="s">
        <v>14704</v>
      </c>
      <c r="C511" s="186" t="s">
        <v>14705</v>
      </c>
      <c r="D511" s="186" t="s">
        <v>14706</v>
      </c>
      <c r="E511" s="186" t="s">
        <v>14707</v>
      </c>
      <c r="F511" s="186" t="s">
        <v>13840</v>
      </c>
      <c r="G511" s="184" t="s">
        <v>13958</v>
      </c>
      <c r="H511" s="57"/>
      <c r="I511" s="186" t="s">
        <v>14708</v>
      </c>
      <c r="J511" s="186" t="s">
        <v>14709</v>
      </c>
      <c r="K511" s="186" t="s">
        <v>14710</v>
      </c>
      <c r="L511" s="57"/>
      <c r="M511" s="57"/>
      <c r="N511" s="57"/>
      <c r="O511" s="57"/>
      <c r="P511" s="57"/>
      <c r="Q511" s="57"/>
      <c r="R511" s="57"/>
      <c r="S511" s="57"/>
      <c r="T511" s="57"/>
      <c r="U511" s="57"/>
      <c r="V511" s="57"/>
      <c r="W511" s="57"/>
      <c r="X511" s="57"/>
      <c r="Y511" s="57"/>
      <c r="Z511" s="57"/>
      <c r="AA511" s="57"/>
      <c r="AB511" s="57"/>
      <c r="AC511" s="57"/>
      <c r="AD511" s="57"/>
    </row>
    <row r="512" spans="1:30" ht="26.25" thickBot="1" x14ac:dyDescent="0.25">
      <c r="A512" s="57"/>
      <c r="B512" s="180" t="s">
        <v>14613</v>
      </c>
      <c r="C512" s="184" t="s">
        <v>14711</v>
      </c>
      <c r="D512" s="184" t="s">
        <v>14712</v>
      </c>
      <c r="E512" s="184" t="s">
        <v>14713</v>
      </c>
      <c r="F512" s="184" t="s">
        <v>13585</v>
      </c>
      <c r="G512" s="184" t="s">
        <v>13951</v>
      </c>
      <c r="H512" s="57"/>
      <c r="I512" s="186" t="s">
        <v>14714</v>
      </c>
      <c r="J512" s="186" t="s">
        <v>14715</v>
      </c>
      <c r="K512" s="186" t="s">
        <v>14716</v>
      </c>
      <c r="L512" s="57"/>
      <c r="M512" s="57"/>
      <c r="N512" s="57"/>
      <c r="O512" s="57"/>
      <c r="P512" s="57"/>
      <c r="Q512" s="57"/>
      <c r="R512" s="57"/>
      <c r="S512" s="57"/>
      <c r="T512" s="57"/>
      <c r="U512" s="57"/>
      <c r="V512" s="57"/>
      <c r="W512" s="57"/>
      <c r="X512" s="57"/>
      <c r="Y512" s="57"/>
      <c r="Z512" s="57"/>
      <c r="AA512" s="57"/>
      <c r="AB512" s="57"/>
      <c r="AC512" s="57"/>
      <c r="AD512" s="57"/>
    </row>
    <row r="513" spans="1:30" ht="13.5" thickBot="1" x14ac:dyDescent="0.25">
      <c r="A513" s="57"/>
      <c r="B513" s="154" t="s">
        <v>14717</v>
      </c>
      <c r="C513" s="186" t="s">
        <v>14718</v>
      </c>
      <c r="D513" s="186" t="s">
        <v>14718</v>
      </c>
      <c r="E513" s="186" t="s">
        <v>14718</v>
      </c>
      <c r="F513" s="186" t="s">
        <v>13569</v>
      </c>
      <c r="G513" s="186" t="s">
        <v>13955</v>
      </c>
      <c r="H513" s="57"/>
      <c r="I513" s="186" t="s">
        <v>14719</v>
      </c>
      <c r="J513" s="186" t="s">
        <v>14719</v>
      </c>
      <c r="K513" s="186" t="s">
        <v>14719</v>
      </c>
      <c r="L513" s="57"/>
      <c r="M513" s="57"/>
      <c r="N513" s="57"/>
      <c r="O513" s="57"/>
      <c r="P513" s="57"/>
      <c r="Q513" s="57"/>
      <c r="R513" s="57"/>
      <c r="S513" s="57"/>
      <c r="T513" s="57"/>
      <c r="U513" s="57"/>
      <c r="V513" s="57"/>
      <c r="W513" s="57"/>
      <c r="X513" s="57"/>
      <c r="Y513" s="57"/>
      <c r="Z513" s="57"/>
      <c r="AA513" s="57"/>
      <c r="AB513" s="57"/>
      <c r="AC513" s="57"/>
      <c r="AD513" s="57"/>
    </row>
    <row r="514" spans="1:30" ht="26.25" thickBot="1" x14ac:dyDescent="0.25">
      <c r="A514" s="57"/>
      <c r="B514" s="154" t="s">
        <v>14720</v>
      </c>
      <c r="C514" s="186">
        <v>52</v>
      </c>
      <c r="D514" s="186">
        <v>26</v>
      </c>
      <c r="E514" s="186" t="s">
        <v>14721</v>
      </c>
      <c r="F514" s="186" t="s">
        <v>13502</v>
      </c>
      <c r="G514" s="186" t="s">
        <v>13955</v>
      </c>
      <c r="H514" s="57"/>
      <c r="I514" s="186" t="s">
        <v>13566</v>
      </c>
      <c r="J514" s="186" t="s">
        <v>14696</v>
      </c>
      <c r="K514" s="186" t="s">
        <v>14722</v>
      </c>
      <c r="L514" s="57"/>
      <c r="M514" s="57"/>
      <c r="N514" s="57"/>
      <c r="O514" s="57"/>
      <c r="P514" s="57"/>
      <c r="Q514" s="57"/>
      <c r="R514" s="57"/>
      <c r="S514" s="57"/>
      <c r="T514" s="57"/>
      <c r="U514" s="57"/>
      <c r="V514" s="57"/>
      <c r="W514" s="57"/>
      <c r="X514" s="57"/>
      <c r="Y514" s="57"/>
      <c r="Z514" s="57"/>
      <c r="AA514" s="57"/>
      <c r="AB514" s="57"/>
      <c r="AC514" s="57"/>
      <c r="AD514" s="57"/>
    </row>
    <row r="515" spans="1:30" ht="13.5" thickBot="1" x14ac:dyDescent="0.25">
      <c r="A515" s="57"/>
      <c r="B515" s="154" t="s">
        <v>14623</v>
      </c>
      <c r="C515" s="186" t="s">
        <v>14718</v>
      </c>
      <c r="D515" s="186" t="s">
        <v>14723</v>
      </c>
      <c r="E515" s="186" t="s">
        <v>14724</v>
      </c>
      <c r="F515" s="186" t="s">
        <v>13558</v>
      </c>
      <c r="G515" s="186" t="s">
        <v>13836</v>
      </c>
      <c r="H515" s="57"/>
      <c r="I515" s="186" t="s">
        <v>14719</v>
      </c>
      <c r="J515" s="186" t="s">
        <v>14725</v>
      </c>
      <c r="K515" s="186" t="s">
        <v>14726</v>
      </c>
      <c r="L515" s="57"/>
      <c r="M515" s="57"/>
      <c r="N515" s="57"/>
      <c r="O515" s="57"/>
      <c r="P515" s="57"/>
      <c r="Q515" s="57"/>
      <c r="R515" s="57"/>
      <c r="S515" s="57"/>
      <c r="T515" s="57"/>
      <c r="U515" s="57"/>
      <c r="V515" s="57"/>
      <c r="W515" s="57"/>
      <c r="X515" s="57"/>
      <c r="Y515" s="57"/>
      <c r="Z515" s="57"/>
      <c r="AA515" s="57"/>
      <c r="AB515" s="57"/>
      <c r="AC515" s="57"/>
      <c r="AD515" s="57"/>
    </row>
    <row r="516" spans="1:30" ht="13.5" thickBot="1" x14ac:dyDescent="0.25">
      <c r="A516" s="57"/>
      <c r="B516" s="154" t="s">
        <v>14627</v>
      </c>
      <c r="C516" s="186" t="s">
        <v>14727</v>
      </c>
      <c r="D516" s="186" t="s">
        <v>14728</v>
      </c>
      <c r="E516" s="186" t="s">
        <v>14729</v>
      </c>
      <c r="F516" s="186" t="s">
        <v>13954</v>
      </c>
      <c r="G516" s="186" t="s">
        <v>14356</v>
      </c>
      <c r="H516" s="57"/>
      <c r="I516" s="186" t="s">
        <v>14730</v>
      </c>
      <c r="J516" s="186" t="s">
        <v>14731</v>
      </c>
      <c r="K516" s="186" t="s">
        <v>14732</v>
      </c>
      <c r="L516" s="57"/>
      <c r="M516" s="57"/>
      <c r="N516" s="57"/>
      <c r="O516" s="57"/>
      <c r="P516" s="57"/>
      <c r="Q516" s="57"/>
      <c r="R516" s="57"/>
      <c r="S516" s="57"/>
      <c r="T516" s="57"/>
      <c r="U516" s="57"/>
      <c r="V516" s="57"/>
      <c r="W516" s="57"/>
      <c r="X516" s="57"/>
      <c r="Y516" s="57"/>
      <c r="Z516" s="57"/>
      <c r="AA516" s="57"/>
      <c r="AB516" s="57"/>
      <c r="AC516" s="57"/>
      <c r="AD516" s="57"/>
    </row>
    <row r="517" spans="1:30" ht="13.5" thickBot="1" x14ac:dyDescent="0.25">
      <c r="A517" s="57"/>
      <c r="B517" s="154" t="s">
        <v>13565</v>
      </c>
      <c r="C517" s="186" t="s">
        <v>14733</v>
      </c>
      <c r="D517" s="186" t="s">
        <v>14734</v>
      </c>
      <c r="E517" s="186" t="s">
        <v>14735</v>
      </c>
      <c r="F517" s="186" t="s">
        <v>13800</v>
      </c>
      <c r="G517" s="186" t="s">
        <v>13955</v>
      </c>
      <c r="H517" s="57"/>
      <c r="I517" s="57"/>
      <c r="J517" s="57"/>
      <c r="K517" s="57"/>
      <c r="L517" s="57"/>
      <c r="M517" s="57"/>
      <c r="N517" s="57"/>
      <c r="O517" s="57"/>
      <c r="P517" s="57"/>
      <c r="Q517" s="57"/>
      <c r="R517" s="57"/>
      <c r="S517" s="57"/>
      <c r="T517" s="57"/>
      <c r="U517" s="57"/>
      <c r="V517" s="57"/>
      <c r="W517" s="57"/>
      <c r="X517" s="57"/>
      <c r="Y517" s="57"/>
      <c r="Z517" s="57"/>
      <c r="AA517" s="57"/>
      <c r="AB517" s="57"/>
      <c r="AC517" s="57"/>
      <c r="AD517" s="57"/>
    </row>
    <row r="518" spans="1:30" ht="13.5" thickBot="1" x14ac:dyDescent="0.25">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c r="AA518" s="57"/>
      <c r="AB518" s="57"/>
      <c r="AC518" s="57"/>
      <c r="AD518" s="57"/>
    </row>
    <row r="519" spans="1:30" ht="13.5" thickBot="1" x14ac:dyDescent="0.25">
      <c r="A519" s="57"/>
      <c r="B519" s="97" t="s">
        <v>14736</v>
      </c>
      <c r="C519" s="88"/>
      <c r="D519" s="88"/>
      <c r="E519" s="88"/>
      <c r="F519" s="88"/>
      <c r="G519" s="88"/>
      <c r="H519" s="57"/>
      <c r="I519" s="57"/>
      <c r="J519" s="57"/>
      <c r="K519" s="57"/>
      <c r="L519" s="57"/>
      <c r="M519" s="57"/>
      <c r="N519" s="57"/>
      <c r="O519" s="57"/>
      <c r="P519" s="57"/>
      <c r="Q519" s="57"/>
      <c r="R519" s="57"/>
      <c r="S519" s="57"/>
      <c r="T519" s="57"/>
      <c r="U519" s="57"/>
      <c r="V519" s="57"/>
      <c r="W519" s="57"/>
      <c r="X519" s="57"/>
      <c r="Y519" s="57"/>
      <c r="Z519" s="57"/>
      <c r="AA519" s="57"/>
      <c r="AB519" s="57"/>
      <c r="AC519" s="57"/>
      <c r="AD519" s="57"/>
    </row>
    <row r="520" spans="1:30" ht="13.5" thickBot="1" x14ac:dyDescent="0.25">
      <c r="A520" s="57"/>
      <c r="B520" s="178" t="s">
        <v>14463</v>
      </c>
      <c r="C520" s="179" t="s">
        <v>13737</v>
      </c>
      <c r="D520" s="178" t="s">
        <v>13738</v>
      </c>
      <c r="E520" s="178" t="s">
        <v>13739</v>
      </c>
      <c r="F520" s="178" t="s">
        <v>14378</v>
      </c>
      <c r="G520" s="178" t="s">
        <v>14609</v>
      </c>
      <c r="H520" s="57"/>
      <c r="I520" s="57"/>
      <c r="J520" s="57"/>
      <c r="K520" s="57"/>
      <c r="L520" s="57"/>
      <c r="M520" s="57"/>
      <c r="N520" s="57"/>
      <c r="O520" s="57"/>
      <c r="P520" s="57"/>
      <c r="Q520" s="57"/>
      <c r="R520" s="57"/>
      <c r="S520" s="57"/>
      <c r="T520" s="57"/>
      <c r="U520" s="57"/>
      <c r="V520" s="57"/>
      <c r="W520" s="57"/>
      <c r="X520" s="57"/>
      <c r="Y520" s="57"/>
      <c r="Z520" s="57"/>
      <c r="AA520" s="57"/>
      <c r="AB520" s="57"/>
      <c r="AC520" s="57"/>
      <c r="AD520" s="57"/>
    </row>
    <row r="521" spans="1:30" ht="26.25" thickBot="1" x14ac:dyDescent="0.25">
      <c r="A521" s="57"/>
      <c r="B521" s="180" t="s">
        <v>14610</v>
      </c>
      <c r="C521" s="180" t="s">
        <v>14611</v>
      </c>
      <c r="D521" s="180" t="s">
        <v>14612</v>
      </c>
      <c r="E521" s="180" t="s">
        <v>14061</v>
      </c>
      <c r="F521" s="180" t="s">
        <v>13567</v>
      </c>
      <c r="G521" s="180" t="s">
        <v>13450</v>
      </c>
      <c r="H521" s="57"/>
      <c r="I521" s="186" t="s">
        <v>14737</v>
      </c>
      <c r="J521" s="186" t="s">
        <v>14738</v>
      </c>
      <c r="K521" s="186" t="s">
        <v>14372</v>
      </c>
      <c r="L521" s="57"/>
      <c r="M521" s="57"/>
      <c r="N521" s="57"/>
      <c r="O521" s="57"/>
      <c r="P521" s="57"/>
      <c r="Q521" s="57"/>
      <c r="R521" s="57"/>
      <c r="S521" s="57"/>
      <c r="T521" s="57"/>
      <c r="U521" s="57"/>
      <c r="V521" s="57"/>
      <c r="W521" s="57"/>
      <c r="X521" s="57"/>
      <c r="Y521" s="57"/>
      <c r="Z521" s="57"/>
      <c r="AA521" s="57"/>
      <c r="AB521" s="57"/>
      <c r="AC521" s="57"/>
      <c r="AD521" s="57"/>
    </row>
    <row r="522" spans="1:30" ht="26.25" thickBot="1" x14ac:dyDescent="0.25">
      <c r="A522" s="57"/>
      <c r="B522" s="180" t="s">
        <v>14613</v>
      </c>
      <c r="C522" s="180" t="s">
        <v>14614</v>
      </c>
      <c r="D522" s="180" t="s">
        <v>14615</v>
      </c>
      <c r="E522" s="180" t="s">
        <v>14616</v>
      </c>
      <c r="F522" s="180" t="s">
        <v>13544</v>
      </c>
      <c r="G522" s="180" t="s">
        <v>13392</v>
      </c>
      <c r="H522" s="57"/>
      <c r="I522" s="186" t="s">
        <v>14739</v>
      </c>
      <c r="J522" s="186" t="s">
        <v>14740</v>
      </c>
      <c r="K522" s="186" t="s">
        <v>14741</v>
      </c>
      <c r="L522" s="57"/>
      <c r="M522" s="57"/>
      <c r="N522" s="57"/>
      <c r="O522" s="57"/>
      <c r="P522" s="57"/>
      <c r="Q522" s="57"/>
      <c r="R522" s="57"/>
      <c r="S522" s="57"/>
      <c r="T522" s="57"/>
      <c r="U522" s="57"/>
      <c r="V522" s="57"/>
      <c r="W522" s="57"/>
      <c r="X522" s="57"/>
      <c r="Y522" s="57"/>
      <c r="Z522" s="57"/>
      <c r="AA522" s="57"/>
      <c r="AB522" s="57"/>
      <c r="AC522" s="57"/>
      <c r="AD522" s="57"/>
    </row>
    <row r="523" spans="1:30" ht="13.5" thickBot="1" x14ac:dyDescent="0.25">
      <c r="A523" s="57"/>
      <c r="B523" s="180" t="s">
        <v>14617</v>
      </c>
      <c r="C523" s="180" t="s">
        <v>14618</v>
      </c>
      <c r="D523" s="180" t="s">
        <v>14619</v>
      </c>
      <c r="E523" s="180" t="s">
        <v>14620</v>
      </c>
      <c r="F523" s="180" t="s">
        <v>13543</v>
      </c>
      <c r="G523" s="180" t="s">
        <v>13650</v>
      </c>
      <c r="H523" s="57"/>
      <c r="I523" s="186" t="s">
        <v>14742</v>
      </c>
      <c r="J523" s="186" t="s">
        <v>14743</v>
      </c>
      <c r="K523" s="186" t="s">
        <v>14744</v>
      </c>
      <c r="L523" s="57"/>
      <c r="M523" s="57"/>
      <c r="N523" s="57"/>
      <c r="O523" s="57"/>
      <c r="P523" s="57"/>
      <c r="Q523" s="57"/>
      <c r="R523" s="57"/>
      <c r="S523" s="57"/>
      <c r="T523" s="57"/>
      <c r="U523" s="57"/>
      <c r="V523" s="57"/>
      <c r="W523" s="57"/>
      <c r="X523" s="57"/>
      <c r="Y523" s="57"/>
      <c r="Z523" s="57"/>
      <c r="AA523" s="57"/>
      <c r="AB523" s="57"/>
      <c r="AC523" s="57"/>
      <c r="AD523" s="57"/>
    </row>
    <row r="524" spans="1:30" ht="26.25" thickBot="1" x14ac:dyDescent="0.25">
      <c r="A524" s="57"/>
      <c r="B524" s="180" t="s">
        <v>14621</v>
      </c>
      <c r="C524" s="180">
        <v>50</v>
      </c>
      <c r="D524" s="180">
        <v>48</v>
      </c>
      <c r="E524" s="180" t="s">
        <v>14622</v>
      </c>
      <c r="F524" s="180" t="s">
        <v>13545</v>
      </c>
      <c r="G524" s="180" t="s">
        <v>13960</v>
      </c>
      <c r="H524" s="57"/>
      <c r="I524" s="186" t="s">
        <v>13450</v>
      </c>
      <c r="J524" s="186" t="s">
        <v>13961</v>
      </c>
      <c r="K524" s="186" t="s">
        <v>14745</v>
      </c>
      <c r="L524" s="57"/>
      <c r="M524" s="57"/>
      <c r="N524" s="57"/>
      <c r="O524" s="57"/>
      <c r="P524" s="57"/>
      <c r="Q524" s="57"/>
      <c r="R524" s="57"/>
      <c r="S524" s="57"/>
      <c r="T524" s="57"/>
      <c r="U524" s="57"/>
      <c r="V524" s="57"/>
      <c r="W524" s="57"/>
      <c r="X524" s="57"/>
      <c r="Y524" s="57"/>
      <c r="Z524" s="57"/>
      <c r="AA524" s="57"/>
      <c r="AB524" s="57"/>
      <c r="AC524" s="57"/>
      <c r="AD524" s="57"/>
    </row>
    <row r="525" spans="1:30" ht="13.5" thickBot="1" x14ac:dyDescent="0.25">
      <c r="A525" s="57"/>
      <c r="B525" s="180" t="s">
        <v>14623</v>
      </c>
      <c r="C525" s="180" t="s">
        <v>14624</v>
      </c>
      <c r="D525" s="180" t="s">
        <v>14625</v>
      </c>
      <c r="E525" s="180" t="s">
        <v>14626</v>
      </c>
      <c r="F525" s="180" t="s">
        <v>13543</v>
      </c>
      <c r="G525" s="180" t="s">
        <v>13785</v>
      </c>
      <c r="H525" s="57"/>
      <c r="I525" s="186" t="s">
        <v>14746</v>
      </c>
      <c r="J525" s="186" t="s">
        <v>14747</v>
      </c>
      <c r="K525" s="186" t="s">
        <v>14748</v>
      </c>
      <c r="L525" s="57"/>
      <c r="M525" s="57"/>
      <c r="N525" s="57"/>
      <c r="O525" s="57"/>
      <c r="P525" s="57"/>
      <c r="Q525" s="57"/>
      <c r="R525" s="57"/>
      <c r="S525" s="57"/>
      <c r="T525" s="57"/>
      <c r="U525" s="57"/>
      <c r="V525" s="57"/>
      <c r="W525" s="57"/>
      <c r="X525" s="57"/>
      <c r="Y525" s="57"/>
      <c r="Z525" s="57"/>
      <c r="AA525" s="57"/>
      <c r="AB525" s="57"/>
      <c r="AC525" s="57"/>
      <c r="AD525" s="57"/>
    </row>
    <row r="526" spans="1:30" ht="13.5" thickBot="1" x14ac:dyDescent="0.25">
      <c r="A526" s="57"/>
      <c r="B526" s="178" t="s">
        <v>14627</v>
      </c>
      <c r="C526" s="178" t="s">
        <v>14628</v>
      </c>
      <c r="D526" s="178" t="s">
        <v>14629</v>
      </c>
      <c r="E526" s="178" t="s">
        <v>14630</v>
      </c>
      <c r="F526" s="178" t="s">
        <v>13583</v>
      </c>
      <c r="G526" s="178" t="s">
        <v>13947</v>
      </c>
      <c r="H526" s="57"/>
      <c r="I526" s="186" t="s">
        <v>13921</v>
      </c>
      <c r="J526" s="186" t="s">
        <v>14749</v>
      </c>
      <c r="K526" s="186" t="s">
        <v>14750</v>
      </c>
      <c r="L526" s="57"/>
      <c r="M526" s="57"/>
      <c r="N526" s="57"/>
      <c r="O526" s="57"/>
      <c r="P526" s="57"/>
      <c r="Q526" s="57"/>
      <c r="R526" s="57"/>
      <c r="S526" s="57"/>
      <c r="T526" s="57"/>
      <c r="U526" s="57"/>
      <c r="V526" s="57"/>
      <c r="W526" s="57"/>
      <c r="X526" s="57"/>
      <c r="Y526" s="57"/>
      <c r="Z526" s="57"/>
      <c r="AA526" s="57"/>
      <c r="AB526" s="57"/>
      <c r="AC526" s="57"/>
      <c r="AD526" s="57"/>
    </row>
    <row r="527" spans="1:30" ht="13.5" thickBot="1" x14ac:dyDescent="0.25">
      <c r="A527" s="57"/>
      <c r="B527" s="178" t="s">
        <v>14631</v>
      </c>
      <c r="C527" s="178" t="s">
        <v>14632</v>
      </c>
      <c r="D527" s="178" t="s">
        <v>14633</v>
      </c>
      <c r="E527" s="178" t="s">
        <v>14634</v>
      </c>
      <c r="F527" s="178" t="s">
        <v>13544</v>
      </c>
      <c r="G527" s="178" t="s">
        <v>13519</v>
      </c>
      <c r="H527" s="57"/>
      <c r="I527" s="57"/>
      <c r="J527" s="57"/>
      <c r="K527" s="57"/>
      <c r="L527" s="57"/>
      <c r="M527" s="57"/>
      <c r="N527" s="57"/>
      <c r="O527" s="57"/>
      <c r="P527" s="57"/>
      <c r="Q527" s="57"/>
      <c r="R527" s="57"/>
      <c r="S527" s="57"/>
      <c r="T527" s="57"/>
      <c r="U527" s="57"/>
      <c r="V527" s="57"/>
      <c r="W527" s="57"/>
      <c r="X527" s="57"/>
      <c r="Y527" s="57"/>
      <c r="Z527" s="57"/>
      <c r="AA527" s="57"/>
      <c r="AB527" s="57"/>
      <c r="AC527" s="57"/>
      <c r="AD527" s="57"/>
    </row>
    <row r="528" spans="1:30" ht="13.5" thickBot="1" x14ac:dyDescent="0.25">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c r="AA528" s="57"/>
      <c r="AB528" s="57"/>
      <c r="AC528" s="57"/>
      <c r="AD528" s="57"/>
    </row>
    <row r="529" spans="1:30" ht="13.5" thickBot="1" x14ac:dyDescent="0.25">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c r="AA529" s="57"/>
      <c r="AB529" s="57"/>
      <c r="AC529" s="57"/>
      <c r="AD529" s="57"/>
    </row>
    <row r="530" spans="1:30" ht="13.5" thickBot="1" x14ac:dyDescent="0.25">
      <c r="A530" s="57"/>
      <c r="B530" s="97" t="s">
        <v>14751</v>
      </c>
      <c r="C530" s="88"/>
      <c r="D530" s="88"/>
      <c r="E530" s="88"/>
      <c r="F530" s="88"/>
      <c r="G530" s="88"/>
      <c r="H530" s="57"/>
      <c r="I530" s="57"/>
      <c r="J530" s="57"/>
      <c r="K530" s="57"/>
      <c r="L530" s="57"/>
      <c r="M530" s="57"/>
      <c r="N530" s="57"/>
      <c r="O530" s="57"/>
      <c r="P530" s="57"/>
      <c r="Q530" s="57"/>
      <c r="R530" s="57"/>
      <c r="S530" s="57"/>
      <c r="T530" s="57"/>
      <c r="U530" s="57"/>
      <c r="V530" s="57"/>
      <c r="W530" s="57"/>
      <c r="X530" s="57"/>
      <c r="Y530" s="57"/>
      <c r="Z530" s="57"/>
      <c r="AA530" s="57"/>
      <c r="AB530" s="57"/>
      <c r="AC530" s="57"/>
      <c r="AD530" s="57"/>
    </row>
    <row r="531" spans="1:30" ht="13.5" thickBot="1" x14ac:dyDescent="0.25">
      <c r="A531" s="57"/>
      <c r="B531" s="178" t="s">
        <v>14463</v>
      </c>
      <c r="C531" s="179" t="s">
        <v>13737</v>
      </c>
      <c r="D531" s="178" t="s">
        <v>13738</v>
      </c>
      <c r="E531" s="178" t="s">
        <v>13739</v>
      </c>
      <c r="F531" s="178" t="s">
        <v>14378</v>
      </c>
      <c r="G531" s="178" t="s">
        <v>14609</v>
      </c>
      <c r="H531" s="57"/>
      <c r="I531" s="57"/>
      <c r="J531" s="57"/>
      <c r="K531" s="57"/>
      <c r="L531" s="57"/>
      <c r="M531" s="57"/>
      <c r="N531" s="57"/>
      <c r="O531" s="57"/>
      <c r="P531" s="57"/>
      <c r="Q531" s="57"/>
      <c r="R531" s="57"/>
      <c r="S531" s="57"/>
      <c r="T531" s="57"/>
      <c r="U531" s="57"/>
      <c r="V531" s="57"/>
      <c r="W531" s="57"/>
      <c r="X531" s="57"/>
      <c r="Y531" s="57"/>
      <c r="Z531" s="57"/>
      <c r="AA531" s="57"/>
      <c r="AB531" s="57"/>
      <c r="AC531" s="57"/>
      <c r="AD531" s="57"/>
    </row>
    <row r="532" spans="1:30" ht="26.25" thickBot="1" x14ac:dyDescent="0.25">
      <c r="A532" s="57"/>
      <c r="B532" s="180" t="s">
        <v>14610</v>
      </c>
      <c r="C532" s="180" t="s">
        <v>14752</v>
      </c>
      <c r="D532" s="180" t="s">
        <v>14753</v>
      </c>
      <c r="E532" s="180" t="s">
        <v>14754</v>
      </c>
      <c r="F532" s="180" t="s">
        <v>13421</v>
      </c>
      <c r="G532" s="180" t="s">
        <v>13958</v>
      </c>
      <c r="H532" s="57"/>
      <c r="I532" s="186" t="s">
        <v>13692</v>
      </c>
      <c r="J532" s="186" t="s">
        <v>14755</v>
      </c>
      <c r="K532" s="186" t="s">
        <v>14756</v>
      </c>
      <c r="L532" s="57"/>
      <c r="M532" s="57"/>
      <c r="N532" s="57"/>
      <c r="O532" s="57"/>
      <c r="P532" s="57"/>
      <c r="Q532" s="57"/>
      <c r="R532" s="57"/>
      <c r="S532" s="57"/>
      <c r="T532" s="57"/>
      <c r="U532" s="57"/>
      <c r="V532" s="57"/>
      <c r="W532" s="57"/>
      <c r="X532" s="57"/>
      <c r="Y532" s="57"/>
      <c r="Z532" s="57"/>
      <c r="AA532" s="57"/>
      <c r="AB532" s="57"/>
      <c r="AC532" s="57"/>
      <c r="AD532" s="57"/>
    </row>
    <row r="533" spans="1:30" ht="26.25" thickBot="1" x14ac:dyDescent="0.25">
      <c r="A533" s="57"/>
      <c r="B533" s="180" t="s">
        <v>14613</v>
      </c>
      <c r="C533" s="180" t="s">
        <v>14757</v>
      </c>
      <c r="D533" s="180" t="s">
        <v>14758</v>
      </c>
      <c r="E533" s="180" t="s">
        <v>14759</v>
      </c>
      <c r="F533" s="180" t="s">
        <v>13509</v>
      </c>
      <c r="G533" s="180" t="s">
        <v>13958</v>
      </c>
      <c r="H533" s="57"/>
      <c r="I533" s="186" t="s">
        <v>14760</v>
      </c>
      <c r="J533" s="186" t="s">
        <v>14761</v>
      </c>
      <c r="K533" s="186" t="s">
        <v>14762</v>
      </c>
      <c r="L533" s="57"/>
      <c r="M533" s="57"/>
      <c r="N533" s="57"/>
      <c r="O533" s="57"/>
      <c r="P533" s="57"/>
      <c r="Q533" s="57"/>
      <c r="R533" s="57"/>
      <c r="S533" s="57"/>
      <c r="T533" s="57"/>
      <c r="U533" s="57"/>
      <c r="V533" s="57"/>
      <c r="W533" s="57"/>
      <c r="X533" s="57"/>
      <c r="Y533" s="57"/>
      <c r="Z533" s="57"/>
      <c r="AA533" s="57"/>
      <c r="AB533" s="57"/>
      <c r="AC533" s="57"/>
      <c r="AD533" s="57"/>
    </row>
    <row r="534" spans="1:30" ht="13.5" thickBot="1" x14ac:dyDescent="0.25">
      <c r="A534" s="57"/>
      <c r="B534" s="180" t="s">
        <v>14617</v>
      </c>
      <c r="C534" s="180" t="s">
        <v>14763</v>
      </c>
      <c r="D534" s="180" t="s">
        <v>14764</v>
      </c>
      <c r="E534" s="180" t="s">
        <v>14765</v>
      </c>
      <c r="F534" s="180" t="s">
        <v>13427</v>
      </c>
      <c r="G534" s="180" t="s">
        <v>13683</v>
      </c>
      <c r="H534" s="57"/>
      <c r="I534" s="186" t="s">
        <v>13834</v>
      </c>
      <c r="J534" s="186" t="s">
        <v>14766</v>
      </c>
      <c r="K534" s="186" t="s">
        <v>14767</v>
      </c>
      <c r="L534" s="57"/>
      <c r="M534" s="57"/>
      <c r="N534" s="57"/>
      <c r="O534" s="57"/>
      <c r="P534" s="57"/>
      <c r="Q534" s="57"/>
      <c r="R534" s="57"/>
      <c r="S534" s="57"/>
      <c r="T534" s="57"/>
      <c r="U534" s="57"/>
      <c r="V534" s="57"/>
      <c r="W534" s="57"/>
      <c r="X534" s="57"/>
      <c r="Y534" s="57"/>
      <c r="Z534" s="57"/>
      <c r="AA534" s="57"/>
      <c r="AB534" s="57"/>
      <c r="AC534" s="57"/>
      <c r="AD534" s="57"/>
    </row>
    <row r="535" spans="1:30" ht="26.25" thickBot="1" x14ac:dyDescent="0.25">
      <c r="A535" s="57"/>
      <c r="B535" s="180" t="s">
        <v>14621</v>
      </c>
      <c r="C535" s="180" t="s">
        <v>14768</v>
      </c>
      <c r="D535" s="180" t="s">
        <v>14769</v>
      </c>
      <c r="E535" s="180">
        <v>24</v>
      </c>
      <c r="F535" s="180" t="s">
        <v>13800</v>
      </c>
      <c r="G535" s="180" t="s">
        <v>13905</v>
      </c>
      <c r="H535" s="57"/>
      <c r="I535" s="186" t="s">
        <v>13805</v>
      </c>
      <c r="J535" s="186" t="s">
        <v>14770</v>
      </c>
      <c r="K535" s="186" t="s">
        <v>14657</v>
      </c>
      <c r="L535" s="57"/>
      <c r="M535" s="57"/>
      <c r="N535" s="57"/>
      <c r="O535" s="57"/>
      <c r="P535" s="57"/>
      <c r="Q535" s="57"/>
      <c r="R535" s="57"/>
      <c r="S535" s="57"/>
      <c r="T535" s="57"/>
      <c r="U535" s="57"/>
      <c r="V535" s="57"/>
      <c r="W535" s="57"/>
      <c r="X535" s="57"/>
      <c r="Y535" s="57"/>
      <c r="Z535" s="57"/>
      <c r="AA535" s="57"/>
      <c r="AB535" s="57"/>
      <c r="AC535" s="57"/>
      <c r="AD535" s="57"/>
    </row>
    <row r="536" spans="1:30" ht="13.5" thickBot="1" x14ac:dyDescent="0.25">
      <c r="A536" s="57"/>
      <c r="B536" s="180" t="s">
        <v>14623</v>
      </c>
      <c r="C536" s="180" t="s">
        <v>14771</v>
      </c>
      <c r="D536" s="180" t="s">
        <v>14771</v>
      </c>
      <c r="E536" s="180" t="s">
        <v>14771</v>
      </c>
      <c r="F536" s="180" t="s">
        <v>13566</v>
      </c>
      <c r="G536" s="180" t="s">
        <v>13638</v>
      </c>
      <c r="H536" s="57"/>
      <c r="I536" s="186" t="s">
        <v>13499</v>
      </c>
      <c r="J536" s="186" t="s">
        <v>13499</v>
      </c>
      <c r="K536" s="186" t="s">
        <v>13499</v>
      </c>
      <c r="L536" s="57"/>
      <c r="M536" s="57"/>
      <c r="N536" s="57"/>
      <c r="O536" s="57"/>
      <c r="P536" s="57"/>
      <c r="Q536" s="57"/>
      <c r="R536" s="57"/>
      <c r="S536" s="57"/>
      <c r="T536" s="57"/>
      <c r="U536" s="57"/>
      <c r="V536" s="57"/>
      <c r="W536" s="57"/>
      <c r="X536" s="57"/>
      <c r="Y536" s="57"/>
      <c r="Z536" s="57"/>
      <c r="AA536" s="57"/>
      <c r="AB536" s="57"/>
      <c r="AC536" s="57"/>
      <c r="AD536" s="57"/>
    </row>
    <row r="537" spans="1:30" ht="13.5" thickBot="1" x14ac:dyDescent="0.25">
      <c r="A537" s="57"/>
      <c r="B537" s="178" t="s">
        <v>14627</v>
      </c>
      <c r="C537" s="178" t="s">
        <v>14772</v>
      </c>
      <c r="D537" s="178" t="s">
        <v>14773</v>
      </c>
      <c r="E537" s="178" t="s">
        <v>14774</v>
      </c>
      <c r="F537" s="178" t="s">
        <v>13840</v>
      </c>
      <c r="G537" s="178" t="s">
        <v>13481</v>
      </c>
      <c r="H537" s="57"/>
      <c r="I537" s="186" t="s">
        <v>14775</v>
      </c>
      <c r="J537" s="186" t="s">
        <v>13498</v>
      </c>
      <c r="K537" s="186" t="s">
        <v>14438</v>
      </c>
      <c r="L537" s="57"/>
      <c r="M537" s="57"/>
      <c r="N537" s="57"/>
      <c r="O537" s="57"/>
      <c r="P537" s="57"/>
      <c r="Q537" s="57"/>
      <c r="R537" s="57"/>
      <c r="S537" s="57"/>
      <c r="T537" s="57"/>
      <c r="U537" s="57"/>
      <c r="V537" s="57"/>
      <c r="W537" s="57"/>
      <c r="X537" s="57"/>
      <c r="Y537" s="57"/>
      <c r="Z537" s="57"/>
      <c r="AA537" s="57"/>
      <c r="AB537" s="57"/>
      <c r="AC537" s="57"/>
      <c r="AD537" s="57"/>
    </row>
    <row r="538" spans="1:30" ht="13.5" thickBot="1" x14ac:dyDescent="0.25">
      <c r="A538" s="57"/>
      <c r="B538" s="178" t="s">
        <v>14631</v>
      </c>
      <c r="C538" s="178" t="s">
        <v>14776</v>
      </c>
      <c r="D538" s="178" t="s">
        <v>14777</v>
      </c>
      <c r="E538" s="178" t="s">
        <v>14778</v>
      </c>
      <c r="F538" s="178" t="s">
        <v>13840</v>
      </c>
      <c r="G538" s="178" t="s">
        <v>14779</v>
      </c>
      <c r="H538" s="57"/>
      <c r="I538" s="57"/>
      <c r="J538" s="57"/>
      <c r="K538" s="57"/>
      <c r="L538" s="57"/>
      <c r="M538" s="57"/>
      <c r="N538" s="57"/>
      <c r="O538" s="57"/>
      <c r="P538" s="57"/>
      <c r="Q538" s="57"/>
      <c r="R538" s="57"/>
      <c r="S538" s="57"/>
      <c r="T538" s="57"/>
      <c r="U538" s="57"/>
      <c r="V538" s="57"/>
      <c r="W538" s="57"/>
      <c r="X538" s="57"/>
      <c r="Y538" s="57"/>
      <c r="Z538" s="57"/>
      <c r="AA538" s="57"/>
      <c r="AB538" s="57"/>
      <c r="AC538" s="57"/>
      <c r="AD538" s="57"/>
    </row>
    <row r="539" spans="1:30" ht="13.5" thickBot="1" x14ac:dyDescent="0.25">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c r="AA539" s="57"/>
      <c r="AB539" s="57"/>
      <c r="AC539" s="57"/>
      <c r="AD539" s="57"/>
    </row>
    <row r="540" spans="1:30" ht="13.5" thickBot="1" x14ac:dyDescent="0.25">
      <c r="A540" s="57"/>
      <c r="B540" s="156" t="s">
        <v>14780</v>
      </c>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c r="AA540" s="57"/>
      <c r="AB540" s="57"/>
      <c r="AC540" s="57"/>
      <c r="AD540" s="57"/>
    </row>
    <row r="541" spans="1:30" ht="26.25" thickBot="1" x14ac:dyDescent="0.25">
      <c r="A541" s="57"/>
      <c r="B541" s="57"/>
      <c r="C541" s="187" t="s">
        <v>14781</v>
      </c>
      <c r="D541" s="88"/>
      <c r="E541" s="88"/>
      <c r="F541" s="57"/>
      <c r="G541" s="57"/>
      <c r="H541" s="57"/>
      <c r="I541" s="57"/>
      <c r="J541" s="57"/>
      <c r="K541" s="57"/>
      <c r="L541" s="57"/>
      <c r="M541" s="57"/>
      <c r="N541" s="57"/>
      <c r="O541" s="57"/>
      <c r="P541" s="57"/>
      <c r="Q541" s="57"/>
      <c r="R541" s="57"/>
      <c r="S541" s="57"/>
      <c r="T541" s="57"/>
      <c r="U541" s="57"/>
      <c r="V541" s="57"/>
      <c r="W541" s="57"/>
      <c r="X541" s="57"/>
      <c r="Y541" s="57"/>
      <c r="Z541" s="57"/>
      <c r="AA541" s="57"/>
      <c r="AB541" s="57"/>
      <c r="AC541" s="57"/>
      <c r="AD541" s="57"/>
    </row>
    <row r="542" spans="1:30" ht="13.5" thickBot="1" x14ac:dyDescent="0.25">
      <c r="A542" s="57"/>
      <c r="B542" s="57"/>
      <c r="C542" s="96"/>
      <c r="D542" s="150" t="s">
        <v>13287</v>
      </c>
      <c r="E542" s="188" t="s">
        <v>14782</v>
      </c>
      <c r="F542" s="57"/>
      <c r="G542" s="57"/>
      <c r="H542" s="57"/>
      <c r="I542" s="57"/>
      <c r="J542" s="57"/>
      <c r="K542" s="57"/>
      <c r="L542" s="57"/>
      <c r="M542" s="57"/>
      <c r="N542" s="57"/>
      <c r="O542" s="57"/>
      <c r="P542" s="57"/>
      <c r="Q542" s="57"/>
      <c r="R542" s="57"/>
      <c r="S542" s="57"/>
      <c r="T542" s="57"/>
      <c r="U542" s="57"/>
      <c r="V542" s="57"/>
      <c r="W542" s="57"/>
      <c r="X542" s="57"/>
      <c r="Y542" s="57"/>
      <c r="Z542" s="57"/>
      <c r="AA542" s="57"/>
      <c r="AB542" s="57"/>
      <c r="AC542" s="57"/>
      <c r="AD542" s="57"/>
    </row>
    <row r="543" spans="1:30" ht="13.5" thickBot="1" x14ac:dyDescent="0.25">
      <c r="A543" s="57"/>
      <c r="B543" s="80"/>
      <c r="C543" s="150" t="s">
        <v>13287</v>
      </c>
      <c r="D543" s="150">
        <v>288</v>
      </c>
      <c r="E543" s="188">
        <v>283</v>
      </c>
      <c r="F543" s="57"/>
      <c r="G543" s="57"/>
      <c r="H543" s="57"/>
      <c r="I543" s="57"/>
      <c r="J543" s="57"/>
      <c r="K543" s="57"/>
      <c r="L543" s="57"/>
      <c r="M543" s="57"/>
      <c r="N543" s="57"/>
      <c r="O543" s="57"/>
      <c r="P543" s="57"/>
      <c r="Q543" s="57"/>
      <c r="R543" s="57"/>
      <c r="S543" s="57"/>
      <c r="T543" s="57"/>
      <c r="U543" s="57"/>
      <c r="V543" s="57"/>
      <c r="W543" s="57"/>
      <c r="X543" s="57"/>
      <c r="Y543" s="57"/>
      <c r="Z543" s="57"/>
      <c r="AA543" s="57"/>
      <c r="AB543" s="57"/>
      <c r="AC543" s="57"/>
      <c r="AD543" s="57"/>
    </row>
    <row r="544" spans="1:30" ht="13.5" thickBot="1" x14ac:dyDescent="0.25">
      <c r="A544" s="57"/>
      <c r="B544" s="80"/>
      <c r="C544" s="150" t="s">
        <v>14782</v>
      </c>
      <c r="D544" s="150">
        <v>70</v>
      </c>
      <c r="E544" s="188">
        <v>71</v>
      </c>
      <c r="F544" s="57"/>
      <c r="G544" s="57"/>
      <c r="H544" s="57"/>
      <c r="I544" s="57"/>
      <c r="J544" s="57"/>
      <c r="K544" s="57"/>
      <c r="L544" s="57"/>
      <c r="M544" s="57"/>
      <c r="N544" s="57"/>
      <c r="O544" s="57"/>
      <c r="P544" s="57"/>
      <c r="Q544" s="57"/>
      <c r="R544" s="57"/>
      <c r="S544" s="57"/>
      <c r="T544" s="57"/>
      <c r="U544" s="57"/>
      <c r="V544" s="57"/>
      <c r="W544" s="57"/>
      <c r="X544" s="57"/>
      <c r="Y544" s="57"/>
      <c r="Z544" s="57"/>
      <c r="AA544" s="57"/>
      <c r="AB544" s="57"/>
      <c r="AC544" s="57"/>
      <c r="AD544" s="57"/>
    </row>
    <row r="545" spans="1:30" ht="13.5" thickBot="1" x14ac:dyDescent="0.25">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c r="AA545" s="57"/>
      <c r="AB545" s="57"/>
      <c r="AC545" s="57"/>
      <c r="AD545" s="57"/>
    </row>
    <row r="546" spans="1:30" ht="13.5" thickBot="1" x14ac:dyDescent="0.25">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c r="AA546" s="57"/>
      <c r="AB546" s="57"/>
      <c r="AC546" s="57"/>
      <c r="AD546" s="57"/>
    </row>
    <row r="547" spans="1:30" ht="13.5" thickBot="1" x14ac:dyDescent="0.25">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c r="AA547" s="57"/>
      <c r="AB547" s="57"/>
      <c r="AC547" s="57"/>
      <c r="AD547" s="57"/>
    </row>
    <row r="548" spans="1:30" ht="13.5" thickBot="1" x14ac:dyDescent="0.25">
      <c r="A548" s="57"/>
      <c r="B548" s="176" t="s">
        <v>2765</v>
      </c>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c r="AA548" s="57"/>
      <c r="AB548" s="57"/>
      <c r="AC548" s="57"/>
      <c r="AD548" s="57"/>
    </row>
    <row r="549" spans="1:30" ht="128.25" thickBot="1" x14ac:dyDescent="0.25">
      <c r="A549" s="57"/>
      <c r="B549" s="157" t="s">
        <v>12988</v>
      </c>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c r="AA549" s="57"/>
      <c r="AB549" s="57"/>
      <c r="AC549" s="57"/>
      <c r="AD549" s="57"/>
    </row>
    <row r="550" spans="1:30" ht="13.5" thickBot="1" x14ac:dyDescent="0.25">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c r="AA550" s="57"/>
      <c r="AB550" s="57"/>
      <c r="AC550" s="57"/>
      <c r="AD550" s="57"/>
    </row>
    <row r="551" spans="1:30" ht="13.5" thickBot="1" x14ac:dyDescent="0.25">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c r="AA551" s="57"/>
      <c r="AB551" s="57"/>
      <c r="AC551" s="57"/>
      <c r="AD551" s="57"/>
    </row>
    <row r="552" spans="1:30" ht="13.5" thickBot="1" x14ac:dyDescent="0.25">
      <c r="A552" s="57"/>
      <c r="B552" s="176" t="s">
        <v>3381</v>
      </c>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c r="AA552" s="57"/>
      <c r="AB552" s="57"/>
      <c r="AC552" s="57"/>
      <c r="AD552" s="57"/>
    </row>
    <row r="553" spans="1:30" ht="13.5" thickBot="1" x14ac:dyDescent="0.25">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c r="AA553" s="57"/>
      <c r="AB553" s="57"/>
      <c r="AC553" s="57"/>
      <c r="AD553" s="57"/>
    </row>
    <row r="554" spans="1:30" ht="26.25" thickBot="1" x14ac:dyDescent="0.25">
      <c r="A554" s="57"/>
      <c r="B554" s="157" t="s">
        <v>13201</v>
      </c>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c r="AA554" s="57"/>
      <c r="AB554" s="57"/>
      <c r="AC554" s="57"/>
      <c r="AD554" s="57"/>
    </row>
    <row r="555" spans="1:30" ht="13.5" thickBot="1" x14ac:dyDescent="0.25">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c r="AA555" s="57"/>
      <c r="AB555" s="57"/>
      <c r="AC555" s="57"/>
      <c r="AD555" s="57"/>
    </row>
    <row r="556" spans="1:30" ht="13.5" thickBot="1" x14ac:dyDescent="0.25">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c r="AA556" s="57"/>
      <c r="AB556" s="57"/>
      <c r="AC556" s="57"/>
      <c r="AD556" s="57"/>
    </row>
    <row r="557" spans="1:30" ht="179.25" thickBot="1" x14ac:dyDescent="0.25">
      <c r="A557" s="57"/>
      <c r="B557" s="189" t="s">
        <v>4122</v>
      </c>
      <c r="C557" s="154" t="s">
        <v>14483</v>
      </c>
      <c r="D557" s="57"/>
      <c r="E557" s="57"/>
      <c r="F557" s="57"/>
      <c r="G557" s="57"/>
      <c r="H557" s="57"/>
      <c r="I557" s="57"/>
      <c r="J557" s="57"/>
      <c r="K557" s="57"/>
      <c r="L557" s="57"/>
      <c r="M557" s="57"/>
      <c r="N557" s="57"/>
      <c r="O557" s="57"/>
      <c r="P557" s="57"/>
      <c r="Q557" s="57"/>
      <c r="R557" s="57"/>
      <c r="S557" s="57"/>
      <c r="T557" s="57"/>
      <c r="U557" s="57"/>
      <c r="V557" s="57"/>
      <c r="W557" s="57"/>
      <c r="X557" s="57"/>
      <c r="Y557" s="57"/>
      <c r="Z557" s="57"/>
      <c r="AA557" s="57"/>
      <c r="AB557" s="57"/>
      <c r="AC557" s="57"/>
      <c r="AD557" s="57"/>
    </row>
    <row r="558" spans="1:30" ht="13.5" thickBot="1" x14ac:dyDescent="0.25">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c r="AA558" s="57"/>
      <c r="AB558" s="57"/>
      <c r="AC558" s="57"/>
      <c r="AD558" s="57"/>
    </row>
    <row r="559" spans="1:30" ht="13.5" thickBot="1" x14ac:dyDescent="0.25">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c r="AA559" s="57"/>
      <c r="AB559" s="57"/>
      <c r="AC559" s="57"/>
      <c r="AD559" s="57"/>
    </row>
    <row r="560" spans="1:30" ht="115.5" thickBot="1" x14ac:dyDescent="0.25">
      <c r="A560" s="57"/>
      <c r="B560" s="189" t="s">
        <v>13156</v>
      </c>
      <c r="C560" s="154" t="s">
        <v>14483</v>
      </c>
      <c r="D560" s="57"/>
      <c r="E560" s="57"/>
      <c r="F560" s="57"/>
      <c r="G560" s="57"/>
      <c r="H560" s="57"/>
      <c r="I560" s="57"/>
      <c r="J560" s="57"/>
      <c r="K560" s="57"/>
      <c r="L560" s="57"/>
      <c r="M560" s="57"/>
      <c r="N560" s="57"/>
      <c r="O560" s="57"/>
      <c r="P560" s="57"/>
      <c r="Q560" s="57"/>
      <c r="R560" s="57"/>
      <c r="S560" s="57"/>
      <c r="T560" s="57"/>
      <c r="U560" s="57"/>
      <c r="V560" s="57"/>
      <c r="W560" s="57"/>
      <c r="X560" s="57"/>
      <c r="Y560" s="57"/>
      <c r="Z560" s="57"/>
      <c r="AA560" s="57"/>
      <c r="AB560" s="57"/>
      <c r="AC560" s="57"/>
      <c r="AD560" s="57"/>
    </row>
    <row r="561" spans="1:30" ht="13.5" thickBot="1" x14ac:dyDescent="0.25">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c r="AA561" s="57"/>
      <c r="AB561" s="57"/>
      <c r="AC561" s="57"/>
      <c r="AD561" s="57"/>
    </row>
    <row r="562" spans="1:30" ht="13.5" thickBot="1" x14ac:dyDescent="0.25">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c r="AA562" s="57"/>
      <c r="AB562" s="57"/>
      <c r="AC562" s="57"/>
      <c r="AD562" s="57"/>
    </row>
    <row r="563" spans="1:30" ht="166.5" thickBot="1" x14ac:dyDescent="0.25">
      <c r="A563" s="57"/>
      <c r="B563" s="189" t="s">
        <v>13229</v>
      </c>
      <c r="C563" s="154" t="s">
        <v>14483</v>
      </c>
      <c r="D563" s="57"/>
      <c r="E563" s="57"/>
      <c r="F563" s="57"/>
      <c r="G563" s="57"/>
      <c r="H563" s="57"/>
      <c r="I563" s="57"/>
      <c r="J563" s="57"/>
      <c r="K563" s="57"/>
      <c r="L563" s="57"/>
      <c r="M563" s="57"/>
      <c r="N563" s="57"/>
      <c r="O563" s="57"/>
      <c r="P563" s="57"/>
      <c r="Q563" s="57"/>
      <c r="R563" s="57"/>
      <c r="S563" s="57"/>
      <c r="T563" s="57"/>
      <c r="U563" s="57"/>
      <c r="V563" s="57"/>
      <c r="W563" s="57"/>
      <c r="X563" s="57"/>
      <c r="Y563" s="57"/>
      <c r="Z563" s="57"/>
      <c r="AA563" s="57"/>
      <c r="AB563" s="57"/>
      <c r="AC563" s="57"/>
      <c r="AD563" s="57"/>
    </row>
    <row r="564" spans="1:30" ht="13.5" thickBot="1" x14ac:dyDescent="0.25">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c r="AA564" s="57"/>
      <c r="AB564" s="57"/>
      <c r="AC564" s="57"/>
      <c r="AD564" s="57"/>
    </row>
    <row r="565" spans="1:30" ht="13.5" thickBot="1" x14ac:dyDescent="0.25">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c r="AA565" s="57"/>
      <c r="AB565" s="57"/>
      <c r="AC565" s="57"/>
      <c r="AD565" s="57"/>
    </row>
    <row r="566" spans="1:30" ht="13.5" thickBot="1" x14ac:dyDescent="0.25">
      <c r="A566" s="57"/>
      <c r="B566" s="176" t="s">
        <v>51</v>
      </c>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c r="AA566" s="57"/>
      <c r="AB566" s="57"/>
      <c r="AC566" s="57"/>
      <c r="AD566" s="57"/>
    </row>
    <row r="567" spans="1:30" ht="13.5" thickBot="1" x14ac:dyDescent="0.25">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c r="AA567" s="57"/>
      <c r="AB567" s="57"/>
      <c r="AC567" s="57"/>
      <c r="AD567" s="57"/>
    </row>
    <row r="568" spans="1:30" ht="13.5" thickBot="1" x14ac:dyDescent="0.25">
      <c r="A568" s="57"/>
      <c r="B568" s="97" t="s">
        <v>13975</v>
      </c>
      <c r="C568" s="88"/>
      <c r="D568" s="88"/>
      <c r="E568" s="88"/>
      <c r="F568" s="88"/>
      <c r="G568" s="57"/>
      <c r="H568" s="57"/>
      <c r="I568" s="57"/>
      <c r="J568" s="57"/>
      <c r="K568" s="57"/>
      <c r="L568" s="57"/>
      <c r="M568" s="57"/>
      <c r="N568" s="57"/>
      <c r="O568" s="57"/>
      <c r="P568" s="57"/>
      <c r="Q568" s="57"/>
      <c r="R568" s="57"/>
      <c r="S568" s="57"/>
      <c r="T568" s="57"/>
      <c r="U568" s="57"/>
      <c r="V568" s="57"/>
      <c r="W568" s="57"/>
      <c r="X568" s="57"/>
      <c r="Y568" s="57"/>
      <c r="Z568" s="57"/>
      <c r="AA568" s="57"/>
      <c r="AB568" s="57"/>
      <c r="AC568" s="57"/>
      <c r="AD568" s="57"/>
    </row>
    <row r="569" spans="1:30" ht="26.25" thickBot="1" x14ac:dyDescent="0.25">
      <c r="A569" s="57"/>
      <c r="B569" s="190" t="s">
        <v>13368</v>
      </c>
      <c r="C569" s="190" t="s">
        <v>13577</v>
      </c>
      <c r="D569" s="190" t="s">
        <v>13978</v>
      </c>
      <c r="E569" s="190" t="s">
        <v>13582</v>
      </c>
      <c r="F569" s="190" t="s">
        <v>13979</v>
      </c>
      <c r="G569" s="57"/>
      <c r="H569" s="57"/>
      <c r="I569" s="57"/>
      <c r="J569" s="57"/>
      <c r="K569" s="57"/>
      <c r="L569" s="57"/>
      <c r="M569" s="57"/>
      <c r="N569" s="57"/>
      <c r="O569" s="57"/>
      <c r="P569" s="57"/>
      <c r="Q569" s="57"/>
      <c r="R569" s="57"/>
      <c r="S569" s="57"/>
      <c r="T569" s="57"/>
      <c r="U569" s="57"/>
      <c r="V569" s="57"/>
      <c r="W569" s="57"/>
      <c r="X569" s="57"/>
      <c r="Y569" s="57"/>
      <c r="Z569" s="57"/>
      <c r="AA569" s="57"/>
      <c r="AB569" s="57"/>
      <c r="AC569" s="57"/>
      <c r="AD569" s="57"/>
    </row>
    <row r="570" spans="1:30" ht="13.5" thickBot="1" x14ac:dyDescent="0.25">
      <c r="A570" s="57"/>
      <c r="B570" s="191" t="s">
        <v>13372</v>
      </c>
      <c r="C570" s="192" t="s">
        <v>13980</v>
      </c>
      <c r="D570" s="191" t="s">
        <v>13981</v>
      </c>
      <c r="E570" s="191" t="s">
        <v>13982</v>
      </c>
      <c r="F570" s="191" t="s">
        <v>13983</v>
      </c>
      <c r="G570" s="186" t="s">
        <v>14783</v>
      </c>
      <c r="H570" s="186" t="s">
        <v>14784</v>
      </c>
      <c r="I570" s="186" t="s">
        <v>14785</v>
      </c>
      <c r="J570" s="186" t="s">
        <v>14786</v>
      </c>
      <c r="K570" s="57"/>
      <c r="L570" s="57"/>
      <c r="M570" s="57"/>
      <c r="N570" s="57"/>
      <c r="O570" s="57"/>
      <c r="P570" s="57"/>
      <c r="Q570" s="57"/>
      <c r="R570" s="57"/>
      <c r="S570" s="57"/>
      <c r="T570" s="57"/>
      <c r="U570" s="57"/>
      <c r="V570" s="57"/>
      <c r="W570" s="57"/>
      <c r="X570" s="57"/>
      <c r="Y570" s="57"/>
      <c r="Z570" s="57"/>
      <c r="AA570" s="57"/>
      <c r="AB570" s="57"/>
      <c r="AC570" s="57"/>
      <c r="AD570" s="57"/>
    </row>
    <row r="571" spans="1:30" ht="13.5" thickBot="1" x14ac:dyDescent="0.25">
      <c r="A571" s="57"/>
      <c r="B571" s="191" t="s">
        <v>13413</v>
      </c>
      <c r="C571" s="192" t="s">
        <v>13992</v>
      </c>
      <c r="D571" s="191">
        <v>70</v>
      </c>
      <c r="E571" s="191" t="s">
        <v>13993</v>
      </c>
      <c r="F571" s="191" t="s">
        <v>13994</v>
      </c>
      <c r="G571" s="186" t="s">
        <v>14787</v>
      </c>
      <c r="H571" s="186" t="s">
        <v>13491</v>
      </c>
      <c r="I571" s="186" t="s">
        <v>13881</v>
      </c>
      <c r="J571" s="186" t="s">
        <v>14788</v>
      </c>
      <c r="K571" s="57"/>
      <c r="L571" s="57"/>
      <c r="M571" s="57"/>
      <c r="N571" s="57"/>
      <c r="O571" s="57"/>
      <c r="P571" s="57"/>
      <c r="Q571" s="57"/>
      <c r="R571" s="57"/>
      <c r="S571" s="57"/>
      <c r="T571" s="57"/>
      <c r="U571" s="57"/>
      <c r="V571" s="57"/>
      <c r="W571" s="57"/>
      <c r="X571" s="57"/>
      <c r="Y571" s="57"/>
      <c r="Z571" s="57"/>
      <c r="AA571" s="57"/>
      <c r="AB571" s="57"/>
      <c r="AC571" s="57"/>
      <c r="AD571" s="57"/>
    </row>
    <row r="572" spans="1:30" ht="13.5" thickBot="1" x14ac:dyDescent="0.25">
      <c r="A572" s="57"/>
      <c r="B572" s="191" t="s">
        <v>13378</v>
      </c>
      <c r="C572" s="191" t="s">
        <v>14002</v>
      </c>
      <c r="D572" s="191" t="s">
        <v>14003</v>
      </c>
      <c r="E572" s="192" t="s">
        <v>14004</v>
      </c>
      <c r="F572" s="191" t="s">
        <v>14005</v>
      </c>
      <c r="G572" s="186" t="s">
        <v>14789</v>
      </c>
      <c r="H572" s="186" t="s">
        <v>14176</v>
      </c>
      <c r="I572" s="186" t="s">
        <v>14576</v>
      </c>
      <c r="J572" s="186" t="s">
        <v>14790</v>
      </c>
      <c r="K572" s="57"/>
      <c r="L572" s="57"/>
      <c r="M572" s="57"/>
      <c r="N572" s="57"/>
      <c r="O572" s="57"/>
      <c r="P572" s="57"/>
      <c r="Q572" s="57"/>
      <c r="R572" s="57"/>
      <c r="S572" s="57"/>
      <c r="T572" s="57"/>
      <c r="U572" s="57"/>
      <c r="V572" s="57"/>
      <c r="W572" s="57"/>
      <c r="X572" s="57"/>
      <c r="Y572" s="57"/>
      <c r="Z572" s="57"/>
      <c r="AA572" s="57"/>
      <c r="AB572" s="57"/>
      <c r="AC572" s="57"/>
      <c r="AD572" s="57"/>
    </row>
    <row r="573" spans="1:30" ht="13.5" thickBot="1" x14ac:dyDescent="0.25">
      <c r="A573" s="57"/>
      <c r="B573" s="191" t="s">
        <v>13384</v>
      </c>
      <c r="C573" s="192" t="s">
        <v>14014</v>
      </c>
      <c r="D573" s="191">
        <v>90</v>
      </c>
      <c r="E573" s="191" t="s">
        <v>14015</v>
      </c>
      <c r="F573" s="191" t="s">
        <v>14016</v>
      </c>
      <c r="G573" s="186" t="s">
        <v>14791</v>
      </c>
      <c r="H573" s="186" t="s">
        <v>13532</v>
      </c>
      <c r="I573" s="186" t="s">
        <v>13850</v>
      </c>
      <c r="J573" s="186" t="s">
        <v>14792</v>
      </c>
      <c r="K573" s="57"/>
      <c r="L573" s="57"/>
      <c r="M573" s="57"/>
      <c r="N573" s="57"/>
      <c r="O573" s="57"/>
      <c r="P573" s="57"/>
      <c r="Q573" s="57"/>
      <c r="R573" s="57"/>
      <c r="S573" s="57"/>
      <c r="T573" s="57"/>
      <c r="U573" s="57"/>
      <c r="V573" s="57"/>
      <c r="W573" s="57"/>
      <c r="X573" s="57"/>
      <c r="Y573" s="57"/>
      <c r="Z573" s="57"/>
      <c r="AA573" s="57"/>
      <c r="AB573" s="57"/>
      <c r="AC573" s="57"/>
      <c r="AD573" s="57"/>
    </row>
    <row r="574" spans="1:30" ht="13.5" thickBot="1" x14ac:dyDescent="0.25">
      <c r="A574" s="57"/>
      <c r="B574" s="191" t="s">
        <v>13391</v>
      </c>
      <c r="C574" s="192" t="s">
        <v>14023</v>
      </c>
      <c r="D574" s="191">
        <v>50</v>
      </c>
      <c r="E574" s="191" t="s">
        <v>14024</v>
      </c>
      <c r="F574" s="191" t="s">
        <v>14025</v>
      </c>
      <c r="G574" s="186" t="s">
        <v>13856</v>
      </c>
      <c r="H574" s="186" t="s">
        <v>13450</v>
      </c>
      <c r="I574" s="186" t="s">
        <v>14345</v>
      </c>
      <c r="J574" s="186" t="s">
        <v>14793</v>
      </c>
      <c r="K574" s="57"/>
      <c r="L574" s="57"/>
      <c r="M574" s="57"/>
      <c r="N574" s="57"/>
      <c r="O574" s="57"/>
      <c r="P574" s="57"/>
      <c r="Q574" s="57"/>
      <c r="R574" s="57"/>
      <c r="S574" s="57"/>
      <c r="T574" s="57"/>
      <c r="U574" s="57"/>
      <c r="V574" s="57"/>
      <c r="W574" s="57"/>
      <c r="X574" s="57"/>
      <c r="Y574" s="57"/>
      <c r="Z574" s="57"/>
      <c r="AA574" s="57"/>
      <c r="AB574" s="57"/>
      <c r="AC574" s="57"/>
      <c r="AD574" s="57"/>
    </row>
    <row r="575" spans="1:30" ht="13.5" thickBot="1" x14ac:dyDescent="0.25">
      <c r="A575" s="57"/>
      <c r="B575" s="191" t="s">
        <v>13397</v>
      </c>
      <c r="C575" s="191" t="s">
        <v>14033</v>
      </c>
      <c r="D575" s="192" t="s">
        <v>14034</v>
      </c>
      <c r="E575" s="191" t="s">
        <v>14035</v>
      </c>
      <c r="F575" s="191" t="s">
        <v>14036</v>
      </c>
      <c r="G575" s="186" t="s">
        <v>14794</v>
      </c>
      <c r="H575" s="186" t="s">
        <v>14795</v>
      </c>
      <c r="I575" s="186" t="s">
        <v>13663</v>
      </c>
      <c r="J575" s="186" t="s">
        <v>14209</v>
      </c>
      <c r="K575" s="57"/>
      <c r="L575" s="57"/>
      <c r="M575" s="57"/>
      <c r="N575" s="57"/>
      <c r="O575" s="57"/>
      <c r="P575" s="57"/>
      <c r="Q575" s="57"/>
      <c r="R575" s="57"/>
      <c r="S575" s="57"/>
      <c r="T575" s="57"/>
      <c r="U575" s="57"/>
      <c r="V575" s="57"/>
      <c r="W575" s="57"/>
      <c r="X575" s="57"/>
      <c r="Y575" s="57"/>
      <c r="Z575" s="57"/>
      <c r="AA575" s="57"/>
      <c r="AB575" s="57"/>
      <c r="AC575" s="57"/>
      <c r="AD575" s="57"/>
    </row>
    <row r="576" spans="1:30" ht="13.5" thickBot="1" x14ac:dyDescent="0.25">
      <c r="A576" s="57"/>
      <c r="B576" s="191" t="s">
        <v>13403</v>
      </c>
      <c r="C576" s="191" t="s">
        <v>14043</v>
      </c>
      <c r="D576" s="192" t="s">
        <v>14044</v>
      </c>
      <c r="E576" s="191" t="s">
        <v>14045</v>
      </c>
      <c r="F576" s="191" t="s">
        <v>14046</v>
      </c>
      <c r="G576" s="186" t="s">
        <v>14796</v>
      </c>
      <c r="H576" s="186" t="s">
        <v>14797</v>
      </c>
      <c r="I576" s="186" t="s">
        <v>13875</v>
      </c>
      <c r="J576" s="186" t="s">
        <v>14798</v>
      </c>
      <c r="K576" s="57"/>
      <c r="L576" s="57"/>
      <c r="M576" s="57"/>
      <c r="N576" s="57"/>
      <c r="O576" s="57"/>
      <c r="P576" s="57"/>
      <c r="Q576" s="57"/>
      <c r="R576" s="57"/>
      <c r="S576" s="57"/>
      <c r="T576" s="57"/>
      <c r="U576" s="57"/>
      <c r="V576" s="57"/>
      <c r="W576" s="57"/>
      <c r="X576" s="57"/>
      <c r="Y576" s="57"/>
      <c r="Z576" s="57"/>
      <c r="AA576" s="57"/>
      <c r="AB576" s="57"/>
      <c r="AC576" s="57"/>
      <c r="AD576" s="57"/>
    </row>
    <row r="577" spans="1:30" ht="13.5" thickBot="1" x14ac:dyDescent="0.25">
      <c r="A577" s="57"/>
      <c r="B577" s="191" t="s">
        <v>13408</v>
      </c>
      <c r="C577" s="191" t="s">
        <v>14055</v>
      </c>
      <c r="D577" s="192" t="s">
        <v>14056</v>
      </c>
      <c r="E577" s="191" t="s">
        <v>14057</v>
      </c>
      <c r="F577" s="191" t="s">
        <v>14058</v>
      </c>
      <c r="G577" s="186" t="s">
        <v>14799</v>
      </c>
      <c r="H577" s="186" t="s">
        <v>14800</v>
      </c>
      <c r="I577" s="186" t="s">
        <v>14801</v>
      </c>
      <c r="J577" s="186" t="s">
        <v>14802</v>
      </c>
      <c r="K577" s="57"/>
      <c r="L577" s="57"/>
      <c r="M577" s="57"/>
      <c r="N577" s="57"/>
      <c r="O577" s="57"/>
      <c r="P577" s="57"/>
      <c r="Q577" s="57"/>
      <c r="R577" s="57"/>
      <c r="S577" s="57"/>
      <c r="T577" s="57"/>
      <c r="U577" s="57"/>
      <c r="V577" s="57"/>
      <c r="W577" s="57"/>
      <c r="X577" s="57"/>
      <c r="Y577" s="57"/>
      <c r="Z577" s="57"/>
      <c r="AA577" s="57"/>
      <c r="AB577" s="57"/>
      <c r="AC577" s="57"/>
      <c r="AD577" s="57"/>
    </row>
    <row r="578" spans="1:30" ht="13.5" thickBot="1" x14ac:dyDescent="0.25">
      <c r="A578" s="57"/>
      <c r="B578" s="191" t="s">
        <v>13419</v>
      </c>
      <c r="C578" s="192" t="s">
        <v>14066</v>
      </c>
      <c r="D578" s="191">
        <v>75</v>
      </c>
      <c r="E578" s="191" t="s">
        <v>14067</v>
      </c>
      <c r="F578" s="191" t="s">
        <v>14068</v>
      </c>
      <c r="G578" s="186" t="s">
        <v>14803</v>
      </c>
      <c r="H578" s="186" t="s">
        <v>13583</v>
      </c>
      <c r="I578" s="186" t="s">
        <v>13816</v>
      </c>
      <c r="J578" s="186" t="s">
        <v>14804</v>
      </c>
      <c r="K578" s="57"/>
      <c r="L578" s="57"/>
      <c r="M578" s="57"/>
      <c r="N578" s="57"/>
      <c r="O578" s="57"/>
      <c r="P578" s="57"/>
      <c r="Q578" s="57"/>
      <c r="R578" s="57"/>
      <c r="S578" s="57"/>
      <c r="T578" s="57"/>
      <c r="U578" s="57"/>
      <c r="V578" s="57"/>
      <c r="W578" s="57"/>
      <c r="X578" s="57"/>
      <c r="Y578" s="57"/>
      <c r="Z578" s="57"/>
      <c r="AA578" s="57"/>
      <c r="AB578" s="57"/>
      <c r="AC578" s="57"/>
      <c r="AD578" s="57"/>
    </row>
    <row r="579" spans="1:30" ht="13.5" thickBot="1" x14ac:dyDescent="0.25">
      <c r="A579" s="57"/>
      <c r="B579" s="190" t="s">
        <v>13517</v>
      </c>
      <c r="C579" s="193" t="s">
        <v>14074</v>
      </c>
      <c r="D579" s="190" t="s">
        <v>14075</v>
      </c>
      <c r="E579" s="190">
        <v>67</v>
      </c>
      <c r="F579" s="190" t="s">
        <v>14076</v>
      </c>
      <c r="G579" s="186" t="s">
        <v>14805</v>
      </c>
      <c r="H579" s="186" t="s">
        <v>14806</v>
      </c>
      <c r="I579" s="186" t="s">
        <v>13561</v>
      </c>
      <c r="J579" s="186" t="s">
        <v>14807</v>
      </c>
      <c r="K579" s="57"/>
      <c r="L579" s="57"/>
      <c r="M579" s="57"/>
      <c r="N579" s="57"/>
      <c r="O579" s="57"/>
      <c r="P579" s="57"/>
      <c r="Q579" s="57"/>
      <c r="R579" s="57"/>
      <c r="S579" s="57"/>
      <c r="T579" s="57"/>
      <c r="U579" s="57"/>
      <c r="V579" s="57"/>
      <c r="W579" s="57"/>
      <c r="X579" s="57"/>
      <c r="Y579" s="57"/>
      <c r="Z579" s="57"/>
      <c r="AA579" s="57"/>
      <c r="AB579" s="57"/>
      <c r="AC579" s="57"/>
      <c r="AD579" s="57"/>
    </row>
    <row r="580" spans="1:30" ht="13.5" thickBot="1" x14ac:dyDescent="0.25">
      <c r="A580" s="57"/>
      <c r="B580" s="190" t="s">
        <v>13432</v>
      </c>
      <c r="C580" s="193" t="s">
        <v>14085</v>
      </c>
      <c r="D580" s="190" t="s">
        <v>14086</v>
      </c>
      <c r="E580" s="190" t="s">
        <v>14087</v>
      </c>
      <c r="F580" s="190" t="s">
        <v>14088</v>
      </c>
      <c r="G580" s="57"/>
      <c r="H580" s="57"/>
      <c r="I580" s="57"/>
      <c r="J580" s="57"/>
      <c r="K580" s="57"/>
      <c r="L580" s="57"/>
      <c r="M580" s="57"/>
      <c r="N580" s="57"/>
      <c r="O580" s="57"/>
      <c r="P580" s="57"/>
      <c r="Q580" s="57"/>
      <c r="R580" s="57"/>
      <c r="S580" s="57"/>
      <c r="T580" s="57"/>
      <c r="U580" s="57"/>
      <c r="V580" s="57"/>
      <c r="W580" s="57"/>
      <c r="X580" s="57"/>
      <c r="Y580" s="57"/>
      <c r="Z580" s="57"/>
      <c r="AA580" s="57"/>
      <c r="AB580" s="57"/>
      <c r="AC580" s="57"/>
      <c r="AD580" s="57"/>
    </row>
    <row r="581" spans="1:30" ht="13.5" thickBot="1" x14ac:dyDescent="0.25">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c r="AA581" s="57"/>
      <c r="AB581" s="57"/>
      <c r="AC581" s="57"/>
      <c r="AD581" s="57"/>
    </row>
    <row r="582" spans="1:30" ht="13.5" thickBot="1" x14ac:dyDescent="0.25">
      <c r="A582" s="57"/>
      <c r="B582" s="194" t="s">
        <v>13976</v>
      </c>
      <c r="C582" s="88"/>
      <c r="D582" s="88"/>
      <c r="E582" s="88"/>
      <c r="F582" s="88"/>
      <c r="G582" s="57"/>
      <c r="H582" s="57"/>
      <c r="I582" s="57"/>
      <c r="J582" s="57"/>
      <c r="K582" s="57"/>
      <c r="L582" s="57"/>
      <c r="M582" s="57"/>
      <c r="N582" s="57"/>
      <c r="O582" s="57"/>
      <c r="P582" s="57"/>
      <c r="Q582" s="57"/>
      <c r="R582" s="57"/>
      <c r="S582" s="57"/>
      <c r="T582" s="57"/>
      <c r="U582" s="57"/>
      <c r="V582" s="57"/>
      <c r="W582" s="57"/>
      <c r="X582" s="57"/>
      <c r="Y582" s="57"/>
      <c r="Z582" s="57"/>
      <c r="AA582" s="57"/>
      <c r="AB582" s="57"/>
      <c r="AC582" s="57"/>
      <c r="AD582" s="57"/>
    </row>
    <row r="583" spans="1:30" ht="26.25" thickBot="1" x14ac:dyDescent="0.25">
      <c r="A583" s="57"/>
      <c r="B583" s="190" t="s">
        <v>13368</v>
      </c>
      <c r="C583" s="190" t="s">
        <v>13577</v>
      </c>
      <c r="D583" s="190" t="s">
        <v>13978</v>
      </c>
      <c r="E583" s="190" t="s">
        <v>13582</v>
      </c>
      <c r="F583" s="190" t="s">
        <v>13979</v>
      </c>
      <c r="G583" s="57"/>
      <c r="H583" s="57"/>
      <c r="I583" s="57"/>
      <c r="J583" s="57"/>
      <c r="K583" s="57"/>
      <c r="L583" s="57"/>
      <c r="M583" s="57"/>
      <c r="N583" s="57"/>
      <c r="O583" s="57"/>
      <c r="P583" s="57"/>
      <c r="Q583" s="57"/>
      <c r="R583" s="57"/>
      <c r="S583" s="57"/>
      <c r="T583" s="57"/>
      <c r="U583" s="57"/>
      <c r="V583" s="57"/>
      <c r="W583" s="57"/>
      <c r="X583" s="57"/>
      <c r="Y583" s="57"/>
      <c r="Z583" s="57"/>
      <c r="AA583" s="57"/>
      <c r="AB583" s="57"/>
      <c r="AC583" s="57"/>
      <c r="AD583" s="57"/>
    </row>
    <row r="584" spans="1:30" ht="13.5" thickBot="1" x14ac:dyDescent="0.25">
      <c r="A584" s="57"/>
      <c r="B584" s="191" t="s">
        <v>13372</v>
      </c>
      <c r="C584" s="192" t="s">
        <v>13984</v>
      </c>
      <c r="D584" s="191" t="s">
        <v>13985</v>
      </c>
      <c r="E584" s="191" t="s">
        <v>13986</v>
      </c>
      <c r="F584" s="191" t="s">
        <v>13987</v>
      </c>
      <c r="G584" s="186" t="s">
        <v>14808</v>
      </c>
      <c r="H584" s="186" t="s">
        <v>14809</v>
      </c>
      <c r="I584" s="186" t="s">
        <v>13409</v>
      </c>
      <c r="J584" s="186" t="s">
        <v>14810</v>
      </c>
      <c r="K584" s="57"/>
      <c r="L584" s="57"/>
      <c r="M584" s="57"/>
      <c r="N584" s="57"/>
      <c r="O584" s="57"/>
      <c r="P584" s="57"/>
      <c r="Q584" s="57"/>
      <c r="R584" s="57"/>
      <c r="S584" s="57"/>
      <c r="T584" s="57"/>
      <c r="U584" s="57"/>
      <c r="V584" s="57"/>
      <c r="W584" s="57"/>
      <c r="X584" s="57"/>
      <c r="Y584" s="57"/>
      <c r="Z584" s="57"/>
      <c r="AA584" s="57"/>
      <c r="AB584" s="57"/>
      <c r="AC584" s="57"/>
      <c r="AD584" s="57"/>
    </row>
    <row r="585" spans="1:30" ht="13.5" thickBot="1" x14ac:dyDescent="0.25">
      <c r="A585" s="57"/>
      <c r="B585" s="191" t="s">
        <v>13413</v>
      </c>
      <c r="C585" s="192" t="s">
        <v>13995</v>
      </c>
      <c r="D585" s="191" t="s">
        <v>13996</v>
      </c>
      <c r="E585" s="191" t="s">
        <v>13997</v>
      </c>
      <c r="F585" s="191" t="s">
        <v>13998</v>
      </c>
      <c r="G585" s="186" t="s">
        <v>14811</v>
      </c>
      <c r="H585" s="186" t="s">
        <v>14812</v>
      </c>
      <c r="I585" s="186" t="s">
        <v>14405</v>
      </c>
      <c r="J585" s="186" t="s">
        <v>14813</v>
      </c>
      <c r="K585" s="57"/>
      <c r="L585" s="57"/>
      <c r="M585" s="57"/>
      <c r="N585" s="57"/>
      <c r="O585" s="57"/>
      <c r="P585" s="57"/>
      <c r="Q585" s="57"/>
      <c r="R585" s="57"/>
      <c r="S585" s="57"/>
      <c r="T585" s="57"/>
      <c r="U585" s="57"/>
      <c r="V585" s="57"/>
      <c r="W585" s="57"/>
      <c r="X585" s="57"/>
      <c r="Y585" s="57"/>
      <c r="Z585" s="57"/>
      <c r="AA585" s="57"/>
      <c r="AB585" s="57"/>
      <c r="AC585" s="57"/>
      <c r="AD585" s="57"/>
    </row>
    <row r="586" spans="1:30" ht="13.5" thickBot="1" x14ac:dyDescent="0.25">
      <c r="A586" s="57"/>
      <c r="B586" s="191" t="s">
        <v>13378</v>
      </c>
      <c r="C586" s="192" t="s">
        <v>14006</v>
      </c>
      <c r="D586" s="191" t="s">
        <v>14007</v>
      </c>
      <c r="E586" s="191" t="s">
        <v>14008</v>
      </c>
      <c r="F586" s="191" t="s">
        <v>14009</v>
      </c>
      <c r="G586" s="186" t="s">
        <v>14814</v>
      </c>
      <c r="H586" s="186" t="s">
        <v>14815</v>
      </c>
      <c r="I586" s="186" t="s">
        <v>14544</v>
      </c>
      <c r="J586" s="186" t="s">
        <v>14816</v>
      </c>
      <c r="K586" s="57"/>
      <c r="L586" s="57"/>
      <c r="M586" s="57"/>
      <c r="N586" s="57"/>
      <c r="O586" s="57"/>
      <c r="P586" s="57"/>
      <c r="Q586" s="57"/>
      <c r="R586" s="57"/>
      <c r="S586" s="57"/>
      <c r="T586" s="57"/>
      <c r="U586" s="57"/>
      <c r="V586" s="57"/>
      <c r="W586" s="57"/>
      <c r="X586" s="57"/>
      <c r="Y586" s="57"/>
      <c r="Z586" s="57"/>
      <c r="AA586" s="57"/>
      <c r="AB586" s="57"/>
      <c r="AC586" s="57"/>
      <c r="AD586" s="57"/>
    </row>
    <row r="587" spans="1:30" ht="13.5" thickBot="1" x14ac:dyDescent="0.25">
      <c r="A587" s="57"/>
      <c r="B587" s="191" t="s">
        <v>13384</v>
      </c>
      <c r="C587" s="192" t="s">
        <v>14017</v>
      </c>
      <c r="D587" s="191" t="s">
        <v>14018</v>
      </c>
      <c r="E587" s="191">
        <v>87</v>
      </c>
      <c r="F587" s="191" t="s">
        <v>14019</v>
      </c>
      <c r="G587" s="186" t="s">
        <v>14817</v>
      </c>
      <c r="H587" s="186" t="s">
        <v>14818</v>
      </c>
      <c r="I587" s="186" t="s">
        <v>13950</v>
      </c>
      <c r="J587" s="186" t="s">
        <v>13781</v>
      </c>
      <c r="K587" s="57"/>
      <c r="L587" s="57"/>
      <c r="M587" s="57"/>
      <c r="N587" s="57"/>
      <c r="O587" s="57"/>
      <c r="P587" s="57"/>
      <c r="Q587" s="57"/>
      <c r="R587" s="57"/>
      <c r="S587" s="57"/>
      <c r="T587" s="57"/>
      <c r="U587" s="57"/>
      <c r="V587" s="57"/>
      <c r="W587" s="57"/>
      <c r="X587" s="57"/>
      <c r="Y587" s="57"/>
      <c r="Z587" s="57"/>
      <c r="AA587" s="57"/>
      <c r="AB587" s="57"/>
      <c r="AC587" s="57"/>
      <c r="AD587" s="57"/>
    </row>
    <row r="588" spans="1:30" ht="13.5" thickBot="1" x14ac:dyDescent="0.25">
      <c r="A588" s="57"/>
      <c r="B588" s="191" t="s">
        <v>13391</v>
      </c>
      <c r="C588" s="192" t="s">
        <v>14026</v>
      </c>
      <c r="D588" s="191" t="s">
        <v>14018</v>
      </c>
      <c r="E588" s="191" t="s">
        <v>14027</v>
      </c>
      <c r="F588" s="191" t="s">
        <v>14028</v>
      </c>
      <c r="G588" s="186" t="s">
        <v>14819</v>
      </c>
      <c r="H588" s="186" t="s">
        <v>14818</v>
      </c>
      <c r="I588" s="186" t="s">
        <v>13695</v>
      </c>
      <c r="J588" s="186" t="s">
        <v>14820</v>
      </c>
      <c r="K588" s="57"/>
      <c r="L588" s="57"/>
      <c r="M588" s="57"/>
      <c r="N588" s="57"/>
      <c r="O588" s="57"/>
      <c r="P588" s="57"/>
      <c r="Q588" s="57"/>
      <c r="R588" s="57"/>
      <c r="S588" s="57"/>
      <c r="T588" s="57"/>
      <c r="U588" s="57"/>
      <c r="V588" s="57"/>
      <c r="W588" s="57"/>
      <c r="X588" s="57"/>
      <c r="Y588" s="57"/>
      <c r="Z588" s="57"/>
      <c r="AA588" s="57"/>
      <c r="AB588" s="57"/>
      <c r="AC588" s="57"/>
      <c r="AD588" s="57"/>
    </row>
    <row r="589" spans="1:30" ht="13.5" thickBot="1" x14ac:dyDescent="0.25">
      <c r="A589" s="57"/>
      <c r="B589" s="191" t="s">
        <v>13397</v>
      </c>
      <c r="C589" s="192" t="s">
        <v>14037</v>
      </c>
      <c r="D589" s="191" t="s">
        <v>14038</v>
      </c>
      <c r="E589" s="191">
        <v>75</v>
      </c>
      <c r="F589" s="191" t="s">
        <v>14039</v>
      </c>
      <c r="G589" s="186" t="s">
        <v>14821</v>
      </c>
      <c r="H589" s="186" t="s">
        <v>14822</v>
      </c>
      <c r="I589" s="186" t="s">
        <v>13583</v>
      </c>
      <c r="J589" s="186" t="s">
        <v>14823</v>
      </c>
      <c r="K589" s="57"/>
      <c r="L589" s="57"/>
      <c r="M589" s="57"/>
      <c r="N589" s="57"/>
      <c r="O589" s="57"/>
      <c r="P589" s="57"/>
      <c r="Q589" s="57"/>
      <c r="R589" s="57"/>
      <c r="S589" s="57"/>
      <c r="T589" s="57"/>
      <c r="U589" s="57"/>
      <c r="V589" s="57"/>
      <c r="W589" s="57"/>
      <c r="X589" s="57"/>
      <c r="Y589" s="57"/>
      <c r="Z589" s="57"/>
      <c r="AA589" s="57"/>
      <c r="AB589" s="57"/>
      <c r="AC589" s="57"/>
      <c r="AD589" s="57"/>
    </row>
    <row r="590" spans="1:30" ht="13.5" thickBot="1" x14ac:dyDescent="0.25">
      <c r="A590" s="57"/>
      <c r="B590" s="191" t="s">
        <v>13403</v>
      </c>
      <c r="C590" s="192" t="s">
        <v>14047</v>
      </c>
      <c r="D590" s="191" t="s">
        <v>14048</v>
      </c>
      <c r="E590" s="191" t="s">
        <v>14049</v>
      </c>
      <c r="F590" s="191" t="s">
        <v>14050</v>
      </c>
      <c r="G590" s="186" t="s">
        <v>14824</v>
      </c>
      <c r="H590" s="186" t="s">
        <v>14825</v>
      </c>
      <c r="I590" s="186" t="s">
        <v>14826</v>
      </c>
      <c r="J590" s="186" t="s">
        <v>14827</v>
      </c>
      <c r="K590" s="57"/>
      <c r="L590" s="57"/>
      <c r="M590" s="57"/>
      <c r="N590" s="57"/>
      <c r="O590" s="57"/>
      <c r="P590" s="57"/>
      <c r="Q590" s="57"/>
      <c r="R590" s="57"/>
      <c r="S590" s="57"/>
      <c r="T590" s="57"/>
      <c r="U590" s="57"/>
      <c r="V590" s="57"/>
      <c r="W590" s="57"/>
      <c r="X590" s="57"/>
      <c r="Y590" s="57"/>
      <c r="Z590" s="57"/>
      <c r="AA590" s="57"/>
      <c r="AB590" s="57"/>
      <c r="AC590" s="57"/>
      <c r="AD590" s="57"/>
    </row>
    <row r="591" spans="1:30" ht="13.5" thickBot="1" x14ac:dyDescent="0.25">
      <c r="A591" s="57"/>
      <c r="B591" s="191" t="s">
        <v>13408</v>
      </c>
      <c r="C591" s="192" t="s">
        <v>14059</v>
      </c>
      <c r="D591" s="191" t="s">
        <v>14060</v>
      </c>
      <c r="E591" s="191" t="s">
        <v>14061</v>
      </c>
      <c r="F591" s="191" t="s">
        <v>14062</v>
      </c>
      <c r="G591" s="186" t="s">
        <v>14828</v>
      </c>
      <c r="H591" s="186" t="s">
        <v>14829</v>
      </c>
      <c r="I591" s="186" t="s">
        <v>14372</v>
      </c>
      <c r="J591" s="186" t="s">
        <v>14830</v>
      </c>
      <c r="K591" s="57"/>
      <c r="L591" s="57"/>
      <c r="M591" s="57"/>
      <c r="N591" s="57"/>
      <c r="O591" s="57"/>
      <c r="P591" s="57"/>
      <c r="Q591" s="57"/>
      <c r="R591" s="57"/>
      <c r="S591" s="57"/>
      <c r="T591" s="57"/>
      <c r="U591" s="57"/>
      <c r="V591" s="57"/>
      <c r="W591" s="57"/>
      <c r="X591" s="57"/>
      <c r="Y591" s="57"/>
      <c r="Z591" s="57"/>
      <c r="AA591" s="57"/>
      <c r="AB591" s="57"/>
      <c r="AC591" s="57"/>
      <c r="AD591" s="57"/>
    </row>
    <row r="592" spans="1:30" ht="13.5" thickBot="1" x14ac:dyDescent="0.25">
      <c r="A592" s="57"/>
      <c r="B592" s="191" t="s">
        <v>13419</v>
      </c>
      <c r="C592" s="192" t="s">
        <v>14069</v>
      </c>
      <c r="D592" s="191" t="s">
        <v>14070</v>
      </c>
      <c r="E592" s="191" t="s">
        <v>14071</v>
      </c>
      <c r="F592" s="191" t="s">
        <v>14068</v>
      </c>
      <c r="G592" s="186" t="s">
        <v>14831</v>
      </c>
      <c r="H592" s="186" t="s">
        <v>14832</v>
      </c>
      <c r="I592" s="186" t="s">
        <v>13889</v>
      </c>
      <c r="J592" s="186" t="s">
        <v>14804</v>
      </c>
      <c r="K592" s="57"/>
      <c r="L592" s="57"/>
      <c r="M592" s="57"/>
      <c r="N592" s="57"/>
      <c r="O592" s="57"/>
      <c r="P592" s="57"/>
      <c r="Q592" s="57"/>
      <c r="R592" s="57"/>
      <c r="S592" s="57"/>
      <c r="T592" s="57"/>
      <c r="U592" s="57"/>
      <c r="V592" s="57"/>
      <c r="W592" s="57"/>
      <c r="X592" s="57"/>
      <c r="Y592" s="57"/>
      <c r="Z592" s="57"/>
      <c r="AA592" s="57"/>
      <c r="AB592" s="57"/>
      <c r="AC592" s="57"/>
      <c r="AD592" s="57"/>
    </row>
    <row r="593" spans="1:30" ht="13.5" thickBot="1" x14ac:dyDescent="0.25">
      <c r="A593" s="57"/>
      <c r="B593" s="190" t="s">
        <v>13517</v>
      </c>
      <c r="C593" s="193" t="s">
        <v>14077</v>
      </c>
      <c r="D593" s="190" t="s">
        <v>14078</v>
      </c>
      <c r="E593" s="190" t="s">
        <v>14079</v>
      </c>
      <c r="F593" s="190" t="s">
        <v>14080</v>
      </c>
      <c r="G593" s="186" t="s">
        <v>14833</v>
      </c>
      <c r="H593" s="186" t="s">
        <v>14834</v>
      </c>
      <c r="I593" s="186" t="s">
        <v>13962</v>
      </c>
      <c r="J593" s="186" t="s">
        <v>14835</v>
      </c>
      <c r="K593" s="57"/>
      <c r="L593" s="57"/>
      <c r="M593" s="57"/>
      <c r="N593" s="57"/>
      <c r="O593" s="57"/>
      <c r="P593" s="57"/>
      <c r="Q593" s="57"/>
      <c r="R593" s="57"/>
      <c r="S593" s="57"/>
      <c r="T593" s="57"/>
      <c r="U593" s="57"/>
      <c r="V593" s="57"/>
      <c r="W593" s="57"/>
      <c r="X593" s="57"/>
      <c r="Y593" s="57"/>
      <c r="Z593" s="57"/>
      <c r="AA593" s="57"/>
      <c r="AB593" s="57"/>
      <c r="AC593" s="57"/>
      <c r="AD593" s="57"/>
    </row>
    <row r="594" spans="1:30" ht="13.5" thickBot="1" x14ac:dyDescent="0.25">
      <c r="A594" s="57"/>
      <c r="B594" s="190" t="s">
        <v>13432</v>
      </c>
      <c r="C594" s="193" t="s">
        <v>14089</v>
      </c>
      <c r="D594" s="190" t="s">
        <v>14090</v>
      </c>
      <c r="E594" s="190">
        <v>67</v>
      </c>
      <c r="F594" s="190" t="s">
        <v>14091</v>
      </c>
      <c r="G594" s="186" t="s">
        <v>14836</v>
      </c>
      <c r="H594" s="57"/>
      <c r="I594" s="57"/>
      <c r="J594" s="57"/>
      <c r="K594" s="57"/>
      <c r="L594" s="57"/>
      <c r="M594" s="57"/>
      <c r="N594" s="57"/>
      <c r="O594" s="57"/>
      <c r="P594" s="57"/>
      <c r="Q594" s="57"/>
      <c r="R594" s="57"/>
      <c r="S594" s="57"/>
      <c r="T594" s="57"/>
      <c r="U594" s="57"/>
      <c r="V594" s="57"/>
      <c r="W594" s="57"/>
      <c r="X594" s="57"/>
      <c r="Y594" s="57"/>
      <c r="Z594" s="57"/>
      <c r="AA594" s="57"/>
      <c r="AB594" s="57"/>
      <c r="AC594" s="57"/>
      <c r="AD594" s="57"/>
    </row>
    <row r="595" spans="1:30" ht="13.5" thickBot="1" x14ac:dyDescent="0.25">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c r="AA595" s="57"/>
      <c r="AB595" s="57"/>
      <c r="AC595" s="57"/>
      <c r="AD595" s="57"/>
    </row>
    <row r="596" spans="1:30" ht="13.5" thickBot="1" x14ac:dyDescent="0.25">
      <c r="A596" s="57"/>
      <c r="B596" s="194" t="s">
        <v>13977</v>
      </c>
      <c r="C596" s="88"/>
      <c r="D596" s="88"/>
      <c r="E596" s="88"/>
      <c r="F596" s="88"/>
      <c r="G596" s="57"/>
      <c r="H596" s="57"/>
      <c r="I596" s="57"/>
      <c r="J596" s="57"/>
      <c r="K596" s="57"/>
      <c r="L596" s="57"/>
      <c r="M596" s="57"/>
      <c r="N596" s="57"/>
      <c r="O596" s="57"/>
      <c r="P596" s="57"/>
      <c r="Q596" s="57"/>
      <c r="R596" s="57"/>
      <c r="S596" s="57"/>
      <c r="T596" s="57"/>
      <c r="U596" s="57"/>
      <c r="V596" s="57"/>
      <c r="W596" s="57"/>
      <c r="X596" s="57"/>
      <c r="Y596" s="57"/>
      <c r="Z596" s="57"/>
      <c r="AA596" s="57"/>
      <c r="AB596" s="57"/>
      <c r="AC596" s="57"/>
      <c r="AD596" s="57"/>
    </row>
    <row r="597" spans="1:30" ht="26.25" thickBot="1" x14ac:dyDescent="0.25">
      <c r="A597" s="57"/>
      <c r="B597" s="190" t="s">
        <v>13368</v>
      </c>
      <c r="C597" s="190" t="s">
        <v>13577</v>
      </c>
      <c r="D597" s="190" t="s">
        <v>13978</v>
      </c>
      <c r="E597" s="190" t="s">
        <v>13582</v>
      </c>
      <c r="F597" s="190" t="s">
        <v>13979</v>
      </c>
      <c r="G597" s="57"/>
      <c r="H597" s="57"/>
      <c r="I597" s="57"/>
      <c r="J597" s="57"/>
      <c r="K597" s="57"/>
      <c r="L597" s="57"/>
      <c r="M597" s="57"/>
      <c r="N597" s="57"/>
      <c r="O597" s="57"/>
      <c r="P597" s="57"/>
      <c r="Q597" s="57"/>
      <c r="R597" s="57"/>
      <c r="S597" s="57"/>
      <c r="T597" s="57"/>
      <c r="U597" s="57"/>
      <c r="V597" s="57"/>
      <c r="W597" s="57"/>
      <c r="X597" s="57"/>
      <c r="Y597" s="57"/>
      <c r="Z597" s="57"/>
      <c r="AA597" s="57"/>
      <c r="AB597" s="57"/>
      <c r="AC597" s="57"/>
      <c r="AD597" s="57"/>
    </row>
    <row r="598" spans="1:30" ht="13.5" thickBot="1" x14ac:dyDescent="0.25">
      <c r="A598" s="57"/>
      <c r="B598" s="191" t="s">
        <v>13372</v>
      </c>
      <c r="C598" s="192" t="s">
        <v>13988</v>
      </c>
      <c r="D598" s="191" t="s">
        <v>13989</v>
      </c>
      <c r="E598" s="191" t="s">
        <v>13990</v>
      </c>
      <c r="F598" s="191" t="s">
        <v>13991</v>
      </c>
      <c r="G598" s="186" t="s">
        <v>14837</v>
      </c>
      <c r="H598" s="186" t="s">
        <v>14838</v>
      </c>
      <c r="I598" s="186" t="s">
        <v>14479</v>
      </c>
      <c r="J598" s="186" t="s">
        <v>14839</v>
      </c>
      <c r="K598" s="57"/>
      <c r="L598" s="57"/>
      <c r="M598" s="57"/>
      <c r="N598" s="57"/>
      <c r="O598" s="57"/>
      <c r="P598" s="57"/>
      <c r="Q598" s="57"/>
      <c r="R598" s="57"/>
      <c r="S598" s="57"/>
      <c r="T598" s="57"/>
      <c r="U598" s="57"/>
      <c r="V598" s="57"/>
      <c r="W598" s="57"/>
      <c r="X598" s="57"/>
      <c r="Y598" s="57"/>
      <c r="Z598" s="57"/>
      <c r="AA598" s="57"/>
      <c r="AB598" s="57"/>
      <c r="AC598" s="57"/>
      <c r="AD598" s="57"/>
    </row>
    <row r="599" spans="1:30" ht="13.5" thickBot="1" x14ac:dyDescent="0.25">
      <c r="A599" s="57"/>
      <c r="B599" s="191" t="s">
        <v>13413</v>
      </c>
      <c r="C599" s="192" t="s">
        <v>13999</v>
      </c>
      <c r="D599" s="191" t="s">
        <v>14000</v>
      </c>
      <c r="E599" s="191">
        <v>79</v>
      </c>
      <c r="F599" s="191" t="s">
        <v>14001</v>
      </c>
      <c r="G599" s="186" t="s">
        <v>14840</v>
      </c>
      <c r="H599" s="186" t="s">
        <v>14841</v>
      </c>
      <c r="I599" s="186" t="s">
        <v>14482</v>
      </c>
      <c r="J599" s="186" t="s">
        <v>14842</v>
      </c>
      <c r="K599" s="57"/>
      <c r="L599" s="57"/>
      <c r="M599" s="57"/>
      <c r="N599" s="57"/>
      <c r="O599" s="57"/>
      <c r="P599" s="57"/>
      <c r="Q599" s="57"/>
      <c r="R599" s="57"/>
      <c r="S599" s="57"/>
      <c r="T599" s="57"/>
      <c r="U599" s="57"/>
      <c r="V599" s="57"/>
      <c r="W599" s="57"/>
      <c r="X599" s="57"/>
      <c r="Y599" s="57"/>
      <c r="Z599" s="57"/>
      <c r="AA599" s="57"/>
      <c r="AB599" s="57"/>
      <c r="AC599" s="57"/>
      <c r="AD599" s="57"/>
    </row>
    <row r="600" spans="1:30" ht="13.5" thickBot="1" x14ac:dyDescent="0.25">
      <c r="A600" s="57"/>
      <c r="B600" s="191" t="s">
        <v>13378</v>
      </c>
      <c r="C600" s="192" t="s">
        <v>14010</v>
      </c>
      <c r="D600" s="191" t="s">
        <v>14011</v>
      </c>
      <c r="E600" s="191" t="s">
        <v>14012</v>
      </c>
      <c r="F600" s="191" t="s">
        <v>14013</v>
      </c>
      <c r="G600" s="186" t="s">
        <v>14843</v>
      </c>
      <c r="H600" s="186" t="s">
        <v>13375</v>
      </c>
      <c r="I600" s="186" t="s">
        <v>14844</v>
      </c>
      <c r="J600" s="186" t="s">
        <v>14845</v>
      </c>
      <c r="K600" s="57"/>
      <c r="L600" s="57"/>
      <c r="M600" s="57"/>
      <c r="N600" s="57"/>
      <c r="O600" s="57"/>
      <c r="P600" s="57"/>
      <c r="Q600" s="57"/>
      <c r="R600" s="57"/>
      <c r="S600" s="57"/>
      <c r="T600" s="57"/>
      <c r="U600" s="57"/>
      <c r="V600" s="57"/>
      <c r="W600" s="57"/>
      <c r="X600" s="57"/>
      <c r="Y600" s="57"/>
      <c r="Z600" s="57"/>
      <c r="AA600" s="57"/>
      <c r="AB600" s="57"/>
      <c r="AC600" s="57"/>
      <c r="AD600" s="57"/>
    </row>
    <row r="601" spans="1:30" ht="13.5" thickBot="1" x14ac:dyDescent="0.25">
      <c r="A601" s="57"/>
      <c r="B601" s="191" t="s">
        <v>13384</v>
      </c>
      <c r="C601" s="192" t="s">
        <v>14020</v>
      </c>
      <c r="D601" s="191" t="s">
        <v>14021</v>
      </c>
      <c r="E601" s="191" t="s">
        <v>14019</v>
      </c>
      <c r="F601" s="191" t="s">
        <v>14022</v>
      </c>
      <c r="G601" s="186" t="s">
        <v>14846</v>
      </c>
      <c r="H601" s="186" t="s">
        <v>14847</v>
      </c>
      <c r="I601" s="186" t="s">
        <v>13781</v>
      </c>
      <c r="J601" s="186" t="s">
        <v>14848</v>
      </c>
      <c r="K601" s="57"/>
      <c r="L601" s="57"/>
      <c r="M601" s="57"/>
      <c r="N601" s="57"/>
      <c r="O601" s="57"/>
      <c r="P601" s="57"/>
      <c r="Q601" s="57"/>
      <c r="R601" s="57"/>
      <c r="S601" s="57"/>
      <c r="T601" s="57"/>
      <c r="U601" s="57"/>
      <c r="V601" s="57"/>
      <c r="W601" s="57"/>
      <c r="X601" s="57"/>
      <c r="Y601" s="57"/>
      <c r="Z601" s="57"/>
      <c r="AA601" s="57"/>
      <c r="AB601" s="57"/>
      <c r="AC601" s="57"/>
      <c r="AD601" s="57"/>
    </row>
    <row r="602" spans="1:30" ht="13.5" thickBot="1" x14ac:dyDescent="0.25">
      <c r="A602" s="57"/>
      <c r="B602" s="191" t="s">
        <v>13391</v>
      </c>
      <c r="C602" s="192" t="s">
        <v>14029</v>
      </c>
      <c r="D602" s="191" t="s">
        <v>14030</v>
      </c>
      <c r="E602" s="191" t="s">
        <v>14031</v>
      </c>
      <c r="F602" s="191" t="s">
        <v>14032</v>
      </c>
      <c r="G602" s="186" t="s">
        <v>14849</v>
      </c>
      <c r="H602" s="186" t="s">
        <v>14850</v>
      </c>
      <c r="I602" s="186" t="s">
        <v>13701</v>
      </c>
      <c r="J602" s="186" t="s">
        <v>14851</v>
      </c>
      <c r="K602" s="57"/>
      <c r="L602" s="57"/>
      <c r="M602" s="57"/>
      <c r="N602" s="57"/>
      <c r="O602" s="57"/>
      <c r="P602" s="57"/>
      <c r="Q602" s="57"/>
      <c r="R602" s="57"/>
      <c r="S602" s="57"/>
      <c r="T602" s="57"/>
      <c r="U602" s="57"/>
      <c r="V602" s="57"/>
      <c r="W602" s="57"/>
      <c r="X602" s="57"/>
      <c r="Y602" s="57"/>
      <c r="Z602" s="57"/>
      <c r="AA602" s="57"/>
      <c r="AB602" s="57"/>
      <c r="AC602" s="57"/>
      <c r="AD602" s="57"/>
    </row>
    <row r="603" spans="1:30" ht="13.5" thickBot="1" x14ac:dyDescent="0.25">
      <c r="A603" s="57"/>
      <c r="B603" s="191" t="s">
        <v>13397</v>
      </c>
      <c r="C603" s="192" t="s">
        <v>14040</v>
      </c>
      <c r="D603" s="191" t="s">
        <v>14041</v>
      </c>
      <c r="E603" s="191">
        <v>80</v>
      </c>
      <c r="F603" s="191" t="s">
        <v>14042</v>
      </c>
      <c r="G603" s="186" t="s">
        <v>14852</v>
      </c>
      <c r="H603" s="186" t="s">
        <v>14853</v>
      </c>
      <c r="I603" s="186" t="s">
        <v>13457</v>
      </c>
      <c r="J603" s="186" t="s">
        <v>14854</v>
      </c>
      <c r="K603" s="57"/>
      <c r="L603" s="57"/>
      <c r="M603" s="57"/>
      <c r="N603" s="57"/>
      <c r="O603" s="57"/>
      <c r="P603" s="57"/>
      <c r="Q603" s="57"/>
      <c r="R603" s="57"/>
      <c r="S603" s="57"/>
      <c r="T603" s="57"/>
      <c r="U603" s="57"/>
      <c r="V603" s="57"/>
      <c r="W603" s="57"/>
      <c r="X603" s="57"/>
      <c r="Y603" s="57"/>
      <c r="Z603" s="57"/>
      <c r="AA603" s="57"/>
      <c r="AB603" s="57"/>
      <c r="AC603" s="57"/>
      <c r="AD603" s="57"/>
    </row>
    <row r="604" spans="1:30" ht="13.5" thickBot="1" x14ac:dyDescent="0.25">
      <c r="A604" s="57"/>
      <c r="B604" s="191" t="s">
        <v>13403</v>
      </c>
      <c r="C604" s="192" t="s">
        <v>14051</v>
      </c>
      <c r="D604" s="191" t="s">
        <v>14052</v>
      </c>
      <c r="E604" s="191" t="s">
        <v>14053</v>
      </c>
      <c r="F604" s="191" t="s">
        <v>14054</v>
      </c>
      <c r="G604" s="186" t="s">
        <v>14855</v>
      </c>
      <c r="H604" s="186" t="s">
        <v>14856</v>
      </c>
      <c r="I604" s="186" t="s">
        <v>13373</v>
      </c>
      <c r="J604" s="186" t="s">
        <v>14857</v>
      </c>
      <c r="K604" s="57"/>
      <c r="L604" s="57"/>
      <c r="M604" s="57"/>
      <c r="N604" s="57"/>
      <c r="O604" s="57"/>
      <c r="P604" s="57"/>
      <c r="Q604" s="57"/>
      <c r="R604" s="57"/>
      <c r="S604" s="57"/>
      <c r="T604" s="57"/>
      <c r="U604" s="57"/>
      <c r="V604" s="57"/>
      <c r="W604" s="57"/>
      <c r="X604" s="57"/>
      <c r="Y604" s="57"/>
      <c r="Z604" s="57"/>
      <c r="AA604" s="57"/>
      <c r="AB604" s="57"/>
      <c r="AC604" s="57"/>
      <c r="AD604" s="57"/>
    </row>
    <row r="605" spans="1:30" ht="13.5" thickBot="1" x14ac:dyDescent="0.25">
      <c r="A605" s="57"/>
      <c r="B605" s="191" t="s">
        <v>13408</v>
      </c>
      <c r="C605" s="192" t="s">
        <v>14063</v>
      </c>
      <c r="D605" s="191" t="s">
        <v>14064</v>
      </c>
      <c r="E605" s="191">
        <v>67</v>
      </c>
      <c r="F605" s="191" t="s">
        <v>14065</v>
      </c>
      <c r="G605" s="186" t="s">
        <v>14858</v>
      </c>
      <c r="H605" s="186" t="s">
        <v>14859</v>
      </c>
      <c r="I605" s="186" t="s">
        <v>13561</v>
      </c>
      <c r="J605" s="186" t="s">
        <v>14860</v>
      </c>
      <c r="K605" s="57"/>
      <c r="L605" s="57"/>
      <c r="M605" s="57"/>
      <c r="N605" s="57"/>
      <c r="O605" s="57"/>
      <c r="P605" s="57"/>
      <c r="Q605" s="57"/>
      <c r="R605" s="57"/>
      <c r="S605" s="57"/>
      <c r="T605" s="57"/>
      <c r="U605" s="57"/>
      <c r="V605" s="57"/>
      <c r="W605" s="57"/>
      <c r="X605" s="57"/>
      <c r="Y605" s="57"/>
      <c r="Z605" s="57"/>
      <c r="AA605" s="57"/>
      <c r="AB605" s="57"/>
      <c r="AC605" s="57"/>
      <c r="AD605" s="57"/>
    </row>
    <row r="606" spans="1:30" ht="13.5" thickBot="1" x14ac:dyDescent="0.25">
      <c r="A606" s="57"/>
      <c r="B606" s="191" t="s">
        <v>13419</v>
      </c>
      <c r="C606" s="192" t="s">
        <v>14072</v>
      </c>
      <c r="D606" s="191" t="s">
        <v>14073</v>
      </c>
      <c r="E606" s="191">
        <v>84</v>
      </c>
      <c r="F606" s="191" t="s">
        <v>14068</v>
      </c>
      <c r="G606" s="186" t="s">
        <v>14861</v>
      </c>
      <c r="H606" s="186" t="s">
        <v>14862</v>
      </c>
      <c r="I606" s="186" t="s">
        <v>13557</v>
      </c>
      <c r="J606" s="186" t="s">
        <v>14804</v>
      </c>
      <c r="K606" s="57"/>
      <c r="L606" s="57"/>
      <c r="M606" s="57"/>
      <c r="N606" s="57"/>
      <c r="O606" s="57"/>
      <c r="P606" s="57"/>
      <c r="Q606" s="57"/>
      <c r="R606" s="57"/>
      <c r="S606" s="57"/>
      <c r="T606" s="57"/>
      <c r="U606" s="57"/>
      <c r="V606" s="57"/>
      <c r="W606" s="57"/>
      <c r="X606" s="57"/>
      <c r="Y606" s="57"/>
      <c r="Z606" s="57"/>
      <c r="AA606" s="57"/>
      <c r="AB606" s="57"/>
      <c r="AC606" s="57"/>
      <c r="AD606" s="57"/>
    </row>
    <row r="607" spans="1:30" ht="13.5" thickBot="1" x14ac:dyDescent="0.25">
      <c r="A607" s="57"/>
      <c r="B607" s="190" t="s">
        <v>13517</v>
      </c>
      <c r="C607" s="193" t="s">
        <v>14081</v>
      </c>
      <c r="D607" s="190" t="s">
        <v>14082</v>
      </c>
      <c r="E607" s="190" t="s">
        <v>14083</v>
      </c>
      <c r="F607" s="190" t="s">
        <v>14084</v>
      </c>
      <c r="G607" s="186" t="s">
        <v>14863</v>
      </c>
      <c r="H607" s="186" t="s">
        <v>14864</v>
      </c>
      <c r="I607" s="186" t="s">
        <v>13679</v>
      </c>
      <c r="J607" s="186" t="s">
        <v>14865</v>
      </c>
      <c r="K607" s="57"/>
      <c r="L607" s="57"/>
      <c r="M607" s="57"/>
      <c r="N607" s="57"/>
      <c r="O607" s="57"/>
      <c r="P607" s="57"/>
      <c r="Q607" s="57"/>
      <c r="R607" s="57"/>
      <c r="S607" s="57"/>
      <c r="T607" s="57"/>
      <c r="U607" s="57"/>
      <c r="V607" s="57"/>
      <c r="W607" s="57"/>
      <c r="X607" s="57"/>
      <c r="Y607" s="57"/>
      <c r="Z607" s="57"/>
      <c r="AA607" s="57"/>
      <c r="AB607" s="57"/>
      <c r="AC607" s="57"/>
      <c r="AD607" s="57"/>
    </row>
    <row r="608" spans="1:30" ht="13.5" thickBot="1" x14ac:dyDescent="0.25">
      <c r="A608" s="57"/>
      <c r="B608" s="190" t="s">
        <v>13432</v>
      </c>
      <c r="C608" s="193" t="s">
        <v>14092</v>
      </c>
      <c r="D608" s="190" t="s">
        <v>14093</v>
      </c>
      <c r="E608" s="190" t="s">
        <v>14094</v>
      </c>
      <c r="F608" s="190" t="s">
        <v>14095</v>
      </c>
      <c r="G608" s="57"/>
      <c r="H608" s="57"/>
      <c r="I608" s="57"/>
      <c r="J608" s="57"/>
      <c r="K608" s="57"/>
      <c r="L608" s="57"/>
      <c r="M608" s="57"/>
      <c r="N608" s="57"/>
      <c r="O608" s="57"/>
      <c r="P608" s="57"/>
      <c r="Q608" s="57"/>
      <c r="R608" s="57"/>
      <c r="S608" s="57"/>
      <c r="T608" s="57"/>
      <c r="U608" s="57"/>
      <c r="V608" s="57"/>
      <c r="W608" s="57"/>
      <c r="X608" s="57"/>
      <c r="Y608" s="57"/>
      <c r="Z608" s="57"/>
      <c r="AA608" s="57"/>
      <c r="AB608" s="57"/>
      <c r="AC608" s="57"/>
      <c r="AD608" s="57"/>
    </row>
    <row r="609" spans="1:30" ht="13.5" thickBot="1" x14ac:dyDescent="0.25">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c r="AA609" s="57"/>
      <c r="AB609" s="57"/>
      <c r="AC609" s="57"/>
      <c r="AD609" s="57"/>
    </row>
    <row r="610" spans="1:30" ht="13.5" thickBot="1" x14ac:dyDescent="0.25">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c r="AA610" s="57"/>
      <c r="AB610" s="57"/>
      <c r="AC610" s="57"/>
      <c r="AD610" s="57"/>
    </row>
    <row r="611" spans="1:30" ht="13.5" thickBot="1" x14ac:dyDescent="0.25">
      <c r="A611" s="57"/>
      <c r="B611" s="195" t="s">
        <v>14866</v>
      </c>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c r="AA611" s="57"/>
      <c r="AB611" s="57"/>
      <c r="AC611" s="57"/>
      <c r="AD611" s="57"/>
    </row>
    <row r="612" spans="1:30" ht="13.5" thickBot="1" x14ac:dyDescent="0.25">
      <c r="A612" s="57"/>
      <c r="B612" s="88"/>
      <c r="C612" s="88"/>
      <c r="D612" s="88"/>
      <c r="E612" s="88"/>
      <c r="F612" s="88"/>
      <c r="G612" s="88"/>
      <c r="H612" s="88"/>
      <c r="I612" s="88"/>
      <c r="J612" s="88"/>
      <c r="K612" s="88"/>
      <c r="L612" s="57"/>
      <c r="M612" s="57"/>
      <c r="N612" s="57"/>
      <c r="O612" s="57"/>
      <c r="P612" s="57"/>
      <c r="Q612" s="57"/>
      <c r="R612" s="57"/>
      <c r="S612" s="57"/>
      <c r="T612" s="57"/>
      <c r="U612" s="57"/>
      <c r="V612" s="57"/>
      <c r="W612" s="57"/>
      <c r="X612" s="57"/>
      <c r="Y612" s="57"/>
      <c r="Z612" s="57"/>
      <c r="AA612" s="57"/>
      <c r="AB612" s="57"/>
      <c r="AC612" s="57"/>
      <c r="AD612" s="57"/>
    </row>
    <row r="613" spans="1:30" ht="13.5" thickBot="1" x14ac:dyDescent="0.25">
      <c r="A613" s="80"/>
      <c r="B613" s="83"/>
      <c r="C613" s="253" t="s">
        <v>14867</v>
      </c>
      <c r="D613" s="254"/>
      <c r="E613" s="255"/>
      <c r="F613" s="253" t="s">
        <v>14868</v>
      </c>
      <c r="G613" s="254"/>
      <c r="H613" s="255"/>
      <c r="I613" s="253" t="s">
        <v>14869</v>
      </c>
      <c r="J613" s="254"/>
      <c r="K613" s="255"/>
      <c r="L613" s="57"/>
      <c r="M613" s="57"/>
      <c r="N613" s="57"/>
      <c r="O613" s="57"/>
      <c r="P613" s="57"/>
      <c r="Q613" s="57"/>
      <c r="R613" s="57"/>
      <c r="S613" s="57"/>
      <c r="T613" s="57"/>
      <c r="U613" s="57"/>
      <c r="V613" s="57"/>
      <c r="W613" s="57"/>
      <c r="X613" s="57"/>
      <c r="Y613" s="57"/>
      <c r="Z613" s="57"/>
      <c r="AA613" s="57"/>
      <c r="AB613" s="57"/>
      <c r="AC613" s="57"/>
      <c r="AD613" s="57"/>
    </row>
    <row r="614" spans="1:30" ht="26.25" thickBot="1" x14ac:dyDescent="0.25">
      <c r="A614" s="80"/>
      <c r="B614" s="196" t="s">
        <v>14870</v>
      </c>
      <c r="C614" s="196" t="s">
        <v>14871</v>
      </c>
      <c r="D614" s="196" t="s">
        <v>14872</v>
      </c>
      <c r="E614" s="196" t="s">
        <v>14873</v>
      </c>
      <c r="F614" s="196" t="s">
        <v>14871</v>
      </c>
      <c r="G614" s="196" t="s">
        <v>14872</v>
      </c>
      <c r="H614" s="196" t="s">
        <v>14873</v>
      </c>
      <c r="I614" s="196" t="s">
        <v>14871</v>
      </c>
      <c r="J614" s="196" t="s">
        <v>14872</v>
      </c>
      <c r="K614" s="196" t="s">
        <v>14873</v>
      </c>
      <c r="L614" s="57"/>
      <c r="M614" s="57"/>
      <c r="N614" s="57"/>
      <c r="O614" s="57"/>
      <c r="P614" s="57"/>
      <c r="Q614" s="57"/>
      <c r="R614" s="57"/>
      <c r="S614" s="57"/>
      <c r="T614" s="57"/>
      <c r="U614" s="57"/>
      <c r="V614" s="57"/>
      <c r="W614" s="57"/>
      <c r="X614" s="57"/>
      <c r="Y614" s="57"/>
      <c r="Z614" s="57"/>
      <c r="AA614" s="57"/>
      <c r="AB614" s="57"/>
      <c r="AC614" s="57"/>
      <c r="AD614" s="57"/>
    </row>
    <row r="615" spans="1:30" ht="13.5" thickBot="1" x14ac:dyDescent="0.25">
      <c r="A615" s="57"/>
      <c r="B615" s="191" t="s">
        <v>13372</v>
      </c>
      <c r="C615" s="191" t="s">
        <v>13980</v>
      </c>
      <c r="D615" s="191" t="s">
        <v>14874</v>
      </c>
      <c r="E615" s="192" t="s">
        <v>14875</v>
      </c>
      <c r="F615" s="191" t="s">
        <v>13984</v>
      </c>
      <c r="G615" s="191" t="s">
        <v>14876</v>
      </c>
      <c r="H615" s="192" t="s">
        <v>14877</v>
      </c>
      <c r="I615" s="191" t="s">
        <v>13988</v>
      </c>
      <c r="J615" s="191" t="s">
        <v>14878</v>
      </c>
      <c r="K615" s="192" t="s">
        <v>14879</v>
      </c>
      <c r="L615" s="57"/>
      <c r="M615" s="57"/>
      <c r="N615" s="57"/>
      <c r="O615" s="57"/>
      <c r="P615" s="57"/>
      <c r="Q615" s="57"/>
      <c r="R615" s="57"/>
      <c r="S615" s="57"/>
      <c r="T615" s="57"/>
      <c r="U615" s="57"/>
      <c r="V615" s="57"/>
      <c r="W615" s="57"/>
      <c r="X615" s="57"/>
      <c r="Y615" s="57"/>
      <c r="Z615" s="57"/>
      <c r="AA615" s="57"/>
      <c r="AB615" s="57"/>
      <c r="AC615" s="57"/>
      <c r="AD615" s="57"/>
    </row>
    <row r="616" spans="1:30" ht="13.5" thickBot="1" x14ac:dyDescent="0.25">
      <c r="A616" s="57"/>
      <c r="B616" s="191" t="s">
        <v>13413</v>
      </c>
      <c r="C616" s="191" t="s">
        <v>13992</v>
      </c>
      <c r="D616" s="191" t="s">
        <v>14880</v>
      </c>
      <c r="E616" s="192" t="s">
        <v>13639</v>
      </c>
      <c r="F616" s="191" t="s">
        <v>13995</v>
      </c>
      <c r="G616" s="191" t="s">
        <v>14881</v>
      </c>
      <c r="H616" s="192" t="s">
        <v>13747</v>
      </c>
      <c r="I616" s="191" t="s">
        <v>13999</v>
      </c>
      <c r="J616" s="191" t="s">
        <v>14882</v>
      </c>
      <c r="K616" s="192" t="s">
        <v>13951</v>
      </c>
      <c r="L616" s="57"/>
      <c r="M616" s="57"/>
      <c r="N616" s="57"/>
      <c r="O616" s="57"/>
      <c r="P616" s="57"/>
      <c r="Q616" s="57"/>
      <c r="R616" s="57"/>
      <c r="S616" s="57"/>
      <c r="T616" s="57"/>
      <c r="U616" s="57"/>
      <c r="V616" s="57"/>
      <c r="W616" s="57"/>
      <c r="X616" s="57"/>
      <c r="Y616" s="57"/>
      <c r="Z616" s="57"/>
      <c r="AA616" s="57"/>
      <c r="AB616" s="57"/>
      <c r="AC616" s="57"/>
      <c r="AD616" s="57"/>
    </row>
    <row r="617" spans="1:30" ht="13.5" thickBot="1" x14ac:dyDescent="0.25">
      <c r="A617" s="57"/>
      <c r="B617" s="191" t="s">
        <v>13378</v>
      </c>
      <c r="C617" s="191" t="s">
        <v>14002</v>
      </c>
      <c r="D617" s="191" t="s">
        <v>14883</v>
      </c>
      <c r="E617" s="192" t="s">
        <v>13509</v>
      </c>
      <c r="F617" s="191" t="s">
        <v>14006</v>
      </c>
      <c r="G617" s="191" t="s">
        <v>14884</v>
      </c>
      <c r="H617" s="192" t="s">
        <v>14885</v>
      </c>
      <c r="I617" s="191" t="s">
        <v>14010</v>
      </c>
      <c r="J617" s="191" t="s">
        <v>14886</v>
      </c>
      <c r="K617" s="192" t="s">
        <v>14887</v>
      </c>
      <c r="L617" s="57"/>
      <c r="M617" s="57"/>
      <c r="N617" s="57"/>
      <c r="O617" s="57"/>
      <c r="P617" s="57"/>
      <c r="Q617" s="57"/>
      <c r="R617" s="57"/>
      <c r="S617" s="57"/>
      <c r="T617" s="57"/>
      <c r="U617" s="57"/>
      <c r="V617" s="57"/>
      <c r="W617" s="57"/>
      <c r="X617" s="57"/>
      <c r="Y617" s="57"/>
      <c r="Z617" s="57"/>
      <c r="AA617" s="57"/>
      <c r="AB617" s="57"/>
      <c r="AC617" s="57"/>
      <c r="AD617" s="57"/>
    </row>
    <row r="618" spans="1:30" ht="13.5" thickBot="1" x14ac:dyDescent="0.25">
      <c r="A618" s="57"/>
      <c r="B618" s="191" t="s">
        <v>13384</v>
      </c>
      <c r="C618" s="191" t="s">
        <v>14014</v>
      </c>
      <c r="D618" s="191" t="s">
        <v>14888</v>
      </c>
      <c r="E618" s="192" t="s">
        <v>13958</v>
      </c>
      <c r="F618" s="191" t="s">
        <v>14017</v>
      </c>
      <c r="G618" s="191" t="s">
        <v>14889</v>
      </c>
      <c r="H618" s="192" t="s">
        <v>14890</v>
      </c>
      <c r="I618" s="191" t="s">
        <v>14020</v>
      </c>
      <c r="J618" s="191" t="s">
        <v>14891</v>
      </c>
      <c r="K618" s="192" t="s">
        <v>14482</v>
      </c>
      <c r="L618" s="57"/>
      <c r="M618" s="57"/>
      <c r="N618" s="57"/>
      <c r="O618" s="57"/>
      <c r="P618" s="57"/>
      <c r="Q618" s="57"/>
      <c r="R618" s="57"/>
      <c r="S618" s="57"/>
      <c r="T618" s="57"/>
      <c r="U618" s="57"/>
      <c r="V618" s="57"/>
      <c r="W618" s="57"/>
      <c r="X618" s="57"/>
      <c r="Y618" s="57"/>
      <c r="Z618" s="57"/>
      <c r="AA618" s="57"/>
      <c r="AB618" s="57"/>
      <c r="AC618" s="57"/>
      <c r="AD618" s="57"/>
    </row>
    <row r="619" spans="1:30" ht="13.5" thickBot="1" x14ac:dyDescent="0.25">
      <c r="A619" s="57"/>
      <c r="B619" s="191" t="s">
        <v>13391</v>
      </c>
      <c r="C619" s="191" t="s">
        <v>14023</v>
      </c>
      <c r="D619" s="191" t="s">
        <v>14892</v>
      </c>
      <c r="E619" s="192" t="s">
        <v>14893</v>
      </c>
      <c r="F619" s="191" t="s">
        <v>14026</v>
      </c>
      <c r="G619" s="191" t="s">
        <v>14894</v>
      </c>
      <c r="H619" s="192" t="s">
        <v>14895</v>
      </c>
      <c r="I619" s="191" t="s">
        <v>14029</v>
      </c>
      <c r="J619" s="191" t="s">
        <v>14896</v>
      </c>
      <c r="K619" s="192" t="s">
        <v>14897</v>
      </c>
      <c r="L619" s="57"/>
      <c r="M619" s="57"/>
      <c r="N619" s="57"/>
      <c r="O619" s="57"/>
      <c r="P619" s="57"/>
      <c r="Q619" s="57"/>
      <c r="R619" s="57"/>
      <c r="S619" s="57"/>
      <c r="T619" s="57"/>
      <c r="U619" s="57"/>
      <c r="V619" s="57"/>
      <c r="W619" s="57"/>
      <c r="X619" s="57"/>
      <c r="Y619" s="57"/>
      <c r="Z619" s="57"/>
      <c r="AA619" s="57"/>
      <c r="AB619" s="57"/>
      <c r="AC619" s="57"/>
      <c r="AD619" s="57"/>
    </row>
    <row r="620" spans="1:30" ht="13.5" thickBot="1" x14ac:dyDescent="0.25">
      <c r="A620" s="57"/>
      <c r="B620" s="191" t="s">
        <v>13397</v>
      </c>
      <c r="C620" s="191" t="s">
        <v>14033</v>
      </c>
      <c r="D620" s="191" t="s">
        <v>14898</v>
      </c>
      <c r="E620" s="192" t="s">
        <v>14899</v>
      </c>
      <c r="F620" s="191" t="s">
        <v>14037</v>
      </c>
      <c r="G620" s="191" t="s">
        <v>14900</v>
      </c>
      <c r="H620" s="192" t="s">
        <v>14901</v>
      </c>
      <c r="I620" s="191" t="s">
        <v>14040</v>
      </c>
      <c r="J620" s="191" t="s">
        <v>14902</v>
      </c>
      <c r="K620" s="192" t="s">
        <v>13951</v>
      </c>
      <c r="L620" s="57"/>
      <c r="M620" s="57"/>
      <c r="N620" s="57"/>
      <c r="O620" s="57"/>
      <c r="P620" s="57"/>
      <c r="Q620" s="57"/>
      <c r="R620" s="57"/>
      <c r="S620" s="57"/>
      <c r="T620" s="57"/>
      <c r="U620" s="57"/>
      <c r="V620" s="57"/>
      <c r="W620" s="57"/>
      <c r="X620" s="57"/>
      <c r="Y620" s="57"/>
      <c r="Z620" s="57"/>
      <c r="AA620" s="57"/>
      <c r="AB620" s="57"/>
      <c r="AC620" s="57"/>
      <c r="AD620" s="57"/>
    </row>
    <row r="621" spans="1:30" ht="13.5" thickBot="1" x14ac:dyDescent="0.25">
      <c r="A621" s="57"/>
      <c r="B621" s="191" t="s">
        <v>13403</v>
      </c>
      <c r="C621" s="191" t="s">
        <v>14043</v>
      </c>
      <c r="D621" s="191" t="s">
        <v>14903</v>
      </c>
      <c r="E621" s="192" t="s">
        <v>13569</v>
      </c>
      <c r="F621" s="191" t="s">
        <v>14047</v>
      </c>
      <c r="G621" s="191" t="s">
        <v>14904</v>
      </c>
      <c r="H621" s="192" t="s">
        <v>14905</v>
      </c>
      <c r="I621" s="191" t="s">
        <v>14051</v>
      </c>
      <c r="J621" s="191" t="s">
        <v>14906</v>
      </c>
      <c r="K621" s="192" t="s">
        <v>14907</v>
      </c>
      <c r="L621" s="57"/>
      <c r="M621" s="57"/>
      <c r="N621" s="57"/>
      <c r="O621" s="57"/>
      <c r="P621" s="57"/>
      <c r="Q621" s="57"/>
      <c r="R621" s="57"/>
      <c r="S621" s="57"/>
      <c r="T621" s="57"/>
      <c r="U621" s="57"/>
      <c r="V621" s="57"/>
      <c r="W621" s="57"/>
      <c r="X621" s="57"/>
      <c r="Y621" s="57"/>
      <c r="Z621" s="57"/>
      <c r="AA621" s="57"/>
      <c r="AB621" s="57"/>
      <c r="AC621" s="57"/>
      <c r="AD621" s="57"/>
    </row>
    <row r="622" spans="1:30" ht="13.5" thickBot="1" x14ac:dyDescent="0.25">
      <c r="A622" s="57"/>
      <c r="B622" s="191" t="s">
        <v>13408</v>
      </c>
      <c r="C622" s="191" t="s">
        <v>14055</v>
      </c>
      <c r="D622" s="191" t="s">
        <v>14908</v>
      </c>
      <c r="E622" s="192" t="s">
        <v>14909</v>
      </c>
      <c r="F622" s="191" t="s">
        <v>14059</v>
      </c>
      <c r="G622" s="191">
        <v>80</v>
      </c>
      <c r="H622" s="192" t="s">
        <v>14910</v>
      </c>
      <c r="I622" s="191" t="s">
        <v>14063</v>
      </c>
      <c r="J622" s="191" t="s">
        <v>14911</v>
      </c>
      <c r="K622" s="192" t="s">
        <v>14912</v>
      </c>
      <c r="L622" s="57"/>
      <c r="M622" s="57"/>
      <c r="N622" s="57"/>
      <c r="O622" s="57"/>
      <c r="P622" s="57"/>
      <c r="Q622" s="57"/>
      <c r="R622" s="57"/>
      <c r="S622" s="57"/>
      <c r="T622" s="57"/>
      <c r="U622" s="57"/>
      <c r="V622" s="57"/>
      <c r="W622" s="57"/>
      <c r="X622" s="57"/>
      <c r="Y622" s="57"/>
      <c r="Z622" s="57"/>
      <c r="AA622" s="57"/>
      <c r="AB622" s="57"/>
      <c r="AC622" s="57"/>
      <c r="AD622" s="57"/>
    </row>
    <row r="623" spans="1:30" ht="13.5" thickBot="1" x14ac:dyDescent="0.25">
      <c r="A623" s="57"/>
      <c r="B623" s="191" t="s">
        <v>13419</v>
      </c>
      <c r="C623" s="191" t="s">
        <v>14066</v>
      </c>
      <c r="D623" s="191" t="s">
        <v>14913</v>
      </c>
      <c r="E623" s="192" t="s">
        <v>13952</v>
      </c>
      <c r="F623" s="191" t="s">
        <v>14069</v>
      </c>
      <c r="G623" s="191" t="s">
        <v>14914</v>
      </c>
      <c r="H623" s="192" t="s">
        <v>14887</v>
      </c>
      <c r="I623" s="191" t="s">
        <v>14072</v>
      </c>
      <c r="J623" s="191" t="s">
        <v>14915</v>
      </c>
      <c r="K623" s="192" t="s">
        <v>14916</v>
      </c>
      <c r="L623" s="57"/>
      <c r="M623" s="57"/>
      <c r="N623" s="57"/>
      <c r="O623" s="57"/>
      <c r="P623" s="57"/>
      <c r="Q623" s="57"/>
      <c r="R623" s="57"/>
      <c r="S623" s="57"/>
      <c r="T623" s="57"/>
      <c r="U623" s="57"/>
      <c r="V623" s="57"/>
      <c r="W623" s="57"/>
      <c r="X623" s="57"/>
      <c r="Y623" s="57"/>
      <c r="Z623" s="57"/>
      <c r="AA623" s="57"/>
      <c r="AB623" s="57"/>
      <c r="AC623" s="57"/>
      <c r="AD623" s="57"/>
    </row>
    <row r="624" spans="1:30" ht="13.5" thickBot="1" x14ac:dyDescent="0.25">
      <c r="A624" s="57"/>
      <c r="B624" s="190" t="s">
        <v>13517</v>
      </c>
      <c r="C624" s="190" t="s">
        <v>14074</v>
      </c>
      <c r="D624" s="190" t="s">
        <v>14917</v>
      </c>
      <c r="E624" s="193" t="s">
        <v>13487</v>
      </c>
      <c r="F624" s="190" t="s">
        <v>14077</v>
      </c>
      <c r="G624" s="190" t="s">
        <v>14918</v>
      </c>
      <c r="H624" s="193" t="s">
        <v>13897</v>
      </c>
      <c r="I624" s="190" t="s">
        <v>14081</v>
      </c>
      <c r="J624" s="190" t="s">
        <v>14919</v>
      </c>
      <c r="K624" s="193" t="s">
        <v>13666</v>
      </c>
      <c r="L624" s="57"/>
      <c r="M624" s="57"/>
      <c r="N624" s="57"/>
      <c r="O624" s="57"/>
      <c r="P624" s="57"/>
      <c r="Q624" s="57"/>
      <c r="R624" s="57"/>
      <c r="S624" s="57"/>
      <c r="T624" s="57"/>
      <c r="U624" s="57"/>
      <c r="V624" s="57"/>
      <c r="W624" s="57"/>
      <c r="X624" s="57"/>
      <c r="Y624" s="57"/>
      <c r="Z624" s="57"/>
      <c r="AA624" s="57"/>
      <c r="AB624" s="57"/>
      <c r="AC624" s="57"/>
      <c r="AD624" s="57"/>
    </row>
    <row r="625" spans="1:30" ht="13.5" thickBot="1" x14ac:dyDescent="0.25">
      <c r="A625" s="57"/>
      <c r="B625" s="190" t="s">
        <v>13432</v>
      </c>
      <c r="C625" s="190" t="s">
        <v>14085</v>
      </c>
      <c r="D625" s="190" t="s">
        <v>14920</v>
      </c>
      <c r="E625" s="193" t="s">
        <v>14921</v>
      </c>
      <c r="F625" s="190" t="s">
        <v>14089</v>
      </c>
      <c r="G625" s="190" t="s">
        <v>14922</v>
      </c>
      <c r="H625" s="193" t="s">
        <v>14890</v>
      </c>
      <c r="I625" s="190" t="s">
        <v>14092</v>
      </c>
      <c r="J625" s="190" t="s">
        <v>14923</v>
      </c>
      <c r="K625" s="193" t="s">
        <v>14924</v>
      </c>
      <c r="L625" s="57"/>
      <c r="M625" s="57"/>
      <c r="N625" s="57"/>
      <c r="O625" s="57"/>
      <c r="P625" s="57"/>
      <c r="Q625" s="57"/>
      <c r="R625" s="57"/>
      <c r="S625" s="57"/>
      <c r="T625" s="57"/>
      <c r="U625" s="57"/>
      <c r="V625" s="57"/>
      <c r="W625" s="57"/>
      <c r="X625" s="57"/>
      <c r="Y625" s="57"/>
      <c r="Z625" s="57"/>
      <c r="AA625" s="57"/>
      <c r="AB625" s="57"/>
      <c r="AC625" s="57"/>
      <c r="AD625" s="57"/>
    </row>
    <row r="626" spans="1:30" ht="13.5" thickBot="1" x14ac:dyDescent="0.25">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c r="AA626" s="57"/>
      <c r="AB626" s="57"/>
      <c r="AC626" s="57"/>
      <c r="AD626" s="57"/>
    </row>
    <row r="627" spans="1:30" ht="13.5" thickBot="1" x14ac:dyDescent="0.25">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c r="AA627" s="57"/>
      <c r="AB627" s="57"/>
      <c r="AC627" s="57"/>
      <c r="AD627" s="57"/>
    </row>
    <row r="628" spans="1:30" ht="13.5" thickBot="1" x14ac:dyDescent="0.25">
      <c r="A628" s="57"/>
      <c r="B628" s="176" t="s">
        <v>2857</v>
      </c>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c r="AA628" s="57"/>
      <c r="AB628" s="57"/>
      <c r="AC628" s="57"/>
      <c r="AD628" s="57"/>
    </row>
    <row r="629" spans="1:30" ht="13.5" thickBot="1" x14ac:dyDescent="0.25">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c r="AA629" s="57"/>
      <c r="AB629" s="57"/>
      <c r="AC629" s="57"/>
      <c r="AD629" s="57"/>
    </row>
    <row r="630" spans="1:30" ht="13.5" thickBot="1" x14ac:dyDescent="0.25">
      <c r="A630" s="57"/>
      <c r="B630" s="197" t="s">
        <v>14925</v>
      </c>
      <c r="C630" s="198"/>
      <c r="D630" s="198"/>
      <c r="E630" s="198"/>
      <c r="F630" s="198"/>
      <c r="G630" s="198"/>
      <c r="H630" s="198"/>
      <c r="I630" s="198"/>
      <c r="J630" s="198"/>
      <c r="K630" s="198"/>
      <c r="L630" s="198"/>
      <c r="M630" s="198"/>
      <c r="N630" s="198"/>
      <c r="O630" s="57"/>
      <c r="P630" s="57"/>
      <c r="Q630" s="57"/>
      <c r="R630" s="57"/>
      <c r="S630" s="57"/>
      <c r="T630" s="57"/>
      <c r="U630" s="57"/>
      <c r="V630" s="57"/>
      <c r="W630" s="57"/>
      <c r="X630" s="57"/>
      <c r="Y630" s="57"/>
      <c r="Z630" s="57"/>
      <c r="AA630" s="57"/>
      <c r="AB630" s="57"/>
      <c r="AC630" s="57"/>
      <c r="AD630" s="57"/>
    </row>
    <row r="631" spans="1:30" ht="13.5" thickBot="1" x14ac:dyDescent="0.25">
      <c r="A631" s="57"/>
      <c r="B631" s="199"/>
      <c r="C631" s="256" t="s">
        <v>13734</v>
      </c>
      <c r="D631" s="257"/>
      <c r="E631" s="270"/>
      <c r="F631" s="256" t="s">
        <v>13015</v>
      </c>
      <c r="G631" s="257"/>
      <c r="H631" s="270"/>
      <c r="I631" s="256" t="s">
        <v>13735</v>
      </c>
      <c r="J631" s="257"/>
      <c r="K631" s="270"/>
      <c r="L631" s="256" t="s">
        <v>13736</v>
      </c>
      <c r="M631" s="257"/>
      <c r="N631" s="258"/>
      <c r="O631" s="57"/>
      <c r="P631" s="57"/>
      <c r="Q631" s="57"/>
      <c r="R631" s="57"/>
      <c r="S631" s="57"/>
      <c r="T631" s="57"/>
      <c r="U631" s="57"/>
      <c r="V631" s="57"/>
      <c r="W631" s="57"/>
      <c r="X631" s="57"/>
      <c r="Y631" s="57"/>
      <c r="Z631" s="57"/>
      <c r="AA631" s="57"/>
      <c r="AB631" s="57"/>
      <c r="AC631" s="57"/>
      <c r="AD631" s="57"/>
    </row>
    <row r="632" spans="1:30" ht="13.5" thickBot="1" x14ac:dyDescent="0.25">
      <c r="A632" s="57"/>
      <c r="B632" s="199"/>
      <c r="C632" s="200" t="s">
        <v>13737</v>
      </c>
      <c r="D632" s="200" t="s">
        <v>13738</v>
      </c>
      <c r="E632" s="200" t="s">
        <v>13739</v>
      </c>
      <c r="F632" s="200" t="s">
        <v>13737</v>
      </c>
      <c r="G632" s="200" t="s">
        <v>13738</v>
      </c>
      <c r="H632" s="200" t="s">
        <v>13739</v>
      </c>
      <c r="I632" s="200" t="s">
        <v>13737</v>
      </c>
      <c r="J632" s="200" t="s">
        <v>13738</v>
      </c>
      <c r="K632" s="200" t="s">
        <v>13739</v>
      </c>
      <c r="L632" s="200" t="s">
        <v>13737</v>
      </c>
      <c r="M632" s="200" t="s">
        <v>13738</v>
      </c>
      <c r="N632" s="201" t="s">
        <v>13739</v>
      </c>
      <c r="O632" s="57"/>
      <c r="P632" s="57"/>
      <c r="Q632" s="57"/>
      <c r="R632" s="57"/>
      <c r="S632" s="57"/>
      <c r="T632" s="57"/>
      <c r="U632" s="57"/>
      <c r="V632" s="57"/>
      <c r="W632" s="57"/>
      <c r="X632" s="57"/>
      <c r="Y632" s="57"/>
      <c r="Z632" s="57"/>
      <c r="AA632" s="57"/>
      <c r="AB632" s="57"/>
      <c r="AC632" s="57"/>
      <c r="AD632" s="57"/>
    </row>
    <row r="633" spans="1:30" ht="13.5" thickBot="1" x14ac:dyDescent="0.25">
      <c r="A633" s="57"/>
      <c r="B633" s="202" t="s">
        <v>13372</v>
      </c>
      <c r="C633" s="203" t="s">
        <v>13740</v>
      </c>
      <c r="D633" s="203" t="s">
        <v>13447</v>
      </c>
      <c r="E633" s="204" t="s">
        <v>13741</v>
      </c>
      <c r="F633" s="203" t="s">
        <v>13742</v>
      </c>
      <c r="G633" s="204" t="s">
        <v>13743</v>
      </c>
      <c r="H633" s="203" t="s">
        <v>13744</v>
      </c>
      <c r="I633" s="204" t="s">
        <v>13745</v>
      </c>
      <c r="J633" s="203" t="s">
        <v>13746</v>
      </c>
      <c r="K633" s="203" t="s">
        <v>13747</v>
      </c>
      <c r="L633" s="203" t="s">
        <v>13445</v>
      </c>
      <c r="M633" s="203" t="s">
        <v>13446</v>
      </c>
      <c r="N633" s="205" t="s">
        <v>13373</v>
      </c>
      <c r="O633" s="57"/>
      <c r="P633" s="57"/>
      <c r="Q633" s="57"/>
      <c r="R633" s="57"/>
      <c r="S633" s="57"/>
      <c r="T633" s="57"/>
      <c r="U633" s="57"/>
      <c r="V633" s="57"/>
      <c r="W633" s="57"/>
      <c r="X633" s="57"/>
      <c r="Y633" s="57"/>
      <c r="Z633" s="57"/>
      <c r="AA633" s="57"/>
      <c r="AB633" s="57"/>
      <c r="AC633" s="57"/>
      <c r="AD633" s="57"/>
    </row>
    <row r="634" spans="1:30" ht="13.5" thickBot="1" x14ac:dyDescent="0.25">
      <c r="A634" s="57"/>
      <c r="B634" s="202" t="s">
        <v>13378</v>
      </c>
      <c r="C634" s="204" t="s">
        <v>13748</v>
      </c>
      <c r="D634" s="203" t="s">
        <v>13483</v>
      </c>
      <c r="E634" s="204" t="s">
        <v>13749</v>
      </c>
      <c r="F634" s="203" t="s">
        <v>13750</v>
      </c>
      <c r="G634" s="204" t="s">
        <v>13751</v>
      </c>
      <c r="H634" s="203" t="s">
        <v>13669</v>
      </c>
      <c r="I634" s="203" t="s">
        <v>13752</v>
      </c>
      <c r="J634" s="203" t="s">
        <v>13655</v>
      </c>
      <c r="K634" s="203" t="s">
        <v>13753</v>
      </c>
      <c r="L634" s="203" t="s">
        <v>13451</v>
      </c>
      <c r="M634" s="203" t="s">
        <v>13452</v>
      </c>
      <c r="N634" s="205" t="s">
        <v>13379</v>
      </c>
      <c r="O634" s="57"/>
      <c r="P634" s="57"/>
      <c r="Q634" s="57"/>
      <c r="R634" s="57"/>
      <c r="S634" s="57"/>
      <c r="T634" s="57"/>
      <c r="U634" s="57"/>
      <c r="V634" s="57"/>
      <c r="W634" s="57"/>
      <c r="X634" s="57"/>
      <c r="Y634" s="57"/>
      <c r="Z634" s="57"/>
      <c r="AA634" s="57"/>
      <c r="AB634" s="57"/>
      <c r="AC634" s="57"/>
      <c r="AD634" s="57"/>
    </row>
    <row r="635" spans="1:30" ht="13.5" thickBot="1" x14ac:dyDescent="0.25">
      <c r="A635" s="57"/>
      <c r="B635" s="202" t="s">
        <v>13384</v>
      </c>
      <c r="C635" s="203" t="s">
        <v>13754</v>
      </c>
      <c r="D635" s="203" t="s">
        <v>13480</v>
      </c>
      <c r="E635" s="203" t="s">
        <v>13755</v>
      </c>
      <c r="F635" s="203" t="s">
        <v>13417</v>
      </c>
      <c r="G635" s="203" t="s">
        <v>13623</v>
      </c>
      <c r="H635" s="203" t="s">
        <v>13756</v>
      </c>
      <c r="I635" s="203" t="s">
        <v>13757</v>
      </c>
      <c r="J635" s="204" t="s">
        <v>13748</v>
      </c>
      <c r="K635" s="204" t="s">
        <v>13758</v>
      </c>
      <c r="L635" s="204" t="s">
        <v>13456</v>
      </c>
      <c r="M635" s="203" t="s">
        <v>13446</v>
      </c>
      <c r="N635" s="205" t="s">
        <v>13385</v>
      </c>
      <c r="O635" s="57"/>
      <c r="P635" s="57"/>
      <c r="Q635" s="57"/>
      <c r="R635" s="57"/>
      <c r="S635" s="57"/>
      <c r="T635" s="57"/>
      <c r="U635" s="57"/>
      <c r="V635" s="57"/>
      <c r="W635" s="57"/>
      <c r="X635" s="57"/>
      <c r="Y635" s="57"/>
      <c r="Z635" s="57"/>
      <c r="AA635" s="57"/>
      <c r="AB635" s="57"/>
      <c r="AC635" s="57"/>
      <c r="AD635" s="57"/>
    </row>
    <row r="636" spans="1:30" ht="13.5" thickBot="1" x14ac:dyDescent="0.25">
      <c r="A636" s="57"/>
      <c r="B636" s="202" t="s">
        <v>13391</v>
      </c>
      <c r="C636" s="203" t="s">
        <v>13759</v>
      </c>
      <c r="D636" s="203" t="s">
        <v>13760</v>
      </c>
      <c r="E636" s="203" t="s">
        <v>13761</v>
      </c>
      <c r="F636" s="203" t="s">
        <v>13499</v>
      </c>
      <c r="G636" s="204" t="s">
        <v>13531</v>
      </c>
      <c r="H636" s="203" t="s">
        <v>13468</v>
      </c>
      <c r="I636" s="204" t="s">
        <v>13681</v>
      </c>
      <c r="J636" s="203" t="s">
        <v>13762</v>
      </c>
      <c r="K636" s="204" t="s">
        <v>13763</v>
      </c>
      <c r="L636" s="203" t="s">
        <v>13460</v>
      </c>
      <c r="M636" s="203" t="s">
        <v>13461</v>
      </c>
      <c r="N636" s="205" t="s">
        <v>13392</v>
      </c>
      <c r="O636" s="57"/>
      <c r="P636" s="57"/>
      <c r="Q636" s="57"/>
      <c r="R636" s="57"/>
      <c r="S636" s="57"/>
      <c r="T636" s="57"/>
      <c r="U636" s="57"/>
      <c r="V636" s="57"/>
      <c r="W636" s="57"/>
      <c r="X636" s="57"/>
      <c r="Y636" s="57"/>
      <c r="Z636" s="57"/>
      <c r="AA636" s="57"/>
      <c r="AB636" s="57"/>
      <c r="AC636" s="57"/>
      <c r="AD636" s="57"/>
    </row>
    <row r="637" spans="1:30" ht="13.5" thickBot="1" x14ac:dyDescent="0.25">
      <c r="A637" s="57"/>
      <c r="B637" s="202" t="s">
        <v>13397</v>
      </c>
      <c r="C637" s="203" t="s">
        <v>13764</v>
      </c>
      <c r="D637" s="204" t="s">
        <v>13765</v>
      </c>
      <c r="E637" s="204" t="s">
        <v>13379</v>
      </c>
      <c r="F637" s="203" t="s">
        <v>13766</v>
      </c>
      <c r="G637" s="203" t="s">
        <v>13767</v>
      </c>
      <c r="H637" s="203" t="s">
        <v>13768</v>
      </c>
      <c r="I637" s="204" t="s">
        <v>13605</v>
      </c>
      <c r="J637" s="203" t="s">
        <v>13769</v>
      </c>
      <c r="K637" s="203" t="s">
        <v>13770</v>
      </c>
      <c r="L637" s="203" t="s">
        <v>13465</v>
      </c>
      <c r="M637" s="203" t="s">
        <v>13466</v>
      </c>
      <c r="N637" s="205" t="s">
        <v>13398</v>
      </c>
      <c r="O637" s="57"/>
      <c r="P637" s="57"/>
      <c r="Q637" s="57"/>
      <c r="R637" s="57"/>
      <c r="S637" s="57"/>
      <c r="T637" s="57"/>
      <c r="U637" s="57"/>
      <c r="V637" s="57"/>
      <c r="W637" s="57"/>
      <c r="X637" s="57"/>
      <c r="Y637" s="57"/>
      <c r="Z637" s="57"/>
      <c r="AA637" s="57"/>
      <c r="AB637" s="57"/>
      <c r="AC637" s="57"/>
      <c r="AD637" s="57"/>
    </row>
    <row r="638" spans="1:30" ht="13.5" thickBot="1" x14ac:dyDescent="0.25">
      <c r="A638" s="57"/>
      <c r="B638" s="202" t="s">
        <v>13403</v>
      </c>
      <c r="C638" s="203" t="s">
        <v>13771</v>
      </c>
      <c r="D638" s="204" t="s">
        <v>13772</v>
      </c>
      <c r="E638" s="203" t="s">
        <v>13697</v>
      </c>
      <c r="F638" s="203" t="s">
        <v>13473</v>
      </c>
      <c r="G638" s="203" t="s">
        <v>13398</v>
      </c>
      <c r="H638" s="203" t="s">
        <v>13607</v>
      </c>
      <c r="I638" s="204" t="s">
        <v>13773</v>
      </c>
      <c r="J638" s="203" t="s">
        <v>13774</v>
      </c>
      <c r="K638" s="204" t="s">
        <v>13574</v>
      </c>
      <c r="L638" s="203" t="s">
        <v>13470</v>
      </c>
      <c r="M638" s="203" t="s">
        <v>13471</v>
      </c>
      <c r="N638" s="205" t="s">
        <v>13404</v>
      </c>
      <c r="O638" s="57"/>
      <c r="P638" s="57"/>
      <c r="Q638" s="57"/>
      <c r="R638" s="57"/>
      <c r="S638" s="57"/>
      <c r="T638" s="57"/>
      <c r="U638" s="57"/>
      <c r="V638" s="57"/>
      <c r="W638" s="57"/>
      <c r="X638" s="57"/>
      <c r="Y638" s="57"/>
      <c r="Z638" s="57"/>
      <c r="AA638" s="57"/>
      <c r="AB638" s="57"/>
      <c r="AC638" s="57"/>
      <c r="AD638" s="57"/>
    </row>
    <row r="639" spans="1:30" ht="13.5" thickBot="1" x14ac:dyDescent="0.25">
      <c r="A639" s="57"/>
      <c r="B639" s="202" t="s">
        <v>13408</v>
      </c>
      <c r="C639" s="203" t="s">
        <v>13775</v>
      </c>
      <c r="D639" s="203" t="s">
        <v>13672</v>
      </c>
      <c r="E639" s="204" t="s">
        <v>13776</v>
      </c>
      <c r="F639" s="203" t="s">
        <v>13673</v>
      </c>
      <c r="G639" s="204" t="s">
        <v>13777</v>
      </c>
      <c r="H639" s="203" t="s">
        <v>13602</v>
      </c>
      <c r="I639" s="204" t="s">
        <v>13778</v>
      </c>
      <c r="J639" s="203" t="s">
        <v>13500</v>
      </c>
      <c r="K639" s="203" t="s">
        <v>13779</v>
      </c>
      <c r="L639" s="203" t="s">
        <v>13474</v>
      </c>
      <c r="M639" s="203" t="s">
        <v>13461</v>
      </c>
      <c r="N639" s="205" t="s">
        <v>13409</v>
      </c>
      <c r="O639" s="57"/>
      <c r="P639" s="57"/>
      <c r="Q639" s="57"/>
      <c r="R639" s="57"/>
      <c r="S639" s="57"/>
      <c r="T639" s="57"/>
      <c r="U639" s="57"/>
      <c r="V639" s="57"/>
      <c r="W639" s="57"/>
      <c r="X639" s="57"/>
      <c r="Y639" s="57"/>
      <c r="Z639" s="57"/>
      <c r="AA639" s="57"/>
      <c r="AB639" s="57"/>
      <c r="AC639" s="57"/>
      <c r="AD639" s="57"/>
    </row>
    <row r="640" spans="1:30" ht="13.5" thickBot="1" x14ac:dyDescent="0.25">
      <c r="A640" s="57"/>
      <c r="B640" s="202" t="s">
        <v>13413</v>
      </c>
      <c r="C640" s="203" t="s">
        <v>13780</v>
      </c>
      <c r="D640" s="204" t="s">
        <v>13781</v>
      </c>
      <c r="E640" s="204" t="s">
        <v>13782</v>
      </c>
      <c r="F640" s="203" t="s">
        <v>13783</v>
      </c>
      <c r="G640" s="203" t="s">
        <v>13635</v>
      </c>
      <c r="H640" s="203" t="s">
        <v>13784</v>
      </c>
      <c r="I640" s="203" t="s">
        <v>13587</v>
      </c>
      <c r="J640" s="203" t="s">
        <v>13785</v>
      </c>
      <c r="K640" s="203" t="s">
        <v>13786</v>
      </c>
      <c r="L640" s="204" t="s">
        <v>13478</v>
      </c>
      <c r="M640" s="203" t="s">
        <v>13479</v>
      </c>
      <c r="N640" s="205" t="s">
        <v>13414</v>
      </c>
      <c r="O640" s="57"/>
      <c r="P640" s="57"/>
      <c r="Q640" s="57"/>
      <c r="R640" s="57"/>
      <c r="S640" s="57"/>
      <c r="T640" s="57"/>
      <c r="U640" s="57"/>
      <c r="V640" s="57"/>
      <c r="W640" s="57"/>
      <c r="X640" s="57"/>
      <c r="Y640" s="57"/>
      <c r="Z640" s="57"/>
      <c r="AA640" s="57"/>
      <c r="AB640" s="57"/>
      <c r="AC640" s="57"/>
      <c r="AD640" s="57"/>
    </row>
    <row r="641" spans="1:30" ht="13.5" thickBot="1" x14ac:dyDescent="0.25">
      <c r="A641" s="57"/>
      <c r="B641" s="202" t="s">
        <v>13419</v>
      </c>
      <c r="C641" s="203" t="s">
        <v>13787</v>
      </c>
      <c r="D641" s="203" t="s">
        <v>13788</v>
      </c>
      <c r="E641" s="204" t="s">
        <v>13665</v>
      </c>
      <c r="F641" s="203" t="s">
        <v>13789</v>
      </c>
      <c r="G641" s="204" t="s">
        <v>13790</v>
      </c>
      <c r="H641" s="203" t="s">
        <v>13614</v>
      </c>
      <c r="I641" s="204" t="s">
        <v>13663</v>
      </c>
      <c r="J641" s="203" t="s">
        <v>13583</v>
      </c>
      <c r="K641" s="203" t="s">
        <v>13647</v>
      </c>
      <c r="L641" s="203" t="s">
        <v>13483</v>
      </c>
      <c r="M641" s="203" t="s">
        <v>13484</v>
      </c>
      <c r="N641" s="205" t="s">
        <v>13752</v>
      </c>
      <c r="O641" s="57"/>
      <c r="P641" s="57"/>
      <c r="Q641" s="57"/>
      <c r="R641" s="57"/>
      <c r="S641" s="57"/>
      <c r="T641" s="57"/>
      <c r="U641" s="57"/>
      <c r="V641" s="57"/>
      <c r="W641" s="57"/>
      <c r="X641" s="57"/>
      <c r="Y641" s="57"/>
      <c r="Z641" s="57"/>
      <c r="AA641" s="57"/>
      <c r="AB641" s="57"/>
      <c r="AC641" s="57"/>
      <c r="AD641" s="57"/>
    </row>
    <row r="642" spans="1:30" ht="13.5" thickBot="1" x14ac:dyDescent="0.25">
      <c r="A642" s="57"/>
      <c r="B642" s="202" t="s">
        <v>13426</v>
      </c>
      <c r="C642" s="203" t="s">
        <v>13791</v>
      </c>
      <c r="D642" s="203" t="s">
        <v>13621</v>
      </c>
      <c r="E642" s="204" t="s">
        <v>13792</v>
      </c>
      <c r="F642" s="203" t="s">
        <v>13793</v>
      </c>
      <c r="G642" s="204" t="s">
        <v>13794</v>
      </c>
      <c r="H642" s="203" t="s">
        <v>13795</v>
      </c>
      <c r="I642" s="204" t="s">
        <v>13796</v>
      </c>
      <c r="J642" s="203" t="s">
        <v>13558</v>
      </c>
      <c r="K642" s="203" t="s">
        <v>13567</v>
      </c>
      <c r="L642" s="203" t="s">
        <v>13489</v>
      </c>
      <c r="M642" s="203" t="s">
        <v>13490</v>
      </c>
      <c r="N642" s="205" t="s">
        <v>13427</v>
      </c>
      <c r="O642" s="57"/>
      <c r="P642" s="57"/>
      <c r="Q642" s="57"/>
      <c r="R642" s="57"/>
      <c r="S642" s="57"/>
      <c r="T642" s="57"/>
      <c r="U642" s="57"/>
      <c r="V642" s="57"/>
      <c r="W642" s="57"/>
      <c r="X642" s="57"/>
      <c r="Y642" s="57"/>
      <c r="Z642" s="57"/>
      <c r="AA642" s="57"/>
      <c r="AB642" s="57"/>
      <c r="AC642" s="57"/>
      <c r="AD642" s="57"/>
    </row>
    <row r="643" spans="1:30" ht="13.5" thickBot="1" x14ac:dyDescent="0.25">
      <c r="A643" s="57"/>
      <c r="B643" s="202" t="s">
        <v>13432</v>
      </c>
      <c r="C643" s="203" t="s">
        <v>13792</v>
      </c>
      <c r="D643" s="203" t="s">
        <v>13797</v>
      </c>
      <c r="E643" s="204" t="s">
        <v>13561</v>
      </c>
      <c r="F643" s="203" t="s">
        <v>13798</v>
      </c>
      <c r="G643" s="204" t="s">
        <v>13799</v>
      </c>
      <c r="H643" s="203" t="s">
        <v>13503</v>
      </c>
      <c r="I643" s="204" t="s">
        <v>13379</v>
      </c>
      <c r="J643" s="203" t="s">
        <v>13584</v>
      </c>
      <c r="K643" s="203" t="s">
        <v>13800</v>
      </c>
      <c r="L643" s="203" t="s">
        <v>13801</v>
      </c>
      <c r="M643" s="203" t="s">
        <v>13559</v>
      </c>
      <c r="N643" s="205" t="s">
        <v>13421</v>
      </c>
      <c r="O643" s="57"/>
      <c r="P643" s="57"/>
      <c r="Q643" s="57"/>
      <c r="R643" s="57"/>
      <c r="S643" s="57"/>
      <c r="T643" s="57"/>
      <c r="U643" s="57"/>
      <c r="V643" s="57"/>
      <c r="W643" s="57"/>
      <c r="X643" s="57"/>
      <c r="Y643" s="57"/>
      <c r="Z643" s="57"/>
      <c r="AA643" s="57"/>
      <c r="AB643" s="57"/>
      <c r="AC643" s="57"/>
      <c r="AD643" s="57"/>
    </row>
    <row r="644" spans="1:30" ht="13.5" thickBot="1" x14ac:dyDescent="0.25">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c r="AA644" s="57"/>
      <c r="AB644" s="57"/>
      <c r="AC644" s="57"/>
      <c r="AD644" s="57"/>
    </row>
    <row r="645" spans="1:30" ht="13.5" thickBot="1" x14ac:dyDescent="0.25">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c r="AA645" s="57"/>
      <c r="AB645" s="57"/>
      <c r="AC645" s="57"/>
      <c r="AD645" s="57"/>
    </row>
    <row r="646" spans="1:30" ht="13.5" thickBot="1" x14ac:dyDescent="0.25">
      <c r="A646" s="57"/>
      <c r="B646" s="206" t="s">
        <v>14926</v>
      </c>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c r="AA646" s="57"/>
      <c r="AB646" s="57"/>
      <c r="AC646" s="57"/>
      <c r="AD646" s="57"/>
    </row>
    <row r="647" spans="1:30" ht="26.25" thickBot="1" x14ac:dyDescent="0.25">
      <c r="A647" s="57"/>
      <c r="B647" s="199"/>
      <c r="C647" s="207" t="s">
        <v>13734</v>
      </c>
      <c r="D647" s="199"/>
      <c r="E647" s="199"/>
      <c r="F647" s="202" t="s">
        <v>13015</v>
      </c>
      <c r="G647" s="199"/>
      <c r="H647" s="199"/>
      <c r="I647" s="202" t="s">
        <v>13735</v>
      </c>
      <c r="J647" s="199"/>
      <c r="K647" s="199"/>
      <c r="L647" s="207" t="s">
        <v>13736</v>
      </c>
      <c r="M647" s="199"/>
      <c r="N647" s="199"/>
      <c r="O647" s="57"/>
      <c r="P647" s="57"/>
      <c r="Q647" s="57"/>
      <c r="R647" s="57"/>
      <c r="S647" s="57"/>
      <c r="T647" s="57"/>
      <c r="U647" s="57"/>
      <c r="V647" s="57"/>
      <c r="W647" s="57"/>
      <c r="X647" s="57"/>
      <c r="Y647" s="57"/>
      <c r="Z647" s="57"/>
      <c r="AA647" s="57"/>
      <c r="AB647" s="57"/>
      <c r="AC647" s="57"/>
      <c r="AD647" s="57"/>
    </row>
    <row r="648" spans="1:30" ht="13.5" thickBot="1" x14ac:dyDescent="0.25">
      <c r="A648" s="57"/>
      <c r="B648" s="199"/>
      <c r="C648" s="202" t="s">
        <v>13737</v>
      </c>
      <c r="D648" s="202" t="s">
        <v>13738</v>
      </c>
      <c r="E648" s="202" t="s">
        <v>13739</v>
      </c>
      <c r="F648" s="202" t="s">
        <v>13737</v>
      </c>
      <c r="G648" s="202" t="s">
        <v>13738</v>
      </c>
      <c r="H648" s="202" t="s">
        <v>13739</v>
      </c>
      <c r="I648" s="202" t="s">
        <v>13737</v>
      </c>
      <c r="J648" s="202" t="s">
        <v>13738</v>
      </c>
      <c r="K648" s="202" t="s">
        <v>13739</v>
      </c>
      <c r="L648" s="202" t="s">
        <v>13737</v>
      </c>
      <c r="M648" s="202" t="s">
        <v>13738</v>
      </c>
      <c r="N648" s="202" t="s">
        <v>13739</v>
      </c>
      <c r="O648" s="57"/>
      <c r="P648" s="57"/>
      <c r="Q648" s="57"/>
      <c r="R648" s="57"/>
      <c r="S648" s="57"/>
      <c r="T648" s="57"/>
      <c r="U648" s="57"/>
      <c r="V648" s="57"/>
      <c r="W648" s="57"/>
      <c r="X648" s="57"/>
      <c r="Y648" s="57"/>
      <c r="Z648" s="57"/>
      <c r="AA648" s="57"/>
      <c r="AB648" s="57"/>
      <c r="AC648" s="57"/>
      <c r="AD648" s="57"/>
    </row>
    <row r="649" spans="1:30" ht="13.5" thickBot="1" x14ac:dyDescent="0.25">
      <c r="A649" s="57"/>
      <c r="B649" s="202" t="s">
        <v>13372</v>
      </c>
      <c r="C649" s="202" t="s">
        <v>13803</v>
      </c>
      <c r="D649" s="202" t="s">
        <v>13450</v>
      </c>
      <c r="E649" s="202" t="s">
        <v>13804</v>
      </c>
      <c r="F649" s="202" t="s">
        <v>13390</v>
      </c>
      <c r="G649" s="202" t="s">
        <v>13805</v>
      </c>
      <c r="H649" s="202" t="s">
        <v>13806</v>
      </c>
      <c r="I649" s="202" t="s">
        <v>13569</v>
      </c>
      <c r="J649" s="202" t="s">
        <v>13807</v>
      </c>
      <c r="K649" s="202" t="s">
        <v>13808</v>
      </c>
      <c r="L649" s="202" t="s">
        <v>13376</v>
      </c>
      <c r="M649" s="202" t="s">
        <v>13376</v>
      </c>
      <c r="N649" s="202" t="s">
        <v>13376</v>
      </c>
      <c r="O649" s="57"/>
      <c r="P649" s="57"/>
      <c r="Q649" s="57"/>
      <c r="R649" s="57"/>
      <c r="S649" s="57"/>
      <c r="T649" s="57"/>
      <c r="U649" s="57"/>
      <c r="V649" s="57"/>
      <c r="W649" s="57"/>
      <c r="X649" s="57"/>
      <c r="Y649" s="57"/>
      <c r="Z649" s="57"/>
      <c r="AA649" s="57"/>
      <c r="AB649" s="57"/>
      <c r="AC649" s="57"/>
      <c r="AD649" s="57"/>
    </row>
    <row r="650" spans="1:30" ht="13.5" thickBot="1" x14ac:dyDescent="0.25">
      <c r="A650" s="57"/>
      <c r="B650" s="202" t="s">
        <v>13378</v>
      </c>
      <c r="C650" s="202" t="s">
        <v>13809</v>
      </c>
      <c r="D650" s="202" t="s">
        <v>13810</v>
      </c>
      <c r="E650" s="202" t="s">
        <v>13811</v>
      </c>
      <c r="F650" s="202" t="s">
        <v>13812</v>
      </c>
      <c r="G650" s="202" t="s">
        <v>13635</v>
      </c>
      <c r="H650" s="202" t="s">
        <v>13813</v>
      </c>
      <c r="I650" s="202" t="s">
        <v>13470</v>
      </c>
      <c r="J650" s="202" t="s">
        <v>13658</v>
      </c>
      <c r="K650" s="202" t="s">
        <v>13814</v>
      </c>
      <c r="L650" s="202" t="s">
        <v>13495</v>
      </c>
      <c r="M650" s="202" t="s">
        <v>13427</v>
      </c>
      <c r="N650" s="202" t="s">
        <v>13382</v>
      </c>
      <c r="O650" s="57"/>
      <c r="P650" s="57"/>
      <c r="Q650" s="57"/>
      <c r="R650" s="57"/>
      <c r="S650" s="57"/>
      <c r="T650" s="57"/>
      <c r="U650" s="57"/>
      <c r="V650" s="57"/>
      <c r="W650" s="57"/>
      <c r="X650" s="57"/>
      <c r="Y650" s="57"/>
      <c r="Z650" s="57"/>
      <c r="AA650" s="57"/>
      <c r="AB650" s="57"/>
      <c r="AC650" s="57"/>
      <c r="AD650" s="57"/>
    </row>
    <row r="651" spans="1:30" ht="13.5" thickBot="1" x14ac:dyDescent="0.25">
      <c r="A651" s="57"/>
      <c r="B651" s="202" t="s">
        <v>13384</v>
      </c>
      <c r="C651" s="202" t="s">
        <v>13497</v>
      </c>
      <c r="D651" s="202" t="s">
        <v>13496</v>
      </c>
      <c r="E651" s="202" t="s">
        <v>13388</v>
      </c>
      <c r="F651" s="202" t="s">
        <v>13380</v>
      </c>
      <c r="G651" s="202">
        <v>1</v>
      </c>
      <c r="H651" s="202" t="s">
        <v>13415</v>
      </c>
      <c r="I651" s="202" t="s">
        <v>13618</v>
      </c>
      <c r="J651" s="202" t="s">
        <v>13815</v>
      </c>
      <c r="K651" s="202" t="s">
        <v>13816</v>
      </c>
      <c r="L651" s="202" t="s">
        <v>13496</v>
      </c>
      <c r="M651" s="202" t="s">
        <v>13497</v>
      </c>
      <c r="N651" s="202" t="s">
        <v>13388</v>
      </c>
      <c r="O651" s="57"/>
      <c r="P651" s="57"/>
      <c r="Q651" s="57"/>
      <c r="R651" s="57"/>
      <c r="S651" s="57"/>
      <c r="T651" s="57"/>
      <c r="U651" s="57"/>
      <c r="V651" s="57"/>
      <c r="W651" s="57"/>
      <c r="X651" s="57"/>
      <c r="Y651" s="57"/>
      <c r="Z651" s="57"/>
      <c r="AA651" s="57"/>
      <c r="AB651" s="57"/>
      <c r="AC651" s="57"/>
      <c r="AD651" s="57"/>
    </row>
    <row r="652" spans="1:30" ht="13.5" thickBot="1" x14ac:dyDescent="0.25">
      <c r="A652" s="57"/>
      <c r="B652" s="202" t="s">
        <v>13391</v>
      </c>
      <c r="C652" s="202" t="s">
        <v>13498</v>
      </c>
      <c r="D652" s="202" t="s">
        <v>13583</v>
      </c>
      <c r="E652" s="202" t="s">
        <v>13450</v>
      </c>
      <c r="F652" s="202" t="s">
        <v>13817</v>
      </c>
      <c r="G652" s="202" t="s">
        <v>13818</v>
      </c>
      <c r="H652" s="202" t="s">
        <v>13638</v>
      </c>
      <c r="I652" s="202" t="s">
        <v>13616</v>
      </c>
      <c r="J652" s="202" t="s">
        <v>13686</v>
      </c>
      <c r="K652" s="202" t="s">
        <v>13819</v>
      </c>
      <c r="L652" s="202" t="s">
        <v>13457</v>
      </c>
      <c r="M652" s="202" t="s">
        <v>13500</v>
      </c>
      <c r="N652" s="202" t="s">
        <v>13395</v>
      </c>
      <c r="O652" s="57"/>
      <c r="P652" s="57"/>
      <c r="Q652" s="57"/>
      <c r="R652" s="57"/>
      <c r="S652" s="57"/>
      <c r="T652" s="57"/>
      <c r="U652" s="57"/>
      <c r="V652" s="57"/>
      <c r="W652" s="57"/>
      <c r="X652" s="57"/>
      <c r="Y652" s="57"/>
      <c r="Z652" s="57"/>
      <c r="AA652" s="57"/>
      <c r="AB652" s="57"/>
      <c r="AC652" s="57"/>
      <c r="AD652" s="57"/>
    </row>
    <row r="653" spans="1:30" ht="13.5" thickBot="1" x14ac:dyDescent="0.25">
      <c r="A653" s="57"/>
      <c r="B653" s="202" t="s">
        <v>13397</v>
      </c>
      <c r="C653" s="202" t="s">
        <v>13757</v>
      </c>
      <c r="D653" s="202" t="s">
        <v>13757</v>
      </c>
      <c r="E653" s="202" t="s">
        <v>13757</v>
      </c>
      <c r="F653" s="202" t="s">
        <v>13820</v>
      </c>
      <c r="G653" s="202" t="s">
        <v>13821</v>
      </c>
      <c r="H653" s="202" t="s">
        <v>13822</v>
      </c>
      <c r="I653" s="202" t="s">
        <v>13823</v>
      </c>
      <c r="J653" s="202" t="s">
        <v>13423</v>
      </c>
      <c r="K653" s="202" t="s">
        <v>13824</v>
      </c>
      <c r="L653" s="202" t="s">
        <v>13502</v>
      </c>
      <c r="M653" s="202" t="s">
        <v>13503</v>
      </c>
      <c r="N653" s="202" t="s">
        <v>13401</v>
      </c>
      <c r="O653" s="57"/>
      <c r="P653" s="57"/>
      <c r="Q653" s="57"/>
      <c r="R653" s="57"/>
      <c r="S653" s="57"/>
      <c r="T653" s="57"/>
      <c r="U653" s="57"/>
      <c r="V653" s="57"/>
      <c r="W653" s="57"/>
      <c r="X653" s="57"/>
      <c r="Y653" s="57"/>
      <c r="Z653" s="57"/>
      <c r="AA653" s="57"/>
      <c r="AB653" s="57"/>
      <c r="AC653" s="57"/>
      <c r="AD653" s="57"/>
    </row>
    <row r="654" spans="1:30" ht="13.5" thickBot="1" x14ac:dyDescent="0.25">
      <c r="A654" s="57"/>
      <c r="B654" s="202" t="s">
        <v>13403</v>
      </c>
      <c r="C654" s="202" t="s">
        <v>13825</v>
      </c>
      <c r="D654" s="202" t="s">
        <v>13826</v>
      </c>
      <c r="E654" s="202" t="s">
        <v>13827</v>
      </c>
      <c r="F654" s="202" t="s">
        <v>13431</v>
      </c>
      <c r="G654" s="202" t="s">
        <v>13828</v>
      </c>
      <c r="H654" s="202" t="s">
        <v>13636</v>
      </c>
      <c r="I654" s="202" t="s">
        <v>13829</v>
      </c>
      <c r="J654" s="202" t="s">
        <v>13830</v>
      </c>
      <c r="K654" s="202" t="s">
        <v>13831</v>
      </c>
      <c r="L654" s="202" t="s">
        <v>13505</v>
      </c>
      <c r="M654" s="202" t="s">
        <v>13506</v>
      </c>
      <c r="N654" s="202" t="s">
        <v>13406</v>
      </c>
      <c r="O654" s="57"/>
      <c r="P654" s="57"/>
      <c r="Q654" s="57"/>
      <c r="R654" s="57"/>
      <c r="S654" s="57"/>
      <c r="T654" s="57"/>
      <c r="U654" s="57"/>
      <c r="V654" s="57"/>
      <c r="W654" s="57"/>
      <c r="X654" s="57"/>
      <c r="Y654" s="57"/>
      <c r="Z654" s="57"/>
      <c r="AA654" s="57"/>
      <c r="AB654" s="57"/>
      <c r="AC654" s="57"/>
      <c r="AD654" s="57"/>
    </row>
    <row r="655" spans="1:30" ht="13.5" thickBot="1" x14ac:dyDescent="0.25">
      <c r="A655" s="57"/>
      <c r="B655" s="202" t="s">
        <v>13408</v>
      </c>
      <c r="C655" s="202" t="s">
        <v>13457</v>
      </c>
      <c r="D655" s="202" t="s">
        <v>13511</v>
      </c>
      <c r="E655" s="202" t="s">
        <v>13832</v>
      </c>
      <c r="F655" s="202" t="s">
        <v>13833</v>
      </c>
      <c r="G655" s="202" t="s">
        <v>13457</v>
      </c>
      <c r="H655" s="202" t="s">
        <v>13834</v>
      </c>
      <c r="I655" s="202" t="s">
        <v>13835</v>
      </c>
      <c r="J655" s="202" t="s">
        <v>13836</v>
      </c>
      <c r="K655" s="202" t="s">
        <v>13837</v>
      </c>
      <c r="L655" s="202" t="s">
        <v>13838</v>
      </c>
      <c r="M655" s="202" t="s">
        <v>13509</v>
      </c>
      <c r="N655" s="202" t="s">
        <v>13412</v>
      </c>
      <c r="O655" s="57"/>
      <c r="P655" s="57"/>
      <c r="Q655" s="57"/>
      <c r="R655" s="57"/>
      <c r="S655" s="57"/>
      <c r="T655" s="57"/>
      <c r="U655" s="57"/>
      <c r="V655" s="57"/>
      <c r="W655" s="57"/>
      <c r="X655" s="57"/>
      <c r="Y655" s="57"/>
      <c r="Z655" s="57"/>
      <c r="AA655" s="57"/>
      <c r="AB655" s="57"/>
      <c r="AC655" s="57"/>
      <c r="AD655" s="57"/>
    </row>
    <row r="656" spans="1:30" ht="13.5" thickBot="1" x14ac:dyDescent="0.25">
      <c r="A656" s="57"/>
      <c r="B656" s="202" t="s">
        <v>13413</v>
      </c>
      <c r="C656" s="202" t="s">
        <v>13839</v>
      </c>
      <c r="D656" s="202" t="s">
        <v>13597</v>
      </c>
      <c r="E656" s="202" t="s">
        <v>13840</v>
      </c>
      <c r="F656" s="202" t="s">
        <v>13493</v>
      </c>
      <c r="G656" s="202" t="s">
        <v>13623</v>
      </c>
      <c r="H656" s="202" t="s">
        <v>13454</v>
      </c>
      <c r="I656" s="202" t="s">
        <v>13691</v>
      </c>
      <c r="J656" s="202" t="s">
        <v>13775</v>
      </c>
      <c r="K656" s="202" t="s">
        <v>13614</v>
      </c>
      <c r="L656" s="202" t="s">
        <v>13512</v>
      </c>
      <c r="M656" s="202" t="s">
        <v>13513</v>
      </c>
      <c r="N656" s="202" t="s">
        <v>13374</v>
      </c>
      <c r="O656" s="57"/>
      <c r="P656" s="57"/>
      <c r="Q656" s="57"/>
      <c r="R656" s="57"/>
      <c r="S656" s="57"/>
      <c r="T656" s="57"/>
      <c r="U656" s="57"/>
      <c r="V656" s="57"/>
      <c r="W656" s="57"/>
      <c r="X656" s="57"/>
      <c r="Y656" s="57"/>
      <c r="Z656" s="57"/>
      <c r="AA656" s="57"/>
      <c r="AB656" s="57"/>
      <c r="AC656" s="57"/>
      <c r="AD656" s="57"/>
    </row>
    <row r="657" spans="1:30" ht="13.5" thickBot="1" x14ac:dyDescent="0.25">
      <c r="A657" s="57"/>
      <c r="B657" s="202" t="s">
        <v>13419</v>
      </c>
      <c r="C657" s="202" t="s">
        <v>13841</v>
      </c>
      <c r="D657" s="202" t="s">
        <v>13532</v>
      </c>
      <c r="E657" s="202" t="s">
        <v>13491</v>
      </c>
      <c r="F657" s="202" t="s">
        <v>13842</v>
      </c>
      <c r="G657" s="202" t="s">
        <v>13843</v>
      </c>
      <c r="H657" s="202" t="s">
        <v>13844</v>
      </c>
      <c r="I657" s="202" t="s">
        <v>13781</v>
      </c>
      <c r="J657" s="202" t="s">
        <v>13845</v>
      </c>
      <c r="K657" s="202" t="s">
        <v>13457</v>
      </c>
      <c r="L657" s="202" t="s">
        <v>13514</v>
      </c>
      <c r="M657" s="202" t="s">
        <v>13515</v>
      </c>
      <c r="N657" s="202" t="s">
        <v>13423</v>
      </c>
      <c r="O657" s="57"/>
      <c r="P657" s="57"/>
      <c r="Q657" s="57"/>
      <c r="R657" s="57"/>
      <c r="S657" s="57"/>
      <c r="T657" s="57"/>
      <c r="U657" s="57"/>
      <c r="V657" s="57"/>
      <c r="W657" s="57"/>
      <c r="X657" s="57"/>
      <c r="Y657" s="57"/>
      <c r="Z657" s="57"/>
      <c r="AA657" s="57"/>
      <c r="AB657" s="57"/>
      <c r="AC657" s="57"/>
      <c r="AD657" s="57"/>
    </row>
    <row r="658" spans="1:30" ht="13.5" thickBot="1" x14ac:dyDescent="0.25">
      <c r="A658" s="57"/>
      <c r="B658" s="202" t="s">
        <v>13426</v>
      </c>
      <c r="C658" s="202" t="s">
        <v>13846</v>
      </c>
      <c r="D658" s="202" t="s">
        <v>13847</v>
      </c>
      <c r="E658" s="202" t="s">
        <v>13839</v>
      </c>
      <c r="F658" s="202" t="s">
        <v>13848</v>
      </c>
      <c r="G658" s="202" t="s">
        <v>13525</v>
      </c>
      <c r="H658" s="202" t="s">
        <v>13849</v>
      </c>
      <c r="I658" s="202" t="s">
        <v>13850</v>
      </c>
      <c r="J658" s="202" t="s">
        <v>13851</v>
      </c>
      <c r="K658" s="202" t="s">
        <v>13852</v>
      </c>
      <c r="L658" s="202" t="s">
        <v>13518</v>
      </c>
      <c r="M658" s="202" t="s">
        <v>13519</v>
      </c>
      <c r="N658" s="202" t="s">
        <v>13430</v>
      </c>
      <c r="O658" s="57"/>
      <c r="P658" s="57"/>
      <c r="Q658" s="57"/>
      <c r="R658" s="57"/>
      <c r="S658" s="57"/>
      <c r="T658" s="57"/>
      <c r="U658" s="57"/>
      <c r="V658" s="57"/>
      <c r="W658" s="57"/>
      <c r="X658" s="57"/>
      <c r="Y658" s="57"/>
      <c r="Z658" s="57"/>
      <c r="AA658" s="57"/>
      <c r="AB658" s="57"/>
      <c r="AC658" s="57"/>
      <c r="AD658" s="57"/>
    </row>
    <row r="659" spans="1:30" ht="13.5" thickBot="1" x14ac:dyDescent="0.25">
      <c r="A659" s="57"/>
      <c r="B659" s="202" t="s">
        <v>13432</v>
      </c>
      <c r="C659" s="202" t="s">
        <v>13853</v>
      </c>
      <c r="D659" s="202" t="s">
        <v>13854</v>
      </c>
      <c r="E659" s="202" t="s">
        <v>13604</v>
      </c>
      <c r="F659" s="202" t="s">
        <v>13855</v>
      </c>
      <c r="G659" s="202" t="s">
        <v>13823</v>
      </c>
      <c r="H659" s="202" t="s">
        <v>13713</v>
      </c>
      <c r="I659" s="202" t="s">
        <v>13856</v>
      </c>
      <c r="J659" s="202" t="s">
        <v>13597</v>
      </c>
      <c r="K659" s="202" t="s">
        <v>13857</v>
      </c>
      <c r="L659" s="202" t="s">
        <v>13858</v>
      </c>
      <c r="M659" s="202" t="s">
        <v>13859</v>
      </c>
      <c r="N659" s="202" t="s">
        <v>13435</v>
      </c>
      <c r="O659" s="57"/>
      <c r="P659" s="57"/>
      <c r="Q659" s="57"/>
      <c r="R659" s="57"/>
      <c r="S659" s="57"/>
      <c r="T659" s="57"/>
      <c r="U659" s="57"/>
      <c r="V659" s="57"/>
      <c r="W659" s="57"/>
      <c r="X659" s="57"/>
      <c r="Y659" s="57"/>
      <c r="Z659" s="57"/>
      <c r="AA659" s="57"/>
      <c r="AB659" s="57"/>
      <c r="AC659" s="57"/>
      <c r="AD659" s="57"/>
    </row>
    <row r="660" spans="1:30" ht="13.5" thickBot="1" x14ac:dyDescent="0.25">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c r="AA660" s="57"/>
      <c r="AB660" s="57"/>
      <c r="AC660" s="57"/>
      <c r="AD660" s="57"/>
    </row>
    <row r="661" spans="1:30" ht="13.5" thickBot="1" x14ac:dyDescent="0.25">
      <c r="A661" s="57"/>
      <c r="B661" s="197" t="s">
        <v>14927</v>
      </c>
      <c r="C661" s="198"/>
      <c r="D661" s="198"/>
      <c r="E661" s="198"/>
      <c r="F661" s="198"/>
      <c r="G661" s="198"/>
      <c r="H661" s="198"/>
      <c r="I661" s="57"/>
      <c r="J661" s="57"/>
      <c r="K661" s="57"/>
      <c r="L661" s="57"/>
      <c r="M661" s="57"/>
      <c r="N661" s="57"/>
      <c r="O661" s="57"/>
      <c r="P661" s="57"/>
      <c r="Q661" s="57"/>
      <c r="R661" s="57"/>
      <c r="S661" s="57"/>
      <c r="T661" s="57"/>
      <c r="U661" s="57"/>
      <c r="V661" s="57"/>
      <c r="W661" s="57"/>
      <c r="X661" s="57"/>
      <c r="Y661" s="57"/>
      <c r="Z661" s="57"/>
      <c r="AA661" s="57"/>
      <c r="AB661" s="57"/>
      <c r="AC661" s="57"/>
      <c r="AD661" s="57"/>
    </row>
    <row r="662" spans="1:30" ht="13.5" thickBot="1" x14ac:dyDescent="0.25">
      <c r="A662" s="57"/>
      <c r="B662" s="259"/>
      <c r="C662" s="261" t="s">
        <v>13734</v>
      </c>
      <c r="D662" s="262"/>
      <c r="E662" s="263"/>
      <c r="F662" s="261" t="s">
        <v>13015</v>
      </c>
      <c r="G662" s="262"/>
      <c r="H662" s="264"/>
      <c r="I662" s="57"/>
      <c r="J662" s="57"/>
      <c r="K662" s="57"/>
      <c r="L662" s="57"/>
      <c r="M662" s="57"/>
      <c r="N662" s="57"/>
      <c r="O662" s="57"/>
      <c r="P662" s="57"/>
      <c r="Q662" s="57"/>
      <c r="R662" s="57"/>
      <c r="S662" s="57"/>
      <c r="T662" s="57"/>
      <c r="U662" s="57"/>
      <c r="V662" s="57"/>
      <c r="W662" s="57"/>
      <c r="X662" s="57"/>
      <c r="Y662" s="57"/>
      <c r="Z662" s="57"/>
      <c r="AA662" s="57"/>
      <c r="AB662" s="57"/>
      <c r="AC662" s="57"/>
      <c r="AD662" s="57"/>
    </row>
    <row r="663" spans="1:30" ht="13.5" thickBot="1" x14ac:dyDescent="0.25">
      <c r="A663" s="57"/>
      <c r="B663" s="260"/>
      <c r="C663" s="202" t="s">
        <v>13737</v>
      </c>
      <c r="D663" s="202" t="s">
        <v>13738</v>
      </c>
      <c r="E663" s="202" t="s">
        <v>13739</v>
      </c>
      <c r="F663" s="202" t="s">
        <v>13737</v>
      </c>
      <c r="G663" s="202" t="s">
        <v>13738</v>
      </c>
      <c r="H663" s="208" t="s">
        <v>13739</v>
      </c>
      <c r="I663" s="57"/>
      <c r="J663" s="57"/>
      <c r="K663" s="57"/>
      <c r="L663" s="57"/>
      <c r="M663" s="57"/>
      <c r="N663" s="57"/>
      <c r="O663" s="57"/>
      <c r="P663" s="57"/>
      <c r="Q663" s="57"/>
      <c r="R663" s="57"/>
      <c r="S663" s="57"/>
      <c r="T663" s="57"/>
      <c r="U663" s="57"/>
      <c r="V663" s="57"/>
      <c r="W663" s="57"/>
      <c r="X663" s="57"/>
      <c r="Y663" s="57"/>
      <c r="Z663" s="57"/>
      <c r="AA663" s="57"/>
      <c r="AB663" s="57"/>
      <c r="AC663" s="57"/>
      <c r="AD663" s="57"/>
    </row>
    <row r="664" spans="1:30" ht="13.5" thickBot="1" x14ac:dyDescent="0.25">
      <c r="A664" s="57"/>
      <c r="B664" s="202" t="s">
        <v>13372</v>
      </c>
      <c r="C664" s="204" t="s">
        <v>13382</v>
      </c>
      <c r="D664" s="204" t="s">
        <v>13679</v>
      </c>
      <c r="E664" s="204" t="s">
        <v>14928</v>
      </c>
      <c r="F664" s="203" t="s">
        <v>13690</v>
      </c>
      <c r="G664" s="203" t="s">
        <v>14929</v>
      </c>
      <c r="H664" s="205" t="s">
        <v>14930</v>
      </c>
      <c r="I664" s="57"/>
      <c r="J664" s="57"/>
      <c r="K664" s="57"/>
      <c r="L664" s="57"/>
      <c r="M664" s="57"/>
      <c r="N664" s="57"/>
      <c r="O664" s="57"/>
      <c r="P664" s="57"/>
      <c r="Q664" s="57"/>
      <c r="R664" s="57"/>
      <c r="S664" s="57"/>
      <c r="T664" s="57"/>
      <c r="U664" s="57"/>
      <c r="V664" s="57"/>
      <c r="W664" s="57"/>
      <c r="X664" s="57"/>
      <c r="Y664" s="57"/>
      <c r="Z664" s="57"/>
      <c r="AA664" s="57"/>
      <c r="AB664" s="57"/>
      <c r="AC664" s="57"/>
      <c r="AD664" s="57"/>
    </row>
    <row r="665" spans="1:30" ht="13.5" thickBot="1" x14ac:dyDescent="0.25">
      <c r="A665" s="57"/>
      <c r="B665" s="202" t="s">
        <v>13378</v>
      </c>
      <c r="C665" s="204" t="s">
        <v>14931</v>
      </c>
      <c r="D665" s="203" t="s">
        <v>13809</v>
      </c>
      <c r="E665" s="204" t="s">
        <v>14343</v>
      </c>
      <c r="F665" s="203" t="s">
        <v>13916</v>
      </c>
      <c r="G665" s="204" t="s">
        <v>14304</v>
      </c>
      <c r="H665" s="205" t="s">
        <v>13889</v>
      </c>
      <c r="I665" s="57"/>
      <c r="J665" s="57"/>
      <c r="K665" s="57"/>
      <c r="L665" s="57"/>
      <c r="M665" s="57"/>
      <c r="N665" s="57"/>
      <c r="O665" s="57"/>
      <c r="P665" s="57"/>
      <c r="Q665" s="57"/>
      <c r="R665" s="57"/>
      <c r="S665" s="57"/>
      <c r="T665" s="57"/>
      <c r="U665" s="57"/>
      <c r="V665" s="57"/>
      <c r="W665" s="57"/>
      <c r="X665" s="57"/>
      <c r="Y665" s="57"/>
      <c r="Z665" s="57"/>
      <c r="AA665" s="57"/>
      <c r="AB665" s="57"/>
      <c r="AC665" s="57"/>
      <c r="AD665" s="57"/>
    </row>
    <row r="666" spans="1:30" ht="13.5" thickBot="1" x14ac:dyDescent="0.25">
      <c r="A666" s="57"/>
      <c r="B666" s="202" t="s">
        <v>13384</v>
      </c>
      <c r="C666" s="204" t="s">
        <v>14932</v>
      </c>
      <c r="D666" s="204" t="s">
        <v>14380</v>
      </c>
      <c r="E666" s="204" t="s">
        <v>13870</v>
      </c>
      <c r="F666" s="203" t="s">
        <v>14933</v>
      </c>
      <c r="G666" s="203" t="s">
        <v>13799</v>
      </c>
      <c r="H666" s="205" t="s">
        <v>13660</v>
      </c>
      <c r="I666" s="57"/>
      <c r="J666" s="57"/>
      <c r="K666" s="57"/>
      <c r="L666" s="57"/>
      <c r="M666" s="57"/>
      <c r="N666" s="57"/>
      <c r="O666" s="57"/>
      <c r="P666" s="57"/>
      <c r="Q666" s="57"/>
      <c r="R666" s="57"/>
      <c r="S666" s="57"/>
      <c r="T666" s="57"/>
      <c r="U666" s="57"/>
      <c r="V666" s="57"/>
      <c r="W666" s="57"/>
      <c r="X666" s="57"/>
      <c r="Y666" s="57"/>
      <c r="Z666" s="57"/>
      <c r="AA666" s="57"/>
      <c r="AB666" s="57"/>
      <c r="AC666" s="57"/>
      <c r="AD666" s="57"/>
    </row>
    <row r="667" spans="1:30" ht="13.5" thickBot="1" x14ac:dyDescent="0.25">
      <c r="A667" s="57"/>
      <c r="B667" s="202" t="s">
        <v>13391</v>
      </c>
      <c r="C667" s="204" t="s">
        <v>13595</v>
      </c>
      <c r="D667" s="204" t="s">
        <v>14517</v>
      </c>
      <c r="E667" s="204" t="s">
        <v>14503</v>
      </c>
      <c r="F667" s="203" t="s">
        <v>14934</v>
      </c>
      <c r="G667" s="203" t="s">
        <v>13450</v>
      </c>
      <c r="H667" s="205" t="s">
        <v>14935</v>
      </c>
      <c r="I667" s="57"/>
      <c r="J667" s="57"/>
      <c r="K667" s="57"/>
      <c r="L667" s="57"/>
      <c r="M667" s="57"/>
      <c r="N667" s="57"/>
      <c r="O667" s="57"/>
      <c r="P667" s="57"/>
      <c r="Q667" s="57"/>
      <c r="R667" s="57"/>
      <c r="S667" s="57"/>
      <c r="T667" s="57"/>
      <c r="U667" s="57"/>
      <c r="V667" s="57"/>
      <c r="W667" s="57"/>
      <c r="X667" s="57"/>
      <c r="Y667" s="57"/>
      <c r="Z667" s="57"/>
      <c r="AA667" s="57"/>
      <c r="AB667" s="57"/>
      <c r="AC667" s="57"/>
      <c r="AD667" s="57"/>
    </row>
    <row r="668" spans="1:30" ht="13.5" thickBot="1" x14ac:dyDescent="0.25">
      <c r="A668" s="57"/>
      <c r="B668" s="202" t="s">
        <v>13397</v>
      </c>
      <c r="C668" s="203" t="s">
        <v>14383</v>
      </c>
      <c r="D668" s="204" t="s">
        <v>14432</v>
      </c>
      <c r="E668" s="204" t="s">
        <v>13665</v>
      </c>
      <c r="F668" s="204" t="s">
        <v>13528</v>
      </c>
      <c r="G668" s="203" t="s">
        <v>13801</v>
      </c>
      <c r="H668" s="205" t="s">
        <v>14422</v>
      </c>
      <c r="I668" s="57"/>
      <c r="J668" s="57"/>
      <c r="K668" s="57"/>
      <c r="L668" s="57"/>
      <c r="M668" s="57"/>
      <c r="N668" s="57"/>
      <c r="O668" s="57"/>
      <c r="P668" s="57"/>
      <c r="Q668" s="57"/>
      <c r="R668" s="57"/>
      <c r="S668" s="57"/>
      <c r="T668" s="57"/>
      <c r="U668" s="57"/>
      <c r="V668" s="57"/>
      <c r="W668" s="57"/>
      <c r="X668" s="57"/>
      <c r="Y668" s="57"/>
      <c r="Z668" s="57"/>
      <c r="AA668" s="57"/>
      <c r="AB668" s="57"/>
      <c r="AC668" s="57"/>
      <c r="AD668" s="57"/>
    </row>
    <row r="669" spans="1:30" ht="13.5" thickBot="1" x14ac:dyDescent="0.25">
      <c r="A669" s="57"/>
      <c r="B669" s="202" t="s">
        <v>13403</v>
      </c>
      <c r="C669" s="203" t="s">
        <v>14934</v>
      </c>
      <c r="D669" s="204" t="s">
        <v>14415</v>
      </c>
      <c r="E669" s="203" t="s">
        <v>13622</v>
      </c>
      <c r="F669" s="204" t="s">
        <v>13502</v>
      </c>
      <c r="G669" s="203" t="s">
        <v>14936</v>
      </c>
      <c r="H669" s="209" t="s">
        <v>13858</v>
      </c>
      <c r="I669" s="57"/>
      <c r="J669" s="57"/>
      <c r="K669" s="57"/>
      <c r="L669" s="57"/>
      <c r="M669" s="57"/>
      <c r="N669" s="57"/>
      <c r="O669" s="57"/>
      <c r="P669" s="57"/>
      <c r="Q669" s="57"/>
      <c r="R669" s="57"/>
      <c r="S669" s="57"/>
      <c r="T669" s="57"/>
      <c r="U669" s="57"/>
      <c r="V669" s="57"/>
      <c r="W669" s="57"/>
      <c r="X669" s="57"/>
      <c r="Y669" s="57"/>
      <c r="Z669" s="57"/>
      <c r="AA669" s="57"/>
      <c r="AB669" s="57"/>
      <c r="AC669" s="57"/>
      <c r="AD669" s="57"/>
    </row>
    <row r="670" spans="1:30" ht="13.5" thickBot="1" x14ac:dyDescent="0.25">
      <c r="A670" s="57"/>
      <c r="B670" s="202" t="s">
        <v>13408</v>
      </c>
      <c r="C670" s="204" t="s">
        <v>14937</v>
      </c>
      <c r="D670" s="204" t="s">
        <v>14406</v>
      </c>
      <c r="E670" s="204" t="s">
        <v>14938</v>
      </c>
      <c r="F670" s="203" t="s">
        <v>13750</v>
      </c>
      <c r="G670" s="203" t="s">
        <v>13584</v>
      </c>
      <c r="H670" s="205" t="s">
        <v>14939</v>
      </c>
      <c r="I670" s="57"/>
      <c r="J670" s="57"/>
      <c r="K670" s="57"/>
      <c r="L670" s="57"/>
      <c r="M670" s="57"/>
      <c r="N670" s="57"/>
      <c r="O670" s="57"/>
      <c r="P670" s="57"/>
      <c r="Q670" s="57"/>
      <c r="R670" s="57"/>
      <c r="S670" s="57"/>
      <c r="T670" s="57"/>
      <c r="U670" s="57"/>
      <c r="V670" s="57"/>
      <c r="W670" s="57"/>
      <c r="X670" s="57"/>
      <c r="Y670" s="57"/>
      <c r="Z670" s="57"/>
      <c r="AA670" s="57"/>
      <c r="AB670" s="57"/>
      <c r="AC670" s="57"/>
      <c r="AD670" s="57"/>
    </row>
    <row r="671" spans="1:30" ht="13.5" thickBot="1" x14ac:dyDescent="0.25">
      <c r="A671" s="57"/>
      <c r="B671" s="202" t="s">
        <v>13413</v>
      </c>
      <c r="C671" s="204" t="s">
        <v>13628</v>
      </c>
      <c r="D671" s="204" t="s">
        <v>13497</v>
      </c>
      <c r="E671" s="204" t="s">
        <v>14383</v>
      </c>
      <c r="F671" s="203" t="s">
        <v>13921</v>
      </c>
      <c r="G671" s="203" t="s">
        <v>14940</v>
      </c>
      <c r="H671" s="205" t="s">
        <v>14941</v>
      </c>
      <c r="I671" s="57"/>
      <c r="J671" s="57"/>
      <c r="K671" s="57"/>
      <c r="L671" s="57"/>
      <c r="M671" s="57"/>
      <c r="N671" s="57"/>
      <c r="O671" s="57"/>
      <c r="P671" s="57"/>
      <c r="Q671" s="57"/>
      <c r="R671" s="57"/>
      <c r="S671" s="57"/>
      <c r="T671" s="57"/>
      <c r="U671" s="57"/>
      <c r="V671" s="57"/>
      <c r="W671" s="57"/>
      <c r="X671" s="57"/>
      <c r="Y671" s="57"/>
      <c r="Z671" s="57"/>
      <c r="AA671" s="57"/>
      <c r="AB671" s="57"/>
      <c r="AC671" s="57"/>
      <c r="AD671" s="57"/>
    </row>
    <row r="672" spans="1:30" ht="13.5" thickBot="1" x14ac:dyDescent="0.25">
      <c r="A672" s="57"/>
      <c r="B672" s="202" t="s">
        <v>13419</v>
      </c>
      <c r="C672" s="204" t="s">
        <v>13767</v>
      </c>
      <c r="D672" s="204" t="s">
        <v>13953</v>
      </c>
      <c r="E672" s="204" t="s">
        <v>13465</v>
      </c>
      <c r="F672" s="203" t="s">
        <v>13665</v>
      </c>
      <c r="G672" s="203" t="s">
        <v>13497</v>
      </c>
      <c r="H672" s="205" t="s">
        <v>13952</v>
      </c>
      <c r="I672" s="57"/>
      <c r="J672" s="57"/>
      <c r="K672" s="57"/>
      <c r="L672" s="57"/>
      <c r="M672" s="57"/>
      <c r="N672" s="57"/>
      <c r="O672" s="57"/>
      <c r="P672" s="57"/>
      <c r="Q672" s="57"/>
      <c r="R672" s="57"/>
      <c r="S672" s="57"/>
      <c r="T672" s="57"/>
      <c r="U672" s="57"/>
      <c r="V672" s="57"/>
      <c r="W672" s="57"/>
      <c r="X672" s="57"/>
      <c r="Y672" s="57"/>
      <c r="Z672" s="57"/>
      <c r="AA672" s="57"/>
      <c r="AB672" s="57"/>
      <c r="AC672" s="57"/>
      <c r="AD672" s="57"/>
    </row>
    <row r="673" spans="1:30" ht="13.5" thickBot="1" x14ac:dyDescent="0.25">
      <c r="A673" s="57"/>
      <c r="B673" s="202" t="s">
        <v>13426</v>
      </c>
      <c r="C673" s="204">
        <v>576</v>
      </c>
      <c r="D673" s="204">
        <v>723</v>
      </c>
      <c r="E673" s="204" t="s">
        <v>14942</v>
      </c>
      <c r="F673" s="203" t="s">
        <v>13401</v>
      </c>
      <c r="G673" s="203" t="s">
        <v>13516</v>
      </c>
      <c r="H673" s="205" t="s">
        <v>13566</v>
      </c>
      <c r="I673" s="57"/>
      <c r="J673" s="57"/>
      <c r="K673" s="57"/>
      <c r="L673" s="57"/>
      <c r="M673" s="57"/>
      <c r="N673" s="57"/>
      <c r="O673" s="57"/>
      <c r="P673" s="57"/>
      <c r="Q673" s="57"/>
      <c r="R673" s="57"/>
      <c r="S673" s="57"/>
      <c r="T673" s="57"/>
      <c r="U673" s="57"/>
      <c r="V673" s="57"/>
      <c r="W673" s="57"/>
      <c r="X673" s="57"/>
      <c r="Y673" s="57"/>
      <c r="Z673" s="57"/>
      <c r="AA673" s="57"/>
      <c r="AB673" s="57"/>
      <c r="AC673" s="57"/>
      <c r="AD673" s="57"/>
    </row>
    <row r="674" spans="1:30" ht="13.5" thickBot="1" x14ac:dyDescent="0.25">
      <c r="A674" s="57"/>
      <c r="B674" s="202" t="s">
        <v>13432</v>
      </c>
      <c r="C674" s="204" t="s">
        <v>13495</v>
      </c>
      <c r="D674" s="204" t="s">
        <v>13618</v>
      </c>
      <c r="E674" s="204" t="s">
        <v>13621</v>
      </c>
      <c r="F674" s="203" t="s">
        <v>14938</v>
      </c>
      <c r="G674" s="203" t="s">
        <v>13826</v>
      </c>
      <c r="H674" s="205" t="s">
        <v>14439</v>
      </c>
      <c r="I674" s="57"/>
      <c r="J674" s="57"/>
      <c r="K674" s="57"/>
      <c r="L674" s="57"/>
      <c r="M674" s="57"/>
      <c r="N674" s="57"/>
      <c r="O674" s="57"/>
      <c r="P674" s="57"/>
      <c r="Q674" s="57"/>
      <c r="R674" s="57"/>
      <c r="S674" s="57"/>
      <c r="T674" s="57"/>
      <c r="U674" s="57"/>
      <c r="V674" s="57"/>
      <c r="W674" s="57"/>
      <c r="X674" s="57"/>
      <c r="Y674" s="57"/>
      <c r="Z674" s="57"/>
      <c r="AA674" s="57"/>
      <c r="AB674" s="57"/>
      <c r="AC674" s="57"/>
      <c r="AD674" s="57"/>
    </row>
    <row r="675" spans="1:30" ht="13.5" thickBot="1" x14ac:dyDescent="0.25">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c r="AA675" s="57"/>
      <c r="AB675" s="57"/>
      <c r="AC675" s="57"/>
      <c r="AD675" s="57"/>
    </row>
    <row r="676" spans="1:30" ht="13.5" thickBot="1" x14ac:dyDescent="0.25">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c r="AA676" s="57"/>
      <c r="AB676" s="57"/>
      <c r="AC676" s="57"/>
      <c r="AD676" s="57"/>
    </row>
    <row r="677" spans="1:30" ht="204.75" thickBot="1" x14ac:dyDescent="0.25">
      <c r="A677" s="57"/>
      <c r="B677" s="189" t="s">
        <v>3345</v>
      </c>
      <c r="C677" s="154" t="s">
        <v>14483</v>
      </c>
      <c r="D677" s="57"/>
      <c r="E677" s="57"/>
      <c r="F677" s="57"/>
      <c r="G677" s="57"/>
      <c r="H677" s="57"/>
      <c r="I677" s="57"/>
      <c r="J677" s="57"/>
      <c r="K677" s="57"/>
      <c r="L677" s="57"/>
      <c r="M677" s="57"/>
      <c r="N677" s="57"/>
      <c r="O677" s="57"/>
      <c r="P677" s="57"/>
      <c r="Q677" s="57"/>
      <c r="R677" s="57"/>
      <c r="S677" s="57"/>
      <c r="T677" s="57"/>
      <c r="U677" s="57"/>
      <c r="V677" s="57"/>
      <c r="W677" s="57"/>
      <c r="X677" s="57"/>
      <c r="Y677" s="57"/>
      <c r="Z677" s="57"/>
      <c r="AA677" s="57"/>
      <c r="AB677" s="57"/>
      <c r="AC677" s="57"/>
      <c r="AD677" s="57"/>
    </row>
    <row r="678" spans="1:30" ht="13.5" thickBot="1" x14ac:dyDescent="0.25">
      <c r="A678" s="57"/>
      <c r="B678" s="97" t="s">
        <v>14943</v>
      </c>
      <c r="C678" s="88"/>
      <c r="D678" s="88"/>
      <c r="E678" s="88"/>
      <c r="F678" s="88"/>
      <c r="G678" s="88"/>
      <c r="H678" s="88"/>
      <c r="I678" s="88"/>
      <c r="J678" s="88"/>
      <c r="K678" s="57"/>
      <c r="L678" s="57"/>
      <c r="M678" s="57"/>
      <c r="N678" s="57"/>
      <c r="O678" s="57"/>
      <c r="P678" s="57"/>
      <c r="Q678" s="57"/>
      <c r="R678" s="57"/>
      <c r="S678" s="57"/>
      <c r="T678" s="57"/>
      <c r="U678" s="57"/>
      <c r="V678" s="57"/>
      <c r="W678" s="57"/>
      <c r="X678" s="57"/>
      <c r="Y678" s="57"/>
      <c r="Z678" s="57"/>
      <c r="AA678" s="57"/>
      <c r="AB678" s="57"/>
      <c r="AC678" s="57"/>
      <c r="AD678" s="57"/>
    </row>
    <row r="679" spans="1:30" ht="26.25" thickBot="1" x14ac:dyDescent="0.25">
      <c r="A679" s="57"/>
      <c r="B679" s="183" t="s">
        <v>14944</v>
      </c>
      <c r="C679" s="183" t="s">
        <v>14945</v>
      </c>
      <c r="D679" s="183" t="s">
        <v>14946</v>
      </c>
      <c r="E679" s="183" t="s">
        <v>14947</v>
      </c>
      <c r="F679" s="183" t="s">
        <v>14948</v>
      </c>
      <c r="G679" s="183" t="s">
        <v>14949</v>
      </c>
      <c r="H679" s="183" t="s">
        <v>14950</v>
      </c>
      <c r="I679" s="183" t="s">
        <v>14951</v>
      </c>
      <c r="J679" s="183" t="s">
        <v>13432</v>
      </c>
      <c r="K679" s="57"/>
      <c r="L679" s="57"/>
      <c r="M679" s="57"/>
      <c r="N679" s="57"/>
      <c r="O679" s="57"/>
      <c r="P679" s="57"/>
      <c r="Q679" s="57"/>
      <c r="R679" s="57"/>
      <c r="S679" s="57"/>
      <c r="T679" s="57"/>
      <c r="U679" s="57"/>
      <c r="V679" s="57"/>
      <c r="W679" s="57"/>
      <c r="X679" s="57"/>
      <c r="Y679" s="57"/>
      <c r="Z679" s="57"/>
      <c r="AA679" s="57"/>
      <c r="AB679" s="57"/>
      <c r="AC679" s="57"/>
      <c r="AD679" s="57"/>
    </row>
    <row r="680" spans="1:30" ht="13.5" thickBot="1" x14ac:dyDescent="0.25">
      <c r="A680" s="57"/>
      <c r="B680" s="180" t="s">
        <v>14952</v>
      </c>
      <c r="C680" s="180">
        <v>5.6219999999999999</v>
      </c>
      <c r="D680" s="180">
        <v>191</v>
      </c>
      <c r="E680" s="180">
        <v>8.3979999999999997</v>
      </c>
      <c r="F680" s="180">
        <v>270</v>
      </c>
      <c r="G680" s="180">
        <v>432</v>
      </c>
      <c r="H680" s="180">
        <v>1.577</v>
      </c>
      <c r="I680" s="180">
        <v>581</v>
      </c>
      <c r="J680" s="180" t="s">
        <v>14953</v>
      </c>
      <c r="K680" s="57"/>
      <c r="L680" s="57"/>
      <c r="M680" s="57"/>
      <c r="N680" s="57"/>
      <c r="O680" s="57"/>
      <c r="P680" s="57"/>
      <c r="Q680" s="57"/>
      <c r="R680" s="57"/>
      <c r="S680" s="57"/>
      <c r="T680" s="57"/>
      <c r="U680" s="57"/>
      <c r="V680" s="57"/>
      <c r="W680" s="57"/>
      <c r="X680" s="57"/>
      <c r="Y680" s="57"/>
      <c r="Z680" s="57"/>
      <c r="AA680" s="57"/>
      <c r="AB680" s="57"/>
      <c r="AC680" s="57"/>
      <c r="AD680" s="57"/>
    </row>
    <row r="681" spans="1:30" ht="13.5" thickBot="1" x14ac:dyDescent="0.25">
      <c r="A681" s="57"/>
      <c r="B681" s="180" t="s">
        <v>14954</v>
      </c>
      <c r="C681" s="181" t="s">
        <v>14955</v>
      </c>
      <c r="D681" s="181" t="s">
        <v>14956</v>
      </c>
      <c r="E681" s="181" t="s">
        <v>14957</v>
      </c>
      <c r="F681" s="181" t="s">
        <v>14958</v>
      </c>
      <c r="G681" s="181" t="s">
        <v>14959</v>
      </c>
      <c r="H681" s="181" t="s">
        <v>14960</v>
      </c>
      <c r="I681" s="181" t="s">
        <v>14961</v>
      </c>
      <c r="J681" s="181" t="s">
        <v>14962</v>
      </c>
      <c r="K681" s="57"/>
      <c r="L681" s="57"/>
      <c r="M681" s="57"/>
      <c r="N681" s="57"/>
      <c r="O681" s="57"/>
      <c r="P681" s="57"/>
      <c r="Q681" s="57"/>
      <c r="R681" s="57"/>
      <c r="S681" s="57"/>
      <c r="T681" s="57"/>
      <c r="U681" s="57"/>
      <c r="V681" s="57"/>
      <c r="W681" s="57"/>
      <c r="X681" s="57"/>
      <c r="Y681" s="57"/>
      <c r="Z681" s="57"/>
      <c r="AA681" s="57"/>
      <c r="AB681" s="57"/>
      <c r="AC681" s="57"/>
      <c r="AD681" s="57"/>
    </row>
    <row r="682" spans="1:30" ht="26.25" thickBot="1" x14ac:dyDescent="0.25">
      <c r="A682" s="57"/>
      <c r="B682" s="180" t="s">
        <v>14963</v>
      </c>
      <c r="C682" s="180" t="s">
        <v>14964</v>
      </c>
      <c r="D682" s="180" t="s">
        <v>14965</v>
      </c>
      <c r="E682" s="180" t="s">
        <v>14966</v>
      </c>
      <c r="F682" s="181" t="s">
        <v>14967</v>
      </c>
      <c r="G682" s="180" t="s">
        <v>14968</v>
      </c>
      <c r="H682" s="180" t="s">
        <v>14969</v>
      </c>
      <c r="I682" s="180" t="s">
        <v>14970</v>
      </c>
      <c r="J682" s="180" t="s">
        <v>14971</v>
      </c>
      <c r="K682" s="57"/>
      <c r="L682" s="57"/>
      <c r="M682" s="57"/>
      <c r="N682" s="57"/>
      <c r="O682" s="57"/>
      <c r="P682" s="57"/>
      <c r="Q682" s="57"/>
      <c r="R682" s="57"/>
      <c r="S682" s="57"/>
      <c r="T682" s="57"/>
      <c r="U682" s="57"/>
      <c r="V682" s="57"/>
      <c r="W682" s="57"/>
      <c r="X682" s="57"/>
      <c r="Y682" s="57"/>
      <c r="Z682" s="57"/>
      <c r="AA682" s="57"/>
      <c r="AB682" s="57"/>
      <c r="AC682" s="57"/>
      <c r="AD682" s="57"/>
    </row>
    <row r="683" spans="1:30" ht="13.5" thickBot="1" x14ac:dyDescent="0.25">
      <c r="A683" s="57"/>
      <c r="B683" s="180" t="s">
        <v>14972</v>
      </c>
      <c r="C683" s="180" t="s">
        <v>14973</v>
      </c>
      <c r="D683" s="180" t="s">
        <v>14974</v>
      </c>
      <c r="E683" s="181" t="s">
        <v>14975</v>
      </c>
      <c r="F683" s="180" t="s">
        <v>14976</v>
      </c>
      <c r="G683" s="180" t="s">
        <v>14977</v>
      </c>
      <c r="H683" s="180" t="s">
        <v>14978</v>
      </c>
      <c r="I683" s="181" t="s">
        <v>14979</v>
      </c>
      <c r="J683" s="180" t="s">
        <v>14980</v>
      </c>
      <c r="K683" s="57"/>
      <c r="L683" s="57"/>
      <c r="M683" s="57"/>
      <c r="N683" s="57"/>
      <c r="O683" s="57"/>
      <c r="P683" s="57"/>
      <c r="Q683" s="57"/>
      <c r="R683" s="57"/>
      <c r="S683" s="57"/>
      <c r="T683" s="57"/>
      <c r="U683" s="57"/>
      <c r="V683" s="57"/>
      <c r="W683" s="57"/>
      <c r="X683" s="57"/>
      <c r="Y683" s="57"/>
      <c r="Z683" s="57"/>
      <c r="AA683" s="57"/>
      <c r="AB683" s="57"/>
      <c r="AC683" s="57"/>
      <c r="AD683" s="57"/>
    </row>
    <row r="684" spans="1:30" ht="26.25" thickBot="1" x14ac:dyDescent="0.25">
      <c r="A684" s="57"/>
      <c r="B684" s="180" t="s">
        <v>14981</v>
      </c>
      <c r="C684" s="180" t="s">
        <v>14982</v>
      </c>
      <c r="D684" s="180" t="s">
        <v>14970</v>
      </c>
      <c r="E684" s="180" t="s">
        <v>14983</v>
      </c>
      <c r="F684" s="181" t="s">
        <v>14984</v>
      </c>
      <c r="G684" s="180" t="s">
        <v>14985</v>
      </c>
      <c r="H684" s="180" t="s">
        <v>14986</v>
      </c>
      <c r="I684" s="180" t="s">
        <v>14987</v>
      </c>
      <c r="J684" s="180" t="s">
        <v>14988</v>
      </c>
      <c r="K684" s="57"/>
      <c r="L684" s="57"/>
      <c r="M684" s="57"/>
      <c r="N684" s="57"/>
      <c r="O684" s="57"/>
      <c r="P684" s="57"/>
      <c r="Q684" s="57"/>
      <c r="R684" s="57"/>
      <c r="S684" s="57"/>
      <c r="T684" s="57"/>
      <c r="U684" s="57"/>
      <c r="V684" s="57"/>
      <c r="W684" s="57"/>
      <c r="X684" s="57"/>
      <c r="Y684" s="57"/>
      <c r="Z684" s="57"/>
      <c r="AA684" s="57"/>
      <c r="AB684" s="57"/>
      <c r="AC684" s="57"/>
      <c r="AD684" s="57"/>
    </row>
    <row r="685" spans="1:30" ht="13.5" thickBot="1" x14ac:dyDescent="0.25">
      <c r="A685" s="57"/>
      <c r="B685" s="180" t="s">
        <v>14989</v>
      </c>
      <c r="C685" s="180" t="s">
        <v>14990</v>
      </c>
      <c r="D685" s="180" t="s">
        <v>14991</v>
      </c>
      <c r="E685" s="180" t="s">
        <v>14992</v>
      </c>
      <c r="F685" s="180" t="s">
        <v>14993</v>
      </c>
      <c r="G685" s="180" t="s">
        <v>14994</v>
      </c>
      <c r="H685" s="180" t="s">
        <v>14995</v>
      </c>
      <c r="I685" s="180" t="s">
        <v>14996</v>
      </c>
      <c r="J685" s="180" t="s">
        <v>14997</v>
      </c>
      <c r="K685" s="57"/>
      <c r="L685" s="57"/>
      <c r="M685" s="57"/>
      <c r="N685" s="57"/>
      <c r="O685" s="57"/>
      <c r="P685" s="57"/>
      <c r="Q685" s="57"/>
      <c r="R685" s="57"/>
      <c r="S685" s="57"/>
      <c r="T685" s="57"/>
      <c r="U685" s="57"/>
      <c r="V685" s="57"/>
      <c r="W685" s="57"/>
      <c r="X685" s="57"/>
      <c r="Y685" s="57"/>
      <c r="Z685" s="57"/>
      <c r="AA685" s="57"/>
      <c r="AB685" s="57"/>
      <c r="AC685" s="57"/>
      <c r="AD685" s="57"/>
    </row>
    <row r="686" spans="1:30" ht="13.5" thickBot="1" x14ac:dyDescent="0.25">
      <c r="A686" s="57"/>
      <c r="B686" s="180" t="s">
        <v>14998</v>
      </c>
      <c r="C686" s="181" t="s">
        <v>14999</v>
      </c>
      <c r="D686" s="181" t="s">
        <v>15000</v>
      </c>
      <c r="E686" s="180" t="s">
        <v>15001</v>
      </c>
      <c r="F686" s="180" t="s">
        <v>15002</v>
      </c>
      <c r="G686" s="181" t="s">
        <v>15003</v>
      </c>
      <c r="H686" s="181" t="s">
        <v>14969</v>
      </c>
      <c r="I686" s="180" t="s">
        <v>15004</v>
      </c>
      <c r="J686" s="181" t="s">
        <v>15005</v>
      </c>
      <c r="K686" s="57"/>
      <c r="L686" s="57"/>
      <c r="M686" s="57"/>
      <c r="N686" s="57"/>
      <c r="O686" s="57"/>
      <c r="P686" s="57"/>
      <c r="Q686" s="57"/>
      <c r="R686" s="57"/>
      <c r="S686" s="57"/>
      <c r="T686" s="57"/>
      <c r="U686" s="57"/>
      <c r="V686" s="57"/>
      <c r="W686" s="57"/>
      <c r="X686" s="57"/>
      <c r="Y686" s="57"/>
      <c r="Z686" s="57"/>
      <c r="AA686" s="57"/>
      <c r="AB686" s="57"/>
      <c r="AC686" s="57"/>
      <c r="AD686" s="57"/>
    </row>
    <row r="687" spans="1:30" ht="26.25" thickBot="1" x14ac:dyDescent="0.25">
      <c r="A687" s="57"/>
      <c r="B687" s="180" t="s">
        <v>15006</v>
      </c>
      <c r="C687" s="181" t="s">
        <v>15007</v>
      </c>
      <c r="D687" s="181" t="s">
        <v>15008</v>
      </c>
      <c r="E687" s="181" t="s">
        <v>15009</v>
      </c>
      <c r="F687" s="180" t="s">
        <v>15002</v>
      </c>
      <c r="G687" s="181" t="s">
        <v>15010</v>
      </c>
      <c r="H687" s="181" t="s">
        <v>15011</v>
      </c>
      <c r="I687" s="181" t="s">
        <v>15012</v>
      </c>
      <c r="J687" s="181" t="s">
        <v>15013</v>
      </c>
      <c r="K687" s="57"/>
      <c r="L687" s="57"/>
      <c r="M687" s="57"/>
      <c r="N687" s="57"/>
      <c r="O687" s="57"/>
      <c r="P687" s="57"/>
      <c r="Q687" s="57"/>
      <c r="R687" s="57"/>
      <c r="S687" s="57"/>
      <c r="T687" s="57"/>
      <c r="U687" s="57"/>
      <c r="V687" s="57"/>
      <c r="W687" s="57"/>
      <c r="X687" s="57"/>
      <c r="Y687" s="57"/>
      <c r="Z687" s="57"/>
      <c r="AA687" s="57"/>
      <c r="AB687" s="57"/>
      <c r="AC687" s="57"/>
      <c r="AD687" s="57"/>
    </row>
    <row r="688" spans="1:30" ht="13.5" thickBot="1" x14ac:dyDescent="0.25">
      <c r="A688" s="57"/>
      <c r="B688" s="210" t="s">
        <v>13442</v>
      </c>
      <c r="C688" s="210" t="s">
        <v>13545</v>
      </c>
      <c r="D688" s="210" t="s">
        <v>13769</v>
      </c>
      <c r="E688" s="210" t="s">
        <v>13531</v>
      </c>
      <c r="F688" s="210" t="s">
        <v>14482</v>
      </c>
      <c r="G688" s="210" t="s">
        <v>13509</v>
      </c>
      <c r="H688" s="210" t="s">
        <v>13949</v>
      </c>
      <c r="I688" s="210" t="s">
        <v>13574</v>
      </c>
      <c r="J688" s="210" t="s">
        <v>13574</v>
      </c>
      <c r="K688" s="57"/>
      <c r="L688" s="57"/>
      <c r="M688" s="57"/>
      <c r="N688" s="57"/>
      <c r="O688" s="57"/>
      <c r="P688" s="57"/>
      <c r="Q688" s="57"/>
      <c r="R688" s="57"/>
      <c r="S688" s="57"/>
      <c r="T688" s="57"/>
      <c r="U688" s="57"/>
      <c r="V688" s="57"/>
      <c r="W688" s="57"/>
      <c r="X688" s="57"/>
      <c r="Y688" s="57"/>
      <c r="Z688" s="57"/>
      <c r="AA688" s="57"/>
      <c r="AB688" s="57"/>
      <c r="AC688" s="57"/>
      <c r="AD688" s="57"/>
    </row>
    <row r="689" spans="1:30" ht="13.5" thickBot="1" x14ac:dyDescent="0.25">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c r="AA689" s="57"/>
      <c r="AB689" s="57"/>
      <c r="AC689" s="57"/>
      <c r="AD689" s="57"/>
    </row>
    <row r="690" spans="1:30" ht="13.5" thickBot="1" x14ac:dyDescent="0.25">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c r="AA690" s="57"/>
      <c r="AB690" s="57"/>
      <c r="AC690" s="57"/>
      <c r="AD690" s="57"/>
    </row>
    <row r="691" spans="1:30" ht="13.5" thickBot="1" x14ac:dyDescent="0.25">
      <c r="A691" s="57"/>
      <c r="B691" s="176" t="s">
        <v>6327</v>
      </c>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c r="AA691" s="57"/>
      <c r="AB691" s="57"/>
      <c r="AC691" s="57"/>
      <c r="AD691" s="57"/>
    </row>
    <row r="692" spans="1:30" ht="13.5" thickBot="1" x14ac:dyDescent="0.25">
      <c r="A692" s="57"/>
      <c r="B692" s="88"/>
      <c r="C692" s="88"/>
      <c r="D692" s="88"/>
      <c r="E692" s="88"/>
      <c r="F692" s="88"/>
      <c r="G692" s="57"/>
      <c r="H692" s="57"/>
      <c r="I692" s="57"/>
      <c r="J692" s="57"/>
      <c r="K692" s="57"/>
      <c r="L692" s="57"/>
      <c r="M692" s="57"/>
      <c r="N692" s="57"/>
      <c r="O692" s="57"/>
      <c r="P692" s="57"/>
      <c r="Q692" s="57"/>
      <c r="R692" s="57"/>
      <c r="S692" s="57"/>
      <c r="T692" s="57"/>
      <c r="U692" s="57"/>
      <c r="V692" s="57"/>
      <c r="W692" s="57"/>
      <c r="X692" s="57"/>
      <c r="Y692" s="57"/>
      <c r="Z692" s="57"/>
      <c r="AA692" s="57"/>
      <c r="AB692" s="57"/>
      <c r="AC692" s="57"/>
      <c r="AD692" s="57"/>
    </row>
    <row r="693" spans="1:30" ht="13.5" thickBot="1" x14ac:dyDescent="0.25">
      <c r="A693" s="80"/>
      <c r="B693" s="178" t="s">
        <v>15014</v>
      </c>
      <c r="C693" s="178" t="s">
        <v>13442</v>
      </c>
      <c r="D693" s="178" t="s">
        <v>13443</v>
      </c>
      <c r="E693" s="178" t="s">
        <v>13739</v>
      </c>
      <c r="F693" s="150" t="s">
        <v>13202</v>
      </c>
      <c r="G693" s="57"/>
      <c r="H693" s="57"/>
      <c r="I693" s="57"/>
      <c r="J693" s="57"/>
      <c r="K693" s="57"/>
      <c r="L693" s="57"/>
      <c r="M693" s="57"/>
      <c r="N693" s="57"/>
      <c r="O693" s="57"/>
      <c r="P693" s="57"/>
      <c r="Q693" s="57"/>
      <c r="R693" s="57"/>
      <c r="S693" s="57"/>
      <c r="T693" s="57"/>
      <c r="U693" s="57"/>
      <c r="V693" s="57"/>
      <c r="W693" s="57"/>
      <c r="X693" s="57"/>
      <c r="Y693" s="57"/>
      <c r="Z693" s="57"/>
      <c r="AA693" s="57"/>
      <c r="AB693" s="57"/>
      <c r="AC693" s="57"/>
      <c r="AD693" s="57"/>
    </row>
    <row r="694" spans="1:30" ht="13.5" thickBot="1" x14ac:dyDescent="0.25">
      <c r="A694" s="80"/>
      <c r="B694" s="180" t="s">
        <v>15015</v>
      </c>
      <c r="C694" s="180" t="s">
        <v>14499</v>
      </c>
      <c r="D694" s="180" t="s">
        <v>15016</v>
      </c>
      <c r="E694" s="180" t="s">
        <v>13624</v>
      </c>
      <c r="F694" s="211" t="s">
        <v>13805</v>
      </c>
      <c r="G694" s="57"/>
      <c r="H694" s="57"/>
      <c r="I694" s="57"/>
      <c r="J694" s="57"/>
      <c r="K694" s="57"/>
      <c r="L694" s="57"/>
      <c r="M694" s="57"/>
      <c r="N694" s="57"/>
      <c r="O694" s="57"/>
      <c r="P694" s="57"/>
      <c r="Q694" s="57"/>
      <c r="R694" s="57"/>
      <c r="S694" s="57"/>
      <c r="T694" s="57"/>
      <c r="U694" s="57"/>
      <c r="V694" s="57"/>
      <c r="W694" s="57"/>
      <c r="X694" s="57"/>
      <c r="Y694" s="57"/>
      <c r="Z694" s="57"/>
      <c r="AA694" s="57"/>
      <c r="AB694" s="57"/>
      <c r="AC694" s="57"/>
      <c r="AD694" s="57"/>
    </row>
    <row r="695" spans="1:30" ht="13.5" thickBot="1" x14ac:dyDescent="0.25">
      <c r="A695" s="80"/>
      <c r="B695" s="180" t="s">
        <v>15017</v>
      </c>
      <c r="C695" s="180" t="s">
        <v>13752</v>
      </c>
      <c r="D695" s="180" t="s">
        <v>14363</v>
      </c>
      <c r="E695" s="180" t="s">
        <v>13916</v>
      </c>
      <c r="F695" s="211" t="s">
        <v>14468</v>
      </c>
      <c r="G695" s="57"/>
      <c r="H695" s="57"/>
      <c r="I695" s="57"/>
      <c r="J695" s="57"/>
      <c r="K695" s="57"/>
      <c r="L695" s="57"/>
      <c r="M695" s="57"/>
      <c r="N695" s="57"/>
      <c r="O695" s="57"/>
      <c r="P695" s="57"/>
      <c r="Q695" s="57"/>
      <c r="R695" s="57"/>
      <c r="S695" s="57"/>
      <c r="T695" s="57"/>
      <c r="U695" s="57"/>
      <c r="V695" s="57"/>
      <c r="W695" s="57"/>
      <c r="X695" s="57"/>
      <c r="Y695" s="57"/>
      <c r="Z695" s="57"/>
      <c r="AA695" s="57"/>
      <c r="AB695" s="57"/>
      <c r="AC695" s="57"/>
      <c r="AD695" s="57"/>
    </row>
    <row r="696" spans="1:30" ht="13.5" thickBot="1" x14ac:dyDescent="0.25">
      <c r="A696" s="80"/>
      <c r="B696" s="180" t="s">
        <v>15018</v>
      </c>
      <c r="C696" s="180" t="s">
        <v>13850</v>
      </c>
      <c r="D696" s="180" t="s">
        <v>13612</v>
      </c>
      <c r="E696" s="180" t="s">
        <v>15019</v>
      </c>
      <c r="F696" s="211" t="s">
        <v>13799</v>
      </c>
      <c r="G696" s="57"/>
      <c r="H696" s="57"/>
      <c r="I696" s="57"/>
      <c r="J696" s="57"/>
      <c r="K696" s="57"/>
      <c r="L696" s="57"/>
      <c r="M696" s="57"/>
      <c r="N696" s="57"/>
      <c r="O696" s="57"/>
      <c r="P696" s="57"/>
      <c r="Q696" s="57"/>
      <c r="R696" s="57"/>
      <c r="S696" s="57"/>
      <c r="T696" s="57"/>
      <c r="U696" s="57"/>
      <c r="V696" s="57"/>
      <c r="W696" s="57"/>
      <c r="X696" s="57"/>
      <c r="Y696" s="57"/>
      <c r="Z696" s="57"/>
      <c r="AA696" s="57"/>
      <c r="AB696" s="57"/>
      <c r="AC696" s="57"/>
      <c r="AD696" s="57"/>
    </row>
    <row r="697" spans="1:30" ht="13.5" thickBot="1" x14ac:dyDescent="0.25">
      <c r="A697" s="80"/>
      <c r="B697" s="180" t="s">
        <v>15020</v>
      </c>
      <c r="C697" s="180" t="s">
        <v>13889</v>
      </c>
      <c r="D697" s="180" t="s">
        <v>14363</v>
      </c>
      <c r="E697" s="180" t="s">
        <v>13870</v>
      </c>
      <c r="F697" s="211" t="s">
        <v>14400</v>
      </c>
      <c r="G697" s="57"/>
      <c r="H697" s="57"/>
      <c r="I697" s="57"/>
      <c r="J697" s="57"/>
      <c r="K697" s="57"/>
      <c r="L697" s="57"/>
      <c r="M697" s="57"/>
      <c r="N697" s="57"/>
      <c r="O697" s="57"/>
      <c r="P697" s="57"/>
      <c r="Q697" s="57"/>
      <c r="R697" s="57"/>
      <c r="S697" s="57"/>
      <c r="T697" s="57"/>
      <c r="U697" s="57"/>
      <c r="V697" s="57"/>
      <c r="W697" s="57"/>
      <c r="X697" s="57"/>
      <c r="Y697" s="57"/>
      <c r="Z697" s="57"/>
      <c r="AA697" s="57"/>
      <c r="AB697" s="57"/>
      <c r="AC697" s="57"/>
      <c r="AD697" s="57"/>
    </row>
    <row r="698" spans="1:30" ht="13.5" thickBot="1" x14ac:dyDescent="0.25">
      <c r="A698" s="80"/>
      <c r="B698" s="180" t="s">
        <v>15021</v>
      </c>
      <c r="C698" s="180" t="s">
        <v>14269</v>
      </c>
      <c r="D698" s="180" t="s">
        <v>13583</v>
      </c>
      <c r="E698" s="180" t="s">
        <v>14404</v>
      </c>
      <c r="F698" s="211" t="s">
        <v>14844</v>
      </c>
      <c r="G698" s="57"/>
      <c r="H698" s="57"/>
      <c r="I698" s="57"/>
      <c r="J698" s="57"/>
      <c r="K698" s="57"/>
      <c r="L698" s="57"/>
      <c r="M698" s="57"/>
      <c r="N698" s="57"/>
      <c r="O698" s="57"/>
      <c r="P698" s="57"/>
      <c r="Q698" s="57"/>
      <c r="R698" s="57"/>
      <c r="S698" s="57"/>
      <c r="T698" s="57"/>
      <c r="U698" s="57"/>
      <c r="V698" s="57"/>
      <c r="W698" s="57"/>
      <c r="X698" s="57"/>
      <c r="Y698" s="57"/>
      <c r="Z698" s="57"/>
      <c r="AA698" s="57"/>
      <c r="AB698" s="57"/>
      <c r="AC698" s="57"/>
      <c r="AD698" s="57"/>
    </row>
    <row r="699" spans="1:30" ht="13.5" thickBot="1" x14ac:dyDescent="0.25">
      <c r="A699" s="80"/>
      <c r="B699" s="178" t="s">
        <v>15022</v>
      </c>
      <c r="C699" s="178" t="s">
        <v>15023</v>
      </c>
      <c r="D699" s="178" t="s">
        <v>13583</v>
      </c>
      <c r="E699" s="178" t="s">
        <v>14363</v>
      </c>
      <c r="F699" s="150" t="s">
        <v>13950</v>
      </c>
      <c r="G699" s="57"/>
      <c r="H699" s="57"/>
      <c r="I699" s="57"/>
      <c r="J699" s="57"/>
      <c r="K699" s="57"/>
      <c r="L699" s="57"/>
      <c r="M699" s="57"/>
      <c r="N699" s="57"/>
      <c r="O699" s="57"/>
      <c r="P699" s="57"/>
      <c r="Q699" s="57"/>
      <c r="R699" s="57"/>
      <c r="S699" s="57"/>
      <c r="T699" s="57"/>
      <c r="U699" s="57"/>
      <c r="V699" s="57"/>
      <c r="W699" s="57"/>
      <c r="X699" s="57"/>
      <c r="Y699" s="57"/>
      <c r="Z699" s="57"/>
      <c r="AA699" s="57"/>
      <c r="AB699" s="57"/>
      <c r="AC699" s="57"/>
      <c r="AD699" s="57"/>
    </row>
    <row r="700" spans="1:30" ht="13.5" thickBot="1" x14ac:dyDescent="0.25">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c r="AA700" s="57"/>
      <c r="AB700" s="57"/>
      <c r="AC700" s="57"/>
      <c r="AD700" s="57"/>
    </row>
    <row r="701" spans="1:30" ht="13.5" thickBot="1" x14ac:dyDescent="0.25">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c r="AA701" s="57"/>
      <c r="AB701" s="57"/>
      <c r="AC701" s="57"/>
      <c r="AD701" s="57"/>
    </row>
    <row r="702" spans="1:30" ht="13.5" thickBot="1" x14ac:dyDescent="0.25">
      <c r="A702" s="57"/>
      <c r="B702" s="156" t="s">
        <v>3454</v>
      </c>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c r="AA702" s="57"/>
      <c r="AB702" s="57"/>
      <c r="AC702" s="57"/>
      <c r="AD702" s="57"/>
    </row>
    <row r="703" spans="1:30" ht="13.5" thickBot="1" x14ac:dyDescent="0.25">
      <c r="A703" s="57"/>
      <c r="B703" s="154" t="s">
        <v>14869</v>
      </c>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c r="AA703" s="57"/>
      <c r="AB703" s="57"/>
      <c r="AC703" s="57"/>
      <c r="AD703" s="57"/>
    </row>
    <row r="704" spans="1:30" ht="268.5" thickBot="1" x14ac:dyDescent="0.25">
      <c r="A704" s="57"/>
      <c r="B704" s="212" t="s">
        <v>13052</v>
      </c>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c r="AA704" s="57"/>
      <c r="AB704" s="57"/>
      <c r="AC704" s="57"/>
      <c r="AD704" s="57"/>
    </row>
    <row r="705" spans="1:30" ht="13.5" thickBot="1" x14ac:dyDescent="0.25">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c r="AA705" s="57"/>
      <c r="AB705" s="57"/>
      <c r="AC705" s="57"/>
      <c r="AD705" s="57"/>
    </row>
    <row r="706" spans="1:30" ht="13.5" thickBot="1" x14ac:dyDescent="0.25">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c r="AA706" s="57"/>
      <c r="AB706" s="57"/>
      <c r="AC706" s="57"/>
      <c r="AD706" s="57"/>
    </row>
    <row r="707" spans="1:30" ht="13.5" thickBot="1" x14ac:dyDescent="0.25">
      <c r="A707" s="57"/>
      <c r="B707" s="176" t="s">
        <v>11051</v>
      </c>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c r="AA707" s="57"/>
      <c r="AB707" s="57"/>
      <c r="AC707" s="57"/>
      <c r="AD707" s="57"/>
    </row>
    <row r="708" spans="1:30" ht="13.5" thickBot="1" x14ac:dyDescent="0.25">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c r="AA708" s="57"/>
      <c r="AB708" s="57"/>
      <c r="AC708" s="57"/>
      <c r="AD708" s="57"/>
    </row>
    <row r="709" spans="1:30" ht="13.5" thickBot="1" x14ac:dyDescent="0.25">
      <c r="A709" s="57"/>
      <c r="B709" s="97" t="s">
        <v>15024</v>
      </c>
      <c r="C709" s="88"/>
      <c r="D709" s="88"/>
      <c r="E709" s="88"/>
      <c r="F709" s="88"/>
      <c r="G709" s="88"/>
      <c r="H709" s="88"/>
      <c r="I709" s="57"/>
      <c r="J709" s="57"/>
      <c r="K709" s="57"/>
      <c r="L709" s="57"/>
      <c r="M709" s="57"/>
      <c r="N709" s="57"/>
      <c r="O709" s="57"/>
      <c r="P709" s="57"/>
      <c r="Q709" s="57"/>
      <c r="R709" s="57"/>
      <c r="S709" s="57"/>
      <c r="T709" s="57"/>
      <c r="U709" s="57"/>
      <c r="V709" s="57"/>
      <c r="W709" s="57"/>
      <c r="X709" s="57"/>
      <c r="Y709" s="57"/>
      <c r="Z709" s="57"/>
      <c r="AA709" s="57"/>
      <c r="AB709" s="57"/>
      <c r="AC709" s="57"/>
      <c r="AD709" s="57"/>
    </row>
    <row r="710" spans="1:30" ht="13.5" thickBot="1" x14ac:dyDescent="0.25">
      <c r="A710" s="80"/>
      <c r="B710" s="251" t="s">
        <v>14097</v>
      </c>
      <c r="C710" s="251" t="s">
        <v>15025</v>
      </c>
      <c r="D710" s="265" t="s">
        <v>15026</v>
      </c>
      <c r="E710" s="266"/>
      <c r="F710" s="265" t="s">
        <v>15027</v>
      </c>
      <c r="G710" s="267"/>
      <c r="H710" s="266"/>
      <c r="I710" s="57"/>
      <c r="J710" s="57"/>
      <c r="K710" s="57"/>
      <c r="L710" s="57"/>
      <c r="M710" s="57"/>
      <c r="N710" s="57"/>
      <c r="O710" s="57"/>
      <c r="P710" s="57"/>
      <c r="Q710" s="57"/>
      <c r="R710" s="57"/>
      <c r="S710" s="57"/>
      <c r="T710" s="57"/>
      <c r="U710" s="57"/>
      <c r="V710" s="57"/>
      <c r="W710" s="57"/>
      <c r="X710" s="57"/>
      <c r="Y710" s="57"/>
      <c r="Z710" s="57"/>
      <c r="AA710" s="57"/>
      <c r="AB710" s="57"/>
      <c r="AC710" s="57"/>
      <c r="AD710" s="57"/>
    </row>
    <row r="711" spans="1:30" ht="26.25" thickBot="1" x14ac:dyDescent="0.25">
      <c r="A711" s="80"/>
      <c r="B711" s="252"/>
      <c r="C711" s="252"/>
      <c r="D711" s="196" t="s">
        <v>14101</v>
      </c>
      <c r="E711" s="196" t="s">
        <v>14102</v>
      </c>
      <c r="F711" s="196" t="s">
        <v>14103</v>
      </c>
      <c r="G711" s="196" t="s">
        <v>14104</v>
      </c>
      <c r="H711" s="196" t="s">
        <v>14105</v>
      </c>
      <c r="I711" s="57"/>
      <c r="J711" s="57"/>
      <c r="K711" s="57"/>
      <c r="L711" s="57"/>
      <c r="M711" s="57"/>
      <c r="N711" s="57"/>
      <c r="O711" s="57"/>
      <c r="P711" s="57"/>
      <c r="Q711" s="57"/>
      <c r="R711" s="57"/>
      <c r="S711" s="57"/>
      <c r="T711" s="57"/>
      <c r="U711" s="57"/>
      <c r="V711" s="57"/>
      <c r="W711" s="57"/>
      <c r="X711" s="57"/>
      <c r="Y711" s="57"/>
      <c r="Z711" s="57"/>
      <c r="AA711" s="57"/>
      <c r="AB711" s="57"/>
      <c r="AC711" s="57"/>
      <c r="AD711" s="57"/>
    </row>
    <row r="712" spans="1:30" ht="13.5" thickBot="1" x14ac:dyDescent="0.25">
      <c r="A712" s="80"/>
      <c r="B712" s="196" t="s">
        <v>13442</v>
      </c>
      <c r="C712" s="213" t="s">
        <v>14106</v>
      </c>
      <c r="D712" s="213" t="s">
        <v>13641</v>
      </c>
      <c r="E712" s="213" t="s">
        <v>14107</v>
      </c>
      <c r="F712" s="213" t="s">
        <v>13770</v>
      </c>
      <c r="G712" s="213" t="s">
        <v>14108</v>
      </c>
      <c r="H712" s="213" t="s">
        <v>13799</v>
      </c>
      <c r="I712" s="57"/>
      <c r="J712" s="57"/>
      <c r="K712" s="57"/>
      <c r="L712" s="57"/>
      <c r="M712" s="57"/>
      <c r="N712" s="57"/>
      <c r="O712" s="57"/>
      <c r="P712" s="57"/>
      <c r="Q712" s="57"/>
      <c r="R712" s="57"/>
      <c r="S712" s="57"/>
      <c r="T712" s="57"/>
      <c r="U712" s="57"/>
      <c r="V712" s="57"/>
      <c r="W712" s="57"/>
      <c r="X712" s="57"/>
      <c r="Y712" s="57"/>
      <c r="Z712" s="57"/>
      <c r="AA712" s="57"/>
      <c r="AB712" s="57"/>
      <c r="AC712" s="57"/>
      <c r="AD712" s="57"/>
    </row>
    <row r="713" spans="1:30" ht="13.5" thickBot="1" x14ac:dyDescent="0.25">
      <c r="A713" s="80"/>
      <c r="B713" s="196" t="s">
        <v>15028</v>
      </c>
      <c r="C713" s="196" t="s">
        <v>12699</v>
      </c>
      <c r="D713" s="83"/>
      <c r="E713" s="83"/>
      <c r="F713" s="83"/>
      <c r="G713" s="83"/>
      <c r="H713" s="83"/>
      <c r="I713" s="57"/>
      <c r="J713" s="57"/>
      <c r="K713" s="57"/>
      <c r="L713" s="57"/>
      <c r="M713" s="57"/>
      <c r="N713" s="57"/>
      <c r="O713" s="57"/>
      <c r="P713" s="57"/>
      <c r="Q713" s="57"/>
      <c r="R713" s="57"/>
      <c r="S713" s="57"/>
      <c r="T713" s="57"/>
      <c r="U713" s="57"/>
      <c r="V713" s="57"/>
      <c r="W713" s="57"/>
      <c r="X713" s="57"/>
      <c r="Y713" s="57"/>
      <c r="Z713" s="57"/>
      <c r="AA713" s="57"/>
      <c r="AB713" s="57"/>
      <c r="AC713" s="57"/>
      <c r="AD713" s="57"/>
    </row>
    <row r="714" spans="1:30" ht="13.5" thickBot="1" x14ac:dyDescent="0.25">
      <c r="A714" s="80"/>
      <c r="B714" s="196" t="s">
        <v>13443</v>
      </c>
      <c r="C714" s="213" t="s">
        <v>14115</v>
      </c>
      <c r="D714" s="213" t="s">
        <v>14116</v>
      </c>
      <c r="E714" s="213" t="s">
        <v>13623</v>
      </c>
      <c r="F714" s="213" t="s">
        <v>14117</v>
      </c>
      <c r="G714" s="213" t="s">
        <v>14118</v>
      </c>
      <c r="H714" s="213" t="s">
        <v>13586</v>
      </c>
      <c r="I714" s="57"/>
      <c r="J714" s="57"/>
      <c r="K714" s="57"/>
      <c r="L714" s="57"/>
      <c r="M714" s="57"/>
      <c r="N714" s="57"/>
      <c r="O714" s="57"/>
      <c r="P714" s="57"/>
      <c r="Q714" s="57"/>
      <c r="R714" s="57"/>
      <c r="S714" s="57"/>
      <c r="T714" s="57"/>
      <c r="U714" s="57"/>
      <c r="V714" s="57"/>
      <c r="W714" s="57"/>
      <c r="X714" s="57"/>
      <c r="Y714" s="57"/>
      <c r="Z714" s="57"/>
      <c r="AA714" s="57"/>
      <c r="AB714" s="57"/>
      <c r="AC714" s="57"/>
      <c r="AD714" s="57"/>
    </row>
    <row r="715" spans="1:30" ht="13.5" thickBot="1" x14ac:dyDescent="0.25">
      <c r="A715" s="80"/>
      <c r="B715" s="196" t="s">
        <v>15028</v>
      </c>
      <c r="C715" s="196" t="s">
        <v>12699</v>
      </c>
      <c r="D715" s="83"/>
      <c r="E715" s="83"/>
      <c r="F715" s="83"/>
      <c r="G715" s="83"/>
      <c r="H715" s="83"/>
      <c r="I715" s="57"/>
      <c r="J715" s="57"/>
      <c r="K715" s="57"/>
      <c r="L715" s="57"/>
      <c r="M715" s="57"/>
      <c r="N715" s="57"/>
      <c r="O715" s="57"/>
      <c r="P715" s="57"/>
      <c r="Q715" s="57"/>
      <c r="R715" s="57"/>
      <c r="S715" s="57"/>
      <c r="T715" s="57"/>
      <c r="U715" s="57"/>
      <c r="V715" s="57"/>
      <c r="W715" s="57"/>
      <c r="X715" s="57"/>
      <c r="Y715" s="57"/>
      <c r="Z715" s="57"/>
      <c r="AA715" s="57"/>
      <c r="AB715" s="57"/>
      <c r="AC715" s="57"/>
      <c r="AD715" s="57"/>
    </row>
    <row r="716" spans="1:30" ht="13.5" thickBot="1" x14ac:dyDescent="0.25">
      <c r="A716" s="80"/>
      <c r="B716" s="196" t="s">
        <v>12915</v>
      </c>
      <c r="C716" s="213" t="s">
        <v>14124</v>
      </c>
      <c r="D716" s="213" t="s">
        <v>14800</v>
      </c>
      <c r="E716" s="213" t="s">
        <v>14125</v>
      </c>
      <c r="F716" s="213" t="s">
        <v>13872</v>
      </c>
      <c r="G716" s="213" t="s">
        <v>14126</v>
      </c>
      <c r="H716" s="213" t="s">
        <v>13528</v>
      </c>
      <c r="I716" s="57"/>
      <c r="J716" s="57"/>
      <c r="K716" s="57"/>
      <c r="L716" s="57"/>
      <c r="M716" s="57"/>
      <c r="N716" s="57"/>
      <c r="O716" s="57"/>
      <c r="P716" s="57"/>
      <c r="Q716" s="57"/>
      <c r="R716" s="57"/>
      <c r="S716" s="57"/>
      <c r="T716" s="57"/>
      <c r="U716" s="57"/>
      <c r="V716" s="57"/>
      <c r="W716" s="57"/>
      <c r="X716" s="57"/>
      <c r="Y716" s="57"/>
      <c r="Z716" s="57"/>
      <c r="AA716" s="57"/>
      <c r="AB716" s="57"/>
      <c r="AC716" s="57"/>
      <c r="AD716" s="57"/>
    </row>
    <row r="717" spans="1:30" ht="13.5" thickBot="1" x14ac:dyDescent="0.25">
      <c r="A717" s="80"/>
      <c r="B717" s="196" t="s">
        <v>15028</v>
      </c>
      <c r="C717" s="196" t="s">
        <v>12699</v>
      </c>
      <c r="D717" s="83"/>
      <c r="E717" s="83"/>
      <c r="F717" s="83"/>
      <c r="G717" s="83"/>
      <c r="H717" s="83"/>
      <c r="I717" s="57"/>
      <c r="J717" s="57"/>
      <c r="K717" s="57"/>
      <c r="L717" s="57"/>
      <c r="M717" s="57"/>
      <c r="N717" s="57"/>
      <c r="O717" s="57"/>
      <c r="P717" s="57"/>
      <c r="Q717" s="57"/>
      <c r="R717" s="57"/>
      <c r="S717" s="57"/>
      <c r="T717" s="57"/>
      <c r="U717" s="57"/>
      <c r="V717" s="57"/>
      <c r="W717" s="57"/>
      <c r="X717" s="57"/>
      <c r="Y717" s="57"/>
      <c r="Z717" s="57"/>
      <c r="AA717" s="57"/>
      <c r="AB717" s="57"/>
      <c r="AC717" s="57"/>
      <c r="AD717" s="57"/>
    </row>
    <row r="718" spans="1:30" ht="13.5" thickBot="1" x14ac:dyDescent="0.25">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c r="AA718" s="57"/>
      <c r="AB718" s="57"/>
      <c r="AC718" s="57"/>
      <c r="AD718" s="57"/>
    </row>
    <row r="719" spans="1:30" ht="13.5" thickBot="1" x14ac:dyDescent="0.25">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c r="AA719" s="57"/>
      <c r="AB719" s="57"/>
      <c r="AC719" s="57"/>
      <c r="AD719" s="57"/>
    </row>
    <row r="720" spans="1:30" ht="115.5" thickBot="1" x14ac:dyDescent="0.25">
      <c r="A720" s="57"/>
      <c r="B720" s="189" t="s">
        <v>13221</v>
      </c>
      <c r="C720" s="154" t="s">
        <v>14483</v>
      </c>
      <c r="D720" s="57"/>
      <c r="E720" s="57"/>
      <c r="F720" s="57"/>
      <c r="G720" s="57"/>
      <c r="H720" s="57"/>
      <c r="I720" s="57"/>
      <c r="J720" s="57"/>
      <c r="K720" s="57"/>
      <c r="L720" s="57"/>
      <c r="M720" s="57"/>
      <c r="N720" s="57"/>
      <c r="O720" s="57"/>
      <c r="P720" s="57"/>
      <c r="Q720" s="57"/>
      <c r="R720" s="57"/>
      <c r="S720" s="57"/>
      <c r="T720" s="57"/>
      <c r="U720" s="57"/>
      <c r="V720" s="57"/>
      <c r="W720" s="57"/>
      <c r="X720" s="57"/>
      <c r="Y720" s="57"/>
      <c r="Z720" s="57"/>
      <c r="AA720" s="57"/>
      <c r="AB720" s="57"/>
      <c r="AC720" s="57"/>
      <c r="AD720" s="57"/>
    </row>
    <row r="721" spans="1:30" ht="13.5" thickBot="1" x14ac:dyDescent="0.25">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c r="AA721" s="57"/>
      <c r="AB721" s="57"/>
      <c r="AC721" s="57"/>
      <c r="AD721" s="57"/>
    </row>
    <row r="722" spans="1:30" ht="13.5" thickBot="1" x14ac:dyDescent="0.25">
      <c r="A722" s="57"/>
      <c r="B722" s="176" t="s">
        <v>56</v>
      </c>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c r="AA722" s="57"/>
      <c r="AB722" s="57"/>
      <c r="AC722" s="57"/>
      <c r="AD722" s="57"/>
    </row>
    <row r="723" spans="1:30" ht="13.5" thickBot="1" x14ac:dyDescent="0.25">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c r="AA723" s="57"/>
      <c r="AB723" s="57"/>
      <c r="AC723" s="57"/>
      <c r="AD723" s="57"/>
    </row>
    <row r="724" spans="1:30" ht="26.25" thickBot="1" x14ac:dyDescent="0.25">
      <c r="A724" s="57"/>
      <c r="B724" s="183" t="s">
        <v>15029</v>
      </c>
      <c r="C724" s="183" t="s">
        <v>15030</v>
      </c>
      <c r="D724" s="183" t="s">
        <v>15031</v>
      </c>
      <c r="E724" s="183" t="s">
        <v>15032</v>
      </c>
      <c r="F724" s="183" t="s">
        <v>15033</v>
      </c>
      <c r="G724" s="57"/>
      <c r="H724" s="57"/>
      <c r="I724" s="57"/>
      <c r="J724" s="57"/>
      <c r="K724" s="57"/>
      <c r="L724" s="57"/>
      <c r="M724" s="57"/>
      <c r="N724" s="57"/>
      <c r="O724" s="57"/>
      <c r="P724" s="57"/>
      <c r="Q724" s="57"/>
      <c r="R724" s="57"/>
      <c r="S724" s="57"/>
      <c r="T724" s="57"/>
      <c r="U724" s="57"/>
      <c r="V724" s="57"/>
      <c r="W724" s="57"/>
      <c r="X724" s="57"/>
      <c r="Y724" s="57"/>
      <c r="Z724" s="57"/>
      <c r="AA724" s="57"/>
      <c r="AB724" s="57"/>
      <c r="AC724" s="57"/>
      <c r="AD724" s="57"/>
    </row>
    <row r="725" spans="1:30" ht="13.5" thickBot="1" x14ac:dyDescent="0.25">
      <c r="A725" s="57"/>
      <c r="B725" s="180" t="s">
        <v>15034</v>
      </c>
      <c r="C725" s="180" t="s">
        <v>15035</v>
      </c>
      <c r="D725" s="180" t="s">
        <v>15036</v>
      </c>
      <c r="E725" s="180" t="s">
        <v>15037</v>
      </c>
      <c r="F725" s="180" t="s">
        <v>15038</v>
      </c>
      <c r="G725" s="57"/>
      <c r="H725" s="186" t="s">
        <v>15039</v>
      </c>
      <c r="I725" s="186" t="s">
        <v>15040</v>
      </c>
      <c r="J725" s="186" t="s">
        <v>15041</v>
      </c>
      <c r="K725" s="57"/>
      <c r="L725" s="57"/>
      <c r="M725" s="57"/>
      <c r="N725" s="57"/>
      <c r="O725" s="57"/>
      <c r="P725" s="57"/>
      <c r="Q725" s="57"/>
      <c r="R725" s="57"/>
      <c r="S725" s="57"/>
      <c r="T725" s="57"/>
      <c r="U725" s="57"/>
      <c r="V725" s="57"/>
      <c r="W725" s="57"/>
      <c r="X725" s="57"/>
      <c r="Y725" s="57"/>
      <c r="Z725" s="57"/>
      <c r="AA725" s="57"/>
      <c r="AB725" s="57"/>
      <c r="AC725" s="57"/>
      <c r="AD725" s="57"/>
    </row>
    <row r="726" spans="1:30" ht="13.5" thickBot="1" x14ac:dyDescent="0.25">
      <c r="A726" s="57"/>
      <c r="B726" s="180" t="s">
        <v>13524</v>
      </c>
      <c r="C726" s="180" t="s">
        <v>15042</v>
      </c>
      <c r="D726" s="180" t="s">
        <v>15043</v>
      </c>
      <c r="E726" s="180" t="s">
        <v>15044</v>
      </c>
      <c r="F726" s="180" t="s">
        <v>15045</v>
      </c>
      <c r="G726" s="57"/>
      <c r="H726" s="186" t="s">
        <v>15046</v>
      </c>
      <c r="I726" s="186" t="s">
        <v>15047</v>
      </c>
      <c r="J726" s="186" t="s">
        <v>15048</v>
      </c>
      <c r="K726" s="57"/>
      <c r="L726" s="57"/>
      <c r="M726" s="57"/>
      <c r="N726" s="57"/>
      <c r="O726" s="57"/>
      <c r="P726" s="57"/>
      <c r="Q726" s="57"/>
      <c r="R726" s="57"/>
      <c r="S726" s="57"/>
      <c r="T726" s="57"/>
      <c r="U726" s="57"/>
      <c r="V726" s="57"/>
      <c r="W726" s="57"/>
      <c r="X726" s="57"/>
      <c r="Y726" s="57"/>
      <c r="Z726" s="57"/>
      <c r="AA726" s="57"/>
      <c r="AB726" s="57"/>
      <c r="AC726" s="57"/>
      <c r="AD726" s="57"/>
    </row>
    <row r="727" spans="1:30" ht="13.5" thickBot="1" x14ac:dyDescent="0.25">
      <c r="A727" s="57"/>
      <c r="B727" s="180" t="s">
        <v>15049</v>
      </c>
      <c r="C727" s="180" t="s">
        <v>15050</v>
      </c>
      <c r="D727" s="180" t="s">
        <v>15051</v>
      </c>
      <c r="E727" s="180" t="s">
        <v>15052</v>
      </c>
      <c r="F727" s="180" t="s">
        <v>15053</v>
      </c>
      <c r="G727" s="57"/>
      <c r="H727" s="186" t="s">
        <v>15054</v>
      </c>
      <c r="I727" s="186" t="s">
        <v>15055</v>
      </c>
      <c r="J727" s="186" t="s">
        <v>15056</v>
      </c>
      <c r="K727" s="57"/>
      <c r="L727" s="57"/>
      <c r="M727" s="57"/>
      <c r="N727" s="57"/>
      <c r="O727" s="57"/>
      <c r="P727" s="57"/>
      <c r="Q727" s="57"/>
      <c r="R727" s="57"/>
      <c r="S727" s="57"/>
      <c r="T727" s="57"/>
      <c r="U727" s="57"/>
      <c r="V727" s="57"/>
      <c r="W727" s="57"/>
      <c r="X727" s="57"/>
      <c r="Y727" s="57"/>
      <c r="Z727" s="57"/>
      <c r="AA727" s="57"/>
      <c r="AB727" s="57"/>
      <c r="AC727" s="57"/>
      <c r="AD727" s="57"/>
    </row>
    <row r="728" spans="1:30" ht="13.5" thickBot="1" x14ac:dyDescent="0.25">
      <c r="A728" s="57"/>
      <c r="B728" s="180" t="s">
        <v>14336</v>
      </c>
      <c r="C728" s="180" t="s">
        <v>15057</v>
      </c>
      <c r="D728" s="180" t="s">
        <v>15058</v>
      </c>
      <c r="E728" s="180" t="s">
        <v>15059</v>
      </c>
      <c r="F728" s="180" t="s">
        <v>15060</v>
      </c>
      <c r="G728" s="57"/>
      <c r="H728" s="186" t="s">
        <v>15061</v>
      </c>
      <c r="I728" s="186" t="s">
        <v>15062</v>
      </c>
      <c r="J728" s="186" t="s">
        <v>15063</v>
      </c>
      <c r="K728" s="57"/>
      <c r="L728" s="57"/>
      <c r="M728" s="57"/>
      <c r="N728" s="57"/>
      <c r="O728" s="57"/>
      <c r="P728" s="57"/>
      <c r="Q728" s="57"/>
      <c r="R728" s="57"/>
      <c r="S728" s="57"/>
      <c r="T728" s="57"/>
      <c r="U728" s="57"/>
      <c r="V728" s="57"/>
      <c r="W728" s="57"/>
      <c r="X728" s="57"/>
      <c r="Y728" s="57"/>
      <c r="Z728" s="57"/>
      <c r="AA728" s="57"/>
      <c r="AB728" s="57"/>
      <c r="AC728" s="57"/>
      <c r="AD728" s="57"/>
    </row>
    <row r="729" spans="1:30" ht="13.5" thickBot="1" x14ac:dyDescent="0.25">
      <c r="A729" s="57"/>
      <c r="B729" s="180" t="s">
        <v>15064</v>
      </c>
      <c r="C729" s="181" t="s">
        <v>15065</v>
      </c>
      <c r="D729" s="180" t="s">
        <v>15066</v>
      </c>
      <c r="E729" s="181" t="s">
        <v>15067</v>
      </c>
      <c r="F729" s="180" t="s">
        <v>15068</v>
      </c>
      <c r="G729" s="57"/>
      <c r="H729" s="186" t="s">
        <v>15069</v>
      </c>
      <c r="I729" s="186" t="s">
        <v>15070</v>
      </c>
      <c r="J729" s="186" t="s">
        <v>15071</v>
      </c>
      <c r="K729" s="57"/>
      <c r="L729" s="57"/>
      <c r="M729" s="57"/>
      <c r="N729" s="57"/>
      <c r="O729" s="57"/>
      <c r="P729" s="57"/>
      <c r="Q729" s="57"/>
      <c r="R729" s="57"/>
      <c r="S729" s="57"/>
      <c r="T729" s="57"/>
      <c r="U729" s="57"/>
      <c r="V729" s="57"/>
      <c r="W729" s="57"/>
      <c r="X729" s="57"/>
      <c r="Y729" s="57"/>
      <c r="Z729" s="57"/>
      <c r="AA729" s="57"/>
      <c r="AB729" s="57"/>
      <c r="AC729" s="57"/>
      <c r="AD729" s="57"/>
    </row>
    <row r="730" spans="1:30" ht="26.25" thickBot="1" x14ac:dyDescent="0.25">
      <c r="A730" s="57"/>
      <c r="B730" s="178" t="s">
        <v>15072</v>
      </c>
      <c r="C730" s="178" t="s">
        <v>15073</v>
      </c>
      <c r="D730" s="182" t="s">
        <v>15074</v>
      </c>
      <c r="E730" s="178" t="s">
        <v>15075</v>
      </c>
      <c r="F730" s="178" t="s">
        <v>15076</v>
      </c>
      <c r="G730" s="57"/>
      <c r="H730" s="186" t="s">
        <v>15077</v>
      </c>
      <c r="I730" s="186" t="s">
        <v>15078</v>
      </c>
      <c r="J730" s="186" t="s">
        <v>15079</v>
      </c>
      <c r="K730" s="57"/>
      <c r="L730" s="57"/>
      <c r="M730" s="57"/>
      <c r="N730" s="57"/>
      <c r="O730" s="57"/>
      <c r="P730" s="57"/>
      <c r="Q730" s="57"/>
      <c r="R730" s="57"/>
      <c r="S730" s="57"/>
      <c r="T730" s="57"/>
      <c r="U730" s="57"/>
      <c r="V730" s="57"/>
      <c r="W730" s="57"/>
      <c r="X730" s="57"/>
      <c r="Y730" s="57"/>
      <c r="Z730" s="57"/>
      <c r="AA730" s="57"/>
      <c r="AB730" s="57"/>
      <c r="AC730" s="57"/>
      <c r="AD730" s="57"/>
    </row>
    <row r="731" spans="1:30" ht="13.5" thickBot="1" x14ac:dyDescent="0.25">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c r="AA731" s="57"/>
      <c r="AB731" s="57"/>
      <c r="AC731" s="57"/>
      <c r="AD731" s="57"/>
    </row>
    <row r="732" spans="1:30" ht="13.5" thickBot="1" x14ac:dyDescent="0.25">
      <c r="A732" s="57"/>
      <c r="B732" s="154" t="s">
        <v>15080</v>
      </c>
      <c r="C732" s="154" t="s">
        <v>15081</v>
      </c>
      <c r="D732" s="57"/>
      <c r="E732" s="57"/>
      <c r="F732" s="57"/>
      <c r="G732" s="57"/>
      <c r="H732" s="57"/>
      <c r="I732" s="57"/>
      <c r="J732" s="57"/>
      <c r="K732" s="57"/>
      <c r="L732" s="57"/>
      <c r="M732" s="57"/>
      <c r="N732" s="57"/>
      <c r="O732" s="57"/>
      <c r="P732" s="57"/>
      <c r="Q732" s="57"/>
      <c r="R732" s="57"/>
      <c r="S732" s="57"/>
      <c r="T732" s="57"/>
      <c r="U732" s="57"/>
      <c r="V732" s="57"/>
      <c r="W732" s="57"/>
      <c r="X732" s="57"/>
      <c r="Y732" s="57"/>
      <c r="Z732" s="57"/>
      <c r="AA732" s="57"/>
      <c r="AB732" s="57"/>
      <c r="AC732" s="57"/>
      <c r="AD732" s="57"/>
    </row>
    <row r="733" spans="1:30" ht="26.25" thickBot="1" x14ac:dyDescent="0.25">
      <c r="A733" s="57"/>
      <c r="B733" s="183" t="s">
        <v>15082</v>
      </c>
      <c r="C733" s="183" t="s">
        <v>15034</v>
      </c>
      <c r="D733" s="183" t="s">
        <v>13524</v>
      </c>
      <c r="E733" s="183" t="s">
        <v>15049</v>
      </c>
      <c r="F733" s="183" t="s">
        <v>14336</v>
      </c>
      <c r="G733" s="183" t="s">
        <v>15083</v>
      </c>
      <c r="H733" s="183" t="s">
        <v>15084</v>
      </c>
      <c r="I733" s="183" t="s">
        <v>15085</v>
      </c>
      <c r="J733" s="57"/>
      <c r="K733" s="154" t="s">
        <v>15034</v>
      </c>
      <c r="L733" s="154" t="s">
        <v>13524</v>
      </c>
      <c r="M733" s="154" t="s">
        <v>15049</v>
      </c>
      <c r="N733" s="154" t="s">
        <v>14336</v>
      </c>
      <c r="O733" s="154" t="s">
        <v>15083</v>
      </c>
      <c r="P733" s="154" t="s">
        <v>15084</v>
      </c>
      <c r="Q733" s="154" t="s">
        <v>15085</v>
      </c>
      <c r="R733" s="57"/>
      <c r="S733" s="57"/>
      <c r="T733" s="57"/>
      <c r="U733" s="57"/>
      <c r="V733" s="57"/>
      <c r="W733" s="57"/>
      <c r="X733" s="57"/>
      <c r="Y733" s="57"/>
      <c r="Z733" s="57"/>
      <c r="AA733" s="57"/>
      <c r="AB733" s="57"/>
      <c r="AC733" s="57"/>
      <c r="AD733" s="57"/>
    </row>
    <row r="734" spans="1:30" ht="13.5" thickBot="1" x14ac:dyDescent="0.25">
      <c r="A734" s="57"/>
      <c r="B734" s="180" t="s">
        <v>15086</v>
      </c>
      <c r="C734" s="180" t="s">
        <v>15087</v>
      </c>
      <c r="D734" s="180" t="s">
        <v>15088</v>
      </c>
      <c r="E734" s="214" t="s">
        <v>15089</v>
      </c>
      <c r="F734" s="180" t="s">
        <v>15090</v>
      </c>
      <c r="G734" s="180" t="s">
        <v>15091</v>
      </c>
      <c r="H734" s="181" t="s">
        <v>15092</v>
      </c>
      <c r="I734" s="180" t="s">
        <v>15093</v>
      </c>
      <c r="J734" s="154" t="s">
        <v>15086</v>
      </c>
      <c r="K734" s="186" t="s">
        <v>15094</v>
      </c>
      <c r="L734" s="186" t="s">
        <v>14292</v>
      </c>
      <c r="M734" s="186" t="s">
        <v>15095</v>
      </c>
      <c r="N734" s="186" t="s">
        <v>15096</v>
      </c>
      <c r="O734" s="186" t="s">
        <v>15097</v>
      </c>
      <c r="P734" s="186" t="s">
        <v>15098</v>
      </c>
      <c r="Q734" s="186" t="s">
        <v>15099</v>
      </c>
      <c r="R734" s="57"/>
      <c r="S734" s="57"/>
      <c r="T734" s="57"/>
      <c r="U734" s="57"/>
      <c r="V734" s="57"/>
      <c r="W734" s="57"/>
      <c r="X734" s="57"/>
      <c r="Y734" s="57"/>
      <c r="Z734" s="57"/>
      <c r="AA734" s="57"/>
      <c r="AB734" s="57"/>
      <c r="AC734" s="57"/>
      <c r="AD734" s="57"/>
    </row>
    <row r="735" spans="1:30" ht="13.5" thickBot="1" x14ac:dyDescent="0.25">
      <c r="A735" s="57"/>
      <c r="B735" s="180" t="s">
        <v>15100</v>
      </c>
      <c r="C735" s="214" t="s">
        <v>15101</v>
      </c>
      <c r="D735" s="180" t="s">
        <v>15102</v>
      </c>
      <c r="E735" s="180" t="s">
        <v>15103</v>
      </c>
      <c r="F735" s="180" t="s">
        <v>15104</v>
      </c>
      <c r="G735" s="180" t="s">
        <v>15105</v>
      </c>
      <c r="H735" s="180" t="s">
        <v>15106</v>
      </c>
      <c r="I735" s="181" t="s">
        <v>15107</v>
      </c>
      <c r="J735" s="154" t="s">
        <v>15100</v>
      </c>
      <c r="K735" s="186" t="s">
        <v>15108</v>
      </c>
      <c r="L735" s="186" t="s">
        <v>15109</v>
      </c>
      <c r="M735" s="186" t="s">
        <v>15110</v>
      </c>
      <c r="N735" s="186" t="s">
        <v>15111</v>
      </c>
      <c r="O735" s="186" t="s">
        <v>15112</v>
      </c>
      <c r="P735" s="186" t="s">
        <v>15113</v>
      </c>
      <c r="Q735" s="186" t="s">
        <v>15114</v>
      </c>
      <c r="R735" s="57"/>
      <c r="S735" s="57"/>
      <c r="T735" s="57"/>
      <c r="U735" s="57"/>
      <c r="V735" s="57"/>
      <c r="W735" s="57"/>
      <c r="X735" s="57"/>
      <c r="Y735" s="57"/>
      <c r="Z735" s="57"/>
      <c r="AA735" s="57"/>
      <c r="AB735" s="57"/>
      <c r="AC735" s="57"/>
      <c r="AD735" s="57"/>
    </row>
    <row r="736" spans="1:30" ht="26.25" thickBot="1" x14ac:dyDescent="0.25">
      <c r="A736" s="57"/>
      <c r="B736" s="180" t="s">
        <v>15115</v>
      </c>
      <c r="C736" s="180" t="s">
        <v>15116</v>
      </c>
      <c r="D736" s="180" t="s">
        <v>15117</v>
      </c>
      <c r="E736" s="214" t="s">
        <v>15118</v>
      </c>
      <c r="F736" s="180">
        <v>48</v>
      </c>
      <c r="G736" s="180" t="s">
        <v>15119</v>
      </c>
      <c r="H736" s="180" t="s">
        <v>15120</v>
      </c>
      <c r="I736" s="181" t="s">
        <v>15121</v>
      </c>
      <c r="J736" s="154" t="s">
        <v>15115</v>
      </c>
      <c r="K736" s="186" t="s">
        <v>15122</v>
      </c>
      <c r="L736" s="186" t="s">
        <v>15123</v>
      </c>
      <c r="M736" s="186" t="s">
        <v>15124</v>
      </c>
      <c r="N736" s="186" t="s">
        <v>13961</v>
      </c>
      <c r="O736" s="186" t="s">
        <v>15125</v>
      </c>
      <c r="P736" s="186" t="s">
        <v>15126</v>
      </c>
      <c r="Q736" s="186" t="s">
        <v>15127</v>
      </c>
      <c r="R736" s="57"/>
      <c r="S736" s="57"/>
      <c r="T736" s="57"/>
      <c r="U736" s="57"/>
      <c r="V736" s="57"/>
      <c r="W736" s="57"/>
      <c r="X736" s="57"/>
      <c r="Y736" s="57"/>
      <c r="Z736" s="57"/>
      <c r="AA736" s="57"/>
      <c r="AB736" s="57"/>
      <c r="AC736" s="57"/>
      <c r="AD736" s="57"/>
    </row>
    <row r="737" spans="1:30" ht="26.25" thickBot="1" x14ac:dyDescent="0.25">
      <c r="A737" s="57"/>
      <c r="B737" s="180" t="s">
        <v>15128</v>
      </c>
      <c r="C737" s="214" t="s">
        <v>15129</v>
      </c>
      <c r="D737" s="180" t="s">
        <v>15130</v>
      </c>
      <c r="E737" s="180" t="s">
        <v>15131</v>
      </c>
      <c r="F737" s="180" t="s">
        <v>15132</v>
      </c>
      <c r="G737" s="180" t="s">
        <v>15133</v>
      </c>
      <c r="H737" s="180" t="s">
        <v>15134</v>
      </c>
      <c r="I737" s="181" t="s">
        <v>15135</v>
      </c>
      <c r="J737" s="154" t="s">
        <v>15128</v>
      </c>
      <c r="K737" s="186" t="s">
        <v>13601</v>
      </c>
      <c r="L737" s="186" t="s">
        <v>15136</v>
      </c>
      <c r="M737" s="186" t="s">
        <v>15137</v>
      </c>
      <c r="N737" s="186" t="s">
        <v>15138</v>
      </c>
      <c r="O737" s="186" t="s">
        <v>15139</v>
      </c>
      <c r="P737" s="186" t="s">
        <v>14933</v>
      </c>
      <c r="Q737" s="186" t="s">
        <v>15140</v>
      </c>
      <c r="R737" s="57"/>
      <c r="S737" s="57"/>
      <c r="T737" s="57"/>
      <c r="U737" s="57"/>
      <c r="V737" s="57"/>
      <c r="W737" s="57"/>
      <c r="X737" s="57"/>
      <c r="Y737" s="57"/>
      <c r="Z737" s="57"/>
      <c r="AA737" s="57"/>
      <c r="AB737" s="57"/>
      <c r="AC737" s="57"/>
      <c r="AD737" s="57"/>
    </row>
    <row r="738" spans="1:30" ht="13.5" thickBot="1" x14ac:dyDescent="0.25">
      <c r="A738" s="57"/>
      <c r="B738" s="180" t="s">
        <v>14972</v>
      </c>
      <c r="C738" s="180" t="s">
        <v>15141</v>
      </c>
      <c r="D738" s="180" t="s">
        <v>15142</v>
      </c>
      <c r="E738" s="214" t="s">
        <v>15143</v>
      </c>
      <c r="F738" s="180" t="s">
        <v>15144</v>
      </c>
      <c r="G738" s="180" t="s">
        <v>15145</v>
      </c>
      <c r="H738" s="181" t="s">
        <v>15146</v>
      </c>
      <c r="I738" s="180" t="s">
        <v>15147</v>
      </c>
      <c r="J738" s="154" t="s">
        <v>14972</v>
      </c>
      <c r="K738" s="186" t="s">
        <v>15148</v>
      </c>
      <c r="L738" s="186" t="s">
        <v>13766</v>
      </c>
      <c r="M738" s="186" t="s">
        <v>13890</v>
      </c>
      <c r="N738" s="186" t="s">
        <v>15149</v>
      </c>
      <c r="O738" s="186" t="s">
        <v>15150</v>
      </c>
      <c r="P738" s="186" t="s">
        <v>15151</v>
      </c>
      <c r="Q738" s="186" t="s">
        <v>15152</v>
      </c>
      <c r="R738" s="57"/>
      <c r="S738" s="57"/>
      <c r="T738" s="57"/>
      <c r="U738" s="57"/>
      <c r="V738" s="57"/>
      <c r="W738" s="57"/>
      <c r="X738" s="57"/>
      <c r="Y738" s="57"/>
      <c r="Z738" s="57"/>
      <c r="AA738" s="57"/>
      <c r="AB738" s="57"/>
      <c r="AC738" s="57"/>
      <c r="AD738" s="57"/>
    </row>
    <row r="739" spans="1:30" ht="13.5" thickBot="1" x14ac:dyDescent="0.25">
      <c r="A739" s="57"/>
      <c r="B739" s="180" t="s">
        <v>15153</v>
      </c>
      <c r="C739" s="214" t="s">
        <v>15154</v>
      </c>
      <c r="D739" s="180" t="s">
        <v>15155</v>
      </c>
      <c r="E739" s="180" t="s">
        <v>15156</v>
      </c>
      <c r="F739" s="180" t="s">
        <v>15157</v>
      </c>
      <c r="G739" s="180" t="s">
        <v>15158</v>
      </c>
      <c r="H739" s="180" t="s">
        <v>15159</v>
      </c>
      <c r="I739" s="181" t="s">
        <v>15160</v>
      </c>
      <c r="J739" s="154" t="s">
        <v>15153</v>
      </c>
      <c r="K739" s="186" t="s">
        <v>15161</v>
      </c>
      <c r="L739" s="186" t="s">
        <v>15162</v>
      </c>
      <c r="M739" s="186" t="s">
        <v>15163</v>
      </c>
      <c r="N739" s="186" t="s">
        <v>15164</v>
      </c>
      <c r="O739" s="186" t="s">
        <v>15165</v>
      </c>
      <c r="P739" s="186" t="s">
        <v>15166</v>
      </c>
      <c r="Q739" s="186" t="s">
        <v>15167</v>
      </c>
      <c r="R739" s="57"/>
      <c r="S739" s="57"/>
      <c r="T739" s="57"/>
      <c r="U739" s="57"/>
      <c r="V739" s="57"/>
      <c r="W739" s="57"/>
      <c r="X739" s="57"/>
      <c r="Y739" s="57"/>
      <c r="Z739" s="57"/>
      <c r="AA739" s="57"/>
      <c r="AB739" s="57"/>
      <c r="AC739" s="57"/>
      <c r="AD739" s="57"/>
    </row>
    <row r="740" spans="1:30" ht="26.25" thickBot="1" x14ac:dyDescent="0.25">
      <c r="A740" s="57"/>
      <c r="B740" s="180" t="s">
        <v>14981</v>
      </c>
      <c r="C740" s="214" t="s">
        <v>15144</v>
      </c>
      <c r="D740" s="180" t="s">
        <v>15168</v>
      </c>
      <c r="E740" s="180" t="s">
        <v>15169</v>
      </c>
      <c r="F740" s="180">
        <v>0</v>
      </c>
      <c r="G740" s="180" t="s">
        <v>14677</v>
      </c>
      <c r="H740" s="180" t="s">
        <v>15170</v>
      </c>
      <c r="I740" s="181" t="s">
        <v>15171</v>
      </c>
      <c r="J740" s="154" t="s">
        <v>14981</v>
      </c>
      <c r="K740" s="186" t="s">
        <v>15149</v>
      </c>
      <c r="L740" s="186" t="s">
        <v>15172</v>
      </c>
      <c r="M740" s="186" t="s">
        <v>15173</v>
      </c>
      <c r="N740" s="186">
        <v>0</v>
      </c>
      <c r="O740" s="186" t="s">
        <v>14680</v>
      </c>
      <c r="P740" s="186" t="s">
        <v>15174</v>
      </c>
      <c r="Q740" s="186" t="s">
        <v>15175</v>
      </c>
      <c r="R740" s="57"/>
      <c r="S740" s="57"/>
      <c r="T740" s="57"/>
      <c r="U740" s="57"/>
      <c r="V740" s="57"/>
      <c r="W740" s="57"/>
      <c r="X740" s="57"/>
      <c r="Y740" s="57"/>
      <c r="Z740" s="57"/>
      <c r="AA740" s="57"/>
      <c r="AB740" s="57"/>
      <c r="AC740" s="57"/>
      <c r="AD740" s="57"/>
    </row>
    <row r="741" spans="1:30" ht="26.25" thickBot="1" x14ac:dyDescent="0.25">
      <c r="A741" s="57"/>
      <c r="B741" s="180" t="s">
        <v>15176</v>
      </c>
      <c r="C741" s="180" t="s">
        <v>15177</v>
      </c>
      <c r="D741" s="180" t="s">
        <v>15178</v>
      </c>
      <c r="E741" s="214" t="s">
        <v>15179</v>
      </c>
      <c r="F741" s="180" t="s">
        <v>15180</v>
      </c>
      <c r="G741" s="180" t="s">
        <v>15181</v>
      </c>
      <c r="H741" s="215" t="s">
        <v>15182</v>
      </c>
      <c r="I741" s="181" t="s">
        <v>15183</v>
      </c>
      <c r="J741" s="154" t="s">
        <v>15176</v>
      </c>
      <c r="K741" s="186" t="s">
        <v>15184</v>
      </c>
      <c r="L741" s="186" t="s">
        <v>15185</v>
      </c>
      <c r="M741" s="186" t="s">
        <v>15186</v>
      </c>
      <c r="N741" s="186" t="s">
        <v>15187</v>
      </c>
      <c r="O741" s="186" t="s">
        <v>13682</v>
      </c>
      <c r="P741" s="186" t="s">
        <v>15188</v>
      </c>
      <c r="Q741" s="186" t="s">
        <v>15189</v>
      </c>
      <c r="R741" s="57"/>
      <c r="S741" s="57"/>
      <c r="T741" s="57"/>
      <c r="U741" s="57"/>
      <c r="V741" s="57"/>
      <c r="W741" s="57"/>
      <c r="X741" s="57"/>
      <c r="Y741" s="57"/>
      <c r="Z741" s="57"/>
      <c r="AA741" s="57"/>
      <c r="AB741" s="57"/>
      <c r="AC741" s="57"/>
      <c r="AD741" s="57"/>
    </row>
    <row r="742" spans="1:30" ht="13.5" thickBot="1" x14ac:dyDescent="0.25">
      <c r="A742" s="57"/>
      <c r="B742" s="180" t="s">
        <v>14954</v>
      </c>
      <c r="C742" s="214" t="s">
        <v>15190</v>
      </c>
      <c r="D742" s="180" t="s">
        <v>15191</v>
      </c>
      <c r="E742" s="180" t="s">
        <v>15192</v>
      </c>
      <c r="F742" s="180" t="s">
        <v>15193</v>
      </c>
      <c r="G742" s="180" t="s">
        <v>15194</v>
      </c>
      <c r="H742" s="180" t="s">
        <v>15195</v>
      </c>
      <c r="I742" s="181" t="s">
        <v>15196</v>
      </c>
      <c r="J742" s="154" t="s">
        <v>14954</v>
      </c>
      <c r="K742" s="186" t="s">
        <v>15197</v>
      </c>
      <c r="L742" s="186" t="s">
        <v>15198</v>
      </c>
      <c r="M742" s="186" t="s">
        <v>15199</v>
      </c>
      <c r="N742" s="186" t="s">
        <v>15200</v>
      </c>
      <c r="O742" s="186" t="s">
        <v>15201</v>
      </c>
      <c r="P742" s="186" t="s">
        <v>15202</v>
      </c>
      <c r="Q742" s="186" t="s">
        <v>15203</v>
      </c>
      <c r="R742" s="57"/>
      <c r="S742" s="57"/>
      <c r="T742" s="57"/>
      <c r="U742" s="57"/>
      <c r="V742" s="57"/>
      <c r="W742" s="57"/>
      <c r="X742" s="57"/>
      <c r="Y742" s="57"/>
      <c r="Z742" s="57"/>
      <c r="AA742" s="57"/>
      <c r="AB742" s="57"/>
      <c r="AC742" s="57"/>
      <c r="AD742" s="57"/>
    </row>
    <row r="743" spans="1:30" ht="13.5" thickBot="1" x14ac:dyDescent="0.25">
      <c r="A743" s="57"/>
      <c r="B743" s="180" t="s">
        <v>15204</v>
      </c>
      <c r="C743" s="214" t="s">
        <v>15205</v>
      </c>
      <c r="D743" s="180" t="s">
        <v>15206</v>
      </c>
      <c r="E743" s="180" t="s">
        <v>15207</v>
      </c>
      <c r="F743" s="180" t="s">
        <v>15208</v>
      </c>
      <c r="G743" s="180" t="s">
        <v>15209</v>
      </c>
      <c r="H743" s="180" t="s">
        <v>15210</v>
      </c>
      <c r="I743" s="181" t="s">
        <v>15211</v>
      </c>
      <c r="J743" s="154" t="s">
        <v>15204</v>
      </c>
      <c r="K743" s="186" t="s">
        <v>15212</v>
      </c>
      <c r="L743" s="186" t="s">
        <v>15213</v>
      </c>
      <c r="M743" s="186" t="s">
        <v>15214</v>
      </c>
      <c r="N743" s="186" t="s">
        <v>15215</v>
      </c>
      <c r="O743" s="186" t="s">
        <v>15216</v>
      </c>
      <c r="P743" s="186" t="s">
        <v>15217</v>
      </c>
      <c r="Q743" s="186" t="s">
        <v>15218</v>
      </c>
      <c r="R743" s="57"/>
      <c r="S743" s="57"/>
      <c r="T743" s="57"/>
      <c r="U743" s="57"/>
      <c r="V743" s="57"/>
      <c r="W743" s="57"/>
      <c r="X743" s="57"/>
      <c r="Y743" s="57"/>
      <c r="Z743" s="57"/>
      <c r="AA743" s="57"/>
      <c r="AB743" s="57"/>
      <c r="AC743" s="57"/>
      <c r="AD743" s="57"/>
    </row>
    <row r="744" spans="1:30" ht="13.5" thickBot="1" x14ac:dyDescent="0.25">
      <c r="A744" s="57"/>
      <c r="B744" s="180" t="s">
        <v>15219</v>
      </c>
      <c r="C744" s="214" t="s">
        <v>15220</v>
      </c>
      <c r="D744" s="180" t="s">
        <v>15221</v>
      </c>
      <c r="E744" s="180" t="s">
        <v>15222</v>
      </c>
      <c r="F744" s="180">
        <v>0</v>
      </c>
      <c r="G744" s="180">
        <v>0</v>
      </c>
      <c r="H744" s="180" t="s">
        <v>15223</v>
      </c>
      <c r="I744" s="181" t="s">
        <v>15224</v>
      </c>
      <c r="J744" s="154" t="s">
        <v>15219</v>
      </c>
      <c r="K744" s="186" t="s">
        <v>15225</v>
      </c>
      <c r="L744" s="186" t="s">
        <v>15226</v>
      </c>
      <c r="M744" s="186" t="s">
        <v>13689</v>
      </c>
      <c r="N744" s="186">
        <v>0</v>
      </c>
      <c r="O744" s="186">
        <v>0</v>
      </c>
      <c r="P744" s="186" t="s">
        <v>15227</v>
      </c>
      <c r="Q744" s="186" t="s">
        <v>15228</v>
      </c>
      <c r="R744" s="57"/>
      <c r="S744" s="57"/>
      <c r="T744" s="57"/>
      <c r="U744" s="57"/>
      <c r="V744" s="57"/>
      <c r="W744" s="57"/>
      <c r="X744" s="57"/>
      <c r="Y744" s="57"/>
      <c r="Z744" s="57"/>
      <c r="AA744" s="57"/>
      <c r="AB744" s="57"/>
      <c r="AC744" s="57"/>
      <c r="AD744" s="57"/>
    </row>
    <row r="745" spans="1:30" ht="13.5" thickBot="1" x14ac:dyDescent="0.25">
      <c r="A745" s="57"/>
      <c r="B745" s="180" t="s">
        <v>14998</v>
      </c>
      <c r="C745" s="214" t="s">
        <v>15229</v>
      </c>
      <c r="D745" s="180" t="s">
        <v>15230</v>
      </c>
      <c r="E745" s="180" t="s">
        <v>15231</v>
      </c>
      <c r="F745" s="180" t="s">
        <v>15232</v>
      </c>
      <c r="G745" s="180" t="s">
        <v>15233</v>
      </c>
      <c r="H745" s="215" t="s">
        <v>15234</v>
      </c>
      <c r="I745" s="181" t="s">
        <v>15235</v>
      </c>
      <c r="J745" s="154" t="s">
        <v>14998</v>
      </c>
      <c r="K745" s="216" t="s">
        <v>15236</v>
      </c>
      <c r="L745" s="216" t="s">
        <v>15237</v>
      </c>
      <c r="M745" s="216" t="s">
        <v>15238</v>
      </c>
      <c r="N745" s="216" t="s">
        <v>15239</v>
      </c>
      <c r="O745" s="216" t="s">
        <v>15240</v>
      </c>
      <c r="P745" s="216" t="s">
        <v>15241</v>
      </c>
      <c r="Q745" s="216" t="s">
        <v>15242</v>
      </c>
      <c r="R745" s="57"/>
      <c r="S745" s="57"/>
      <c r="T745" s="57"/>
      <c r="U745" s="57"/>
      <c r="V745" s="57"/>
      <c r="W745" s="57"/>
      <c r="X745" s="57"/>
      <c r="Y745" s="57"/>
      <c r="Z745" s="57"/>
      <c r="AA745" s="57"/>
      <c r="AB745" s="57"/>
      <c r="AC745" s="57"/>
      <c r="AD745" s="57"/>
    </row>
    <row r="746" spans="1:30" ht="13.5" thickBot="1" x14ac:dyDescent="0.25">
      <c r="A746" s="57"/>
      <c r="B746" s="180" t="s">
        <v>15243</v>
      </c>
      <c r="C746" s="214" t="s">
        <v>15244</v>
      </c>
      <c r="D746" s="180" t="s">
        <v>15245</v>
      </c>
      <c r="E746" s="180" t="s">
        <v>15246</v>
      </c>
      <c r="F746" s="180" t="s">
        <v>15247</v>
      </c>
      <c r="G746" s="180" t="s">
        <v>15248</v>
      </c>
      <c r="H746" s="181" t="s">
        <v>15249</v>
      </c>
      <c r="I746" s="180" t="s">
        <v>15250</v>
      </c>
      <c r="J746" s="57"/>
      <c r="K746" s="186" t="s">
        <v>15251</v>
      </c>
      <c r="L746" s="186" t="s">
        <v>15252</v>
      </c>
      <c r="M746" s="186" t="s">
        <v>15253</v>
      </c>
      <c r="N746" s="186" t="s">
        <v>15254</v>
      </c>
      <c r="O746" s="186" t="s">
        <v>15255</v>
      </c>
      <c r="P746" s="186" t="s">
        <v>15256</v>
      </c>
      <c r="Q746" s="186" t="s">
        <v>15257</v>
      </c>
      <c r="R746" s="57"/>
      <c r="S746" s="57"/>
      <c r="T746" s="57"/>
      <c r="U746" s="57"/>
      <c r="V746" s="57"/>
      <c r="W746" s="57"/>
      <c r="X746" s="57"/>
      <c r="Y746" s="57"/>
      <c r="Z746" s="57"/>
      <c r="AA746" s="57"/>
      <c r="AB746" s="57"/>
      <c r="AC746" s="57"/>
      <c r="AD746" s="57"/>
    </row>
    <row r="747" spans="1:30" ht="13.5" thickBot="1" x14ac:dyDescent="0.25">
      <c r="A747" s="57"/>
      <c r="B747" s="180" t="s">
        <v>15258</v>
      </c>
      <c r="C747" s="214" t="s">
        <v>15259</v>
      </c>
      <c r="D747" s="180" t="s">
        <v>15260</v>
      </c>
      <c r="E747" s="180" t="s">
        <v>15261</v>
      </c>
      <c r="F747" s="180" t="s">
        <v>15262</v>
      </c>
      <c r="G747" s="180" t="s">
        <v>15263</v>
      </c>
      <c r="H747" s="180" t="s">
        <v>15264</v>
      </c>
      <c r="I747" s="181" t="s">
        <v>15265</v>
      </c>
      <c r="J747" s="57"/>
      <c r="K747" s="186" t="s">
        <v>15266</v>
      </c>
      <c r="L747" s="186" t="s">
        <v>15267</v>
      </c>
      <c r="M747" s="186" t="s">
        <v>15268</v>
      </c>
      <c r="N747" s="186" t="s">
        <v>15269</v>
      </c>
      <c r="O747" s="186" t="s">
        <v>15270</v>
      </c>
      <c r="P747" s="186" t="s">
        <v>14424</v>
      </c>
      <c r="Q747" s="186" t="s">
        <v>15271</v>
      </c>
      <c r="R747" s="57"/>
      <c r="S747" s="57"/>
      <c r="T747" s="57"/>
      <c r="U747" s="57"/>
      <c r="V747" s="57"/>
      <c r="W747" s="57"/>
      <c r="X747" s="57"/>
      <c r="Y747" s="57"/>
      <c r="Z747" s="57"/>
      <c r="AA747" s="57"/>
      <c r="AB747" s="57"/>
      <c r="AC747" s="57"/>
      <c r="AD747" s="57"/>
    </row>
    <row r="748" spans="1:30" ht="26.25" thickBot="1" x14ac:dyDescent="0.25">
      <c r="A748" s="57"/>
      <c r="B748" s="178" t="s">
        <v>15272</v>
      </c>
      <c r="C748" s="217" t="s">
        <v>15273</v>
      </c>
      <c r="D748" s="178" t="s">
        <v>15274</v>
      </c>
      <c r="E748" s="178" t="s">
        <v>15275</v>
      </c>
      <c r="F748" s="178" t="s">
        <v>15276</v>
      </c>
      <c r="G748" s="178" t="s">
        <v>15277</v>
      </c>
      <c r="H748" s="178" t="s">
        <v>15278</v>
      </c>
      <c r="I748" s="182" t="s">
        <v>15145</v>
      </c>
      <c r="J748" s="57"/>
      <c r="K748" s="186" t="s">
        <v>15279</v>
      </c>
      <c r="L748" s="186" t="s">
        <v>15280</v>
      </c>
      <c r="M748" s="186" t="s">
        <v>15281</v>
      </c>
      <c r="N748" s="186" t="s">
        <v>15282</v>
      </c>
      <c r="O748" s="186" t="s">
        <v>15283</v>
      </c>
      <c r="P748" s="186" t="s">
        <v>15284</v>
      </c>
      <c r="Q748" s="186" t="s">
        <v>15150</v>
      </c>
      <c r="R748" s="57"/>
      <c r="S748" s="57"/>
      <c r="T748" s="57"/>
      <c r="U748" s="57"/>
      <c r="V748" s="57"/>
      <c r="W748" s="57"/>
      <c r="X748" s="57"/>
      <c r="Y748" s="57"/>
      <c r="Z748" s="57"/>
      <c r="AA748" s="57"/>
      <c r="AB748" s="57"/>
      <c r="AC748" s="57"/>
      <c r="AD748" s="57"/>
    </row>
    <row r="749" spans="1:30" ht="13.5" thickBot="1" x14ac:dyDescent="0.25">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c r="AA749" s="57"/>
      <c r="AB749" s="57"/>
      <c r="AC749" s="57"/>
      <c r="AD749" s="57"/>
    </row>
    <row r="750" spans="1:30" ht="13.5" thickBot="1" x14ac:dyDescent="0.25">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c r="AA750" s="57"/>
      <c r="AB750" s="57"/>
      <c r="AC750" s="57"/>
      <c r="AD750" s="57"/>
    </row>
    <row r="751" spans="1:30" ht="13.5" thickBot="1" x14ac:dyDescent="0.25">
      <c r="A751" s="57"/>
      <c r="B751" s="176" t="s">
        <v>481</v>
      </c>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c r="AA751" s="57"/>
      <c r="AB751" s="57"/>
      <c r="AC751" s="57"/>
      <c r="AD751" s="57"/>
    </row>
    <row r="752" spans="1:30" ht="13.5" thickBot="1" x14ac:dyDescent="0.25">
      <c r="A752" s="57"/>
      <c r="B752" s="97" t="s">
        <v>15285</v>
      </c>
      <c r="C752" s="88"/>
      <c r="D752" s="88"/>
      <c r="E752" s="88"/>
      <c r="F752" s="88"/>
      <c r="G752" s="88"/>
      <c r="H752" s="57"/>
      <c r="I752" s="57"/>
      <c r="J752" s="88"/>
      <c r="K752" s="88"/>
      <c r="L752" s="88"/>
      <c r="M752" s="88"/>
      <c r="N752" s="88"/>
      <c r="O752" s="88"/>
      <c r="P752" s="57"/>
      <c r="Q752" s="57"/>
      <c r="R752" s="57"/>
      <c r="S752" s="57"/>
      <c r="T752" s="57"/>
      <c r="U752" s="57"/>
      <c r="V752" s="57"/>
      <c r="W752" s="57"/>
      <c r="X752" s="57"/>
      <c r="Y752" s="57"/>
      <c r="Z752" s="57"/>
      <c r="AA752" s="57"/>
      <c r="AB752" s="57"/>
      <c r="AC752" s="57"/>
      <c r="AD752" s="57"/>
    </row>
    <row r="753" spans="1:30" ht="30.75" thickBot="1" x14ac:dyDescent="0.3">
      <c r="A753" s="80"/>
      <c r="B753" s="83"/>
      <c r="C753" s="89" t="s">
        <v>14463</v>
      </c>
      <c r="D753" s="89" t="s">
        <v>15286</v>
      </c>
      <c r="E753" s="89" t="s">
        <v>15287</v>
      </c>
      <c r="F753" s="89" t="s">
        <v>13524</v>
      </c>
      <c r="G753" s="89" t="s">
        <v>13580</v>
      </c>
      <c r="H753" s="57"/>
      <c r="I753" s="80"/>
      <c r="J753" s="83"/>
      <c r="K753" s="89" t="s">
        <v>14463</v>
      </c>
      <c r="L753" s="89" t="s">
        <v>15286</v>
      </c>
      <c r="M753" s="89" t="s">
        <v>15287</v>
      </c>
      <c r="N753" s="89" t="s">
        <v>13524</v>
      </c>
      <c r="O753" s="89" t="s">
        <v>13580</v>
      </c>
      <c r="P753" s="57"/>
      <c r="Q753" s="57"/>
      <c r="R753" s="57"/>
      <c r="S753" s="57"/>
      <c r="T753" s="57"/>
      <c r="U753" s="57"/>
      <c r="V753" s="57"/>
      <c r="W753" s="57"/>
      <c r="X753" s="57"/>
      <c r="Y753" s="57"/>
      <c r="Z753" s="57"/>
      <c r="AA753" s="57"/>
      <c r="AB753" s="57"/>
      <c r="AC753" s="57"/>
      <c r="AD753" s="57"/>
    </row>
    <row r="754" spans="1:30" ht="45.75" thickBot="1" x14ac:dyDescent="0.3">
      <c r="A754" s="80"/>
      <c r="B754" s="248" t="s">
        <v>13442</v>
      </c>
      <c r="C754" s="89" t="s">
        <v>15288</v>
      </c>
      <c r="D754" s="90" t="s">
        <v>13583</v>
      </c>
      <c r="E754" s="90" t="s">
        <v>13491</v>
      </c>
      <c r="F754" s="90" t="s">
        <v>13561</v>
      </c>
      <c r="G754" s="90" t="s">
        <v>13543</v>
      </c>
      <c r="H754" s="57"/>
      <c r="I754" s="80"/>
      <c r="J754" s="248" t="s">
        <v>13442</v>
      </c>
      <c r="K754" s="89" t="s">
        <v>15289</v>
      </c>
      <c r="L754" s="90" t="s">
        <v>13583</v>
      </c>
      <c r="M754" s="90" t="s">
        <v>13946</v>
      </c>
      <c r="N754" s="90" t="s">
        <v>13502</v>
      </c>
      <c r="O754" s="90" t="s">
        <v>13800</v>
      </c>
      <c r="P754" s="57"/>
      <c r="Q754" s="57"/>
      <c r="R754" s="57"/>
      <c r="S754" s="57"/>
      <c r="T754" s="57"/>
      <c r="U754" s="57"/>
      <c r="V754" s="57"/>
      <c r="W754" s="57"/>
      <c r="X754" s="57"/>
      <c r="Y754" s="57"/>
      <c r="Z754" s="57"/>
      <c r="AA754" s="57"/>
      <c r="AB754" s="57"/>
      <c r="AC754" s="57"/>
      <c r="AD754" s="57"/>
    </row>
    <row r="755" spans="1:30" ht="60.75" thickBot="1" x14ac:dyDescent="0.3">
      <c r="A755" s="80"/>
      <c r="B755" s="249"/>
      <c r="C755" s="89" t="s">
        <v>15290</v>
      </c>
      <c r="D755" s="90" t="s">
        <v>13543</v>
      </c>
      <c r="E755" s="90" t="s">
        <v>13569</v>
      </c>
      <c r="F755" s="90" t="s">
        <v>13557</v>
      </c>
      <c r="G755" s="90" t="s">
        <v>13954</v>
      </c>
      <c r="H755" s="57"/>
      <c r="I755" s="80"/>
      <c r="J755" s="249"/>
      <c r="K755" s="89" t="s">
        <v>15291</v>
      </c>
      <c r="L755" s="90" t="s">
        <v>13897</v>
      </c>
      <c r="M755" s="90" t="s">
        <v>13562</v>
      </c>
      <c r="N755" s="90" t="s">
        <v>14661</v>
      </c>
      <c r="O755" s="90" t="s">
        <v>13532</v>
      </c>
      <c r="P755" s="57"/>
      <c r="Q755" s="57"/>
      <c r="R755" s="57"/>
      <c r="S755" s="57"/>
      <c r="T755" s="57"/>
      <c r="U755" s="57"/>
      <c r="V755" s="57"/>
      <c r="W755" s="57"/>
      <c r="X755" s="57"/>
      <c r="Y755" s="57"/>
      <c r="Z755" s="57"/>
      <c r="AA755" s="57"/>
      <c r="AB755" s="57"/>
      <c r="AC755" s="57"/>
      <c r="AD755" s="57"/>
    </row>
    <row r="756" spans="1:30" ht="75.75" thickBot="1" x14ac:dyDescent="0.3">
      <c r="A756" s="80"/>
      <c r="B756" s="249"/>
      <c r="C756" s="89" t="s">
        <v>14627</v>
      </c>
      <c r="D756" s="90" t="s">
        <v>13946</v>
      </c>
      <c r="E756" s="90" t="s">
        <v>13666</v>
      </c>
      <c r="F756" s="90" t="s">
        <v>13543</v>
      </c>
      <c r="G756" s="90" t="s">
        <v>13650</v>
      </c>
      <c r="H756" s="57"/>
      <c r="I756" s="80"/>
      <c r="J756" s="249"/>
      <c r="K756" s="89" t="s">
        <v>15292</v>
      </c>
      <c r="L756" s="90" t="s">
        <v>13484</v>
      </c>
      <c r="M756" s="90" t="s">
        <v>13961</v>
      </c>
      <c r="N756" s="90" t="s">
        <v>13952</v>
      </c>
      <c r="O756" s="90" t="s">
        <v>13954</v>
      </c>
      <c r="P756" s="57"/>
      <c r="Q756" s="57"/>
      <c r="R756" s="57"/>
      <c r="S756" s="57"/>
      <c r="T756" s="57"/>
      <c r="U756" s="57"/>
      <c r="V756" s="57"/>
      <c r="W756" s="57"/>
      <c r="X756" s="57"/>
      <c r="Y756" s="57"/>
      <c r="Z756" s="57"/>
      <c r="AA756" s="57"/>
      <c r="AB756" s="57"/>
      <c r="AC756" s="57"/>
      <c r="AD756" s="57"/>
    </row>
    <row r="757" spans="1:30" ht="105.75" thickBot="1" x14ac:dyDescent="0.3">
      <c r="A757" s="80"/>
      <c r="B757" s="250"/>
      <c r="C757" s="89" t="s">
        <v>14370</v>
      </c>
      <c r="D757" s="90" t="s">
        <v>13543</v>
      </c>
      <c r="E757" s="90" t="s">
        <v>13946</v>
      </c>
      <c r="F757" s="90" t="s">
        <v>13543</v>
      </c>
      <c r="G757" s="90" t="s">
        <v>13558</v>
      </c>
      <c r="H757" s="57"/>
      <c r="I757" s="80"/>
      <c r="J757" s="249"/>
      <c r="K757" s="89" t="s">
        <v>15293</v>
      </c>
      <c r="L757" s="90" t="s">
        <v>13846</v>
      </c>
      <c r="M757" s="90" t="s">
        <v>13650</v>
      </c>
      <c r="N757" s="90" t="s">
        <v>13567</v>
      </c>
      <c r="O757" s="90" t="s">
        <v>13946</v>
      </c>
      <c r="P757" s="57"/>
      <c r="Q757" s="57"/>
      <c r="R757" s="57"/>
      <c r="S757" s="57"/>
      <c r="T757" s="57"/>
      <c r="U757" s="57"/>
      <c r="V757" s="57"/>
      <c r="W757" s="57"/>
      <c r="X757" s="57"/>
      <c r="Y757" s="57"/>
      <c r="Z757" s="57"/>
      <c r="AA757" s="57"/>
      <c r="AB757" s="57"/>
      <c r="AC757" s="57"/>
      <c r="AD757" s="57"/>
    </row>
    <row r="758" spans="1:30" ht="30.75" thickBot="1" x14ac:dyDescent="0.3">
      <c r="A758" s="80"/>
      <c r="B758" s="248" t="s">
        <v>13443</v>
      </c>
      <c r="C758" s="89" t="s">
        <v>15288</v>
      </c>
      <c r="D758" s="90" t="s">
        <v>13846</v>
      </c>
      <c r="E758" s="90" t="s">
        <v>13525</v>
      </c>
      <c r="F758" s="90" t="s">
        <v>13551</v>
      </c>
      <c r="G758" s="90" t="s">
        <v>13840</v>
      </c>
      <c r="H758" s="57"/>
      <c r="I758" s="80"/>
      <c r="J758" s="249"/>
      <c r="K758" s="89" t="s">
        <v>14627</v>
      </c>
      <c r="L758" s="90" t="s">
        <v>13550</v>
      </c>
      <c r="M758" s="90" t="s">
        <v>13952</v>
      </c>
      <c r="N758" s="90" t="s">
        <v>13491</v>
      </c>
      <c r="O758" s="90" t="s">
        <v>13450</v>
      </c>
      <c r="P758" s="57"/>
      <c r="Q758" s="57"/>
      <c r="R758" s="57"/>
      <c r="S758" s="57"/>
      <c r="T758" s="57"/>
      <c r="U758" s="57"/>
      <c r="V758" s="57"/>
      <c r="W758" s="57"/>
      <c r="X758" s="57"/>
      <c r="Y758" s="57"/>
      <c r="Z758" s="57"/>
      <c r="AA758" s="57"/>
      <c r="AB758" s="57"/>
      <c r="AC758" s="57"/>
      <c r="AD758" s="57"/>
    </row>
    <row r="759" spans="1:30" ht="30.75" thickBot="1" x14ac:dyDescent="0.3">
      <c r="A759" s="80"/>
      <c r="B759" s="249"/>
      <c r="C759" s="89" t="s">
        <v>15290</v>
      </c>
      <c r="D759" s="90" t="s">
        <v>13569</v>
      </c>
      <c r="E759" s="90" t="s">
        <v>13786</v>
      </c>
      <c r="F759" s="90" t="s">
        <v>13650</v>
      </c>
      <c r="G759" s="90" t="s">
        <v>13956</v>
      </c>
      <c r="H759" s="57"/>
      <c r="I759" s="80"/>
      <c r="J759" s="250"/>
      <c r="K759" s="89" t="s">
        <v>14370</v>
      </c>
      <c r="L759" s="90" t="s">
        <v>13574</v>
      </c>
      <c r="M759" s="90" t="s">
        <v>13666</v>
      </c>
      <c r="N759" s="90" t="s">
        <v>13525</v>
      </c>
      <c r="O759" s="90" t="s">
        <v>13491</v>
      </c>
      <c r="P759" s="57"/>
      <c r="Q759" s="57"/>
      <c r="R759" s="57"/>
      <c r="S759" s="57"/>
      <c r="T759" s="57"/>
      <c r="U759" s="57"/>
      <c r="V759" s="57"/>
      <c r="W759" s="57"/>
      <c r="X759" s="57"/>
      <c r="Y759" s="57"/>
      <c r="Z759" s="57"/>
      <c r="AA759" s="57"/>
      <c r="AB759" s="57"/>
      <c r="AC759" s="57"/>
      <c r="AD759" s="57"/>
    </row>
    <row r="760" spans="1:30" ht="45.75" thickBot="1" x14ac:dyDescent="0.3">
      <c r="A760" s="80"/>
      <c r="B760" s="249"/>
      <c r="C760" s="89" t="s">
        <v>14627</v>
      </c>
      <c r="D760" s="90" t="s">
        <v>13569</v>
      </c>
      <c r="E760" s="90" t="s">
        <v>13840</v>
      </c>
      <c r="F760" s="90" t="s">
        <v>13568</v>
      </c>
      <c r="G760" s="90" t="s">
        <v>13567</v>
      </c>
      <c r="H760" s="57"/>
      <c r="I760" s="80"/>
      <c r="J760" s="248" t="s">
        <v>13443</v>
      </c>
      <c r="K760" s="89" t="s">
        <v>15289</v>
      </c>
      <c r="L760" s="90" t="s">
        <v>13467</v>
      </c>
      <c r="M760" s="90" t="s">
        <v>13566</v>
      </c>
      <c r="N760" s="90" t="s">
        <v>13957</v>
      </c>
      <c r="O760" s="90" t="s">
        <v>13953</v>
      </c>
      <c r="P760" s="57"/>
      <c r="Q760" s="57"/>
      <c r="R760" s="57"/>
      <c r="S760" s="57"/>
      <c r="T760" s="57"/>
      <c r="U760" s="57"/>
      <c r="V760" s="57"/>
      <c r="W760" s="57"/>
      <c r="X760" s="57"/>
      <c r="Y760" s="57"/>
      <c r="Z760" s="57"/>
      <c r="AA760" s="57"/>
      <c r="AB760" s="57"/>
      <c r="AC760" s="57"/>
      <c r="AD760" s="57"/>
    </row>
    <row r="761" spans="1:30" ht="60.75" thickBot="1" x14ac:dyDescent="0.3">
      <c r="A761" s="80"/>
      <c r="B761" s="250"/>
      <c r="C761" s="89" t="s">
        <v>14370</v>
      </c>
      <c r="D761" s="90" t="s">
        <v>13545</v>
      </c>
      <c r="E761" s="90" t="s">
        <v>13946</v>
      </c>
      <c r="F761" s="90" t="s">
        <v>13561</v>
      </c>
      <c r="G761" s="90" t="s">
        <v>13944</v>
      </c>
      <c r="H761" s="57"/>
      <c r="I761" s="80"/>
      <c r="J761" s="249"/>
      <c r="K761" s="89" t="s">
        <v>15291</v>
      </c>
      <c r="L761" s="90" t="s">
        <v>13532</v>
      </c>
      <c r="M761" s="90" t="s">
        <v>13491</v>
      </c>
      <c r="N761" s="90" t="s">
        <v>13528</v>
      </c>
      <c r="O761" s="90" t="s">
        <v>13949</v>
      </c>
      <c r="P761" s="57"/>
      <c r="Q761" s="57"/>
      <c r="R761" s="57"/>
      <c r="S761" s="57"/>
      <c r="T761" s="57"/>
      <c r="U761" s="57"/>
      <c r="V761" s="57"/>
      <c r="W761" s="57"/>
      <c r="X761" s="57"/>
      <c r="Y761" s="57"/>
      <c r="Z761" s="57"/>
      <c r="AA761" s="57"/>
      <c r="AB761" s="57"/>
      <c r="AC761" s="57"/>
      <c r="AD761" s="57"/>
    </row>
    <row r="762" spans="1:30" ht="75.75" thickBot="1" x14ac:dyDescent="0.3">
      <c r="A762" s="80"/>
      <c r="B762" s="248" t="s">
        <v>15294</v>
      </c>
      <c r="C762" s="89" t="s">
        <v>15288</v>
      </c>
      <c r="D762" s="90" t="s">
        <v>13525</v>
      </c>
      <c r="E762" s="90" t="s">
        <v>13543</v>
      </c>
      <c r="F762" s="90" t="s">
        <v>13525</v>
      </c>
      <c r="G762" s="90" t="s">
        <v>13800</v>
      </c>
      <c r="H762" s="57"/>
      <c r="I762" s="80"/>
      <c r="J762" s="249"/>
      <c r="K762" s="89" t="s">
        <v>15292</v>
      </c>
      <c r="L762" s="90" t="s">
        <v>13585</v>
      </c>
      <c r="M762" s="90" t="s">
        <v>13960</v>
      </c>
      <c r="N762" s="90" t="s">
        <v>13427</v>
      </c>
      <c r="O762" s="90" t="s">
        <v>13769</v>
      </c>
      <c r="P762" s="57"/>
      <c r="Q762" s="57"/>
      <c r="R762" s="57"/>
      <c r="S762" s="57"/>
      <c r="T762" s="57"/>
      <c r="U762" s="57"/>
      <c r="V762" s="57"/>
      <c r="W762" s="57"/>
      <c r="X762" s="57"/>
      <c r="Y762" s="57"/>
      <c r="Z762" s="57"/>
      <c r="AA762" s="57"/>
      <c r="AB762" s="57"/>
      <c r="AC762" s="57"/>
      <c r="AD762" s="57"/>
    </row>
    <row r="763" spans="1:30" ht="60.75" thickBot="1" x14ac:dyDescent="0.3">
      <c r="A763" s="80"/>
      <c r="B763" s="249"/>
      <c r="C763" s="89" t="s">
        <v>15290</v>
      </c>
      <c r="D763" s="90" t="s">
        <v>13561</v>
      </c>
      <c r="E763" s="90" t="s">
        <v>13562</v>
      </c>
      <c r="F763" s="90" t="s">
        <v>13786</v>
      </c>
      <c r="G763" s="90" t="s">
        <v>13779</v>
      </c>
      <c r="H763" s="57"/>
      <c r="I763" s="80"/>
      <c r="J763" s="249"/>
      <c r="K763" s="89" t="s">
        <v>15295</v>
      </c>
      <c r="L763" s="90" t="s">
        <v>13961</v>
      </c>
      <c r="M763" s="90" t="s">
        <v>13785</v>
      </c>
      <c r="N763" s="90" t="s">
        <v>13943</v>
      </c>
      <c r="O763" s="90" t="s">
        <v>13500</v>
      </c>
      <c r="P763" s="57"/>
      <c r="Q763" s="57"/>
      <c r="R763" s="57"/>
      <c r="S763" s="57"/>
      <c r="T763" s="57"/>
      <c r="U763" s="57"/>
      <c r="V763" s="57"/>
      <c r="W763" s="57"/>
      <c r="X763" s="57"/>
      <c r="Y763" s="57"/>
      <c r="Z763" s="57"/>
      <c r="AA763" s="57"/>
      <c r="AB763" s="57"/>
      <c r="AC763" s="57"/>
      <c r="AD763" s="57"/>
    </row>
    <row r="764" spans="1:30" ht="60.75" thickBot="1" x14ac:dyDescent="0.3">
      <c r="A764" s="80"/>
      <c r="B764" s="249"/>
      <c r="C764" s="89" t="s">
        <v>14627</v>
      </c>
      <c r="D764" s="90" t="s">
        <v>13569</v>
      </c>
      <c r="E764" s="90" t="s">
        <v>13562</v>
      </c>
      <c r="F764" s="90" t="s">
        <v>13562</v>
      </c>
      <c r="G764" s="90" t="s">
        <v>13566</v>
      </c>
      <c r="H764" s="57"/>
      <c r="I764" s="80"/>
      <c r="J764" s="249"/>
      <c r="K764" s="89" t="s">
        <v>15296</v>
      </c>
      <c r="L764" s="90" t="s">
        <v>13846</v>
      </c>
      <c r="M764" s="90" t="s">
        <v>13528</v>
      </c>
      <c r="N764" s="90" t="s">
        <v>14356</v>
      </c>
      <c r="O764" s="90" t="s">
        <v>13846</v>
      </c>
      <c r="P764" s="57"/>
      <c r="Q764" s="57"/>
      <c r="R764" s="57"/>
      <c r="S764" s="57"/>
      <c r="T764" s="57"/>
      <c r="U764" s="57"/>
      <c r="V764" s="57"/>
      <c r="W764" s="57"/>
      <c r="X764" s="57"/>
      <c r="Y764" s="57"/>
      <c r="Z764" s="57"/>
      <c r="AA764" s="57"/>
      <c r="AB764" s="57"/>
      <c r="AC764" s="57"/>
      <c r="AD764" s="57"/>
    </row>
    <row r="765" spans="1:30" ht="15.75" thickBot="1" x14ac:dyDescent="0.3">
      <c r="A765" s="80"/>
      <c r="B765" s="250"/>
      <c r="C765" s="89" t="s">
        <v>14370</v>
      </c>
      <c r="D765" s="90" t="s">
        <v>13545</v>
      </c>
      <c r="E765" s="90" t="s">
        <v>13569</v>
      </c>
      <c r="F765" s="90" t="s">
        <v>13569</v>
      </c>
      <c r="G765" s="90" t="s">
        <v>13944</v>
      </c>
      <c r="H765" s="57"/>
      <c r="I765" s="80"/>
      <c r="J765" s="250"/>
      <c r="K765" s="89" t="s">
        <v>14370</v>
      </c>
      <c r="L765" s="90" t="s">
        <v>13457</v>
      </c>
      <c r="M765" s="90" t="s">
        <v>13427</v>
      </c>
      <c r="N765" s="90" t="s">
        <v>13543</v>
      </c>
      <c r="O765" s="90" t="s">
        <v>13954</v>
      </c>
      <c r="P765" s="57"/>
      <c r="Q765" s="57"/>
      <c r="R765" s="57"/>
      <c r="S765" s="57"/>
      <c r="T765" s="57"/>
      <c r="U765" s="57"/>
      <c r="V765" s="57"/>
      <c r="W765" s="57"/>
      <c r="X765" s="57"/>
      <c r="Y765" s="57"/>
      <c r="Z765" s="57"/>
      <c r="AA765" s="57"/>
      <c r="AB765" s="57"/>
      <c r="AC765" s="57"/>
      <c r="AD765" s="57"/>
    </row>
    <row r="766" spans="1:30" ht="45.75" thickBot="1" x14ac:dyDescent="0.3">
      <c r="A766" s="57"/>
      <c r="B766" s="57"/>
      <c r="C766" s="57"/>
      <c r="D766" s="57"/>
      <c r="E766" s="57"/>
      <c r="F766" s="57"/>
      <c r="G766" s="57"/>
      <c r="H766" s="57"/>
      <c r="I766" s="80"/>
      <c r="J766" s="248" t="s">
        <v>15294</v>
      </c>
      <c r="K766" s="89" t="s">
        <v>15289</v>
      </c>
      <c r="L766" s="90" t="s">
        <v>13528</v>
      </c>
      <c r="M766" s="90" t="s">
        <v>13562</v>
      </c>
      <c r="N766" s="90" t="s">
        <v>13583</v>
      </c>
      <c r="O766" s="90" t="s">
        <v>13567</v>
      </c>
      <c r="P766" s="57"/>
      <c r="Q766" s="57"/>
      <c r="R766" s="57"/>
      <c r="S766" s="57"/>
      <c r="T766" s="57"/>
      <c r="U766" s="57"/>
      <c r="V766" s="57"/>
      <c r="W766" s="57"/>
      <c r="X766" s="57"/>
      <c r="Y766" s="57"/>
      <c r="Z766" s="57"/>
      <c r="AA766" s="57"/>
      <c r="AB766" s="57"/>
      <c r="AC766" s="57"/>
      <c r="AD766" s="57"/>
    </row>
    <row r="767" spans="1:30" ht="60.75" thickBot="1" x14ac:dyDescent="0.3">
      <c r="A767" s="57"/>
      <c r="B767" s="57"/>
      <c r="C767" s="57"/>
      <c r="D767" s="57"/>
      <c r="E767" s="57"/>
      <c r="F767" s="57"/>
      <c r="G767" s="57"/>
      <c r="H767" s="57"/>
      <c r="I767" s="80"/>
      <c r="J767" s="249"/>
      <c r="K767" s="89" t="s">
        <v>15291</v>
      </c>
      <c r="L767" s="90" t="s">
        <v>13550</v>
      </c>
      <c r="M767" s="90" t="s">
        <v>13421</v>
      </c>
      <c r="N767" s="90" t="s">
        <v>13551</v>
      </c>
      <c r="O767" s="90" t="s">
        <v>13497</v>
      </c>
      <c r="P767" s="57"/>
      <c r="Q767" s="57"/>
      <c r="R767" s="57"/>
      <c r="S767" s="57"/>
      <c r="T767" s="57"/>
      <c r="U767" s="57"/>
      <c r="V767" s="57"/>
      <c r="W767" s="57"/>
      <c r="X767" s="57"/>
      <c r="Y767" s="57"/>
      <c r="Z767" s="57"/>
      <c r="AA767" s="57"/>
      <c r="AB767" s="57"/>
      <c r="AC767" s="57"/>
      <c r="AD767" s="57"/>
    </row>
    <row r="768" spans="1:30" ht="75.75" thickBot="1" x14ac:dyDescent="0.3">
      <c r="A768" s="57"/>
      <c r="B768" s="176" t="s">
        <v>1200</v>
      </c>
      <c r="C768" s="57"/>
      <c r="D768" s="57"/>
      <c r="E768" s="57"/>
      <c r="F768" s="57"/>
      <c r="G768" s="57"/>
      <c r="H768" s="57"/>
      <c r="I768" s="80"/>
      <c r="J768" s="249"/>
      <c r="K768" s="89" t="s">
        <v>15292</v>
      </c>
      <c r="L768" s="90" t="s">
        <v>13545</v>
      </c>
      <c r="M768" s="90" t="s">
        <v>13945</v>
      </c>
      <c r="N768" s="90" t="s">
        <v>13800</v>
      </c>
      <c r="O768" s="90" t="s">
        <v>13566</v>
      </c>
      <c r="P768" s="57"/>
      <c r="Q768" s="57"/>
      <c r="R768" s="57"/>
      <c r="S768" s="57"/>
      <c r="T768" s="57"/>
      <c r="U768" s="57"/>
      <c r="V768" s="57"/>
      <c r="W768" s="57"/>
      <c r="X768" s="57"/>
      <c r="Y768" s="57"/>
      <c r="Z768" s="57"/>
      <c r="AA768" s="57"/>
      <c r="AB768" s="57"/>
      <c r="AC768" s="57"/>
      <c r="AD768" s="57"/>
    </row>
    <row r="769" spans="1:30" ht="105.75" thickBot="1" x14ac:dyDescent="0.3">
      <c r="A769" s="57"/>
      <c r="B769" s="97" t="s">
        <v>15297</v>
      </c>
      <c r="C769" s="88"/>
      <c r="D769" s="88"/>
      <c r="E769" s="88"/>
      <c r="F769" s="88"/>
      <c r="G769" s="88"/>
      <c r="H769" s="88"/>
      <c r="I769" s="80"/>
      <c r="J769" s="249"/>
      <c r="K769" s="89" t="s">
        <v>15293</v>
      </c>
      <c r="L769" s="90" t="s">
        <v>13666</v>
      </c>
      <c r="M769" s="90" t="s">
        <v>13832</v>
      </c>
      <c r="N769" s="90" t="s">
        <v>13945</v>
      </c>
      <c r="O769" s="90" t="s">
        <v>13951</v>
      </c>
      <c r="P769" s="57"/>
      <c r="Q769" s="57"/>
      <c r="R769" s="57"/>
      <c r="S769" s="57"/>
      <c r="T769" s="57"/>
      <c r="U769" s="57"/>
      <c r="V769" s="57"/>
      <c r="W769" s="57"/>
      <c r="X769" s="57"/>
      <c r="Y769" s="57"/>
      <c r="Z769" s="57"/>
      <c r="AA769" s="57"/>
      <c r="AB769" s="57"/>
      <c r="AC769" s="57"/>
      <c r="AD769" s="57"/>
    </row>
    <row r="770" spans="1:30" ht="15.75" thickBot="1" x14ac:dyDescent="0.3">
      <c r="A770" s="80"/>
      <c r="B770" s="251" t="s">
        <v>13368</v>
      </c>
      <c r="C770" s="253" t="s">
        <v>15298</v>
      </c>
      <c r="D770" s="254"/>
      <c r="E770" s="255"/>
      <c r="F770" s="253" t="s">
        <v>15299</v>
      </c>
      <c r="G770" s="254"/>
      <c r="H770" s="255"/>
      <c r="I770" s="80"/>
      <c r="J770" s="249"/>
      <c r="K770" s="89" t="s">
        <v>14627</v>
      </c>
      <c r="L770" s="90" t="s">
        <v>13949</v>
      </c>
      <c r="M770" s="90" t="s">
        <v>13457</v>
      </c>
      <c r="N770" s="90" t="s">
        <v>13947</v>
      </c>
      <c r="O770" s="90" t="s">
        <v>13562</v>
      </c>
      <c r="P770" s="57"/>
      <c r="Q770" s="57"/>
      <c r="R770" s="57"/>
      <c r="S770" s="57"/>
      <c r="T770" s="57"/>
      <c r="U770" s="57"/>
      <c r="V770" s="57"/>
      <c r="W770" s="57"/>
      <c r="X770" s="57"/>
      <c r="Y770" s="57"/>
      <c r="Z770" s="57"/>
      <c r="AA770" s="57"/>
      <c r="AB770" s="57"/>
      <c r="AC770" s="57"/>
      <c r="AD770" s="57"/>
    </row>
    <row r="771" spans="1:30" ht="15.75" thickBot="1" x14ac:dyDescent="0.3">
      <c r="A771" s="80"/>
      <c r="B771" s="252"/>
      <c r="C771" s="150" t="s">
        <v>13442</v>
      </c>
      <c r="D771" s="150" t="s">
        <v>13443</v>
      </c>
      <c r="E771" s="150" t="s">
        <v>12915</v>
      </c>
      <c r="F771" s="150" t="s">
        <v>13442</v>
      </c>
      <c r="G771" s="150" t="s">
        <v>13443</v>
      </c>
      <c r="H771" s="150" t="s">
        <v>12915</v>
      </c>
      <c r="I771" s="80"/>
      <c r="J771" s="250"/>
      <c r="K771" s="89" t="s">
        <v>14370</v>
      </c>
      <c r="L771" s="90" t="s">
        <v>14482</v>
      </c>
      <c r="M771" s="90" t="s">
        <v>13427</v>
      </c>
      <c r="N771" s="90" t="s">
        <v>13491</v>
      </c>
      <c r="O771" s="90" t="s">
        <v>13946</v>
      </c>
      <c r="P771" s="57"/>
      <c r="Q771" s="57"/>
      <c r="R771" s="57"/>
      <c r="S771" s="57"/>
      <c r="T771" s="57"/>
      <c r="U771" s="57"/>
      <c r="V771" s="57"/>
      <c r="W771" s="57"/>
      <c r="X771" s="57"/>
      <c r="Y771" s="57"/>
      <c r="Z771" s="57"/>
      <c r="AA771" s="57"/>
      <c r="AB771" s="57"/>
      <c r="AC771" s="57"/>
      <c r="AD771" s="57"/>
    </row>
    <row r="772" spans="1:30" ht="26.25" thickBot="1" x14ac:dyDescent="0.25">
      <c r="A772" s="57"/>
      <c r="B772" s="180" t="s">
        <v>14141</v>
      </c>
      <c r="C772" s="214" t="s">
        <v>13616</v>
      </c>
      <c r="D772" s="214" t="s">
        <v>13875</v>
      </c>
      <c r="E772" s="214" t="s">
        <v>13470</v>
      </c>
      <c r="F772" s="214" t="s">
        <v>14363</v>
      </c>
      <c r="G772" s="180" t="s">
        <v>13589</v>
      </c>
      <c r="H772" s="180" t="s">
        <v>13831</v>
      </c>
      <c r="I772" s="57"/>
      <c r="J772" s="57"/>
      <c r="K772" s="57"/>
      <c r="L772" s="57"/>
      <c r="M772" s="57"/>
      <c r="N772" s="57"/>
      <c r="O772" s="57"/>
      <c r="P772" s="57"/>
      <c r="Q772" s="57"/>
      <c r="R772" s="57"/>
      <c r="S772" s="57"/>
      <c r="T772" s="57"/>
      <c r="U772" s="57"/>
      <c r="V772" s="57"/>
      <c r="W772" s="57"/>
      <c r="X772" s="57"/>
      <c r="Y772" s="57"/>
      <c r="Z772" s="57"/>
      <c r="AA772" s="57"/>
      <c r="AB772" s="57"/>
      <c r="AC772" s="57"/>
      <c r="AD772" s="57"/>
    </row>
    <row r="773" spans="1:30" ht="13.5" thickBot="1" x14ac:dyDescent="0.25">
      <c r="A773" s="57"/>
      <c r="B773" s="180" t="s">
        <v>13378</v>
      </c>
      <c r="C773" s="180" t="s">
        <v>13829</v>
      </c>
      <c r="D773" s="181" t="s">
        <v>15300</v>
      </c>
      <c r="E773" s="181" t="s">
        <v>14107</v>
      </c>
      <c r="F773" s="180" t="s">
        <v>14413</v>
      </c>
      <c r="G773" s="181" t="s">
        <v>15301</v>
      </c>
      <c r="H773" s="180" t="s">
        <v>15302</v>
      </c>
      <c r="I773" s="57"/>
      <c r="J773" s="57"/>
      <c r="K773" s="57"/>
      <c r="L773" s="57"/>
      <c r="M773" s="57"/>
      <c r="N773" s="57"/>
      <c r="O773" s="57"/>
      <c r="P773" s="57"/>
      <c r="Q773" s="57"/>
      <c r="R773" s="57"/>
      <c r="S773" s="57"/>
      <c r="T773" s="57"/>
      <c r="U773" s="57"/>
      <c r="V773" s="57"/>
      <c r="W773" s="57"/>
      <c r="X773" s="57"/>
      <c r="Y773" s="57"/>
      <c r="Z773" s="57"/>
      <c r="AA773" s="57"/>
      <c r="AB773" s="57"/>
      <c r="AC773" s="57"/>
      <c r="AD773" s="57"/>
    </row>
    <row r="774" spans="1:30" ht="13.5" thickBot="1" x14ac:dyDescent="0.25">
      <c r="A774" s="57"/>
      <c r="B774" s="180" t="s">
        <v>13384</v>
      </c>
      <c r="C774" s="180" t="s">
        <v>14399</v>
      </c>
      <c r="D774" s="180" t="s">
        <v>15303</v>
      </c>
      <c r="E774" s="180" t="s">
        <v>15304</v>
      </c>
      <c r="F774" s="180" t="s">
        <v>14451</v>
      </c>
      <c r="G774" s="180" t="s">
        <v>14394</v>
      </c>
      <c r="H774" s="181" t="s">
        <v>14414</v>
      </c>
      <c r="I774" s="57"/>
      <c r="J774" s="57"/>
      <c r="K774" s="57"/>
      <c r="L774" s="57"/>
      <c r="M774" s="57"/>
      <c r="N774" s="57"/>
      <c r="O774" s="57"/>
      <c r="P774" s="57"/>
      <c r="Q774" s="57"/>
      <c r="R774" s="57"/>
      <c r="S774" s="57"/>
      <c r="T774" s="57"/>
      <c r="U774" s="57"/>
      <c r="V774" s="57"/>
      <c r="W774" s="57"/>
      <c r="X774" s="57"/>
      <c r="Y774" s="57"/>
      <c r="Z774" s="57"/>
      <c r="AA774" s="57"/>
      <c r="AB774" s="57"/>
      <c r="AC774" s="57"/>
      <c r="AD774" s="57"/>
    </row>
    <row r="775" spans="1:30" ht="13.5" thickBot="1" x14ac:dyDescent="0.25">
      <c r="A775" s="57"/>
      <c r="B775" s="180" t="s">
        <v>13391</v>
      </c>
      <c r="C775" s="180" t="s">
        <v>14433</v>
      </c>
      <c r="D775" s="180" t="s">
        <v>14269</v>
      </c>
      <c r="E775" s="180" t="s">
        <v>14544</v>
      </c>
      <c r="F775" s="180" t="s">
        <v>15305</v>
      </c>
      <c r="G775" s="180" t="s">
        <v>14398</v>
      </c>
      <c r="H775" s="180" t="s">
        <v>13681</v>
      </c>
      <c r="I775" s="57"/>
      <c r="J775" s="57"/>
      <c r="K775" s="57"/>
      <c r="L775" s="57"/>
      <c r="M775" s="57"/>
      <c r="N775" s="57"/>
      <c r="O775" s="57"/>
      <c r="P775" s="57"/>
      <c r="Q775" s="57"/>
      <c r="R775" s="57"/>
      <c r="S775" s="57"/>
      <c r="T775" s="57"/>
      <c r="U775" s="57"/>
      <c r="V775" s="57"/>
      <c r="W775" s="57"/>
      <c r="X775" s="57"/>
      <c r="Y775" s="57"/>
      <c r="Z775" s="57"/>
      <c r="AA775" s="57"/>
      <c r="AB775" s="57"/>
      <c r="AC775" s="57"/>
      <c r="AD775" s="57"/>
    </row>
    <row r="776" spans="1:30" ht="13.5" thickBot="1" x14ac:dyDescent="0.25">
      <c r="A776" s="57"/>
      <c r="B776" s="180" t="s">
        <v>13397</v>
      </c>
      <c r="C776" s="180" t="s">
        <v>14450</v>
      </c>
      <c r="D776" s="180" t="s">
        <v>15306</v>
      </c>
      <c r="E776" s="180" t="s">
        <v>13465</v>
      </c>
      <c r="F776" s="180" t="s">
        <v>15304</v>
      </c>
      <c r="G776" s="180" t="s">
        <v>13794</v>
      </c>
      <c r="H776" s="180" t="s">
        <v>14413</v>
      </c>
      <c r="I776" s="57"/>
      <c r="J776" s="57"/>
      <c r="K776" s="57"/>
      <c r="L776" s="57"/>
      <c r="M776" s="57"/>
      <c r="N776" s="57"/>
      <c r="O776" s="57"/>
      <c r="P776" s="57"/>
      <c r="Q776" s="57"/>
      <c r="R776" s="57"/>
      <c r="S776" s="57"/>
      <c r="T776" s="57"/>
      <c r="U776" s="57"/>
      <c r="V776" s="57"/>
      <c r="W776" s="57"/>
      <c r="X776" s="57"/>
      <c r="Y776" s="57"/>
      <c r="Z776" s="57"/>
      <c r="AA776" s="57"/>
      <c r="AB776" s="57"/>
      <c r="AC776" s="57"/>
      <c r="AD776" s="57"/>
    </row>
    <row r="777" spans="1:30" ht="13.5" thickBot="1" x14ac:dyDescent="0.25">
      <c r="A777" s="57"/>
      <c r="B777" s="180" t="s">
        <v>13403</v>
      </c>
      <c r="C777" s="180" t="s">
        <v>13635</v>
      </c>
      <c r="D777" s="180" t="s">
        <v>13611</v>
      </c>
      <c r="E777" s="180" t="s">
        <v>13528</v>
      </c>
      <c r="F777" s="180" t="s">
        <v>13485</v>
      </c>
      <c r="G777" s="214" t="s">
        <v>13543</v>
      </c>
      <c r="H777" s="214" t="s">
        <v>14549</v>
      </c>
      <c r="I777" s="57"/>
      <c r="J777" s="57"/>
      <c r="K777" s="57"/>
      <c r="L777" s="57"/>
      <c r="M777" s="57"/>
      <c r="N777" s="57"/>
      <c r="O777" s="57"/>
      <c r="P777" s="57"/>
      <c r="Q777" s="57"/>
      <c r="R777" s="57"/>
      <c r="S777" s="57"/>
      <c r="T777" s="57"/>
      <c r="U777" s="57"/>
      <c r="V777" s="57"/>
      <c r="W777" s="57"/>
      <c r="X777" s="57"/>
      <c r="Y777" s="57"/>
      <c r="Z777" s="57"/>
      <c r="AA777" s="57"/>
      <c r="AB777" s="57"/>
      <c r="AC777" s="57"/>
      <c r="AD777" s="57"/>
    </row>
    <row r="778" spans="1:30" ht="13.5" thickBot="1" x14ac:dyDescent="0.25">
      <c r="A778" s="57"/>
      <c r="B778" s="180" t="s">
        <v>13408</v>
      </c>
      <c r="C778" s="180" t="s">
        <v>15307</v>
      </c>
      <c r="D778" s="180" t="s">
        <v>13821</v>
      </c>
      <c r="E778" s="180" t="s">
        <v>14450</v>
      </c>
      <c r="F778" s="180" t="s">
        <v>13876</v>
      </c>
      <c r="G778" s="180" t="s">
        <v>13811</v>
      </c>
      <c r="H778" s="180" t="s">
        <v>14398</v>
      </c>
      <c r="I778" s="57"/>
      <c r="J778" s="57"/>
      <c r="K778" s="57"/>
      <c r="L778" s="57"/>
      <c r="M778" s="57"/>
      <c r="N778" s="57"/>
      <c r="O778" s="57"/>
      <c r="P778" s="57"/>
      <c r="Q778" s="57"/>
      <c r="R778" s="57"/>
      <c r="S778" s="57"/>
      <c r="T778" s="57"/>
      <c r="U778" s="57"/>
      <c r="V778" s="57"/>
      <c r="W778" s="57"/>
      <c r="X778" s="57"/>
      <c r="Y778" s="57"/>
      <c r="Z778" s="57"/>
      <c r="AA778" s="57"/>
      <c r="AB778" s="57"/>
      <c r="AC778" s="57"/>
      <c r="AD778" s="57"/>
    </row>
    <row r="779" spans="1:30" ht="13.5" thickBot="1" x14ac:dyDescent="0.25">
      <c r="A779" s="57"/>
      <c r="B779" s="180" t="s">
        <v>13413</v>
      </c>
      <c r="C779" s="181" t="s">
        <v>15308</v>
      </c>
      <c r="D779" s="180" t="s">
        <v>13879</v>
      </c>
      <c r="E779" s="180" t="s">
        <v>15309</v>
      </c>
      <c r="F779" s="180" t="s">
        <v>14544</v>
      </c>
      <c r="G779" s="180" t="s">
        <v>14506</v>
      </c>
      <c r="H779" s="180" t="s">
        <v>14381</v>
      </c>
      <c r="I779" s="57"/>
      <c r="J779" s="57"/>
      <c r="K779" s="57"/>
      <c r="L779" s="57"/>
      <c r="M779" s="57"/>
      <c r="N779" s="57"/>
      <c r="O779" s="57"/>
      <c r="P779" s="57"/>
      <c r="Q779" s="57"/>
      <c r="R779" s="57"/>
      <c r="S779" s="57"/>
      <c r="T779" s="57"/>
      <c r="U779" s="57"/>
      <c r="V779" s="57"/>
      <c r="W779" s="57"/>
      <c r="X779" s="57"/>
      <c r="Y779" s="57"/>
      <c r="Z779" s="57"/>
      <c r="AA779" s="57"/>
      <c r="AB779" s="57"/>
      <c r="AC779" s="57"/>
      <c r="AD779" s="57"/>
    </row>
    <row r="780" spans="1:30" ht="13.5" thickBot="1" x14ac:dyDescent="0.25">
      <c r="A780" s="57"/>
      <c r="B780" s="180" t="s">
        <v>13419</v>
      </c>
      <c r="C780" s="180" t="s">
        <v>14931</v>
      </c>
      <c r="D780" s="180" t="s">
        <v>14419</v>
      </c>
      <c r="E780" s="180" t="s">
        <v>13550</v>
      </c>
      <c r="F780" s="181" t="s">
        <v>14419</v>
      </c>
      <c r="G780" s="180" t="s">
        <v>15303</v>
      </c>
      <c r="H780" s="180" t="s">
        <v>15302</v>
      </c>
      <c r="I780" s="57"/>
      <c r="J780" s="57"/>
      <c r="K780" s="57"/>
      <c r="L780" s="57"/>
      <c r="M780" s="57"/>
      <c r="N780" s="57"/>
      <c r="O780" s="57"/>
      <c r="P780" s="57"/>
      <c r="Q780" s="57"/>
      <c r="R780" s="57"/>
      <c r="S780" s="57"/>
      <c r="T780" s="57"/>
      <c r="U780" s="57"/>
      <c r="V780" s="57"/>
      <c r="W780" s="57"/>
      <c r="X780" s="57"/>
      <c r="Y780" s="57"/>
      <c r="Z780" s="57"/>
      <c r="AA780" s="57"/>
      <c r="AB780" s="57"/>
      <c r="AC780" s="57"/>
      <c r="AD780" s="57"/>
    </row>
    <row r="781" spans="1:30" ht="13.5" thickBot="1" x14ac:dyDescent="0.25">
      <c r="A781" s="57"/>
      <c r="B781" s="178" t="s">
        <v>13517</v>
      </c>
      <c r="C781" s="178" t="s">
        <v>13765</v>
      </c>
      <c r="D781" s="178" t="s">
        <v>13796</v>
      </c>
      <c r="E781" s="178" t="s">
        <v>15310</v>
      </c>
      <c r="F781" s="178" t="s">
        <v>13816</v>
      </c>
      <c r="G781" s="178" t="s">
        <v>13528</v>
      </c>
      <c r="H781" s="178" t="s">
        <v>13640</v>
      </c>
      <c r="I781" s="57"/>
      <c r="J781" s="57"/>
      <c r="K781" s="57"/>
      <c r="L781" s="57"/>
      <c r="M781" s="57"/>
      <c r="N781" s="57"/>
      <c r="O781" s="57"/>
      <c r="P781" s="57"/>
      <c r="Q781" s="57"/>
      <c r="R781" s="57"/>
      <c r="S781" s="57"/>
      <c r="T781" s="57"/>
      <c r="U781" s="57"/>
      <c r="V781" s="57"/>
      <c r="W781" s="57"/>
      <c r="X781" s="57"/>
      <c r="Y781" s="57"/>
      <c r="Z781" s="57"/>
      <c r="AA781" s="57"/>
      <c r="AB781" s="57"/>
      <c r="AC781" s="57"/>
      <c r="AD781" s="57"/>
    </row>
    <row r="782" spans="1:30" ht="13.5" thickBot="1" x14ac:dyDescent="0.25">
      <c r="A782" s="57"/>
      <c r="B782" s="178" t="s">
        <v>13432</v>
      </c>
      <c r="C782" s="178" t="s">
        <v>15311</v>
      </c>
      <c r="D782" s="178" t="s">
        <v>14343</v>
      </c>
      <c r="E782" s="178" t="s">
        <v>14400</v>
      </c>
      <c r="F782" s="178" t="s">
        <v>15312</v>
      </c>
      <c r="G782" s="178" t="s">
        <v>13884</v>
      </c>
      <c r="H782" s="178" t="s">
        <v>13883</v>
      </c>
      <c r="I782" s="57"/>
      <c r="J782" s="57"/>
      <c r="K782" s="57"/>
      <c r="L782" s="57"/>
      <c r="M782" s="57"/>
      <c r="N782" s="57"/>
      <c r="O782" s="57"/>
      <c r="P782" s="57"/>
      <c r="Q782" s="57"/>
      <c r="R782" s="57"/>
      <c r="S782" s="57"/>
      <c r="T782" s="57"/>
      <c r="U782" s="57"/>
      <c r="V782" s="57"/>
      <c r="W782" s="57"/>
      <c r="X782" s="57"/>
      <c r="Y782" s="57"/>
      <c r="Z782" s="57"/>
      <c r="AA782" s="57"/>
      <c r="AB782" s="57"/>
      <c r="AC782" s="57"/>
      <c r="AD782" s="57"/>
    </row>
    <row r="783" spans="1:30" ht="13.5" thickBot="1" x14ac:dyDescent="0.25">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c r="AA783" s="57"/>
      <c r="AB783" s="57"/>
      <c r="AC783" s="57"/>
      <c r="AD783" s="57"/>
    </row>
    <row r="784" spans="1:30" ht="13.5" thickBot="1" x14ac:dyDescent="0.25">
      <c r="A784" s="57"/>
      <c r="B784" s="169" t="s">
        <v>15313</v>
      </c>
      <c r="C784" s="88"/>
      <c r="D784" s="88"/>
      <c r="E784" s="88"/>
      <c r="F784" s="88"/>
      <c r="G784" s="88"/>
      <c r="H784" s="88"/>
      <c r="I784" s="57"/>
      <c r="J784" s="57"/>
      <c r="K784" s="57"/>
      <c r="L784" s="57"/>
      <c r="M784" s="57"/>
      <c r="N784" s="57"/>
      <c r="O784" s="57"/>
      <c r="P784" s="57"/>
      <c r="Q784" s="57"/>
      <c r="R784" s="57"/>
      <c r="S784" s="57"/>
      <c r="T784" s="57"/>
      <c r="U784" s="57"/>
      <c r="V784" s="57"/>
      <c r="W784" s="57"/>
      <c r="X784" s="57"/>
      <c r="Y784" s="57"/>
      <c r="Z784" s="57"/>
      <c r="AA784" s="57"/>
      <c r="AB784" s="57"/>
      <c r="AC784" s="57"/>
      <c r="AD784" s="57"/>
    </row>
    <row r="785" spans="1:30" ht="13.5" thickBot="1" x14ac:dyDescent="0.25">
      <c r="A785" s="57"/>
      <c r="B785" s="178" t="s">
        <v>13368</v>
      </c>
      <c r="C785" s="178" t="s">
        <v>15314</v>
      </c>
      <c r="D785" s="178" t="s">
        <v>15315</v>
      </c>
      <c r="E785" s="178" t="s">
        <v>14336</v>
      </c>
      <c r="F785" s="178" t="s">
        <v>15316</v>
      </c>
      <c r="G785" s="178" t="s">
        <v>15317</v>
      </c>
      <c r="H785" s="178" t="s">
        <v>13015</v>
      </c>
      <c r="I785" s="57"/>
      <c r="J785" s="57"/>
      <c r="K785" s="57"/>
      <c r="L785" s="57"/>
      <c r="M785" s="57"/>
      <c r="N785" s="57"/>
      <c r="O785" s="57"/>
      <c r="P785" s="57"/>
      <c r="Q785" s="57"/>
      <c r="R785" s="57"/>
      <c r="S785" s="57"/>
      <c r="T785" s="57"/>
      <c r="U785" s="57"/>
      <c r="V785" s="57"/>
      <c r="W785" s="57"/>
      <c r="X785" s="57"/>
      <c r="Y785" s="57"/>
      <c r="Z785" s="57"/>
      <c r="AA785" s="57"/>
      <c r="AB785" s="57"/>
      <c r="AC785" s="57"/>
      <c r="AD785" s="57"/>
    </row>
    <row r="786" spans="1:30" ht="26.25" thickBot="1" x14ac:dyDescent="0.25">
      <c r="A786" s="57"/>
      <c r="B786" s="180" t="s">
        <v>14141</v>
      </c>
      <c r="C786" s="181" t="s">
        <v>13616</v>
      </c>
      <c r="D786" s="180" t="s">
        <v>14142</v>
      </c>
      <c r="E786" s="214" t="s">
        <v>13700</v>
      </c>
      <c r="F786" s="180" t="s">
        <v>13944</v>
      </c>
      <c r="G786" s="180" t="s">
        <v>13373</v>
      </c>
      <c r="H786" s="180" t="s">
        <v>13446</v>
      </c>
      <c r="I786" s="57"/>
      <c r="J786" s="57"/>
      <c r="K786" s="57"/>
      <c r="L786" s="57"/>
      <c r="M786" s="57"/>
      <c r="N786" s="57"/>
      <c r="O786" s="57"/>
      <c r="P786" s="57"/>
      <c r="Q786" s="57"/>
      <c r="R786" s="57"/>
      <c r="S786" s="57"/>
      <c r="T786" s="57"/>
      <c r="U786" s="57"/>
      <c r="V786" s="57"/>
      <c r="W786" s="57"/>
      <c r="X786" s="57"/>
      <c r="Y786" s="57"/>
      <c r="Z786" s="57"/>
      <c r="AA786" s="57"/>
      <c r="AB786" s="57"/>
      <c r="AC786" s="57"/>
      <c r="AD786" s="57"/>
    </row>
    <row r="787" spans="1:30" ht="13.5" thickBot="1" x14ac:dyDescent="0.25">
      <c r="A787" s="57"/>
      <c r="B787" s="180" t="s">
        <v>13378</v>
      </c>
      <c r="C787" s="180" t="s">
        <v>13829</v>
      </c>
      <c r="D787" s="214" t="s">
        <v>15318</v>
      </c>
      <c r="E787" s="181" t="s">
        <v>14419</v>
      </c>
      <c r="F787" s="180" t="s">
        <v>15318</v>
      </c>
      <c r="G787" s="180" t="s">
        <v>14441</v>
      </c>
      <c r="H787" s="180" t="s">
        <v>15304</v>
      </c>
      <c r="I787" s="57"/>
      <c r="J787" s="57"/>
      <c r="K787" s="57"/>
      <c r="L787" s="57"/>
      <c r="M787" s="57"/>
      <c r="N787" s="57"/>
      <c r="O787" s="57"/>
      <c r="P787" s="57"/>
      <c r="Q787" s="57"/>
      <c r="R787" s="57"/>
      <c r="S787" s="57"/>
      <c r="T787" s="57"/>
      <c r="U787" s="57"/>
      <c r="V787" s="57"/>
      <c r="W787" s="57"/>
      <c r="X787" s="57"/>
      <c r="Y787" s="57"/>
      <c r="Z787" s="57"/>
      <c r="AA787" s="57"/>
      <c r="AB787" s="57"/>
      <c r="AC787" s="57"/>
      <c r="AD787" s="57"/>
    </row>
    <row r="788" spans="1:30" ht="13.5" thickBot="1" x14ac:dyDescent="0.25">
      <c r="A788" s="57"/>
      <c r="B788" s="180" t="s">
        <v>13384</v>
      </c>
      <c r="C788" s="180" t="s">
        <v>14399</v>
      </c>
      <c r="D788" s="180" t="s">
        <v>15310</v>
      </c>
      <c r="E788" s="181" t="s">
        <v>15319</v>
      </c>
      <c r="F788" s="214" t="s">
        <v>14508</v>
      </c>
      <c r="G788" s="180" t="s">
        <v>15320</v>
      </c>
      <c r="H788" s="180" t="s">
        <v>14108</v>
      </c>
      <c r="I788" s="57"/>
      <c r="J788" s="57"/>
      <c r="K788" s="57"/>
      <c r="L788" s="57"/>
      <c r="M788" s="57"/>
      <c r="N788" s="57"/>
      <c r="O788" s="57"/>
      <c r="P788" s="57"/>
      <c r="Q788" s="57"/>
      <c r="R788" s="57"/>
      <c r="S788" s="57"/>
      <c r="T788" s="57"/>
      <c r="U788" s="57"/>
      <c r="V788" s="57"/>
      <c r="W788" s="57"/>
      <c r="X788" s="57"/>
      <c r="Y788" s="57"/>
      <c r="Z788" s="57"/>
      <c r="AA788" s="57"/>
      <c r="AB788" s="57"/>
      <c r="AC788" s="57"/>
      <c r="AD788" s="57"/>
    </row>
    <row r="789" spans="1:30" ht="13.5" thickBot="1" x14ac:dyDescent="0.25">
      <c r="A789" s="57"/>
      <c r="B789" s="180" t="s">
        <v>13391</v>
      </c>
      <c r="C789" s="181" t="s">
        <v>14433</v>
      </c>
      <c r="D789" s="180" t="s">
        <v>15321</v>
      </c>
      <c r="E789" s="214" t="s">
        <v>14346</v>
      </c>
      <c r="F789" s="180" t="s">
        <v>13954</v>
      </c>
      <c r="G789" s="180" t="s">
        <v>13854</v>
      </c>
      <c r="H789" s="180" t="s">
        <v>15322</v>
      </c>
      <c r="I789" s="57"/>
      <c r="J789" s="57"/>
      <c r="K789" s="57"/>
      <c r="L789" s="57"/>
      <c r="M789" s="57"/>
      <c r="N789" s="57"/>
      <c r="O789" s="57"/>
      <c r="P789" s="57"/>
      <c r="Q789" s="57"/>
      <c r="R789" s="57"/>
      <c r="S789" s="57"/>
      <c r="T789" s="57"/>
      <c r="U789" s="57"/>
      <c r="V789" s="57"/>
      <c r="W789" s="57"/>
      <c r="X789" s="57"/>
      <c r="Y789" s="57"/>
      <c r="Z789" s="57"/>
      <c r="AA789" s="57"/>
      <c r="AB789" s="57"/>
      <c r="AC789" s="57"/>
      <c r="AD789" s="57"/>
    </row>
    <row r="790" spans="1:30" ht="13.5" thickBot="1" x14ac:dyDescent="0.25">
      <c r="A790" s="57"/>
      <c r="B790" s="180" t="s">
        <v>13397</v>
      </c>
      <c r="C790" s="181" t="s">
        <v>14450</v>
      </c>
      <c r="D790" s="180" t="s">
        <v>14452</v>
      </c>
      <c r="E790" s="180" t="s">
        <v>13805</v>
      </c>
      <c r="F790" s="180" t="s">
        <v>13649</v>
      </c>
      <c r="G790" s="180" t="s">
        <v>15019</v>
      </c>
      <c r="H790" s="214" t="s">
        <v>15323</v>
      </c>
      <c r="I790" s="57"/>
      <c r="J790" s="57"/>
      <c r="K790" s="57"/>
      <c r="L790" s="57"/>
      <c r="M790" s="57"/>
      <c r="N790" s="57"/>
      <c r="O790" s="57"/>
      <c r="P790" s="57"/>
      <c r="Q790" s="57"/>
      <c r="R790" s="57"/>
      <c r="S790" s="57"/>
      <c r="T790" s="57"/>
      <c r="U790" s="57"/>
      <c r="V790" s="57"/>
      <c r="W790" s="57"/>
      <c r="X790" s="57"/>
      <c r="Y790" s="57"/>
      <c r="Z790" s="57"/>
      <c r="AA790" s="57"/>
      <c r="AB790" s="57"/>
      <c r="AC790" s="57"/>
      <c r="AD790" s="57"/>
    </row>
    <row r="791" spans="1:30" ht="13.5" thickBot="1" x14ac:dyDescent="0.25">
      <c r="A791" s="57"/>
      <c r="B791" s="180" t="s">
        <v>13403</v>
      </c>
      <c r="C791" s="180" t="s">
        <v>13635</v>
      </c>
      <c r="D791" s="214" t="s">
        <v>15324</v>
      </c>
      <c r="E791" s="181" t="s">
        <v>13663</v>
      </c>
      <c r="F791" s="180" t="s">
        <v>13800</v>
      </c>
      <c r="G791" s="180" t="s">
        <v>13840</v>
      </c>
      <c r="H791" s="180" t="s">
        <v>13814</v>
      </c>
      <c r="I791" s="57"/>
      <c r="J791" s="57"/>
      <c r="K791" s="57"/>
      <c r="L791" s="57"/>
      <c r="M791" s="57"/>
      <c r="N791" s="57"/>
      <c r="O791" s="57"/>
      <c r="P791" s="57"/>
      <c r="Q791" s="57"/>
      <c r="R791" s="57"/>
      <c r="S791" s="57"/>
      <c r="T791" s="57"/>
      <c r="U791" s="57"/>
      <c r="V791" s="57"/>
      <c r="W791" s="57"/>
      <c r="X791" s="57"/>
      <c r="Y791" s="57"/>
      <c r="Z791" s="57"/>
      <c r="AA791" s="57"/>
      <c r="AB791" s="57"/>
      <c r="AC791" s="57"/>
      <c r="AD791" s="57"/>
    </row>
    <row r="792" spans="1:30" ht="13.5" thickBot="1" x14ac:dyDescent="0.25">
      <c r="A792" s="57"/>
      <c r="B792" s="180" t="s">
        <v>13408</v>
      </c>
      <c r="C792" s="181" t="s">
        <v>15307</v>
      </c>
      <c r="D792" s="180" t="s">
        <v>14452</v>
      </c>
      <c r="E792" s="180" t="s">
        <v>13586</v>
      </c>
      <c r="F792" s="180" t="s">
        <v>13886</v>
      </c>
      <c r="G792" s="180" t="s">
        <v>15325</v>
      </c>
      <c r="H792" s="214" t="s">
        <v>15326</v>
      </c>
      <c r="I792" s="57"/>
      <c r="J792" s="57"/>
      <c r="K792" s="57"/>
      <c r="L792" s="57"/>
      <c r="M792" s="57"/>
      <c r="N792" s="57"/>
      <c r="O792" s="57"/>
      <c r="P792" s="57"/>
      <c r="Q792" s="57"/>
      <c r="R792" s="57"/>
      <c r="S792" s="57"/>
      <c r="T792" s="57"/>
      <c r="U792" s="57"/>
      <c r="V792" s="57"/>
      <c r="W792" s="57"/>
      <c r="X792" s="57"/>
      <c r="Y792" s="57"/>
      <c r="Z792" s="57"/>
      <c r="AA792" s="57"/>
      <c r="AB792" s="57"/>
      <c r="AC792" s="57"/>
      <c r="AD792" s="57"/>
    </row>
    <row r="793" spans="1:30" ht="13.5" thickBot="1" x14ac:dyDescent="0.25">
      <c r="A793" s="57"/>
      <c r="B793" s="180" t="s">
        <v>13413</v>
      </c>
      <c r="C793" s="181" t="s">
        <v>15308</v>
      </c>
      <c r="D793" s="180" t="s">
        <v>13780</v>
      </c>
      <c r="E793" s="180" t="s">
        <v>13815</v>
      </c>
      <c r="F793" s="214" t="s">
        <v>15327</v>
      </c>
      <c r="G793" s="180" t="s">
        <v>14422</v>
      </c>
      <c r="H793" s="180" t="s">
        <v>14397</v>
      </c>
      <c r="I793" s="57"/>
      <c r="J793" s="57"/>
      <c r="K793" s="57"/>
      <c r="L793" s="57"/>
      <c r="M793" s="57"/>
      <c r="N793" s="57"/>
      <c r="O793" s="57"/>
      <c r="P793" s="57"/>
      <c r="Q793" s="57"/>
      <c r="R793" s="57"/>
      <c r="S793" s="57"/>
      <c r="T793" s="57"/>
      <c r="U793" s="57"/>
      <c r="V793" s="57"/>
      <c r="W793" s="57"/>
      <c r="X793" s="57"/>
      <c r="Y793" s="57"/>
      <c r="Z793" s="57"/>
      <c r="AA793" s="57"/>
      <c r="AB793" s="57"/>
      <c r="AC793" s="57"/>
      <c r="AD793" s="57"/>
    </row>
    <row r="794" spans="1:30" ht="13.5" thickBot="1" x14ac:dyDescent="0.25">
      <c r="A794" s="57"/>
      <c r="B794" s="180" t="s">
        <v>13419</v>
      </c>
      <c r="C794" s="181" t="s">
        <v>14931</v>
      </c>
      <c r="D794" s="180" t="s">
        <v>13799</v>
      </c>
      <c r="E794" s="180" t="s">
        <v>14344</v>
      </c>
      <c r="F794" s="214" t="s">
        <v>14398</v>
      </c>
      <c r="G794" s="180" t="s">
        <v>13497</v>
      </c>
      <c r="H794" s="180" t="s">
        <v>13451</v>
      </c>
      <c r="I794" s="57"/>
      <c r="J794" s="57"/>
      <c r="K794" s="57"/>
      <c r="L794" s="57"/>
      <c r="M794" s="57"/>
      <c r="N794" s="57"/>
      <c r="O794" s="57"/>
      <c r="P794" s="57"/>
      <c r="Q794" s="57"/>
      <c r="R794" s="57"/>
      <c r="S794" s="57"/>
      <c r="T794" s="57"/>
      <c r="U794" s="57"/>
      <c r="V794" s="57"/>
      <c r="W794" s="57"/>
      <c r="X794" s="57"/>
      <c r="Y794" s="57"/>
      <c r="Z794" s="57"/>
      <c r="AA794" s="57"/>
      <c r="AB794" s="57"/>
      <c r="AC794" s="57"/>
      <c r="AD794" s="57"/>
    </row>
    <row r="795" spans="1:30" ht="13.5" thickBot="1" x14ac:dyDescent="0.25">
      <c r="A795" s="57"/>
      <c r="B795" s="178" t="s">
        <v>13517</v>
      </c>
      <c r="C795" s="182" t="s">
        <v>13765</v>
      </c>
      <c r="D795" s="217" t="s">
        <v>14373</v>
      </c>
      <c r="E795" s="178" t="s">
        <v>13583</v>
      </c>
      <c r="F795" s="178" t="s">
        <v>14941</v>
      </c>
      <c r="G795" s="178" t="s">
        <v>14322</v>
      </c>
      <c r="H795" s="178" t="s">
        <v>13398</v>
      </c>
      <c r="I795" s="57"/>
      <c r="J795" s="57"/>
      <c r="K795" s="57"/>
      <c r="L795" s="57"/>
      <c r="M795" s="57"/>
      <c r="N795" s="57"/>
      <c r="O795" s="57"/>
      <c r="P795" s="57"/>
      <c r="Q795" s="57"/>
      <c r="R795" s="57"/>
      <c r="S795" s="57"/>
      <c r="T795" s="57"/>
      <c r="U795" s="57"/>
      <c r="V795" s="57"/>
      <c r="W795" s="57"/>
      <c r="X795" s="57"/>
      <c r="Y795" s="57"/>
      <c r="Z795" s="57"/>
      <c r="AA795" s="57"/>
      <c r="AB795" s="57"/>
      <c r="AC795" s="57"/>
      <c r="AD795" s="57"/>
    </row>
    <row r="796" spans="1:30" ht="13.5" thickBot="1" x14ac:dyDescent="0.25">
      <c r="A796" s="57"/>
      <c r="B796" s="178" t="s">
        <v>13432</v>
      </c>
      <c r="C796" s="178" t="s">
        <v>15311</v>
      </c>
      <c r="D796" s="178" t="s">
        <v>14442</v>
      </c>
      <c r="E796" s="178" t="s">
        <v>13583</v>
      </c>
      <c r="F796" s="178" t="s">
        <v>14760</v>
      </c>
      <c r="G796" s="178" t="s">
        <v>15328</v>
      </c>
      <c r="H796" s="178" t="s">
        <v>13691</v>
      </c>
      <c r="I796" s="57"/>
      <c r="J796" s="57"/>
      <c r="K796" s="57"/>
      <c r="L796" s="57"/>
      <c r="M796" s="57"/>
      <c r="N796" s="57"/>
      <c r="O796" s="57"/>
      <c r="P796" s="57"/>
      <c r="Q796" s="57"/>
      <c r="R796" s="57"/>
      <c r="S796" s="57"/>
      <c r="T796" s="57"/>
      <c r="U796" s="57"/>
      <c r="V796" s="57"/>
      <c r="W796" s="57"/>
      <c r="X796" s="57"/>
      <c r="Y796" s="57"/>
      <c r="Z796" s="57"/>
      <c r="AA796" s="57"/>
      <c r="AB796" s="57"/>
      <c r="AC796" s="57"/>
      <c r="AD796" s="57"/>
    </row>
    <row r="797" spans="1:30" ht="13.5" thickBot="1" x14ac:dyDescent="0.25">
      <c r="A797" s="57"/>
      <c r="B797" s="88"/>
      <c r="C797" s="88"/>
      <c r="D797" s="88"/>
      <c r="E797" s="88"/>
      <c r="F797" s="88"/>
      <c r="G797" s="88"/>
      <c r="H797" s="88"/>
      <c r="I797" s="57"/>
      <c r="J797" s="57"/>
      <c r="K797" s="57"/>
      <c r="L797" s="57"/>
      <c r="M797" s="57"/>
      <c r="N797" s="57"/>
      <c r="O797" s="57"/>
      <c r="P797" s="57"/>
      <c r="Q797" s="57"/>
      <c r="R797" s="57"/>
      <c r="S797" s="57"/>
      <c r="T797" s="57"/>
      <c r="U797" s="57"/>
      <c r="V797" s="57"/>
      <c r="W797" s="57"/>
      <c r="X797" s="57"/>
      <c r="Y797" s="57"/>
      <c r="Z797" s="57"/>
      <c r="AA797" s="57"/>
      <c r="AB797" s="57"/>
      <c r="AC797" s="57"/>
      <c r="AD797" s="57"/>
    </row>
    <row r="798" spans="1:30" ht="13.5" thickBot="1" x14ac:dyDescent="0.25">
      <c r="A798" s="57"/>
      <c r="B798" s="169" t="s">
        <v>15329</v>
      </c>
      <c r="C798" s="88"/>
      <c r="D798" s="88"/>
      <c r="E798" s="88"/>
      <c r="F798" s="88"/>
      <c r="G798" s="88"/>
      <c r="H798" s="88"/>
      <c r="I798" s="57"/>
      <c r="J798" s="57"/>
      <c r="K798" s="57"/>
      <c r="L798" s="57"/>
      <c r="M798" s="57"/>
      <c r="N798" s="57"/>
      <c r="O798" s="57"/>
      <c r="P798" s="57"/>
      <c r="Q798" s="57"/>
      <c r="R798" s="57"/>
      <c r="S798" s="57"/>
      <c r="T798" s="57"/>
      <c r="U798" s="57"/>
      <c r="V798" s="57"/>
      <c r="W798" s="57"/>
      <c r="X798" s="57"/>
      <c r="Y798" s="57"/>
      <c r="Z798" s="57"/>
      <c r="AA798" s="57"/>
      <c r="AB798" s="57"/>
      <c r="AC798" s="57"/>
      <c r="AD798" s="57"/>
    </row>
    <row r="799" spans="1:30" ht="13.5" thickBot="1" x14ac:dyDescent="0.25">
      <c r="A799" s="57"/>
      <c r="B799" s="178" t="s">
        <v>13368</v>
      </c>
      <c r="C799" s="178" t="s">
        <v>15314</v>
      </c>
      <c r="D799" s="178" t="s">
        <v>15315</v>
      </c>
      <c r="E799" s="178" t="s">
        <v>14336</v>
      </c>
      <c r="F799" s="178" t="s">
        <v>15316</v>
      </c>
      <c r="G799" s="178" t="s">
        <v>15317</v>
      </c>
      <c r="H799" s="178" t="s">
        <v>13015</v>
      </c>
      <c r="I799" s="57"/>
      <c r="J799" s="57"/>
      <c r="K799" s="57"/>
      <c r="L799" s="57"/>
      <c r="M799" s="57"/>
      <c r="N799" s="57"/>
      <c r="O799" s="57"/>
      <c r="P799" s="57"/>
      <c r="Q799" s="57"/>
      <c r="R799" s="57"/>
      <c r="S799" s="57"/>
      <c r="T799" s="57"/>
      <c r="U799" s="57"/>
      <c r="V799" s="57"/>
      <c r="W799" s="57"/>
      <c r="X799" s="57"/>
      <c r="Y799" s="57"/>
      <c r="Z799" s="57"/>
      <c r="AA799" s="57"/>
      <c r="AB799" s="57"/>
      <c r="AC799" s="57"/>
      <c r="AD799" s="57"/>
    </row>
    <row r="800" spans="1:30" ht="26.25" thickBot="1" x14ac:dyDescent="0.25">
      <c r="A800" s="57"/>
      <c r="B800" s="180" t="s">
        <v>14141</v>
      </c>
      <c r="C800" s="181" t="s">
        <v>13875</v>
      </c>
      <c r="D800" s="180" t="s">
        <v>14928</v>
      </c>
      <c r="E800" s="180" t="s">
        <v>14446</v>
      </c>
      <c r="F800" s="180" t="s">
        <v>13770</v>
      </c>
      <c r="G800" s="180" t="s">
        <v>13847</v>
      </c>
      <c r="H800" s="214" t="s">
        <v>13450</v>
      </c>
      <c r="I800" s="57"/>
      <c r="J800" s="57"/>
      <c r="K800" s="57"/>
      <c r="L800" s="57"/>
      <c r="M800" s="57"/>
      <c r="N800" s="57"/>
      <c r="O800" s="57"/>
      <c r="P800" s="57"/>
      <c r="Q800" s="57"/>
      <c r="R800" s="57"/>
      <c r="S800" s="57"/>
      <c r="T800" s="57"/>
      <c r="U800" s="57"/>
      <c r="V800" s="57"/>
      <c r="W800" s="57"/>
      <c r="X800" s="57"/>
      <c r="Y800" s="57"/>
      <c r="Z800" s="57"/>
      <c r="AA800" s="57"/>
      <c r="AB800" s="57"/>
      <c r="AC800" s="57"/>
      <c r="AD800" s="57"/>
    </row>
    <row r="801" spans="1:30" ht="13.5" thickBot="1" x14ac:dyDescent="0.25">
      <c r="A801" s="57"/>
      <c r="B801" s="180" t="s">
        <v>13378</v>
      </c>
      <c r="C801" s="181" t="s">
        <v>15300</v>
      </c>
      <c r="D801" s="180" t="s">
        <v>14396</v>
      </c>
      <c r="E801" s="180" t="s">
        <v>13773</v>
      </c>
      <c r="F801" s="214" t="s">
        <v>14430</v>
      </c>
      <c r="G801" s="180" t="s">
        <v>13901</v>
      </c>
      <c r="H801" s="180" t="s">
        <v>15308</v>
      </c>
      <c r="I801" s="57"/>
      <c r="J801" s="57"/>
      <c r="K801" s="57"/>
      <c r="L801" s="57"/>
      <c r="M801" s="57"/>
      <c r="N801" s="57"/>
      <c r="O801" s="57"/>
      <c r="P801" s="57"/>
      <c r="Q801" s="57"/>
      <c r="R801" s="57"/>
      <c r="S801" s="57"/>
      <c r="T801" s="57"/>
      <c r="U801" s="57"/>
      <c r="V801" s="57"/>
      <c r="W801" s="57"/>
      <c r="X801" s="57"/>
      <c r="Y801" s="57"/>
      <c r="Z801" s="57"/>
      <c r="AA801" s="57"/>
      <c r="AB801" s="57"/>
      <c r="AC801" s="57"/>
      <c r="AD801" s="57"/>
    </row>
    <row r="802" spans="1:30" ht="13.5" thickBot="1" x14ac:dyDescent="0.25">
      <c r="A802" s="57"/>
      <c r="B802" s="180" t="s">
        <v>13384</v>
      </c>
      <c r="C802" s="180" t="s">
        <v>15303</v>
      </c>
      <c r="D802" s="181" t="s">
        <v>13623</v>
      </c>
      <c r="E802" s="180" t="s">
        <v>15330</v>
      </c>
      <c r="F802" s="180" t="s">
        <v>14523</v>
      </c>
      <c r="G802" s="180" t="s">
        <v>14932</v>
      </c>
      <c r="H802" s="214" t="s">
        <v>13621</v>
      </c>
      <c r="I802" s="57"/>
      <c r="J802" s="57"/>
      <c r="K802" s="57"/>
      <c r="L802" s="57"/>
      <c r="M802" s="57"/>
      <c r="N802" s="57"/>
      <c r="O802" s="57"/>
      <c r="P802" s="57"/>
      <c r="Q802" s="57"/>
      <c r="R802" s="57"/>
      <c r="S802" s="57"/>
      <c r="T802" s="57"/>
      <c r="U802" s="57"/>
      <c r="V802" s="57"/>
      <c r="W802" s="57"/>
      <c r="X802" s="57"/>
      <c r="Y802" s="57"/>
      <c r="Z802" s="57"/>
      <c r="AA802" s="57"/>
      <c r="AB802" s="57"/>
      <c r="AC802" s="57"/>
      <c r="AD802" s="57"/>
    </row>
    <row r="803" spans="1:30" ht="13.5" thickBot="1" x14ac:dyDescent="0.25">
      <c r="A803" s="57"/>
      <c r="B803" s="180" t="s">
        <v>13391</v>
      </c>
      <c r="C803" s="180" t="s">
        <v>14269</v>
      </c>
      <c r="D803" s="181" t="s">
        <v>13912</v>
      </c>
      <c r="E803" s="180" t="s">
        <v>14446</v>
      </c>
      <c r="F803" s="180" t="s">
        <v>13919</v>
      </c>
      <c r="G803" s="180" t="s">
        <v>13893</v>
      </c>
      <c r="H803" s="214" t="s">
        <v>13450</v>
      </c>
      <c r="I803" s="57"/>
      <c r="J803" s="57"/>
      <c r="K803" s="57"/>
      <c r="L803" s="57"/>
      <c r="M803" s="57"/>
      <c r="N803" s="57"/>
      <c r="O803" s="57"/>
      <c r="P803" s="57"/>
      <c r="Q803" s="57"/>
      <c r="R803" s="57"/>
      <c r="S803" s="57"/>
      <c r="T803" s="57"/>
      <c r="U803" s="57"/>
      <c r="V803" s="57"/>
      <c r="W803" s="57"/>
      <c r="X803" s="57"/>
      <c r="Y803" s="57"/>
      <c r="Z803" s="57"/>
      <c r="AA803" s="57"/>
      <c r="AB803" s="57"/>
      <c r="AC803" s="57"/>
      <c r="AD803" s="57"/>
    </row>
    <row r="804" spans="1:30" ht="13.5" thickBot="1" x14ac:dyDescent="0.25">
      <c r="A804" s="57"/>
      <c r="B804" s="180" t="s">
        <v>13397</v>
      </c>
      <c r="C804" s="180" t="s">
        <v>15306</v>
      </c>
      <c r="D804" s="180" t="s">
        <v>14434</v>
      </c>
      <c r="E804" s="181" t="s">
        <v>15311</v>
      </c>
      <c r="F804" s="180" t="s">
        <v>13453</v>
      </c>
      <c r="G804" s="180" t="s">
        <v>13398</v>
      </c>
      <c r="H804" s="214" t="s">
        <v>13866</v>
      </c>
      <c r="I804" s="57"/>
      <c r="J804" s="57"/>
      <c r="K804" s="57"/>
      <c r="L804" s="57"/>
      <c r="M804" s="57"/>
      <c r="N804" s="57"/>
      <c r="O804" s="57"/>
      <c r="P804" s="57"/>
      <c r="Q804" s="57"/>
      <c r="R804" s="57"/>
      <c r="S804" s="57"/>
      <c r="T804" s="57"/>
      <c r="U804" s="57"/>
      <c r="V804" s="57"/>
      <c r="W804" s="57"/>
      <c r="X804" s="57"/>
      <c r="Y804" s="57"/>
      <c r="Z804" s="57"/>
      <c r="AA804" s="57"/>
      <c r="AB804" s="57"/>
      <c r="AC804" s="57"/>
      <c r="AD804" s="57"/>
    </row>
    <row r="805" spans="1:30" ht="13.5" thickBot="1" x14ac:dyDescent="0.25">
      <c r="A805" s="57"/>
      <c r="B805" s="180" t="s">
        <v>13403</v>
      </c>
      <c r="C805" s="181" t="s">
        <v>13611</v>
      </c>
      <c r="D805" s="180" t="s">
        <v>13800</v>
      </c>
      <c r="E805" s="180" t="s">
        <v>13592</v>
      </c>
      <c r="F805" s="180" t="s">
        <v>14941</v>
      </c>
      <c r="G805" s="214" t="s">
        <v>14354</v>
      </c>
      <c r="H805" s="180" t="s">
        <v>14585</v>
      </c>
      <c r="I805" s="57"/>
      <c r="J805" s="57"/>
      <c r="K805" s="57"/>
      <c r="L805" s="57"/>
      <c r="M805" s="57"/>
      <c r="N805" s="57"/>
      <c r="O805" s="57"/>
      <c r="P805" s="57"/>
      <c r="Q805" s="57"/>
      <c r="R805" s="57"/>
      <c r="S805" s="57"/>
      <c r="T805" s="57"/>
      <c r="U805" s="57"/>
      <c r="V805" s="57"/>
      <c r="W805" s="57"/>
      <c r="X805" s="57"/>
      <c r="Y805" s="57"/>
      <c r="Z805" s="57"/>
      <c r="AA805" s="57"/>
      <c r="AB805" s="57"/>
      <c r="AC805" s="57"/>
      <c r="AD805" s="57"/>
    </row>
    <row r="806" spans="1:30" ht="13.5" thickBot="1" x14ac:dyDescent="0.25">
      <c r="A806" s="57"/>
      <c r="B806" s="180" t="s">
        <v>13408</v>
      </c>
      <c r="C806" s="181" t="s">
        <v>13821</v>
      </c>
      <c r="D806" s="180" t="s">
        <v>13796</v>
      </c>
      <c r="E806" s="180" t="s">
        <v>13770</v>
      </c>
      <c r="F806" s="180" t="s">
        <v>13497</v>
      </c>
      <c r="G806" s="180" t="s">
        <v>13764</v>
      </c>
      <c r="H806" s="214" t="s">
        <v>15324</v>
      </c>
      <c r="I806" s="57"/>
      <c r="J806" s="57"/>
      <c r="K806" s="57"/>
      <c r="L806" s="57"/>
      <c r="M806" s="57"/>
      <c r="N806" s="57"/>
      <c r="O806" s="57"/>
      <c r="P806" s="57"/>
      <c r="Q806" s="57"/>
      <c r="R806" s="57"/>
      <c r="S806" s="57"/>
      <c r="T806" s="57"/>
      <c r="U806" s="57"/>
      <c r="V806" s="57"/>
      <c r="W806" s="57"/>
      <c r="X806" s="57"/>
      <c r="Y806" s="57"/>
      <c r="Z806" s="57"/>
      <c r="AA806" s="57"/>
      <c r="AB806" s="57"/>
      <c r="AC806" s="57"/>
      <c r="AD806" s="57"/>
    </row>
    <row r="807" spans="1:30" ht="13.5" thickBot="1" x14ac:dyDescent="0.25">
      <c r="A807" s="57"/>
      <c r="B807" s="180" t="s">
        <v>13413</v>
      </c>
      <c r="C807" s="181" t="s">
        <v>13879</v>
      </c>
      <c r="D807" s="180" t="s">
        <v>14454</v>
      </c>
      <c r="E807" s="180" t="s">
        <v>15330</v>
      </c>
      <c r="F807" s="180" t="s">
        <v>13379</v>
      </c>
      <c r="G807" s="214" t="s">
        <v>14142</v>
      </c>
      <c r="H807" s="180" t="s">
        <v>14404</v>
      </c>
      <c r="I807" s="57"/>
      <c r="J807" s="57"/>
      <c r="K807" s="57"/>
      <c r="L807" s="57"/>
      <c r="M807" s="57"/>
      <c r="N807" s="57"/>
      <c r="O807" s="57"/>
      <c r="P807" s="57"/>
      <c r="Q807" s="57"/>
      <c r="R807" s="57"/>
      <c r="S807" s="57"/>
      <c r="T807" s="57"/>
      <c r="U807" s="57"/>
      <c r="V807" s="57"/>
      <c r="W807" s="57"/>
      <c r="X807" s="57"/>
      <c r="Y807" s="57"/>
      <c r="Z807" s="57"/>
      <c r="AA807" s="57"/>
      <c r="AB807" s="57"/>
      <c r="AC807" s="57"/>
      <c r="AD807" s="57"/>
    </row>
    <row r="808" spans="1:30" ht="13.5" thickBot="1" x14ac:dyDescent="0.25">
      <c r="A808" s="57"/>
      <c r="B808" s="180" t="s">
        <v>13419</v>
      </c>
      <c r="C808" s="181" t="s">
        <v>14419</v>
      </c>
      <c r="D808" s="180" t="s">
        <v>15331</v>
      </c>
      <c r="E808" s="180" t="s">
        <v>14396</v>
      </c>
      <c r="F808" s="180" t="s">
        <v>13616</v>
      </c>
      <c r="G808" s="180" t="s">
        <v>13870</v>
      </c>
      <c r="H808" s="214" t="s">
        <v>13811</v>
      </c>
      <c r="I808" s="57"/>
      <c r="J808" s="57"/>
      <c r="K808" s="57"/>
      <c r="L808" s="57"/>
      <c r="M808" s="57"/>
      <c r="N808" s="57"/>
      <c r="O808" s="57"/>
      <c r="P808" s="57"/>
      <c r="Q808" s="57"/>
      <c r="R808" s="57"/>
      <c r="S808" s="57"/>
      <c r="T808" s="57"/>
      <c r="U808" s="57"/>
      <c r="V808" s="57"/>
      <c r="W808" s="57"/>
      <c r="X808" s="57"/>
      <c r="Y808" s="57"/>
      <c r="Z808" s="57"/>
      <c r="AA808" s="57"/>
      <c r="AB808" s="57"/>
      <c r="AC808" s="57"/>
      <c r="AD808" s="57"/>
    </row>
    <row r="809" spans="1:30" ht="13.5" thickBot="1" x14ac:dyDescent="0.25">
      <c r="A809" s="57"/>
      <c r="B809" s="178" t="s">
        <v>13517</v>
      </c>
      <c r="C809" s="182" t="s">
        <v>13796</v>
      </c>
      <c r="D809" s="178" t="s">
        <v>13901</v>
      </c>
      <c r="E809" s="178" t="s">
        <v>15332</v>
      </c>
      <c r="F809" s="178" t="s">
        <v>13496</v>
      </c>
      <c r="G809" s="178" t="s">
        <v>13669</v>
      </c>
      <c r="H809" s="217" t="s">
        <v>14933</v>
      </c>
      <c r="I809" s="57"/>
      <c r="J809" s="57"/>
      <c r="K809" s="57"/>
      <c r="L809" s="57"/>
      <c r="M809" s="57"/>
      <c r="N809" s="57"/>
      <c r="O809" s="57"/>
      <c r="P809" s="57"/>
      <c r="Q809" s="57"/>
      <c r="R809" s="57"/>
      <c r="S809" s="57"/>
      <c r="T809" s="57"/>
      <c r="U809" s="57"/>
      <c r="V809" s="57"/>
      <c r="W809" s="57"/>
      <c r="X809" s="57"/>
      <c r="Y809" s="57"/>
      <c r="Z809" s="57"/>
      <c r="AA809" s="57"/>
      <c r="AB809" s="57"/>
      <c r="AC809" s="57"/>
      <c r="AD809" s="57"/>
    </row>
    <row r="810" spans="1:30" ht="13.5" thickBot="1" x14ac:dyDescent="0.25">
      <c r="A810" s="57"/>
      <c r="B810" s="178" t="s">
        <v>13432</v>
      </c>
      <c r="C810" s="178" t="s">
        <v>14343</v>
      </c>
      <c r="D810" s="178" t="s">
        <v>13884</v>
      </c>
      <c r="E810" s="178" t="s">
        <v>14415</v>
      </c>
      <c r="F810" s="178" t="s">
        <v>13757</v>
      </c>
      <c r="G810" s="178" t="s">
        <v>13645</v>
      </c>
      <c r="H810" s="178" t="s">
        <v>14517</v>
      </c>
      <c r="I810" s="57"/>
      <c r="J810" s="57"/>
      <c r="K810" s="57"/>
      <c r="L810" s="57"/>
      <c r="M810" s="57"/>
      <c r="N810" s="57"/>
      <c r="O810" s="57"/>
      <c r="P810" s="57"/>
      <c r="Q810" s="57"/>
      <c r="R810" s="57"/>
      <c r="S810" s="57"/>
      <c r="T810" s="57"/>
      <c r="U810" s="57"/>
      <c r="V810" s="57"/>
      <c r="W810" s="57"/>
      <c r="X810" s="57"/>
      <c r="Y810" s="57"/>
      <c r="Z810" s="57"/>
      <c r="AA810" s="57"/>
      <c r="AB810" s="57"/>
      <c r="AC810" s="57"/>
      <c r="AD810" s="57"/>
    </row>
    <row r="811" spans="1:30" ht="13.5" thickBot="1" x14ac:dyDescent="0.25">
      <c r="A811" s="57"/>
      <c r="B811" s="88"/>
      <c r="C811" s="95"/>
      <c r="D811" s="88"/>
      <c r="E811" s="95"/>
      <c r="F811" s="95"/>
      <c r="G811" s="95"/>
      <c r="H811" s="95"/>
      <c r="I811" s="57"/>
      <c r="J811" s="57"/>
      <c r="K811" s="57"/>
      <c r="L811" s="57"/>
      <c r="M811" s="57"/>
      <c r="N811" s="57"/>
      <c r="O811" s="57"/>
      <c r="P811" s="57"/>
      <c r="Q811" s="57"/>
      <c r="R811" s="57"/>
      <c r="S811" s="57"/>
      <c r="T811" s="57"/>
      <c r="U811" s="57"/>
      <c r="V811" s="57"/>
      <c r="W811" s="57"/>
      <c r="X811" s="57"/>
      <c r="Y811" s="57"/>
      <c r="Z811" s="57"/>
      <c r="AA811" s="57"/>
      <c r="AB811" s="57"/>
      <c r="AC811" s="57"/>
      <c r="AD811" s="57"/>
    </row>
    <row r="812" spans="1:30" ht="13.5" thickBot="1" x14ac:dyDescent="0.25">
      <c r="A812" s="57"/>
      <c r="B812" s="169" t="s">
        <v>15333</v>
      </c>
      <c r="C812" s="95"/>
      <c r="D812" s="88"/>
      <c r="E812" s="95"/>
      <c r="F812" s="95"/>
      <c r="G812" s="95"/>
      <c r="H812" s="95"/>
      <c r="I812" s="57"/>
      <c r="J812" s="57"/>
      <c r="K812" s="57"/>
      <c r="L812" s="57"/>
      <c r="M812" s="57"/>
      <c r="N812" s="57"/>
      <c r="O812" s="57"/>
      <c r="P812" s="57"/>
      <c r="Q812" s="57"/>
      <c r="R812" s="57"/>
      <c r="S812" s="57"/>
      <c r="T812" s="57"/>
      <c r="U812" s="57"/>
      <c r="V812" s="57"/>
      <c r="W812" s="57"/>
      <c r="X812" s="57"/>
      <c r="Y812" s="57"/>
      <c r="Z812" s="57"/>
      <c r="AA812" s="57"/>
      <c r="AB812" s="57"/>
      <c r="AC812" s="57"/>
      <c r="AD812" s="57"/>
    </row>
    <row r="813" spans="1:30" ht="13.5" thickBot="1" x14ac:dyDescent="0.25">
      <c r="A813" s="57"/>
      <c r="B813" s="169" t="s">
        <v>15333</v>
      </c>
      <c r="C813" s="95"/>
      <c r="D813" s="88"/>
      <c r="E813" s="95"/>
      <c r="F813" s="95"/>
      <c r="G813" s="95"/>
      <c r="H813" s="95"/>
      <c r="I813" s="57"/>
      <c r="J813" s="57"/>
      <c r="K813" s="57"/>
      <c r="L813" s="57"/>
      <c r="M813" s="57"/>
      <c r="N813" s="57"/>
      <c r="O813" s="57"/>
      <c r="P813" s="57"/>
      <c r="Q813" s="57"/>
      <c r="R813" s="57"/>
      <c r="S813" s="57"/>
      <c r="T813" s="57"/>
      <c r="U813" s="57"/>
      <c r="V813" s="57"/>
      <c r="W813" s="57"/>
      <c r="X813" s="57"/>
      <c r="Y813" s="57"/>
      <c r="Z813" s="57"/>
      <c r="AA813" s="57"/>
      <c r="AB813" s="57"/>
      <c r="AC813" s="57"/>
      <c r="AD813" s="57"/>
    </row>
    <row r="814" spans="1:30" ht="13.5" thickBot="1" x14ac:dyDescent="0.25">
      <c r="A814" s="57"/>
      <c r="B814" s="178" t="s">
        <v>13368</v>
      </c>
      <c r="C814" s="178" t="s">
        <v>15314</v>
      </c>
      <c r="D814" s="178" t="s">
        <v>15315</v>
      </c>
      <c r="E814" s="178" t="s">
        <v>14336</v>
      </c>
      <c r="F814" s="178" t="s">
        <v>15316</v>
      </c>
      <c r="G814" s="178" t="s">
        <v>15317</v>
      </c>
      <c r="H814" s="178" t="s">
        <v>13015</v>
      </c>
      <c r="I814" s="57"/>
      <c r="J814" s="57"/>
      <c r="K814" s="57"/>
      <c r="L814" s="57"/>
      <c r="M814" s="57"/>
      <c r="N814" s="57"/>
      <c r="O814" s="57"/>
      <c r="P814" s="57"/>
      <c r="Q814" s="57"/>
      <c r="R814" s="57"/>
      <c r="S814" s="57"/>
      <c r="T814" s="57"/>
      <c r="U814" s="57"/>
      <c r="V814" s="57"/>
      <c r="W814" s="57"/>
      <c r="X814" s="57"/>
      <c r="Y814" s="57"/>
      <c r="Z814" s="57"/>
      <c r="AA814" s="57"/>
      <c r="AB814" s="57"/>
      <c r="AC814" s="57"/>
      <c r="AD814" s="57"/>
    </row>
    <row r="815" spans="1:30" ht="26.25" thickBot="1" x14ac:dyDescent="0.25">
      <c r="A815" s="57"/>
      <c r="B815" s="180" t="s">
        <v>14141</v>
      </c>
      <c r="C815" s="181" t="s">
        <v>13470</v>
      </c>
      <c r="D815" s="180" t="s">
        <v>14604</v>
      </c>
      <c r="E815" s="214" t="s">
        <v>13703</v>
      </c>
      <c r="F815" s="180" t="s">
        <v>14937</v>
      </c>
      <c r="G815" s="180" t="s">
        <v>13847</v>
      </c>
      <c r="H815" s="180" t="s">
        <v>13409</v>
      </c>
      <c r="I815" s="57"/>
      <c r="J815" s="57"/>
      <c r="K815" s="57"/>
      <c r="L815" s="57"/>
      <c r="M815" s="57"/>
      <c r="N815" s="57"/>
      <c r="O815" s="57"/>
      <c r="P815" s="57"/>
      <c r="Q815" s="57"/>
      <c r="R815" s="57"/>
      <c r="S815" s="57"/>
      <c r="T815" s="57"/>
      <c r="U815" s="57"/>
      <c r="V815" s="57"/>
      <c r="W815" s="57"/>
      <c r="X815" s="57"/>
      <c r="Y815" s="57"/>
      <c r="Z815" s="57"/>
      <c r="AA815" s="57"/>
      <c r="AB815" s="57"/>
      <c r="AC815" s="57"/>
      <c r="AD815" s="57"/>
    </row>
    <row r="816" spans="1:30" ht="13.5" thickBot="1" x14ac:dyDescent="0.25">
      <c r="A816" s="57"/>
      <c r="B816" s="180" t="s">
        <v>13378</v>
      </c>
      <c r="C816" s="181" t="s">
        <v>14107</v>
      </c>
      <c r="D816" s="180" t="s">
        <v>13915</v>
      </c>
      <c r="E816" s="180" t="s">
        <v>15334</v>
      </c>
      <c r="F816" s="214" t="s">
        <v>15305</v>
      </c>
      <c r="G816" s="180" t="s">
        <v>13950</v>
      </c>
      <c r="H816" s="180" t="s">
        <v>14419</v>
      </c>
      <c r="I816" s="57"/>
      <c r="J816" s="57"/>
      <c r="K816" s="57"/>
      <c r="L816" s="57"/>
      <c r="M816" s="57"/>
      <c r="N816" s="57"/>
      <c r="O816" s="57"/>
      <c r="P816" s="57"/>
      <c r="Q816" s="57"/>
      <c r="R816" s="57"/>
      <c r="S816" s="57"/>
      <c r="T816" s="57"/>
      <c r="U816" s="57"/>
      <c r="V816" s="57"/>
      <c r="W816" s="57"/>
      <c r="X816" s="57"/>
      <c r="Y816" s="57"/>
      <c r="Z816" s="57"/>
      <c r="AA816" s="57"/>
      <c r="AB816" s="57"/>
      <c r="AC816" s="57"/>
      <c r="AD816" s="57"/>
    </row>
    <row r="817" spans="1:30" ht="13.5" thickBot="1" x14ac:dyDescent="0.25">
      <c r="A817" s="57"/>
      <c r="B817" s="180" t="s">
        <v>13384</v>
      </c>
      <c r="C817" s="181" t="s">
        <v>15304</v>
      </c>
      <c r="D817" s="181" t="s">
        <v>15304</v>
      </c>
      <c r="E817" s="180" t="s">
        <v>13465</v>
      </c>
      <c r="F817" s="180" t="s">
        <v>15335</v>
      </c>
      <c r="G817" s="180" t="s">
        <v>13843</v>
      </c>
      <c r="H817" s="214" t="s">
        <v>14407</v>
      </c>
      <c r="I817" s="57"/>
      <c r="J817" s="57"/>
      <c r="K817" s="57"/>
      <c r="L817" s="57"/>
      <c r="M817" s="57"/>
      <c r="N817" s="57"/>
      <c r="O817" s="57"/>
      <c r="P817" s="57"/>
      <c r="Q817" s="57"/>
      <c r="R817" s="57"/>
      <c r="S817" s="57"/>
      <c r="T817" s="57"/>
      <c r="U817" s="57"/>
      <c r="V817" s="57"/>
      <c r="W817" s="57"/>
      <c r="X817" s="57"/>
      <c r="Y817" s="57"/>
      <c r="Z817" s="57"/>
      <c r="AA817" s="57"/>
      <c r="AB817" s="57"/>
      <c r="AC817" s="57"/>
      <c r="AD817" s="57"/>
    </row>
    <row r="818" spans="1:30" ht="13.5" thickBot="1" x14ac:dyDescent="0.25">
      <c r="A818" s="57"/>
      <c r="B818" s="180" t="s">
        <v>13391</v>
      </c>
      <c r="C818" s="181" t="s">
        <v>14544</v>
      </c>
      <c r="D818" s="180" t="s">
        <v>15306</v>
      </c>
      <c r="E818" s="180" t="s">
        <v>14434</v>
      </c>
      <c r="F818" s="180" t="s">
        <v>13470</v>
      </c>
      <c r="G818" s="180" t="s">
        <v>13484</v>
      </c>
      <c r="H818" s="214" t="s">
        <v>13622</v>
      </c>
      <c r="I818" s="57"/>
      <c r="J818" s="57"/>
      <c r="K818" s="57"/>
      <c r="L818" s="57"/>
      <c r="M818" s="57"/>
      <c r="N818" s="57"/>
      <c r="O818" s="57"/>
      <c r="P818" s="57"/>
      <c r="Q818" s="57"/>
      <c r="R818" s="57"/>
      <c r="S818" s="57"/>
      <c r="T818" s="57"/>
      <c r="U818" s="57"/>
      <c r="V818" s="57"/>
      <c r="W818" s="57"/>
      <c r="X818" s="57"/>
      <c r="Y818" s="57"/>
      <c r="Z818" s="57"/>
      <c r="AA818" s="57"/>
      <c r="AB818" s="57"/>
      <c r="AC818" s="57"/>
      <c r="AD818" s="57"/>
    </row>
    <row r="819" spans="1:30" ht="13.5" thickBot="1" x14ac:dyDescent="0.25">
      <c r="A819" s="57"/>
      <c r="B819" s="180" t="s">
        <v>13397</v>
      </c>
      <c r="C819" s="181" t="s">
        <v>13465</v>
      </c>
      <c r="D819" s="180" t="s">
        <v>14409</v>
      </c>
      <c r="E819" s="180" t="s">
        <v>13776</v>
      </c>
      <c r="F819" s="180" t="s">
        <v>13810</v>
      </c>
      <c r="G819" s="180" t="s">
        <v>13502</v>
      </c>
      <c r="H819" s="214" t="s">
        <v>15336</v>
      </c>
      <c r="I819" s="57"/>
      <c r="J819" s="57"/>
      <c r="K819" s="57"/>
      <c r="L819" s="57"/>
      <c r="M819" s="57"/>
      <c r="N819" s="57"/>
      <c r="O819" s="57"/>
      <c r="P819" s="57"/>
      <c r="Q819" s="57"/>
      <c r="R819" s="57"/>
      <c r="S819" s="57"/>
      <c r="T819" s="57"/>
      <c r="U819" s="57"/>
      <c r="V819" s="57"/>
      <c r="W819" s="57"/>
      <c r="X819" s="57"/>
      <c r="Y819" s="57"/>
      <c r="Z819" s="57"/>
      <c r="AA819" s="57"/>
      <c r="AB819" s="57"/>
      <c r="AC819" s="57"/>
      <c r="AD819" s="57"/>
    </row>
    <row r="820" spans="1:30" ht="13.5" thickBot="1" x14ac:dyDescent="0.25">
      <c r="A820" s="57"/>
      <c r="B820" s="180" t="s">
        <v>13403</v>
      </c>
      <c r="C820" s="181" t="s">
        <v>13528</v>
      </c>
      <c r="D820" s="180" t="s">
        <v>13592</v>
      </c>
      <c r="E820" s="180" t="s">
        <v>13719</v>
      </c>
      <c r="F820" s="180" t="s">
        <v>14373</v>
      </c>
      <c r="G820" s="214" t="s">
        <v>13706</v>
      </c>
      <c r="H820" s="180" t="s">
        <v>14508</v>
      </c>
      <c r="I820" s="57"/>
      <c r="J820" s="57"/>
      <c r="K820" s="57"/>
      <c r="L820" s="57"/>
      <c r="M820" s="57"/>
      <c r="N820" s="57"/>
      <c r="O820" s="57"/>
      <c r="P820" s="57"/>
      <c r="Q820" s="57"/>
      <c r="R820" s="57"/>
      <c r="S820" s="57"/>
      <c r="T820" s="57"/>
      <c r="U820" s="57"/>
      <c r="V820" s="57"/>
      <c r="W820" s="57"/>
      <c r="X820" s="57"/>
      <c r="Y820" s="57"/>
      <c r="Z820" s="57"/>
      <c r="AA820" s="57"/>
      <c r="AB820" s="57"/>
      <c r="AC820" s="57"/>
      <c r="AD820" s="57"/>
    </row>
    <row r="821" spans="1:30" ht="13.5" thickBot="1" x14ac:dyDescent="0.25">
      <c r="A821" s="57"/>
      <c r="B821" s="180" t="s">
        <v>13408</v>
      </c>
      <c r="C821" s="181" t="s">
        <v>14450</v>
      </c>
      <c r="D821" s="180" t="s">
        <v>13532</v>
      </c>
      <c r="E821" s="180" t="s">
        <v>13854</v>
      </c>
      <c r="F821" s="180" t="s">
        <v>15330</v>
      </c>
      <c r="G821" s="180" t="s">
        <v>13470</v>
      </c>
      <c r="H821" s="214" t="s">
        <v>15337</v>
      </c>
      <c r="I821" s="57"/>
      <c r="J821" s="57"/>
      <c r="K821" s="57"/>
      <c r="L821" s="57"/>
      <c r="M821" s="57"/>
      <c r="N821" s="57"/>
      <c r="O821" s="57"/>
      <c r="P821" s="57"/>
      <c r="Q821" s="57"/>
      <c r="R821" s="57"/>
      <c r="S821" s="57"/>
      <c r="T821" s="57"/>
      <c r="U821" s="57"/>
      <c r="V821" s="57"/>
      <c r="W821" s="57"/>
      <c r="X821" s="57"/>
      <c r="Y821" s="57"/>
      <c r="Z821" s="57"/>
      <c r="AA821" s="57"/>
      <c r="AB821" s="57"/>
      <c r="AC821" s="57"/>
      <c r="AD821" s="57"/>
    </row>
    <row r="822" spans="1:30" ht="13.5" thickBot="1" x14ac:dyDescent="0.25">
      <c r="A822" s="57"/>
      <c r="B822" s="180" t="s">
        <v>13413</v>
      </c>
      <c r="C822" s="181" t="s">
        <v>15309</v>
      </c>
      <c r="D822" s="180" t="s">
        <v>14468</v>
      </c>
      <c r="E822" s="180" t="s">
        <v>13778</v>
      </c>
      <c r="F822" s="180" t="s">
        <v>13646</v>
      </c>
      <c r="G822" s="214" t="s">
        <v>13588</v>
      </c>
      <c r="H822" s="180" t="s">
        <v>13831</v>
      </c>
      <c r="I822" s="57"/>
      <c r="J822" s="57"/>
      <c r="K822" s="57"/>
      <c r="L822" s="57"/>
      <c r="M822" s="57"/>
      <c r="N822" s="57"/>
      <c r="O822" s="57"/>
      <c r="P822" s="57"/>
      <c r="Q822" s="57"/>
      <c r="R822" s="57"/>
      <c r="S822" s="57"/>
      <c r="T822" s="57"/>
      <c r="U822" s="57"/>
      <c r="V822" s="57"/>
      <c r="W822" s="57"/>
      <c r="X822" s="57"/>
      <c r="Y822" s="57"/>
      <c r="Z822" s="57"/>
      <c r="AA822" s="57"/>
      <c r="AB822" s="57"/>
      <c r="AC822" s="57"/>
      <c r="AD822" s="57"/>
    </row>
    <row r="823" spans="1:30" ht="13.5" thickBot="1" x14ac:dyDescent="0.25">
      <c r="A823" s="57"/>
      <c r="B823" s="180" t="s">
        <v>13419</v>
      </c>
      <c r="C823" s="180" t="s">
        <v>13550</v>
      </c>
      <c r="D823" s="181" t="s">
        <v>15331</v>
      </c>
      <c r="E823" s="180" t="s">
        <v>14432</v>
      </c>
      <c r="F823" s="180" t="s">
        <v>13856</v>
      </c>
      <c r="G823" s="180" t="s">
        <v>13640</v>
      </c>
      <c r="H823" s="214" t="s">
        <v>13672</v>
      </c>
      <c r="I823" s="57"/>
      <c r="J823" s="57"/>
      <c r="K823" s="57"/>
      <c r="L823" s="57"/>
      <c r="M823" s="57"/>
      <c r="N823" s="57"/>
      <c r="O823" s="57"/>
      <c r="P823" s="57"/>
      <c r="Q823" s="57"/>
      <c r="R823" s="57"/>
      <c r="S823" s="57"/>
      <c r="T823" s="57"/>
      <c r="U823" s="57"/>
      <c r="V823" s="57"/>
      <c r="W823" s="57"/>
      <c r="X823" s="57"/>
      <c r="Y823" s="57"/>
      <c r="Z823" s="57"/>
      <c r="AA823" s="57"/>
      <c r="AB823" s="57"/>
      <c r="AC823" s="57"/>
      <c r="AD823" s="57"/>
    </row>
    <row r="824" spans="1:30" ht="13.5" thickBot="1" x14ac:dyDescent="0.25">
      <c r="A824" s="57"/>
      <c r="B824" s="178" t="s">
        <v>13517</v>
      </c>
      <c r="C824" s="182" t="s">
        <v>15310</v>
      </c>
      <c r="D824" s="178" t="s">
        <v>13642</v>
      </c>
      <c r="E824" s="178" t="s">
        <v>13480</v>
      </c>
      <c r="F824" s="178" t="s">
        <v>13544</v>
      </c>
      <c r="G824" s="178" t="s">
        <v>13854</v>
      </c>
      <c r="H824" s="217" t="s">
        <v>15338</v>
      </c>
      <c r="I824" s="57"/>
      <c r="J824" s="57"/>
      <c r="K824" s="57"/>
      <c r="L824" s="57"/>
      <c r="M824" s="57"/>
      <c r="N824" s="57"/>
      <c r="O824" s="57"/>
      <c r="P824" s="57"/>
      <c r="Q824" s="57"/>
      <c r="R824" s="57"/>
      <c r="S824" s="57"/>
      <c r="T824" s="57"/>
      <c r="U824" s="57"/>
      <c r="V824" s="57"/>
      <c r="W824" s="57"/>
      <c r="X824" s="57"/>
      <c r="Y824" s="57"/>
      <c r="Z824" s="57"/>
      <c r="AA824" s="57"/>
      <c r="AB824" s="57"/>
      <c r="AC824" s="57"/>
      <c r="AD824" s="57"/>
    </row>
    <row r="825" spans="1:30" ht="13.5" thickBot="1" x14ac:dyDescent="0.25">
      <c r="A825" s="57"/>
      <c r="B825" s="178" t="s">
        <v>13432</v>
      </c>
      <c r="C825" s="178" t="s">
        <v>14400</v>
      </c>
      <c r="D825" s="178" t="s">
        <v>15305</v>
      </c>
      <c r="E825" s="178" t="s">
        <v>13819</v>
      </c>
      <c r="F825" s="178" t="s">
        <v>13716</v>
      </c>
      <c r="G825" s="178" t="s">
        <v>14142</v>
      </c>
      <c r="H825" s="178" t="s">
        <v>13474</v>
      </c>
      <c r="I825" s="57"/>
      <c r="J825" s="57"/>
      <c r="K825" s="57"/>
      <c r="L825" s="57"/>
      <c r="M825" s="57"/>
      <c r="N825" s="57"/>
      <c r="O825" s="57"/>
      <c r="P825" s="57"/>
      <c r="Q825" s="57"/>
      <c r="R825" s="57"/>
      <c r="S825" s="57"/>
      <c r="T825" s="57"/>
      <c r="U825" s="57"/>
      <c r="V825" s="57"/>
      <c r="W825" s="57"/>
      <c r="X825" s="57"/>
      <c r="Y825" s="57"/>
      <c r="Z825" s="57"/>
      <c r="AA825" s="57"/>
      <c r="AB825" s="57"/>
      <c r="AC825" s="57"/>
      <c r="AD825" s="57"/>
    </row>
    <row r="826" spans="1:30" ht="13.5" thickBot="1" x14ac:dyDescent="0.25">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c r="AA826" s="57"/>
      <c r="AB826" s="57"/>
      <c r="AC826" s="57"/>
      <c r="AD826" s="57"/>
    </row>
    <row r="827" spans="1:30" ht="13.5" thickBot="1" x14ac:dyDescent="0.25">
      <c r="A827" s="57"/>
      <c r="B827" s="97" t="s">
        <v>15339</v>
      </c>
      <c r="C827" s="88"/>
      <c r="D827" s="88"/>
      <c r="E827" s="88"/>
      <c r="F827" s="88"/>
      <c r="G827" s="88"/>
      <c r="H827" s="88"/>
      <c r="I827" s="57"/>
      <c r="J827" s="57"/>
      <c r="K827" s="57"/>
      <c r="L827" s="57"/>
      <c r="M827" s="57"/>
      <c r="N827" s="57"/>
      <c r="O827" s="57"/>
      <c r="P827" s="57"/>
      <c r="Q827" s="57"/>
      <c r="R827" s="57"/>
      <c r="S827" s="57"/>
      <c r="T827" s="57"/>
      <c r="U827" s="57"/>
      <c r="V827" s="57"/>
      <c r="W827" s="57"/>
      <c r="X827" s="57"/>
      <c r="Y827" s="57"/>
      <c r="Z827" s="57"/>
      <c r="AA827" s="57"/>
      <c r="AB827" s="57"/>
      <c r="AC827" s="57"/>
      <c r="AD827" s="57"/>
    </row>
    <row r="828" spans="1:30" ht="13.5" thickBot="1" x14ac:dyDescent="0.25">
      <c r="A828" s="57"/>
      <c r="B828" s="178" t="s">
        <v>13368</v>
      </c>
      <c r="C828" s="178" t="s">
        <v>15314</v>
      </c>
      <c r="D828" s="178" t="s">
        <v>15315</v>
      </c>
      <c r="E828" s="178" t="s">
        <v>14336</v>
      </c>
      <c r="F828" s="178" t="s">
        <v>15316</v>
      </c>
      <c r="G828" s="178" t="s">
        <v>15317</v>
      </c>
      <c r="H828" s="178" t="s">
        <v>13015</v>
      </c>
      <c r="I828" s="57"/>
      <c r="J828" s="57"/>
      <c r="K828" s="57"/>
      <c r="L828" s="57"/>
      <c r="M828" s="57"/>
      <c r="N828" s="57"/>
      <c r="O828" s="57"/>
      <c r="P828" s="57"/>
      <c r="Q828" s="57"/>
      <c r="R828" s="57"/>
      <c r="S828" s="57"/>
      <c r="T828" s="57"/>
      <c r="U828" s="57"/>
      <c r="V828" s="57"/>
      <c r="W828" s="57"/>
      <c r="X828" s="57"/>
      <c r="Y828" s="57"/>
      <c r="Z828" s="57"/>
      <c r="AA828" s="57"/>
      <c r="AB828" s="57"/>
      <c r="AC828" s="57"/>
      <c r="AD828" s="57"/>
    </row>
    <row r="829" spans="1:30" ht="26.25" thickBot="1" x14ac:dyDescent="0.25">
      <c r="A829" s="57"/>
      <c r="B829" s="180" t="s">
        <v>14141</v>
      </c>
      <c r="C829" s="181" t="s">
        <v>14363</v>
      </c>
      <c r="D829" s="180" t="s">
        <v>13518</v>
      </c>
      <c r="E829" s="180" t="s">
        <v>13710</v>
      </c>
      <c r="F829" s="214" t="s">
        <v>14933</v>
      </c>
      <c r="G829" s="180" t="s">
        <v>13968</v>
      </c>
      <c r="H829" s="180" t="s">
        <v>13587</v>
      </c>
      <c r="I829" s="57"/>
      <c r="J829" s="57"/>
      <c r="K829" s="57"/>
      <c r="L829" s="57"/>
      <c r="M829" s="57"/>
      <c r="N829" s="57"/>
      <c r="O829" s="57"/>
      <c r="P829" s="57"/>
      <c r="Q829" s="57"/>
      <c r="R829" s="57"/>
      <c r="S829" s="57"/>
      <c r="T829" s="57"/>
      <c r="U829" s="57"/>
      <c r="V829" s="57"/>
      <c r="W829" s="57"/>
      <c r="X829" s="57"/>
      <c r="Y829" s="57"/>
      <c r="Z829" s="57"/>
      <c r="AA829" s="57"/>
      <c r="AB829" s="57"/>
      <c r="AC829" s="57"/>
      <c r="AD829" s="57"/>
    </row>
    <row r="830" spans="1:30" ht="13.5" thickBot="1" x14ac:dyDescent="0.25">
      <c r="A830" s="57"/>
      <c r="B830" s="180" t="s">
        <v>13378</v>
      </c>
      <c r="C830" s="181" t="s">
        <v>14413</v>
      </c>
      <c r="D830" s="180" t="s">
        <v>13589</v>
      </c>
      <c r="E830" s="180" t="s">
        <v>15019</v>
      </c>
      <c r="F830" s="214" t="s">
        <v>13720</v>
      </c>
      <c r="G830" s="180" t="s">
        <v>15305</v>
      </c>
      <c r="H830" s="180" t="s">
        <v>13551</v>
      </c>
      <c r="I830" s="57"/>
      <c r="J830" s="57"/>
      <c r="K830" s="57"/>
      <c r="L830" s="57"/>
      <c r="M830" s="57"/>
      <c r="N830" s="57"/>
      <c r="O830" s="57"/>
      <c r="P830" s="57"/>
      <c r="Q830" s="57"/>
      <c r="R830" s="57"/>
      <c r="S830" s="57"/>
      <c r="T830" s="57"/>
      <c r="U830" s="57"/>
      <c r="V830" s="57"/>
      <c r="W830" s="57"/>
      <c r="X830" s="57"/>
      <c r="Y830" s="57"/>
      <c r="Z830" s="57"/>
      <c r="AA830" s="57"/>
      <c r="AB830" s="57"/>
      <c r="AC830" s="57"/>
      <c r="AD830" s="57"/>
    </row>
    <row r="831" spans="1:30" ht="13.5" thickBot="1" x14ac:dyDescent="0.25">
      <c r="A831" s="57"/>
      <c r="B831" s="180" t="s">
        <v>13384</v>
      </c>
      <c r="C831" s="181" t="s">
        <v>14451</v>
      </c>
      <c r="D831" s="180" t="s">
        <v>14404</v>
      </c>
      <c r="E831" s="180" t="s">
        <v>13949</v>
      </c>
      <c r="F831" s="180" t="s">
        <v>13753</v>
      </c>
      <c r="G831" s="214" t="s">
        <v>14941</v>
      </c>
      <c r="H831" s="180" t="s">
        <v>13452</v>
      </c>
      <c r="I831" s="57"/>
      <c r="J831" s="57"/>
      <c r="K831" s="57"/>
      <c r="L831" s="57"/>
      <c r="M831" s="57"/>
      <c r="N831" s="57"/>
      <c r="O831" s="57"/>
      <c r="P831" s="57"/>
      <c r="Q831" s="57"/>
      <c r="R831" s="57"/>
      <c r="S831" s="57"/>
      <c r="T831" s="57"/>
      <c r="U831" s="57"/>
      <c r="V831" s="57"/>
      <c r="W831" s="57"/>
      <c r="X831" s="57"/>
      <c r="Y831" s="57"/>
      <c r="Z831" s="57"/>
      <c r="AA831" s="57"/>
      <c r="AB831" s="57"/>
      <c r="AC831" s="57"/>
      <c r="AD831" s="57"/>
    </row>
    <row r="832" spans="1:30" ht="13.5" thickBot="1" x14ac:dyDescent="0.25">
      <c r="A832" s="57"/>
      <c r="B832" s="180" t="s">
        <v>13391</v>
      </c>
      <c r="C832" s="181" t="s">
        <v>15305</v>
      </c>
      <c r="D832" s="180" t="s">
        <v>14373</v>
      </c>
      <c r="E832" s="180" t="s">
        <v>13453</v>
      </c>
      <c r="F832" s="180" t="s">
        <v>13518</v>
      </c>
      <c r="G832" s="214" t="s">
        <v>15340</v>
      </c>
      <c r="H832" s="180" t="s">
        <v>13630</v>
      </c>
      <c r="I832" s="57"/>
      <c r="J832" s="57"/>
      <c r="K832" s="57"/>
      <c r="L832" s="57"/>
      <c r="M832" s="57"/>
      <c r="N832" s="57"/>
      <c r="O832" s="57"/>
      <c r="P832" s="57"/>
      <c r="Q832" s="57"/>
      <c r="R832" s="57"/>
      <c r="S832" s="57"/>
      <c r="T832" s="57"/>
      <c r="U832" s="57"/>
      <c r="V832" s="57"/>
      <c r="W832" s="57"/>
      <c r="X832" s="57"/>
      <c r="Y832" s="57"/>
      <c r="Z832" s="57"/>
      <c r="AA832" s="57"/>
      <c r="AB832" s="57"/>
      <c r="AC832" s="57"/>
      <c r="AD832" s="57"/>
    </row>
    <row r="833" spans="1:30" ht="13.5" thickBot="1" x14ac:dyDescent="0.25">
      <c r="A833" s="57"/>
      <c r="B833" s="180" t="s">
        <v>13397</v>
      </c>
      <c r="C833" s="180" t="s">
        <v>15304</v>
      </c>
      <c r="D833" s="180" t="s">
        <v>13628</v>
      </c>
      <c r="E833" s="181" t="s">
        <v>13550</v>
      </c>
      <c r="F833" s="214" t="s">
        <v>13462</v>
      </c>
      <c r="G833" s="180" t="s">
        <v>13816</v>
      </c>
      <c r="H833" s="180" t="s">
        <v>14393</v>
      </c>
      <c r="I833" s="57"/>
      <c r="J833" s="57"/>
      <c r="K833" s="57"/>
      <c r="L833" s="57"/>
      <c r="M833" s="57"/>
      <c r="N833" s="57"/>
      <c r="O833" s="57"/>
      <c r="P833" s="57"/>
      <c r="Q833" s="57"/>
      <c r="R833" s="57"/>
      <c r="S833" s="57"/>
      <c r="T833" s="57"/>
      <c r="U833" s="57"/>
      <c r="V833" s="57"/>
      <c r="W833" s="57"/>
      <c r="X833" s="57"/>
      <c r="Y833" s="57"/>
      <c r="Z833" s="57"/>
      <c r="AA833" s="57"/>
      <c r="AB833" s="57"/>
      <c r="AC833" s="57"/>
      <c r="AD833" s="57"/>
    </row>
    <row r="834" spans="1:30" ht="13.5" thickBot="1" x14ac:dyDescent="0.25">
      <c r="A834" s="57"/>
      <c r="B834" s="180" t="s">
        <v>13403</v>
      </c>
      <c r="C834" s="181" t="s">
        <v>13485</v>
      </c>
      <c r="D834" s="180" t="s">
        <v>13660</v>
      </c>
      <c r="E834" s="180" t="s">
        <v>13874</v>
      </c>
      <c r="F834" s="214" t="s">
        <v>14938</v>
      </c>
      <c r="G834" s="180" t="s">
        <v>13685</v>
      </c>
      <c r="H834" s="180" t="s">
        <v>13819</v>
      </c>
      <c r="I834" s="57"/>
      <c r="J834" s="57"/>
      <c r="K834" s="57"/>
      <c r="L834" s="57"/>
      <c r="M834" s="57"/>
      <c r="N834" s="57"/>
      <c r="O834" s="57"/>
      <c r="P834" s="57"/>
      <c r="Q834" s="57"/>
      <c r="R834" s="57"/>
      <c r="S834" s="57"/>
      <c r="T834" s="57"/>
      <c r="U834" s="57"/>
      <c r="V834" s="57"/>
      <c r="W834" s="57"/>
      <c r="X834" s="57"/>
      <c r="Y834" s="57"/>
      <c r="Z834" s="57"/>
      <c r="AA834" s="57"/>
      <c r="AB834" s="57"/>
      <c r="AC834" s="57"/>
      <c r="AD834" s="57"/>
    </row>
    <row r="835" spans="1:30" ht="13.5" thickBot="1" x14ac:dyDescent="0.25">
      <c r="A835" s="57"/>
      <c r="B835" s="180" t="s">
        <v>13408</v>
      </c>
      <c r="C835" s="181" t="s">
        <v>13876</v>
      </c>
      <c r="D835" s="180" t="s">
        <v>14445</v>
      </c>
      <c r="E835" s="180" t="s">
        <v>13514</v>
      </c>
      <c r="F835" s="180" t="s">
        <v>13630</v>
      </c>
      <c r="G835" s="214" t="s">
        <v>14365</v>
      </c>
      <c r="H835" s="180" t="s">
        <v>14602</v>
      </c>
      <c r="I835" s="57"/>
      <c r="J835" s="57"/>
      <c r="K835" s="57"/>
      <c r="L835" s="57"/>
      <c r="M835" s="57"/>
      <c r="N835" s="57"/>
      <c r="O835" s="57"/>
      <c r="P835" s="57"/>
      <c r="Q835" s="57"/>
      <c r="R835" s="57"/>
      <c r="S835" s="57"/>
      <c r="T835" s="57"/>
      <c r="U835" s="57"/>
      <c r="V835" s="57"/>
      <c r="W835" s="57"/>
      <c r="X835" s="57"/>
      <c r="Y835" s="57"/>
      <c r="Z835" s="57"/>
      <c r="AA835" s="57"/>
      <c r="AB835" s="57"/>
      <c r="AC835" s="57"/>
      <c r="AD835" s="57"/>
    </row>
    <row r="836" spans="1:30" ht="13.5" thickBot="1" x14ac:dyDescent="0.25">
      <c r="A836" s="57"/>
      <c r="B836" s="180" t="s">
        <v>13413</v>
      </c>
      <c r="C836" s="181" t="s">
        <v>14544</v>
      </c>
      <c r="D836" s="180" t="s">
        <v>13774</v>
      </c>
      <c r="E836" s="180" t="s">
        <v>13767</v>
      </c>
      <c r="F836" s="214" t="s">
        <v>14365</v>
      </c>
      <c r="G836" s="180" t="s">
        <v>13612</v>
      </c>
      <c r="H836" s="180" t="s">
        <v>13913</v>
      </c>
      <c r="I836" s="57"/>
      <c r="J836" s="57"/>
      <c r="K836" s="57"/>
      <c r="L836" s="57"/>
      <c r="M836" s="57"/>
      <c r="N836" s="57"/>
      <c r="O836" s="57"/>
      <c r="P836" s="57"/>
      <c r="Q836" s="57"/>
      <c r="R836" s="57"/>
      <c r="S836" s="57"/>
      <c r="T836" s="57"/>
      <c r="U836" s="57"/>
      <c r="V836" s="57"/>
      <c r="W836" s="57"/>
      <c r="X836" s="57"/>
      <c r="Y836" s="57"/>
      <c r="Z836" s="57"/>
      <c r="AA836" s="57"/>
      <c r="AB836" s="57"/>
      <c r="AC836" s="57"/>
      <c r="AD836" s="57"/>
    </row>
    <row r="837" spans="1:30" ht="13.5" thickBot="1" x14ac:dyDescent="0.25">
      <c r="A837" s="57"/>
      <c r="B837" s="180" t="s">
        <v>13419</v>
      </c>
      <c r="C837" s="181" t="s">
        <v>14419</v>
      </c>
      <c r="D837" s="180" t="s">
        <v>14490</v>
      </c>
      <c r="E837" s="180" t="s">
        <v>14383</v>
      </c>
      <c r="F837" s="214" t="s">
        <v>15341</v>
      </c>
      <c r="G837" s="180" t="s">
        <v>13948</v>
      </c>
      <c r="H837" s="180" t="s">
        <v>13794</v>
      </c>
      <c r="I837" s="57"/>
      <c r="J837" s="57"/>
      <c r="K837" s="57"/>
      <c r="L837" s="57"/>
      <c r="M837" s="57"/>
      <c r="N837" s="57"/>
      <c r="O837" s="57"/>
      <c r="P837" s="57"/>
      <c r="Q837" s="57"/>
      <c r="R837" s="57"/>
      <c r="S837" s="57"/>
      <c r="T837" s="57"/>
      <c r="U837" s="57"/>
      <c r="V837" s="57"/>
      <c r="W837" s="57"/>
      <c r="X837" s="57"/>
      <c r="Y837" s="57"/>
      <c r="Z837" s="57"/>
      <c r="AA837" s="57"/>
      <c r="AB837" s="57"/>
      <c r="AC837" s="57"/>
      <c r="AD837" s="57"/>
    </row>
    <row r="838" spans="1:30" ht="13.5" thickBot="1" x14ac:dyDescent="0.25">
      <c r="A838" s="57"/>
      <c r="B838" s="178" t="s">
        <v>13517</v>
      </c>
      <c r="C838" s="182" t="s">
        <v>13816</v>
      </c>
      <c r="D838" s="178" t="s">
        <v>15342</v>
      </c>
      <c r="E838" s="178" t="s">
        <v>14404</v>
      </c>
      <c r="F838" s="217" t="s">
        <v>13592</v>
      </c>
      <c r="G838" s="178" t="s">
        <v>15343</v>
      </c>
      <c r="H838" s="178" t="s">
        <v>13596</v>
      </c>
      <c r="I838" s="57"/>
      <c r="J838" s="57"/>
      <c r="K838" s="57"/>
      <c r="L838" s="57"/>
      <c r="M838" s="57"/>
      <c r="N838" s="57"/>
      <c r="O838" s="57"/>
      <c r="P838" s="57"/>
      <c r="Q838" s="57"/>
      <c r="R838" s="57"/>
      <c r="S838" s="57"/>
      <c r="T838" s="57"/>
      <c r="U838" s="57"/>
      <c r="V838" s="57"/>
      <c r="W838" s="57"/>
      <c r="X838" s="57"/>
      <c r="Y838" s="57"/>
      <c r="Z838" s="57"/>
      <c r="AA838" s="57"/>
      <c r="AB838" s="57"/>
      <c r="AC838" s="57"/>
      <c r="AD838" s="57"/>
    </row>
    <row r="839" spans="1:30" ht="13.5" thickBot="1" x14ac:dyDescent="0.25">
      <c r="A839" s="57"/>
      <c r="B839" s="178" t="s">
        <v>13432</v>
      </c>
      <c r="C839" s="178" t="s">
        <v>15312</v>
      </c>
      <c r="D839" s="178" t="s">
        <v>14446</v>
      </c>
      <c r="E839" s="178" t="s">
        <v>13451</v>
      </c>
      <c r="F839" s="178" t="s">
        <v>15344</v>
      </c>
      <c r="G839" s="178" t="s">
        <v>14449</v>
      </c>
      <c r="H839" s="178" t="s">
        <v>13388</v>
      </c>
      <c r="I839" s="57"/>
      <c r="J839" s="57"/>
      <c r="K839" s="57"/>
      <c r="L839" s="57"/>
      <c r="M839" s="57"/>
      <c r="N839" s="57"/>
      <c r="O839" s="57"/>
      <c r="P839" s="57"/>
      <c r="Q839" s="57"/>
      <c r="R839" s="57"/>
      <c r="S839" s="57"/>
      <c r="T839" s="57"/>
      <c r="U839" s="57"/>
      <c r="V839" s="57"/>
      <c r="W839" s="57"/>
      <c r="X839" s="57"/>
      <c r="Y839" s="57"/>
      <c r="Z839" s="57"/>
      <c r="AA839" s="57"/>
      <c r="AB839" s="57"/>
      <c r="AC839" s="57"/>
      <c r="AD839" s="57"/>
    </row>
    <row r="840" spans="1:30" ht="13.5" thickBot="1" x14ac:dyDescent="0.25">
      <c r="A840" s="57"/>
      <c r="B840" s="88"/>
      <c r="C840" s="88"/>
      <c r="D840" s="88"/>
      <c r="E840" s="88"/>
      <c r="F840" s="88"/>
      <c r="G840" s="88"/>
      <c r="H840" s="88"/>
      <c r="I840" s="57"/>
      <c r="J840" s="57"/>
      <c r="K840" s="57"/>
      <c r="L840" s="57"/>
      <c r="M840" s="57"/>
      <c r="N840" s="57"/>
      <c r="O840" s="57"/>
      <c r="P840" s="57"/>
      <c r="Q840" s="57"/>
      <c r="R840" s="57"/>
      <c r="S840" s="57"/>
      <c r="T840" s="57"/>
      <c r="U840" s="57"/>
      <c r="V840" s="57"/>
      <c r="W840" s="57"/>
      <c r="X840" s="57"/>
      <c r="Y840" s="57"/>
      <c r="Z840" s="57"/>
      <c r="AA840" s="57"/>
      <c r="AB840" s="57"/>
      <c r="AC840" s="57"/>
      <c r="AD840" s="57"/>
    </row>
    <row r="841" spans="1:30" ht="13.5" thickBot="1" x14ac:dyDescent="0.25">
      <c r="A841" s="57"/>
      <c r="B841" s="169" t="s">
        <v>15345</v>
      </c>
      <c r="C841" s="88"/>
      <c r="D841" s="88"/>
      <c r="E841" s="88"/>
      <c r="F841" s="88"/>
      <c r="G841" s="88"/>
      <c r="H841" s="88"/>
      <c r="I841" s="57"/>
      <c r="J841" s="57"/>
      <c r="K841" s="57"/>
      <c r="L841" s="57"/>
      <c r="M841" s="57"/>
      <c r="N841" s="57"/>
      <c r="O841" s="57"/>
      <c r="P841" s="57"/>
      <c r="Q841" s="57"/>
      <c r="R841" s="57"/>
      <c r="S841" s="57"/>
      <c r="T841" s="57"/>
      <c r="U841" s="57"/>
      <c r="V841" s="57"/>
      <c r="W841" s="57"/>
      <c r="X841" s="57"/>
      <c r="Y841" s="57"/>
      <c r="Z841" s="57"/>
      <c r="AA841" s="57"/>
      <c r="AB841" s="57"/>
      <c r="AC841" s="57"/>
      <c r="AD841" s="57"/>
    </row>
    <row r="842" spans="1:30" ht="13.5" thickBot="1" x14ac:dyDescent="0.25">
      <c r="A842" s="57"/>
      <c r="B842" s="178" t="s">
        <v>13368</v>
      </c>
      <c r="C842" s="178" t="s">
        <v>15314</v>
      </c>
      <c r="D842" s="178" t="s">
        <v>15315</v>
      </c>
      <c r="E842" s="178" t="s">
        <v>14336</v>
      </c>
      <c r="F842" s="178" t="s">
        <v>15316</v>
      </c>
      <c r="G842" s="178" t="s">
        <v>15317</v>
      </c>
      <c r="H842" s="178" t="s">
        <v>13015</v>
      </c>
      <c r="I842" s="57"/>
      <c r="J842" s="57"/>
      <c r="K842" s="57"/>
      <c r="L842" s="57"/>
      <c r="M842" s="57"/>
      <c r="N842" s="57"/>
      <c r="O842" s="57"/>
      <c r="P842" s="57"/>
      <c r="Q842" s="57"/>
      <c r="R842" s="57"/>
      <c r="S842" s="57"/>
      <c r="T842" s="57"/>
      <c r="U842" s="57"/>
      <c r="V842" s="57"/>
      <c r="W842" s="57"/>
      <c r="X842" s="57"/>
      <c r="Y842" s="57"/>
      <c r="Z842" s="57"/>
      <c r="AA842" s="57"/>
      <c r="AB842" s="57"/>
      <c r="AC842" s="57"/>
      <c r="AD842" s="57"/>
    </row>
    <row r="843" spans="1:30" ht="26.25" thickBot="1" x14ac:dyDescent="0.25">
      <c r="A843" s="57"/>
      <c r="B843" s="180" t="s">
        <v>14141</v>
      </c>
      <c r="C843" s="181" t="s">
        <v>13589</v>
      </c>
      <c r="D843" s="180" t="s">
        <v>13846</v>
      </c>
      <c r="E843" s="180" t="s">
        <v>14490</v>
      </c>
      <c r="F843" s="214" t="s">
        <v>13516</v>
      </c>
      <c r="G843" s="180" t="s">
        <v>15346</v>
      </c>
      <c r="H843" s="180" t="s">
        <v>14940</v>
      </c>
      <c r="I843" s="57"/>
      <c r="J843" s="57"/>
      <c r="K843" s="57"/>
      <c r="L843" s="57"/>
      <c r="M843" s="57"/>
      <c r="N843" s="57"/>
      <c r="O843" s="57"/>
      <c r="P843" s="57"/>
      <c r="Q843" s="57"/>
      <c r="R843" s="57"/>
      <c r="S843" s="57"/>
      <c r="T843" s="57"/>
      <c r="U843" s="57"/>
      <c r="V843" s="57"/>
      <c r="W843" s="57"/>
      <c r="X843" s="57"/>
      <c r="Y843" s="57"/>
      <c r="Z843" s="57"/>
      <c r="AA843" s="57"/>
      <c r="AB843" s="57"/>
      <c r="AC843" s="57"/>
      <c r="AD843" s="57"/>
    </row>
    <row r="844" spans="1:30" ht="13.5" thickBot="1" x14ac:dyDescent="0.25">
      <c r="A844" s="57"/>
      <c r="B844" s="180" t="s">
        <v>13378</v>
      </c>
      <c r="C844" s="180" t="s">
        <v>15301</v>
      </c>
      <c r="D844" s="180" t="s">
        <v>13882</v>
      </c>
      <c r="E844" s="181" t="s">
        <v>13897</v>
      </c>
      <c r="F844" s="214" t="s">
        <v>13543</v>
      </c>
      <c r="G844" s="180" t="s">
        <v>13497</v>
      </c>
      <c r="H844" s="180" t="s">
        <v>14394</v>
      </c>
      <c r="I844" s="57"/>
      <c r="J844" s="57"/>
      <c r="K844" s="57"/>
      <c r="L844" s="57"/>
      <c r="M844" s="57"/>
      <c r="N844" s="57"/>
      <c r="O844" s="57"/>
      <c r="P844" s="57"/>
      <c r="Q844" s="57"/>
      <c r="R844" s="57"/>
      <c r="S844" s="57"/>
      <c r="T844" s="57"/>
      <c r="U844" s="57"/>
      <c r="V844" s="57"/>
      <c r="W844" s="57"/>
      <c r="X844" s="57"/>
      <c r="Y844" s="57"/>
      <c r="Z844" s="57"/>
      <c r="AA844" s="57"/>
      <c r="AB844" s="57"/>
      <c r="AC844" s="57"/>
      <c r="AD844" s="57"/>
    </row>
    <row r="845" spans="1:30" ht="13.5" thickBot="1" x14ac:dyDescent="0.25">
      <c r="A845" s="57"/>
      <c r="B845" s="180" t="s">
        <v>13384</v>
      </c>
      <c r="C845" s="180" t="s">
        <v>14394</v>
      </c>
      <c r="D845" s="181" t="s">
        <v>15347</v>
      </c>
      <c r="E845" s="180" t="s">
        <v>14499</v>
      </c>
      <c r="F845" s="214" t="s">
        <v>14427</v>
      </c>
      <c r="G845" s="180" t="s">
        <v>13465</v>
      </c>
      <c r="H845" s="180" t="s">
        <v>15348</v>
      </c>
      <c r="I845" s="57"/>
      <c r="J845" s="57"/>
      <c r="K845" s="57"/>
      <c r="L845" s="57"/>
      <c r="M845" s="57"/>
      <c r="N845" s="57"/>
      <c r="O845" s="57"/>
      <c r="P845" s="57"/>
      <c r="Q845" s="57"/>
      <c r="R845" s="57"/>
      <c r="S845" s="57"/>
      <c r="T845" s="57"/>
      <c r="U845" s="57"/>
      <c r="V845" s="57"/>
      <c r="W845" s="57"/>
      <c r="X845" s="57"/>
      <c r="Y845" s="57"/>
      <c r="Z845" s="57"/>
      <c r="AA845" s="57"/>
      <c r="AB845" s="57"/>
      <c r="AC845" s="57"/>
      <c r="AD845" s="57"/>
    </row>
    <row r="846" spans="1:30" ht="13.5" thickBot="1" x14ac:dyDescent="0.25">
      <c r="A846" s="57"/>
      <c r="B846" s="180" t="s">
        <v>13391</v>
      </c>
      <c r="C846" s="181" t="s">
        <v>14398</v>
      </c>
      <c r="D846" s="180" t="s">
        <v>13828</v>
      </c>
      <c r="E846" s="180" t="s">
        <v>13893</v>
      </c>
      <c r="F846" s="214" t="s">
        <v>14371</v>
      </c>
      <c r="G846" s="180" t="s">
        <v>15349</v>
      </c>
      <c r="H846" s="180" t="s">
        <v>13645</v>
      </c>
      <c r="I846" s="57"/>
      <c r="J846" s="57"/>
      <c r="K846" s="57"/>
      <c r="L846" s="57"/>
      <c r="M846" s="57"/>
      <c r="N846" s="57"/>
      <c r="O846" s="57"/>
      <c r="P846" s="57"/>
      <c r="Q846" s="57"/>
      <c r="R846" s="57"/>
      <c r="S846" s="57"/>
      <c r="T846" s="57"/>
      <c r="U846" s="57"/>
      <c r="V846" s="57"/>
      <c r="W846" s="57"/>
      <c r="X846" s="57"/>
      <c r="Y846" s="57"/>
      <c r="Z846" s="57"/>
      <c r="AA846" s="57"/>
      <c r="AB846" s="57"/>
      <c r="AC846" s="57"/>
      <c r="AD846" s="57"/>
    </row>
    <row r="847" spans="1:30" ht="13.5" thickBot="1" x14ac:dyDescent="0.25">
      <c r="A847" s="57"/>
      <c r="B847" s="180" t="s">
        <v>13397</v>
      </c>
      <c r="C847" s="181" t="s">
        <v>13794</v>
      </c>
      <c r="D847" s="180" t="s">
        <v>13809</v>
      </c>
      <c r="E847" s="214" t="s">
        <v>14508</v>
      </c>
      <c r="F847" s="180" t="s">
        <v>13819</v>
      </c>
      <c r="G847" s="180" t="s">
        <v>13640</v>
      </c>
      <c r="H847" s="180" t="s">
        <v>13949</v>
      </c>
      <c r="I847" s="57"/>
      <c r="J847" s="57"/>
      <c r="K847" s="57"/>
      <c r="L847" s="57"/>
      <c r="M847" s="57"/>
      <c r="N847" s="57"/>
      <c r="O847" s="57"/>
      <c r="P847" s="57"/>
      <c r="Q847" s="57"/>
      <c r="R847" s="57"/>
      <c r="S847" s="57"/>
      <c r="T847" s="57"/>
      <c r="U847" s="57"/>
      <c r="V847" s="57"/>
      <c r="W847" s="57"/>
      <c r="X847" s="57"/>
      <c r="Y847" s="57"/>
      <c r="Z847" s="57"/>
      <c r="AA847" s="57"/>
      <c r="AB847" s="57"/>
      <c r="AC847" s="57"/>
      <c r="AD847" s="57"/>
    </row>
    <row r="848" spans="1:30" ht="13.5" thickBot="1" x14ac:dyDescent="0.25">
      <c r="A848" s="57"/>
      <c r="B848" s="180" t="s">
        <v>13403</v>
      </c>
      <c r="C848" s="181" t="s">
        <v>13543</v>
      </c>
      <c r="D848" s="180" t="s">
        <v>15350</v>
      </c>
      <c r="E848" s="214" t="s">
        <v>14513</v>
      </c>
      <c r="F848" s="180" t="s">
        <v>13675</v>
      </c>
      <c r="G848" s="180" t="s">
        <v>13965</v>
      </c>
      <c r="H848" s="180" t="s">
        <v>15341</v>
      </c>
      <c r="I848" s="57"/>
      <c r="J848" s="57"/>
      <c r="K848" s="57"/>
      <c r="L848" s="57"/>
      <c r="M848" s="57"/>
      <c r="N848" s="57"/>
      <c r="O848" s="57"/>
      <c r="P848" s="57"/>
      <c r="Q848" s="57"/>
      <c r="R848" s="57"/>
      <c r="S848" s="57"/>
      <c r="T848" s="57"/>
      <c r="U848" s="57"/>
      <c r="V848" s="57"/>
      <c r="W848" s="57"/>
      <c r="X848" s="57"/>
      <c r="Y848" s="57"/>
      <c r="Z848" s="57"/>
      <c r="AA848" s="57"/>
      <c r="AB848" s="57"/>
      <c r="AC848" s="57"/>
      <c r="AD848" s="57"/>
    </row>
    <row r="849" spans="1:30" ht="13.5" thickBot="1" x14ac:dyDescent="0.25">
      <c r="A849" s="57"/>
      <c r="B849" s="180" t="s">
        <v>13408</v>
      </c>
      <c r="C849" s="180" t="s">
        <v>13811</v>
      </c>
      <c r="D849" s="180" t="s">
        <v>13646</v>
      </c>
      <c r="E849" s="181" t="s">
        <v>13681</v>
      </c>
      <c r="F849" s="214" t="s">
        <v>13704</v>
      </c>
      <c r="G849" s="180" t="s">
        <v>14760</v>
      </c>
      <c r="H849" s="180" t="s">
        <v>13628</v>
      </c>
      <c r="I849" s="57"/>
      <c r="J849" s="57"/>
      <c r="K849" s="57"/>
      <c r="L849" s="57"/>
      <c r="M849" s="57"/>
      <c r="N849" s="57"/>
      <c r="O849" s="57"/>
      <c r="P849" s="57"/>
      <c r="Q849" s="57"/>
      <c r="R849" s="57"/>
      <c r="S849" s="57"/>
      <c r="T849" s="57"/>
      <c r="U849" s="57"/>
      <c r="V849" s="57"/>
      <c r="W849" s="57"/>
      <c r="X849" s="57"/>
      <c r="Y849" s="57"/>
      <c r="Z849" s="57"/>
      <c r="AA849" s="57"/>
      <c r="AB849" s="57"/>
      <c r="AC849" s="57"/>
      <c r="AD849" s="57"/>
    </row>
    <row r="850" spans="1:30" ht="13.5" thickBot="1" x14ac:dyDescent="0.25">
      <c r="A850" s="57"/>
      <c r="B850" s="180" t="s">
        <v>13413</v>
      </c>
      <c r="C850" s="181" t="s">
        <v>14506</v>
      </c>
      <c r="D850" s="180" t="s">
        <v>15023</v>
      </c>
      <c r="E850" s="180" t="s">
        <v>14523</v>
      </c>
      <c r="F850" s="214" t="s">
        <v>13691</v>
      </c>
      <c r="G850" s="180" t="s">
        <v>13758</v>
      </c>
      <c r="H850" s="180" t="s">
        <v>14304</v>
      </c>
      <c r="I850" s="57"/>
      <c r="J850" s="57"/>
      <c r="K850" s="57"/>
      <c r="L850" s="57"/>
      <c r="M850" s="57"/>
      <c r="N850" s="57"/>
      <c r="O850" s="57"/>
      <c r="P850" s="57"/>
      <c r="Q850" s="57"/>
      <c r="R850" s="57"/>
      <c r="S850" s="57"/>
      <c r="T850" s="57"/>
      <c r="U850" s="57"/>
      <c r="V850" s="57"/>
      <c r="W850" s="57"/>
      <c r="X850" s="57"/>
      <c r="Y850" s="57"/>
      <c r="Z850" s="57"/>
      <c r="AA850" s="57"/>
      <c r="AB850" s="57"/>
      <c r="AC850" s="57"/>
      <c r="AD850" s="57"/>
    </row>
    <row r="851" spans="1:30" ht="13.5" thickBot="1" x14ac:dyDescent="0.25">
      <c r="A851" s="57"/>
      <c r="B851" s="180" t="s">
        <v>13419</v>
      </c>
      <c r="C851" s="180" t="s">
        <v>15303</v>
      </c>
      <c r="D851" s="180" t="s">
        <v>14435</v>
      </c>
      <c r="E851" s="181" t="s">
        <v>13550</v>
      </c>
      <c r="F851" s="214" t="s">
        <v>14322</v>
      </c>
      <c r="G851" s="180" t="s">
        <v>13782</v>
      </c>
      <c r="H851" s="180" t="s">
        <v>15351</v>
      </c>
      <c r="I851" s="57"/>
      <c r="J851" s="57"/>
      <c r="K851" s="57"/>
      <c r="L851" s="57"/>
      <c r="M851" s="57"/>
      <c r="N851" s="57"/>
      <c r="O851" s="57"/>
      <c r="P851" s="57"/>
      <c r="Q851" s="57"/>
      <c r="R851" s="57"/>
      <c r="S851" s="57"/>
      <c r="T851" s="57"/>
      <c r="U851" s="57"/>
      <c r="V851" s="57"/>
      <c r="W851" s="57"/>
      <c r="X851" s="57"/>
      <c r="Y851" s="57"/>
      <c r="Z851" s="57"/>
      <c r="AA851" s="57"/>
      <c r="AB851" s="57"/>
      <c r="AC851" s="57"/>
      <c r="AD851" s="57"/>
    </row>
    <row r="852" spans="1:30" ht="13.5" thickBot="1" x14ac:dyDescent="0.25">
      <c r="A852" s="57"/>
      <c r="B852" s="178" t="s">
        <v>13517</v>
      </c>
      <c r="C852" s="178" t="s">
        <v>13528</v>
      </c>
      <c r="D852" s="182" t="s">
        <v>13816</v>
      </c>
      <c r="E852" s="178" t="s">
        <v>13805</v>
      </c>
      <c r="F852" s="217" t="s">
        <v>13841</v>
      </c>
      <c r="G852" s="178" t="s">
        <v>13596</v>
      </c>
      <c r="H852" s="178" t="s">
        <v>14409</v>
      </c>
      <c r="I852" s="57"/>
      <c r="J852" s="57"/>
      <c r="K852" s="57"/>
      <c r="L852" s="57"/>
      <c r="M852" s="57"/>
      <c r="N852" s="57"/>
      <c r="O852" s="57"/>
      <c r="P852" s="57"/>
      <c r="Q852" s="57"/>
      <c r="R852" s="57"/>
      <c r="S852" s="57"/>
      <c r="T852" s="57"/>
      <c r="U852" s="57"/>
      <c r="V852" s="57"/>
      <c r="W852" s="57"/>
      <c r="X852" s="57"/>
      <c r="Y852" s="57"/>
      <c r="Z852" s="57"/>
      <c r="AA852" s="57"/>
      <c r="AB852" s="57"/>
      <c r="AC852" s="57"/>
      <c r="AD852" s="57"/>
    </row>
    <row r="853" spans="1:30" ht="13.5" thickBot="1" x14ac:dyDescent="0.25">
      <c r="A853" s="57"/>
      <c r="B853" s="178" t="s">
        <v>13432</v>
      </c>
      <c r="C853" s="178" t="s">
        <v>13884</v>
      </c>
      <c r="D853" s="178" t="s">
        <v>13788</v>
      </c>
      <c r="E853" s="178" t="s">
        <v>13658</v>
      </c>
      <c r="F853" s="178" t="s">
        <v>13966</v>
      </c>
      <c r="G853" s="178" t="s">
        <v>15335</v>
      </c>
      <c r="H853" s="178" t="s">
        <v>13881</v>
      </c>
      <c r="I853" s="57"/>
      <c r="J853" s="57"/>
      <c r="K853" s="57"/>
      <c r="L853" s="57"/>
      <c r="M853" s="57"/>
      <c r="N853" s="57"/>
      <c r="O853" s="57"/>
      <c r="P853" s="57"/>
      <c r="Q853" s="57"/>
      <c r="R853" s="57"/>
      <c r="S853" s="57"/>
      <c r="T853" s="57"/>
      <c r="U853" s="57"/>
      <c r="V853" s="57"/>
      <c r="W853" s="57"/>
      <c r="X853" s="57"/>
      <c r="Y853" s="57"/>
      <c r="Z853" s="57"/>
      <c r="AA853" s="57"/>
      <c r="AB853" s="57"/>
      <c r="AC853" s="57"/>
      <c r="AD853" s="57"/>
    </row>
    <row r="854" spans="1:30" ht="13.5" thickBot="1" x14ac:dyDescent="0.25">
      <c r="A854" s="57"/>
      <c r="B854" s="88"/>
      <c r="C854" s="88"/>
      <c r="D854" s="88"/>
      <c r="E854" s="88"/>
      <c r="F854" s="88"/>
      <c r="G854" s="88"/>
      <c r="H854" s="88"/>
      <c r="I854" s="57"/>
      <c r="J854" s="57"/>
      <c r="K854" s="57"/>
      <c r="L854" s="57"/>
      <c r="M854" s="57"/>
      <c r="N854" s="57"/>
      <c r="O854" s="57"/>
      <c r="P854" s="57"/>
      <c r="Q854" s="57"/>
      <c r="R854" s="57"/>
      <c r="S854" s="57"/>
      <c r="T854" s="57"/>
      <c r="U854" s="57"/>
      <c r="V854" s="57"/>
      <c r="W854" s="57"/>
      <c r="X854" s="57"/>
      <c r="Y854" s="57"/>
      <c r="Z854" s="57"/>
      <c r="AA854" s="57"/>
      <c r="AB854" s="57"/>
      <c r="AC854" s="57"/>
      <c r="AD854" s="57"/>
    </row>
    <row r="855" spans="1:30" ht="13.5" thickBot="1" x14ac:dyDescent="0.25">
      <c r="A855" s="57"/>
      <c r="B855" s="169" t="s">
        <v>15352</v>
      </c>
      <c r="C855" s="88"/>
      <c r="D855" s="88"/>
      <c r="E855" s="88"/>
      <c r="F855" s="88"/>
      <c r="G855" s="88"/>
      <c r="H855" s="88"/>
      <c r="I855" s="57"/>
      <c r="J855" s="57"/>
      <c r="K855" s="57"/>
      <c r="L855" s="57"/>
      <c r="M855" s="57"/>
      <c r="N855" s="57"/>
      <c r="O855" s="57"/>
      <c r="P855" s="57"/>
      <c r="Q855" s="57"/>
      <c r="R855" s="57"/>
      <c r="S855" s="57"/>
      <c r="T855" s="57"/>
      <c r="U855" s="57"/>
      <c r="V855" s="57"/>
      <c r="W855" s="57"/>
      <c r="X855" s="57"/>
      <c r="Y855" s="57"/>
      <c r="Z855" s="57"/>
      <c r="AA855" s="57"/>
      <c r="AB855" s="57"/>
      <c r="AC855" s="57"/>
      <c r="AD855" s="57"/>
    </row>
    <row r="856" spans="1:30" ht="13.5" thickBot="1" x14ac:dyDescent="0.25">
      <c r="A856" s="57"/>
      <c r="B856" s="178" t="s">
        <v>13368</v>
      </c>
      <c r="C856" s="178" t="s">
        <v>15314</v>
      </c>
      <c r="D856" s="178" t="s">
        <v>15315</v>
      </c>
      <c r="E856" s="178" t="s">
        <v>14336</v>
      </c>
      <c r="F856" s="178" t="s">
        <v>15316</v>
      </c>
      <c r="G856" s="178" t="s">
        <v>15317</v>
      </c>
      <c r="H856" s="178" t="s">
        <v>13015</v>
      </c>
      <c r="I856" s="57"/>
      <c r="J856" s="57"/>
      <c r="K856" s="57"/>
      <c r="L856" s="57"/>
      <c r="M856" s="57"/>
      <c r="N856" s="57"/>
      <c r="O856" s="57"/>
      <c r="P856" s="57"/>
      <c r="Q856" s="57"/>
      <c r="R856" s="57"/>
      <c r="S856" s="57"/>
      <c r="T856" s="57"/>
      <c r="U856" s="57"/>
      <c r="V856" s="57"/>
      <c r="W856" s="57"/>
      <c r="X856" s="57"/>
      <c r="Y856" s="57"/>
      <c r="Z856" s="57"/>
      <c r="AA856" s="57"/>
      <c r="AB856" s="57"/>
      <c r="AC856" s="57"/>
      <c r="AD856" s="57"/>
    </row>
    <row r="857" spans="1:30" ht="26.25" thickBot="1" x14ac:dyDescent="0.25">
      <c r="A857" s="57"/>
      <c r="B857" s="180" t="s">
        <v>14141</v>
      </c>
      <c r="C857" s="181" t="s">
        <v>13831</v>
      </c>
      <c r="D857" s="180" t="s">
        <v>15350</v>
      </c>
      <c r="E857" s="180" t="s">
        <v>13946</v>
      </c>
      <c r="F857" s="214" t="s">
        <v>15353</v>
      </c>
      <c r="G857" s="180" t="s">
        <v>14150</v>
      </c>
      <c r="H857" s="180" t="s">
        <v>15350</v>
      </c>
      <c r="I857" s="57"/>
      <c r="J857" s="57"/>
      <c r="K857" s="57"/>
      <c r="L857" s="57"/>
      <c r="M857" s="57"/>
      <c r="N857" s="57"/>
      <c r="O857" s="57"/>
      <c r="P857" s="57"/>
      <c r="Q857" s="57"/>
      <c r="R857" s="57"/>
      <c r="S857" s="57"/>
      <c r="T857" s="57"/>
      <c r="U857" s="57"/>
      <c r="V857" s="57"/>
      <c r="W857" s="57"/>
      <c r="X857" s="57"/>
      <c r="Y857" s="57"/>
      <c r="Z857" s="57"/>
      <c r="AA857" s="57"/>
      <c r="AB857" s="57"/>
      <c r="AC857" s="57"/>
      <c r="AD857" s="57"/>
    </row>
    <row r="858" spans="1:30" ht="13.5" thickBot="1" x14ac:dyDescent="0.25">
      <c r="A858" s="57"/>
      <c r="B858" s="180" t="s">
        <v>13378</v>
      </c>
      <c r="C858" s="181" t="s">
        <v>15302</v>
      </c>
      <c r="D858" s="180" t="s">
        <v>14397</v>
      </c>
      <c r="E858" s="180" t="s">
        <v>14496</v>
      </c>
      <c r="F858" s="214" t="s">
        <v>13382</v>
      </c>
      <c r="G858" s="180" t="s">
        <v>13809</v>
      </c>
      <c r="H858" s="180" t="s">
        <v>14435</v>
      </c>
      <c r="I858" s="57"/>
      <c r="J858" s="57"/>
      <c r="K858" s="57"/>
      <c r="L858" s="57"/>
      <c r="M858" s="57"/>
      <c r="N858" s="57"/>
      <c r="O858" s="57"/>
      <c r="P858" s="57"/>
      <c r="Q858" s="57"/>
      <c r="R858" s="57"/>
      <c r="S858" s="57"/>
      <c r="T858" s="57"/>
      <c r="U858" s="57"/>
      <c r="V858" s="57"/>
      <c r="W858" s="57"/>
      <c r="X858" s="57"/>
      <c r="Y858" s="57"/>
      <c r="Z858" s="57"/>
      <c r="AA858" s="57"/>
      <c r="AB858" s="57"/>
      <c r="AC858" s="57"/>
      <c r="AD858" s="57"/>
    </row>
    <row r="859" spans="1:30" ht="13.5" thickBot="1" x14ac:dyDescent="0.25">
      <c r="A859" s="57"/>
      <c r="B859" s="180" t="s">
        <v>13384</v>
      </c>
      <c r="C859" s="181" t="s">
        <v>14414</v>
      </c>
      <c r="D859" s="180" t="s">
        <v>13850</v>
      </c>
      <c r="E859" s="180" t="s">
        <v>13913</v>
      </c>
      <c r="F859" s="214" t="s">
        <v>14460</v>
      </c>
      <c r="G859" s="180" t="s">
        <v>14117</v>
      </c>
      <c r="H859" s="180" t="s">
        <v>14496</v>
      </c>
      <c r="I859" s="57"/>
      <c r="J859" s="57"/>
      <c r="K859" s="57"/>
      <c r="L859" s="57"/>
      <c r="M859" s="57"/>
      <c r="N859" s="57"/>
      <c r="O859" s="57"/>
      <c r="P859" s="57"/>
      <c r="Q859" s="57"/>
      <c r="R859" s="57"/>
      <c r="S859" s="57"/>
      <c r="T859" s="57"/>
      <c r="U859" s="57"/>
      <c r="V859" s="57"/>
      <c r="W859" s="57"/>
      <c r="X859" s="57"/>
      <c r="Y859" s="57"/>
      <c r="Z859" s="57"/>
      <c r="AA859" s="57"/>
      <c r="AB859" s="57"/>
      <c r="AC859" s="57"/>
      <c r="AD859" s="57"/>
    </row>
    <row r="860" spans="1:30" ht="13.5" thickBot="1" x14ac:dyDescent="0.25">
      <c r="A860" s="57"/>
      <c r="B860" s="180" t="s">
        <v>13391</v>
      </c>
      <c r="C860" s="181" t="s">
        <v>13681</v>
      </c>
      <c r="D860" s="180" t="s">
        <v>14427</v>
      </c>
      <c r="E860" s="180" t="s">
        <v>14372</v>
      </c>
      <c r="F860" s="214" t="s">
        <v>13902</v>
      </c>
      <c r="G860" s="180" t="s">
        <v>13754</v>
      </c>
      <c r="H860" s="180" t="s">
        <v>13585</v>
      </c>
      <c r="I860" s="57"/>
      <c r="J860" s="57"/>
      <c r="K860" s="57"/>
      <c r="L860" s="57"/>
      <c r="M860" s="57"/>
      <c r="N860" s="57"/>
      <c r="O860" s="57"/>
      <c r="P860" s="57"/>
      <c r="Q860" s="57"/>
      <c r="R860" s="57"/>
      <c r="S860" s="57"/>
      <c r="T860" s="57"/>
      <c r="U860" s="57"/>
      <c r="V860" s="57"/>
      <c r="W860" s="57"/>
      <c r="X860" s="57"/>
      <c r="Y860" s="57"/>
      <c r="Z860" s="57"/>
      <c r="AA860" s="57"/>
      <c r="AB860" s="57"/>
      <c r="AC860" s="57"/>
      <c r="AD860" s="57"/>
    </row>
    <row r="861" spans="1:30" ht="13.5" thickBot="1" x14ac:dyDescent="0.25">
      <c r="A861" s="57"/>
      <c r="B861" s="180" t="s">
        <v>13397</v>
      </c>
      <c r="C861" s="181" t="s">
        <v>14413</v>
      </c>
      <c r="D861" s="180" t="s">
        <v>14409</v>
      </c>
      <c r="E861" s="180" t="s">
        <v>13616</v>
      </c>
      <c r="F861" s="214" t="s">
        <v>13745</v>
      </c>
      <c r="G861" s="180" t="s">
        <v>13665</v>
      </c>
      <c r="H861" s="180" t="s">
        <v>13472</v>
      </c>
      <c r="I861" s="57"/>
      <c r="J861" s="57"/>
      <c r="K861" s="57"/>
      <c r="L861" s="57"/>
      <c r="M861" s="57"/>
      <c r="N861" s="57"/>
      <c r="O861" s="57"/>
      <c r="P861" s="57"/>
      <c r="Q861" s="57"/>
      <c r="R861" s="57"/>
      <c r="S861" s="57"/>
      <c r="T861" s="57"/>
      <c r="U861" s="57"/>
      <c r="V861" s="57"/>
      <c r="W861" s="57"/>
      <c r="X861" s="57"/>
      <c r="Y861" s="57"/>
      <c r="Z861" s="57"/>
      <c r="AA861" s="57"/>
      <c r="AB861" s="57"/>
      <c r="AC861" s="57"/>
      <c r="AD861" s="57"/>
    </row>
    <row r="862" spans="1:30" ht="13.5" thickBot="1" x14ac:dyDescent="0.25">
      <c r="A862" s="57"/>
      <c r="B862" s="180" t="s">
        <v>13403</v>
      </c>
      <c r="C862" s="181" t="s">
        <v>14549</v>
      </c>
      <c r="D862" s="180" t="s">
        <v>15342</v>
      </c>
      <c r="E862" s="214" t="s">
        <v>14515</v>
      </c>
      <c r="F862" s="180" t="s">
        <v>14455</v>
      </c>
      <c r="G862" s="180" t="s">
        <v>13768</v>
      </c>
      <c r="H862" s="180" t="s">
        <v>14424</v>
      </c>
      <c r="I862" s="57"/>
      <c r="J862" s="57"/>
      <c r="K862" s="57"/>
      <c r="L862" s="57"/>
      <c r="M862" s="57"/>
      <c r="N862" s="57"/>
      <c r="O862" s="57"/>
      <c r="P862" s="57"/>
      <c r="Q862" s="57"/>
      <c r="R862" s="57"/>
      <c r="S862" s="57"/>
      <c r="T862" s="57"/>
      <c r="U862" s="57"/>
      <c r="V862" s="57"/>
      <c r="W862" s="57"/>
      <c r="X862" s="57"/>
      <c r="Y862" s="57"/>
      <c r="Z862" s="57"/>
      <c r="AA862" s="57"/>
      <c r="AB862" s="57"/>
      <c r="AC862" s="57"/>
      <c r="AD862" s="57"/>
    </row>
    <row r="863" spans="1:30" ht="13.5" thickBot="1" x14ac:dyDescent="0.25">
      <c r="A863" s="57"/>
      <c r="B863" s="180" t="s">
        <v>13408</v>
      </c>
      <c r="C863" s="181" t="s">
        <v>14398</v>
      </c>
      <c r="D863" s="180" t="s">
        <v>13655</v>
      </c>
      <c r="E863" s="180" t="s">
        <v>14520</v>
      </c>
      <c r="F863" s="214" t="s">
        <v>15340</v>
      </c>
      <c r="G863" s="180" t="s">
        <v>14424</v>
      </c>
      <c r="H863" s="180" t="s">
        <v>13875</v>
      </c>
      <c r="I863" s="57"/>
      <c r="J863" s="57"/>
      <c r="K863" s="57"/>
      <c r="L863" s="57"/>
      <c r="M863" s="57"/>
      <c r="N863" s="57"/>
      <c r="O863" s="57"/>
      <c r="P863" s="57"/>
      <c r="Q863" s="57"/>
      <c r="R863" s="57"/>
      <c r="S863" s="57"/>
      <c r="T863" s="57"/>
      <c r="U863" s="57"/>
      <c r="V863" s="57"/>
      <c r="W863" s="57"/>
      <c r="X863" s="57"/>
      <c r="Y863" s="57"/>
      <c r="Z863" s="57"/>
      <c r="AA863" s="57"/>
      <c r="AB863" s="57"/>
      <c r="AC863" s="57"/>
      <c r="AD863" s="57"/>
    </row>
    <row r="864" spans="1:30" ht="13.5" thickBot="1" x14ac:dyDescent="0.25">
      <c r="A864" s="57"/>
      <c r="B864" s="180" t="s">
        <v>13413</v>
      </c>
      <c r="C864" s="181" t="s">
        <v>14381</v>
      </c>
      <c r="D864" s="180" t="s">
        <v>13819</v>
      </c>
      <c r="E864" s="180" t="s">
        <v>13677</v>
      </c>
      <c r="F864" s="214" t="s">
        <v>13810</v>
      </c>
      <c r="G864" s="180" t="s">
        <v>14363</v>
      </c>
      <c r="H864" s="180" t="s">
        <v>14436</v>
      </c>
      <c r="I864" s="57"/>
      <c r="J864" s="57"/>
      <c r="K864" s="57"/>
      <c r="L864" s="57"/>
      <c r="M864" s="57"/>
      <c r="N864" s="57"/>
      <c r="O864" s="57"/>
      <c r="P864" s="57"/>
      <c r="Q864" s="57"/>
      <c r="R864" s="57"/>
      <c r="S864" s="57"/>
      <c r="T864" s="57"/>
      <c r="U864" s="57"/>
      <c r="V864" s="57"/>
      <c r="W864" s="57"/>
      <c r="X864" s="57"/>
      <c r="Y864" s="57"/>
      <c r="Z864" s="57"/>
      <c r="AA864" s="57"/>
      <c r="AB864" s="57"/>
      <c r="AC864" s="57"/>
      <c r="AD864" s="57"/>
    </row>
    <row r="865" spans="1:30" ht="13.5" thickBot="1" x14ac:dyDescent="0.25">
      <c r="A865" s="57"/>
      <c r="B865" s="180" t="s">
        <v>13419</v>
      </c>
      <c r="C865" s="181" t="s">
        <v>15302</v>
      </c>
      <c r="D865" s="180" t="s">
        <v>13483</v>
      </c>
      <c r="E865" s="180" t="s">
        <v>13749</v>
      </c>
      <c r="F865" s="214" t="s">
        <v>13686</v>
      </c>
      <c r="G865" s="180" t="s">
        <v>13856</v>
      </c>
      <c r="H865" s="180" t="s">
        <v>15332</v>
      </c>
      <c r="I865" s="57"/>
      <c r="J865" s="57"/>
      <c r="K865" s="57"/>
      <c r="L865" s="57"/>
      <c r="M865" s="57"/>
      <c r="N865" s="57"/>
      <c r="O865" s="57"/>
      <c r="P865" s="57"/>
      <c r="Q865" s="57"/>
      <c r="R865" s="57"/>
      <c r="S865" s="57"/>
      <c r="T865" s="57"/>
      <c r="U865" s="57"/>
      <c r="V865" s="57"/>
      <c r="W865" s="57"/>
      <c r="X865" s="57"/>
      <c r="Y865" s="57"/>
      <c r="Z865" s="57"/>
      <c r="AA865" s="57"/>
      <c r="AB865" s="57"/>
      <c r="AC865" s="57"/>
      <c r="AD865" s="57"/>
    </row>
    <row r="866" spans="1:30" ht="13.5" thickBot="1" x14ac:dyDescent="0.25">
      <c r="A866" s="57"/>
      <c r="B866" s="178" t="s">
        <v>13517</v>
      </c>
      <c r="C866" s="182" t="s">
        <v>13640</v>
      </c>
      <c r="D866" s="178" t="s">
        <v>14322</v>
      </c>
      <c r="E866" s="178" t="s">
        <v>14520</v>
      </c>
      <c r="F866" s="217" t="s">
        <v>13818</v>
      </c>
      <c r="G866" s="178" t="s">
        <v>14407</v>
      </c>
      <c r="H866" s="178" t="s">
        <v>13871</v>
      </c>
      <c r="I866" s="57"/>
      <c r="J866" s="57"/>
      <c r="K866" s="57"/>
      <c r="L866" s="57"/>
      <c r="M866" s="57"/>
      <c r="N866" s="57"/>
      <c r="O866" s="57"/>
      <c r="P866" s="57"/>
      <c r="Q866" s="57"/>
      <c r="R866" s="57"/>
      <c r="S866" s="57"/>
      <c r="T866" s="57"/>
      <c r="U866" s="57"/>
      <c r="V866" s="57"/>
      <c r="W866" s="57"/>
      <c r="X866" s="57"/>
      <c r="Y866" s="57"/>
      <c r="Z866" s="57"/>
      <c r="AA866" s="57"/>
      <c r="AB866" s="57"/>
      <c r="AC866" s="57"/>
      <c r="AD866" s="57"/>
    </row>
    <row r="867" spans="1:30" ht="13.5" thickBot="1" x14ac:dyDescent="0.25">
      <c r="A867" s="57"/>
      <c r="B867" s="178" t="s">
        <v>13432</v>
      </c>
      <c r="C867" s="178" t="s">
        <v>13883</v>
      </c>
      <c r="D867" s="178" t="s">
        <v>13845</v>
      </c>
      <c r="E867" s="178" t="s">
        <v>13586</v>
      </c>
      <c r="F867" s="178" t="s">
        <v>13558</v>
      </c>
      <c r="G867" s="178" t="s">
        <v>13764</v>
      </c>
      <c r="H867" s="178" t="s">
        <v>13457</v>
      </c>
      <c r="I867" s="57"/>
      <c r="J867" s="57"/>
      <c r="K867" s="57"/>
      <c r="L867" s="57"/>
      <c r="M867" s="57"/>
      <c r="N867" s="57"/>
      <c r="O867" s="57"/>
      <c r="P867" s="57"/>
      <c r="Q867" s="57"/>
      <c r="R867" s="57"/>
      <c r="S867" s="57"/>
      <c r="T867" s="57"/>
      <c r="U867" s="57"/>
      <c r="V867" s="57"/>
      <c r="W867" s="57"/>
      <c r="X867" s="57"/>
      <c r="Y867" s="57"/>
      <c r="Z867" s="57"/>
      <c r="AA867" s="57"/>
      <c r="AB867" s="57"/>
      <c r="AC867" s="57"/>
      <c r="AD867" s="57"/>
    </row>
    <row r="868" spans="1:30" ht="13.5" thickBot="1" x14ac:dyDescent="0.25">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c r="AA868" s="57"/>
      <c r="AB868" s="57"/>
      <c r="AC868" s="57"/>
      <c r="AD868" s="57"/>
    </row>
    <row r="869" spans="1:30" ht="13.5" thickBot="1" x14ac:dyDescent="0.25">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c r="AA869" s="57"/>
      <c r="AB869" s="57"/>
      <c r="AC869" s="57"/>
      <c r="AD869" s="57"/>
    </row>
    <row r="870" spans="1:30" ht="13.5" thickBot="1" x14ac:dyDescent="0.25">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c r="AA870" s="57"/>
      <c r="AB870" s="57"/>
      <c r="AC870" s="57"/>
      <c r="AD870" s="57"/>
    </row>
    <row r="871" spans="1:30" ht="13.5" thickBot="1" x14ac:dyDescent="0.25">
      <c r="A871" s="57"/>
      <c r="B871" s="176" t="s">
        <v>272</v>
      </c>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c r="AA871" s="57"/>
      <c r="AB871" s="57"/>
      <c r="AC871" s="57"/>
      <c r="AD871" s="57"/>
    </row>
    <row r="872" spans="1:30" ht="13.5" thickBot="1" x14ac:dyDescent="0.25">
      <c r="A872" s="57"/>
      <c r="B872" s="156" t="s">
        <v>15354</v>
      </c>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c r="AA872" s="57"/>
      <c r="AB872" s="57"/>
      <c r="AC872" s="57"/>
      <c r="AD872" s="57"/>
    </row>
    <row r="873" spans="1:30" ht="13.5" thickBot="1" x14ac:dyDescent="0.25">
      <c r="A873" s="57"/>
      <c r="B873" s="218" t="s">
        <v>13576</v>
      </c>
      <c r="C873" s="218" t="s">
        <v>15355</v>
      </c>
      <c r="D873" s="218" t="s">
        <v>15356</v>
      </c>
      <c r="E873" s="218" t="s">
        <v>14488</v>
      </c>
      <c r="F873" s="218" t="s">
        <v>15357</v>
      </c>
      <c r="G873" s="218" t="s">
        <v>15358</v>
      </c>
      <c r="H873" s="218" t="s">
        <v>15359</v>
      </c>
      <c r="I873" s="218" t="s">
        <v>14487</v>
      </c>
      <c r="J873" s="57"/>
      <c r="K873" s="57"/>
      <c r="L873" s="57"/>
      <c r="M873" s="57"/>
      <c r="N873" s="57"/>
      <c r="O873" s="57"/>
      <c r="P873" s="57"/>
      <c r="Q873" s="57"/>
      <c r="R873" s="57"/>
      <c r="S873" s="57"/>
      <c r="T873" s="57"/>
      <c r="U873" s="57"/>
      <c r="V873" s="57"/>
      <c r="W873" s="57"/>
      <c r="X873" s="57"/>
      <c r="Y873" s="57"/>
      <c r="Z873" s="57"/>
      <c r="AA873" s="57"/>
      <c r="AB873" s="57"/>
      <c r="AC873" s="57"/>
      <c r="AD873" s="57"/>
    </row>
    <row r="874" spans="1:30" ht="26.25" thickBot="1" x14ac:dyDescent="0.25">
      <c r="A874" s="57"/>
      <c r="B874" s="180" t="s">
        <v>14141</v>
      </c>
      <c r="C874" s="181" t="s">
        <v>13754</v>
      </c>
      <c r="D874" s="181" t="s">
        <v>13754</v>
      </c>
      <c r="E874" s="180" t="s">
        <v>13490</v>
      </c>
      <c r="F874" s="180" t="s">
        <v>13824</v>
      </c>
      <c r="G874" s="180" t="s">
        <v>14657</v>
      </c>
      <c r="H874" s="180" t="s">
        <v>14938</v>
      </c>
      <c r="I874" s="180" t="s">
        <v>14455</v>
      </c>
      <c r="J874" s="57"/>
      <c r="K874" s="57"/>
      <c r="L874" s="57"/>
      <c r="M874" s="57"/>
      <c r="N874" s="57"/>
      <c r="O874" s="57"/>
      <c r="P874" s="57"/>
      <c r="Q874" s="57"/>
      <c r="R874" s="57"/>
      <c r="S874" s="57"/>
      <c r="T874" s="57"/>
      <c r="U874" s="57"/>
      <c r="V874" s="57"/>
      <c r="W874" s="57"/>
      <c r="X874" s="57"/>
      <c r="Y874" s="57"/>
      <c r="Z874" s="57"/>
      <c r="AA874" s="57"/>
      <c r="AB874" s="57"/>
      <c r="AC874" s="57"/>
      <c r="AD874" s="57"/>
    </row>
    <row r="875" spans="1:30" ht="13.5" thickBot="1" x14ac:dyDescent="0.25">
      <c r="A875" s="57"/>
      <c r="B875" s="219" t="s">
        <v>13378</v>
      </c>
      <c r="C875" s="220" t="s">
        <v>13794</v>
      </c>
      <c r="D875" s="219" t="s">
        <v>14468</v>
      </c>
      <c r="E875" s="219" t="s">
        <v>13884</v>
      </c>
      <c r="F875" s="219" t="s">
        <v>14393</v>
      </c>
      <c r="G875" s="219" t="s">
        <v>15322</v>
      </c>
      <c r="H875" s="219" t="s">
        <v>15351</v>
      </c>
      <c r="I875" s="219" t="s">
        <v>14468</v>
      </c>
      <c r="J875" s="57"/>
      <c r="K875" s="57"/>
      <c r="L875" s="57"/>
      <c r="M875" s="57"/>
      <c r="N875" s="57"/>
      <c r="O875" s="57"/>
      <c r="P875" s="57"/>
      <c r="Q875" s="57"/>
      <c r="R875" s="57"/>
      <c r="S875" s="57"/>
      <c r="T875" s="57"/>
      <c r="U875" s="57"/>
      <c r="V875" s="57"/>
      <c r="W875" s="57"/>
      <c r="X875" s="57"/>
      <c r="Y875" s="57"/>
      <c r="Z875" s="57"/>
      <c r="AA875" s="57"/>
      <c r="AB875" s="57"/>
      <c r="AC875" s="57"/>
      <c r="AD875" s="57"/>
    </row>
    <row r="876" spans="1:30" ht="13.5" thickBot="1" x14ac:dyDescent="0.25">
      <c r="A876" s="57"/>
      <c r="B876" s="180" t="s">
        <v>13384</v>
      </c>
      <c r="C876" s="181" t="s">
        <v>13550</v>
      </c>
      <c r="D876" s="180" t="s">
        <v>13901</v>
      </c>
      <c r="E876" s="180" t="s">
        <v>13743</v>
      </c>
      <c r="F876" s="180" t="s">
        <v>14432</v>
      </c>
      <c r="G876" s="180" t="s">
        <v>15360</v>
      </c>
      <c r="H876" s="180" t="s">
        <v>13796</v>
      </c>
      <c r="I876" s="180" t="s">
        <v>13765</v>
      </c>
      <c r="J876" s="57"/>
      <c r="K876" s="57"/>
      <c r="L876" s="57"/>
      <c r="M876" s="57"/>
      <c r="N876" s="57"/>
      <c r="O876" s="57"/>
      <c r="P876" s="57"/>
      <c r="Q876" s="57"/>
      <c r="R876" s="57"/>
      <c r="S876" s="57"/>
      <c r="T876" s="57"/>
      <c r="U876" s="57"/>
      <c r="V876" s="57"/>
      <c r="W876" s="57"/>
      <c r="X876" s="57"/>
      <c r="Y876" s="57"/>
      <c r="Z876" s="57"/>
      <c r="AA876" s="57"/>
      <c r="AB876" s="57"/>
      <c r="AC876" s="57"/>
      <c r="AD876" s="57"/>
    </row>
    <row r="877" spans="1:30" ht="13.5" thickBot="1" x14ac:dyDescent="0.25">
      <c r="A877" s="57"/>
      <c r="B877" s="219" t="s">
        <v>13391</v>
      </c>
      <c r="C877" s="220" t="s">
        <v>14530</v>
      </c>
      <c r="D877" s="219" t="s">
        <v>13502</v>
      </c>
      <c r="E877" s="219" t="s">
        <v>13706</v>
      </c>
      <c r="F877" s="219" t="s">
        <v>13597</v>
      </c>
      <c r="G877" s="219" t="s">
        <v>15361</v>
      </c>
      <c r="H877" s="219" t="s">
        <v>13962</v>
      </c>
      <c r="I877" s="219" t="s">
        <v>13968</v>
      </c>
      <c r="J877" s="57"/>
      <c r="K877" s="57"/>
      <c r="L877" s="57"/>
      <c r="M877" s="57"/>
      <c r="N877" s="57"/>
      <c r="O877" s="57"/>
      <c r="P877" s="57"/>
      <c r="Q877" s="57"/>
      <c r="R877" s="57"/>
      <c r="S877" s="57"/>
      <c r="T877" s="57"/>
      <c r="U877" s="57"/>
      <c r="V877" s="57"/>
      <c r="W877" s="57"/>
      <c r="X877" s="57"/>
      <c r="Y877" s="57"/>
      <c r="Z877" s="57"/>
      <c r="AA877" s="57"/>
      <c r="AB877" s="57"/>
      <c r="AC877" s="57"/>
      <c r="AD877" s="57"/>
    </row>
    <row r="878" spans="1:30" ht="13.5" thickBot="1" x14ac:dyDescent="0.25">
      <c r="A878" s="57"/>
      <c r="B878" s="180" t="s">
        <v>13397</v>
      </c>
      <c r="C878" s="181" t="s">
        <v>14304</v>
      </c>
      <c r="D878" s="180" t="s">
        <v>13850</v>
      </c>
      <c r="E878" s="180" t="s">
        <v>13743</v>
      </c>
      <c r="F878" s="180" t="s">
        <v>13557</v>
      </c>
      <c r="G878" s="180" t="s">
        <v>14503</v>
      </c>
      <c r="H878" s="180" t="s">
        <v>13665</v>
      </c>
      <c r="I878" s="180" t="s">
        <v>13884</v>
      </c>
      <c r="J878" s="57"/>
      <c r="K878" s="57"/>
      <c r="L878" s="57"/>
      <c r="M878" s="57"/>
      <c r="N878" s="57"/>
      <c r="O878" s="57"/>
      <c r="P878" s="57"/>
      <c r="Q878" s="57"/>
      <c r="R878" s="57"/>
      <c r="S878" s="57"/>
      <c r="T878" s="57"/>
      <c r="U878" s="57"/>
      <c r="V878" s="57"/>
      <c r="W878" s="57"/>
      <c r="X878" s="57"/>
      <c r="Y878" s="57"/>
      <c r="Z878" s="57"/>
      <c r="AA878" s="57"/>
      <c r="AB878" s="57"/>
      <c r="AC878" s="57"/>
      <c r="AD878" s="57"/>
    </row>
    <row r="879" spans="1:30" ht="13.5" thickBot="1" x14ac:dyDescent="0.25">
      <c r="A879" s="57"/>
      <c r="B879" s="219" t="s">
        <v>13403</v>
      </c>
      <c r="C879" s="220" t="s">
        <v>13792</v>
      </c>
      <c r="D879" s="219" t="s">
        <v>14345</v>
      </c>
      <c r="E879" s="219" t="s">
        <v>14938</v>
      </c>
      <c r="F879" s="219" t="s">
        <v>13701</v>
      </c>
      <c r="G879" s="219" t="s">
        <v>15362</v>
      </c>
      <c r="H879" s="219" t="s">
        <v>13502</v>
      </c>
      <c r="I879" s="219" t="s">
        <v>14455</v>
      </c>
      <c r="J879" s="57"/>
      <c r="K879" s="57"/>
      <c r="L879" s="57"/>
      <c r="M879" s="57"/>
      <c r="N879" s="57"/>
      <c r="O879" s="57"/>
      <c r="P879" s="57"/>
      <c r="Q879" s="57"/>
      <c r="R879" s="57"/>
      <c r="S879" s="57"/>
      <c r="T879" s="57"/>
      <c r="U879" s="57"/>
      <c r="V879" s="57"/>
      <c r="W879" s="57"/>
      <c r="X879" s="57"/>
      <c r="Y879" s="57"/>
      <c r="Z879" s="57"/>
      <c r="AA879" s="57"/>
      <c r="AB879" s="57"/>
      <c r="AC879" s="57"/>
      <c r="AD879" s="57"/>
    </row>
    <row r="880" spans="1:30" ht="13.5" thickBot="1" x14ac:dyDescent="0.25">
      <c r="A880" s="57"/>
      <c r="B880" s="180" t="s">
        <v>15363</v>
      </c>
      <c r="C880" s="181" t="s">
        <v>13612</v>
      </c>
      <c r="D880" s="180" t="s">
        <v>14520</v>
      </c>
      <c r="E880" s="180" t="s">
        <v>13545</v>
      </c>
      <c r="F880" s="180" t="s">
        <v>13753</v>
      </c>
      <c r="G880" s="180" t="s">
        <v>13644</v>
      </c>
      <c r="H880" s="180" t="s">
        <v>13753</v>
      </c>
      <c r="I880" s="180" t="s">
        <v>13845</v>
      </c>
      <c r="J880" s="57"/>
      <c r="K880" s="57"/>
      <c r="L880" s="57"/>
      <c r="M880" s="57"/>
      <c r="N880" s="57"/>
      <c r="O880" s="57"/>
      <c r="P880" s="57"/>
      <c r="Q880" s="57"/>
      <c r="R880" s="57"/>
      <c r="S880" s="57"/>
      <c r="T880" s="57"/>
      <c r="U880" s="57"/>
      <c r="V880" s="57"/>
      <c r="W880" s="57"/>
      <c r="X880" s="57"/>
      <c r="Y880" s="57"/>
      <c r="Z880" s="57"/>
      <c r="AA880" s="57"/>
      <c r="AB880" s="57"/>
      <c r="AC880" s="57"/>
      <c r="AD880" s="57"/>
    </row>
    <row r="881" spans="1:30" ht="13.5" thickBot="1" x14ac:dyDescent="0.25">
      <c r="A881" s="57"/>
      <c r="B881" s="219" t="s">
        <v>13413</v>
      </c>
      <c r="C881" s="220" t="s">
        <v>13485</v>
      </c>
      <c r="D881" s="219" t="s">
        <v>13497</v>
      </c>
      <c r="E881" s="219" t="s">
        <v>14442</v>
      </c>
      <c r="F881" s="219" t="s">
        <v>13497</v>
      </c>
      <c r="G881" s="219" t="s">
        <v>15364</v>
      </c>
      <c r="H881" s="219" t="s">
        <v>13640</v>
      </c>
      <c r="I881" s="219" t="s">
        <v>13913</v>
      </c>
      <c r="J881" s="57"/>
      <c r="K881" s="57"/>
      <c r="L881" s="57"/>
      <c r="M881" s="57"/>
      <c r="N881" s="57"/>
      <c r="O881" s="57"/>
      <c r="P881" s="57"/>
      <c r="Q881" s="57"/>
      <c r="R881" s="57"/>
      <c r="S881" s="57"/>
      <c r="T881" s="57"/>
      <c r="U881" s="57"/>
      <c r="V881" s="57"/>
      <c r="W881" s="57"/>
      <c r="X881" s="57"/>
      <c r="Y881" s="57"/>
      <c r="Z881" s="57"/>
      <c r="AA881" s="57"/>
      <c r="AB881" s="57"/>
      <c r="AC881" s="57"/>
      <c r="AD881" s="57"/>
    </row>
    <row r="882" spans="1:30" ht="13.5" thickBot="1" x14ac:dyDescent="0.25">
      <c r="A882" s="57"/>
      <c r="B882" s="180" t="s">
        <v>13419</v>
      </c>
      <c r="C882" s="181" t="s">
        <v>15365</v>
      </c>
      <c r="D882" s="180" t="s">
        <v>13953</v>
      </c>
      <c r="E882" s="180" t="s">
        <v>14430</v>
      </c>
      <c r="F882" s="180" t="s">
        <v>14452</v>
      </c>
      <c r="G882" s="180" t="s">
        <v>15342</v>
      </c>
      <c r="H882" s="180" t="s">
        <v>14400</v>
      </c>
      <c r="I882" s="180" t="s">
        <v>14468</v>
      </c>
      <c r="J882" s="57"/>
      <c r="K882" s="57"/>
      <c r="L882" s="57"/>
      <c r="M882" s="57"/>
      <c r="N882" s="57"/>
      <c r="O882" s="57"/>
      <c r="P882" s="57"/>
      <c r="Q882" s="57"/>
      <c r="R882" s="57"/>
      <c r="S882" s="57"/>
      <c r="T882" s="57"/>
      <c r="U882" s="57"/>
      <c r="V882" s="57"/>
      <c r="W882" s="57"/>
      <c r="X882" s="57"/>
      <c r="Y882" s="57"/>
      <c r="Z882" s="57"/>
      <c r="AA882" s="57"/>
      <c r="AB882" s="57"/>
      <c r="AC882" s="57"/>
      <c r="AD882" s="57"/>
    </row>
    <row r="883" spans="1:30" ht="13.5" thickBot="1" x14ac:dyDescent="0.25">
      <c r="A883" s="57"/>
      <c r="B883" s="219" t="s">
        <v>13426</v>
      </c>
      <c r="C883" s="220" t="s">
        <v>14490</v>
      </c>
      <c r="D883" s="219" t="s">
        <v>14932</v>
      </c>
      <c r="E883" s="219" t="s">
        <v>14448</v>
      </c>
      <c r="F883" s="219" t="s">
        <v>14585</v>
      </c>
      <c r="G883" s="219" t="s">
        <v>14766</v>
      </c>
      <c r="H883" s="219" t="s">
        <v>13753</v>
      </c>
      <c r="I883" s="219" t="s">
        <v>14508</v>
      </c>
      <c r="J883" s="57"/>
      <c r="K883" s="57"/>
      <c r="L883" s="57"/>
      <c r="M883" s="57"/>
      <c r="N883" s="57"/>
      <c r="O883" s="57"/>
      <c r="P883" s="57"/>
      <c r="Q883" s="57"/>
      <c r="R883" s="57"/>
      <c r="S883" s="57"/>
      <c r="T883" s="57"/>
      <c r="U883" s="57"/>
      <c r="V883" s="57"/>
      <c r="W883" s="57"/>
      <c r="X883" s="57"/>
      <c r="Y883" s="57"/>
      <c r="Z883" s="57"/>
      <c r="AA883" s="57"/>
      <c r="AB883" s="57"/>
      <c r="AC883" s="57"/>
      <c r="AD883" s="57"/>
    </row>
    <row r="884" spans="1:30" ht="13.5" thickBot="1" x14ac:dyDescent="0.25">
      <c r="A884" s="57"/>
      <c r="B884" s="180" t="s">
        <v>13432</v>
      </c>
      <c r="C884" s="181" t="s">
        <v>13916</v>
      </c>
      <c r="D884" s="180" t="s">
        <v>14421</v>
      </c>
      <c r="E884" s="180" t="s">
        <v>13630</v>
      </c>
      <c r="F884" s="180" t="s">
        <v>15328</v>
      </c>
      <c r="G884" s="180" t="s">
        <v>13590</v>
      </c>
      <c r="H884" s="180" t="s">
        <v>13757</v>
      </c>
      <c r="I884" s="180" t="s">
        <v>13874</v>
      </c>
      <c r="J884" s="57"/>
      <c r="K884" s="57"/>
      <c r="L884" s="57"/>
      <c r="M884" s="57"/>
      <c r="N884" s="57"/>
      <c r="O884" s="57"/>
      <c r="P884" s="57"/>
      <c r="Q884" s="57"/>
      <c r="R884" s="57"/>
      <c r="S884" s="57"/>
      <c r="T884" s="57"/>
      <c r="U884" s="57"/>
      <c r="V884" s="57"/>
      <c r="W884" s="57"/>
      <c r="X884" s="57"/>
      <c r="Y884" s="57"/>
      <c r="Z884" s="57"/>
      <c r="AA884" s="57"/>
      <c r="AB884" s="57"/>
      <c r="AC884" s="57"/>
      <c r="AD884" s="57"/>
    </row>
    <row r="885" spans="1:30" ht="13.5" thickBot="1" x14ac:dyDescent="0.25">
      <c r="A885" s="57"/>
      <c r="B885" s="219" t="s">
        <v>15366</v>
      </c>
      <c r="C885" s="219" t="s">
        <v>12699</v>
      </c>
      <c r="D885" s="219" t="s">
        <v>15367</v>
      </c>
      <c r="E885" s="219" t="s">
        <v>15368</v>
      </c>
      <c r="F885" s="219" t="s">
        <v>15369</v>
      </c>
      <c r="G885" s="219" t="s">
        <v>15370</v>
      </c>
      <c r="H885" s="219" t="s">
        <v>14528</v>
      </c>
      <c r="I885" s="219" t="s">
        <v>15371</v>
      </c>
      <c r="J885" s="57"/>
      <c r="K885" s="57"/>
      <c r="L885" s="57"/>
      <c r="M885" s="57"/>
      <c r="N885" s="57"/>
      <c r="O885" s="57"/>
      <c r="P885" s="57"/>
      <c r="Q885" s="57"/>
      <c r="R885" s="57"/>
      <c r="S885" s="57"/>
      <c r="T885" s="57"/>
      <c r="U885" s="57"/>
      <c r="V885" s="57"/>
      <c r="W885" s="57"/>
      <c r="X885" s="57"/>
      <c r="Y885" s="57"/>
      <c r="Z885" s="57"/>
      <c r="AA885" s="57"/>
      <c r="AB885" s="57"/>
      <c r="AC885" s="57"/>
      <c r="AD885" s="57"/>
    </row>
    <row r="886" spans="1:30" ht="13.5" thickBot="1" x14ac:dyDescent="0.25">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c r="AA886" s="57"/>
      <c r="AB886" s="57"/>
      <c r="AC886" s="57"/>
      <c r="AD886" s="57"/>
    </row>
    <row r="887" spans="1:30" ht="13.5" thickBot="1" x14ac:dyDescent="0.25">
      <c r="A887" s="57"/>
      <c r="B887" s="156" t="s">
        <v>15372</v>
      </c>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c r="AA887" s="57"/>
      <c r="AB887" s="57"/>
      <c r="AC887" s="57"/>
      <c r="AD887" s="57"/>
    </row>
    <row r="888" spans="1:30" ht="13.5" thickBot="1" x14ac:dyDescent="0.25">
      <c r="A888" s="57"/>
      <c r="B888" s="218" t="s">
        <v>13576</v>
      </c>
      <c r="C888" s="218" t="s">
        <v>15355</v>
      </c>
      <c r="D888" s="218" t="s">
        <v>15356</v>
      </c>
      <c r="E888" s="218" t="s">
        <v>14488</v>
      </c>
      <c r="F888" s="218" t="s">
        <v>15357</v>
      </c>
      <c r="G888" s="218" t="s">
        <v>15358</v>
      </c>
      <c r="H888" s="218" t="s">
        <v>15359</v>
      </c>
      <c r="I888" s="218" t="s">
        <v>14487</v>
      </c>
      <c r="J888" s="57"/>
      <c r="K888" s="57"/>
      <c r="L888" s="57"/>
      <c r="M888" s="57"/>
      <c r="N888" s="57"/>
      <c r="O888" s="57"/>
      <c r="P888" s="57"/>
      <c r="Q888" s="57"/>
      <c r="R888" s="57"/>
      <c r="S888" s="57"/>
      <c r="T888" s="57"/>
      <c r="U888" s="57"/>
      <c r="V888" s="57"/>
      <c r="W888" s="57"/>
      <c r="X888" s="57"/>
      <c r="Y888" s="57"/>
      <c r="Z888" s="57"/>
      <c r="AA888" s="57"/>
      <c r="AB888" s="57"/>
      <c r="AC888" s="57"/>
      <c r="AD888" s="57"/>
    </row>
    <row r="889" spans="1:30" ht="26.25" thickBot="1" x14ac:dyDescent="0.25">
      <c r="A889" s="57"/>
      <c r="B889" s="180" t="s">
        <v>14141</v>
      </c>
      <c r="C889" s="181" t="s">
        <v>14490</v>
      </c>
      <c r="D889" s="180" t="s">
        <v>13545</v>
      </c>
      <c r="E889" s="180" t="s">
        <v>14366</v>
      </c>
      <c r="F889" s="180" t="s">
        <v>15335</v>
      </c>
      <c r="G889" s="180" t="s">
        <v>15373</v>
      </c>
      <c r="H889" s="180" t="s">
        <v>14150</v>
      </c>
      <c r="I889" s="180" t="s">
        <v>13518</v>
      </c>
      <c r="J889" s="57"/>
      <c r="K889" s="57"/>
      <c r="L889" s="57"/>
      <c r="M889" s="57"/>
      <c r="N889" s="57"/>
      <c r="O889" s="57"/>
      <c r="P889" s="57"/>
      <c r="Q889" s="57"/>
      <c r="R889" s="57"/>
      <c r="S889" s="57"/>
      <c r="T889" s="57"/>
      <c r="U889" s="57"/>
      <c r="V889" s="57"/>
      <c r="W889" s="57"/>
      <c r="X889" s="57"/>
      <c r="Y889" s="57"/>
      <c r="Z889" s="57"/>
      <c r="AA889" s="57"/>
      <c r="AB889" s="57"/>
      <c r="AC889" s="57"/>
      <c r="AD889" s="57"/>
    </row>
    <row r="890" spans="1:30" ht="13.5" thickBot="1" x14ac:dyDescent="0.25">
      <c r="A890" s="57"/>
      <c r="B890" s="219" t="s">
        <v>13378</v>
      </c>
      <c r="C890" s="220" t="s">
        <v>14344</v>
      </c>
      <c r="D890" s="219" t="s">
        <v>13809</v>
      </c>
      <c r="E890" s="219" t="s">
        <v>14598</v>
      </c>
      <c r="F890" s="219" t="s">
        <v>13952</v>
      </c>
      <c r="G890" s="219" t="s">
        <v>13867</v>
      </c>
      <c r="H890" s="219" t="s">
        <v>13594</v>
      </c>
      <c r="I890" s="219" t="s">
        <v>13557</v>
      </c>
      <c r="J890" s="57"/>
      <c r="K890" s="57"/>
      <c r="L890" s="57"/>
      <c r="M890" s="57"/>
      <c r="N890" s="57"/>
      <c r="O890" s="57"/>
      <c r="P890" s="57"/>
      <c r="Q890" s="57"/>
      <c r="R890" s="57"/>
      <c r="S890" s="57"/>
      <c r="T890" s="57"/>
      <c r="U890" s="57"/>
      <c r="V890" s="57"/>
      <c r="W890" s="57"/>
      <c r="X890" s="57"/>
      <c r="Y890" s="57"/>
      <c r="Z890" s="57"/>
      <c r="AA890" s="57"/>
      <c r="AB890" s="57"/>
      <c r="AC890" s="57"/>
      <c r="AD890" s="57"/>
    </row>
    <row r="891" spans="1:30" ht="13.5" thickBot="1" x14ac:dyDescent="0.25">
      <c r="A891" s="57"/>
      <c r="B891" s="180" t="s">
        <v>13384</v>
      </c>
      <c r="C891" s="181" t="s">
        <v>15374</v>
      </c>
      <c r="D891" s="180" t="s">
        <v>13749</v>
      </c>
      <c r="E891" s="180" t="s">
        <v>13588</v>
      </c>
      <c r="F891" s="180" t="s">
        <v>14452</v>
      </c>
      <c r="G891" s="180" t="s">
        <v>14569</v>
      </c>
      <c r="H891" s="180" t="s">
        <v>14396</v>
      </c>
      <c r="I891" s="180" t="s">
        <v>14506</v>
      </c>
      <c r="J891" s="57"/>
      <c r="K891" s="57"/>
      <c r="L891" s="57"/>
      <c r="M891" s="57"/>
      <c r="N891" s="57"/>
      <c r="O891" s="57"/>
      <c r="P891" s="57"/>
      <c r="Q891" s="57"/>
      <c r="R891" s="57"/>
      <c r="S891" s="57"/>
      <c r="T891" s="57"/>
      <c r="U891" s="57"/>
      <c r="V891" s="57"/>
      <c r="W891" s="57"/>
      <c r="X891" s="57"/>
      <c r="Y891" s="57"/>
      <c r="Z891" s="57"/>
      <c r="AA891" s="57"/>
      <c r="AB891" s="57"/>
      <c r="AC891" s="57"/>
      <c r="AD891" s="57"/>
    </row>
    <row r="892" spans="1:30" ht="13.5" thickBot="1" x14ac:dyDescent="0.25">
      <c r="A892" s="57"/>
      <c r="B892" s="219" t="s">
        <v>13391</v>
      </c>
      <c r="C892" s="220" t="s">
        <v>13618</v>
      </c>
      <c r="D892" s="219" t="s">
        <v>14406</v>
      </c>
      <c r="E892" s="219" t="s">
        <v>14367</v>
      </c>
      <c r="F892" s="219" t="s">
        <v>14606</v>
      </c>
      <c r="G892" s="219" t="s">
        <v>13707</v>
      </c>
      <c r="H892" s="219" t="s">
        <v>13810</v>
      </c>
      <c r="I892" s="219" t="s">
        <v>15342</v>
      </c>
      <c r="J892" s="57"/>
      <c r="K892" s="57"/>
      <c r="L892" s="57"/>
      <c r="M892" s="57"/>
      <c r="N892" s="57"/>
      <c r="O892" s="57"/>
      <c r="P892" s="57"/>
      <c r="Q892" s="57"/>
      <c r="R892" s="57"/>
      <c r="S892" s="57"/>
      <c r="T892" s="57"/>
      <c r="U892" s="57"/>
      <c r="V892" s="57"/>
      <c r="W892" s="57"/>
      <c r="X892" s="57"/>
      <c r="Y892" s="57"/>
      <c r="Z892" s="57"/>
      <c r="AA892" s="57"/>
      <c r="AB892" s="57"/>
      <c r="AC892" s="57"/>
      <c r="AD892" s="57"/>
    </row>
    <row r="893" spans="1:30" ht="13.5" thickBot="1" x14ac:dyDescent="0.25">
      <c r="A893" s="57"/>
      <c r="B893" s="180" t="s">
        <v>13397</v>
      </c>
      <c r="C893" s="180" t="s">
        <v>13821</v>
      </c>
      <c r="D893" s="180" t="s">
        <v>13532</v>
      </c>
      <c r="E893" s="180" t="s">
        <v>13649</v>
      </c>
      <c r="F893" s="181" t="s">
        <v>14125</v>
      </c>
      <c r="G893" s="180" t="s">
        <v>14930</v>
      </c>
      <c r="H893" s="180" t="s">
        <v>15375</v>
      </c>
      <c r="I893" s="180" t="s">
        <v>15308</v>
      </c>
      <c r="J893" s="57"/>
      <c r="K893" s="57"/>
      <c r="L893" s="57"/>
      <c r="M893" s="57"/>
      <c r="N893" s="57"/>
      <c r="O893" s="57"/>
      <c r="P893" s="57"/>
      <c r="Q893" s="57"/>
      <c r="R893" s="57"/>
      <c r="S893" s="57"/>
      <c r="T893" s="57"/>
      <c r="U893" s="57"/>
      <c r="V893" s="57"/>
      <c r="W893" s="57"/>
      <c r="X893" s="57"/>
      <c r="Y893" s="57"/>
      <c r="Z893" s="57"/>
      <c r="AA893" s="57"/>
      <c r="AB893" s="57"/>
      <c r="AC893" s="57"/>
      <c r="AD893" s="57"/>
    </row>
    <row r="894" spans="1:30" ht="13.5" thickBot="1" x14ac:dyDescent="0.25">
      <c r="A894" s="57"/>
      <c r="B894" s="219" t="s">
        <v>13403</v>
      </c>
      <c r="C894" s="219" t="s">
        <v>13966</v>
      </c>
      <c r="D894" s="219" t="s">
        <v>13816</v>
      </c>
      <c r="E894" s="219" t="s">
        <v>14933</v>
      </c>
      <c r="F894" s="220" t="s">
        <v>14397</v>
      </c>
      <c r="G894" s="219" t="s">
        <v>15376</v>
      </c>
      <c r="H894" s="219" t="s">
        <v>13528</v>
      </c>
      <c r="I894" s="219" t="s">
        <v>14363</v>
      </c>
      <c r="J894" s="57"/>
      <c r="K894" s="57"/>
      <c r="L894" s="57"/>
      <c r="M894" s="57"/>
      <c r="N894" s="57"/>
      <c r="O894" s="57"/>
      <c r="P894" s="57"/>
      <c r="Q894" s="57"/>
      <c r="R894" s="57"/>
      <c r="S894" s="57"/>
      <c r="T894" s="57"/>
      <c r="U894" s="57"/>
      <c r="V894" s="57"/>
      <c r="W894" s="57"/>
      <c r="X894" s="57"/>
      <c r="Y894" s="57"/>
      <c r="Z894" s="57"/>
      <c r="AA894" s="57"/>
      <c r="AB894" s="57"/>
      <c r="AC894" s="57"/>
      <c r="AD894" s="57"/>
    </row>
    <row r="895" spans="1:30" ht="13.5" thickBot="1" x14ac:dyDescent="0.25">
      <c r="A895" s="57"/>
      <c r="B895" s="180" t="s">
        <v>15363</v>
      </c>
      <c r="C895" s="181" t="s">
        <v>13828</v>
      </c>
      <c r="D895" s="180" t="s">
        <v>13588</v>
      </c>
      <c r="E895" s="180" t="s">
        <v>13447</v>
      </c>
      <c r="F895" s="180" t="s">
        <v>13646</v>
      </c>
      <c r="G895" s="180" t="s">
        <v>15377</v>
      </c>
      <c r="H895" s="180" t="s">
        <v>13646</v>
      </c>
      <c r="I895" s="180" t="s">
        <v>13543</v>
      </c>
      <c r="J895" s="57"/>
      <c r="K895" s="57"/>
      <c r="L895" s="57"/>
      <c r="M895" s="57"/>
      <c r="N895" s="57"/>
      <c r="O895" s="57"/>
      <c r="P895" s="57"/>
      <c r="Q895" s="57"/>
      <c r="R895" s="57"/>
      <c r="S895" s="57"/>
      <c r="T895" s="57"/>
      <c r="U895" s="57"/>
      <c r="V895" s="57"/>
      <c r="W895" s="57"/>
      <c r="X895" s="57"/>
      <c r="Y895" s="57"/>
      <c r="Z895" s="57"/>
      <c r="AA895" s="57"/>
      <c r="AB895" s="57"/>
      <c r="AC895" s="57"/>
      <c r="AD895" s="57"/>
    </row>
    <row r="896" spans="1:30" ht="13.5" thickBot="1" x14ac:dyDescent="0.25">
      <c r="A896" s="57"/>
      <c r="B896" s="219" t="s">
        <v>13413</v>
      </c>
      <c r="C896" s="219" t="s">
        <v>14380</v>
      </c>
      <c r="D896" s="219" t="s">
        <v>14468</v>
      </c>
      <c r="E896" s="219" t="s">
        <v>13921</v>
      </c>
      <c r="F896" s="220" t="s">
        <v>15304</v>
      </c>
      <c r="G896" s="219" t="s">
        <v>15378</v>
      </c>
      <c r="H896" s="219" t="s">
        <v>14344</v>
      </c>
      <c r="I896" s="219" t="s">
        <v>13799</v>
      </c>
      <c r="J896" s="57"/>
      <c r="K896" s="57"/>
      <c r="L896" s="57"/>
      <c r="M896" s="57"/>
      <c r="N896" s="57"/>
      <c r="O896" s="57"/>
      <c r="P896" s="57"/>
      <c r="Q896" s="57"/>
      <c r="R896" s="57"/>
      <c r="S896" s="57"/>
      <c r="T896" s="57"/>
      <c r="U896" s="57"/>
      <c r="V896" s="57"/>
      <c r="W896" s="57"/>
      <c r="X896" s="57"/>
      <c r="Y896" s="57"/>
      <c r="Z896" s="57"/>
      <c r="AA896" s="57"/>
      <c r="AB896" s="57"/>
      <c r="AC896" s="57"/>
      <c r="AD896" s="57"/>
    </row>
    <row r="897" spans="1:30" ht="13.5" thickBot="1" x14ac:dyDescent="0.25">
      <c r="A897" s="57"/>
      <c r="B897" s="180" t="s">
        <v>13419</v>
      </c>
      <c r="C897" s="180" t="s">
        <v>14381</v>
      </c>
      <c r="D897" s="180" t="s">
        <v>13913</v>
      </c>
      <c r="E897" s="180" t="s">
        <v>13709</v>
      </c>
      <c r="F897" s="181" t="s">
        <v>13879</v>
      </c>
      <c r="G897" s="180" t="s">
        <v>13597</v>
      </c>
      <c r="H897" s="180" t="s">
        <v>14468</v>
      </c>
      <c r="I897" s="180" t="s">
        <v>14496</v>
      </c>
      <c r="J897" s="57"/>
      <c r="K897" s="57"/>
      <c r="L897" s="57"/>
      <c r="M897" s="57"/>
      <c r="N897" s="57"/>
      <c r="O897" s="57"/>
      <c r="P897" s="57"/>
      <c r="Q897" s="57"/>
      <c r="R897" s="57"/>
      <c r="S897" s="57"/>
      <c r="T897" s="57"/>
      <c r="U897" s="57"/>
      <c r="V897" s="57"/>
      <c r="W897" s="57"/>
      <c r="X897" s="57"/>
      <c r="Y897" s="57"/>
      <c r="Z897" s="57"/>
      <c r="AA897" s="57"/>
      <c r="AB897" s="57"/>
      <c r="AC897" s="57"/>
      <c r="AD897" s="57"/>
    </row>
    <row r="898" spans="1:30" ht="13.5" thickBot="1" x14ac:dyDescent="0.25">
      <c r="A898" s="57"/>
      <c r="B898" s="219" t="s">
        <v>13426</v>
      </c>
      <c r="C898" s="219" t="s">
        <v>13642</v>
      </c>
      <c r="D898" s="219" t="s">
        <v>14415</v>
      </c>
      <c r="E898" s="219" t="s">
        <v>13705</v>
      </c>
      <c r="F898" s="220" t="s">
        <v>13883</v>
      </c>
      <c r="G898" s="219" t="s">
        <v>15379</v>
      </c>
      <c r="H898" s="219" t="s">
        <v>15330</v>
      </c>
      <c r="I898" s="219" t="s">
        <v>13528</v>
      </c>
      <c r="J898" s="57"/>
      <c r="K898" s="57"/>
      <c r="L898" s="57"/>
      <c r="M898" s="57"/>
      <c r="N898" s="57"/>
      <c r="O898" s="57"/>
      <c r="P898" s="57"/>
      <c r="Q898" s="57"/>
      <c r="R898" s="57"/>
      <c r="S898" s="57"/>
      <c r="T898" s="57"/>
      <c r="U898" s="57"/>
      <c r="V898" s="57"/>
      <c r="W898" s="57"/>
      <c r="X898" s="57"/>
      <c r="Y898" s="57"/>
      <c r="Z898" s="57"/>
      <c r="AA898" s="57"/>
      <c r="AB898" s="57"/>
      <c r="AC898" s="57"/>
      <c r="AD898" s="57"/>
    </row>
    <row r="899" spans="1:30" ht="13.5" thickBot="1" x14ac:dyDescent="0.25">
      <c r="A899" s="57"/>
      <c r="B899" s="180" t="s">
        <v>13432</v>
      </c>
      <c r="C899" s="180" t="s">
        <v>13640</v>
      </c>
      <c r="D899" s="180" t="s">
        <v>13478</v>
      </c>
      <c r="E899" s="180" t="s">
        <v>14423</v>
      </c>
      <c r="F899" s="181" t="s">
        <v>13835</v>
      </c>
      <c r="G899" s="180" t="s">
        <v>15380</v>
      </c>
      <c r="H899" s="180" t="s">
        <v>13574</v>
      </c>
      <c r="I899" s="180" t="s">
        <v>15019</v>
      </c>
      <c r="J899" s="57"/>
      <c r="K899" s="57"/>
      <c r="L899" s="57"/>
      <c r="M899" s="57"/>
      <c r="N899" s="57"/>
      <c r="O899" s="57"/>
      <c r="P899" s="57"/>
      <c r="Q899" s="57"/>
      <c r="R899" s="57"/>
      <c r="S899" s="57"/>
      <c r="T899" s="57"/>
      <c r="U899" s="57"/>
      <c r="V899" s="57"/>
      <c r="W899" s="57"/>
      <c r="X899" s="57"/>
      <c r="Y899" s="57"/>
      <c r="Z899" s="57"/>
      <c r="AA899" s="57"/>
      <c r="AB899" s="57"/>
      <c r="AC899" s="57"/>
      <c r="AD899" s="57"/>
    </row>
    <row r="900" spans="1:30" ht="13.5" thickBot="1" x14ac:dyDescent="0.25">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c r="AA900" s="57"/>
      <c r="AB900" s="57"/>
      <c r="AC900" s="57"/>
      <c r="AD900" s="57"/>
    </row>
    <row r="901" spans="1:30" ht="13.5" thickBot="1" x14ac:dyDescent="0.25">
      <c r="A901" s="57"/>
      <c r="B901" s="156" t="s">
        <v>15381</v>
      </c>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c r="AA901" s="57"/>
      <c r="AB901" s="57"/>
      <c r="AC901" s="57"/>
      <c r="AD901" s="57"/>
    </row>
    <row r="902" spans="1:30" ht="13.5" thickBot="1" x14ac:dyDescent="0.25">
      <c r="A902" s="57"/>
      <c r="B902" s="218" t="s">
        <v>13576</v>
      </c>
      <c r="C902" s="218" t="s">
        <v>15355</v>
      </c>
      <c r="D902" s="218" t="s">
        <v>15356</v>
      </c>
      <c r="E902" s="218" t="s">
        <v>14488</v>
      </c>
      <c r="F902" s="218" t="s">
        <v>15357</v>
      </c>
      <c r="G902" s="218" t="s">
        <v>15358</v>
      </c>
      <c r="H902" s="218" t="s">
        <v>15359</v>
      </c>
      <c r="I902" s="218" t="s">
        <v>14487</v>
      </c>
      <c r="J902" s="57"/>
      <c r="K902" s="57"/>
      <c r="L902" s="57"/>
      <c r="M902" s="57"/>
      <c r="N902" s="57"/>
      <c r="O902" s="57"/>
      <c r="P902" s="57"/>
      <c r="Q902" s="57"/>
      <c r="R902" s="57"/>
      <c r="S902" s="57"/>
      <c r="T902" s="57"/>
      <c r="U902" s="57"/>
      <c r="V902" s="57"/>
      <c r="W902" s="57"/>
      <c r="X902" s="57"/>
      <c r="Y902" s="57"/>
      <c r="Z902" s="57"/>
      <c r="AA902" s="57"/>
      <c r="AB902" s="57"/>
      <c r="AC902" s="57"/>
      <c r="AD902" s="57"/>
    </row>
    <row r="903" spans="1:30" ht="26.25" thickBot="1" x14ac:dyDescent="0.25">
      <c r="A903" s="57"/>
      <c r="B903" s="180" t="s">
        <v>14141</v>
      </c>
      <c r="C903" s="221" t="s">
        <v>13902</v>
      </c>
      <c r="D903" s="180" t="s">
        <v>13760</v>
      </c>
      <c r="E903" s="181" t="s">
        <v>13588</v>
      </c>
      <c r="F903" s="180" t="s">
        <v>13909</v>
      </c>
      <c r="G903" s="180" t="s">
        <v>13401</v>
      </c>
      <c r="H903" s="180" t="s">
        <v>13902</v>
      </c>
      <c r="I903" s="180" t="s">
        <v>13516</v>
      </c>
      <c r="J903" s="57"/>
      <c r="K903" s="57"/>
      <c r="L903" s="57"/>
      <c r="M903" s="57"/>
      <c r="N903" s="57"/>
      <c r="O903" s="57"/>
      <c r="P903" s="57"/>
      <c r="Q903" s="57"/>
      <c r="R903" s="57"/>
      <c r="S903" s="57"/>
      <c r="T903" s="57"/>
      <c r="U903" s="57"/>
      <c r="V903" s="57"/>
      <c r="W903" s="57"/>
      <c r="X903" s="57"/>
      <c r="Y903" s="57"/>
      <c r="Z903" s="57"/>
      <c r="AA903" s="57"/>
      <c r="AB903" s="57"/>
      <c r="AC903" s="57"/>
      <c r="AD903" s="57"/>
    </row>
    <row r="904" spans="1:30" ht="13.5" thickBot="1" x14ac:dyDescent="0.25">
      <c r="A904" s="57"/>
      <c r="B904" s="219" t="s">
        <v>13378</v>
      </c>
      <c r="C904" s="222" t="s">
        <v>14125</v>
      </c>
      <c r="D904" s="219" t="s">
        <v>13623</v>
      </c>
      <c r="E904" s="220" t="s">
        <v>15382</v>
      </c>
      <c r="F904" s="219" t="s">
        <v>15334</v>
      </c>
      <c r="G904" s="219" t="s">
        <v>15383</v>
      </c>
      <c r="H904" s="219" t="s">
        <v>15319</v>
      </c>
      <c r="I904" s="219" t="s">
        <v>13897</v>
      </c>
      <c r="J904" s="57"/>
      <c r="K904" s="57"/>
      <c r="L904" s="57"/>
      <c r="M904" s="57"/>
      <c r="N904" s="57"/>
      <c r="O904" s="57"/>
      <c r="P904" s="57"/>
      <c r="Q904" s="57"/>
      <c r="R904" s="57"/>
      <c r="S904" s="57"/>
      <c r="T904" s="57"/>
      <c r="U904" s="57"/>
      <c r="V904" s="57"/>
      <c r="W904" s="57"/>
      <c r="X904" s="57"/>
      <c r="Y904" s="57"/>
      <c r="Z904" s="57"/>
      <c r="AA904" s="57"/>
      <c r="AB904" s="57"/>
      <c r="AC904" s="57"/>
      <c r="AD904" s="57"/>
    </row>
    <row r="905" spans="1:30" ht="13.5" thickBot="1" x14ac:dyDescent="0.25">
      <c r="A905" s="57"/>
      <c r="B905" s="180" t="s">
        <v>13384</v>
      </c>
      <c r="C905" s="221" t="s">
        <v>14381</v>
      </c>
      <c r="D905" s="180" t="s">
        <v>13551</v>
      </c>
      <c r="E905" s="181" t="s">
        <v>14107</v>
      </c>
      <c r="F905" s="180" t="s">
        <v>14441</v>
      </c>
      <c r="G905" s="180" t="s">
        <v>15384</v>
      </c>
      <c r="H905" s="180" t="s">
        <v>13551</v>
      </c>
      <c r="I905" s="180" t="s">
        <v>15302</v>
      </c>
      <c r="J905" s="57"/>
      <c r="K905" s="57"/>
      <c r="L905" s="57"/>
      <c r="M905" s="57"/>
      <c r="N905" s="57"/>
      <c r="O905" s="57"/>
      <c r="P905" s="57"/>
      <c r="Q905" s="57"/>
      <c r="R905" s="57"/>
      <c r="S905" s="57"/>
      <c r="T905" s="57"/>
      <c r="U905" s="57"/>
      <c r="V905" s="57"/>
      <c r="W905" s="57"/>
      <c r="X905" s="57"/>
      <c r="Y905" s="57"/>
      <c r="Z905" s="57"/>
      <c r="AA905" s="57"/>
      <c r="AB905" s="57"/>
      <c r="AC905" s="57"/>
      <c r="AD905" s="57"/>
    </row>
    <row r="906" spans="1:30" ht="13.5" thickBot="1" x14ac:dyDescent="0.25">
      <c r="A906" s="57"/>
      <c r="B906" s="219" t="s">
        <v>13391</v>
      </c>
      <c r="C906" s="222" t="s">
        <v>13502</v>
      </c>
      <c r="D906" s="219" t="s">
        <v>13516</v>
      </c>
      <c r="E906" s="219" t="s">
        <v>14322</v>
      </c>
      <c r="F906" s="219" t="s">
        <v>13401</v>
      </c>
      <c r="G906" s="220" t="s">
        <v>13628</v>
      </c>
      <c r="H906" s="219" t="s">
        <v>13513</v>
      </c>
      <c r="I906" s="219" t="s">
        <v>13516</v>
      </c>
      <c r="J906" s="57"/>
      <c r="K906" s="57"/>
      <c r="L906" s="57"/>
      <c r="M906" s="57"/>
      <c r="N906" s="57"/>
      <c r="O906" s="57"/>
      <c r="P906" s="57"/>
      <c r="Q906" s="57"/>
      <c r="R906" s="57"/>
      <c r="S906" s="57"/>
      <c r="T906" s="57"/>
      <c r="U906" s="57"/>
      <c r="V906" s="57"/>
      <c r="W906" s="57"/>
      <c r="X906" s="57"/>
      <c r="Y906" s="57"/>
      <c r="Z906" s="57"/>
      <c r="AA906" s="57"/>
      <c r="AB906" s="57"/>
      <c r="AC906" s="57"/>
      <c r="AD906" s="57"/>
    </row>
    <row r="907" spans="1:30" ht="13.5" thickBot="1" x14ac:dyDescent="0.25">
      <c r="A907" s="57"/>
      <c r="B907" s="180" t="s">
        <v>13397</v>
      </c>
      <c r="C907" s="221" t="s">
        <v>13589</v>
      </c>
      <c r="D907" s="181" t="s">
        <v>15365</v>
      </c>
      <c r="E907" s="180" t="s">
        <v>14432</v>
      </c>
      <c r="F907" s="180" t="s">
        <v>13496</v>
      </c>
      <c r="G907" s="180" t="s">
        <v>15353</v>
      </c>
      <c r="H907" s="180" t="s">
        <v>13420</v>
      </c>
      <c r="I907" s="180" t="s">
        <v>13586</v>
      </c>
      <c r="J907" s="57"/>
      <c r="K907" s="57"/>
      <c r="L907" s="57"/>
      <c r="M907" s="57"/>
      <c r="N907" s="57"/>
      <c r="O907" s="57"/>
      <c r="P907" s="57"/>
      <c r="Q907" s="57"/>
      <c r="R907" s="57"/>
      <c r="S907" s="57"/>
      <c r="T907" s="57"/>
      <c r="U907" s="57"/>
      <c r="V907" s="57"/>
      <c r="W907" s="57"/>
      <c r="X907" s="57"/>
      <c r="Y907" s="57"/>
      <c r="Z907" s="57"/>
      <c r="AA907" s="57"/>
      <c r="AB907" s="57"/>
      <c r="AC907" s="57"/>
      <c r="AD907" s="57"/>
    </row>
    <row r="908" spans="1:30" ht="13.5" thickBot="1" x14ac:dyDescent="0.25">
      <c r="A908" s="57"/>
      <c r="B908" s="219" t="s">
        <v>13403</v>
      </c>
      <c r="C908" s="222" t="s">
        <v>13692</v>
      </c>
      <c r="D908" s="219" t="s">
        <v>13959</v>
      </c>
      <c r="E908" s="220" t="s">
        <v>13558</v>
      </c>
      <c r="F908" s="219" t="s">
        <v>15385</v>
      </c>
      <c r="G908" s="219" t="s">
        <v>15386</v>
      </c>
      <c r="H908" s="219" t="s">
        <v>13659</v>
      </c>
      <c r="I908" s="219" t="s">
        <v>15336</v>
      </c>
      <c r="J908" s="57"/>
      <c r="K908" s="57"/>
      <c r="L908" s="57"/>
      <c r="M908" s="57"/>
      <c r="N908" s="57"/>
      <c r="O908" s="57"/>
      <c r="P908" s="57"/>
      <c r="Q908" s="57"/>
      <c r="R908" s="57"/>
      <c r="S908" s="57"/>
      <c r="T908" s="57"/>
      <c r="U908" s="57"/>
      <c r="V908" s="57"/>
      <c r="W908" s="57"/>
      <c r="X908" s="57"/>
      <c r="Y908" s="57"/>
      <c r="Z908" s="57"/>
      <c r="AA908" s="57"/>
      <c r="AB908" s="57"/>
      <c r="AC908" s="57"/>
      <c r="AD908" s="57"/>
    </row>
    <row r="909" spans="1:30" ht="13.5" thickBot="1" x14ac:dyDescent="0.25">
      <c r="A909" s="57"/>
      <c r="B909" s="180" t="s">
        <v>15363</v>
      </c>
      <c r="C909" s="221" t="s">
        <v>13814</v>
      </c>
      <c r="D909" s="180" t="s">
        <v>14598</v>
      </c>
      <c r="E909" s="181" t="s">
        <v>13912</v>
      </c>
      <c r="F909" s="180" t="s">
        <v>13780</v>
      </c>
      <c r="G909" s="180" t="s">
        <v>13784</v>
      </c>
      <c r="H909" s="180" t="s">
        <v>13780</v>
      </c>
      <c r="I909" s="180" t="s">
        <v>13846</v>
      </c>
      <c r="J909" s="57"/>
      <c r="K909" s="57"/>
      <c r="L909" s="57"/>
      <c r="M909" s="57"/>
      <c r="N909" s="57"/>
      <c r="O909" s="57"/>
      <c r="P909" s="57"/>
      <c r="Q909" s="57"/>
      <c r="R909" s="57"/>
      <c r="S909" s="57"/>
      <c r="T909" s="57"/>
      <c r="U909" s="57"/>
      <c r="V909" s="57"/>
      <c r="W909" s="57"/>
      <c r="X909" s="57"/>
      <c r="Y909" s="57"/>
      <c r="Z909" s="57"/>
      <c r="AA909" s="57"/>
      <c r="AB909" s="57"/>
      <c r="AC909" s="57"/>
      <c r="AD909" s="57"/>
    </row>
    <row r="910" spans="1:30" ht="13.5" thickBot="1" x14ac:dyDescent="0.25">
      <c r="A910" s="57"/>
      <c r="B910" s="219" t="s">
        <v>13413</v>
      </c>
      <c r="C910" s="222" t="s">
        <v>15330</v>
      </c>
      <c r="D910" s="220" t="s">
        <v>13949</v>
      </c>
      <c r="E910" s="219" t="s">
        <v>14432</v>
      </c>
      <c r="F910" s="219" t="s">
        <v>13681</v>
      </c>
      <c r="G910" s="219" t="s">
        <v>13614</v>
      </c>
      <c r="H910" s="219" t="s">
        <v>13743</v>
      </c>
      <c r="I910" s="219" t="s">
        <v>15387</v>
      </c>
      <c r="J910" s="57"/>
      <c r="K910" s="57"/>
      <c r="L910" s="57"/>
      <c r="M910" s="57"/>
      <c r="N910" s="57"/>
      <c r="O910" s="57"/>
      <c r="P910" s="57"/>
      <c r="Q910" s="57"/>
      <c r="R910" s="57"/>
      <c r="S910" s="57"/>
      <c r="T910" s="57"/>
      <c r="U910" s="57"/>
      <c r="V910" s="57"/>
      <c r="W910" s="57"/>
      <c r="X910" s="57"/>
      <c r="Y910" s="57"/>
      <c r="Z910" s="57"/>
      <c r="AA910" s="57"/>
      <c r="AB910" s="57"/>
      <c r="AC910" s="57"/>
      <c r="AD910" s="57"/>
    </row>
    <row r="911" spans="1:30" ht="13.5" thickBot="1" x14ac:dyDescent="0.25">
      <c r="A911" s="57"/>
      <c r="B911" s="180" t="s">
        <v>13419</v>
      </c>
      <c r="C911" s="221" t="s">
        <v>13532</v>
      </c>
      <c r="D911" s="180" t="s">
        <v>14413</v>
      </c>
      <c r="E911" s="181" t="s">
        <v>15388</v>
      </c>
      <c r="F911" s="180" t="s">
        <v>15312</v>
      </c>
      <c r="G911" s="180" t="s">
        <v>15330</v>
      </c>
      <c r="H911" s="180" t="s">
        <v>14452</v>
      </c>
      <c r="I911" s="180" t="s">
        <v>15310</v>
      </c>
      <c r="J911" s="57"/>
      <c r="K911" s="57"/>
      <c r="L911" s="57"/>
      <c r="M911" s="57"/>
      <c r="N911" s="57"/>
      <c r="O911" s="57"/>
      <c r="P911" s="57"/>
      <c r="Q911" s="57"/>
      <c r="R911" s="57"/>
      <c r="S911" s="57"/>
      <c r="T911" s="57"/>
      <c r="U911" s="57"/>
      <c r="V911" s="57"/>
      <c r="W911" s="57"/>
      <c r="X911" s="57"/>
      <c r="Y911" s="57"/>
      <c r="Z911" s="57"/>
      <c r="AA911" s="57"/>
      <c r="AB911" s="57"/>
      <c r="AC911" s="57"/>
      <c r="AD911" s="57"/>
    </row>
    <row r="912" spans="1:30" ht="13.5" thickBot="1" x14ac:dyDescent="0.25">
      <c r="A912" s="57"/>
      <c r="B912" s="219" t="s">
        <v>13426</v>
      </c>
      <c r="C912" s="222" t="s">
        <v>13691</v>
      </c>
      <c r="D912" s="219" t="s">
        <v>13587</v>
      </c>
      <c r="E912" s="220" t="s">
        <v>14397</v>
      </c>
      <c r="F912" s="219" t="s">
        <v>15389</v>
      </c>
      <c r="G912" s="219" t="s">
        <v>13404</v>
      </c>
      <c r="H912" s="219" t="s">
        <v>15342</v>
      </c>
      <c r="I912" s="219" t="s">
        <v>13954</v>
      </c>
      <c r="J912" s="57"/>
      <c r="K912" s="57"/>
      <c r="L912" s="57"/>
      <c r="M912" s="57"/>
      <c r="N912" s="57"/>
      <c r="O912" s="57"/>
      <c r="P912" s="57"/>
      <c r="Q912" s="57"/>
      <c r="R912" s="57"/>
      <c r="S912" s="57"/>
      <c r="T912" s="57"/>
      <c r="U912" s="57"/>
      <c r="V912" s="57"/>
      <c r="W912" s="57"/>
      <c r="X912" s="57"/>
      <c r="Y912" s="57"/>
      <c r="Z912" s="57"/>
      <c r="AA912" s="57"/>
      <c r="AB912" s="57"/>
      <c r="AC912" s="57"/>
      <c r="AD912" s="57"/>
    </row>
    <row r="913" spans="1:30" ht="13.5" thickBot="1" x14ac:dyDescent="0.25">
      <c r="A913" s="57"/>
      <c r="B913" s="180" t="s">
        <v>13432</v>
      </c>
      <c r="C913" s="221" t="s">
        <v>14422</v>
      </c>
      <c r="D913" s="180" t="s">
        <v>13819</v>
      </c>
      <c r="E913" s="181" t="s">
        <v>13665</v>
      </c>
      <c r="F913" s="180" t="s">
        <v>15349</v>
      </c>
      <c r="G913" s="180" t="s">
        <v>13568</v>
      </c>
      <c r="H913" s="180" t="s">
        <v>13780</v>
      </c>
      <c r="I913" s="180" t="s">
        <v>13819</v>
      </c>
      <c r="J913" s="57"/>
      <c r="K913" s="57"/>
      <c r="L913" s="57"/>
      <c r="M913" s="57"/>
      <c r="N913" s="57"/>
      <c r="O913" s="57"/>
      <c r="P913" s="57"/>
      <c r="Q913" s="57"/>
      <c r="R913" s="57"/>
      <c r="S913" s="57"/>
      <c r="T913" s="57"/>
      <c r="U913" s="57"/>
      <c r="V913" s="57"/>
      <c r="W913" s="57"/>
      <c r="X913" s="57"/>
      <c r="Y913" s="57"/>
      <c r="Z913" s="57"/>
      <c r="AA913" s="57"/>
      <c r="AB913" s="57"/>
      <c r="AC913" s="57"/>
      <c r="AD913" s="57"/>
    </row>
    <row r="914" spans="1:30" ht="13.5" thickBot="1" x14ac:dyDescent="0.25">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c r="AA914" s="57"/>
      <c r="AB914" s="57"/>
      <c r="AC914" s="57"/>
      <c r="AD914" s="57"/>
    </row>
    <row r="915" spans="1:30" ht="13.5" thickBot="1" x14ac:dyDescent="0.25">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c r="AA915" s="57"/>
      <c r="AB915" s="57"/>
      <c r="AC915" s="57"/>
      <c r="AD915" s="57"/>
    </row>
    <row r="916" spans="1:30" ht="13.5" thickBot="1" x14ac:dyDescent="0.25">
      <c r="A916" s="57"/>
      <c r="B916" s="223" t="s">
        <v>15390</v>
      </c>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c r="AA916" s="57"/>
      <c r="AB916" s="57"/>
      <c r="AC916" s="57"/>
      <c r="AD916" s="57"/>
    </row>
    <row r="917" spans="1:30" ht="26.25" thickBot="1" x14ac:dyDescent="0.25">
      <c r="A917" s="57"/>
      <c r="B917" s="218" t="s">
        <v>13576</v>
      </c>
      <c r="C917" s="218" t="s">
        <v>15391</v>
      </c>
      <c r="D917" s="218" t="s">
        <v>14336</v>
      </c>
      <c r="E917" s="218" t="s">
        <v>15392</v>
      </c>
      <c r="F917" s="218" t="s">
        <v>14139</v>
      </c>
      <c r="G917" s="218" t="s">
        <v>15393</v>
      </c>
      <c r="H917" s="218" t="s">
        <v>15394</v>
      </c>
      <c r="I917" s="218" t="s">
        <v>15316</v>
      </c>
      <c r="J917" s="218" t="s">
        <v>15395</v>
      </c>
      <c r="K917" s="57"/>
      <c r="L917" s="57"/>
      <c r="M917" s="57"/>
      <c r="N917" s="57"/>
      <c r="O917" s="57"/>
      <c r="P917" s="57"/>
      <c r="Q917" s="57"/>
      <c r="R917" s="57"/>
      <c r="S917" s="57"/>
      <c r="T917" s="57"/>
      <c r="U917" s="57"/>
      <c r="V917" s="57"/>
      <c r="W917" s="57"/>
      <c r="X917" s="57"/>
      <c r="Y917" s="57"/>
      <c r="Z917" s="57"/>
      <c r="AA917" s="57"/>
      <c r="AB917" s="57"/>
      <c r="AC917" s="57"/>
      <c r="AD917" s="57"/>
    </row>
    <row r="918" spans="1:30" ht="26.25" thickBot="1" x14ac:dyDescent="0.25">
      <c r="A918" s="57"/>
      <c r="B918" s="180" t="s">
        <v>14141</v>
      </c>
      <c r="C918" s="181" t="s">
        <v>13754</v>
      </c>
      <c r="D918" s="180" t="s">
        <v>14411</v>
      </c>
      <c r="E918" s="180" t="s">
        <v>13450</v>
      </c>
      <c r="F918" s="180" t="s">
        <v>15396</v>
      </c>
      <c r="G918" s="180" t="s">
        <v>14455</v>
      </c>
      <c r="H918" s="180" t="s">
        <v>14411</v>
      </c>
      <c r="I918" s="180" t="s">
        <v>14657</v>
      </c>
      <c r="J918" s="180" t="s">
        <v>14455</v>
      </c>
      <c r="K918" s="57"/>
      <c r="L918" s="57"/>
      <c r="M918" s="57"/>
      <c r="N918" s="57"/>
      <c r="O918" s="57"/>
      <c r="P918" s="57"/>
      <c r="Q918" s="57"/>
      <c r="R918" s="57"/>
      <c r="S918" s="57"/>
      <c r="T918" s="57"/>
      <c r="U918" s="57"/>
      <c r="V918" s="57"/>
      <c r="W918" s="57"/>
      <c r="X918" s="57"/>
      <c r="Y918" s="57"/>
      <c r="Z918" s="57"/>
      <c r="AA918" s="57"/>
      <c r="AB918" s="57"/>
      <c r="AC918" s="57"/>
      <c r="AD918" s="57"/>
    </row>
    <row r="919" spans="1:30" ht="13.5" thickBot="1" x14ac:dyDescent="0.25">
      <c r="A919" s="57"/>
      <c r="B919" s="219" t="s">
        <v>13378</v>
      </c>
      <c r="C919" s="220" t="s">
        <v>13794</v>
      </c>
      <c r="D919" s="219" t="s">
        <v>13787</v>
      </c>
      <c r="E919" s="219" t="s">
        <v>13870</v>
      </c>
      <c r="F919" s="219" t="s">
        <v>13952</v>
      </c>
      <c r="G919" s="219" t="s">
        <v>14499</v>
      </c>
      <c r="H919" s="219" t="s">
        <v>13912</v>
      </c>
      <c r="I919" s="219" t="s">
        <v>14359</v>
      </c>
      <c r="J919" s="219" t="s">
        <v>14468</v>
      </c>
      <c r="K919" s="57"/>
      <c r="L919" s="57"/>
      <c r="M919" s="57"/>
      <c r="N919" s="57"/>
      <c r="O919" s="57"/>
      <c r="P919" s="57"/>
      <c r="Q919" s="57"/>
      <c r="R919" s="57"/>
      <c r="S919" s="57"/>
      <c r="T919" s="57"/>
      <c r="U919" s="57"/>
      <c r="V919" s="57"/>
      <c r="W919" s="57"/>
      <c r="X919" s="57"/>
      <c r="Y919" s="57"/>
      <c r="Z919" s="57"/>
      <c r="AA919" s="57"/>
      <c r="AB919" s="57"/>
      <c r="AC919" s="57"/>
      <c r="AD919" s="57"/>
    </row>
    <row r="920" spans="1:30" ht="13.5" thickBot="1" x14ac:dyDescent="0.25">
      <c r="A920" s="57"/>
      <c r="B920" s="180" t="s">
        <v>13384</v>
      </c>
      <c r="C920" s="181" t="s">
        <v>13550</v>
      </c>
      <c r="D920" s="180" t="s">
        <v>13611</v>
      </c>
      <c r="E920" s="180" t="s">
        <v>13830</v>
      </c>
      <c r="F920" s="180" t="s">
        <v>13480</v>
      </c>
      <c r="G920" s="180" t="s">
        <v>13765</v>
      </c>
      <c r="H920" s="180" t="s">
        <v>13828</v>
      </c>
      <c r="I920" s="180" t="s">
        <v>14346</v>
      </c>
      <c r="J920" s="180" t="s">
        <v>13765</v>
      </c>
      <c r="K920" s="57"/>
      <c r="L920" s="57"/>
      <c r="M920" s="57"/>
      <c r="N920" s="57"/>
      <c r="O920" s="57"/>
      <c r="P920" s="57"/>
      <c r="Q920" s="57"/>
      <c r="R920" s="57"/>
      <c r="S920" s="57"/>
      <c r="T920" s="57"/>
      <c r="U920" s="57"/>
      <c r="V920" s="57"/>
      <c r="W920" s="57"/>
      <c r="X920" s="57"/>
      <c r="Y920" s="57"/>
      <c r="Z920" s="57"/>
      <c r="AA920" s="57"/>
      <c r="AB920" s="57"/>
      <c r="AC920" s="57"/>
      <c r="AD920" s="57"/>
    </row>
    <row r="921" spans="1:30" ht="13.5" thickBot="1" x14ac:dyDescent="0.25">
      <c r="A921" s="57"/>
      <c r="B921" s="219" t="s">
        <v>13391</v>
      </c>
      <c r="C921" s="220" t="s">
        <v>14530</v>
      </c>
      <c r="D921" s="219" t="s">
        <v>13690</v>
      </c>
      <c r="E921" s="219" t="s">
        <v>15397</v>
      </c>
      <c r="F921" s="219" t="s">
        <v>13446</v>
      </c>
      <c r="G921" s="219" t="s">
        <v>13604</v>
      </c>
      <c r="H921" s="219" t="s">
        <v>13786</v>
      </c>
      <c r="I921" s="219" t="s">
        <v>13410</v>
      </c>
      <c r="J921" s="219" t="s">
        <v>13968</v>
      </c>
      <c r="K921" s="57"/>
      <c r="L921" s="57"/>
      <c r="M921" s="57"/>
      <c r="N921" s="57"/>
      <c r="O921" s="57"/>
      <c r="P921" s="57"/>
      <c r="Q921" s="57"/>
      <c r="R921" s="57"/>
      <c r="S921" s="57"/>
      <c r="T921" s="57"/>
      <c r="U921" s="57"/>
      <c r="V921" s="57"/>
      <c r="W921" s="57"/>
      <c r="X921" s="57"/>
      <c r="Y921" s="57"/>
      <c r="Z921" s="57"/>
      <c r="AA921" s="57"/>
      <c r="AB921" s="57"/>
      <c r="AC921" s="57"/>
      <c r="AD921" s="57"/>
    </row>
    <row r="922" spans="1:30" ht="13.5" thickBot="1" x14ac:dyDescent="0.25">
      <c r="A922" s="57"/>
      <c r="B922" s="180" t="s">
        <v>13397</v>
      </c>
      <c r="C922" s="181" t="s">
        <v>14304</v>
      </c>
      <c r="D922" s="180" t="s">
        <v>13628</v>
      </c>
      <c r="E922" s="180" t="s">
        <v>13456</v>
      </c>
      <c r="F922" s="180" t="s">
        <v>15387</v>
      </c>
      <c r="G922" s="180" t="s">
        <v>13677</v>
      </c>
      <c r="H922" s="180" t="s">
        <v>13574</v>
      </c>
      <c r="I922" s="180" t="s">
        <v>13818</v>
      </c>
      <c r="J922" s="180" t="s">
        <v>13884</v>
      </c>
      <c r="K922" s="57"/>
      <c r="L922" s="57"/>
      <c r="M922" s="57"/>
      <c r="N922" s="57"/>
      <c r="O922" s="57"/>
      <c r="P922" s="57"/>
      <c r="Q922" s="57"/>
      <c r="R922" s="57"/>
      <c r="S922" s="57"/>
      <c r="T922" s="57"/>
      <c r="U922" s="57"/>
      <c r="V922" s="57"/>
      <c r="W922" s="57"/>
      <c r="X922" s="57"/>
      <c r="Y922" s="57"/>
      <c r="Z922" s="57"/>
      <c r="AA922" s="57"/>
      <c r="AB922" s="57"/>
      <c r="AC922" s="57"/>
      <c r="AD922" s="57"/>
    </row>
    <row r="923" spans="1:30" ht="13.5" thickBot="1" x14ac:dyDescent="0.25">
      <c r="A923" s="57"/>
      <c r="B923" s="219" t="s">
        <v>13403</v>
      </c>
      <c r="C923" s="220" t="s">
        <v>13792</v>
      </c>
      <c r="D923" s="219" t="s">
        <v>14447</v>
      </c>
      <c r="E923" s="219" t="s">
        <v>15398</v>
      </c>
      <c r="F923" s="219" t="s">
        <v>13659</v>
      </c>
      <c r="G923" s="219" t="s">
        <v>14937</v>
      </c>
      <c r="H923" s="219" t="s">
        <v>13775</v>
      </c>
      <c r="I923" s="219" t="s">
        <v>15399</v>
      </c>
      <c r="J923" s="219" t="s">
        <v>14455</v>
      </c>
      <c r="K923" s="57"/>
      <c r="L923" s="57"/>
      <c r="M923" s="57"/>
      <c r="N923" s="57"/>
      <c r="O923" s="57"/>
      <c r="P923" s="57"/>
      <c r="Q923" s="57"/>
      <c r="R923" s="57"/>
      <c r="S923" s="57"/>
      <c r="T923" s="57"/>
      <c r="U923" s="57"/>
      <c r="V923" s="57"/>
      <c r="W923" s="57"/>
      <c r="X923" s="57"/>
      <c r="Y923" s="57"/>
      <c r="Z923" s="57"/>
      <c r="AA923" s="57"/>
      <c r="AB923" s="57"/>
      <c r="AC923" s="57"/>
      <c r="AD923" s="57"/>
    </row>
    <row r="924" spans="1:30" ht="13.5" thickBot="1" x14ac:dyDescent="0.25">
      <c r="A924" s="57"/>
      <c r="B924" s="180" t="s">
        <v>15363</v>
      </c>
      <c r="C924" s="181" t="s">
        <v>13612</v>
      </c>
      <c r="D924" s="180" t="s">
        <v>14601</v>
      </c>
      <c r="E924" s="180" t="s">
        <v>13827</v>
      </c>
      <c r="F924" s="180" t="s">
        <v>13599</v>
      </c>
      <c r="G924" s="180" t="s">
        <v>13414</v>
      </c>
      <c r="H924" s="180" t="s">
        <v>14322</v>
      </c>
      <c r="I924" s="180" t="s">
        <v>15400</v>
      </c>
      <c r="J924" s="180" t="s">
        <v>13845</v>
      </c>
      <c r="K924" s="57"/>
      <c r="L924" s="57"/>
      <c r="M924" s="57"/>
      <c r="N924" s="57"/>
      <c r="O924" s="57"/>
      <c r="P924" s="57"/>
      <c r="Q924" s="57"/>
      <c r="R924" s="57"/>
      <c r="S924" s="57"/>
      <c r="T924" s="57"/>
      <c r="U924" s="57"/>
      <c r="V924" s="57"/>
      <c r="W924" s="57"/>
      <c r="X924" s="57"/>
      <c r="Y924" s="57"/>
      <c r="Z924" s="57"/>
      <c r="AA924" s="57"/>
      <c r="AB924" s="57"/>
      <c r="AC924" s="57"/>
      <c r="AD924" s="57"/>
    </row>
    <row r="925" spans="1:30" ht="13.5" thickBot="1" x14ac:dyDescent="0.25">
      <c r="A925" s="57"/>
      <c r="B925" s="219" t="s">
        <v>13413</v>
      </c>
      <c r="C925" s="220" t="s">
        <v>13485</v>
      </c>
      <c r="D925" s="219" t="s">
        <v>13846</v>
      </c>
      <c r="E925" s="219" t="s">
        <v>13618</v>
      </c>
      <c r="F925" s="219" t="s">
        <v>14409</v>
      </c>
      <c r="G925" s="219" t="s">
        <v>13850</v>
      </c>
      <c r="H925" s="219" t="s">
        <v>13831</v>
      </c>
      <c r="I925" s="219" t="s">
        <v>13895</v>
      </c>
      <c r="J925" s="219" t="s">
        <v>13913</v>
      </c>
      <c r="K925" s="57"/>
      <c r="L925" s="57"/>
      <c r="M925" s="57"/>
      <c r="N925" s="57"/>
      <c r="O925" s="57"/>
      <c r="P925" s="57"/>
      <c r="Q925" s="57"/>
      <c r="R925" s="57"/>
      <c r="S925" s="57"/>
      <c r="T925" s="57"/>
      <c r="U925" s="57"/>
      <c r="V925" s="57"/>
      <c r="W925" s="57"/>
      <c r="X925" s="57"/>
      <c r="Y925" s="57"/>
      <c r="Z925" s="57"/>
      <c r="AA925" s="57"/>
      <c r="AB925" s="57"/>
      <c r="AC925" s="57"/>
      <c r="AD925" s="57"/>
    </row>
    <row r="926" spans="1:30" ht="13.5" thickBot="1" x14ac:dyDescent="0.25">
      <c r="A926" s="57"/>
      <c r="B926" s="180" t="s">
        <v>13419</v>
      </c>
      <c r="C926" s="181" t="s">
        <v>15365</v>
      </c>
      <c r="D926" s="180" t="s">
        <v>13574</v>
      </c>
      <c r="E926" s="180" t="s">
        <v>14415</v>
      </c>
      <c r="F926" s="180" t="s">
        <v>15351</v>
      </c>
      <c r="G926" s="180" t="s">
        <v>13878</v>
      </c>
      <c r="H926" s="180" t="s">
        <v>13485</v>
      </c>
      <c r="I926" s="180" t="s">
        <v>13566</v>
      </c>
      <c r="J926" s="180" t="s">
        <v>14468</v>
      </c>
      <c r="K926" s="57"/>
      <c r="L926" s="57"/>
      <c r="M926" s="57"/>
      <c r="N926" s="57"/>
      <c r="O926" s="57"/>
      <c r="P926" s="57"/>
      <c r="Q926" s="57"/>
      <c r="R926" s="57"/>
      <c r="S926" s="57"/>
      <c r="T926" s="57"/>
      <c r="U926" s="57"/>
      <c r="V926" s="57"/>
      <c r="W926" s="57"/>
      <c r="X926" s="57"/>
      <c r="Y926" s="57"/>
      <c r="Z926" s="57"/>
      <c r="AA926" s="57"/>
      <c r="AB926" s="57"/>
      <c r="AC926" s="57"/>
      <c r="AD926" s="57"/>
    </row>
    <row r="927" spans="1:30" ht="13.5" thickBot="1" x14ac:dyDescent="0.25">
      <c r="A927" s="57"/>
      <c r="B927" s="219" t="s">
        <v>13426</v>
      </c>
      <c r="C927" s="220" t="s">
        <v>14490</v>
      </c>
      <c r="D927" s="219" t="s">
        <v>13852</v>
      </c>
      <c r="E927" s="219" t="s">
        <v>13619</v>
      </c>
      <c r="F927" s="219" t="s">
        <v>15401</v>
      </c>
      <c r="G927" s="219" t="s">
        <v>13567</v>
      </c>
      <c r="H927" s="219" t="s">
        <v>13754</v>
      </c>
      <c r="I927" s="219" t="s">
        <v>15402</v>
      </c>
      <c r="J927" s="219" t="s">
        <v>14508</v>
      </c>
      <c r="K927" s="57"/>
      <c r="L927" s="57"/>
      <c r="M927" s="57"/>
      <c r="N927" s="57"/>
      <c r="O927" s="57"/>
      <c r="P927" s="57"/>
      <c r="Q927" s="57"/>
      <c r="R927" s="57"/>
      <c r="S927" s="57"/>
      <c r="T927" s="57"/>
      <c r="U927" s="57"/>
      <c r="V927" s="57"/>
      <c r="W927" s="57"/>
      <c r="X927" s="57"/>
      <c r="Y927" s="57"/>
      <c r="Z927" s="57"/>
      <c r="AA927" s="57"/>
      <c r="AB927" s="57"/>
      <c r="AC927" s="57"/>
      <c r="AD927" s="57"/>
    </row>
    <row r="928" spans="1:30" ht="13.5" thickBot="1" x14ac:dyDescent="0.25">
      <c r="A928" s="57"/>
      <c r="B928" s="180" t="s">
        <v>13432</v>
      </c>
      <c r="C928" s="181" t="s">
        <v>13916</v>
      </c>
      <c r="D928" s="180" t="s">
        <v>13479</v>
      </c>
      <c r="E928" s="180" t="s">
        <v>14453</v>
      </c>
      <c r="F928" s="180" t="s">
        <v>14460</v>
      </c>
      <c r="G928" s="180" t="s">
        <v>14421</v>
      </c>
      <c r="H928" s="180" t="s">
        <v>14606</v>
      </c>
      <c r="I928" s="180" t="s">
        <v>14361</v>
      </c>
      <c r="J928" s="180" t="s">
        <v>13874</v>
      </c>
      <c r="K928" s="57"/>
      <c r="L928" s="57"/>
      <c r="M928" s="57"/>
      <c r="N928" s="57"/>
      <c r="O928" s="57"/>
      <c r="P928" s="57"/>
      <c r="Q928" s="57"/>
      <c r="R928" s="57"/>
      <c r="S928" s="57"/>
      <c r="T928" s="57"/>
      <c r="U928" s="57"/>
      <c r="V928" s="57"/>
      <c r="W928" s="57"/>
      <c r="X928" s="57"/>
      <c r="Y928" s="57"/>
      <c r="Z928" s="57"/>
      <c r="AA928" s="57"/>
      <c r="AB928" s="57"/>
      <c r="AC928" s="57"/>
      <c r="AD928" s="57"/>
    </row>
    <row r="929" spans="1:30" ht="13.5" thickBot="1" x14ac:dyDescent="0.25">
      <c r="A929" s="57"/>
      <c r="B929" s="219" t="s">
        <v>15366</v>
      </c>
      <c r="C929" s="219" t="s">
        <v>12699</v>
      </c>
      <c r="D929" s="219" t="s">
        <v>15403</v>
      </c>
      <c r="E929" s="219" t="s">
        <v>15404</v>
      </c>
      <c r="F929" s="219" t="s">
        <v>15405</v>
      </c>
      <c r="G929" s="219" t="s">
        <v>15367</v>
      </c>
      <c r="H929" s="219" t="s">
        <v>15406</v>
      </c>
      <c r="I929" s="219" t="s">
        <v>15407</v>
      </c>
      <c r="J929" s="219" t="s">
        <v>15371</v>
      </c>
      <c r="K929" s="57"/>
      <c r="L929" s="57"/>
      <c r="M929" s="57"/>
      <c r="N929" s="57"/>
      <c r="O929" s="57"/>
      <c r="P929" s="57"/>
      <c r="Q929" s="57"/>
      <c r="R929" s="57"/>
      <c r="S929" s="57"/>
      <c r="T929" s="57"/>
      <c r="U929" s="57"/>
      <c r="V929" s="57"/>
      <c r="W929" s="57"/>
      <c r="X929" s="57"/>
      <c r="Y929" s="57"/>
      <c r="Z929" s="57"/>
      <c r="AA929" s="57"/>
      <c r="AB929" s="57"/>
      <c r="AC929" s="57"/>
      <c r="AD929" s="57"/>
    </row>
    <row r="930" spans="1:30" ht="13.5" thickBot="1" x14ac:dyDescent="0.25">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c r="AA930" s="57"/>
      <c r="AB930" s="57"/>
      <c r="AC930" s="57"/>
      <c r="AD930" s="57"/>
    </row>
    <row r="931" spans="1:30" ht="13.5" thickBot="1" x14ac:dyDescent="0.25">
      <c r="A931" s="57"/>
      <c r="B931" s="156" t="s">
        <v>15408</v>
      </c>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c r="AA931" s="57"/>
      <c r="AB931" s="57"/>
      <c r="AC931" s="57"/>
      <c r="AD931" s="57"/>
    </row>
    <row r="932" spans="1:30" ht="26.25" thickBot="1" x14ac:dyDescent="0.25">
      <c r="A932" s="57"/>
      <c r="B932" s="218" t="s">
        <v>13576</v>
      </c>
      <c r="C932" s="224" t="s">
        <v>15391</v>
      </c>
      <c r="D932" s="218" t="s">
        <v>14336</v>
      </c>
      <c r="E932" s="218" t="s">
        <v>15392</v>
      </c>
      <c r="F932" s="218" t="s">
        <v>14139</v>
      </c>
      <c r="G932" s="218" t="s">
        <v>15393</v>
      </c>
      <c r="H932" s="218" t="s">
        <v>15394</v>
      </c>
      <c r="I932" s="218" t="s">
        <v>15316</v>
      </c>
      <c r="J932" s="218" t="s">
        <v>15395</v>
      </c>
      <c r="K932" s="57"/>
      <c r="L932" s="57"/>
      <c r="M932" s="57"/>
      <c r="N932" s="57"/>
      <c r="O932" s="57"/>
      <c r="P932" s="57"/>
      <c r="Q932" s="57"/>
      <c r="R932" s="57"/>
      <c r="S932" s="57"/>
      <c r="T932" s="57"/>
      <c r="U932" s="57"/>
      <c r="V932" s="57"/>
      <c r="W932" s="57"/>
      <c r="X932" s="57"/>
      <c r="Y932" s="57"/>
      <c r="Z932" s="57"/>
      <c r="AA932" s="57"/>
      <c r="AB932" s="57"/>
      <c r="AC932" s="57"/>
      <c r="AD932" s="57"/>
    </row>
    <row r="933" spans="1:30" ht="26.25" thickBot="1" x14ac:dyDescent="0.25">
      <c r="A933" s="57"/>
      <c r="B933" s="180" t="s">
        <v>14141</v>
      </c>
      <c r="C933" s="181" t="s">
        <v>14490</v>
      </c>
      <c r="D933" s="180" t="s">
        <v>14937</v>
      </c>
      <c r="E933" s="180" t="s">
        <v>13775</v>
      </c>
      <c r="F933" s="180" t="s">
        <v>13615</v>
      </c>
      <c r="G933" s="180" t="s">
        <v>13764</v>
      </c>
      <c r="H933" s="180" t="s">
        <v>15336</v>
      </c>
      <c r="I933" s="180" t="s">
        <v>15409</v>
      </c>
      <c r="J933" s="180" t="s">
        <v>13518</v>
      </c>
      <c r="K933" s="57"/>
      <c r="L933" s="57"/>
      <c r="M933" s="57"/>
      <c r="N933" s="57"/>
      <c r="O933" s="57"/>
      <c r="P933" s="57"/>
      <c r="Q933" s="57"/>
      <c r="R933" s="57"/>
      <c r="S933" s="57"/>
      <c r="T933" s="57"/>
      <c r="U933" s="57"/>
      <c r="V933" s="57"/>
      <c r="W933" s="57"/>
      <c r="X933" s="57"/>
      <c r="Y933" s="57"/>
      <c r="Z933" s="57"/>
      <c r="AA933" s="57"/>
      <c r="AB933" s="57"/>
      <c r="AC933" s="57"/>
      <c r="AD933" s="57"/>
    </row>
    <row r="934" spans="1:30" ht="13.5" thickBot="1" x14ac:dyDescent="0.25">
      <c r="A934" s="57"/>
      <c r="B934" s="219" t="s">
        <v>13378</v>
      </c>
      <c r="C934" s="220" t="s">
        <v>14344</v>
      </c>
      <c r="D934" s="219" t="s">
        <v>13772</v>
      </c>
      <c r="E934" s="219" t="s">
        <v>13640</v>
      </c>
      <c r="F934" s="219" t="s">
        <v>13887</v>
      </c>
      <c r="G934" s="219" t="s">
        <v>13949</v>
      </c>
      <c r="H934" s="219" t="s">
        <v>14383</v>
      </c>
      <c r="I934" s="219" t="s">
        <v>13584</v>
      </c>
      <c r="J934" s="219" t="s">
        <v>13557</v>
      </c>
      <c r="K934" s="57"/>
      <c r="L934" s="57"/>
      <c r="M934" s="57"/>
      <c r="N934" s="57"/>
      <c r="O934" s="57"/>
      <c r="P934" s="57"/>
      <c r="Q934" s="57"/>
      <c r="R934" s="57"/>
      <c r="S934" s="57"/>
      <c r="T934" s="57"/>
      <c r="U934" s="57"/>
      <c r="V934" s="57"/>
      <c r="W934" s="57"/>
      <c r="X934" s="57"/>
      <c r="Y934" s="57"/>
      <c r="Z934" s="57"/>
      <c r="AA934" s="57"/>
      <c r="AB934" s="57"/>
      <c r="AC934" s="57"/>
      <c r="AD934" s="57"/>
    </row>
    <row r="935" spans="1:30" ht="13.5" thickBot="1" x14ac:dyDescent="0.25">
      <c r="A935" s="57"/>
      <c r="B935" s="180" t="s">
        <v>13384</v>
      </c>
      <c r="C935" s="181" t="s">
        <v>15374</v>
      </c>
      <c r="D935" s="180" t="s">
        <v>13950</v>
      </c>
      <c r="E935" s="180" t="s">
        <v>13887</v>
      </c>
      <c r="F935" s="180" t="s">
        <v>13543</v>
      </c>
      <c r="G935" s="180" t="s">
        <v>14381</v>
      </c>
      <c r="H935" s="180" t="s">
        <v>13875</v>
      </c>
      <c r="I935" s="180" t="s">
        <v>15242</v>
      </c>
      <c r="J935" s="180" t="s">
        <v>14506</v>
      </c>
      <c r="K935" s="57"/>
      <c r="L935" s="57"/>
      <c r="M935" s="57"/>
      <c r="N935" s="57"/>
      <c r="O935" s="57"/>
      <c r="P935" s="57"/>
      <c r="Q935" s="57"/>
      <c r="R935" s="57"/>
      <c r="S935" s="57"/>
      <c r="T935" s="57"/>
      <c r="U935" s="57"/>
      <c r="V935" s="57"/>
      <c r="W935" s="57"/>
      <c r="X935" s="57"/>
      <c r="Y935" s="57"/>
      <c r="Z935" s="57"/>
      <c r="AA935" s="57"/>
      <c r="AB935" s="57"/>
      <c r="AC935" s="57"/>
      <c r="AD935" s="57"/>
    </row>
    <row r="936" spans="1:30" ht="13.5" thickBot="1" x14ac:dyDescent="0.25">
      <c r="A936" s="57"/>
      <c r="B936" s="219" t="s">
        <v>13391</v>
      </c>
      <c r="C936" s="219" t="s">
        <v>13618</v>
      </c>
      <c r="D936" s="219" t="s">
        <v>13844</v>
      </c>
      <c r="E936" s="219" t="s">
        <v>13832</v>
      </c>
      <c r="F936" s="219" t="s">
        <v>15336</v>
      </c>
      <c r="G936" s="220" t="s">
        <v>13856</v>
      </c>
      <c r="H936" s="219" t="s">
        <v>14929</v>
      </c>
      <c r="I936" s="219" t="s">
        <v>13400</v>
      </c>
      <c r="J936" s="219" t="s">
        <v>15342</v>
      </c>
      <c r="K936" s="57"/>
      <c r="L936" s="57"/>
      <c r="M936" s="57"/>
      <c r="N936" s="57"/>
      <c r="O936" s="57"/>
      <c r="P936" s="57"/>
      <c r="Q936" s="57"/>
      <c r="R936" s="57"/>
      <c r="S936" s="57"/>
      <c r="T936" s="57"/>
      <c r="U936" s="57"/>
      <c r="V936" s="57"/>
      <c r="W936" s="57"/>
      <c r="X936" s="57"/>
      <c r="Y936" s="57"/>
      <c r="Z936" s="57"/>
      <c r="AA936" s="57"/>
      <c r="AB936" s="57"/>
      <c r="AC936" s="57"/>
      <c r="AD936" s="57"/>
    </row>
    <row r="937" spans="1:30" ht="13.5" thickBot="1" x14ac:dyDescent="0.25">
      <c r="A937" s="57"/>
      <c r="B937" s="180" t="s">
        <v>13397</v>
      </c>
      <c r="C937" s="180" t="s">
        <v>13821</v>
      </c>
      <c r="D937" s="180" t="s">
        <v>14397</v>
      </c>
      <c r="E937" s="180" t="s">
        <v>14434</v>
      </c>
      <c r="F937" s="180" t="s">
        <v>13788</v>
      </c>
      <c r="G937" s="180" t="s">
        <v>13794</v>
      </c>
      <c r="H937" s="180" t="s">
        <v>14392</v>
      </c>
      <c r="I937" s="180" t="s">
        <v>15410</v>
      </c>
      <c r="J937" s="181" t="s">
        <v>15308</v>
      </c>
      <c r="K937" s="57"/>
      <c r="L937" s="57"/>
      <c r="M937" s="57"/>
      <c r="N937" s="57"/>
      <c r="O937" s="57"/>
      <c r="P937" s="57"/>
      <c r="Q937" s="57"/>
      <c r="R937" s="57"/>
      <c r="S937" s="57"/>
      <c r="T937" s="57"/>
      <c r="U937" s="57"/>
      <c r="V937" s="57"/>
      <c r="W937" s="57"/>
      <c r="X937" s="57"/>
      <c r="Y937" s="57"/>
      <c r="Z937" s="57"/>
      <c r="AA937" s="57"/>
      <c r="AB937" s="57"/>
      <c r="AC937" s="57"/>
      <c r="AD937" s="57"/>
    </row>
    <row r="938" spans="1:30" ht="13.5" thickBot="1" x14ac:dyDescent="0.25">
      <c r="A938" s="57"/>
      <c r="B938" s="219" t="s">
        <v>13403</v>
      </c>
      <c r="C938" s="219" t="s">
        <v>13966</v>
      </c>
      <c r="D938" s="219" t="s">
        <v>14448</v>
      </c>
      <c r="E938" s="219" t="s">
        <v>13898</v>
      </c>
      <c r="F938" s="219" t="s">
        <v>13599</v>
      </c>
      <c r="G938" s="219" t="s">
        <v>14932</v>
      </c>
      <c r="H938" s="219" t="s">
        <v>13586</v>
      </c>
      <c r="I938" s="219" t="s">
        <v>15411</v>
      </c>
      <c r="J938" s="220" t="s">
        <v>14363</v>
      </c>
      <c r="K938" s="57"/>
      <c r="L938" s="57"/>
      <c r="M938" s="57"/>
      <c r="N938" s="57"/>
      <c r="O938" s="57"/>
      <c r="P938" s="57"/>
      <c r="Q938" s="57"/>
      <c r="R938" s="57"/>
      <c r="S938" s="57"/>
      <c r="T938" s="57"/>
      <c r="U938" s="57"/>
      <c r="V938" s="57"/>
      <c r="W938" s="57"/>
      <c r="X938" s="57"/>
      <c r="Y938" s="57"/>
      <c r="Z938" s="57"/>
      <c r="AA938" s="57"/>
      <c r="AB938" s="57"/>
      <c r="AC938" s="57"/>
      <c r="AD938" s="57"/>
    </row>
    <row r="939" spans="1:30" ht="13.5" thickBot="1" x14ac:dyDescent="0.25">
      <c r="A939" s="57"/>
      <c r="B939" s="180" t="s">
        <v>15363</v>
      </c>
      <c r="C939" s="181" t="s">
        <v>13828</v>
      </c>
      <c r="D939" s="180" t="s">
        <v>13373</v>
      </c>
      <c r="E939" s="180" t="s">
        <v>13669</v>
      </c>
      <c r="F939" s="180" t="s">
        <v>15323</v>
      </c>
      <c r="G939" s="180" t="s">
        <v>13691</v>
      </c>
      <c r="H939" s="180" t="s">
        <v>13474</v>
      </c>
      <c r="I939" s="180" t="s">
        <v>13393</v>
      </c>
      <c r="J939" s="180" t="s">
        <v>13543</v>
      </c>
      <c r="K939" s="57"/>
      <c r="L939" s="57"/>
      <c r="M939" s="57"/>
      <c r="N939" s="57"/>
      <c r="O939" s="57"/>
      <c r="P939" s="57"/>
      <c r="Q939" s="57"/>
      <c r="R939" s="57"/>
      <c r="S939" s="57"/>
      <c r="T939" s="57"/>
      <c r="U939" s="57"/>
      <c r="V939" s="57"/>
      <c r="W939" s="57"/>
      <c r="X939" s="57"/>
      <c r="Y939" s="57"/>
      <c r="Z939" s="57"/>
      <c r="AA939" s="57"/>
      <c r="AB939" s="57"/>
      <c r="AC939" s="57"/>
      <c r="AD939" s="57"/>
    </row>
    <row r="940" spans="1:30" ht="13.5" thickBot="1" x14ac:dyDescent="0.25">
      <c r="A940" s="57"/>
      <c r="B940" s="219" t="s">
        <v>13413</v>
      </c>
      <c r="C940" s="220" t="s">
        <v>14380</v>
      </c>
      <c r="D940" s="219" t="s">
        <v>13835</v>
      </c>
      <c r="E940" s="219" t="s">
        <v>14549</v>
      </c>
      <c r="F940" s="219" t="s">
        <v>13588</v>
      </c>
      <c r="G940" s="219" t="s">
        <v>14343</v>
      </c>
      <c r="H940" s="219" t="s">
        <v>13452</v>
      </c>
      <c r="I940" s="219" t="s">
        <v>14340</v>
      </c>
      <c r="J940" s="219" t="s">
        <v>13799</v>
      </c>
      <c r="K940" s="57"/>
      <c r="L940" s="57"/>
      <c r="M940" s="57"/>
      <c r="N940" s="57"/>
      <c r="O940" s="57"/>
      <c r="P940" s="57"/>
      <c r="Q940" s="57"/>
      <c r="R940" s="57"/>
      <c r="S940" s="57"/>
      <c r="T940" s="57"/>
      <c r="U940" s="57"/>
      <c r="V940" s="57"/>
      <c r="W940" s="57"/>
      <c r="X940" s="57"/>
      <c r="Y940" s="57"/>
      <c r="Z940" s="57"/>
      <c r="AA940" s="57"/>
      <c r="AB940" s="57"/>
      <c r="AC940" s="57"/>
      <c r="AD940" s="57"/>
    </row>
    <row r="941" spans="1:30" ht="13.5" thickBot="1" x14ac:dyDescent="0.25">
      <c r="A941" s="57"/>
      <c r="B941" s="180" t="s">
        <v>13419</v>
      </c>
      <c r="C941" s="181" t="s">
        <v>14381</v>
      </c>
      <c r="D941" s="180" t="s">
        <v>15023</v>
      </c>
      <c r="E941" s="180" t="s">
        <v>13665</v>
      </c>
      <c r="F941" s="180" t="s">
        <v>13749</v>
      </c>
      <c r="G941" s="180" t="s">
        <v>13901</v>
      </c>
      <c r="H941" s="180" t="s">
        <v>13835</v>
      </c>
      <c r="I941" s="180" t="s">
        <v>14362</v>
      </c>
      <c r="J941" s="180" t="s">
        <v>14496</v>
      </c>
      <c r="K941" s="57"/>
      <c r="L941" s="57"/>
      <c r="M941" s="57"/>
      <c r="N941" s="57"/>
      <c r="O941" s="57"/>
      <c r="P941" s="57"/>
      <c r="Q941" s="57"/>
      <c r="R941" s="57"/>
      <c r="S941" s="57"/>
      <c r="T941" s="57"/>
      <c r="U941" s="57"/>
      <c r="V941" s="57"/>
      <c r="W941" s="57"/>
      <c r="X941" s="57"/>
      <c r="Y941" s="57"/>
      <c r="Z941" s="57"/>
      <c r="AA941" s="57"/>
      <c r="AB941" s="57"/>
      <c r="AC941" s="57"/>
      <c r="AD941" s="57"/>
    </row>
    <row r="942" spans="1:30" ht="13.5" thickBot="1" x14ac:dyDescent="0.25">
      <c r="A942" s="57"/>
      <c r="B942" s="219" t="s">
        <v>13426</v>
      </c>
      <c r="C942" s="220" t="s">
        <v>13642</v>
      </c>
      <c r="D942" s="219" t="s">
        <v>13645</v>
      </c>
      <c r="E942" s="219" t="s">
        <v>14530</v>
      </c>
      <c r="F942" s="219" t="s">
        <v>13614</v>
      </c>
      <c r="G942" s="219" t="s">
        <v>13379</v>
      </c>
      <c r="H942" s="219" t="s">
        <v>13754</v>
      </c>
      <c r="I942" s="219" t="s">
        <v>13756</v>
      </c>
      <c r="J942" s="219" t="s">
        <v>13528</v>
      </c>
      <c r="K942" s="57"/>
      <c r="L942" s="57"/>
      <c r="M942" s="57"/>
      <c r="N942" s="57"/>
      <c r="O942" s="57"/>
      <c r="P942" s="57"/>
      <c r="Q942" s="57"/>
      <c r="R942" s="57"/>
      <c r="S942" s="57"/>
      <c r="T942" s="57"/>
      <c r="U942" s="57"/>
      <c r="V942" s="57"/>
      <c r="W942" s="57"/>
      <c r="X942" s="57"/>
      <c r="Y942" s="57"/>
      <c r="Z942" s="57"/>
      <c r="AA942" s="57"/>
      <c r="AB942" s="57"/>
      <c r="AC942" s="57"/>
      <c r="AD942" s="57"/>
    </row>
    <row r="943" spans="1:30" ht="13.5" thickBot="1" x14ac:dyDescent="0.25">
      <c r="A943" s="57"/>
      <c r="B943" s="180" t="s">
        <v>13432</v>
      </c>
      <c r="C943" s="181" t="s">
        <v>13640</v>
      </c>
      <c r="D943" s="180" t="s">
        <v>13830</v>
      </c>
      <c r="E943" s="180" t="s">
        <v>14374</v>
      </c>
      <c r="F943" s="180" t="s">
        <v>15412</v>
      </c>
      <c r="G943" s="180" t="s">
        <v>13589</v>
      </c>
      <c r="H943" s="180" t="s">
        <v>13755</v>
      </c>
      <c r="I943" s="180" t="s">
        <v>13959</v>
      </c>
      <c r="J943" s="180" t="s">
        <v>15019</v>
      </c>
      <c r="K943" s="57"/>
      <c r="L943" s="57"/>
      <c r="M943" s="57"/>
      <c r="N943" s="57"/>
      <c r="O943" s="57"/>
      <c r="P943" s="57"/>
      <c r="Q943" s="57"/>
      <c r="R943" s="57"/>
      <c r="S943" s="57"/>
      <c r="T943" s="57"/>
      <c r="U943" s="57"/>
      <c r="V943" s="57"/>
      <c r="W943" s="57"/>
      <c r="X943" s="57"/>
      <c r="Y943" s="57"/>
      <c r="Z943" s="57"/>
      <c r="AA943" s="57"/>
      <c r="AB943" s="57"/>
      <c r="AC943" s="57"/>
      <c r="AD943" s="57"/>
    </row>
    <row r="944" spans="1:30" ht="13.5" thickBot="1" x14ac:dyDescent="0.25">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c r="AA944" s="57"/>
      <c r="AB944" s="57"/>
      <c r="AC944" s="57"/>
      <c r="AD944" s="57"/>
    </row>
    <row r="945" spans="1:30" ht="13.5" thickBot="1" x14ac:dyDescent="0.25">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c r="AA945" s="57"/>
      <c r="AB945" s="57"/>
      <c r="AC945" s="57"/>
      <c r="AD945" s="57"/>
    </row>
    <row r="946" spans="1:30" ht="13.5" thickBot="1" x14ac:dyDescent="0.25">
      <c r="A946" s="57"/>
      <c r="B946" s="156" t="s">
        <v>15413</v>
      </c>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c r="AA946" s="57"/>
      <c r="AB946" s="57"/>
      <c r="AC946" s="57"/>
      <c r="AD946" s="57"/>
    </row>
    <row r="947" spans="1:30" ht="26.25" thickBot="1" x14ac:dyDescent="0.25">
      <c r="A947" s="57"/>
      <c r="B947" s="218" t="s">
        <v>13576</v>
      </c>
      <c r="C947" s="218" t="s">
        <v>15391</v>
      </c>
      <c r="D947" s="218" t="s">
        <v>14336</v>
      </c>
      <c r="E947" s="218" t="s">
        <v>15392</v>
      </c>
      <c r="F947" s="218" t="s">
        <v>14139</v>
      </c>
      <c r="G947" s="218" t="s">
        <v>15393</v>
      </c>
      <c r="H947" s="218" t="s">
        <v>15394</v>
      </c>
      <c r="I947" s="218" t="s">
        <v>15316</v>
      </c>
      <c r="J947" s="218" t="s">
        <v>15395</v>
      </c>
      <c r="K947" s="57"/>
      <c r="L947" s="57"/>
      <c r="M947" s="57"/>
      <c r="N947" s="57"/>
      <c r="O947" s="57"/>
      <c r="P947" s="57"/>
      <c r="Q947" s="57"/>
      <c r="R947" s="57"/>
      <c r="S947" s="57"/>
      <c r="T947" s="57"/>
      <c r="U947" s="57"/>
      <c r="V947" s="57"/>
      <c r="W947" s="57"/>
      <c r="X947" s="57"/>
      <c r="Y947" s="57"/>
      <c r="Z947" s="57"/>
      <c r="AA947" s="57"/>
      <c r="AB947" s="57"/>
      <c r="AC947" s="57"/>
      <c r="AD947" s="57"/>
    </row>
    <row r="948" spans="1:30" ht="26.25" thickBot="1" x14ac:dyDescent="0.25">
      <c r="A948" s="57"/>
      <c r="B948" s="180" t="s">
        <v>14141</v>
      </c>
      <c r="C948" s="180" t="s">
        <v>13902</v>
      </c>
      <c r="D948" s="180" t="s">
        <v>13450</v>
      </c>
      <c r="E948" s="181" t="s">
        <v>13740</v>
      </c>
      <c r="F948" s="180" t="s">
        <v>14601</v>
      </c>
      <c r="G948" s="180" t="s">
        <v>15326</v>
      </c>
      <c r="H948" s="180" t="s">
        <v>13839</v>
      </c>
      <c r="I948" s="180" t="s">
        <v>13435</v>
      </c>
      <c r="J948" s="180" t="s">
        <v>13516</v>
      </c>
      <c r="K948" s="57"/>
      <c r="L948" s="57"/>
      <c r="M948" s="57"/>
      <c r="N948" s="57"/>
      <c r="O948" s="57"/>
      <c r="P948" s="57"/>
      <c r="Q948" s="57"/>
      <c r="R948" s="57"/>
      <c r="S948" s="57"/>
      <c r="T948" s="57"/>
      <c r="U948" s="57"/>
      <c r="V948" s="57"/>
      <c r="W948" s="57"/>
      <c r="X948" s="57"/>
      <c r="Y948" s="57"/>
      <c r="Z948" s="57"/>
      <c r="AA948" s="57"/>
      <c r="AB948" s="57"/>
      <c r="AC948" s="57"/>
      <c r="AD948" s="57"/>
    </row>
    <row r="949" spans="1:30" ht="13.5" thickBot="1" x14ac:dyDescent="0.25">
      <c r="A949" s="57"/>
      <c r="B949" s="219" t="s">
        <v>13378</v>
      </c>
      <c r="C949" s="219" t="s">
        <v>14125</v>
      </c>
      <c r="D949" s="219" t="s">
        <v>13635</v>
      </c>
      <c r="E949" s="219" t="s">
        <v>13681</v>
      </c>
      <c r="F949" s="220" t="s">
        <v>14385</v>
      </c>
      <c r="G949" s="219" t="s">
        <v>15302</v>
      </c>
      <c r="H949" s="219" t="s">
        <v>14435</v>
      </c>
      <c r="I949" s="219" t="s">
        <v>13706</v>
      </c>
      <c r="J949" s="219" t="s">
        <v>13897</v>
      </c>
      <c r="K949" s="57"/>
      <c r="L949" s="57"/>
      <c r="M949" s="57"/>
      <c r="N949" s="57"/>
      <c r="O949" s="57"/>
      <c r="P949" s="57"/>
      <c r="Q949" s="57"/>
      <c r="R949" s="57"/>
      <c r="S949" s="57"/>
      <c r="T949" s="57"/>
      <c r="U949" s="57"/>
      <c r="V949" s="57"/>
      <c r="W949" s="57"/>
      <c r="X949" s="57"/>
      <c r="Y949" s="57"/>
      <c r="Z949" s="57"/>
      <c r="AA949" s="57"/>
      <c r="AB949" s="57"/>
      <c r="AC949" s="57"/>
      <c r="AD949" s="57"/>
    </row>
    <row r="950" spans="1:30" ht="13.5" thickBot="1" x14ac:dyDescent="0.25">
      <c r="A950" s="57"/>
      <c r="B950" s="180" t="s">
        <v>13384</v>
      </c>
      <c r="C950" s="180" t="s">
        <v>14381</v>
      </c>
      <c r="D950" s="180" t="s">
        <v>13596</v>
      </c>
      <c r="E950" s="180" t="s">
        <v>14427</v>
      </c>
      <c r="F950" s="181" t="s">
        <v>15309</v>
      </c>
      <c r="G950" s="180" t="s">
        <v>14450</v>
      </c>
      <c r="H950" s="180" t="s">
        <v>14397</v>
      </c>
      <c r="I950" s="180" t="s">
        <v>13544</v>
      </c>
      <c r="J950" s="180" t="s">
        <v>15302</v>
      </c>
      <c r="K950" s="57"/>
      <c r="L950" s="57"/>
      <c r="M950" s="57"/>
      <c r="N950" s="57"/>
      <c r="O950" s="57"/>
      <c r="P950" s="57"/>
      <c r="Q950" s="57"/>
      <c r="R950" s="57"/>
      <c r="S950" s="57"/>
      <c r="T950" s="57"/>
      <c r="U950" s="57"/>
      <c r="V950" s="57"/>
      <c r="W950" s="57"/>
      <c r="X950" s="57"/>
      <c r="Y950" s="57"/>
      <c r="Z950" s="57"/>
      <c r="AA950" s="57"/>
      <c r="AB950" s="57"/>
      <c r="AC950" s="57"/>
      <c r="AD950" s="57"/>
    </row>
    <row r="951" spans="1:30" ht="13.5" thickBot="1" x14ac:dyDescent="0.25">
      <c r="A951" s="57"/>
      <c r="B951" s="219" t="s">
        <v>13391</v>
      </c>
      <c r="C951" s="220" t="s">
        <v>13502</v>
      </c>
      <c r="D951" s="219" t="s">
        <v>13873</v>
      </c>
      <c r="E951" s="219" t="s">
        <v>15414</v>
      </c>
      <c r="F951" s="219" t="s">
        <v>13401</v>
      </c>
      <c r="G951" s="219" t="s">
        <v>15337</v>
      </c>
      <c r="H951" s="219" t="s">
        <v>14354</v>
      </c>
      <c r="I951" s="219" t="s">
        <v>13513</v>
      </c>
      <c r="J951" s="219" t="s">
        <v>13516</v>
      </c>
      <c r="K951" s="57"/>
      <c r="L951" s="57"/>
      <c r="M951" s="57"/>
      <c r="N951" s="57"/>
      <c r="O951" s="57"/>
      <c r="P951" s="57"/>
      <c r="Q951" s="57"/>
      <c r="R951" s="57"/>
      <c r="S951" s="57"/>
      <c r="T951" s="57"/>
      <c r="U951" s="57"/>
      <c r="V951" s="57"/>
      <c r="W951" s="57"/>
      <c r="X951" s="57"/>
      <c r="Y951" s="57"/>
      <c r="Z951" s="57"/>
      <c r="AA951" s="57"/>
      <c r="AB951" s="57"/>
      <c r="AC951" s="57"/>
      <c r="AD951" s="57"/>
    </row>
    <row r="952" spans="1:30" ht="13.5" thickBot="1" x14ac:dyDescent="0.25">
      <c r="A952" s="57"/>
      <c r="B952" s="180" t="s">
        <v>13397</v>
      </c>
      <c r="C952" s="181" t="s">
        <v>13589</v>
      </c>
      <c r="D952" s="180" t="s">
        <v>14445</v>
      </c>
      <c r="E952" s="180" t="s">
        <v>13830</v>
      </c>
      <c r="F952" s="180" t="s">
        <v>13831</v>
      </c>
      <c r="G952" s="180" t="s">
        <v>13797</v>
      </c>
      <c r="H952" s="180" t="s">
        <v>15328</v>
      </c>
      <c r="I952" s="180" t="s">
        <v>15401</v>
      </c>
      <c r="J952" s="180" t="s">
        <v>13586</v>
      </c>
      <c r="K952" s="57"/>
      <c r="L952" s="57"/>
      <c r="M952" s="57"/>
      <c r="N952" s="57"/>
      <c r="O952" s="57"/>
      <c r="P952" s="57"/>
      <c r="Q952" s="57"/>
      <c r="R952" s="57"/>
      <c r="S952" s="57"/>
      <c r="T952" s="57"/>
      <c r="U952" s="57"/>
      <c r="V952" s="57"/>
      <c r="W952" s="57"/>
      <c r="X952" s="57"/>
      <c r="Y952" s="57"/>
      <c r="Z952" s="57"/>
      <c r="AA952" s="57"/>
      <c r="AB952" s="57"/>
      <c r="AC952" s="57"/>
      <c r="AD952" s="57"/>
    </row>
    <row r="953" spans="1:30" ht="13.5" thickBot="1" x14ac:dyDescent="0.25">
      <c r="A953" s="57"/>
      <c r="B953" s="219" t="s">
        <v>13403</v>
      </c>
      <c r="C953" s="220" t="s">
        <v>13692</v>
      </c>
      <c r="D953" s="219" t="s">
        <v>15213</v>
      </c>
      <c r="E953" s="219" t="s">
        <v>15386</v>
      </c>
      <c r="F953" s="219" t="s">
        <v>15415</v>
      </c>
      <c r="G953" s="219" t="s">
        <v>15416</v>
      </c>
      <c r="H953" s="219" t="s">
        <v>15417</v>
      </c>
      <c r="I953" s="219" t="s">
        <v>13659</v>
      </c>
      <c r="J953" s="219" t="s">
        <v>15336</v>
      </c>
      <c r="K953" s="57"/>
      <c r="L953" s="57"/>
      <c r="M953" s="57"/>
      <c r="N953" s="57"/>
      <c r="O953" s="57"/>
      <c r="P953" s="57"/>
      <c r="Q953" s="57"/>
      <c r="R953" s="57"/>
      <c r="S953" s="57"/>
      <c r="T953" s="57"/>
      <c r="U953" s="57"/>
      <c r="V953" s="57"/>
      <c r="W953" s="57"/>
      <c r="X953" s="57"/>
      <c r="Y953" s="57"/>
      <c r="Z953" s="57"/>
      <c r="AA953" s="57"/>
      <c r="AB953" s="57"/>
      <c r="AC953" s="57"/>
      <c r="AD953" s="57"/>
    </row>
    <row r="954" spans="1:30" ht="13.5" thickBot="1" x14ac:dyDescent="0.25">
      <c r="A954" s="57"/>
      <c r="B954" s="180" t="s">
        <v>15363</v>
      </c>
      <c r="C954" s="180" t="s">
        <v>13814</v>
      </c>
      <c r="D954" s="180" t="s">
        <v>13587</v>
      </c>
      <c r="E954" s="180" t="s">
        <v>13662</v>
      </c>
      <c r="F954" s="181" t="s">
        <v>13912</v>
      </c>
      <c r="G954" s="180" t="s">
        <v>14442</v>
      </c>
      <c r="H954" s="180" t="s">
        <v>13870</v>
      </c>
      <c r="I954" s="180" t="s">
        <v>13711</v>
      </c>
      <c r="J954" s="180" t="s">
        <v>13846</v>
      </c>
      <c r="K954" s="57"/>
      <c r="L954" s="57"/>
      <c r="M954" s="57"/>
      <c r="N954" s="57"/>
      <c r="O954" s="57"/>
      <c r="P954" s="57"/>
      <c r="Q954" s="57"/>
      <c r="R954" s="57"/>
      <c r="S954" s="57"/>
      <c r="T954" s="57"/>
      <c r="U954" s="57"/>
      <c r="V954" s="57"/>
      <c r="W954" s="57"/>
      <c r="X954" s="57"/>
      <c r="Y954" s="57"/>
      <c r="Z954" s="57"/>
      <c r="AA954" s="57"/>
      <c r="AB954" s="57"/>
      <c r="AC954" s="57"/>
      <c r="AD954" s="57"/>
    </row>
    <row r="955" spans="1:30" ht="13.5" thickBot="1" x14ac:dyDescent="0.25">
      <c r="A955" s="57"/>
      <c r="B955" s="219" t="s">
        <v>13413</v>
      </c>
      <c r="C955" s="219" t="s">
        <v>15330</v>
      </c>
      <c r="D955" s="219" t="s">
        <v>13898</v>
      </c>
      <c r="E955" s="219" t="s">
        <v>13846</v>
      </c>
      <c r="F955" s="220" t="s">
        <v>13605</v>
      </c>
      <c r="G955" s="219" t="s">
        <v>13886</v>
      </c>
      <c r="H955" s="219" t="s">
        <v>15320</v>
      </c>
      <c r="I955" s="219" t="s">
        <v>13966</v>
      </c>
      <c r="J955" s="219" t="s">
        <v>15387</v>
      </c>
      <c r="K955" s="57"/>
      <c r="L955" s="57"/>
      <c r="M955" s="57"/>
      <c r="N955" s="57"/>
      <c r="O955" s="57"/>
      <c r="P955" s="57"/>
      <c r="Q955" s="57"/>
      <c r="R955" s="57"/>
      <c r="S955" s="57"/>
      <c r="T955" s="57"/>
      <c r="U955" s="57"/>
      <c r="V955" s="57"/>
      <c r="W955" s="57"/>
      <c r="X955" s="57"/>
      <c r="Y955" s="57"/>
      <c r="Z955" s="57"/>
      <c r="AA955" s="57"/>
      <c r="AB955" s="57"/>
      <c r="AC955" s="57"/>
      <c r="AD955" s="57"/>
    </row>
    <row r="956" spans="1:30" ht="13.5" thickBot="1" x14ac:dyDescent="0.25">
      <c r="A956" s="57"/>
      <c r="B956" s="180" t="s">
        <v>13419</v>
      </c>
      <c r="C956" s="180" t="s">
        <v>13532</v>
      </c>
      <c r="D956" s="180" t="s">
        <v>14490</v>
      </c>
      <c r="E956" s="180" t="s">
        <v>15328</v>
      </c>
      <c r="F956" s="181" t="s">
        <v>15311</v>
      </c>
      <c r="G956" s="180" t="s">
        <v>14844</v>
      </c>
      <c r="H956" s="180" t="s">
        <v>14468</v>
      </c>
      <c r="I956" s="180" t="s">
        <v>15338</v>
      </c>
      <c r="J956" s="180" t="s">
        <v>15310</v>
      </c>
      <c r="K956" s="57"/>
      <c r="L956" s="57"/>
      <c r="M956" s="57"/>
      <c r="N956" s="57"/>
      <c r="O956" s="57"/>
      <c r="P956" s="57"/>
      <c r="Q956" s="57"/>
      <c r="R956" s="57"/>
      <c r="S956" s="57"/>
      <c r="T956" s="57"/>
      <c r="U956" s="57"/>
      <c r="V956" s="57"/>
      <c r="W956" s="57"/>
      <c r="X956" s="57"/>
      <c r="Y956" s="57"/>
      <c r="Z956" s="57"/>
      <c r="AA956" s="57"/>
      <c r="AB956" s="57"/>
      <c r="AC956" s="57"/>
      <c r="AD956" s="57"/>
    </row>
    <row r="957" spans="1:30" ht="13.5" thickBot="1" x14ac:dyDescent="0.25">
      <c r="A957" s="57"/>
      <c r="B957" s="219" t="s">
        <v>13426</v>
      </c>
      <c r="C957" s="219" t="s">
        <v>13691</v>
      </c>
      <c r="D957" s="219" t="s">
        <v>14591</v>
      </c>
      <c r="E957" s="219" t="s">
        <v>15418</v>
      </c>
      <c r="F957" s="220" t="s">
        <v>14446</v>
      </c>
      <c r="G957" s="219" t="s">
        <v>14372</v>
      </c>
      <c r="H957" s="219" t="s">
        <v>13587</v>
      </c>
      <c r="I957" s="219" t="s">
        <v>13909</v>
      </c>
      <c r="J957" s="219" t="s">
        <v>13954</v>
      </c>
      <c r="K957" s="57"/>
      <c r="L957" s="57"/>
      <c r="M957" s="57"/>
      <c r="N957" s="57"/>
      <c r="O957" s="57"/>
      <c r="P957" s="57"/>
      <c r="Q957" s="57"/>
      <c r="R957" s="57"/>
      <c r="S957" s="57"/>
      <c r="T957" s="57"/>
      <c r="U957" s="57"/>
      <c r="V957" s="57"/>
      <c r="W957" s="57"/>
      <c r="X957" s="57"/>
      <c r="Y957" s="57"/>
      <c r="Z957" s="57"/>
      <c r="AA957" s="57"/>
      <c r="AB957" s="57"/>
      <c r="AC957" s="57"/>
      <c r="AD957" s="57"/>
    </row>
    <row r="958" spans="1:30" ht="13.5" thickBot="1" x14ac:dyDescent="0.25">
      <c r="A958" s="57"/>
      <c r="B958" s="180" t="s">
        <v>13432</v>
      </c>
      <c r="C958" s="181" t="s">
        <v>14422</v>
      </c>
      <c r="D958" s="180" t="s">
        <v>13800</v>
      </c>
      <c r="E958" s="180" t="s">
        <v>13421</v>
      </c>
      <c r="F958" s="180" t="s">
        <v>14108</v>
      </c>
      <c r="G958" s="180" t="s">
        <v>14760</v>
      </c>
      <c r="H958" s="180" t="s">
        <v>14446</v>
      </c>
      <c r="I958" s="180" t="s">
        <v>14492</v>
      </c>
      <c r="J958" s="180" t="s">
        <v>13819</v>
      </c>
      <c r="K958" s="57"/>
      <c r="L958" s="57"/>
      <c r="M958" s="57"/>
      <c r="N958" s="57"/>
      <c r="O958" s="57"/>
      <c r="P958" s="57"/>
      <c r="Q958" s="57"/>
      <c r="R958" s="57"/>
      <c r="S958" s="57"/>
      <c r="T958" s="57"/>
      <c r="U958" s="57"/>
      <c r="V958" s="57"/>
      <c r="W958" s="57"/>
      <c r="X958" s="57"/>
      <c r="Y958" s="57"/>
      <c r="Z958" s="57"/>
      <c r="AA958" s="57"/>
      <c r="AB958" s="57"/>
      <c r="AC958" s="57"/>
      <c r="AD958" s="57"/>
    </row>
    <row r="959" spans="1:30" ht="13.5" thickBot="1" x14ac:dyDescent="0.25">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c r="AA959" s="57"/>
      <c r="AB959" s="57"/>
      <c r="AC959" s="57"/>
      <c r="AD959" s="57"/>
    </row>
    <row r="960" spans="1:30" ht="13.5" thickBot="1" x14ac:dyDescent="0.25">
      <c r="A960" s="57"/>
      <c r="B960" s="156" t="s">
        <v>15419</v>
      </c>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c r="AA960" s="57"/>
      <c r="AB960" s="57"/>
      <c r="AC960" s="57"/>
      <c r="AD960" s="57"/>
    </row>
    <row r="961" spans="1:30" ht="26.25" thickBot="1" x14ac:dyDescent="0.25">
      <c r="A961" s="57"/>
      <c r="B961" s="218" t="s">
        <v>13576</v>
      </c>
      <c r="C961" s="218" t="s">
        <v>15391</v>
      </c>
      <c r="D961" s="218" t="s">
        <v>14336</v>
      </c>
      <c r="E961" s="218" t="s">
        <v>15392</v>
      </c>
      <c r="F961" s="218" t="s">
        <v>14139</v>
      </c>
      <c r="G961" s="218" t="s">
        <v>15394</v>
      </c>
      <c r="H961" s="218" t="s">
        <v>15316</v>
      </c>
      <c r="I961" s="218" t="s">
        <v>15395</v>
      </c>
      <c r="J961" s="57"/>
      <c r="K961" s="57"/>
      <c r="L961" s="57"/>
      <c r="M961" s="57"/>
      <c r="N961" s="57"/>
      <c r="O961" s="57"/>
      <c r="P961" s="57"/>
      <c r="Q961" s="57"/>
      <c r="R961" s="57"/>
      <c r="S961" s="57"/>
      <c r="T961" s="57"/>
      <c r="U961" s="57"/>
      <c r="V961" s="57"/>
      <c r="W961" s="57"/>
      <c r="X961" s="57"/>
      <c r="Y961" s="57"/>
      <c r="Z961" s="57"/>
      <c r="AA961" s="57"/>
      <c r="AB961" s="57"/>
      <c r="AC961" s="57"/>
      <c r="AD961" s="57"/>
    </row>
    <row r="962" spans="1:30" ht="26.25" thickBot="1" x14ac:dyDescent="0.25">
      <c r="A962" s="57"/>
      <c r="B962" s="180" t="s">
        <v>14141</v>
      </c>
      <c r="C962" s="181" t="s">
        <v>15338</v>
      </c>
      <c r="D962" s="180" t="s">
        <v>14444</v>
      </c>
      <c r="E962" s="180" t="s">
        <v>13708</v>
      </c>
      <c r="F962" s="180" t="s">
        <v>13859</v>
      </c>
      <c r="G962" s="180" t="s">
        <v>15322</v>
      </c>
      <c r="H962" s="180" t="s">
        <v>13817</v>
      </c>
      <c r="I962" s="180" t="s">
        <v>13666</v>
      </c>
      <c r="J962" s="57"/>
      <c r="K962" s="57"/>
      <c r="L962" s="57"/>
      <c r="M962" s="57"/>
      <c r="N962" s="57"/>
      <c r="O962" s="57"/>
      <c r="P962" s="57"/>
      <c r="Q962" s="57"/>
      <c r="R962" s="57"/>
      <c r="S962" s="57"/>
      <c r="T962" s="57"/>
      <c r="U962" s="57"/>
      <c r="V962" s="57"/>
      <c r="W962" s="57"/>
      <c r="X962" s="57"/>
      <c r="Y962" s="57"/>
      <c r="Z962" s="57"/>
      <c r="AA962" s="57"/>
      <c r="AB962" s="57"/>
      <c r="AC962" s="57"/>
      <c r="AD962" s="57"/>
    </row>
    <row r="963" spans="1:30" ht="13.5" thickBot="1" x14ac:dyDescent="0.25">
      <c r="A963" s="57"/>
      <c r="B963" s="219" t="s">
        <v>13378</v>
      </c>
      <c r="C963" s="220" t="s">
        <v>14392</v>
      </c>
      <c r="D963" s="219" t="s">
        <v>13749</v>
      </c>
      <c r="E963" s="219" t="s">
        <v>13809</v>
      </c>
      <c r="F963" s="219" t="s">
        <v>14432</v>
      </c>
      <c r="G963" s="219" t="s">
        <v>13948</v>
      </c>
      <c r="H963" s="219" t="s">
        <v>14367</v>
      </c>
      <c r="I963" s="219" t="s">
        <v>14393</v>
      </c>
      <c r="J963" s="57"/>
      <c r="K963" s="57"/>
      <c r="L963" s="57"/>
      <c r="M963" s="57"/>
      <c r="N963" s="57"/>
      <c r="O963" s="57"/>
      <c r="P963" s="57"/>
      <c r="Q963" s="57"/>
      <c r="R963" s="57"/>
      <c r="S963" s="57"/>
      <c r="T963" s="57"/>
      <c r="U963" s="57"/>
      <c r="V963" s="57"/>
      <c r="W963" s="57"/>
      <c r="X963" s="57"/>
      <c r="Y963" s="57"/>
      <c r="Z963" s="57"/>
      <c r="AA963" s="57"/>
      <c r="AB963" s="57"/>
      <c r="AC963" s="57"/>
      <c r="AD963" s="57"/>
    </row>
    <row r="964" spans="1:30" ht="13.5" thickBot="1" x14ac:dyDescent="0.25">
      <c r="A964" s="57"/>
      <c r="B964" s="180" t="s">
        <v>13384</v>
      </c>
      <c r="C964" s="181" t="s">
        <v>13950</v>
      </c>
      <c r="D964" s="180" t="s">
        <v>14441</v>
      </c>
      <c r="E964" s="180" t="s">
        <v>13916</v>
      </c>
      <c r="F964" s="180" t="s">
        <v>13782</v>
      </c>
      <c r="G964" s="180" t="s">
        <v>13388</v>
      </c>
      <c r="H964" s="180" t="s">
        <v>15420</v>
      </c>
      <c r="I964" s="180" t="s">
        <v>14304</v>
      </c>
      <c r="J964" s="57"/>
      <c r="K964" s="57"/>
      <c r="L964" s="57"/>
      <c r="M964" s="57"/>
      <c r="N964" s="57"/>
      <c r="O964" s="57"/>
      <c r="P964" s="57"/>
      <c r="Q964" s="57"/>
      <c r="R964" s="57"/>
      <c r="S964" s="57"/>
      <c r="T964" s="57"/>
      <c r="U964" s="57"/>
      <c r="V964" s="57"/>
      <c r="W964" s="57"/>
      <c r="X964" s="57"/>
      <c r="Y964" s="57"/>
      <c r="Z964" s="57"/>
      <c r="AA964" s="57"/>
      <c r="AB964" s="57"/>
      <c r="AC964" s="57"/>
      <c r="AD964" s="57"/>
    </row>
    <row r="965" spans="1:30" ht="13.5" thickBot="1" x14ac:dyDescent="0.25">
      <c r="A965" s="57"/>
      <c r="B965" s="219" t="s">
        <v>13391</v>
      </c>
      <c r="C965" s="220" t="s">
        <v>13666</v>
      </c>
      <c r="D965" s="219" t="s">
        <v>13873</v>
      </c>
      <c r="E965" s="219" t="s">
        <v>13591</v>
      </c>
      <c r="F965" s="219" t="s">
        <v>14775</v>
      </c>
      <c r="G965" s="219" t="s">
        <v>15336</v>
      </c>
      <c r="H965" s="219" t="s">
        <v>13477</v>
      </c>
      <c r="I965" s="219" t="s">
        <v>13705</v>
      </c>
      <c r="J965" s="57"/>
      <c r="K965" s="57"/>
      <c r="L965" s="57"/>
      <c r="M965" s="57"/>
      <c r="N965" s="57"/>
      <c r="O965" s="57"/>
      <c r="P965" s="57"/>
      <c r="Q965" s="57"/>
      <c r="R965" s="57"/>
      <c r="S965" s="57"/>
      <c r="T965" s="57"/>
      <c r="U965" s="57"/>
      <c r="V965" s="57"/>
      <c r="W965" s="57"/>
      <c r="X965" s="57"/>
      <c r="Y965" s="57"/>
      <c r="Z965" s="57"/>
      <c r="AA965" s="57"/>
      <c r="AB965" s="57"/>
      <c r="AC965" s="57"/>
      <c r="AD965" s="57"/>
    </row>
    <row r="966" spans="1:30" ht="13.5" thickBot="1" x14ac:dyDescent="0.25">
      <c r="A966" s="57"/>
      <c r="B966" s="180" t="s">
        <v>13397</v>
      </c>
      <c r="C966" s="181" t="s">
        <v>13635</v>
      </c>
      <c r="D966" s="180" t="s">
        <v>13528</v>
      </c>
      <c r="E966" s="180" t="s">
        <v>13846</v>
      </c>
      <c r="F966" s="180" t="s">
        <v>15305</v>
      </c>
      <c r="G966" s="180" t="s">
        <v>13949</v>
      </c>
      <c r="H966" s="180" t="s">
        <v>15016</v>
      </c>
      <c r="I966" s="180" t="s">
        <v>13912</v>
      </c>
      <c r="J966" s="57"/>
      <c r="K966" s="57"/>
      <c r="L966" s="57"/>
      <c r="M966" s="57"/>
      <c r="N966" s="57"/>
      <c r="O966" s="57"/>
      <c r="P966" s="57"/>
      <c r="Q966" s="57"/>
      <c r="R966" s="57"/>
      <c r="S966" s="57"/>
      <c r="T966" s="57"/>
      <c r="U966" s="57"/>
      <c r="V966" s="57"/>
      <c r="W966" s="57"/>
      <c r="X966" s="57"/>
      <c r="Y966" s="57"/>
      <c r="Z966" s="57"/>
      <c r="AA966" s="57"/>
      <c r="AB966" s="57"/>
      <c r="AC966" s="57"/>
      <c r="AD966" s="57"/>
    </row>
    <row r="967" spans="1:30" ht="13.5" thickBot="1" x14ac:dyDescent="0.25">
      <c r="A967" s="57"/>
      <c r="B967" s="219" t="s">
        <v>13403</v>
      </c>
      <c r="C967" s="220" t="s">
        <v>13462</v>
      </c>
      <c r="D967" s="219" t="s">
        <v>14512</v>
      </c>
      <c r="E967" s="219" t="s">
        <v>13917</v>
      </c>
      <c r="F967" s="219" t="s">
        <v>14929</v>
      </c>
      <c r="G967" s="219" t="s">
        <v>13962</v>
      </c>
      <c r="H967" s="219" t="s">
        <v>15421</v>
      </c>
      <c r="I967" s="219" t="s">
        <v>13854</v>
      </c>
      <c r="J967" s="57"/>
      <c r="K967" s="57"/>
      <c r="L967" s="57"/>
      <c r="M967" s="57"/>
      <c r="N967" s="57"/>
      <c r="O967" s="57"/>
      <c r="P967" s="57"/>
      <c r="Q967" s="57"/>
      <c r="R967" s="57"/>
      <c r="S967" s="57"/>
      <c r="T967" s="57"/>
      <c r="U967" s="57"/>
      <c r="V967" s="57"/>
      <c r="W967" s="57"/>
      <c r="X967" s="57"/>
      <c r="Y967" s="57"/>
      <c r="Z967" s="57"/>
      <c r="AA967" s="57"/>
      <c r="AB967" s="57"/>
      <c r="AC967" s="57"/>
      <c r="AD967" s="57"/>
    </row>
    <row r="968" spans="1:30" ht="13.5" thickBot="1" x14ac:dyDescent="0.25">
      <c r="A968" s="57"/>
      <c r="B968" s="180" t="s">
        <v>15363</v>
      </c>
      <c r="C968" s="181" t="s">
        <v>13797</v>
      </c>
      <c r="D968" s="180" t="s">
        <v>13466</v>
      </c>
      <c r="E968" s="180" t="s">
        <v>13768</v>
      </c>
      <c r="F968" s="180" t="s">
        <v>14588</v>
      </c>
      <c r="G968" s="180" t="s">
        <v>14142</v>
      </c>
      <c r="H968" s="180" t="s">
        <v>13702</v>
      </c>
      <c r="I968" s="180" t="s">
        <v>13757</v>
      </c>
      <c r="J968" s="57"/>
      <c r="K968" s="57"/>
      <c r="L968" s="57"/>
      <c r="M968" s="57"/>
      <c r="N968" s="57"/>
      <c r="O968" s="57"/>
      <c r="P968" s="57"/>
      <c r="Q968" s="57"/>
      <c r="R968" s="57"/>
      <c r="S968" s="57"/>
      <c r="T968" s="57"/>
      <c r="U968" s="57"/>
      <c r="V968" s="57"/>
      <c r="W968" s="57"/>
      <c r="X968" s="57"/>
      <c r="Y968" s="57"/>
      <c r="Z968" s="57"/>
      <c r="AA968" s="57"/>
      <c r="AB968" s="57"/>
      <c r="AC968" s="57"/>
      <c r="AD968" s="57"/>
    </row>
    <row r="969" spans="1:30" ht="13.5" thickBot="1" x14ac:dyDescent="0.25">
      <c r="A969" s="57"/>
      <c r="B969" s="219" t="s">
        <v>13413</v>
      </c>
      <c r="C969" s="219" t="s">
        <v>14344</v>
      </c>
      <c r="D969" s="219" t="s">
        <v>13677</v>
      </c>
      <c r="E969" s="219" t="s">
        <v>14404</v>
      </c>
      <c r="F969" s="219" t="s">
        <v>14430</v>
      </c>
      <c r="G969" s="219" t="s">
        <v>14442</v>
      </c>
      <c r="H969" s="219" t="s">
        <v>15422</v>
      </c>
      <c r="I969" s="220" t="s">
        <v>13635</v>
      </c>
      <c r="J969" s="57"/>
      <c r="K969" s="57"/>
      <c r="L969" s="57"/>
      <c r="M969" s="57"/>
      <c r="N969" s="57"/>
      <c r="O969" s="57"/>
      <c r="P969" s="57"/>
      <c r="Q969" s="57"/>
      <c r="R969" s="57"/>
      <c r="S969" s="57"/>
      <c r="T969" s="57"/>
      <c r="U969" s="57"/>
      <c r="V969" s="57"/>
      <c r="W969" s="57"/>
      <c r="X969" s="57"/>
      <c r="Y969" s="57"/>
      <c r="Z969" s="57"/>
      <c r="AA969" s="57"/>
      <c r="AB969" s="57"/>
      <c r="AC969" s="57"/>
      <c r="AD969" s="57"/>
    </row>
    <row r="970" spans="1:30" ht="13.5" thickBot="1" x14ac:dyDescent="0.25">
      <c r="A970" s="57"/>
      <c r="B970" s="180" t="s">
        <v>13419</v>
      </c>
      <c r="C970" s="180" t="s">
        <v>13641</v>
      </c>
      <c r="D970" s="180" t="s">
        <v>13799</v>
      </c>
      <c r="E970" s="180" t="s">
        <v>13616</v>
      </c>
      <c r="F970" s="180" t="s">
        <v>14400</v>
      </c>
      <c r="G970" s="180" t="s">
        <v>14344</v>
      </c>
      <c r="H970" s="180" t="s">
        <v>15423</v>
      </c>
      <c r="I970" s="181" t="s">
        <v>15365</v>
      </c>
      <c r="J970" s="57"/>
      <c r="K970" s="57"/>
      <c r="L970" s="57"/>
      <c r="M970" s="57"/>
      <c r="N970" s="57"/>
      <c r="O970" s="57"/>
      <c r="P970" s="57"/>
      <c r="Q970" s="57"/>
      <c r="R970" s="57"/>
      <c r="S970" s="57"/>
      <c r="T970" s="57"/>
      <c r="U970" s="57"/>
      <c r="V970" s="57"/>
      <c r="W970" s="57"/>
      <c r="X970" s="57"/>
      <c r="Y970" s="57"/>
      <c r="Z970" s="57"/>
      <c r="AA970" s="57"/>
      <c r="AB970" s="57"/>
      <c r="AC970" s="57"/>
      <c r="AD970" s="57"/>
    </row>
    <row r="971" spans="1:30" ht="13.5" thickBot="1" x14ac:dyDescent="0.25">
      <c r="A971" s="57"/>
      <c r="B971" s="219" t="s">
        <v>13426</v>
      </c>
      <c r="C971" s="220" t="s">
        <v>13757</v>
      </c>
      <c r="D971" s="219" t="s">
        <v>14530</v>
      </c>
      <c r="E971" s="219" t="s">
        <v>14150</v>
      </c>
      <c r="F971" s="219" t="s">
        <v>13544</v>
      </c>
      <c r="G971" s="219" t="s">
        <v>13754</v>
      </c>
      <c r="H971" s="219" t="s">
        <v>13643</v>
      </c>
      <c r="I971" s="219" t="s">
        <v>13757</v>
      </c>
      <c r="J971" s="57"/>
      <c r="K971" s="57"/>
      <c r="L971" s="57"/>
      <c r="M971" s="57"/>
      <c r="N971" s="57"/>
      <c r="O971" s="57"/>
      <c r="P971" s="57"/>
      <c r="Q971" s="57"/>
      <c r="R971" s="57"/>
      <c r="S971" s="57"/>
      <c r="T971" s="57"/>
      <c r="U971" s="57"/>
      <c r="V971" s="57"/>
      <c r="W971" s="57"/>
      <c r="X971" s="57"/>
      <c r="Y971" s="57"/>
      <c r="Z971" s="57"/>
      <c r="AA971" s="57"/>
      <c r="AB971" s="57"/>
      <c r="AC971" s="57"/>
      <c r="AD971" s="57"/>
    </row>
    <row r="972" spans="1:30" ht="13.5" thickBot="1" x14ac:dyDescent="0.25">
      <c r="A972" s="57"/>
      <c r="B972" s="180" t="s">
        <v>13432</v>
      </c>
      <c r="C972" s="181" t="s">
        <v>13814</v>
      </c>
      <c r="D972" s="180" t="s">
        <v>15343</v>
      </c>
      <c r="E972" s="180" t="s">
        <v>13946</v>
      </c>
      <c r="F972" s="180" t="s">
        <v>15343</v>
      </c>
      <c r="G972" s="180" t="s">
        <v>13774</v>
      </c>
      <c r="H972" s="180" t="s">
        <v>14779</v>
      </c>
      <c r="I972" s="180" t="s">
        <v>14117</v>
      </c>
      <c r="J972" s="57"/>
      <c r="K972" s="57"/>
      <c r="L972" s="57"/>
      <c r="M972" s="57"/>
      <c r="N972" s="57"/>
      <c r="O972" s="57"/>
      <c r="P972" s="57"/>
      <c r="Q972" s="57"/>
      <c r="R972" s="57"/>
      <c r="S972" s="57"/>
      <c r="T972" s="57"/>
      <c r="U972" s="57"/>
      <c r="V972" s="57"/>
      <c r="W972" s="57"/>
      <c r="X972" s="57"/>
      <c r="Y972" s="57"/>
      <c r="Z972" s="57"/>
      <c r="AA972" s="57"/>
      <c r="AB972" s="57"/>
      <c r="AC972" s="57"/>
      <c r="AD972" s="57"/>
    </row>
    <row r="973" spans="1:30" ht="13.5" thickBot="1" x14ac:dyDescent="0.25">
      <c r="A973" s="57"/>
      <c r="B973" s="219" t="s">
        <v>15366</v>
      </c>
      <c r="C973" s="219" t="s">
        <v>12699</v>
      </c>
      <c r="D973" s="219" t="s">
        <v>15424</v>
      </c>
      <c r="E973" s="219" t="s">
        <v>15425</v>
      </c>
      <c r="F973" s="219" t="s">
        <v>15426</v>
      </c>
      <c r="G973" s="219" t="s">
        <v>15427</v>
      </c>
      <c r="H973" s="219" t="s">
        <v>15428</v>
      </c>
      <c r="I973" s="219" t="s">
        <v>15429</v>
      </c>
      <c r="J973" s="57"/>
      <c r="K973" s="57"/>
      <c r="L973" s="57"/>
      <c r="M973" s="57"/>
      <c r="N973" s="57"/>
      <c r="O973" s="57"/>
      <c r="P973" s="57"/>
      <c r="Q973" s="57"/>
      <c r="R973" s="57"/>
      <c r="S973" s="57"/>
      <c r="T973" s="57"/>
      <c r="U973" s="57"/>
      <c r="V973" s="57"/>
      <c r="W973" s="57"/>
      <c r="X973" s="57"/>
      <c r="Y973" s="57"/>
      <c r="Z973" s="57"/>
      <c r="AA973" s="57"/>
      <c r="AB973" s="57"/>
      <c r="AC973" s="57"/>
      <c r="AD973" s="57"/>
    </row>
    <row r="974" spans="1:30" ht="13.5" thickBot="1" x14ac:dyDescent="0.25">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c r="AA974" s="57"/>
      <c r="AB974" s="57"/>
      <c r="AC974" s="57"/>
      <c r="AD974" s="57"/>
    </row>
    <row r="975" spans="1:30" ht="13.5" thickBot="1" x14ac:dyDescent="0.25">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c r="AA975" s="57"/>
      <c r="AB975" s="57"/>
      <c r="AC975" s="57"/>
      <c r="AD975" s="57"/>
    </row>
    <row r="976" spans="1:30" ht="13.5" thickBot="1" x14ac:dyDescent="0.25">
      <c r="A976" s="57"/>
      <c r="B976" s="156" t="s">
        <v>15430</v>
      </c>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c r="AA976" s="57"/>
      <c r="AB976" s="57"/>
      <c r="AC976" s="57"/>
      <c r="AD976" s="57"/>
    </row>
    <row r="977" spans="1:30" ht="26.25" thickBot="1" x14ac:dyDescent="0.25">
      <c r="A977" s="57"/>
      <c r="B977" s="218" t="s">
        <v>13576</v>
      </c>
      <c r="C977" s="218" t="s">
        <v>15391</v>
      </c>
      <c r="D977" s="218" t="s">
        <v>14336</v>
      </c>
      <c r="E977" s="218" t="s">
        <v>15392</v>
      </c>
      <c r="F977" s="218" t="s">
        <v>14139</v>
      </c>
      <c r="G977" s="218" t="s">
        <v>15394</v>
      </c>
      <c r="H977" s="218" t="s">
        <v>15316</v>
      </c>
      <c r="I977" s="218" t="s">
        <v>15395</v>
      </c>
      <c r="J977" s="57"/>
      <c r="K977" s="57"/>
      <c r="L977" s="57"/>
      <c r="M977" s="57"/>
      <c r="N977" s="57"/>
      <c r="O977" s="57"/>
      <c r="P977" s="57"/>
      <c r="Q977" s="57"/>
      <c r="R977" s="57"/>
      <c r="S977" s="57"/>
      <c r="T977" s="57"/>
      <c r="U977" s="57"/>
      <c r="V977" s="57"/>
      <c r="W977" s="57"/>
      <c r="X977" s="57"/>
      <c r="Y977" s="57"/>
      <c r="Z977" s="57"/>
      <c r="AA977" s="57"/>
      <c r="AB977" s="57"/>
      <c r="AC977" s="57"/>
      <c r="AD977" s="57"/>
    </row>
    <row r="978" spans="1:30" ht="26.25" thickBot="1" x14ac:dyDescent="0.25">
      <c r="A978" s="57"/>
      <c r="B978" s="180" t="s">
        <v>14141</v>
      </c>
      <c r="C978" s="181" t="s">
        <v>13870</v>
      </c>
      <c r="D978" s="180" t="s">
        <v>14602</v>
      </c>
      <c r="E978" s="180" t="s">
        <v>15398</v>
      </c>
      <c r="F978" s="180" t="s">
        <v>13513</v>
      </c>
      <c r="G978" s="180" t="s">
        <v>14549</v>
      </c>
      <c r="H978" s="180" t="s">
        <v>13492</v>
      </c>
      <c r="I978" s="180" t="s">
        <v>13672</v>
      </c>
      <c r="J978" s="57"/>
      <c r="K978" s="57"/>
      <c r="L978" s="57"/>
      <c r="M978" s="57"/>
      <c r="N978" s="57"/>
      <c r="O978" s="57"/>
      <c r="P978" s="57"/>
      <c r="Q978" s="57"/>
      <c r="R978" s="57"/>
      <c r="S978" s="57"/>
      <c r="T978" s="57"/>
      <c r="U978" s="57"/>
      <c r="V978" s="57"/>
      <c r="W978" s="57"/>
      <c r="X978" s="57"/>
      <c r="Y978" s="57"/>
      <c r="Z978" s="57"/>
      <c r="AA978" s="57"/>
      <c r="AB978" s="57"/>
      <c r="AC978" s="57"/>
      <c r="AD978" s="57"/>
    </row>
    <row r="979" spans="1:30" ht="13.5" thickBot="1" x14ac:dyDescent="0.25">
      <c r="A979" s="57"/>
      <c r="B979" s="219" t="s">
        <v>13378</v>
      </c>
      <c r="C979" s="220" t="s">
        <v>14499</v>
      </c>
      <c r="D979" s="219" t="s">
        <v>13663</v>
      </c>
      <c r="E979" s="219" t="s">
        <v>13816</v>
      </c>
      <c r="F979" s="219" t="s">
        <v>14397</v>
      </c>
      <c r="G979" s="219" t="s">
        <v>13528</v>
      </c>
      <c r="H979" s="219" t="s">
        <v>14942</v>
      </c>
      <c r="I979" s="219" t="s">
        <v>13950</v>
      </c>
      <c r="J979" s="57"/>
      <c r="K979" s="57"/>
      <c r="L979" s="57"/>
      <c r="M979" s="57"/>
      <c r="N979" s="57"/>
      <c r="O979" s="57"/>
      <c r="P979" s="57"/>
      <c r="Q979" s="57"/>
      <c r="R979" s="57"/>
      <c r="S979" s="57"/>
      <c r="T979" s="57"/>
      <c r="U979" s="57"/>
      <c r="V979" s="57"/>
      <c r="W979" s="57"/>
      <c r="X979" s="57"/>
      <c r="Y979" s="57"/>
      <c r="Z979" s="57"/>
      <c r="AA979" s="57"/>
      <c r="AB979" s="57"/>
      <c r="AC979" s="57"/>
      <c r="AD979" s="57"/>
    </row>
    <row r="980" spans="1:30" ht="13.5" thickBot="1" x14ac:dyDescent="0.25">
      <c r="A980" s="57"/>
      <c r="B980" s="180" t="s">
        <v>13384</v>
      </c>
      <c r="C980" s="180" t="s">
        <v>13777</v>
      </c>
      <c r="D980" s="181" t="s">
        <v>14385</v>
      </c>
      <c r="E980" s="180" t="s">
        <v>13663</v>
      </c>
      <c r="F980" s="180" t="s">
        <v>13811</v>
      </c>
      <c r="G980" s="180" t="s">
        <v>13781</v>
      </c>
      <c r="H980" s="180" t="s">
        <v>13566</v>
      </c>
      <c r="I980" s="180" t="s">
        <v>13749</v>
      </c>
      <c r="J980" s="57"/>
      <c r="K980" s="57"/>
      <c r="L980" s="57"/>
      <c r="M980" s="57"/>
      <c r="N980" s="57"/>
      <c r="O980" s="57"/>
      <c r="P980" s="57"/>
      <c r="Q980" s="57"/>
      <c r="R980" s="57"/>
      <c r="S980" s="57"/>
      <c r="T980" s="57"/>
      <c r="U980" s="57"/>
      <c r="V980" s="57"/>
      <c r="W980" s="57"/>
      <c r="X980" s="57"/>
      <c r="Y980" s="57"/>
      <c r="Z980" s="57"/>
      <c r="AA980" s="57"/>
      <c r="AB980" s="57"/>
      <c r="AC980" s="57"/>
      <c r="AD980" s="57"/>
    </row>
    <row r="981" spans="1:30" ht="13.5" thickBot="1" x14ac:dyDescent="0.25">
      <c r="A981" s="57"/>
      <c r="B981" s="219" t="s">
        <v>13391</v>
      </c>
      <c r="C981" s="219" t="s">
        <v>13630</v>
      </c>
      <c r="D981" s="220" t="s">
        <v>14363</v>
      </c>
      <c r="E981" s="219" t="s">
        <v>14933</v>
      </c>
      <c r="F981" s="219" t="s">
        <v>15431</v>
      </c>
      <c r="G981" s="219" t="s">
        <v>13621</v>
      </c>
      <c r="H981" s="219" t="s">
        <v>14662</v>
      </c>
      <c r="I981" s="219" t="s">
        <v>13604</v>
      </c>
      <c r="J981" s="57"/>
      <c r="K981" s="57"/>
      <c r="L981" s="57"/>
      <c r="M981" s="57"/>
      <c r="N981" s="57"/>
      <c r="O981" s="57"/>
      <c r="P981" s="57"/>
      <c r="Q981" s="57"/>
      <c r="R981" s="57"/>
      <c r="S981" s="57"/>
      <c r="T981" s="57"/>
      <c r="U981" s="57"/>
      <c r="V981" s="57"/>
      <c r="W981" s="57"/>
      <c r="X981" s="57"/>
      <c r="Y981" s="57"/>
      <c r="Z981" s="57"/>
      <c r="AA981" s="57"/>
      <c r="AB981" s="57"/>
      <c r="AC981" s="57"/>
      <c r="AD981" s="57"/>
    </row>
    <row r="982" spans="1:30" ht="13.5" thickBot="1" x14ac:dyDescent="0.25">
      <c r="A982" s="57"/>
      <c r="B982" s="180" t="s">
        <v>13397</v>
      </c>
      <c r="C982" s="180" t="s">
        <v>13879</v>
      </c>
      <c r="D982" s="181" t="s">
        <v>13748</v>
      </c>
      <c r="E982" s="180" t="s">
        <v>13640</v>
      </c>
      <c r="F982" s="180" t="s">
        <v>15325</v>
      </c>
      <c r="G982" s="180" t="s">
        <v>14436</v>
      </c>
      <c r="H982" s="180" t="s">
        <v>13754</v>
      </c>
      <c r="I982" s="180" t="s">
        <v>13531</v>
      </c>
      <c r="J982" s="57"/>
      <c r="K982" s="57"/>
      <c r="L982" s="57"/>
      <c r="M982" s="57"/>
      <c r="N982" s="57"/>
      <c r="O982" s="57"/>
      <c r="P982" s="57"/>
      <c r="Q982" s="57"/>
      <c r="R982" s="57"/>
      <c r="S982" s="57"/>
      <c r="T982" s="57"/>
      <c r="U982" s="57"/>
      <c r="V982" s="57"/>
      <c r="W982" s="57"/>
      <c r="X982" s="57"/>
      <c r="Y982" s="57"/>
      <c r="Z982" s="57"/>
      <c r="AA982" s="57"/>
      <c r="AB982" s="57"/>
      <c r="AC982" s="57"/>
      <c r="AD982" s="57"/>
    </row>
    <row r="983" spans="1:30" ht="13.5" thickBot="1" x14ac:dyDescent="0.25">
      <c r="A983" s="57"/>
      <c r="B983" s="219" t="s">
        <v>13403</v>
      </c>
      <c r="C983" s="219" t="s">
        <v>14403</v>
      </c>
      <c r="D983" s="220" t="s">
        <v>14508</v>
      </c>
      <c r="E983" s="219" t="s">
        <v>14479</v>
      </c>
      <c r="F983" s="219" t="s">
        <v>13382</v>
      </c>
      <c r="G983" s="219" t="s">
        <v>14448</v>
      </c>
      <c r="H983" s="219" t="s">
        <v>13373</v>
      </c>
      <c r="I983" s="219" t="s">
        <v>13774</v>
      </c>
      <c r="J983" s="57"/>
      <c r="K983" s="57"/>
      <c r="L983" s="57"/>
      <c r="M983" s="57"/>
      <c r="N983" s="57"/>
      <c r="O983" s="57"/>
      <c r="P983" s="57"/>
      <c r="Q983" s="57"/>
      <c r="R983" s="57"/>
      <c r="S983" s="57"/>
      <c r="T983" s="57"/>
      <c r="U983" s="57"/>
      <c r="V983" s="57"/>
      <c r="W983" s="57"/>
      <c r="X983" s="57"/>
      <c r="Y983" s="57"/>
      <c r="Z983" s="57"/>
      <c r="AA983" s="57"/>
      <c r="AB983" s="57"/>
      <c r="AC983" s="57"/>
      <c r="AD983" s="57"/>
    </row>
    <row r="984" spans="1:30" ht="13.5" thickBot="1" x14ac:dyDescent="0.25">
      <c r="A984" s="57"/>
      <c r="B984" s="180" t="s">
        <v>15363</v>
      </c>
      <c r="C984" s="180" t="s">
        <v>15432</v>
      </c>
      <c r="D984" s="181" t="s">
        <v>14385</v>
      </c>
      <c r="E984" s="180" t="s">
        <v>14439</v>
      </c>
      <c r="F984" s="180" t="s">
        <v>15433</v>
      </c>
      <c r="G984" s="180" t="s">
        <v>15387</v>
      </c>
      <c r="H984" s="180" t="s">
        <v>13769</v>
      </c>
      <c r="I984" s="180" t="s">
        <v>15325</v>
      </c>
      <c r="J984" s="57"/>
      <c r="K984" s="57"/>
      <c r="L984" s="57"/>
      <c r="M984" s="57"/>
      <c r="N984" s="57"/>
      <c r="O984" s="57"/>
      <c r="P984" s="57"/>
      <c r="Q984" s="57"/>
      <c r="R984" s="57"/>
      <c r="S984" s="57"/>
      <c r="T984" s="57"/>
      <c r="U984" s="57"/>
      <c r="V984" s="57"/>
      <c r="W984" s="57"/>
      <c r="X984" s="57"/>
      <c r="Y984" s="57"/>
      <c r="Z984" s="57"/>
      <c r="AA984" s="57"/>
      <c r="AB984" s="57"/>
      <c r="AC984" s="57"/>
      <c r="AD984" s="57"/>
    </row>
    <row r="985" spans="1:30" ht="13.5" thickBot="1" x14ac:dyDescent="0.25">
      <c r="A985" s="57"/>
      <c r="B985" s="219" t="s">
        <v>13413</v>
      </c>
      <c r="C985" s="219" t="s">
        <v>14452</v>
      </c>
      <c r="D985" s="220" t="s">
        <v>15348</v>
      </c>
      <c r="E985" s="219" t="s">
        <v>13635</v>
      </c>
      <c r="F985" s="219" t="s">
        <v>13912</v>
      </c>
      <c r="G985" s="219" t="s">
        <v>13876</v>
      </c>
      <c r="H985" s="219" t="s">
        <v>13409</v>
      </c>
      <c r="I985" s="219" t="s">
        <v>15434</v>
      </c>
      <c r="J985" s="57"/>
      <c r="K985" s="57"/>
      <c r="L985" s="57"/>
      <c r="M985" s="57"/>
      <c r="N985" s="57"/>
      <c r="O985" s="57"/>
      <c r="P985" s="57"/>
      <c r="Q985" s="57"/>
      <c r="R985" s="57"/>
      <c r="S985" s="57"/>
      <c r="T985" s="57"/>
      <c r="U985" s="57"/>
      <c r="V985" s="57"/>
      <c r="W985" s="57"/>
      <c r="X985" s="57"/>
      <c r="Y985" s="57"/>
      <c r="Z985" s="57"/>
      <c r="AA985" s="57"/>
      <c r="AB985" s="57"/>
      <c r="AC985" s="57"/>
      <c r="AD985" s="57"/>
    </row>
    <row r="986" spans="1:30" ht="13.5" thickBot="1" x14ac:dyDescent="0.25">
      <c r="A986" s="57"/>
      <c r="B986" s="180" t="s">
        <v>13419</v>
      </c>
      <c r="C986" s="180" t="s">
        <v>13467</v>
      </c>
      <c r="D986" s="180" t="s">
        <v>14396</v>
      </c>
      <c r="E986" s="180" t="s">
        <v>14496</v>
      </c>
      <c r="F986" s="180" t="s">
        <v>13465</v>
      </c>
      <c r="G986" s="180" t="s">
        <v>13465</v>
      </c>
      <c r="H986" s="180" t="s">
        <v>13791</v>
      </c>
      <c r="I986" s="181" t="s">
        <v>13877</v>
      </c>
      <c r="J986" s="57"/>
      <c r="K986" s="57"/>
      <c r="L986" s="57"/>
      <c r="M986" s="57"/>
      <c r="N986" s="57"/>
      <c r="O986" s="57"/>
      <c r="P986" s="57"/>
      <c r="Q986" s="57"/>
      <c r="R986" s="57"/>
      <c r="S986" s="57"/>
      <c r="T986" s="57"/>
      <c r="U986" s="57"/>
      <c r="V986" s="57"/>
      <c r="W986" s="57"/>
      <c r="X986" s="57"/>
      <c r="Y986" s="57"/>
      <c r="Z986" s="57"/>
      <c r="AA986" s="57"/>
      <c r="AB986" s="57"/>
      <c r="AC986" s="57"/>
      <c r="AD986" s="57"/>
    </row>
    <row r="987" spans="1:30" ht="13.5" thickBot="1" x14ac:dyDescent="0.25">
      <c r="A987" s="57"/>
      <c r="B987" s="219" t="s">
        <v>13426</v>
      </c>
      <c r="C987" s="219" t="s">
        <v>14397</v>
      </c>
      <c r="D987" s="220" t="s">
        <v>13877</v>
      </c>
      <c r="E987" s="219" t="s">
        <v>13599</v>
      </c>
      <c r="F987" s="219" t="s">
        <v>13743</v>
      </c>
      <c r="G987" s="219" t="s">
        <v>13420</v>
      </c>
      <c r="H987" s="219" t="s">
        <v>13795</v>
      </c>
      <c r="I987" s="219" t="s">
        <v>13635</v>
      </c>
      <c r="J987" s="57"/>
      <c r="K987" s="57"/>
      <c r="L987" s="57"/>
      <c r="M987" s="57"/>
      <c r="N987" s="57"/>
      <c r="O987" s="57"/>
      <c r="P987" s="57"/>
      <c r="Q987" s="57"/>
      <c r="R987" s="57"/>
      <c r="S987" s="57"/>
      <c r="T987" s="57"/>
      <c r="U987" s="57"/>
      <c r="V987" s="57"/>
      <c r="W987" s="57"/>
      <c r="X987" s="57"/>
      <c r="Y987" s="57"/>
      <c r="Z987" s="57"/>
      <c r="AA987" s="57"/>
      <c r="AB987" s="57"/>
      <c r="AC987" s="57"/>
      <c r="AD987" s="57"/>
    </row>
    <row r="988" spans="1:30" ht="13.5" thickBot="1" x14ac:dyDescent="0.25">
      <c r="A988" s="57"/>
      <c r="B988" s="180" t="s">
        <v>13432</v>
      </c>
      <c r="C988" s="180" t="s">
        <v>13913</v>
      </c>
      <c r="D988" s="181" t="s">
        <v>14496</v>
      </c>
      <c r="E988" s="180" t="s">
        <v>14941</v>
      </c>
      <c r="F988" s="180" t="s">
        <v>14322</v>
      </c>
      <c r="G988" s="180" t="s">
        <v>13681</v>
      </c>
      <c r="H988" s="180" t="s">
        <v>15435</v>
      </c>
      <c r="I988" s="180" t="s">
        <v>15387</v>
      </c>
      <c r="J988" s="57"/>
      <c r="K988" s="57"/>
      <c r="L988" s="57"/>
      <c r="M988" s="57"/>
      <c r="N988" s="57"/>
      <c r="O988" s="57"/>
      <c r="P988" s="57"/>
      <c r="Q988" s="57"/>
      <c r="R988" s="57"/>
      <c r="S988" s="57"/>
      <c r="T988" s="57"/>
      <c r="U988" s="57"/>
      <c r="V988" s="57"/>
      <c r="W988" s="57"/>
      <c r="X988" s="57"/>
      <c r="Y988" s="57"/>
      <c r="Z988" s="57"/>
      <c r="AA988" s="57"/>
      <c r="AB988" s="57"/>
      <c r="AC988" s="57"/>
      <c r="AD988" s="57"/>
    </row>
    <row r="989" spans="1:30" ht="13.5" thickBot="1" x14ac:dyDescent="0.25">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c r="AA989" s="57"/>
      <c r="AB989" s="57"/>
      <c r="AC989" s="57"/>
      <c r="AD989" s="57"/>
    </row>
    <row r="990" spans="1:30" ht="13.5" thickBot="1" x14ac:dyDescent="0.25">
      <c r="A990" s="57"/>
      <c r="B990" s="156" t="s">
        <v>15436</v>
      </c>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c r="AA990" s="57"/>
      <c r="AB990" s="57"/>
      <c r="AC990" s="57"/>
      <c r="AD990" s="57"/>
    </row>
    <row r="991" spans="1:30" ht="26.25" thickBot="1" x14ac:dyDescent="0.25">
      <c r="A991" s="57"/>
      <c r="B991" s="218" t="s">
        <v>13576</v>
      </c>
      <c r="C991" s="218" t="s">
        <v>15391</v>
      </c>
      <c r="D991" s="218" t="s">
        <v>14336</v>
      </c>
      <c r="E991" s="218" t="s">
        <v>15392</v>
      </c>
      <c r="F991" s="218" t="s">
        <v>14139</v>
      </c>
      <c r="G991" s="218" t="s">
        <v>15394</v>
      </c>
      <c r="H991" s="218" t="s">
        <v>15316</v>
      </c>
      <c r="I991" s="218" t="s">
        <v>15395</v>
      </c>
      <c r="J991" s="57"/>
      <c r="K991" s="57"/>
      <c r="L991" s="57"/>
      <c r="M991" s="57"/>
      <c r="N991" s="57"/>
      <c r="O991" s="57"/>
      <c r="P991" s="57"/>
      <c r="Q991" s="57"/>
      <c r="R991" s="57"/>
      <c r="S991" s="57"/>
      <c r="T991" s="57"/>
      <c r="U991" s="57"/>
      <c r="V991" s="57"/>
      <c r="W991" s="57"/>
      <c r="X991" s="57"/>
      <c r="Y991" s="57"/>
      <c r="Z991" s="57"/>
      <c r="AA991" s="57"/>
      <c r="AB991" s="57"/>
      <c r="AC991" s="57"/>
      <c r="AD991" s="57"/>
    </row>
    <row r="992" spans="1:30" ht="26.25" thickBot="1" x14ac:dyDescent="0.25">
      <c r="A992" s="57"/>
      <c r="B992" s="180" t="s">
        <v>14141</v>
      </c>
      <c r="C992" s="180" t="s">
        <v>13680</v>
      </c>
      <c r="D992" s="180" t="s">
        <v>15437</v>
      </c>
      <c r="E992" s="180" t="s">
        <v>14350</v>
      </c>
      <c r="F992" s="180" t="s">
        <v>13513</v>
      </c>
      <c r="G992" s="181" t="s">
        <v>14549</v>
      </c>
      <c r="H992" s="180" t="s">
        <v>15438</v>
      </c>
      <c r="I992" s="180" t="s">
        <v>13409</v>
      </c>
      <c r="J992" s="57"/>
      <c r="K992" s="57"/>
      <c r="L992" s="57"/>
      <c r="M992" s="57"/>
      <c r="N992" s="57"/>
      <c r="O992" s="57"/>
      <c r="P992" s="57"/>
      <c r="Q992" s="57"/>
      <c r="R992" s="57"/>
      <c r="S992" s="57"/>
      <c r="T992" s="57"/>
      <c r="U992" s="57"/>
      <c r="V992" s="57"/>
      <c r="W992" s="57"/>
      <c r="X992" s="57"/>
      <c r="Y992" s="57"/>
      <c r="Z992" s="57"/>
      <c r="AA992" s="57"/>
      <c r="AB992" s="57"/>
      <c r="AC992" s="57"/>
      <c r="AD992" s="57"/>
    </row>
    <row r="993" spans="1:30" ht="13.5" thickBot="1" x14ac:dyDescent="0.25">
      <c r="A993" s="57"/>
      <c r="B993" s="219" t="s">
        <v>13378</v>
      </c>
      <c r="C993" s="220" t="s">
        <v>14396</v>
      </c>
      <c r="D993" s="219" t="s">
        <v>13767</v>
      </c>
      <c r="E993" s="219" t="s">
        <v>13677</v>
      </c>
      <c r="F993" s="219" t="s">
        <v>14397</v>
      </c>
      <c r="G993" s="219" t="s">
        <v>13528</v>
      </c>
      <c r="H993" s="219" t="s">
        <v>15439</v>
      </c>
      <c r="I993" s="219" t="s">
        <v>14454</v>
      </c>
      <c r="J993" s="57"/>
      <c r="K993" s="57"/>
      <c r="L993" s="57"/>
      <c r="M993" s="57"/>
      <c r="N993" s="57"/>
      <c r="O993" s="57"/>
      <c r="P993" s="57"/>
      <c r="Q993" s="57"/>
      <c r="R993" s="57"/>
      <c r="S993" s="57"/>
      <c r="T993" s="57"/>
      <c r="U993" s="57"/>
      <c r="V993" s="57"/>
      <c r="W993" s="57"/>
      <c r="X993" s="57"/>
      <c r="Y993" s="57"/>
      <c r="Z993" s="57"/>
      <c r="AA993" s="57"/>
      <c r="AB993" s="57"/>
      <c r="AC993" s="57"/>
      <c r="AD993" s="57"/>
    </row>
    <row r="994" spans="1:30" ht="13.5" thickBot="1" x14ac:dyDescent="0.25">
      <c r="A994" s="57"/>
      <c r="B994" s="180" t="s">
        <v>13384</v>
      </c>
      <c r="C994" s="180" t="s">
        <v>13497</v>
      </c>
      <c r="D994" s="180" t="s">
        <v>13611</v>
      </c>
      <c r="E994" s="180" t="s">
        <v>13845</v>
      </c>
      <c r="F994" s="180" t="s">
        <v>13781</v>
      </c>
      <c r="G994" s="180" t="s">
        <v>13781</v>
      </c>
      <c r="H994" s="180" t="s">
        <v>14126</v>
      </c>
      <c r="I994" s="181" t="s">
        <v>13778</v>
      </c>
      <c r="J994" s="57"/>
      <c r="K994" s="57"/>
      <c r="L994" s="57"/>
      <c r="M994" s="57"/>
      <c r="N994" s="57"/>
      <c r="O994" s="57"/>
      <c r="P994" s="57"/>
      <c r="Q994" s="57"/>
      <c r="R994" s="57"/>
      <c r="S994" s="57"/>
      <c r="T994" s="57"/>
      <c r="U994" s="57"/>
      <c r="V994" s="57"/>
      <c r="W994" s="57"/>
      <c r="X994" s="57"/>
      <c r="Y994" s="57"/>
      <c r="Z994" s="57"/>
      <c r="AA994" s="57"/>
      <c r="AB994" s="57"/>
      <c r="AC994" s="57"/>
      <c r="AD994" s="57"/>
    </row>
    <row r="995" spans="1:30" ht="13.5" thickBot="1" x14ac:dyDescent="0.25">
      <c r="A995" s="57"/>
      <c r="B995" s="219" t="s">
        <v>13391</v>
      </c>
      <c r="C995" s="219" t="s">
        <v>15440</v>
      </c>
      <c r="D995" s="219" t="s">
        <v>15441</v>
      </c>
      <c r="E995" s="219" t="s">
        <v>13450</v>
      </c>
      <c r="F995" s="219" t="s">
        <v>15431</v>
      </c>
      <c r="G995" s="220" t="s">
        <v>13621</v>
      </c>
      <c r="H995" s="219" t="s">
        <v>15442</v>
      </c>
      <c r="I995" s="219" t="s">
        <v>13851</v>
      </c>
      <c r="J995" s="57"/>
      <c r="K995" s="57"/>
      <c r="L995" s="57"/>
      <c r="M995" s="57"/>
      <c r="N995" s="57"/>
      <c r="O995" s="57"/>
      <c r="P995" s="57"/>
      <c r="Q995" s="57"/>
      <c r="R995" s="57"/>
      <c r="S995" s="57"/>
      <c r="T995" s="57"/>
      <c r="U995" s="57"/>
      <c r="V995" s="57"/>
      <c r="W995" s="57"/>
      <c r="X995" s="57"/>
      <c r="Y995" s="57"/>
      <c r="Z995" s="57"/>
      <c r="AA995" s="57"/>
      <c r="AB995" s="57"/>
      <c r="AC995" s="57"/>
      <c r="AD995" s="57"/>
    </row>
    <row r="996" spans="1:30" ht="13.5" thickBot="1" x14ac:dyDescent="0.25">
      <c r="A996" s="57"/>
      <c r="B996" s="180" t="s">
        <v>13397</v>
      </c>
      <c r="C996" s="180" t="s">
        <v>13647</v>
      </c>
      <c r="D996" s="180" t="s">
        <v>13414</v>
      </c>
      <c r="E996" s="180" t="s">
        <v>13596</v>
      </c>
      <c r="F996" s="181" t="s">
        <v>15325</v>
      </c>
      <c r="G996" s="180" t="s">
        <v>14436</v>
      </c>
      <c r="H996" s="180" t="s">
        <v>15443</v>
      </c>
      <c r="I996" s="180" t="s">
        <v>14363</v>
      </c>
      <c r="J996" s="57"/>
      <c r="K996" s="57"/>
      <c r="L996" s="57"/>
      <c r="M996" s="57"/>
      <c r="N996" s="57"/>
      <c r="O996" s="57"/>
      <c r="P996" s="57"/>
      <c r="Q996" s="57"/>
      <c r="R996" s="57"/>
      <c r="S996" s="57"/>
      <c r="T996" s="57"/>
      <c r="U996" s="57"/>
      <c r="V996" s="57"/>
      <c r="W996" s="57"/>
      <c r="X996" s="57"/>
      <c r="Y996" s="57"/>
      <c r="Z996" s="57"/>
      <c r="AA996" s="57"/>
      <c r="AB996" s="57"/>
      <c r="AC996" s="57"/>
      <c r="AD996" s="57"/>
    </row>
    <row r="997" spans="1:30" ht="13.5" thickBot="1" x14ac:dyDescent="0.25">
      <c r="A997" s="57"/>
      <c r="B997" s="219" t="s">
        <v>13403</v>
      </c>
      <c r="C997" s="219" t="s">
        <v>13719</v>
      </c>
      <c r="D997" s="219" t="s">
        <v>13959</v>
      </c>
      <c r="E997" s="219" t="s">
        <v>13602</v>
      </c>
      <c r="F997" s="219" t="s">
        <v>13382</v>
      </c>
      <c r="G997" s="220" t="s">
        <v>14448</v>
      </c>
      <c r="H997" s="219" t="s">
        <v>13643</v>
      </c>
      <c r="I997" s="219" t="s">
        <v>13692</v>
      </c>
      <c r="J997" s="57"/>
      <c r="K997" s="57"/>
      <c r="L997" s="57"/>
      <c r="M997" s="57"/>
      <c r="N997" s="57"/>
      <c r="O997" s="57"/>
      <c r="P997" s="57"/>
      <c r="Q997" s="57"/>
      <c r="R997" s="57"/>
      <c r="S997" s="57"/>
      <c r="T997" s="57"/>
      <c r="U997" s="57"/>
      <c r="V997" s="57"/>
      <c r="W997" s="57"/>
      <c r="X997" s="57"/>
      <c r="Y997" s="57"/>
      <c r="Z997" s="57"/>
      <c r="AA997" s="57"/>
      <c r="AB997" s="57"/>
      <c r="AC997" s="57"/>
      <c r="AD997" s="57"/>
    </row>
    <row r="998" spans="1:30" ht="13.5" thickBot="1" x14ac:dyDescent="0.25">
      <c r="A998" s="57"/>
      <c r="B998" s="180" t="s">
        <v>15363</v>
      </c>
      <c r="C998" s="180" t="s">
        <v>14445</v>
      </c>
      <c r="D998" s="180" t="s">
        <v>15444</v>
      </c>
      <c r="E998" s="180" t="s">
        <v>15401</v>
      </c>
      <c r="F998" s="180" t="s">
        <v>13709</v>
      </c>
      <c r="G998" s="181" t="s">
        <v>15387</v>
      </c>
      <c r="H998" s="180" t="s">
        <v>15445</v>
      </c>
      <c r="I998" s="180" t="s">
        <v>13698</v>
      </c>
      <c r="J998" s="57"/>
      <c r="K998" s="57"/>
      <c r="L998" s="57"/>
      <c r="M998" s="57"/>
      <c r="N998" s="57"/>
      <c r="O998" s="57"/>
      <c r="P998" s="57"/>
      <c r="Q998" s="57"/>
      <c r="R998" s="57"/>
      <c r="S998" s="57"/>
      <c r="T998" s="57"/>
      <c r="U998" s="57"/>
      <c r="V998" s="57"/>
      <c r="W998" s="57"/>
      <c r="X998" s="57"/>
      <c r="Y998" s="57"/>
      <c r="Z998" s="57"/>
      <c r="AA998" s="57"/>
      <c r="AB998" s="57"/>
      <c r="AC998" s="57"/>
      <c r="AD998" s="57"/>
    </row>
    <row r="999" spans="1:30" ht="13.5" thickBot="1" x14ac:dyDescent="0.25">
      <c r="A999" s="57"/>
      <c r="B999" s="219" t="s">
        <v>13413</v>
      </c>
      <c r="C999" s="219" t="s">
        <v>13478</v>
      </c>
      <c r="D999" s="219" t="s">
        <v>14598</v>
      </c>
      <c r="E999" s="219" t="s">
        <v>13845</v>
      </c>
      <c r="F999" s="220" t="s">
        <v>13912</v>
      </c>
      <c r="G999" s="219" t="s">
        <v>13876</v>
      </c>
      <c r="H999" s="219" t="s">
        <v>13454</v>
      </c>
      <c r="I999" s="219" t="s">
        <v>14383</v>
      </c>
      <c r="J999" s="57"/>
      <c r="K999" s="57"/>
      <c r="L999" s="57"/>
      <c r="M999" s="57"/>
      <c r="N999" s="57"/>
      <c r="O999" s="57"/>
      <c r="P999" s="57"/>
      <c r="Q999" s="57"/>
      <c r="R999" s="57"/>
      <c r="S999" s="57"/>
      <c r="T999" s="57"/>
      <c r="U999" s="57"/>
      <c r="V999" s="57"/>
      <c r="W999" s="57"/>
      <c r="X999" s="57"/>
      <c r="Y999" s="57"/>
      <c r="Z999" s="57"/>
      <c r="AA999" s="57"/>
      <c r="AB999" s="57"/>
      <c r="AC999" s="57"/>
      <c r="AD999" s="57"/>
    </row>
    <row r="1000" spans="1:30" ht="13.5" thickBot="1" x14ac:dyDescent="0.25">
      <c r="A1000" s="57"/>
      <c r="B1000" s="180" t="s">
        <v>13419</v>
      </c>
      <c r="C1000" s="180" t="s">
        <v>13465</v>
      </c>
      <c r="D1000" s="180" t="s">
        <v>13816</v>
      </c>
      <c r="E1000" s="180" t="s">
        <v>13752</v>
      </c>
      <c r="F1000" s="180" t="s">
        <v>13465</v>
      </c>
      <c r="G1000" s="180" t="s">
        <v>13465</v>
      </c>
      <c r="H1000" s="180" t="s">
        <v>15446</v>
      </c>
      <c r="I1000" s="181" t="s">
        <v>14432</v>
      </c>
      <c r="J1000" s="57"/>
      <c r="K1000" s="57"/>
      <c r="L1000" s="57"/>
      <c r="M1000" s="57"/>
      <c r="N1000" s="57"/>
      <c r="O1000" s="57"/>
      <c r="P1000" s="57"/>
      <c r="Q1000" s="57"/>
      <c r="R1000" s="57"/>
      <c r="S1000" s="57"/>
      <c r="T1000" s="57"/>
      <c r="U1000" s="57"/>
      <c r="V1000" s="57"/>
      <c r="W1000" s="57"/>
      <c r="X1000" s="57"/>
      <c r="Y1000" s="57"/>
      <c r="Z1000" s="57"/>
      <c r="AA1000" s="57"/>
      <c r="AB1000" s="57"/>
      <c r="AC1000" s="57"/>
      <c r="AD1000" s="57"/>
    </row>
    <row r="1001" spans="1:30" ht="13.5" thickBot="1" x14ac:dyDescent="0.25">
      <c r="A1001" s="57"/>
      <c r="B1001" s="219" t="s">
        <v>13426</v>
      </c>
      <c r="C1001" s="219" t="s">
        <v>14460</v>
      </c>
      <c r="D1001" s="219" t="s">
        <v>15447</v>
      </c>
      <c r="E1001" s="219" t="s">
        <v>13962</v>
      </c>
      <c r="F1001" s="220" t="s">
        <v>13743</v>
      </c>
      <c r="G1001" s="219" t="s">
        <v>15389</v>
      </c>
      <c r="H1001" s="219" t="s">
        <v>13806</v>
      </c>
      <c r="I1001" s="219" t="s">
        <v>13599</v>
      </c>
      <c r="J1001" s="57"/>
      <c r="K1001" s="57"/>
      <c r="L1001" s="57"/>
      <c r="M1001" s="57"/>
      <c r="N1001" s="57"/>
      <c r="O1001" s="57"/>
      <c r="P1001" s="57"/>
      <c r="Q1001" s="57"/>
      <c r="R1001" s="57"/>
      <c r="S1001" s="57"/>
      <c r="T1001" s="57"/>
      <c r="U1001" s="57"/>
      <c r="V1001" s="57"/>
      <c r="W1001" s="57"/>
      <c r="X1001" s="57"/>
      <c r="Y1001" s="57"/>
      <c r="Z1001" s="57"/>
      <c r="AA1001" s="57"/>
      <c r="AB1001" s="57"/>
      <c r="AC1001" s="57"/>
      <c r="AD1001" s="57"/>
    </row>
    <row r="1002" spans="1:30" ht="13.5" thickBot="1" x14ac:dyDescent="0.25">
      <c r="A1002" s="57"/>
      <c r="B1002" s="180" t="s">
        <v>13432</v>
      </c>
      <c r="C1002" s="180" t="s">
        <v>14446</v>
      </c>
      <c r="D1002" s="180" t="s">
        <v>13382</v>
      </c>
      <c r="E1002" s="180" t="s">
        <v>13558</v>
      </c>
      <c r="F1002" s="180" t="s">
        <v>14422</v>
      </c>
      <c r="G1002" s="181" t="s">
        <v>14523</v>
      </c>
      <c r="H1002" s="180" t="s">
        <v>15448</v>
      </c>
      <c r="I1002" s="180" t="s">
        <v>13755</v>
      </c>
      <c r="J1002" s="57"/>
      <c r="K1002" s="57"/>
      <c r="L1002" s="57"/>
      <c r="M1002" s="57"/>
      <c r="N1002" s="57"/>
      <c r="O1002" s="57"/>
      <c r="P1002" s="57"/>
      <c r="Q1002" s="57"/>
      <c r="R1002" s="57"/>
      <c r="S1002" s="57"/>
      <c r="T1002" s="57"/>
      <c r="U1002" s="57"/>
      <c r="V1002" s="57"/>
      <c r="W1002" s="57"/>
      <c r="X1002" s="57"/>
      <c r="Y1002" s="57"/>
      <c r="Z1002" s="57"/>
      <c r="AA1002" s="57"/>
      <c r="AB1002" s="57"/>
      <c r="AC1002" s="57"/>
      <c r="AD1002" s="57"/>
    </row>
    <row r="1003" spans="1:30" ht="13.5" thickBot="1" x14ac:dyDescent="0.25">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c r="AA1003" s="57"/>
      <c r="AB1003" s="57"/>
      <c r="AC1003" s="57"/>
      <c r="AD1003" s="57"/>
    </row>
    <row r="1004" spans="1:30" ht="13.5" thickBot="1" x14ac:dyDescent="0.25">
      <c r="A1004" s="57"/>
      <c r="B1004" s="156" t="s">
        <v>15449</v>
      </c>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c r="AA1004" s="57"/>
      <c r="AB1004" s="57"/>
      <c r="AC1004" s="57"/>
      <c r="AD1004" s="57"/>
    </row>
    <row r="1005" spans="1:30" ht="13.5" thickBot="1" x14ac:dyDescent="0.25">
      <c r="A1005" s="57"/>
      <c r="B1005" s="218" t="s">
        <v>13576</v>
      </c>
      <c r="C1005" s="218" t="s">
        <v>15355</v>
      </c>
      <c r="D1005" s="218" t="s">
        <v>15356</v>
      </c>
      <c r="E1005" s="218" t="s">
        <v>14488</v>
      </c>
      <c r="F1005" s="218" t="s">
        <v>15357</v>
      </c>
      <c r="G1005" s="218" t="s">
        <v>15358</v>
      </c>
      <c r="H1005" s="218" t="s">
        <v>15359</v>
      </c>
      <c r="I1005" s="218" t="s">
        <v>14487</v>
      </c>
      <c r="J1005" s="57"/>
      <c r="K1005" s="57"/>
      <c r="L1005" s="57"/>
      <c r="M1005" s="57"/>
      <c r="N1005" s="57"/>
      <c r="O1005" s="57"/>
      <c r="P1005" s="57"/>
      <c r="Q1005" s="57"/>
      <c r="R1005" s="57"/>
      <c r="S1005" s="57"/>
      <c r="T1005" s="57"/>
      <c r="U1005" s="57"/>
      <c r="V1005" s="57"/>
      <c r="W1005" s="57"/>
      <c r="X1005" s="57"/>
      <c r="Y1005" s="57"/>
      <c r="Z1005" s="57"/>
      <c r="AA1005" s="57"/>
      <c r="AB1005" s="57"/>
      <c r="AC1005" s="57"/>
      <c r="AD1005" s="57"/>
    </row>
    <row r="1006" spans="1:30" ht="26.25" thickBot="1" x14ac:dyDescent="0.25">
      <c r="A1006" s="57"/>
      <c r="B1006" s="180" t="s">
        <v>14141</v>
      </c>
      <c r="C1006" s="181" t="s">
        <v>15338</v>
      </c>
      <c r="D1006" s="180" t="s">
        <v>13697</v>
      </c>
      <c r="E1006" s="180" t="s">
        <v>13769</v>
      </c>
      <c r="F1006" s="180" t="s">
        <v>13717</v>
      </c>
      <c r="G1006" s="180" t="s">
        <v>14126</v>
      </c>
      <c r="H1006" s="180" t="s">
        <v>15326</v>
      </c>
      <c r="I1006" s="180" t="s">
        <v>13666</v>
      </c>
      <c r="J1006" s="57"/>
      <c r="K1006" s="57"/>
      <c r="L1006" s="57"/>
      <c r="M1006" s="57"/>
      <c r="N1006" s="57"/>
      <c r="O1006" s="57"/>
      <c r="P1006" s="57"/>
      <c r="Q1006" s="57"/>
      <c r="R1006" s="57"/>
      <c r="S1006" s="57"/>
      <c r="T1006" s="57"/>
      <c r="U1006" s="57"/>
      <c r="V1006" s="57"/>
      <c r="W1006" s="57"/>
      <c r="X1006" s="57"/>
      <c r="Y1006" s="57"/>
      <c r="Z1006" s="57"/>
      <c r="AA1006" s="57"/>
      <c r="AB1006" s="57"/>
      <c r="AC1006" s="57"/>
      <c r="AD1006" s="57"/>
    </row>
    <row r="1007" spans="1:30" ht="13.5" thickBot="1" x14ac:dyDescent="0.25">
      <c r="A1007" s="57"/>
      <c r="B1007" s="219" t="s">
        <v>13378</v>
      </c>
      <c r="C1007" s="220" t="s">
        <v>14392</v>
      </c>
      <c r="D1007" s="219" t="s">
        <v>15332</v>
      </c>
      <c r="E1007" s="219" t="s">
        <v>13953</v>
      </c>
      <c r="F1007" s="219" t="s">
        <v>15351</v>
      </c>
      <c r="G1007" s="219" t="s">
        <v>13974</v>
      </c>
      <c r="H1007" s="219" t="s">
        <v>13953</v>
      </c>
      <c r="I1007" s="219" t="s">
        <v>14393</v>
      </c>
      <c r="J1007" s="57"/>
      <c r="K1007" s="57"/>
      <c r="L1007" s="57"/>
      <c r="M1007" s="57"/>
      <c r="N1007" s="57"/>
      <c r="O1007" s="57"/>
      <c r="P1007" s="57"/>
      <c r="Q1007" s="57"/>
      <c r="R1007" s="57"/>
      <c r="S1007" s="57"/>
      <c r="T1007" s="57"/>
      <c r="U1007" s="57"/>
      <c r="V1007" s="57"/>
      <c r="W1007" s="57"/>
      <c r="X1007" s="57"/>
      <c r="Y1007" s="57"/>
      <c r="Z1007" s="57"/>
      <c r="AA1007" s="57"/>
      <c r="AB1007" s="57"/>
      <c r="AC1007" s="57"/>
      <c r="AD1007" s="57"/>
    </row>
    <row r="1008" spans="1:30" ht="13.5" thickBot="1" x14ac:dyDescent="0.25">
      <c r="A1008" s="57"/>
      <c r="B1008" s="180" t="s">
        <v>13384</v>
      </c>
      <c r="C1008" s="181" t="s">
        <v>13950</v>
      </c>
      <c r="D1008" s="180" t="s">
        <v>13816</v>
      </c>
      <c r="E1008" s="180" t="s">
        <v>13743</v>
      </c>
      <c r="F1008" s="180" t="s">
        <v>14436</v>
      </c>
      <c r="G1008" s="180" t="s">
        <v>15450</v>
      </c>
      <c r="H1008" s="180" t="s">
        <v>14436</v>
      </c>
      <c r="I1008" s="180" t="s">
        <v>14304</v>
      </c>
      <c r="J1008" s="57"/>
      <c r="K1008" s="57"/>
      <c r="L1008" s="57"/>
      <c r="M1008" s="57"/>
      <c r="N1008" s="57"/>
      <c r="O1008" s="57"/>
      <c r="P1008" s="57"/>
      <c r="Q1008" s="57"/>
      <c r="R1008" s="57"/>
      <c r="S1008" s="57"/>
      <c r="T1008" s="57"/>
      <c r="U1008" s="57"/>
      <c r="V1008" s="57"/>
      <c r="W1008" s="57"/>
      <c r="X1008" s="57"/>
      <c r="Y1008" s="57"/>
      <c r="Z1008" s="57"/>
      <c r="AA1008" s="57"/>
      <c r="AB1008" s="57"/>
      <c r="AC1008" s="57"/>
      <c r="AD1008" s="57"/>
    </row>
    <row r="1009" spans="1:30" ht="13.5" thickBot="1" x14ac:dyDescent="0.25">
      <c r="A1009" s="57"/>
      <c r="B1009" s="219" t="s">
        <v>13391</v>
      </c>
      <c r="C1009" s="220" t="s">
        <v>13666</v>
      </c>
      <c r="D1009" s="219" t="s">
        <v>13622</v>
      </c>
      <c r="E1009" s="219" t="s">
        <v>13900</v>
      </c>
      <c r="F1009" s="219" t="s">
        <v>14438</v>
      </c>
      <c r="G1009" s="219" t="s">
        <v>13731</v>
      </c>
      <c r="H1009" s="219" t="s">
        <v>14939</v>
      </c>
      <c r="I1009" s="219" t="s">
        <v>13705</v>
      </c>
      <c r="J1009" s="57"/>
      <c r="K1009" s="57"/>
      <c r="L1009" s="57"/>
      <c r="M1009" s="57"/>
      <c r="N1009" s="57"/>
      <c r="O1009" s="57"/>
      <c r="P1009" s="57"/>
      <c r="Q1009" s="57"/>
      <c r="R1009" s="57"/>
      <c r="S1009" s="57"/>
      <c r="T1009" s="57"/>
      <c r="U1009" s="57"/>
      <c r="V1009" s="57"/>
      <c r="W1009" s="57"/>
      <c r="X1009" s="57"/>
      <c r="Y1009" s="57"/>
      <c r="Z1009" s="57"/>
      <c r="AA1009" s="57"/>
      <c r="AB1009" s="57"/>
      <c r="AC1009" s="57"/>
      <c r="AD1009" s="57"/>
    </row>
    <row r="1010" spans="1:30" ht="13.5" thickBot="1" x14ac:dyDescent="0.25">
      <c r="A1010" s="57"/>
      <c r="B1010" s="180" t="s">
        <v>13397</v>
      </c>
      <c r="C1010" s="181" t="s">
        <v>13635</v>
      </c>
      <c r="D1010" s="180" t="s">
        <v>13952</v>
      </c>
      <c r="E1010" s="180" t="s">
        <v>13605</v>
      </c>
      <c r="F1010" s="180" t="s">
        <v>13758</v>
      </c>
      <c r="G1010" s="180" t="s">
        <v>13458</v>
      </c>
      <c r="H1010" s="180" t="s">
        <v>13912</v>
      </c>
      <c r="I1010" s="180" t="s">
        <v>13912</v>
      </c>
      <c r="J1010" s="57"/>
      <c r="K1010" s="57"/>
      <c r="L1010" s="57"/>
      <c r="M1010" s="57"/>
      <c r="N1010" s="57"/>
      <c r="O1010" s="57"/>
      <c r="P1010" s="57"/>
      <c r="Q1010" s="57"/>
      <c r="R1010" s="57"/>
      <c r="S1010" s="57"/>
      <c r="T1010" s="57"/>
      <c r="U1010" s="57"/>
      <c r="V1010" s="57"/>
      <c r="W1010" s="57"/>
      <c r="X1010" s="57"/>
      <c r="Y1010" s="57"/>
      <c r="Z1010" s="57"/>
      <c r="AA1010" s="57"/>
      <c r="AB1010" s="57"/>
      <c r="AC1010" s="57"/>
      <c r="AD1010" s="57"/>
    </row>
    <row r="1011" spans="1:30" ht="13.5" thickBot="1" x14ac:dyDescent="0.25">
      <c r="A1011" s="57"/>
      <c r="B1011" s="219" t="s">
        <v>13403</v>
      </c>
      <c r="C1011" s="220" t="s">
        <v>13462</v>
      </c>
      <c r="D1011" s="219" t="s">
        <v>15323</v>
      </c>
      <c r="E1011" s="219" t="s">
        <v>13597</v>
      </c>
      <c r="F1011" s="219" t="s">
        <v>15338</v>
      </c>
      <c r="G1011" s="219" t="s">
        <v>14767</v>
      </c>
      <c r="H1011" s="219" t="s">
        <v>14455</v>
      </c>
      <c r="I1011" s="219" t="s">
        <v>13854</v>
      </c>
      <c r="J1011" s="57"/>
      <c r="K1011" s="57"/>
      <c r="L1011" s="57"/>
      <c r="M1011" s="57"/>
      <c r="N1011" s="57"/>
      <c r="O1011" s="57"/>
      <c r="P1011" s="57"/>
      <c r="Q1011" s="57"/>
      <c r="R1011" s="57"/>
      <c r="S1011" s="57"/>
      <c r="T1011" s="57"/>
      <c r="U1011" s="57"/>
      <c r="V1011" s="57"/>
      <c r="W1011" s="57"/>
      <c r="X1011" s="57"/>
      <c r="Y1011" s="57"/>
      <c r="Z1011" s="57"/>
      <c r="AA1011" s="57"/>
      <c r="AB1011" s="57"/>
      <c r="AC1011" s="57"/>
      <c r="AD1011" s="57"/>
    </row>
    <row r="1012" spans="1:30" ht="13.5" thickBot="1" x14ac:dyDescent="0.25">
      <c r="A1012" s="57"/>
      <c r="B1012" s="180" t="s">
        <v>15363</v>
      </c>
      <c r="C1012" s="181" t="s">
        <v>13797</v>
      </c>
      <c r="D1012" s="180" t="s">
        <v>14322</v>
      </c>
      <c r="E1012" s="180" t="s">
        <v>13692</v>
      </c>
      <c r="F1012" s="180" t="s">
        <v>13811</v>
      </c>
      <c r="G1012" s="180" t="s">
        <v>15451</v>
      </c>
      <c r="H1012" s="180" t="s">
        <v>13814</v>
      </c>
      <c r="I1012" s="180" t="s">
        <v>13757</v>
      </c>
      <c r="J1012" s="57"/>
      <c r="K1012" s="57"/>
      <c r="L1012" s="57"/>
      <c r="M1012" s="57"/>
      <c r="N1012" s="57"/>
      <c r="O1012" s="57"/>
      <c r="P1012" s="57"/>
      <c r="Q1012" s="57"/>
      <c r="R1012" s="57"/>
      <c r="S1012" s="57"/>
      <c r="T1012" s="57"/>
      <c r="U1012" s="57"/>
      <c r="V1012" s="57"/>
      <c r="W1012" s="57"/>
      <c r="X1012" s="57"/>
      <c r="Y1012" s="57"/>
      <c r="Z1012" s="57"/>
      <c r="AA1012" s="57"/>
      <c r="AB1012" s="57"/>
      <c r="AC1012" s="57"/>
      <c r="AD1012" s="57"/>
    </row>
    <row r="1013" spans="1:30" ht="13.5" thickBot="1" x14ac:dyDescent="0.25">
      <c r="A1013" s="57"/>
      <c r="B1013" s="219" t="s">
        <v>13413</v>
      </c>
      <c r="C1013" s="219" t="s">
        <v>14344</v>
      </c>
      <c r="D1013" s="219" t="s">
        <v>13452</v>
      </c>
      <c r="E1013" s="219" t="s">
        <v>14523</v>
      </c>
      <c r="F1013" s="219" t="s">
        <v>13787</v>
      </c>
      <c r="G1013" s="219" t="s">
        <v>15452</v>
      </c>
      <c r="H1013" s="219" t="s">
        <v>13452</v>
      </c>
      <c r="I1013" s="220" t="s">
        <v>13635</v>
      </c>
      <c r="J1013" s="57"/>
      <c r="K1013" s="57"/>
      <c r="L1013" s="57"/>
      <c r="M1013" s="57"/>
      <c r="N1013" s="57"/>
      <c r="O1013" s="57"/>
      <c r="P1013" s="57"/>
      <c r="Q1013" s="57"/>
      <c r="R1013" s="57"/>
      <c r="S1013" s="57"/>
      <c r="T1013" s="57"/>
      <c r="U1013" s="57"/>
      <c r="V1013" s="57"/>
      <c r="W1013" s="57"/>
      <c r="X1013" s="57"/>
      <c r="Y1013" s="57"/>
      <c r="Z1013" s="57"/>
      <c r="AA1013" s="57"/>
      <c r="AB1013" s="57"/>
      <c r="AC1013" s="57"/>
      <c r="AD1013" s="57"/>
    </row>
    <row r="1014" spans="1:30" ht="13.5" thickBot="1" x14ac:dyDescent="0.25">
      <c r="A1014" s="57"/>
      <c r="B1014" s="180" t="s">
        <v>13419</v>
      </c>
      <c r="C1014" s="180" t="s">
        <v>13641</v>
      </c>
      <c r="D1014" s="180" t="s">
        <v>14506</v>
      </c>
      <c r="E1014" s="180" t="s">
        <v>13749</v>
      </c>
      <c r="F1014" s="180" t="s">
        <v>14468</v>
      </c>
      <c r="G1014" s="180" t="s">
        <v>13700</v>
      </c>
      <c r="H1014" s="180" t="s">
        <v>13532</v>
      </c>
      <c r="I1014" s="181" t="s">
        <v>15365</v>
      </c>
      <c r="J1014" s="57"/>
      <c r="K1014" s="57"/>
      <c r="L1014" s="57"/>
      <c r="M1014" s="57"/>
      <c r="N1014" s="57"/>
      <c r="O1014" s="57"/>
      <c r="P1014" s="57"/>
      <c r="Q1014" s="57"/>
      <c r="R1014" s="57"/>
      <c r="S1014" s="57"/>
      <c r="T1014" s="57"/>
      <c r="U1014" s="57"/>
      <c r="V1014" s="57"/>
      <c r="W1014" s="57"/>
      <c r="X1014" s="57"/>
      <c r="Y1014" s="57"/>
      <c r="Z1014" s="57"/>
      <c r="AA1014" s="57"/>
      <c r="AB1014" s="57"/>
      <c r="AC1014" s="57"/>
      <c r="AD1014" s="57"/>
    </row>
    <row r="1015" spans="1:30" ht="13.5" thickBot="1" x14ac:dyDescent="0.25">
      <c r="A1015" s="57"/>
      <c r="B1015" s="219" t="s">
        <v>13426</v>
      </c>
      <c r="C1015" s="220" t="s">
        <v>13757</v>
      </c>
      <c r="D1015" s="219" t="s">
        <v>13819</v>
      </c>
      <c r="E1015" s="219" t="s">
        <v>13462</v>
      </c>
      <c r="F1015" s="219" t="s">
        <v>14520</v>
      </c>
      <c r="G1015" s="219" t="s">
        <v>15453</v>
      </c>
      <c r="H1015" s="219" t="s">
        <v>15328</v>
      </c>
      <c r="I1015" s="219" t="s">
        <v>13757</v>
      </c>
      <c r="J1015" s="57"/>
      <c r="K1015" s="57"/>
      <c r="L1015" s="57"/>
      <c r="M1015" s="57"/>
      <c r="N1015" s="57"/>
      <c r="O1015" s="57"/>
      <c r="P1015" s="57"/>
      <c r="Q1015" s="57"/>
      <c r="R1015" s="57"/>
      <c r="S1015" s="57"/>
      <c r="T1015" s="57"/>
      <c r="U1015" s="57"/>
      <c r="V1015" s="57"/>
      <c r="W1015" s="57"/>
      <c r="X1015" s="57"/>
      <c r="Y1015" s="57"/>
      <c r="Z1015" s="57"/>
      <c r="AA1015" s="57"/>
      <c r="AB1015" s="57"/>
      <c r="AC1015" s="57"/>
      <c r="AD1015" s="57"/>
    </row>
    <row r="1016" spans="1:30" ht="13.5" thickBot="1" x14ac:dyDescent="0.25">
      <c r="A1016" s="57"/>
      <c r="B1016" s="180" t="s">
        <v>13432</v>
      </c>
      <c r="C1016" s="181" t="s">
        <v>13814</v>
      </c>
      <c r="D1016" s="180" t="s">
        <v>15454</v>
      </c>
      <c r="E1016" s="180" t="s">
        <v>15349</v>
      </c>
      <c r="F1016" s="180" t="s">
        <v>13414</v>
      </c>
      <c r="G1016" s="180" t="s">
        <v>15455</v>
      </c>
      <c r="H1016" s="180" t="s">
        <v>13646</v>
      </c>
      <c r="I1016" s="180" t="s">
        <v>14117</v>
      </c>
      <c r="J1016" s="57"/>
      <c r="K1016" s="57"/>
      <c r="L1016" s="57"/>
      <c r="M1016" s="57"/>
      <c r="N1016" s="57"/>
      <c r="O1016" s="57"/>
      <c r="P1016" s="57"/>
      <c r="Q1016" s="57"/>
      <c r="R1016" s="57"/>
      <c r="S1016" s="57"/>
      <c r="T1016" s="57"/>
      <c r="U1016" s="57"/>
      <c r="V1016" s="57"/>
      <c r="W1016" s="57"/>
      <c r="X1016" s="57"/>
      <c r="Y1016" s="57"/>
      <c r="Z1016" s="57"/>
      <c r="AA1016" s="57"/>
      <c r="AB1016" s="57"/>
      <c r="AC1016" s="57"/>
      <c r="AD1016" s="57"/>
    </row>
    <row r="1017" spans="1:30" ht="13.5" thickBot="1" x14ac:dyDescent="0.25">
      <c r="A1017" s="57"/>
      <c r="B1017" s="219" t="s">
        <v>15366</v>
      </c>
      <c r="C1017" s="219" t="s">
        <v>12699</v>
      </c>
      <c r="D1017" s="219" t="s">
        <v>15456</v>
      </c>
      <c r="E1017" s="219" t="s">
        <v>15457</v>
      </c>
      <c r="F1017" s="219" t="s">
        <v>15458</v>
      </c>
      <c r="G1017" s="219" t="s">
        <v>15459</v>
      </c>
      <c r="H1017" s="219" t="s">
        <v>15460</v>
      </c>
      <c r="I1017" s="219" t="s">
        <v>15429</v>
      </c>
      <c r="J1017" s="57"/>
      <c r="K1017" s="57"/>
      <c r="L1017" s="57"/>
      <c r="M1017" s="57"/>
      <c r="N1017" s="57"/>
      <c r="O1017" s="57"/>
      <c r="P1017" s="57"/>
      <c r="Q1017" s="57"/>
      <c r="R1017" s="57"/>
      <c r="S1017" s="57"/>
      <c r="T1017" s="57"/>
      <c r="U1017" s="57"/>
      <c r="V1017" s="57"/>
      <c r="W1017" s="57"/>
      <c r="X1017" s="57"/>
      <c r="Y1017" s="57"/>
      <c r="Z1017" s="57"/>
      <c r="AA1017" s="57"/>
      <c r="AB1017" s="57"/>
      <c r="AC1017" s="57"/>
      <c r="AD1017" s="57"/>
    </row>
    <row r="1018" spans="1:30" ht="13.5" thickBot="1" x14ac:dyDescent="0.25">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c r="AA1018" s="57"/>
      <c r="AB1018" s="57"/>
      <c r="AC1018" s="57"/>
      <c r="AD1018" s="57"/>
    </row>
    <row r="1019" spans="1:30" ht="13.5" thickBot="1" x14ac:dyDescent="0.25">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c r="AA1019" s="57"/>
      <c r="AB1019" s="57"/>
      <c r="AC1019" s="57"/>
      <c r="AD1019" s="57"/>
    </row>
    <row r="1020" spans="1:30" ht="153.75" thickBot="1" x14ac:dyDescent="0.25">
      <c r="A1020" s="57"/>
      <c r="B1020" s="153" t="s">
        <v>97</v>
      </c>
      <c r="C1020" s="154" t="s">
        <v>14483</v>
      </c>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c r="AA1020" s="57"/>
      <c r="AB1020" s="57"/>
      <c r="AC1020" s="57"/>
      <c r="AD1020" s="57"/>
    </row>
    <row r="1021" spans="1:30" ht="13.5" thickBot="1" x14ac:dyDescent="0.25">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c r="AA1021" s="57"/>
      <c r="AB1021" s="57"/>
      <c r="AC1021" s="57"/>
      <c r="AD1021" s="57"/>
    </row>
    <row r="1022" spans="1:30" ht="128.25" thickBot="1" x14ac:dyDescent="0.25">
      <c r="A1022" s="57"/>
      <c r="B1022" s="153" t="s">
        <v>6237</v>
      </c>
      <c r="C1022" s="154" t="s">
        <v>14483</v>
      </c>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c r="AA1022" s="57"/>
      <c r="AB1022" s="57"/>
      <c r="AC1022" s="57"/>
      <c r="AD1022" s="57"/>
    </row>
    <row r="1023" spans="1:30" ht="13.5" thickBot="1" x14ac:dyDescent="0.25">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c r="AA1023" s="57"/>
      <c r="AB1023" s="57"/>
      <c r="AC1023" s="57"/>
      <c r="AD1023" s="57"/>
    </row>
    <row r="1024" spans="1:30" ht="153.75" thickBot="1" x14ac:dyDescent="0.25">
      <c r="A1024" s="57"/>
      <c r="B1024" s="153" t="s">
        <v>78</v>
      </c>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c r="AA1024" s="57"/>
      <c r="AB1024" s="57"/>
      <c r="AC1024" s="57"/>
      <c r="AD1024" s="57"/>
    </row>
    <row r="1025" spans="1:30" ht="13.5" thickBot="1" x14ac:dyDescent="0.25">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c r="AA1025" s="57"/>
      <c r="AB1025" s="57"/>
      <c r="AC1025" s="57"/>
      <c r="AD1025" s="57"/>
    </row>
    <row r="1026" spans="1:30" ht="13.5" thickBot="1" x14ac:dyDescent="0.25">
      <c r="A1026" s="57"/>
      <c r="B1026" s="97" t="s">
        <v>15461</v>
      </c>
      <c r="C1026" s="88"/>
      <c r="D1026" s="88"/>
      <c r="E1026" s="88"/>
      <c r="F1026" s="88"/>
      <c r="G1026" s="57"/>
      <c r="H1026" s="57"/>
      <c r="I1026" s="57"/>
      <c r="J1026" s="57"/>
      <c r="K1026" s="57"/>
      <c r="L1026" s="57"/>
      <c r="M1026" s="57"/>
      <c r="N1026" s="57"/>
      <c r="O1026" s="57"/>
      <c r="P1026" s="57"/>
      <c r="Q1026" s="57"/>
      <c r="R1026" s="57"/>
      <c r="S1026" s="57"/>
      <c r="T1026" s="57"/>
      <c r="U1026" s="57"/>
      <c r="V1026" s="57"/>
      <c r="W1026" s="57"/>
      <c r="X1026" s="57"/>
      <c r="Y1026" s="57"/>
      <c r="Z1026" s="57"/>
      <c r="AA1026" s="57"/>
      <c r="AB1026" s="57"/>
      <c r="AC1026" s="57"/>
      <c r="AD1026" s="57"/>
    </row>
    <row r="1027" spans="1:30" ht="13.5" thickBot="1" x14ac:dyDescent="0.25">
      <c r="A1027" s="57"/>
      <c r="B1027" s="179" t="s">
        <v>13522</v>
      </c>
      <c r="C1027" s="95"/>
      <c r="D1027" s="178" t="s">
        <v>13279</v>
      </c>
      <c r="E1027" s="178" t="s">
        <v>13281</v>
      </c>
      <c r="F1027" s="178" t="s">
        <v>13739</v>
      </c>
      <c r="G1027" s="57"/>
      <c r="H1027" s="57"/>
      <c r="I1027" s="57"/>
      <c r="J1027" s="57"/>
      <c r="K1027" s="57"/>
      <c r="L1027" s="57"/>
      <c r="M1027" s="57"/>
      <c r="N1027" s="57"/>
      <c r="O1027" s="57"/>
      <c r="P1027" s="57"/>
      <c r="Q1027" s="57"/>
      <c r="R1027" s="57"/>
      <c r="S1027" s="57"/>
      <c r="T1027" s="57"/>
      <c r="U1027" s="57"/>
      <c r="V1027" s="57"/>
      <c r="W1027" s="57"/>
      <c r="X1027" s="57"/>
      <c r="Y1027" s="57"/>
      <c r="Z1027" s="57"/>
      <c r="AA1027" s="57"/>
      <c r="AB1027" s="57"/>
      <c r="AC1027" s="57"/>
      <c r="AD1027" s="57"/>
    </row>
    <row r="1028" spans="1:30" ht="13.5" thickBot="1" x14ac:dyDescent="0.25">
      <c r="A1028" s="57"/>
      <c r="B1028" s="180" t="s">
        <v>15462</v>
      </c>
      <c r="C1028" s="180" t="s">
        <v>15463</v>
      </c>
      <c r="D1028" s="180" t="s">
        <v>15464</v>
      </c>
      <c r="E1028" s="181" t="s">
        <v>15465</v>
      </c>
      <c r="F1028" s="225" t="s">
        <v>15466</v>
      </c>
      <c r="G1028" s="57"/>
      <c r="H1028" s="57"/>
      <c r="I1028" s="57"/>
      <c r="J1028" s="57"/>
      <c r="K1028" s="57"/>
      <c r="L1028" s="57"/>
      <c r="M1028" s="57"/>
      <c r="N1028" s="57"/>
      <c r="O1028" s="57"/>
      <c r="P1028" s="57"/>
      <c r="Q1028" s="57"/>
      <c r="R1028" s="57"/>
      <c r="S1028" s="57"/>
      <c r="T1028" s="57"/>
      <c r="U1028" s="57"/>
      <c r="V1028" s="57"/>
      <c r="W1028" s="57"/>
      <c r="X1028" s="57"/>
      <c r="Y1028" s="57"/>
      <c r="Z1028" s="57"/>
      <c r="AA1028" s="57"/>
      <c r="AB1028" s="57"/>
      <c r="AC1028" s="57"/>
      <c r="AD1028" s="57"/>
    </row>
    <row r="1029" spans="1:30" ht="51.75" thickBot="1" x14ac:dyDescent="0.25">
      <c r="A1029" s="57"/>
      <c r="B1029" s="180">
        <v>2</v>
      </c>
      <c r="C1029" s="180" t="s">
        <v>15467</v>
      </c>
      <c r="D1029" s="180">
        <v>34</v>
      </c>
      <c r="E1029" s="180" t="s">
        <v>15468</v>
      </c>
      <c r="F1029" s="184" t="s">
        <v>15469</v>
      </c>
      <c r="G1029" s="57"/>
      <c r="H1029" s="57"/>
      <c r="I1029" s="57"/>
      <c r="J1029" s="57"/>
      <c r="K1029" s="57"/>
      <c r="L1029" s="57"/>
      <c r="M1029" s="57"/>
      <c r="N1029" s="57"/>
      <c r="O1029" s="57"/>
      <c r="P1029" s="57"/>
      <c r="Q1029" s="57"/>
      <c r="R1029" s="57"/>
      <c r="S1029" s="57"/>
      <c r="T1029" s="57"/>
      <c r="U1029" s="57"/>
      <c r="V1029" s="57"/>
      <c r="W1029" s="57"/>
      <c r="X1029" s="57"/>
      <c r="Y1029" s="57"/>
      <c r="Z1029" s="57"/>
      <c r="AA1029" s="57"/>
      <c r="AB1029" s="57"/>
      <c r="AC1029" s="57"/>
      <c r="AD1029" s="57"/>
    </row>
    <row r="1030" spans="1:30" ht="13.5" thickBot="1" x14ac:dyDescent="0.25">
      <c r="A1030" s="57"/>
      <c r="B1030" s="180">
        <v>3</v>
      </c>
      <c r="C1030" s="180" t="s">
        <v>15470</v>
      </c>
      <c r="D1030" s="181" t="s">
        <v>15471</v>
      </c>
      <c r="E1030" s="180" t="s">
        <v>15472</v>
      </c>
      <c r="F1030" s="184" t="s">
        <v>15473</v>
      </c>
      <c r="G1030" s="57"/>
      <c r="H1030" s="57"/>
      <c r="I1030" s="57"/>
      <c r="J1030" s="57"/>
      <c r="K1030" s="57"/>
      <c r="L1030" s="57"/>
      <c r="M1030" s="57"/>
      <c r="N1030" s="57"/>
      <c r="O1030" s="57"/>
      <c r="P1030" s="57"/>
      <c r="Q1030" s="57"/>
      <c r="R1030" s="57"/>
      <c r="S1030" s="57"/>
      <c r="T1030" s="57"/>
      <c r="U1030" s="57"/>
      <c r="V1030" s="57"/>
      <c r="W1030" s="57"/>
      <c r="X1030" s="57"/>
      <c r="Y1030" s="57"/>
      <c r="Z1030" s="57"/>
      <c r="AA1030" s="57"/>
      <c r="AB1030" s="57"/>
      <c r="AC1030" s="57"/>
      <c r="AD1030" s="57"/>
    </row>
    <row r="1031" spans="1:30" ht="64.5" thickBot="1" x14ac:dyDescent="0.25">
      <c r="A1031" s="57"/>
      <c r="B1031" s="180">
        <v>4</v>
      </c>
      <c r="C1031" s="180" t="s">
        <v>15474</v>
      </c>
      <c r="D1031" s="180" t="s">
        <v>15475</v>
      </c>
      <c r="E1031" s="180" t="s">
        <v>15472</v>
      </c>
      <c r="F1031" s="184" t="s">
        <v>15476</v>
      </c>
      <c r="G1031" s="57"/>
      <c r="H1031" s="57"/>
      <c r="I1031" s="57"/>
      <c r="J1031" s="57"/>
      <c r="K1031" s="57"/>
      <c r="L1031" s="57"/>
      <c r="M1031" s="57"/>
      <c r="N1031" s="57"/>
      <c r="O1031" s="57"/>
      <c r="P1031" s="57"/>
      <c r="Q1031" s="57"/>
      <c r="R1031" s="57"/>
      <c r="S1031" s="57"/>
      <c r="T1031" s="57"/>
      <c r="U1031" s="57"/>
      <c r="V1031" s="57"/>
      <c r="W1031" s="57"/>
      <c r="X1031" s="57"/>
      <c r="Y1031" s="57"/>
      <c r="Z1031" s="57"/>
      <c r="AA1031" s="57"/>
      <c r="AB1031" s="57"/>
      <c r="AC1031" s="57"/>
      <c r="AD1031" s="57"/>
    </row>
    <row r="1032" spans="1:30" ht="13.5" thickBot="1" x14ac:dyDescent="0.25">
      <c r="A1032" s="57"/>
      <c r="B1032" s="180" t="s">
        <v>15477</v>
      </c>
      <c r="C1032" s="102"/>
      <c r="D1032" s="180" t="s">
        <v>15478</v>
      </c>
      <c r="E1032" s="180" t="s">
        <v>15479</v>
      </c>
      <c r="F1032" s="184" t="s">
        <v>15480</v>
      </c>
      <c r="G1032" s="57"/>
      <c r="H1032" s="57"/>
      <c r="I1032" s="57"/>
      <c r="J1032" s="57"/>
      <c r="K1032" s="57"/>
      <c r="L1032" s="57"/>
      <c r="M1032" s="57"/>
      <c r="N1032" s="57"/>
      <c r="O1032" s="57"/>
      <c r="P1032" s="57"/>
      <c r="Q1032" s="57"/>
      <c r="R1032" s="57"/>
      <c r="S1032" s="57"/>
      <c r="T1032" s="57"/>
      <c r="U1032" s="57"/>
      <c r="V1032" s="57"/>
      <c r="W1032" s="57"/>
      <c r="X1032" s="57"/>
      <c r="Y1032" s="57"/>
      <c r="Z1032" s="57"/>
      <c r="AA1032" s="57"/>
      <c r="AB1032" s="57"/>
      <c r="AC1032" s="57"/>
      <c r="AD1032" s="57"/>
    </row>
    <row r="1033" spans="1:30" ht="39" thickBot="1" x14ac:dyDescent="0.25">
      <c r="A1033" s="57"/>
      <c r="B1033" s="178" t="s">
        <v>15481</v>
      </c>
      <c r="C1033" s="95"/>
      <c r="D1033" s="178" t="s">
        <v>15464</v>
      </c>
      <c r="E1033" s="178" t="s">
        <v>15482</v>
      </c>
      <c r="F1033" s="185" t="s">
        <v>15483</v>
      </c>
      <c r="G1033" s="57"/>
      <c r="H1033" s="57"/>
      <c r="I1033" s="57"/>
      <c r="J1033" s="57"/>
      <c r="K1033" s="57"/>
      <c r="L1033" s="57"/>
      <c r="M1033" s="57"/>
      <c r="N1033" s="57"/>
      <c r="O1033" s="57"/>
      <c r="P1033" s="57"/>
      <c r="Q1033" s="57"/>
      <c r="R1033" s="57"/>
      <c r="S1033" s="57"/>
      <c r="T1033" s="57"/>
      <c r="U1033" s="57"/>
      <c r="V1033" s="57"/>
      <c r="W1033" s="57"/>
      <c r="X1033" s="57"/>
      <c r="Y1033" s="57"/>
      <c r="Z1033" s="57"/>
      <c r="AA1033" s="57"/>
      <c r="AB1033" s="57"/>
      <c r="AC1033" s="57"/>
      <c r="AD1033" s="57"/>
    </row>
    <row r="1034" spans="1:30" ht="13.5" thickBot="1" x14ac:dyDescent="0.25">
      <c r="A1034" s="57"/>
      <c r="B1034" s="156" t="s">
        <v>15484</v>
      </c>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c r="AA1034" s="57"/>
      <c r="AB1034" s="57"/>
      <c r="AC1034" s="57"/>
      <c r="AD1034" s="57"/>
    </row>
    <row r="1035" spans="1:30" ht="13.5" thickBot="1" x14ac:dyDescent="0.25">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c r="AA1035" s="57"/>
      <c r="AB1035" s="57"/>
      <c r="AC1035" s="57"/>
      <c r="AD1035" s="57"/>
    </row>
    <row r="1036" spans="1:30" ht="13.5" thickBot="1" x14ac:dyDescent="0.25">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c r="AA1036" s="57"/>
      <c r="AB1036" s="57"/>
      <c r="AC1036" s="57"/>
      <c r="AD1036" s="57"/>
    </row>
    <row r="1037" spans="1:30" ht="13.5" thickBot="1" x14ac:dyDescent="0.25">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c r="AA1037" s="57"/>
      <c r="AB1037" s="57"/>
      <c r="AC1037" s="57"/>
      <c r="AD1037" s="57"/>
    </row>
    <row r="1038" spans="1:30" ht="102.75" thickBot="1" x14ac:dyDescent="0.25">
      <c r="A1038" s="57"/>
      <c r="B1038" s="153" t="s">
        <v>1826</v>
      </c>
      <c r="C1038" s="154" t="s">
        <v>14483</v>
      </c>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c r="AA1038" s="57"/>
      <c r="AB1038" s="57"/>
      <c r="AC1038" s="57"/>
      <c r="AD1038" s="57"/>
    </row>
    <row r="1039" spans="1:30" ht="13.5" thickBot="1" x14ac:dyDescent="0.25">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c r="AA1039" s="57"/>
      <c r="AB1039" s="57"/>
      <c r="AC1039" s="57"/>
      <c r="AD1039" s="57"/>
    </row>
    <row r="1040" spans="1:30" ht="13.5" thickBot="1" x14ac:dyDescent="0.25">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c r="AA1040" s="57"/>
      <c r="AB1040" s="57"/>
      <c r="AC1040" s="57"/>
      <c r="AD1040" s="57"/>
    </row>
    <row r="1041" spans="1:30" ht="128.25" thickBot="1" x14ac:dyDescent="0.25">
      <c r="A1041" s="57"/>
      <c r="B1041" s="153" t="s">
        <v>110</v>
      </c>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c r="AA1041" s="57"/>
      <c r="AB1041" s="57"/>
      <c r="AC1041" s="57"/>
      <c r="AD1041" s="57"/>
    </row>
    <row r="1042" spans="1:30" ht="13.5" thickBot="1" x14ac:dyDescent="0.25">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c r="AA1042" s="57"/>
      <c r="AB1042" s="57"/>
      <c r="AC1042" s="57"/>
      <c r="AD1042" s="57"/>
    </row>
    <row r="1043" spans="1:30" ht="13.5" thickBot="1" x14ac:dyDescent="0.25">
      <c r="A1043" s="57"/>
      <c r="B1043" s="97" t="s">
        <v>15485</v>
      </c>
      <c r="C1043" s="88"/>
      <c r="D1043" s="88"/>
      <c r="E1043" s="88"/>
      <c r="F1043" s="88"/>
      <c r="G1043" s="88"/>
      <c r="H1043" s="88"/>
      <c r="I1043" s="88"/>
      <c r="J1043" s="88"/>
      <c r="K1043" s="88"/>
      <c r="L1043" s="88"/>
      <c r="M1043" s="88"/>
      <c r="N1043" s="88"/>
      <c r="O1043" s="88"/>
      <c r="P1043" s="57"/>
      <c r="Q1043" s="57"/>
      <c r="R1043" s="57"/>
      <c r="S1043" s="57"/>
      <c r="T1043" s="57"/>
      <c r="U1043" s="57"/>
      <c r="V1043" s="57"/>
      <c r="W1043" s="57"/>
      <c r="X1043" s="57"/>
      <c r="Y1043" s="57"/>
      <c r="Z1043" s="57"/>
      <c r="AA1043" s="57"/>
      <c r="AB1043" s="57"/>
      <c r="AC1043" s="57"/>
      <c r="AD1043" s="57"/>
    </row>
    <row r="1044" spans="1:30" ht="30.75" thickBot="1" x14ac:dyDescent="0.3">
      <c r="A1044" s="80"/>
      <c r="B1044" s="89" t="s">
        <v>14097</v>
      </c>
      <c r="C1044" s="89" t="s">
        <v>15486</v>
      </c>
      <c r="D1044" s="89" t="s">
        <v>13517</v>
      </c>
      <c r="E1044" s="89" t="s">
        <v>13413</v>
      </c>
      <c r="F1044" s="89" t="s">
        <v>13391</v>
      </c>
      <c r="G1044" s="89" t="s">
        <v>15487</v>
      </c>
      <c r="H1044" s="89" t="s">
        <v>13378</v>
      </c>
      <c r="I1044" s="89" t="s">
        <v>13397</v>
      </c>
      <c r="J1044" s="89" t="s">
        <v>13403</v>
      </c>
      <c r="K1044" s="89" t="s">
        <v>13408</v>
      </c>
      <c r="L1044" s="89" t="s">
        <v>13384</v>
      </c>
      <c r="M1044" s="89" t="s">
        <v>13419</v>
      </c>
      <c r="N1044" s="89" t="s">
        <v>15488</v>
      </c>
      <c r="O1044" s="89" t="s">
        <v>15489</v>
      </c>
      <c r="P1044" s="57"/>
      <c r="Q1044" s="57"/>
      <c r="R1044" s="57"/>
      <c r="S1044" s="57"/>
      <c r="T1044" s="57"/>
      <c r="U1044" s="57"/>
      <c r="V1044" s="57"/>
      <c r="W1044" s="57"/>
      <c r="X1044" s="57"/>
      <c r="Y1044" s="57"/>
      <c r="Z1044" s="57"/>
      <c r="AA1044" s="57"/>
      <c r="AB1044" s="57"/>
      <c r="AC1044" s="57"/>
      <c r="AD1044" s="57"/>
    </row>
    <row r="1045" spans="1:30" ht="15.75" thickBot="1" x14ac:dyDescent="0.3">
      <c r="A1045" s="80"/>
      <c r="B1045" s="83"/>
      <c r="C1045" s="83"/>
      <c r="D1045" s="83"/>
      <c r="E1045" s="83"/>
      <c r="F1045" s="83"/>
      <c r="G1045" s="89" t="s">
        <v>13372</v>
      </c>
      <c r="H1045" s="83"/>
      <c r="I1045" s="83"/>
      <c r="J1045" s="83"/>
      <c r="K1045" s="83"/>
      <c r="L1045" s="83"/>
      <c r="M1045" s="83"/>
      <c r="N1045" s="83"/>
      <c r="O1045" s="83"/>
      <c r="P1045" s="57"/>
      <c r="Q1045" s="57"/>
      <c r="R1045" s="57"/>
      <c r="S1045" s="57"/>
      <c r="T1045" s="57"/>
      <c r="U1045" s="57"/>
      <c r="V1045" s="57"/>
      <c r="W1045" s="57"/>
      <c r="X1045" s="57"/>
      <c r="Y1045" s="57"/>
      <c r="Z1045" s="57"/>
      <c r="AA1045" s="57"/>
      <c r="AB1045" s="57"/>
      <c r="AC1045" s="57"/>
      <c r="AD1045" s="57"/>
    </row>
    <row r="1046" spans="1:30" ht="15.75" thickBot="1" x14ac:dyDescent="0.3">
      <c r="A1046" s="80"/>
      <c r="B1046" s="83"/>
      <c r="C1046" s="89" t="s">
        <v>15490</v>
      </c>
      <c r="D1046" s="90" t="s">
        <v>13952</v>
      </c>
      <c r="E1046" s="90" t="s">
        <v>13950</v>
      </c>
      <c r="F1046" s="90" t="s">
        <v>13585</v>
      </c>
      <c r="G1046" s="90" t="s">
        <v>13551</v>
      </c>
      <c r="H1046" s="90" t="s">
        <v>13952</v>
      </c>
      <c r="I1046" s="90" t="s">
        <v>13748</v>
      </c>
      <c r="J1046" s="90" t="s">
        <v>13897</v>
      </c>
      <c r="K1046" s="90" t="s">
        <v>13543</v>
      </c>
      <c r="L1046" s="90" t="s">
        <v>13531</v>
      </c>
      <c r="M1046" s="90" t="s">
        <v>13550</v>
      </c>
      <c r="N1046" s="90" t="s">
        <v>13953</v>
      </c>
      <c r="O1046" s="90" t="s">
        <v>13481</v>
      </c>
      <c r="P1046" s="57"/>
      <c r="Q1046" s="57"/>
      <c r="R1046" s="57"/>
      <c r="S1046" s="57"/>
      <c r="T1046" s="57"/>
      <c r="U1046" s="57"/>
      <c r="V1046" s="57"/>
      <c r="W1046" s="57"/>
      <c r="X1046" s="57"/>
      <c r="Y1046" s="57"/>
      <c r="Z1046" s="57"/>
      <c r="AA1046" s="57"/>
      <c r="AB1046" s="57"/>
      <c r="AC1046" s="57"/>
      <c r="AD1046" s="57"/>
    </row>
    <row r="1047" spans="1:30" ht="15.75" thickBot="1" x14ac:dyDescent="0.3">
      <c r="A1047" s="80"/>
      <c r="B1047" s="89" t="s">
        <v>13442</v>
      </c>
      <c r="C1047" s="89" t="s">
        <v>15491</v>
      </c>
      <c r="D1047" s="90" t="s">
        <v>13958</v>
      </c>
      <c r="E1047" s="90" t="s">
        <v>14667</v>
      </c>
      <c r="F1047" s="90" t="s">
        <v>13492</v>
      </c>
      <c r="G1047" s="90" t="s">
        <v>13469</v>
      </c>
      <c r="H1047" s="90" t="s">
        <v>13421</v>
      </c>
      <c r="I1047" s="90" t="s">
        <v>13961</v>
      </c>
      <c r="J1047" s="90" t="s">
        <v>14779</v>
      </c>
      <c r="K1047" s="90" t="s">
        <v>13803</v>
      </c>
      <c r="L1047" s="90" t="s">
        <v>13639</v>
      </c>
      <c r="M1047" s="90" t="s">
        <v>13569</v>
      </c>
      <c r="N1047" s="90" t="s">
        <v>13838</v>
      </c>
      <c r="O1047" s="90" t="s">
        <v>13779</v>
      </c>
      <c r="P1047" s="57"/>
      <c r="Q1047" s="57"/>
      <c r="R1047" s="57"/>
      <c r="S1047" s="57"/>
      <c r="T1047" s="57"/>
      <c r="U1047" s="57"/>
      <c r="V1047" s="57"/>
      <c r="W1047" s="57"/>
      <c r="X1047" s="57"/>
      <c r="Y1047" s="57"/>
      <c r="Z1047" s="57"/>
      <c r="AA1047" s="57"/>
      <c r="AB1047" s="57"/>
      <c r="AC1047" s="57"/>
      <c r="AD1047" s="57"/>
    </row>
    <row r="1048" spans="1:30" ht="15.75" thickBot="1" x14ac:dyDescent="0.3">
      <c r="A1048" s="80"/>
      <c r="B1048" s="83"/>
      <c r="C1048" s="89" t="s">
        <v>15492</v>
      </c>
      <c r="D1048" s="90" t="s">
        <v>14482</v>
      </c>
      <c r="E1048" s="90" t="s">
        <v>13950</v>
      </c>
      <c r="F1048" s="90" t="s">
        <v>14482</v>
      </c>
      <c r="G1048" s="90" t="s">
        <v>13666</v>
      </c>
      <c r="H1048" s="90" t="s">
        <v>13528</v>
      </c>
      <c r="I1048" s="90" t="s">
        <v>13550</v>
      </c>
      <c r="J1048" s="90" t="s">
        <v>13484</v>
      </c>
      <c r="K1048" s="90" t="s">
        <v>13585</v>
      </c>
      <c r="L1048" s="90" t="s">
        <v>13949</v>
      </c>
      <c r="M1048" s="90" t="s">
        <v>13574</v>
      </c>
      <c r="N1048" s="90" t="s">
        <v>13457</v>
      </c>
      <c r="O1048" s="90" t="s">
        <v>13683</v>
      </c>
      <c r="P1048" s="57"/>
      <c r="Q1048" s="57"/>
      <c r="R1048" s="57"/>
      <c r="S1048" s="57"/>
      <c r="T1048" s="57"/>
      <c r="U1048" s="57"/>
      <c r="V1048" s="57"/>
      <c r="W1048" s="57"/>
      <c r="X1048" s="57"/>
      <c r="Y1048" s="57"/>
      <c r="Z1048" s="57"/>
      <c r="AA1048" s="57"/>
      <c r="AB1048" s="57"/>
      <c r="AC1048" s="57"/>
      <c r="AD1048" s="57"/>
    </row>
    <row r="1049" spans="1:30" ht="15.75" thickBot="1" x14ac:dyDescent="0.3">
      <c r="A1049" s="80"/>
      <c r="B1049" s="83"/>
      <c r="C1049" s="89" t="s">
        <v>15490</v>
      </c>
      <c r="D1049" s="90" t="s">
        <v>13427</v>
      </c>
      <c r="E1049" s="90" t="s">
        <v>13583</v>
      </c>
      <c r="F1049" s="90" t="s">
        <v>13639</v>
      </c>
      <c r="G1049" s="90" t="s">
        <v>14657</v>
      </c>
      <c r="H1049" s="90" t="s">
        <v>13953</v>
      </c>
      <c r="I1049" s="90" t="s">
        <v>13567</v>
      </c>
      <c r="J1049" s="90" t="s">
        <v>13958</v>
      </c>
      <c r="K1049" s="90" t="s">
        <v>13392</v>
      </c>
      <c r="L1049" s="90" t="s">
        <v>13950</v>
      </c>
      <c r="M1049" s="90" t="s">
        <v>13566</v>
      </c>
      <c r="N1049" s="90" t="s">
        <v>13786</v>
      </c>
      <c r="O1049" s="90" t="s">
        <v>13392</v>
      </c>
      <c r="P1049" s="57"/>
      <c r="Q1049" s="57"/>
      <c r="R1049" s="57"/>
      <c r="S1049" s="57"/>
      <c r="T1049" s="57"/>
      <c r="U1049" s="57"/>
      <c r="V1049" s="57"/>
      <c r="W1049" s="57"/>
      <c r="X1049" s="57"/>
      <c r="Y1049" s="57"/>
      <c r="Z1049" s="57"/>
      <c r="AA1049" s="57"/>
      <c r="AB1049" s="57"/>
      <c r="AC1049" s="57"/>
      <c r="AD1049" s="57"/>
    </row>
    <row r="1050" spans="1:30" ht="15.75" thickBot="1" x14ac:dyDescent="0.3">
      <c r="A1050" s="80"/>
      <c r="B1050" s="89" t="s">
        <v>13443</v>
      </c>
      <c r="C1050" s="89" t="s">
        <v>15491</v>
      </c>
      <c r="D1050" s="90" t="s">
        <v>14480</v>
      </c>
      <c r="E1050" s="90" t="s">
        <v>14639</v>
      </c>
      <c r="F1050" s="90" t="s">
        <v>13957</v>
      </c>
      <c r="G1050" s="90" t="s">
        <v>13550</v>
      </c>
      <c r="H1050" s="90" t="s">
        <v>14661</v>
      </c>
      <c r="I1050" s="90" t="s">
        <v>13897</v>
      </c>
      <c r="J1050" s="90" t="s">
        <v>13957</v>
      </c>
      <c r="K1050" s="90" t="s">
        <v>14639</v>
      </c>
      <c r="L1050" s="90" t="s">
        <v>14661</v>
      </c>
      <c r="M1050" s="90" t="s">
        <v>13957</v>
      </c>
      <c r="N1050" s="90" t="s">
        <v>14480</v>
      </c>
      <c r="O1050" s="90" t="s">
        <v>13656</v>
      </c>
      <c r="P1050" s="57"/>
      <c r="Q1050" s="57"/>
      <c r="R1050" s="57"/>
      <c r="S1050" s="57"/>
      <c r="T1050" s="57"/>
      <c r="U1050" s="57"/>
      <c r="V1050" s="57"/>
      <c r="W1050" s="57"/>
      <c r="X1050" s="57"/>
      <c r="Y1050" s="57"/>
      <c r="Z1050" s="57"/>
      <c r="AA1050" s="57"/>
      <c r="AB1050" s="57"/>
      <c r="AC1050" s="57"/>
      <c r="AD1050" s="57"/>
    </row>
    <row r="1051" spans="1:30" ht="15.75" thickBot="1" x14ac:dyDescent="0.3">
      <c r="A1051" s="80"/>
      <c r="B1051" s="83"/>
      <c r="C1051" s="89" t="s">
        <v>15492</v>
      </c>
      <c r="D1051" s="90" t="s">
        <v>13585</v>
      </c>
      <c r="E1051" s="90" t="s">
        <v>14482</v>
      </c>
      <c r="F1051" s="90" t="s">
        <v>13840</v>
      </c>
      <c r="G1051" s="90" t="s">
        <v>13525</v>
      </c>
      <c r="H1051" s="90" t="s">
        <v>13897</v>
      </c>
      <c r="I1051" s="90" t="s">
        <v>13567</v>
      </c>
      <c r="J1051" s="90" t="s">
        <v>13947</v>
      </c>
      <c r="K1051" s="90" t="s">
        <v>13457</v>
      </c>
      <c r="L1051" s="90" t="s">
        <v>13953</v>
      </c>
      <c r="M1051" s="90" t="s">
        <v>13550</v>
      </c>
      <c r="N1051" s="90" t="s">
        <v>13484</v>
      </c>
      <c r="O1051" s="90" t="s">
        <v>13838</v>
      </c>
      <c r="P1051" s="57"/>
      <c r="Q1051" s="57"/>
      <c r="R1051" s="57"/>
      <c r="S1051" s="57"/>
      <c r="T1051" s="57"/>
      <c r="U1051" s="57"/>
      <c r="V1051" s="57"/>
      <c r="W1051" s="57"/>
      <c r="X1051" s="57"/>
      <c r="Y1051" s="57"/>
      <c r="Z1051" s="57"/>
      <c r="AA1051" s="57"/>
      <c r="AB1051" s="57"/>
      <c r="AC1051" s="57"/>
      <c r="AD1051" s="57"/>
    </row>
    <row r="1052" spans="1:30" ht="15.75" thickBot="1" x14ac:dyDescent="0.3">
      <c r="A1052" s="80"/>
      <c r="B1052" s="83"/>
      <c r="C1052" s="89" t="s">
        <v>15490</v>
      </c>
      <c r="D1052" s="90" t="s">
        <v>13946</v>
      </c>
      <c r="E1052" s="90" t="s">
        <v>13457</v>
      </c>
      <c r="F1052" s="90" t="s">
        <v>13960</v>
      </c>
      <c r="G1052" s="90" t="s">
        <v>14356</v>
      </c>
      <c r="H1052" s="90" t="s">
        <v>13950</v>
      </c>
      <c r="I1052" s="90" t="s">
        <v>13949</v>
      </c>
      <c r="J1052" s="90" t="s">
        <v>13951</v>
      </c>
      <c r="K1052" s="90" t="s">
        <v>13562</v>
      </c>
      <c r="L1052" s="90" t="s">
        <v>13551</v>
      </c>
      <c r="M1052" s="90" t="s">
        <v>13561</v>
      </c>
      <c r="N1052" s="90" t="s">
        <v>13946</v>
      </c>
      <c r="O1052" s="90" t="s">
        <v>13650</v>
      </c>
      <c r="P1052" s="57"/>
      <c r="Q1052" s="57"/>
      <c r="R1052" s="57"/>
      <c r="S1052" s="57"/>
      <c r="T1052" s="57"/>
      <c r="U1052" s="57"/>
      <c r="V1052" s="57"/>
      <c r="W1052" s="57"/>
      <c r="X1052" s="57"/>
      <c r="Y1052" s="57"/>
      <c r="Z1052" s="57"/>
      <c r="AA1052" s="57"/>
      <c r="AB1052" s="57"/>
      <c r="AC1052" s="57"/>
      <c r="AD1052" s="57"/>
    </row>
    <row r="1053" spans="1:30" ht="15.75" thickBot="1" x14ac:dyDescent="0.3">
      <c r="A1053" s="80"/>
      <c r="B1053" s="89" t="s">
        <v>15493</v>
      </c>
      <c r="C1053" s="89" t="s">
        <v>15491</v>
      </c>
      <c r="D1053" s="90" t="s">
        <v>13951</v>
      </c>
      <c r="E1053" s="90" t="s">
        <v>13803</v>
      </c>
      <c r="F1053" s="90" t="s">
        <v>13564</v>
      </c>
      <c r="G1053" s="90" t="s">
        <v>13958</v>
      </c>
      <c r="H1053" s="90" t="s">
        <v>13525</v>
      </c>
      <c r="I1053" s="90" t="s">
        <v>13800</v>
      </c>
      <c r="J1053" s="90" t="s">
        <v>14650</v>
      </c>
      <c r="K1053" s="90" t="s">
        <v>15415</v>
      </c>
      <c r="L1053" s="90" t="s">
        <v>13947</v>
      </c>
      <c r="M1053" s="90" t="s">
        <v>13484</v>
      </c>
      <c r="N1053" s="90" t="s">
        <v>13747</v>
      </c>
      <c r="O1053" s="90" t="s">
        <v>13769</v>
      </c>
      <c r="P1053" s="57"/>
      <c r="Q1053" s="57"/>
      <c r="R1053" s="57"/>
      <c r="S1053" s="57"/>
      <c r="T1053" s="57"/>
      <c r="U1053" s="57"/>
      <c r="V1053" s="57"/>
      <c r="W1053" s="57"/>
      <c r="X1053" s="57"/>
      <c r="Y1053" s="57"/>
      <c r="Z1053" s="57"/>
      <c r="AA1053" s="57"/>
      <c r="AB1053" s="57"/>
      <c r="AC1053" s="57"/>
      <c r="AD1053" s="57"/>
    </row>
    <row r="1054" spans="1:30" ht="15.75" thickBot="1" x14ac:dyDescent="0.3">
      <c r="A1054" s="80"/>
      <c r="B1054" s="83"/>
      <c r="C1054" s="89" t="s">
        <v>15492</v>
      </c>
      <c r="D1054" s="90" t="s">
        <v>13567</v>
      </c>
      <c r="E1054" s="90" t="s">
        <v>13949</v>
      </c>
      <c r="F1054" s="90" t="s">
        <v>13954</v>
      </c>
      <c r="G1054" s="90" t="s">
        <v>13946</v>
      </c>
      <c r="H1054" s="90" t="s">
        <v>13953</v>
      </c>
      <c r="I1054" s="90" t="s">
        <v>13949</v>
      </c>
      <c r="J1054" s="90" t="s">
        <v>13509</v>
      </c>
      <c r="K1054" s="90" t="s">
        <v>13567</v>
      </c>
      <c r="L1054" s="90" t="s">
        <v>13952</v>
      </c>
      <c r="M1054" s="90" t="s">
        <v>13497</v>
      </c>
      <c r="N1054" s="90" t="s">
        <v>13846</v>
      </c>
      <c r="O1054" s="90" t="s">
        <v>13713</v>
      </c>
      <c r="P1054" s="57"/>
      <c r="Q1054" s="57"/>
      <c r="R1054" s="57"/>
      <c r="S1054" s="57"/>
      <c r="T1054" s="57"/>
      <c r="U1054" s="57"/>
      <c r="V1054" s="57"/>
      <c r="W1054" s="57"/>
      <c r="X1054" s="57"/>
      <c r="Y1054" s="57"/>
      <c r="Z1054" s="57"/>
      <c r="AA1054" s="57"/>
      <c r="AB1054" s="57"/>
      <c r="AC1054" s="57"/>
      <c r="AD1054" s="57"/>
    </row>
    <row r="1055" spans="1:30" ht="15.75" thickBot="1" x14ac:dyDescent="0.3">
      <c r="A1055" s="80"/>
      <c r="B1055" s="83"/>
      <c r="C1055" s="89" t="s">
        <v>15490</v>
      </c>
      <c r="D1055" s="90">
        <v>0</v>
      </c>
      <c r="E1055" s="90">
        <v>0</v>
      </c>
      <c r="F1055" s="90">
        <v>0</v>
      </c>
      <c r="G1055" s="90">
        <v>0</v>
      </c>
      <c r="H1055" s="90">
        <v>0</v>
      </c>
      <c r="I1055" s="90">
        <v>0</v>
      </c>
      <c r="J1055" s="90">
        <v>0</v>
      </c>
      <c r="K1055" s="90">
        <v>0</v>
      </c>
      <c r="L1055" s="90">
        <v>0</v>
      </c>
      <c r="M1055" s="90">
        <v>0</v>
      </c>
      <c r="N1055" s="90">
        <v>0</v>
      </c>
      <c r="O1055" s="90">
        <v>0</v>
      </c>
      <c r="P1055" s="57"/>
      <c r="Q1055" s="57"/>
      <c r="R1055" s="57"/>
      <c r="S1055" s="57"/>
      <c r="T1055" s="57"/>
      <c r="U1055" s="57"/>
      <c r="V1055" s="57"/>
      <c r="W1055" s="57"/>
      <c r="X1055" s="57"/>
      <c r="Y1055" s="57"/>
      <c r="Z1055" s="57"/>
      <c r="AA1055" s="57"/>
      <c r="AB1055" s="57"/>
      <c r="AC1055" s="57"/>
      <c r="AD1055" s="57"/>
    </row>
    <row r="1056" spans="1:30" ht="15.75" thickBot="1" x14ac:dyDescent="0.3">
      <c r="A1056" s="80"/>
      <c r="B1056" s="89" t="s">
        <v>15494</v>
      </c>
      <c r="C1056" s="89" t="s">
        <v>15491</v>
      </c>
      <c r="D1056" s="90" t="s">
        <v>14779</v>
      </c>
      <c r="E1056" s="90" t="s">
        <v>13955</v>
      </c>
      <c r="F1056" s="90" t="s">
        <v>13958</v>
      </c>
      <c r="G1056" s="90" t="s">
        <v>14657</v>
      </c>
      <c r="H1056" s="90" t="s">
        <v>13537</v>
      </c>
      <c r="I1056" s="90" t="s">
        <v>13564</v>
      </c>
      <c r="J1056" s="90" t="s">
        <v>14662</v>
      </c>
      <c r="K1056" s="90" t="s">
        <v>13974</v>
      </c>
      <c r="L1056" s="90" t="s">
        <v>13848</v>
      </c>
      <c r="M1056" s="90" t="s">
        <v>13469</v>
      </c>
      <c r="N1056" s="90" t="s">
        <v>14779</v>
      </c>
      <c r="O1056" s="90" t="s">
        <v>13481</v>
      </c>
      <c r="P1056" s="57"/>
      <c r="Q1056" s="57"/>
      <c r="R1056" s="57"/>
      <c r="S1056" s="57"/>
      <c r="T1056" s="57"/>
      <c r="U1056" s="57"/>
      <c r="V1056" s="57"/>
      <c r="W1056" s="57"/>
      <c r="X1056" s="57"/>
      <c r="Y1056" s="57"/>
      <c r="Z1056" s="57"/>
      <c r="AA1056" s="57"/>
      <c r="AB1056" s="57"/>
      <c r="AC1056" s="57"/>
      <c r="AD1056" s="57"/>
    </row>
    <row r="1057" spans="1:30" ht="15.75" thickBot="1" x14ac:dyDescent="0.3">
      <c r="A1057" s="80"/>
      <c r="B1057" s="83"/>
      <c r="C1057" s="89" t="s">
        <v>15492</v>
      </c>
      <c r="D1057" s="90" t="s">
        <v>13638</v>
      </c>
      <c r="E1057" s="90" t="s">
        <v>13668</v>
      </c>
      <c r="F1057" s="90" t="s">
        <v>13656</v>
      </c>
      <c r="G1057" s="90" t="s">
        <v>13668</v>
      </c>
      <c r="H1057" s="90" t="s">
        <v>13974</v>
      </c>
      <c r="I1057" s="90" t="s">
        <v>14667</v>
      </c>
      <c r="J1057" s="90" t="s">
        <v>13656</v>
      </c>
      <c r="K1057" s="90" t="s">
        <v>13848</v>
      </c>
      <c r="L1057" s="90" t="s">
        <v>13638</v>
      </c>
      <c r="M1057" s="90" t="s">
        <v>14662</v>
      </c>
      <c r="N1057" s="90" t="s">
        <v>13668</v>
      </c>
      <c r="O1057" s="90" t="s">
        <v>13492</v>
      </c>
      <c r="P1057" s="57"/>
      <c r="Q1057" s="57"/>
      <c r="R1057" s="57"/>
      <c r="S1057" s="57"/>
      <c r="T1057" s="57"/>
      <c r="U1057" s="57"/>
      <c r="V1057" s="57"/>
      <c r="W1057" s="57"/>
      <c r="X1057" s="57"/>
      <c r="Y1057" s="57"/>
      <c r="Z1057" s="57"/>
      <c r="AA1057" s="57"/>
      <c r="AB1057" s="57"/>
      <c r="AC1057" s="57"/>
      <c r="AD1057" s="57"/>
    </row>
    <row r="1058" spans="1:30" ht="13.5" thickBot="1" x14ac:dyDescent="0.25">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c r="AA1058" s="57"/>
      <c r="AB1058" s="57"/>
      <c r="AC1058" s="57"/>
      <c r="AD1058" s="57"/>
    </row>
    <row r="1059" spans="1:30" ht="115.5" thickBot="1" x14ac:dyDescent="0.25">
      <c r="A1059" s="57"/>
      <c r="B1059" s="153" t="s">
        <v>438</v>
      </c>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c r="AA1059" s="57"/>
      <c r="AB1059" s="57"/>
      <c r="AC1059" s="57"/>
      <c r="AD1059" s="57"/>
    </row>
    <row r="1060" spans="1:30" ht="13.5" thickBot="1" x14ac:dyDescent="0.25">
      <c r="A1060" s="57"/>
      <c r="B1060" s="155" t="s">
        <v>13095</v>
      </c>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c r="AA1060" s="57"/>
      <c r="AB1060" s="57"/>
      <c r="AC1060" s="57"/>
      <c r="AD1060" s="57"/>
    </row>
    <row r="1061" spans="1:30" ht="13.5" thickBot="1" x14ac:dyDescent="0.25">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c r="AA1061" s="57"/>
      <c r="AB1061" s="57"/>
      <c r="AC1061" s="57"/>
      <c r="AD1061" s="57"/>
    </row>
    <row r="1062" spans="1:30" ht="13.5" thickBot="1" x14ac:dyDescent="0.25">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c r="AA1062" s="57"/>
      <c r="AB1062" s="57"/>
      <c r="AC1062" s="57"/>
      <c r="AD1062" s="57"/>
    </row>
    <row r="1063" spans="1:30" ht="13.5" thickBot="1" x14ac:dyDescent="0.25">
      <c r="A1063" s="57"/>
      <c r="B1063" s="176" t="s">
        <v>1120</v>
      </c>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c r="AA1063" s="57"/>
      <c r="AB1063" s="57"/>
      <c r="AC1063" s="57"/>
      <c r="AD1063" s="57"/>
    </row>
    <row r="1064" spans="1:30" ht="13.5" thickBot="1" x14ac:dyDescent="0.25">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c r="AA1064" s="57"/>
      <c r="AB1064" s="57"/>
      <c r="AC1064" s="57"/>
      <c r="AD1064" s="57"/>
    </row>
    <row r="1065" spans="1:30" ht="13.5" thickBot="1" x14ac:dyDescent="0.25">
      <c r="A1065" s="57"/>
      <c r="B1065" s="97" t="s">
        <v>15495</v>
      </c>
      <c r="C1065" s="88"/>
      <c r="D1065" s="88"/>
      <c r="E1065" s="88"/>
      <c r="F1065" s="88"/>
      <c r="G1065" s="88"/>
      <c r="H1065" s="88"/>
      <c r="I1065" s="88"/>
      <c r="J1065" s="88"/>
      <c r="K1065" s="88"/>
      <c r="L1065" s="88"/>
      <c r="M1065" s="57"/>
      <c r="N1065" s="57"/>
      <c r="O1065" s="57"/>
      <c r="P1065" s="57"/>
      <c r="Q1065" s="57"/>
      <c r="R1065" s="57"/>
      <c r="S1065" s="57"/>
      <c r="T1065" s="57"/>
      <c r="U1065" s="57"/>
      <c r="V1065" s="57"/>
      <c r="W1065" s="57"/>
      <c r="X1065" s="57"/>
      <c r="Y1065" s="57"/>
      <c r="Z1065" s="57"/>
      <c r="AA1065" s="57"/>
      <c r="AB1065" s="57"/>
      <c r="AC1065" s="57"/>
      <c r="AD1065" s="57"/>
    </row>
    <row r="1066" spans="1:30" ht="13.5" thickBot="1" x14ac:dyDescent="0.25">
      <c r="A1066" s="80"/>
      <c r="B1066" s="240" t="s">
        <v>14136</v>
      </c>
      <c r="C1066" s="243" t="s">
        <v>13442</v>
      </c>
      <c r="D1066" s="244"/>
      <c r="E1066" s="244"/>
      <c r="F1066" s="244"/>
      <c r="G1066" s="244"/>
      <c r="H1066" s="244"/>
      <c r="I1066" s="244"/>
      <c r="J1066" s="244"/>
      <c r="K1066" s="244"/>
      <c r="L1066" s="245"/>
      <c r="M1066" s="57"/>
      <c r="N1066" s="57"/>
      <c r="O1066" s="57"/>
      <c r="P1066" s="57"/>
      <c r="Q1066" s="57"/>
      <c r="R1066" s="57"/>
      <c r="S1066" s="57"/>
      <c r="T1066" s="57"/>
      <c r="U1066" s="57"/>
      <c r="V1066" s="57"/>
      <c r="W1066" s="57"/>
      <c r="X1066" s="57"/>
      <c r="Y1066" s="57"/>
      <c r="Z1066" s="57"/>
      <c r="AA1066" s="57"/>
      <c r="AB1066" s="57"/>
      <c r="AC1066" s="57"/>
      <c r="AD1066" s="57"/>
    </row>
    <row r="1067" spans="1:30" ht="13.5" thickBot="1" x14ac:dyDescent="0.25">
      <c r="A1067" s="80"/>
      <c r="B1067" s="241"/>
      <c r="C1067" s="246" t="s">
        <v>14972</v>
      </c>
      <c r="D1067" s="247"/>
      <c r="E1067" s="246" t="s">
        <v>14989</v>
      </c>
      <c r="F1067" s="247"/>
      <c r="G1067" s="246" t="s">
        <v>14981</v>
      </c>
      <c r="H1067" s="247"/>
      <c r="I1067" s="246" t="s">
        <v>14954</v>
      </c>
      <c r="J1067" s="247"/>
      <c r="K1067" s="246" t="s">
        <v>15006</v>
      </c>
      <c r="L1067" s="247"/>
      <c r="M1067" s="57"/>
      <c r="N1067" s="57"/>
      <c r="O1067" s="57"/>
      <c r="P1067" s="57"/>
      <c r="Q1067" s="57"/>
      <c r="R1067" s="57"/>
      <c r="S1067" s="57"/>
      <c r="T1067" s="57"/>
      <c r="U1067" s="57"/>
      <c r="V1067" s="57"/>
      <c r="W1067" s="57"/>
      <c r="X1067" s="57"/>
      <c r="Y1067" s="57"/>
      <c r="Z1067" s="57"/>
      <c r="AA1067" s="57"/>
      <c r="AB1067" s="57"/>
      <c r="AC1067" s="57"/>
      <c r="AD1067" s="57"/>
    </row>
    <row r="1068" spans="1:30" ht="13.5" thickBot="1" x14ac:dyDescent="0.25">
      <c r="A1068" s="80"/>
      <c r="B1068" s="242"/>
      <c r="C1068" s="168" t="s">
        <v>14336</v>
      </c>
      <c r="D1068" s="168" t="s">
        <v>15496</v>
      </c>
      <c r="E1068" s="168" t="s">
        <v>14336</v>
      </c>
      <c r="F1068" s="168" t="s">
        <v>15496</v>
      </c>
      <c r="G1068" s="168" t="s">
        <v>14336</v>
      </c>
      <c r="H1068" s="168" t="s">
        <v>15496</v>
      </c>
      <c r="I1068" s="168" t="s">
        <v>14336</v>
      </c>
      <c r="J1068" s="168" t="s">
        <v>15496</v>
      </c>
      <c r="K1068" s="168" t="s">
        <v>14336</v>
      </c>
      <c r="L1068" s="168" t="s">
        <v>15496</v>
      </c>
      <c r="M1068" s="57"/>
      <c r="N1068" s="57"/>
      <c r="O1068" s="57"/>
      <c r="P1068" s="57"/>
      <c r="Q1068" s="57"/>
      <c r="R1068" s="57"/>
      <c r="S1068" s="57"/>
      <c r="T1068" s="57"/>
      <c r="U1068" s="57"/>
      <c r="V1068" s="57"/>
      <c r="W1068" s="57"/>
      <c r="X1068" s="57"/>
      <c r="Y1068" s="57"/>
      <c r="Z1068" s="57"/>
      <c r="AA1068" s="57"/>
      <c r="AB1068" s="57"/>
      <c r="AC1068" s="57"/>
      <c r="AD1068" s="57"/>
    </row>
    <row r="1069" spans="1:30" ht="13.5" thickBot="1" x14ac:dyDescent="0.25">
      <c r="A1069" s="80"/>
      <c r="B1069" s="168" t="s">
        <v>13372</v>
      </c>
      <c r="C1069" s="175" t="s">
        <v>13825</v>
      </c>
      <c r="D1069" s="175" t="s">
        <v>14339</v>
      </c>
      <c r="E1069" s="175">
        <v>0</v>
      </c>
      <c r="F1069" s="175" t="s">
        <v>13590</v>
      </c>
      <c r="G1069" s="168" t="s">
        <v>12699</v>
      </c>
      <c r="H1069" s="168" t="s">
        <v>12699</v>
      </c>
      <c r="I1069" s="175" t="s">
        <v>13910</v>
      </c>
      <c r="J1069" s="175" t="s">
        <v>13965</v>
      </c>
      <c r="K1069" s="175" t="s">
        <v>13450</v>
      </c>
      <c r="L1069" s="175" t="s">
        <v>13827</v>
      </c>
      <c r="M1069" s="57"/>
      <c r="N1069" s="57"/>
      <c r="O1069" s="57"/>
      <c r="P1069" s="57"/>
      <c r="Q1069" s="57"/>
      <c r="R1069" s="57"/>
      <c r="S1069" s="57"/>
      <c r="T1069" s="57"/>
      <c r="U1069" s="57"/>
      <c r="V1069" s="57"/>
      <c r="W1069" s="57"/>
      <c r="X1069" s="57"/>
      <c r="Y1069" s="57"/>
      <c r="Z1069" s="57"/>
      <c r="AA1069" s="57"/>
      <c r="AB1069" s="57"/>
      <c r="AC1069" s="57"/>
      <c r="AD1069" s="57"/>
    </row>
    <row r="1070" spans="1:30" ht="13.5" thickBot="1" x14ac:dyDescent="0.25">
      <c r="A1070" s="80"/>
      <c r="B1070" s="168" t="s">
        <v>13378</v>
      </c>
      <c r="C1070" s="175" t="s">
        <v>13785</v>
      </c>
      <c r="D1070" s="175" t="s">
        <v>14512</v>
      </c>
      <c r="E1070" s="175">
        <v>0</v>
      </c>
      <c r="F1070" s="175" t="s">
        <v>13799</v>
      </c>
      <c r="G1070" s="175">
        <v>0</v>
      </c>
      <c r="H1070" s="175" t="s">
        <v>15326</v>
      </c>
      <c r="I1070" s="175" t="s">
        <v>13457</v>
      </c>
      <c r="J1070" s="175" t="s">
        <v>13814</v>
      </c>
      <c r="K1070" s="175" t="s">
        <v>13518</v>
      </c>
      <c r="L1070" s="175" t="s">
        <v>13518</v>
      </c>
      <c r="M1070" s="57"/>
      <c r="N1070" s="57"/>
      <c r="O1070" s="57"/>
      <c r="P1070" s="57"/>
      <c r="Q1070" s="57"/>
      <c r="R1070" s="57"/>
      <c r="S1070" s="57"/>
      <c r="T1070" s="57"/>
      <c r="U1070" s="57"/>
      <c r="V1070" s="57"/>
      <c r="W1070" s="57"/>
      <c r="X1070" s="57"/>
      <c r="Y1070" s="57"/>
      <c r="Z1070" s="57"/>
      <c r="AA1070" s="57"/>
      <c r="AB1070" s="57"/>
      <c r="AC1070" s="57"/>
      <c r="AD1070" s="57"/>
    </row>
    <row r="1071" spans="1:30" ht="13.5" thickBot="1" x14ac:dyDescent="0.25">
      <c r="A1071" s="80"/>
      <c r="B1071" s="168" t="s">
        <v>13384</v>
      </c>
      <c r="C1071" s="175" t="s">
        <v>13491</v>
      </c>
      <c r="D1071" s="175" t="s">
        <v>13583</v>
      </c>
      <c r="E1071" s="175">
        <v>0</v>
      </c>
      <c r="F1071" s="175">
        <v>1</v>
      </c>
      <c r="G1071" s="175">
        <v>0</v>
      </c>
      <c r="H1071" s="175">
        <v>0</v>
      </c>
      <c r="I1071" s="175" t="s">
        <v>13453</v>
      </c>
      <c r="J1071" s="175" t="s">
        <v>13484</v>
      </c>
      <c r="K1071" s="175" t="s">
        <v>13605</v>
      </c>
      <c r="L1071" s="175" t="s">
        <v>13605</v>
      </c>
      <c r="M1071" s="57"/>
      <c r="N1071" s="57"/>
      <c r="O1071" s="57"/>
      <c r="P1071" s="57"/>
      <c r="Q1071" s="57"/>
      <c r="R1071" s="57"/>
      <c r="S1071" s="57"/>
      <c r="T1071" s="57"/>
      <c r="U1071" s="57"/>
      <c r="V1071" s="57"/>
      <c r="W1071" s="57"/>
      <c r="X1071" s="57"/>
      <c r="Y1071" s="57"/>
      <c r="Z1071" s="57"/>
      <c r="AA1071" s="57"/>
      <c r="AB1071" s="57"/>
      <c r="AC1071" s="57"/>
      <c r="AD1071" s="57"/>
    </row>
    <row r="1072" spans="1:30" ht="13.5" thickBot="1" x14ac:dyDescent="0.25">
      <c r="A1072" s="80"/>
      <c r="B1072" s="168" t="s">
        <v>13391</v>
      </c>
      <c r="C1072" s="175" t="s">
        <v>13832</v>
      </c>
      <c r="D1072" s="175">
        <v>1</v>
      </c>
      <c r="E1072" s="175">
        <v>0</v>
      </c>
      <c r="F1072" s="175">
        <v>1</v>
      </c>
      <c r="G1072" s="168" t="s">
        <v>12699</v>
      </c>
      <c r="H1072" s="168" t="s">
        <v>12699</v>
      </c>
      <c r="I1072" s="175" t="s">
        <v>13574</v>
      </c>
      <c r="J1072" s="175" t="s">
        <v>15318</v>
      </c>
      <c r="K1072" s="175">
        <v>1</v>
      </c>
      <c r="L1072" s="175">
        <v>1</v>
      </c>
      <c r="M1072" s="57"/>
      <c r="N1072" s="57"/>
      <c r="O1072" s="57"/>
      <c r="P1072" s="57"/>
      <c r="Q1072" s="57"/>
      <c r="R1072" s="57"/>
      <c r="S1072" s="57"/>
      <c r="T1072" s="57"/>
      <c r="U1072" s="57"/>
      <c r="V1072" s="57"/>
      <c r="W1072" s="57"/>
      <c r="X1072" s="57"/>
      <c r="Y1072" s="57"/>
      <c r="Z1072" s="57"/>
      <c r="AA1072" s="57"/>
      <c r="AB1072" s="57"/>
      <c r="AC1072" s="57"/>
      <c r="AD1072" s="57"/>
    </row>
    <row r="1073" spans="1:30" ht="13.5" thickBot="1" x14ac:dyDescent="0.25">
      <c r="A1073" s="80"/>
      <c r="B1073" s="168" t="s">
        <v>13397</v>
      </c>
      <c r="C1073" s="175" t="s">
        <v>14496</v>
      </c>
      <c r="D1073" s="175" t="s">
        <v>13635</v>
      </c>
      <c r="E1073" s="168" t="s">
        <v>12699</v>
      </c>
      <c r="F1073" s="168" t="s">
        <v>12699</v>
      </c>
      <c r="G1073" s="175">
        <v>0</v>
      </c>
      <c r="H1073" s="175">
        <v>0</v>
      </c>
      <c r="I1073" s="175" t="s">
        <v>13616</v>
      </c>
      <c r="J1073" s="175" t="s">
        <v>13850</v>
      </c>
      <c r="K1073" s="175" t="s">
        <v>13765</v>
      </c>
      <c r="L1073" s="175" t="s">
        <v>13883</v>
      </c>
      <c r="M1073" s="57"/>
      <c r="N1073" s="57"/>
      <c r="O1073" s="57"/>
      <c r="P1073" s="57"/>
      <c r="Q1073" s="57"/>
      <c r="R1073" s="57"/>
      <c r="S1073" s="57"/>
      <c r="T1073" s="57"/>
      <c r="U1073" s="57"/>
      <c r="V1073" s="57"/>
      <c r="W1073" s="57"/>
      <c r="X1073" s="57"/>
      <c r="Y1073" s="57"/>
      <c r="Z1073" s="57"/>
      <c r="AA1073" s="57"/>
      <c r="AB1073" s="57"/>
      <c r="AC1073" s="57"/>
      <c r="AD1073" s="57"/>
    </row>
    <row r="1074" spans="1:30" ht="13.5" thickBot="1" x14ac:dyDescent="0.25">
      <c r="A1074" s="80"/>
      <c r="B1074" s="168" t="s">
        <v>13403</v>
      </c>
      <c r="C1074" s="175" t="s">
        <v>13825</v>
      </c>
      <c r="D1074" s="175" t="s">
        <v>13770</v>
      </c>
      <c r="E1074" s="175">
        <v>0</v>
      </c>
      <c r="F1074" s="175">
        <v>1</v>
      </c>
      <c r="G1074" s="168" t="s">
        <v>12699</v>
      </c>
      <c r="H1074" s="168" t="s">
        <v>12699</v>
      </c>
      <c r="I1074" s="175" t="s">
        <v>15340</v>
      </c>
      <c r="J1074" s="175" t="s">
        <v>14322</v>
      </c>
      <c r="K1074" s="175" t="s">
        <v>13690</v>
      </c>
      <c r="L1074" s="175" t="s">
        <v>13914</v>
      </c>
      <c r="M1074" s="57"/>
      <c r="N1074" s="57"/>
      <c r="O1074" s="57"/>
      <c r="P1074" s="57"/>
      <c r="Q1074" s="57"/>
      <c r="R1074" s="57"/>
      <c r="S1074" s="57"/>
      <c r="T1074" s="57"/>
      <c r="U1074" s="57"/>
      <c r="V1074" s="57"/>
      <c r="W1074" s="57"/>
      <c r="X1074" s="57"/>
      <c r="Y1074" s="57"/>
      <c r="Z1074" s="57"/>
      <c r="AA1074" s="57"/>
      <c r="AB1074" s="57"/>
      <c r="AC1074" s="57"/>
      <c r="AD1074" s="57"/>
    </row>
    <row r="1075" spans="1:30" ht="13.5" thickBot="1" x14ac:dyDescent="0.25">
      <c r="A1075" s="80"/>
      <c r="B1075" s="168" t="s">
        <v>13408</v>
      </c>
      <c r="C1075" s="175" t="s">
        <v>13498</v>
      </c>
      <c r="D1075" s="175" t="s">
        <v>13583</v>
      </c>
      <c r="E1075" s="175">
        <v>0</v>
      </c>
      <c r="F1075" s="175">
        <v>0</v>
      </c>
      <c r="G1075" s="168" t="s">
        <v>12699</v>
      </c>
      <c r="H1075" s="168" t="s">
        <v>12699</v>
      </c>
      <c r="I1075" s="175" t="s">
        <v>13946</v>
      </c>
      <c r="J1075" s="175" t="s">
        <v>14442</v>
      </c>
      <c r="K1075" s="175" t="s">
        <v>13532</v>
      </c>
      <c r="L1075" s="175" t="s">
        <v>13532</v>
      </c>
      <c r="M1075" s="57"/>
      <c r="N1075" s="57"/>
      <c r="O1075" s="57"/>
      <c r="P1075" s="57"/>
      <c r="Q1075" s="57"/>
      <c r="R1075" s="57"/>
      <c r="S1075" s="57"/>
      <c r="T1075" s="57"/>
      <c r="U1075" s="57"/>
      <c r="V1075" s="57"/>
      <c r="W1075" s="57"/>
      <c r="X1075" s="57"/>
      <c r="Y1075" s="57"/>
      <c r="Z1075" s="57"/>
      <c r="AA1075" s="57"/>
      <c r="AB1075" s="57"/>
      <c r="AC1075" s="57"/>
      <c r="AD1075" s="57"/>
    </row>
    <row r="1076" spans="1:30" ht="13.5" thickBot="1" x14ac:dyDescent="0.25">
      <c r="A1076" s="80"/>
      <c r="B1076" s="168" t="s">
        <v>13413</v>
      </c>
      <c r="C1076" s="175" t="s">
        <v>14928</v>
      </c>
      <c r="D1076" s="175" t="s">
        <v>14391</v>
      </c>
      <c r="E1076" s="175">
        <v>0</v>
      </c>
      <c r="F1076" s="175">
        <v>1</v>
      </c>
      <c r="G1076" s="175" t="s">
        <v>13450</v>
      </c>
      <c r="H1076" s="175">
        <v>1</v>
      </c>
      <c r="I1076" s="175" t="s">
        <v>15331</v>
      </c>
      <c r="J1076" s="175" t="s">
        <v>14441</v>
      </c>
      <c r="K1076" s="175" t="s">
        <v>15497</v>
      </c>
      <c r="L1076" s="175" t="s">
        <v>13825</v>
      </c>
      <c r="M1076" s="57"/>
      <c r="N1076" s="57"/>
      <c r="O1076" s="57"/>
      <c r="P1076" s="57"/>
      <c r="Q1076" s="57"/>
      <c r="R1076" s="57"/>
      <c r="S1076" s="57"/>
      <c r="T1076" s="57"/>
      <c r="U1076" s="57"/>
      <c r="V1076" s="57"/>
      <c r="W1076" s="57"/>
      <c r="X1076" s="57"/>
      <c r="Y1076" s="57"/>
      <c r="Z1076" s="57"/>
      <c r="AA1076" s="57"/>
      <c r="AB1076" s="57"/>
      <c r="AC1076" s="57"/>
      <c r="AD1076" s="57"/>
    </row>
    <row r="1077" spans="1:30" ht="13.5" thickBot="1" x14ac:dyDescent="0.25">
      <c r="A1077" s="80"/>
      <c r="B1077" s="168" t="s">
        <v>13419</v>
      </c>
      <c r="C1077" s="175" t="s">
        <v>13509</v>
      </c>
      <c r="D1077" s="175" t="s">
        <v>14380</v>
      </c>
      <c r="E1077" s="175" t="s">
        <v>15498</v>
      </c>
      <c r="F1077" s="175" t="s">
        <v>14391</v>
      </c>
      <c r="G1077" s="175">
        <v>0</v>
      </c>
      <c r="H1077" s="175">
        <v>1</v>
      </c>
      <c r="I1077" s="175" t="s">
        <v>13587</v>
      </c>
      <c r="J1077" s="175" t="s">
        <v>13681</v>
      </c>
      <c r="K1077" s="175" t="s">
        <v>13819</v>
      </c>
      <c r="L1077" s="175" t="s">
        <v>13649</v>
      </c>
      <c r="M1077" s="57"/>
      <c r="N1077" s="57"/>
      <c r="O1077" s="57"/>
      <c r="P1077" s="57"/>
      <c r="Q1077" s="57"/>
      <c r="R1077" s="57"/>
      <c r="S1077" s="57"/>
      <c r="T1077" s="57"/>
      <c r="U1077" s="57"/>
      <c r="V1077" s="57"/>
      <c r="W1077" s="57"/>
      <c r="X1077" s="57"/>
      <c r="Y1077" s="57"/>
      <c r="Z1077" s="57"/>
      <c r="AA1077" s="57"/>
      <c r="AB1077" s="57"/>
      <c r="AC1077" s="57"/>
      <c r="AD1077" s="57"/>
    </row>
    <row r="1078" spans="1:30" ht="13.5" thickBot="1" x14ac:dyDescent="0.25">
      <c r="A1078" s="80"/>
      <c r="B1078" s="168" t="s">
        <v>13517</v>
      </c>
      <c r="C1078" s="175" t="s">
        <v>13450</v>
      </c>
      <c r="D1078" s="175" t="s">
        <v>13967</v>
      </c>
      <c r="E1078" s="175">
        <v>0</v>
      </c>
      <c r="F1078" s="175">
        <v>0</v>
      </c>
      <c r="G1078" s="175">
        <v>1</v>
      </c>
      <c r="H1078" s="175">
        <v>1</v>
      </c>
      <c r="I1078" s="175" t="s">
        <v>13658</v>
      </c>
      <c r="J1078" s="175" t="s">
        <v>13816</v>
      </c>
      <c r="K1078" s="175" t="s">
        <v>15387</v>
      </c>
      <c r="L1078" s="175" t="s">
        <v>13778</v>
      </c>
      <c r="M1078" s="57"/>
      <c r="N1078" s="57"/>
      <c r="O1078" s="57"/>
      <c r="P1078" s="57"/>
      <c r="Q1078" s="57"/>
      <c r="R1078" s="57"/>
      <c r="S1078" s="57"/>
      <c r="T1078" s="57"/>
      <c r="U1078" s="57"/>
      <c r="V1078" s="57"/>
      <c r="W1078" s="57"/>
      <c r="X1078" s="57"/>
      <c r="Y1078" s="57"/>
      <c r="Z1078" s="57"/>
      <c r="AA1078" s="57"/>
      <c r="AB1078" s="57"/>
      <c r="AC1078" s="57"/>
      <c r="AD1078" s="57"/>
    </row>
    <row r="1079" spans="1:30" ht="13.5" thickBot="1" x14ac:dyDescent="0.25">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c r="AA1079" s="57"/>
      <c r="AB1079" s="57"/>
      <c r="AC1079" s="57"/>
      <c r="AD1079" s="57"/>
    </row>
    <row r="1080" spans="1:30" ht="13.5" thickBot="1" x14ac:dyDescent="0.25">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c r="AA1080" s="57"/>
      <c r="AB1080" s="57"/>
      <c r="AC1080" s="57"/>
      <c r="AD1080" s="57"/>
    </row>
    <row r="1081" spans="1:30" ht="13.5" thickBot="1" x14ac:dyDescent="0.25">
      <c r="A1081" s="57"/>
      <c r="B1081" s="97" t="s">
        <v>15499</v>
      </c>
      <c r="C1081" s="88"/>
      <c r="D1081" s="88"/>
      <c r="E1081" s="88"/>
      <c r="F1081" s="88"/>
      <c r="G1081" s="88"/>
      <c r="H1081" s="88"/>
      <c r="I1081" s="88"/>
      <c r="J1081" s="88"/>
      <c r="K1081" s="88"/>
      <c r="L1081" s="88"/>
      <c r="M1081" s="57"/>
      <c r="N1081" s="57"/>
      <c r="O1081" s="57"/>
      <c r="P1081" s="57"/>
      <c r="Q1081" s="57"/>
      <c r="R1081" s="57"/>
      <c r="S1081" s="57"/>
      <c r="T1081" s="57"/>
      <c r="U1081" s="57"/>
      <c r="V1081" s="57"/>
      <c r="W1081" s="57"/>
      <c r="X1081" s="57"/>
      <c r="Y1081" s="57"/>
      <c r="Z1081" s="57"/>
      <c r="AA1081" s="57"/>
      <c r="AB1081" s="57"/>
      <c r="AC1081" s="57"/>
      <c r="AD1081" s="57"/>
    </row>
    <row r="1082" spans="1:30" ht="13.5" thickBot="1" x14ac:dyDescent="0.25">
      <c r="A1082" s="80"/>
      <c r="B1082" s="240" t="s">
        <v>14136</v>
      </c>
      <c r="C1082" s="243" t="s">
        <v>13443</v>
      </c>
      <c r="D1082" s="244"/>
      <c r="E1082" s="244"/>
      <c r="F1082" s="244"/>
      <c r="G1082" s="244"/>
      <c r="H1082" s="244"/>
      <c r="I1082" s="244"/>
      <c r="J1082" s="244"/>
      <c r="K1082" s="244"/>
      <c r="L1082" s="245"/>
      <c r="M1082" s="57"/>
      <c r="N1082" s="57"/>
      <c r="O1082" s="57"/>
      <c r="P1082" s="57"/>
      <c r="Q1082" s="57"/>
      <c r="R1082" s="57"/>
      <c r="S1082" s="57"/>
      <c r="T1082" s="57"/>
      <c r="U1082" s="57"/>
      <c r="V1082" s="57"/>
      <c r="W1082" s="57"/>
      <c r="X1082" s="57"/>
      <c r="Y1082" s="57"/>
      <c r="Z1082" s="57"/>
      <c r="AA1082" s="57"/>
      <c r="AB1082" s="57"/>
      <c r="AC1082" s="57"/>
      <c r="AD1082" s="57"/>
    </row>
    <row r="1083" spans="1:30" ht="13.5" thickBot="1" x14ac:dyDescent="0.25">
      <c r="A1083" s="80"/>
      <c r="B1083" s="241"/>
      <c r="C1083" s="246" t="s">
        <v>14972</v>
      </c>
      <c r="D1083" s="247"/>
      <c r="E1083" s="246" t="s">
        <v>14989</v>
      </c>
      <c r="F1083" s="247"/>
      <c r="G1083" s="246" t="s">
        <v>14981</v>
      </c>
      <c r="H1083" s="247"/>
      <c r="I1083" s="246" t="s">
        <v>14954</v>
      </c>
      <c r="J1083" s="247"/>
      <c r="K1083" s="246" t="s">
        <v>15006</v>
      </c>
      <c r="L1083" s="247"/>
      <c r="M1083" s="57"/>
      <c r="N1083" s="57"/>
      <c r="O1083" s="57"/>
      <c r="P1083" s="57"/>
      <c r="Q1083" s="57"/>
      <c r="R1083" s="57"/>
      <c r="S1083" s="57"/>
      <c r="T1083" s="57"/>
      <c r="U1083" s="57"/>
      <c r="V1083" s="57"/>
      <c r="W1083" s="57"/>
      <c r="X1083" s="57"/>
      <c r="Y1083" s="57"/>
      <c r="Z1083" s="57"/>
      <c r="AA1083" s="57"/>
      <c r="AB1083" s="57"/>
      <c r="AC1083" s="57"/>
      <c r="AD1083" s="57"/>
    </row>
    <row r="1084" spans="1:30" ht="13.5" thickBot="1" x14ac:dyDescent="0.25">
      <c r="A1084" s="80"/>
      <c r="B1084" s="242"/>
      <c r="C1084" s="168" t="s">
        <v>14336</v>
      </c>
      <c r="D1084" s="168" t="s">
        <v>15496</v>
      </c>
      <c r="E1084" s="168" t="s">
        <v>14336</v>
      </c>
      <c r="F1084" s="168" t="s">
        <v>15496</v>
      </c>
      <c r="G1084" s="168" t="s">
        <v>14336</v>
      </c>
      <c r="H1084" s="168" t="s">
        <v>15496</v>
      </c>
      <c r="I1084" s="168" t="s">
        <v>14336</v>
      </c>
      <c r="J1084" s="168" t="s">
        <v>15496</v>
      </c>
      <c r="K1084" s="168" t="s">
        <v>14336</v>
      </c>
      <c r="L1084" s="168" t="s">
        <v>15496</v>
      </c>
      <c r="M1084" s="57"/>
      <c r="N1084" s="57"/>
      <c r="O1084" s="57"/>
      <c r="P1084" s="57"/>
      <c r="Q1084" s="57"/>
      <c r="R1084" s="57"/>
      <c r="S1084" s="57"/>
      <c r="T1084" s="57"/>
      <c r="U1084" s="57"/>
      <c r="V1084" s="57"/>
      <c r="W1084" s="57"/>
      <c r="X1084" s="57"/>
      <c r="Y1084" s="57"/>
      <c r="Z1084" s="57"/>
      <c r="AA1084" s="57"/>
      <c r="AB1084" s="57"/>
      <c r="AC1084" s="57"/>
      <c r="AD1084" s="57"/>
    </row>
    <row r="1085" spans="1:30" ht="13.5" thickBot="1" x14ac:dyDescent="0.25">
      <c r="A1085" s="80"/>
      <c r="B1085" s="196" t="s">
        <v>13372</v>
      </c>
      <c r="C1085" s="213" t="s">
        <v>15500</v>
      </c>
      <c r="D1085" s="213" t="s">
        <v>13907</v>
      </c>
      <c r="E1085" s="213">
        <v>0</v>
      </c>
      <c r="F1085" s="213" t="s">
        <v>13832</v>
      </c>
      <c r="G1085" s="196" t="s">
        <v>12699</v>
      </c>
      <c r="H1085" s="196" t="s">
        <v>12699</v>
      </c>
      <c r="I1085" s="213" t="s">
        <v>14928</v>
      </c>
      <c r="J1085" s="213" t="s">
        <v>15389</v>
      </c>
      <c r="K1085" s="213" t="s">
        <v>13907</v>
      </c>
      <c r="L1085" s="213" t="s">
        <v>13827</v>
      </c>
      <c r="M1085" s="57"/>
      <c r="N1085" s="57"/>
      <c r="O1085" s="57"/>
      <c r="P1085" s="57"/>
      <c r="Q1085" s="57"/>
      <c r="R1085" s="57"/>
      <c r="S1085" s="57"/>
      <c r="T1085" s="57"/>
      <c r="U1085" s="57"/>
      <c r="V1085" s="57"/>
      <c r="W1085" s="57"/>
      <c r="X1085" s="57"/>
      <c r="Y1085" s="57"/>
      <c r="Z1085" s="57"/>
      <c r="AA1085" s="57"/>
      <c r="AB1085" s="57"/>
      <c r="AC1085" s="57"/>
      <c r="AD1085" s="57"/>
    </row>
    <row r="1086" spans="1:30" ht="13.5" thickBot="1" x14ac:dyDescent="0.25">
      <c r="A1086" s="80"/>
      <c r="B1086" s="196" t="s">
        <v>13378</v>
      </c>
      <c r="C1086" s="213" t="s">
        <v>14358</v>
      </c>
      <c r="D1086" s="213" t="s">
        <v>14427</v>
      </c>
      <c r="E1086" s="213">
        <v>0</v>
      </c>
      <c r="F1086" s="213" t="s">
        <v>13686</v>
      </c>
      <c r="G1086" s="213">
        <v>0</v>
      </c>
      <c r="H1086" s="213" t="s">
        <v>13607</v>
      </c>
      <c r="I1086" s="213" t="s">
        <v>13878</v>
      </c>
      <c r="J1086" s="213" t="s">
        <v>14451</v>
      </c>
      <c r="K1086" s="213" t="s">
        <v>15318</v>
      </c>
      <c r="L1086" s="213" t="s">
        <v>14544</v>
      </c>
      <c r="M1086" s="57"/>
      <c r="N1086" s="57"/>
      <c r="O1086" s="57"/>
      <c r="P1086" s="57"/>
      <c r="Q1086" s="57"/>
      <c r="R1086" s="57"/>
      <c r="S1086" s="57"/>
      <c r="T1086" s="57"/>
      <c r="U1086" s="57"/>
      <c r="V1086" s="57"/>
      <c r="W1086" s="57"/>
      <c r="X1086" s="57"/>
      <c r="Y1086" s="57"/>
      <c r="Z1086" s="57"/>
      <c r="AA1086" s="57"/>
      <c r="AB1086" s="57"/>
      <c r="AC1086" s="57"/>
      <c r="AD1086" s="57"/>
    </row>
    <row r="1087" spans="1:30" ht="13.5" thickBot="1" x14ac:dyDescent="0.25">
      <c r="A1087" s="80"/>
      <c r="B1087" s="196" t="s">
        <v>13384</v>
      </c>
      <c r="C1087" s="213" t="s">
        <v>13624</v>
      </c>
      <c r="D1087" s="213" t="s">
        <v>13805</v>
      </c>
      <c r="E1087" s="213">
        <v>0</v>
      </c>
      <c r="F1087" s="213" t="s">
        <v>14391</v>
      </c>
      <c r="G1087" s="213">
        <v>0</v>
      </c>
      <c r="H1087" s="213">
        <v>0</v>
      </c>
      <c r="I1087" s="213" t="s">
        <v>13658</v>
      </c>
      <c r="J1087" s="213" t="s">
        <v>14430</v>
      </c>
      <c r="K1087" s="213" t="s">
        <v>13550</v>
      </c>
      <c r="L1087" s="213" t="s">
        <v>13550</v>
      </c>
      <c r="M1087" s="57"/>
      <c r="N1087" s="57"/>
      <c r="O1087" s="57"/>
      <c r="P1087" s="57"/>
      <c r="Q1087" s="57"/>
      <c r="R1087" s="57"/>
      <c r="S1087" s="57"/>
      <c r="T1087" s="57"/>
      <c r="U1087" s="57"/>
      <c r="V1087" s="57"/>
      <c r="W1087" s="57"/>
      <c r="X1087" s="57"/>
      <c r="Y1087" s="57"/>
      <c r="Z1087" s="57"/>
      <c r="AA1087" s="57"/>
      <c r="AB1087" s="57"/>
      <c r="AC1087" s="57"/>
      <c r="AD1087" s="57"/>
    </row>
    <row r="1088" spans="1:30" ht="13.5" thickBot="1" x14ac:dyDescent="0.25">
      <c r="A1088" s="80"/>
      <c r="B1088" s="196" t="s">
        <v>13391</v>
      </c>
      <c r="C1088" s="213" t="s">
        <v>13500</v>
      </c>
      <c r="D1088" s="213" t="s">
        <v>13500</v>
      </c>
      <c r="E1088" s="213">
        <v>0</v>
      </c>
      <c r="F1088" s="213" t="s">
        <v>13450</v>
      </c>
      <c r="G1088" s="196" t="s">
        <v>12699</v>
      </c>
      <c r="H1088" s="196" t="s">
        <v>12699</v>
      </c>
      <c r="I1088" s="213" t="s">
        <v>13625</v>
      </c>
      <c r="J1088" s="213" t="s">
        <v>13969</v>
      </c>
      <c r="K1088" s="213" t="s">
        <v>14346</v>
      </c>
      <c r="L1088" s="213" t="s">
        <v>14346</v>
      </c>
      <c r="M1088" s="57"/>
      <c r="N1088" s="57"/>
      <c r="O1088" s="57"/>
      <c r="P1088" s="57"/>
      <c r="Q1088" s="57"/>
      <c r="R1088" s="57"/>
      <c r="S1088" s="57"/>
      <c r="T1088" s="57"/>
      <c r="U1088" s="57"/>
      <c r="V1088" s="57"/>
      <c r="W1088" s="57"/>
      <c r="X1088" s="57"/>
      <c r="Y1088" s="57"/>
      <c r="Z1088" s="57"/>
      <c r="AA1088" s="57"/>
      <c r="AB1088" s="57"/>
      <c r="AC1088" s="57"/>
      <c r="AD1088" s="57"/>
    </row>
    <row r="1089" spans="1:30" ht="13.5" thickBot="1" x14ac:dyDescent="0.25">
      <c r="A1089" s="80"/>
      <c r="B1089" s="196" t="s">
        <v>13397</v>
      </c>
      <c r="C1089" s="213" t="s">
        <v>14359</v>
      </c>
      <c r="D1089" s="213" t="s">
        <v>15412</v>
      </c>
      <c r="E1089" s="196" t="s">
        <v>12699</v>
      </c>
      <c r="F1089" s="196" t="s">
        <v>12699</v>
      </c>
      <c r="G1089" s="213">
        <v>0</v>
      </c>
      <c r="H1089" s="213">
        <v>0</v>
      </c>
      <c r="I1089" s="213" t="s">
        <v>13456</v>
      </c>
      <c r="J1089" s="213" t="s">
        <v>14415</v>
      </c>
      <c r="K1089" s="213" t="s">
        <v>13480</v>
      </c>
      <c r="L1089" s="213" t="s">
        <v>14499</v>
      </c>
      <c r="M1089" s="57"/>
      <c r="N1089" s="57"/>
      <c r="O1089" s="57"/>
      <c r="P1089" s="57"/>
      <c r="Q1089" s="57"/>
      <c r="R1089" s="57"/>
      <c r="S1089" s="57"/>
      <c r="T1089" s="57"/>
      <c r="U1089" s="57"/>
      <c r="V1089" s="57"/>
      <c r="W1089" s="57"/>
      <c r="X1089" s="57"/>
      <c r="Y1089" s="57"/>
      <c r="Z1089" s="57"/>
      <c r="AA1089" s="57"/>
      <c r="AB1089" s="57"/>
      <c r="AC1089" s="57"/>
      <c r="AD1089" s="57"/>
    </row>
    <row r="1090" spans="1:30" ht="13.5" thickBot="1" x14ac:dyDescent="0.25">
      <c r="A1090" s="80"/>
      <c r="B1090" s="196" t="s">
        <v>13403</v>
      </c>
      <c r="C1090" s="213" t="s">
        <v>13699</v>
      </c>
      <c r="D1090" s="213" t="s">
        <v>15362</v>
      </c>
      <c r="E1090" s="213">
        <v>0</v>
      </c>
      <c r="F1090" s="213" t="s">
        <v>14391</v>
      </c>
      <c r="G1090" s="196" t="s">
        <v>12699</v>
      </c>
      <c r="H1090" s="196" t="s">
        <v>12699</v>
      </c>
      <c r="I1090" s="213" t="s">
        <v>15501</v>
      </c>
      <c r="J1090" s="213" t="s">
        <v>13591</v>
      </c>
      <c r="K1090" s="213" t="s">
        <v>13590</v>
      </c>
      <c r="L1090" s="213" t="s">
        <v>13498</v>
      </c>
      <c r="M1090" s="57"/>
      <c r="N1090" s="57"/>
      <c r="O1090" s="57"/>
      <c r="P1090" s="57"/>
      <c r="Q1090" s="57"/>
      <c r="R1090" s="57"/>
      <c r="S1090" s="57"/>
      <c r="T1090" s="57"/>
      <c r="U1090" s="57"/>
      <c r="V1090" s="57"/>
      <c r="W1090" s="57"/>
      <c r="X1090" s="57"/>
      <c r="Y1090" s="57"/>
      <c r="Z1090" s="57"/>
      <c r="AA1090" s="57"/>
      <c r="AB1090" s="57"/>
      <c r="AC1090" s="57"/>
      <c r="AD1090" s="57"/>
    </row>
    <row r="1091" spans="1:30" ht="13.5" thickBot="1" x14ac:dyDescent="0.25">
      <c r="A1091" s="80"/>
      <c r="B1091" s="196" t="s">
        <v>13408</v>
      </c>
      <c r="C1091" s="213" t="s">
        <v>13607</v>
      </c>
      <c r="D1091" s="213" t="s">
        <v>14391</v>
      </c>
      <c r="E1091" s="213">
        <v>0</v>
      </c>
      <c r="F1091" s="213">
        <v>0</v>
      </c>
      <c r="G1091" s="196" t="s">
        <v>12699</v>
      </c>
      <c r="H1091" s="196" t="s">
        <v>12699</v>
      </c>
      <c r="I1091" s="213" t="s">
        <v>14356</v>
      </c>
      <c r="J1091" s="213" t="s">
        <v>13608</v>
      </c>
      <c r="K1091" s="213" t="s">
        <v>13509</v>
      </c>
      <c r="L1091" s="213" t="s">
        <v>13509</v>
      </c>
      <c r="M1091" s="57"/>
      <c r="N1091" s="57"/>
      <c r="O1091" s="57"/>
      <c r="P1091" s="57"/>
      <c r="Q1091" s="57"/>
      <c r="R1091" s="57"/>
      <c r="S1091" s="57"/>
      <c r="T1091" s="57"/>
      <c r="U1091" s="57"/>
      <c r="V1091" s="57"/>
      <c r="W1091" s="57"/>
      <c r="X1091" s="57"/>
      <c r="Y1091" s="57"/>
      <c r="Z1091" s="57"/>
      <c r="AA1091" s="57"/>
      <c r="AB1091" s="57"/>
      <c r="AC1091" s="57"/>
      <c r="AD1091" s="57"/>
    </row>
    <row r="1092" spans="1:30" ht="13.5" thickBot="1" x14ac:dyDescent="0.25">
      <c r="A1092" s="80"/>
      <c r="B1092" s="196" t="s">
        <v>13413</v>
      </c>
      <c r="C1092" s="213" t="s">
        <v>13450</v>
      </c>
      <c r="D1092" s="213" t="s">
        <v>13791</v>
      </c>
      <c r="E1092" s="213">
        <v>0</v>
      </c>
      <c r="F1092" s="213" t="s">
        <v>13605</v>
      </c>
      <c r="G1092" s="213" t="s">
        <v>13607</v>
      </c>
      <c r="H1092" s="213">
        <v>1</v>
      </c>
      <c r="I1092" s="213" t="s">
        <v>13698</v>
      </c>
      <c r="J1092" s="213" t="s">
        <v>13583</v>
      </c>
      <c r="K1092" s="213" t="s">
        <v>13658</v>
      </c>
      <c r="L1092" s="213" t="s">
        <v>13825</v>
      </c>
      <c r="M1092" s="57"/>
      <c r="N1092" s="57"/>
      <c r="O1092" s="57"/>
      <c r="P1092" s="57"/>
      <c r="Q1092" s="57"/>
      <c r="R1092" s="57"/>
      <c r="S1092" s="57"/>
      <c r="T1092" s="57"/>
      <c r="U1092" s="57"/>
      <c r="V1092" s="57"/>
      <c r="W1092" s="57"/>
      <c r="X1092" s="57"/>
      <c r="Y1092" s="57"/>
      <c r="Z1092" s="57"/>
      <c r="AA1092" s="57"/>
      <c r="AB1092" s="57"/>
      <c r="AC1092" s="57"/>
      <c r="AD1092" s="57"/>
    </row>
    <row r="1093" spans="1:30" ht="13.5" thickBot="1" x14ac:dyDescent="0.25">
      <c r="A1093" s="80"/>
      <c r="B1093" s="196" t="s">
        <v>13419</v>
      </c>
      <c r="C1093" s="213" t="s">
        <v>13648</v>
      </c>
      <c r="D1093" s="213" t="s">
        <v>13710</v>
      </c>
      <c r="E1093" s="213" t="s">
        <v>13607</v>
      </c>
      <c r="F1093" s="213" t="s">
        <v>13607</v>
      </c>
      <c r="G1093" s="213">
        <v>0</v>
      </c>
      <c r="H1093" s="213" t="s">
        <v>13450</v>
      </c>
      <c r="I1093" s="213" t="s">
        <v>13768</v>
      </c>
      <c r="J1093" s="213" t="s">
        <v>13827</v>
      </c>
      <c r="K1093" s="213" t="s">
        <v>13968</v>
      </c>
      <c r="L1093" s="213" t="s">
        <v>13854</v>
      </c>
      <c r="M1093" s="57"/>
      <c r="N1093" s="57"/>
      <c r="O1093" s="57"/>
      <c r="P1093" s="57"/>
      <c r="Q1093" s="57"/>
      <c r="R1093" s="57"/>
      <c r="S1093" s="57"/>
      <c r="T1093" s="57"/>
      <c r="U1093" s="57"/>
      <c r="V1093" s="57"/>
      <c r="W1093" s="57"/>
      <c r="X1093" s="57"/>
      <c r="Y1093" s="57"/>
      <c r="Z1093" s="57"/>
      <c r="AA1093" s="57"/>
      <c r="AB1093" s="57"/>
      <c r="AC1093" s="57"/>
      <c r="AD1093" s="57"/>
    </row>
    <row r="1094" spans="1:30" ht="13.5" thickBot="1" x14ac:dyDescent="0.25">
      <c r="A1094" s="80"/>
      <c r="B1094" s="196" t="s">
        <v>13517</v>
      </c>
      <c r="C1094" s="213" t="s">
        <v>15502</v>
      </c>
      <c r="D1094" s="213" t="s">
        <v>13498</v>
      </c>
      <c r="E1094" s="213">
        <v>0</v>
      </c>
      <c r="F1094" s="213">
        <v>0</v>
      </c>
      <c r="G1094" s="213" t="s">
        <v>13450</v>
      </c>
      <c r="H1094" s="213" t="s">
        <v>13450</v>
      </c>
      <c r="I1094" s="213" t="s">
        <v>13944</v>
      </c>
      <c r="J1094" s="213" t="s">
        <v>13791</v>
      </c>
      <c r="K1094" s="213" t="s">
        <v>13557</v>
      </c>
      <c r="L1094" s="213" t="s">
        <v>13528</v>
      </c>
      <c r="M1094" s="57"/>
      <c r="N1094" s="57"/>
      <c r="O1094" s="57"/>
      <c r="P1094" s="57"/>
      <c r="Q1094" s="57"/>
      <c r="R1094" s="57"/>
      <c r="S1094" s="57"/>
      <c r="T1094" s="57"/>
      <c r="U1094" s="57"/>
      <c r="V1094" s="57"/>
      <c r="W1094" s="57"/>
      <c r="X1094" s="57"/>
      <c r="Y1094" s="57"/>
      <c r="Z1094" s="57"/>
      <c r="AA1094" s="57"/>
      <c r="AB1094" s="57"/>
      <c r="AC1094" s="57"/>
      <c r="AD1094" s="57"/>
    </row>
    <row r="1095" spans="1:30" ht="13.5" thickBot="1" x14ac:dyDescent="0.25">
      <c r="A1095" s="80"/>
      <c r="B1095" s="196" t="s">
        <v>14370</v>
      </c>
      <c r="C1095" s="213" t="s">
        <v>13661</v>
      </c>
      <c r="D1095" s="213" t="s">
        <v>14355</v>
      </c>
      <c r="E1095" s="213" t="s">
        <v>13387</v>
      </c>
      <c r="F1095" s="213" t="s">
        <v>15503</v>
      </c>
      <c r="G1095" s="213" t="s">
        <v>15504</v>
      </c>
      <c r="H1095" s="213" t="s">
        <v>15016</v>
      </c>
      <c r="I1095" s="213" t="s">
        <v>13740</v>
      </c>
      <c r="J1095" s="213" t="s">
        <v>15340</v>
      </c>
      <c r="K1095" s="213" t="s">
        <v>13518</v>
      </c>
      <c r="L1095" s="213" t="s">
        <v>14448</v>
      </c>
      <c r="M1095" s="57"/>
      <c r="N1095" s="57"/>
      <c r="O1095" s="57"/>
      <c r="P1095" s="57"/>
      <c r="Q1095" s="57"/>
      <c r="R1095" s="57"/>
      <c r="S1095" s="57"/>
      <c r="T1095" s="57"/>
      <c r="U1095" s="57"/>
      <c r="V1095" s="57"/>
      <c r="W1095" s="57"/>
      <c r="X1095" s="57"/>
      <c r="Y1095" s="57"/>
      <c r="Z1095" s="57"/>
      <c r="AA1095" s="57"/>
      <c r="AB1095" s="57"/>
      <c r="AC1095" s="57"/>
      <c r="AD1095" s="57"/>
    </row>
    <row r="1096" spans="1:30" ht="13.5" thickBot="1" x14ac:dyDescent="0.25">
      <c r="A1096" s="57"/>
      <c r="B1096" s="57"/>
      <c r="C1096" s="57"/>
      <c r="D1096" s="57"/>
      <c r="E1096" s="57"/>
      <c r="F1096" s="57"/>
      <c r="G1096" s="57"/>
      <c r="H1096" s="57"/>
      <c r="I1096" s="57"/>
      <c r="J1096" s="57"/>
      <c r="K1096" s="57"/>
      <c r="L1096" s="57"/>
      <c r="M1096" s="57"/>
      <c r="N1096" s="57"/>
      <c r="O1096" s="57"/>
      <c r="P1096" s="57"/>
      <c r="Q1096" s="57"/>
      <c r="R1096" s="57"/>
      <c r="S1096" s="57"/>
      <c r="T1096" s="57"/>
      <c r="U1096" s="57"/>
      <c r="V1096" s="57"/>
      <c r="W1096" s="57"/>
      <c r="X1096" s="57"/>
      <c r="Y1096" s="57"/>
      <c r="Z1096" s="57"/>
      <c r="AA1096" s="57"/>
      <c r="AB1096" s="57"/>
      <c r="AC1096" s="57"/>
      <c r="AD1096" s="57"/>
    </row>
    <row r="1097" spans="1:30" ht="13.5" thickBot="1" x14ac:dyDescent="0.25">
      <c r="A1097" s="57"/>
      <c r="B1097" s="57"/>
      <c r="C1097" s="57"/>
      <c r="D1097" s="57"/>
      <c r="E1097" s="57"/>
      <c r="F1097" s="57"/>
      <c r="G1097" s="57"/>
      <c r="H1097" s="57"/>
      <c r="I1097" s="57"/>
      <c r="J1097" s="57"/>
      <c r="K1097" s="57"/>
      <c r="L1097" s="57"/>
      <c r="M1097" s="57"/>
      <c r="N1097" s="57"/>
      <c r="O1097" s="57"/>
      <c r="P1097" s="57"/>
      <c r="Q1097" s="57"/>
      <c r="R1097" s="57"/>
      <c r="S1097" s="57"/>
      <c r="T1097" s="57"/>
      <c r="U1097" s="57"/>
      <c r="V1097" s="57"/>
      <c r="W1097" s="57"/>
      <c r="X1097" s="57"/>
      <c r="Y1097" s="57"/>
      <c r="Z1097" s="57"/>
      <c r="AA1097" s="57"/>
      <c r="AB1097" s="57"/>
      <c r="AC1097" s="57"/>
      <c r="AD1097" s="57"/>
    </row>
    <row r="1098" spans="1:30" ht="13.5" thickBot="1" x14ac:dyDescent="0.25">
      <c r="A1098" s="57"/>
      <c r="B1098" s="97" t="s">
        <v>15505</v>
      </c>
      <c r="C1098" s="88"/>
      <c r="D1098" s="88"/>
      <c r="E1098" s="88"/>
      <c r="F1098" s="88"/>
      <c r="G1098" s="88"/>
      <c r="H1098" s="88"/>
      <c r="I1098" s="88"/>
      <c r="J1098" s="88"/>
      <c r="K1098" s="88"/>
      <c r="L1098" s="88"/>
      <c r="M1098" s="57"/>
      <c r="N1098" s="57"/>
      <c r="O1098" s="57"/>
      <c r="P1098" s="57"/>
      <c r="Q1098" s="57"/>
      <c r="R1098" s="57"/>
      <c r="S1098" s="57"/>
      <c r="T1098" s="57"/>
      <c r="U1098" s="57"/>
      <c r="V1098" s="57"/>
      <c r="W1098" s="57"/>
      <c r="X1098" s="57"/>
      <c r="Y1098" s="57"/>
      <c r="Z1098" s="57"/>
      <c r="AA1098" s="57"/>
      <c r="AB1098" s="57"/>
      <c r="AC1098" s="57"/>
      <c r="AD1098" s="57"/>
    </row>
    <row r="1099" spans="1:30" ht="13.5" thickBot="1" x14ac:dyDescent="0.25">
      <c r="A1099" s="80"/>
      <c r="B1099" s="240" t="s">
        <v>14136</v>
      </c>
      <c r="C1099" s="243" t="s">
        <v>15506</v>
      </c>
      <c r="D1099" s="244"/>
      <c r="E1099" s="244"/>
      <c r="F1099" s="244"/>
      <c r="G1099" s="244"/>
      <c r="H1099" s="244"/>
      <c r="I1099" s="244"/>
      <c r="J1099" s="244"/>
      <c r="K1099" s="244"/>
      <c r="L1099" s="245"/>
      <c r="M1099" s="57"/>
      <c r="N1099" s="57"/>
      <c r="O1099" s="57"/>
      <c r="P1099" s="57"/>
      <c r="Q1099" s="57"/>
      <c r="R1099" s="57"/>
      <c r="S1099" s="57"/>
      <c r="T1099" s="57"/>
      <c r="U1099" s="57"/>
      <c r="V1099" s="57"/>
      <c r="W1099" s="57"/>
      <c r="X1099" s="57"/>
      <c r="Y1099" s="57"/>
      <c r="Z1099" s="57"/>
      <c r="AA1099" s="57"/>
      <c r="AB1099" s="57"/>
      <c r="AC1099" s="57"/>
      <c r="AD1099" s="57"/>
    </row>
    <row r="1100" spans="1:30" ht="13.5" thickBot="1" x14ac:dyDescent="0.25">
      <c r="A1100" s="80"/>
      <c r="B1100" s="241"/>
      <c r="C1100" s="246" t="s">
        <v>14972</v>
      </c>
      <c r="D1100" s="247"/>
      <c r="E1100" s="246" t="s">
        <v>14989</v>
      </c>
      <c r="F1100" s="247"/>
      <c r="G1100" s="246" t="s">
        <v>14981</v>
      </c>
      <c r="H1100" s="247"/>
      <c r="I1100" s="246" t="s">
        <v>14954</v>
      </c>
      <c r="J1100" s="247"/>
      <c r="K1100" s="246" t="s">
        <v>15006</v>
      </c>
      <c r="L1100" s="247"/>
      <c r="M1100" s="57"/>
      <c r="N1100" s="57"/>
      <c r="O1100" s="57"/>
      <c r="P1100" s="57"/>
      <c r="Q1100" s="57"/>
      <c r="R1100" s="57"/>
      <c r="S1100" s="57"/>
      <c r="T1100" s="57"/>
      <c r="U1100" s="57"/>
      <c r="V1100" s="57"/>
      <c r="W1100" s="57"/>
      <c r="X1100" s="57"/>
      <c r="Y1100" s="57"/>
      <c r="Z1100" s="57"/>
      <c r="AA1100" s="57"/>
      <c r="AB1100" s="57"/>
      <c r="AC1100" s="57"/>
      <c r="AD1100" s="57"/>
    </row>
    <row r="1101" spans="1:30" ht="13.5" thickBot="1" x14ac:dyDescent="0.25">
      <c r="A1101" s="80"/>
      <c r="B1101" s="242"/>
      <c r="C1101" s="168" t="s">
        <v>14336</v>
      </c>
      <c r="D1101" s="168" t="s">
        <v>15496</v>
      </c>
      <c r="E1101" s="168" t="s">
        <v>14336</v>
      </c>
      <c r="F1101" s="168" t="s">
        <v>15496</v>
      </c>
      <c r="G1101" s="168" t="s">
        <v>14336</v>
      </c>
      <c r="H1101" s="168" t="s">
        <v>15496</v>
      </c>
      <c r="I1101" s="168" t="s">
        <v>14336</v>
      </c>
      <c r="J1101" s="168" t="s">
        <v>15496</v>
      </c>
      <c r="K1101" s="168" t="s">
        <v>14336</v>
      </c>
      <c r="L1101" s="168" t="s">
        <v>15496</v>
      </c>
      <c r="M1101" s="57"/>
      <c r="N1101" s="57"/>
      <c r="O1101" s="57"/>
      <c r="P1101" s="57"/>
      <c r="Q1101" s="57"/>
      <c r="R1101" s="57"/>
      <c r="S1101" s="57"/>
      <c r="T1101" s="57"/>
      <c r="U1101" s="57"/>
      <c r="V1101" s="57"/>
      <c r="W1101" s="57"/>
      <c r="X1101" s="57"/>
      <c r="Y1101" s="57"/>
      <c r="Z1101" s="57"/>
      <c r="AA1101" s="57"/>
      <c r="AB1101" s="57"/>
      <c r="AC1101" s="57"/>
      <c r="AD1101" s="57"/>
    </row>
    <row r="1102" spans="1:30" ht="13.5" thickBot="1" x14ac:dyDescent="0.25">
      <c r="A1102" s="80"/>
      <c r="B1102" s="196" t="s">
        <v>13372</v>
      </c>
      <c r="C1102" s="213" t="s">
        <v>13832</v>
      </c>
      <c r="D1102" s="213" t="s">
        <v>13690</v>
      </c>
      <c r="E1102" s="213">
        <v>0</v>
      </c>
      <c r="F1102" s="213" t="s">
        <v>13607</v>
      </c>
      <c r="G1102" s="196" t="s">
        <v>12699</v>
      </c>
      <c r="H1102" s="196" t="s">
        <v>12699</v>
      </c>
      <c r="I1102" s="213" t="s">
        <v>13460</v>
      </c>
      <c r="J1102" s="213" t="s">
        <v>13768</v>
      </c>
      <c r="K1102" s="213" t="s">
        <v>13961</v>
      </c>
      <c r="L1102" s="213" t="s">
        <v>13827</v>
      </c>
      <c r="M1102" s="57"/>
      <c r="N1102" s="57"/>
      <c r="O1102" s="57"/>
      <c r="P1102" s="57"/>
      <c r="Q1102" s="57"/>
      <c r="R1102" s="57"/>
      <c r="S1102" s="57"/>
      <c r="T1102" s="57"/>
      <c r="U1102" s="57"/>
      <c r="V1102" s="57"/>
      <c r="W1102" s="57"/>
      <c r="X1102" s="57"/>
      <c r="Y1102" s="57"/>
      <c r="Z1102" s="57"/>
      <c r="AA1102" s="57"/>
      <c r="AB1102" s="57"/>
      <c r="AC1102" s="57"/>
      <c r="AD1102" s="57"/>
    </row>
    <row r="1103" spans="1:30" ht="13.5" thickBot="1" x14ac:dyDescent="0.25">
      <c r="A1103" s="80"/>
      <c r="B1103" s="196" t="s">
        <v>13378</v>
      </c>
      <c r="C1103" s="213" t="s">
        <v>13866</v>
      </c>
      <c r="D1103" s="213" t="s">
        <v>14478</v>
      </c>
      <c r="E1103" s="213">
        <v>0</v>
      </c>
      <c r="F1103" s="213" t="s">
        <v>13649</v>
      </c>
      <c r="G1103" s="213">
        <v>0</v>
      </c>
      <c r="H1103" s="213" t="s">
        <v>13900</v>
      </c>
      <c r="I1103" s="213" t="s">
        <v>14576</v>
      </c>
      <c r="J1103" s="213" t="s">
        <v>13835</v>
      </c>
      <c r="K1103" s="213" t="s">
        <v>13414</v>
      </c>
      <c r="L1103" s="213" t="s">
        <v>13658</v>
      </c>
      <c r="M1103" s="57"/>
      <c r="N1103" s="57"/>
      <c r="O1103" s="57"/>
      <c r="P1103" s="57"/>
      <c r="Q1103" s="57"/>
      <c r="R1103" s="57"/>
      <c r="S1103" s="57"/>
      <c r="T1103" s="57"/>
      <c r="U1103" s="57"/>
      <c r="V1103" s="57"/>
      <c r="W1103" s="57"/>
      <c r="X1103" s="57"/>
      <c r="Y1103" s="57"/>
      <c r="Z1103" s="57"/>
      <c r="AA1103" s="57"/>
      <c r="AB1103" s="57"/>
      <c r="AC1103" s="57"/>
      <c r="AD1103" s="57"/>
    </row>
    <row r="1104" spans="1:30" ht="13.5" thickBot="1" x14ac:dyDescent="0.25">
      <c r="A1104" s="80"/>
      <c r="B1104" s="196" t="s">
        <v>13384</v>
      </c>
      <c r="C1104" s="213" t="s">
        <v>13768</v>
      </c>
      <c r="D1104" s="213" t="s">
        <v>13543</v>
      </c>
      <c r="E1104" s="213" t="s">
        <v>15507</v>
      </c>
      <c r="F1104" s="213" t="s">
        <v>13457</v>
      </c>
      <c r="G1104" s="213">
        <v>0</v>
      </c>
      <c r="H1104" s="213">
        <v>0</v>
      </c>
      <c r="I1104" s="213" t="s">
        <v>14116</v>
      </c>
      <c r="J1104" s="213" t="s">
        <v>13611</v>
      </c>
      <c r="K1104" s="213" t="s">
        <v>15312</v>
      </c>
      <c r="L1104" s="213" t="s">
        <v>15312</v>
      </c>
      <c r="M1104" s="57"/>
      <c r="N1104" s="57"/>
      <c r="O1104" s="57"/>
      <c r="P1104" s="57"/>
      <c r="Q1104" s="57"/>
      <c r="R1104" s="57"/>
      <c r="S1104" s="57"/>
      <c r="T1104" s="57"/>
      <c r="U1104" s="57"/>
      <c r="V1104" s="57"/>
      <c r="W1104" s="57"/>
      <c r="X1104" s="57"/>
      <c r="Y1104" s="57"/>
      <c r="Z1104" s="57"/>
      <c r="AA1104" s="57"/>
      <c r="AB1104" s="57"/>
      <c r="AC1104" s="57"/>
      <c r="AD1104" s="57"/>
    </row>
    <row r="1105" spans="1:30" ht="13.5" thickBot="1" x14ac:dyDescent="0.25">
      <c r="A1105" s="80"/>
      <c r="B1105" s="196" t="s">
        <v>13391</v>
      </c>
      <c r="C1105" s="213" t="s">
        <v>15500</v>
      </c>
      <c r="D1105" s="213" t="s">
        <v>13832</v>
      </c>
      <c r="E1105" s="213">
        <v>0</v>
      </c>
      <c r="F1105" s="213" t="s">
        <v>14391</v>
      </c>
      <c r="G1105" s="196" t="s">
        <v>12699</v>
      </c>
      <c r="H1105" s="196" t="s">
        <v>12699</v>
      </c>
      <c r="I1105" s="213" t="s">
        <v>14929</v>
      </c>
      <c r="J1105" s="213" t="s">
        <v>13667</v>
      </c>
      <c r="K1105" s="213" t="s">
        <v>13768</v>
      </c>
      <c r="L1105" s="213" t="s">
        <v>13768</v>
      </c>
      <c r="M1105" s="57"/>
      <c r="N1105" s="57"/>
      <c r="O1105" s="57"/>
      <c r="P1105" s="57"/>
      <c r="Q1105" s="57"/>
      <c r="R1105" s="57"/>
      <c r="S1105" s="57"/>
      <c r="T1105" s="57"/>
      <c r="U1105" s="57"/>
      <c r="V1105" s="57"/>
      <c r="W1105" s="57"/>
      <c r="X1105" s="57"/>
      <c r="Y1105" s="57"/>
      <c r="Z1105" s="57"/>
      <c r="AA1105" s="57"/>
      <c r="AB1105" s="57"/>
      <c r="AC1105" s="57"/>
      <c r="AD1105" s="57"/>
    </row>
    <row r="1106" spans="1:30" ht="13.5" thickBot="1" x14ac:dyDescent="0.25">
      <c r="A1106" s="80"/>
      <c r="B1106" s="196" t="s">
        <v>13397</v>
      </c>
      <c r="C1106" s="213" t="s">
        <v>13686</v>
      </c>
      <c r="D1106" s="213" t="s">
        <v>13811</v>
      </c>
      <c r="E1106" s="196" t="s">
        <v>12699</v>
      </c>
      <c r="F1106" s="196" t="s">
        <v>12699</v>
      </c>
      <c r="G1106" s="213">
        <v>0</v>
      </c>
      <c r="H1106" s="213">
        <v>1</v>
      </c>
      <c r="I1106" s="213" t="s">
        <v>13823</v>
      </c>
      <c r="J1106" s="213" t="s">
        <v>13589</v>
      </c>
      <c r="K1106" s="213" t="s">
        <v>13497</v>
      </c>
      <c r="L1106" s="213" t="s">
        <v>14844</v>
      </c>
      <c r="M1106" s="57"/>
      <c r="N1106" s="57"/>
      <c r="O1106" s="57"/>
      <c r="P1106" s="57"/>
      <c r="Q1106" s="57"/>
      <c r="R1106" s="57"/>
      <c r="S1106" s="57"/>
      <c r="T1106" s="57"/>
      <c r="U1106" s="57"/>
      <c r="V1106" s="57"/>
      <c r="W1106" s="57"/>
      <c r="X1106" s="57"/>
      <c r="Y1106" s="57"/>
      <c r="Z1106" s="57"/>
      <c r="AA1106" s="57"/>
      <c r="AB1106" s="57"/>
      <c r="AC1106" s="57"/>
      <c r="AD1106" s="57"/>
    </row>
    <row r="1107" spans="1:30" ht="13.5" thickBot="1" x14ac:dyDescent="0.25">
      <c r="A1107" s="80"/>
      <c r="B1107" s="196" t="s">
        <v>13403</v>
      </c>
      <c r="C1107" s="213" t="s">
        <v>14779</v>
      </c>
      <c r="D1107" s="213" t="s">
        <v>15508</v>
      </c>
      <c r="E1107" s="213">
        <v>0</v>
      </c>
      <c r="F1107" s="213" t="s">
        <v>13457</v>
      </c>
      <c r="G1107" s="196" t="s">
        <v>12699</v>
      </c>
      <c r="H1107" s="196" t="s">
        <v>12699</v>
      </c>
      <c r="I1107" s="213" t="s">
        <v>13824</v>
      </c>
      <c r="J1107" s="213" t="s">
        <v>13604</v>
      </c>
      <c r="K1107" s="213" t="s">
        <v>13661</v>
      </c>
      <c r="L1107" s="213" t="s">
        <v>14360</v>
      </c>
      <c r="M1107" s="57"/>
      <c r="N1107" s="57"/>
      <c r="O1107" s="57"/>
      <c r="P1107" s="57"/>
      <c r="Q1107" s="57"/>
      <c r="R1107" s="57"/>
      <c r="S1107" s="57"/>
      <c r="T1107" s="57"/>
      <c r="U1107" s="57"/>
      <c r="V1107" s="57"/>
      <c r="W1107" s="57"/>
      <c r="X1107" s="57"/>
      <c r="Y1107" s="57"/>
      <c r="Z1107" s="57"/>
      <c r="AA1107" s="57"/>
      <c r="AB1107" s="57"/>
      <c r="AC1107" s="57"/>
      <c r="AD1107" s="57"/>
    </row>
    <row r="1108" spans="1:30" ht="13.5" thickBot="1" x14ac:dyDescent="0.25">
      <c r="A1108" s="80"/>
      <c r="B1108" s="196" t="s">
        <v>13408</v>
      </c>
      <c r="C1108" s="213" t="s">
        <v>15213</v>
      </c>
      <c r="D1108" s="213" t="s">
        <v>13587</v>
      </c>
      <c r="E1108" s="213">
        <v>0</v>
      </c>
      <c r="F1108" s="213">
        <v>0</v>
      </c>
      <c r="G1108" s="196" t="s">
        <v>12699</v>
      </c>
      <c r="H1108" s="196" t="s">
        <v>12699</v>
      </c>
      <c r="I1108" s="213" t="s">
        <v>13717</v>
      </c>
      <c r="J1108" s="213" t="s">
        <v>13392</v>
      </c>
      <c r="K1108" s="213" t="s">
        <v>13543</v>
      </c>
      <c r="L1108" s="213" t="s">
        <v>13543</v>
      </c>
      <c r="M1108" s="57"/>
      <c r="N1108" s="57"/>
      <c r="O1108" s="57"/>
      <c r="P1108" s="57"/>
      <c r="Q1108" s="57"/>
      <c r="R1108" s="57"/>
      <c r="S1108" s="57"/>
      <c r="T1108" s="57"/>
      <c r="U1108" s="57"/>
      <c r="V1108" s="57"/>
      <c r="W1108" s="57"/>
      <c r="X1108" s="57"/>
      <c r="Y1108" s="57"/>
      <c r="Z1108" s="57"/>
      <c r="AA1108" s="57"/>
      <c r="AB1108" s="57"/>
      <c r="AC1108" s="57"/>
      <c r="AD1108" s="57"/>
    </row>
    <row r="1109" spans="1:30" ht="13.5" thickBot="1" x14ac:dyDescent="0.25">
      <c r="A1109" s="80"/>
      <c r="B1109" s="196" t="s">
        <v>13413</v>
      </c>
      <c r="C1109" s="213" t="s">
        <v>13944</v>
      </c>
      <c r="D1109" s="213" t="s">
        <v>13509</v>
      </c>
      <c r="E1109" s="213">
        <v>0</v>
      </c>
      <c r="F1109" s="213" t="s">
        <v>14413</v>
      </c>
      <c r="G1109" s="213" t="s">
        <v>13832</v>
      </c>
      <c r="H1109" s="213">
        <v>1</v>
      </c>
      <c r="I1109" s="213" t="s">
        <v>13782</v>
      </c>
      <c r="J1109" s="213" t="s">
        <v>13856</v>
      </c>
      <c r="K1109" s="213" t="s">
        <v>13690</v>
      </c>
      <c r="L1109" s="213" t="s">
        <v>13825</v>
      </c>
      <c r="M1109" s="57"/>
      <c r="N1109" s="57"/>
      <c r="O1109" s="57"/>
      <c r="P1109" s="57"/>
      <c r="Q1109" s="57"/>
      <c r="R1109" s="57"/>
      <c r="S1109" s="57"/>
      <c r="T1109" s="57"/>
      <c r="U1109" s="57"/>
      <c r="V1109" s="57"/>
      <c r="W1109" s="57"/>
      <c r="X1109" s="57"/>
      <c r="Y1109" s="57"/>
      <c r="Z1109" s="57"/>
      <c r="AA1109" s="57"/>
      <c r="AB1109" s="57"/>
      <c r="AC1109" s="57"/>
      <c r="AD1109" s="57"/>
    </row>
    <row r="1110" spans="1:30" ht="13.5" thickBot="1" x14ac:dyDescent="0.25">
      <c r="A1110" s="80"/>
      <c r="B1110" s="196" t="s">
        <v>13419</v>
      </c>
      <c r="C1110" s="213" t="s">
        <v>13510</v>
      </c>
      <c r="D1110" s="213" t="s">
        <v>15327</v>
      </c>
      <c r="E1110" s="213" t="s">
        <v>13433</v>
      </c>
      <c r="F1110" s="213" t="s">
        <v>13690</v>
      </c>
      <c r="G1110" s="213">
        <v>0</v>
      </c>
      <c r="H1110" s="213" t="s">
        <v>14391</v>
      </c>
      <c r="I1110" s="213" t="s">
        <v>15509</v>
      </c>
      <c r="J1110" s="213" t="s">
        <v>14606</v>
      </c>
      <c r="K1110" s="213" t="s">
        <v>13593</v>
      </c>
      <c r="L1110" s="213" t="s">
        <v>14460</v>
      </c>
      <c r="M1110" s="57"/>
      <c r="N1110" s="57"/>
      <c r="O1110" s="57"/>
      <c r="P1110" s="57"/>
      <c r="Q1110" s="57"/>
      <c r="R1110" s="57"/>
      <c r="S1110" s="57"/>
      <c r="T1110" s="57"/>
      <c r="U1110" s="57"/>
      <c r="V1110" s="57"/>
      <c r="W1110" s="57"/>
      <c r="X1110" s="57"/>
      <c r="Y1110" s="57"/>
      <c r="Z1110" s="57"/>
      <c r="AA1110" s="57"/>
      <c r="AB1110" s="57"/>
      <c r="AC1110" s="57"/>
      <c r="AD1110" s="57"/>
    </row>
    <row r="1111" spans="1:30" ht="13.5" thickBot="1" x14ac:dyDescent="0.25">
      <c r="A1111" s="80"/>
      <c r="B1111" s="196" t="s">
        <v>13517</v>
      </c>
      <c r="C1111" s="213" t="s">
        <v>13684</v>
      </c>
      <c r="D1111" s="213" t="s">
        <v>15435</v>
      </c>
      <c r="E1111" s="213">
        <v>0</v>
      </c>
      <c r="F1111" s="213">
        <v>0</v>
      </c>
      <c r="G1111" s="213" t="s">
        <v>14391</v>
      </c>
      <c r="H1111" s="213" t="s">
        <v>14391</v>
      </c>
      <c r="I1111" s="213" t="s">
        <v>15346</v>
      </c>
      <c r="J1111" s="213" t="s">
        <v>15341</v>
      </c>
      <c r="K1111" s="213" t="s">
        <v>13594</v>
      </c>
      <c r="L1111" s="213" t="s">
        <v>13787</v>
      </c>
      <c r="M1111" s="57"/>
      <c r="N1111" s="57"/>
      <c r="O1111" s="57"/>
      <c r="P1111" s="57"/>
      <c r="Q1111" s="57"/>
      <c r="R1111" s="57"/>
      <c r="S1111" s="57"/>
      <c r="T1111" s="57"/>
      <c r="U1111" s="57"/>
      <c r="V1111" s="57"/>
      <c r="W1111" s="57"/>
      <c r="X1111" s="57"/>
      <c r="Y1111" s="57"/>
      <c r="Z1111" s="57"/>
      <c r="AA1111" s="57"/>
      <c r="AB1111" s="57"/>
      <c r="AC1111" s="57"/>
      <c r="AD1111" s="57"/>
    </row>
    <row r="1112" spans="1:30" ht="13.5" thickBot="1" x14ac:dyDescent="0.25">
      <c r="A1112" s="80"/>
      <c r="B1112" s="196" t="s">
        <v>14370</v>
      </c>
      <c r="C1112" s="213" t="s">
        <v>15510</v>
      </c>
      <c r="D1112" s="213" t="s">
        <v>13705</v>
      </c>
      <c r="E1112" s="213" t="s">
        <v>13638</v>
      </c>
      <c r="F1112" s="213" t="s">
        <v>15410</v>
      </c>
      <c r="G1112" s="213" t="s">
        <v>15511</v>
      </c>
      <c r="H1112" s="213" t="s">
        <v>13662</v>
      </c>
      <c r="I1112" s="213" t="s">
        <v>13479</v>
      </c>
      <c r="J1112" s="213" t="s">
        <v>13921</v>
      </c>
      <c r="K1112" s="213" t="s">
        <v>13754</v>
      </c>
      <c r="L1112" s="213" t="s">
        <v>13691</v>
      </c>
      <c r="M1112" s="57"/>
      <c r="N1112" s="57"/>
      <c r="O1112" s="57"/>
      <c r="P1112" s="57"/>
      <c r="Q1112" s="57"/>
      <c r="R1112" s="57"/>
      <c r="S1112" s="57"/>
      <c r="T1112" s="57"/>
      <c r="U1112" s="57"/>
      <c r="V1112" s="57"/>
      <c r="W1112" s="57"/>
      <c r="X1112" s="57"/>
      <c r="Y1112" s="57"/>
      <c r="Z1112" s="57"/>
      <c r="AA1112" s="57"/>
      <c r="AB1112" s="57"/>
      <c r="AC1112" s="57"/>
      <c r="AD1112" s="57"/>
    </row>
    <row r="1113" spans="1:30" ht="13.5" thickBot="1" x14ac:dyDescent="0.25">
      <c r="A1113" s="57"/>
      <c r="B1113" s="154" t="s">
        <v>15512</v>
      </c>
      <c r="C1113" s="186" t="s">
        <v>15513</v>
      </c>
      <c r="D1113" s="226">
        <v>16.5</v>
      </c>
      <c r="E1113" s="186" t="s">
        <v>15514</v>
      </c>
      <c r="F1113" s="186" t="s">
        <v>15515</v>
      </c>
      <c r="G1113" s="186" t="s">
        <v>15516</v>
      </c>
      <c r="H1113" s="57"/>
      <c r="I1113" s="57"/>
      <c r="J1113" s="57"/>
      <c r="K1113" s="57"/>
      <c r="L1113" s="57"/>
      <c r="M1113" s="57"/>
      <c r="N1113" s="57"/>
      <c r="O1113" s="57"/>
      <c r="P1113" s="57"/>
      <c r="Q1113" s="57"/>
      <c r="R1113" s="57"/>
      <c r="S1113" s="57"/>
      <c r="T1113" s="57"/>
      <c r="U1113" s="57"/>
      <c r="V1113" s="57"/>
      <c r="W1113" s="57"/>
      <c r="X1113" s="57"/>
      <c r="Y1113" s="57"/>
      <c r="Z1113" s="57"/>
      <c r="AA1113" s="57"/>
      <c r="AB1113" s="57"/>
      <c r="AC1113" s="57"/>
      <c r="AD1113" s="57"/>
    </row>
    <row r="1114" spans="1:30" ht="13.5" thickBot="1" x14ac:dyDescent="0.25">
      <c r="A1114" s="57"/>
      <c r="B1114" s="57"/>
      <c r="C1114" s="57"/>
      <c r="D1114" s="57"/>
      <c r="E1114" s="57"/>
      <c r="F1114" s="57"/>
      <c r="G1114" s="57"/>
      <c r="H1114" s="57"/>
      <c r="I1114" s="57"/>
      <c r="J1114" s="57"/>
      <c r="K1114" s="57"/>
      <c r="L1114" s="57"/>
      <c r="M1114" s="57"/>
      <c r="N1114" s="57"/>
      <c r="O1114" s="57"/>
      <c r="P1114" s="57"/>
      <c r="Q1114" s="57"/>
      <c r="R1114" s="57"/>
      <c r="S1114" s="57"/>
      <c r="T1114" s="57"/>
      <c r="U1114" s="57"/>
      <c r="V1114" s="57"/>
      <c r="W1114" s="57"/>
      <c r="X1114" s="57"/>
      <c r="Y1114" s="57"/>
      <c r="Z1114" s="57"/>
      <c r="AA1114" s="57"/>
      <c r="AB1114" s="57"/>
      <c r="AC1114" s="57"/>
      <c r="AD1114" s="57"/>
    </row>
    <row r="1115" spans="1:30" ht="13.5" thickBot="1" x14ac:dyDescent="0.25">
      <c r="A1115" s="57"/>
      <c r="B1115" s="57"/>
      <c r="C1115" s="57"/>
      <c r="D1115" s="57"/>
      <c r="E1115" s="57"/>
      <c r="F1115" s="57"/>
      <c r="G1115" s="57"/>
      <c r="H1115" s="57"/>
      <c r="I1115" s="57"/>
      <c r="J1115" s="57"/>
      <c r="K1115" s="57"/>
      <c r="L1115" s="57"/>
      <c r="M1115" s="57"/>
      <c r="N1115" s="57"/>
      <c r="O1115" s="57"/>
      <c r="P1115" s="57"/>
      <c r="Q1115" s="57"/>
      <c r="R1115" s="57"/>
      <c r="S1115" s="57"/>
      <c r="T1115" s="57"/>
      <c r="U1115" s="57"/>
      <c r="V1115" s="57"/>
      <c r="W1115" s="57"/>
      <c r="X1115" s="57"/>
      <c r="Y1115" s="57"/>
      <c r="Z1115" s="57"/>
      <c r="AA1115" s="57"/>
      <c r="AB1115" s="57"/>
      <c r="AC1115" s="57"/>
      <c r="AD1115" s="57"/>
    </row>
    <row r="1116" spans="1:30" ht="13.5" thickBot="1" x14ac:dyDescent="0.25">
      <c r="A1116" s="57"/>
      <c r="B1116" s="156" t="s">
        <v>15517</v>
      </c>
      <c r="C1116" s="88"/>
      <c r="D1116" s="88"/>
      <c r="E1116" s="88"/>
      <c r="F1116" s="88"/>
      <c r="G1116" s="88"/>
      <c r="H1116" s="57"/>
      <c r="I1116" s="57"/>
      <c r="J1116" s="57"/>
      <c r="K1116" s="57"/>
      <c r="L1116" s="57"/>
      <c r="M1116" s="57"/>
      <c r="N1116" s="57"/>
      <c r="O1116" s="57"/>
      <c r="P1116" s="57"/>
      <c r="Q1116" s="57"/>
      <c r="R1116" s="57"/>
      <c r="S1116" s="57"/>
      <c r="T1116" s="57"/>
      <c r="U1116" s="57"/>
      <c r="V1116" s="57"/>
      <c r="W1116" s="57"/>
      <c r="X1116" s="57"/>
      <c r="Y1116" s="57"/>
      <c r="Z1116" s="57"/>
      <c r="AA1116" s="57"/>
      <c r="AB1116" s="57"/>
      <c r="AC1116" s="57"/>
      <c r="AD1116" s="57"/>
    </row>
    <row r="1117" spans="1:30" ht="13.5" thickBot="1" x14ac:dyDescent="0.25">
      <c r="A1117" s="57"/>
      <c r="B1117" s="57"/>
      <c r="C1117" s="235" t="s">
        <v>15518</v>
      </c>
      <c r="D1117" s="95"/>
      <c r="E1117" s="95"/>
      <c r="F1117" s="178" t="s">
        <v>15519</v>
      </c>
      <c r="G1117" s="95"/>
      <c r="H1117" s="57"/>
      <c r="I1117" s="57"/>
      <c r="J1117" s="57"/>
      <c r="K1117" s="57"/>
      <c r="L1117" s="57"/>
      <c r="M1117" s="57"/>
      <c r="N1117" s="57"/>
      <c r="O1117" s="57"/>
      <c r="P1117" s="57"/>
      <c r="Q1117" s="57"/>
      <c r="R1117" s="57"/>
      <c r="S1117" s="57"/>
      <c r="T1117" s="57"/>
      <c r="U1117" s="57"/>
      <c r="V1117" s="57"/>
      <c r="W1117" s="57"/>
      <c r="X1117" s="57"/>
      <c r="Y1117" s="57"/>
      <c r="Z1117" s="57"/>
      <c r="AA1117" s="57"/>
      <c r="AB1117" s="57"/>
      <c r="AC1117" s="57"/>
      <c r="AD1117" s="57"/>
    </row>
    <row r="1118" spans="1:30" ht="26.25" thickBot="1" x14ac:dyDescent="0.25">
      <c r="A1118" s="57"/>
      <c r="B1118" s="57"/>
      <c r="C1118" s="236"/>
      <c r="D1118" s="178" t="s">
        <v>15496</v>
      </c>
      <c r="E1118" s="178" t="s">
        <v>15520</v>
      </c>
      <c r="F1118" s="178" t="s">
        <v>15521</v>
      </c>
      <c r="G1118" s="178" t="s">
        <v>15522</v>
      </c>
      <c r="H1118" s="57"/>
      <c r="I1118" s="57"/>
      <c r="J1118" s="57"/>
      <c r="K1118" s="57"/>
      <c r="L1118" s="57"/>
      <c r="M1118" s="57"/>
      <c r="N1118" s="57"/>
      <c r="O1118" s="57"/>
      <c r="P1118" s="57"/>
      <c r="Q1118" s="57"/>
      <c r="R1118" s="57"/>
      <c r="S1118" s="57"/>
      <c r="T1118" s="57"/>
      <c r="U1118" s="57"/>
      <c r="V1118" s="57"/>
      <c r="W1118" s="57"/>
      <c r="X1118" s="57"/>
      <c r="Y1118" s="57"/>
      <c r="Z1118" s="57"/>
      <c r="AA1118" s="57"/>
      <c r="AB1118" s="57"/>
      <c r="AC1118" s="57"/>
      <c r="AD1118" s="57"/>
    </row>
    <row r="1119" spans="1:30" ht="13.5" thickBot="1" x14ac:dyDescent="0.25">
      <c r="A1119" s="57"/>
      <c r="B1119" s="57"/>
      <c r="C1119" s="154" t="s">
        <v>14972</v>
      </c>
      <c r="D1119" s="186" t="s">
        <v>13705</v>
      </c>
      <c r="E1119" s="186" t="s">
        <v>14367</v>
      </c>
      <c r="F1119" s="186" t="s">
        <v>13803</v>
      </c>
      <c r="G1119" s="186" t="s">
        <v>15498</v>
      </c>
      <c r="H1119" s="57"/>
      <c r="I1119" s="57"/>
      <c r="J1119" s="57"/>
      <c r="K1119" s="57"/>
      <c r="L1119" s="57"/>
      <c r="M1119" s="57"/>
      <c r="N1119" s="57"/>
      <c r="O1119" s="57"/>
      <c r="P1119" s="57"/>
      <c r="Q1119" s="57"/>
      <c r="R1119" s="57"/>
      <c r="S1119" s="57"/>
      <c r="T1119" s="57"/>
      <c r="U1119" s="57"/>
      <c r="V1119" s="57"/>
      <c r="W1119" s="57"/>
      <c r="X1119" s="57"/>
      <c r="Y1119" s="57"/>
      <c r="Z1119" s="57"/>
      <c r="AA1119" s="57"/>
      <c r="AB1119" s="57"/>
      <c r="AC1119" s="57"/>
      <c r="AD1119" s="57"/>
    </row>
    <row r="1120" spans="1:30" ht="13.5" thickBot="1" x14ac:dyDescent="0.25">
      <c r="A1120" s="57"/>
      <c r="B1120" s="57"/>
      <c r="C1120" s="154" t="s">
        <v>14989</v>
      </c>
      <c r="D1120" s="186" t="s">
        <v>15410</v>
      </c>
      <c r="E1120" s="186" t="s">
        <v>14935</v>
      </c>
      <c r="F1120" s="186" t="s">
        <v>15373</v>
      </c>
      <c r="G1120" s="186" t="s">
        <v>15523</v>
      </c>
      <c r="H1120" s="57"/>
      <c r="I1120" s="57"/>
      <c r="J1120" s="57"/>
      <c r="K1120" s="57"/>
      <c r="L1120" s="57"/>
      <c r="M1120" s="57"/>
      <c r="N1120" s="57"/>
      <c r="O1120" s="57"/>
      <c r="P1120" s="57"/>
      <c r="Q1120" s="57"/>
      <c r="R1120" s="57"/>
      <c r="S1120" s="57"/>
      <c r="T1120" s="57"/>
      <c r="U1120" s="57"/>
      <c r="V1120" s="57"/>
      <c r="W1120" s="57"/>
      <c r="X1120" s="57"/>
      <c r="Y1120" s="57"/>
      <c r="Z1120" s="57"/>
      <c r="AA1120" s="57"/>
      <c r="AB1120" s="57"/>
      <c r="AC1120" s="57"/>
      <c r="AD1120" s="57"/>
    </row>
    <row r="1121" spans="1:30" ht="26.25" thickBot="1" x14ac:dyDescent="0.25">
      <c r="A1121" s="57"/>
      <c r="B1121" s="154" t="s">
        <v>15506</v>
      </c>
      <c r="C1121" s="154" t="s">
        <v>14981</v>
      </c>
      <c r="D1121" s="186" t="s">
        <v>13662</v>
      </c>
      <c r="E1121" s="186" t="s">
        <v>15524</v>
      </c>
      <c r="F1121" s="186" t="s">
        <v>15525</v>
      </c>
      <c r="G1121" s="186" t="s">
        <v>15526</v>
      </c>
      <c r="H1121" s="57"/>
      <c r="I1121" s="57"/>
      <c r="J1121" s="57"/>
      <c r="K1121" s="57"/>
      <c r="L1121" s="57"/>
      <c r="M1121" s="57"/>
      <c r="N1121" s="57"/>
      <c r="O1121" s="57"/>
      <c r="P1121" s="57"/>
      <c r="Q1121" s="57"/>
      <c r="R1121" s="57"/>
      <c r="S1121" s="57"/>
      <c r="T1121" s="57"/>
      <c r="U1121" s="57"/>
      <c r="V1121" s="57"/>
      <c r="W1121" s="57"/>
      <c r="X1121" s="57"/>
      <c r="Y1121" s="57"/>
      <c r="Z1121" s="57"/>
      <c r="AA1121" s="57"/>
      <c r="AB1121" s="57"/>
      <c r="AC1121" s="57"/>
      <c r="AD1121" s="57"/>
    </row>
    <row r="1122" spans="1:30" ht="13.5" thickBot="1" x14ac:dyDescent="0.25">
      <c r="A1122" s="57"/>
      <c r="B1122" s="57"/>
      <c r="C1122" s="154" t="s">
        <v>14954</v>
      </c>
      <c r="D1122" s="186" t="s">
        <v>13921</v>
      </c>
      <c r="E1122" s="186" t="s">
        <v>13826</v>
      </c>
      <c r="F1122" s="186" t="s">
        <v>13695</v>
      </c>
      <c r="G1122" s="186" t="s">
        <v>13785</v>
      </c>
      <c r="H1122" s="57"/>
      <c r="I1122" s="57"/>
      <c r="J1122" s="57"/>
      <c r="K1122" s="57"/>
      <c r="L1122" s="57"/>
      <c r="M1122" s="57"/>
      <c r="N1122" s="57"/>
      <c r="O1122" s="57"/>
      <c r="P1122" s="57"/>
      <c r="Q1122" s="57"/>
      <c r="R1122" s="57"/>
      <c r="S1122" s="57"/>
      <c r="T1122" s="57"/>
      <c r="U1122" s="57"/>
      <c r="V1122" s="57"/>
      <c r="W1122" s="57"/>
      <c r="X1122" s="57"/>
      <c r="Y1122" s="57"/>
      <c r="Z1122" s="57"/>
      <c r="AA1122" s="57"/>
      <c r="AB1122" s="57"/>
      <c r="AC1122" s="57"/>
      <c r="AD1122" s="57"/>
    </row>
    <row r="1123" spans="1:30" ht="26.25" thickBot="1" x14ac:dyDescent="0.25">
      <c r="A1123" s="57"/>
      <c r="B1123" s="57"/>
      <c r="C1123" s="154" t="s">
        <v>15006</v>
      </c>
      <c r="D1123" s="186" t="s">
        <v>13691</v>
      </c>
      <c r="E1123" s="186" t="s">
        <v>13745</v>
      </c>
      <c r="F1123" s="186" t="s">
        <v>14341</v>
      </c>
      <c r="G1123" s="186" t="s">
        <v>13868</v>
      </c>
      <c r="H1123" s="57"/>
      <c r="I1123" s="57"/>
      <c r="J1123" s="57"/>
      <c r="K1123" s="57"/>
      <c r="L1123" s="57"/>
      <c r="M1123" s="57"/>
      <c r="N1123" s="57"/>
      <c r="O1123" s="57"/>
      <c r="P1123" s="57"/>
      <c r="Q1123" s="57"/>
      <c r="R1123" s="57"/>
      <c r="S1123" s="57"/>
      <c r="T1123" s="57"/>
      <c r="U1123" s="57"/>
      <c r="V1123" s="57"/>
      <c r="W1123" s="57"/>
      <c r="X1123" s="57"/>
      <c r="Y1123" s="57"/>
      <c r="Z1123" s="57"/>
      <c r="AA1123" s="57"/>
      <c r="AB1123" s="57"/>
      <c r="AC1123" s="57"/>
      <c r="AD1123" s="57"/>
    </row>
    <row r="1124" spans="1:30" ht="13.5" thickBot="1" x14ac:dyDescent="0.25">
      <c r="A1124" s="57"/>
      <c r="B1124" s="57"/>
      <c r="C1124" s="57"/>
      <c r="D1124" s="57"/>
      <c r="E1124" s="57"/>
      <c r="F1124" s="57"/>
      <c r="G1124" s="57"/>
      <c r="H1124" s="57"/>
      <c r="I1124" s="57"/>
      <c r="J1124" s="57"/>
      <c r="K1124" s="57"/>
      <c r="L1124" s="57"/>
      <c r="M1124" s="57"/>
      <c r="N1124" s="57"/>
      <c r="O1124" s="57"/>
      <c r="P1124" s="57"/>
      <c r="Q1124" s="57"/>
      <c r="R1124" s="57"/>
      <c r="S1124" s="57"/>
      <c r="T1124" s="57"/>
      <c r="U1124" s="57"/>
      <c r="V1124" s="57"/>
      <c r="W1124" s="57"/>
      <c r="X1124" s="57"/>
      <c r="Y1124" s="57"/>
      <c r="Z1124" s="57"/>
      <c r="AA1124" s="57"/>
      <c r="AB1124" s="57"/>
      <c r="AC1124" s="57"/>
      <c r="AD1124" s="57"/>
    </row>
    <row r="1125" spans="1:30" ht="13.5" thickBot="1" x14ac:dyDescent="0.25">
      <c r="A1125" s="57"/>
      <c r="B1125" s="57"/>
      <c r="C1125" s="57"/>
      <c r="D1125" s="57"/>
      <c r="E1125" s="57"/>
      <c r="F1125" s="57"/>
      <c r="G1125" s="57"/>
      <c r="H1125" s="57"/>
      <c r="I1125" s="57"/>
      <c r="J1125" s="57"/>
      <c r="K1125" s="57"/>
      <c r="L1125" s="57"/>
      <c r="M1125" s="57"/>
      <c r="N1125" s="57"/>
      <c r="O1125" s="57"/>
      <c r="P1125" s="57"/>
      <c r="Q1125" s="57"/>
      <c r="R1125" s="57"/>
      <c r="S1125" s="57"/>
      <c r="T1125" s="57"/>
      <c r="U1125" s="57"/>
      <c r="V1125" s="57"/>
      <c r="W1125" s="57"/>
      <c r="X1125" s="57"/>
      <c r="Y1125" s="57"/>
      <c r="Z1125" s="57"/>
      <c r="AA1125" s="57"/>
      <c r="AB1125" s="57"/>
      <c r="AC1125" s="57"/>
      <c r="AD1125" s="57"/>
    </row>
    <row r="1126" spans="1:30" ht="13.5" thickBot="1" x14ac:dyDescent="0.25">
      <c r="A1126" s="57"/>
      <c r="B1126" s="176" t="s">
        <v>89</v>
      </c>
      <c r="C1126" s="57"/>
      <c r="D1126" s="57"/>
      <c r="E1126" s="57"/>
      <c r="F1126" s="57"/>
      <c r="G1126" s="57"/>
      <c r="H1126" s="57"/>
      <c r="I1126" s="57"/>
      <c r="J1126" s="57"/>
      <c r="K1126" s="57"/>
      <c r="L1126" s="57"/>
      <c r="M1126" s="57"/>
      <c r="N1126" s="57"/>
      <c r="O1126" s="57"/>
      <c r="P1126" s="57"/>
      <c r="Q1126" s="57"/>
      <c r="R1126" s="57"/>
      <c r="S1126" s="57"/>
      <c r="T1126" s="57"/>
      <c r="U1126" s="57"/>
      <c r="V1126" s="57"/>
      <c r="W1126" s="57"/>
      <c r="X1126" s="57"/>
      <c r="Y1126" s="57"/>
      <c r="Z1126" s="57"/>
      <c r="AA1126" s="57"/>
      <c r="AB1126" s="57"/>
      <c r="AC1126" s="57"/>
      <c r="AD1126" s="57"/>
    </row>
    <row r="1127" spans="1:30" ht="13.5" thickBot="1" x14ac:dyDescent="0.25">
      <c r="A1127" s="57"/>
      <c r="B1127" s="57"/>
      <c r="C1127" s="57"/>
      <c r="D1127" s="57"/>
      <c r="E1127" s="57"/>
      <c r="F1127" s="57"/>
      <c r="G1127" s="57"/>
      <c r="H1127" s="57"/>
      <c r="I1127" s="57"/>
      <c r="J1127" s="57"/>
      <c r="K1127" s="57"/>
      <c r="L1127" s="57"/>
      <c r="M1127" s="57"/>
      <c r="N1127" s="57"/>
      <c r="O1127" s="57"/>
      <c r="P1127" s="57"/>
      <c r="Q1127" s="57"/>
      <c r="R1127" s="57"/>
      <c r="S1127" s="57"/>
      <c r="T1127" s="57"/>
      <c r="U1127" s="57"/>
      <c r="V1127" s="57"/>
      <c r="W1127" s="57"/>
      <c r="X1127" s="57"/>
      <c r="Y1127" s="57"/>
      <c r="Z1127" s="57"/>
      <c r="AA1127" s="57"/>
      <c r="AB1127" s="57"/>
      <c r="AC1127" s="57"/>
      <c r="AD1127" s="57"/>
    </row>
    <row r="1128" spans="1:30" ht="13.5" thickBot="1" x14ac:dyDescent="0.25">
      <c r="A1128" s="57"/>
      <c r="B1128" s="156" t="s">
        <v>15527</v>
      </c>
      <c r="C1128" s="57"/>
      <c r="D1128" s="57"/>
      <c r="E1128" s="57"/>
      <c r="F1128" s="57"/>
      <c r="G1128" s="57"/>
      <c r="H1128" s="57"/>
      <c r="I1128" s="57"/>
      <c r="J1128" s="57"/>
      <c r="K1128" s="57"/>
      <c r="L1128" s="57"/>
      <c r="M1128" s="57"/>
      <c r="N1128" s="57"/>
      <c r="O1128" s="57"/>
      <c r="P1128" s="57"/>
      <c r="Q1128" s="57"/>
      <c r="R1128" s="57"/>
      <c r="S1128" s="57"/>
      <c r="T1128" s="57"/>
      <c r="U1128" s="57"/>
      <c r="V1128" s="57"/>
      <c r="W1128" s="57"/>
      <c r="X1128" s="57"/>
      <c r="Y1128" s="57"/>
      <c r="Z1128" s="57"/>
      <c r="AA1128" s="57"/>
      <c r="AB1128" s="57"/>
      <c r="AC1128" s="57"/>
      <c r="AD1128" s="57"/>
    </row>
    <row r="1129" spans="1:30" ht="13.5" thickBot="1" x14ac:dyDescent="0.25">
      <c r="A1129" s="57"/>
      <c r="B1129" s="154" t="s">
        <v>13368</v>
      </c>
      <c r="C1129" s="154" t="s">
        <v>13577</v>
      </c>
      <c r="D1129" s="154" t="s">
        <v>13579</v>
      </c>
      <c r="E1129" s="154" t="s">
        <v>14336</v>
      </c>
      <c r="F1129" s="154" t="s">
        <v>14337</v>
      </c>
      <c r="G1129" s="154" t="s">
        <v>13582</v>
      </c>
      <c r="H1129" s="57"/>
      <c r="I1129" s="57"/>
      <c r="J1129" s="57"/>
      <c r="K1129" s="57"/>
      <c r="L1129" s="57"/>
      <c r="M1129" s="57"/>
      <c r="N1129" s="57"/>
      <c r="O1129" s="57"/>
      <c r="P1129" s="57"/>
      <c r="Q1129" s="57"/>
      <c r="R1129" s="57"/>
      <c r="S1129" s="57"/>
      <c r="T1129" s="57"/>
      <c r="U1129" s="57"/>
      <c r="V1129" s="57"/>
      <c r="W1129" s="57"/>
      <c r="X1129" s="57"/>
      <c r="Y1129" s="57"/>
      <c r="Z1129" s="57"/>
      <c r="AA1129" s="57"/>
      <c r="AB1129" s="57"/>
      <c r="AC1129" s="57"/>
      <c r="AD1129" s="57"/>
    </row>
    <row r="1130" spans="1:30" ht="13.5" thickBot="1" x14ac:dyDescent="0.25">
      <c r="A1130" s="57"/>
      <c r="B1130" s="154" t="s">
        <v>13372</v>
      </c>
      <c r="C1130" s="186" t="s">
        <v>15528</v>
      </c>
      <c r="D1130" s="186" t="s">
        <v>15529</v>
      </c>
      <c r="E1130" s="186" t="s">
        <v>15530</v>
      </c>
      <c r="F1130" s="186" t="s">
        <v>15531</v>
      </c>
      <c r="G1130" s="186" t="s">
        <v>15532</v>
      </c>
      <c r="H1130" s="57"/>
      <c r="I1130" s="57"/>
      <c r="J1130" s="57"/>
      <c r="K1130" s="57"/>
      <c r="L1130" s="57"/>
      <c r="M1130" s="57"/>
      <c r="N1130" s="57"/>
      <c r="O1130" s="57"/>
      <c r="P1130" s="57"/>
      <c r="Q1130" s="57"/>
      <c r="R1130" s="57"/>
      <c r="S1130" s="57"/>
      <c r="T1130" s="57"/>
      <c r="U1130" s="57"/>
      <c r="V1130" s="57"/>
      <c r="W1130" s="57"/>
      <c r="X1130" s="57"/>
      <c r="Y1130" s="57"/>
      <c r="Z1130" s="57"/>
      <c r="AA1130" s="57"/>
      <c r="AB1130" s="57"/>
      <c r="AC1130" s="57"/>
      <c r="AD1130" s="57"/>
    </row>
    <row r="1131" spans="1:30" ht="13.5" thickBot="1" x14ac:dyDescent="0.25">
      <c r="A1131" s="57"/>
      <c r="B1131" s="154" t="s">
        <v>13413</v>
      </c>
      <c r="C1131" s="186" t="s">
        <v>15533</v>
      </c>
      <c r="D1131" s="186" t="s">
        <v>15534</v>
      </c>
      <c r="E1131" s="186" t="s">
        <v>15535</v>
      </c>
      <c r="F1131" s="186" t="s">
        <v>15536</v>
      </c>
      <c r="G1131" s="186" t="s">
        <v>15537</v>
      </c>
      <c r="H1131" s="57"/>
      <c r="I1131" s="57"/>
      <c r="J1131" s="57"/>
      <c r="K1131" s="57"/>
      <c r="L1131" s="57"/>
      <c r="M1131" s="57"/>
      <c r="N1131" s="57"/>
      <c r="O1131" s="57"/>
      <c r="P1131" s="57"/>
      <c r="Q1131" s="57"/>
      <c r="R1131" s="57"/>
      <c r="S1131" s="57"/>
      <c r="T1131" s="57"/>
      <c r="U1131" s="57"/>
      <c r="V1131" s="57"/>
      <c r="W1131" s="57"/>
      <c r="X1131" s="57"/>
      <c r="Y1131" s="57"/>
      <c r="Z1131" s="57"/>
      <c r="AA1131" s="57"/>
      <c r="AB1131" s="57"/>
      <c r="AC1131" s="57"/>
      <c r="AD1131" s="57"/>
    </row>
    <row r="1132" spans="1:30" ht="13.5" thickBot="1" x14ac:dyDescent="0.25">
      <c r="A1132" s="57"/>
      <c r="B1132" s="154" t="s">
        <v>13378</v>
      </c>
      <c r="C1132" s="186" t="s">
        <v>15538</v>
      </c>
      <c r="D1132" s="186" t="s">
        <v>15539</v>
      </c>
      <c r="E1132" s="186" t="s">
        <v>15540</v>
      </c>
      <c r="F1132" s="186" t="s">
        <v>15541</v>
      </c>
      <c r="G1132" s="186" t="s">
        <v>15542</v>
      </c>
      <c r="H1132" s="57"/>
      <c r="I1132" s="57"/>
      <c r="J1132" s="57"/>
      <c r="K1132" s="57"/>
      <c r="L1132" s="57"/>
      <c r="M1132" s="57"/>
      <c r="N1132" s="57"/>
      <c r="O1132" s="57"/>
      <c r="P1132" s="57"/>
      <c r="Q1132" s="57"/>
      <c r="R1132" s="57"/>
      <c r="S1132" s="57"/>
      <c r="T1132" s="57"/>
      <c r="U1132" s="57"/>
      <c r="V1132" s="57"/>
      <c r="W1132" s="57"/>
      <c r="X1132" s="57"/>
      <c r="Y1132" s="57"/>
      <c r="Z1132" s="57"/>
      <c r="AA1132" s="57"/>
      <c r="AB1132" s="57"/>
      <c r="AC1132" s="57"/>
      <c r="AD1132" s="57"/>
    </row>
    <row r="1133" spans="1:30" ht="13.5" thickBot="1" x14ac:dyDescent="0.25">
      <c r="A1133" s="57"/>
      <c r="B1133" s="154" t="s">
        <v>13384</v>
      </c>
      <c r="C1133" s="186" t="s">
        <v>15543</v>
      </c>
      <c r="D1133" s="186" t="s">
        <v>15544</v>
      </c>
      <c r="E1133" s="186" t="s">
        <v>15545</v>
      </c>
      <c r="F1133" s="186" t="s">
        <v>15546</v>
      </c>
      <c r="G1133" s="186" t="s">
        <v>15547</v>
      </c>
      <c r="H1133" s="57"/>
      <c r="I1133" s="57"/>
      <c r="J1133" s="57"/>
      <c r="K1133" s="57"/>
      <c r="L1133" s="57"/>
      <c r="M1133" s="57"/>
      <c r="N1133" s="57"/>
      <c r="O1133" s="57"/>
      <c r="P1133" s="57"/>
      <c r="Q1133" s="57"/>
      <c r="R1133" s="57"/>
      <c r="S1133" s="57"/>
      <c r="T1133" s="57"/>
      <c r="U1133" s="57"/>
      <c r="V1133" s="57"/>
      <c r="W1133" s="57"/>
      <c r="X1133" s="57"/>
      <c r="Y1133" s="57"/>
      <c r="Z1133" s="57"/>
      <c r="AA1133" s="57"/>
      <c r="AB1133" s="57"/>
      <c r="AC1133" s="57"/>
      <c r="AD1133" s="57"/>
    </row>
    <row r="1134" spans="1:30" ht="13.5" thickBot="1" x14ac:dyDescent="0.25">
      <c r="A1134" s="57"/>
      <c r="B1134" s="154" t="s">
        <v>13391</v>
      </c>
      <c r="C1134" s="186" t="s">
        <v>15548</v>
      </c>
      <c r="D1134" s="186" t="s">
        <v>15549</v>
      </c>
      <c r="E1134" s="186" t="s">
        <v>15550</v>
      </c>
      <c r="F1134" s="186" t="s">
        <v>15551</v>
      </c>
      <c r="G1134" s="186" t="s">
        <v>15552</v>
      </c>
      <c r="H1134" s="57"/>
      <c r="I1134" s="57"/>
      <c r="J1134" s="57"/>
      <c r="K1134" s="57"/>
      <c r="L1134" s="57"/>
      <c r="M1134" s="57"/>
      <c r="N1134" s="57"/>
      <c r="O1134" s="57"/>
      <c r="P1134" s="57"/>
      <c r="Q1134" s="57"/>
      <c r="R1134" s="57"/>
      <c r="S1134" s="57"/>
      <c r="T1134" s="57"/>
      <c r="U1134" s="57"/>
      <c r="V1134" s="57"/>
      <c r="W1134" s="57"/>
      <c r="X1134" s="57"/>
      <c r="Y1134" s="57"/>
      <c r="Z1134" s="57"/>
      <c r="AA1134" s="57"/>
      <c r="AB1134" s="57"/>
      <c r="AC1134" s="57"/>
      <c r="AD1134" s="57"/>
    </row>
    <row r="1135" spans="1:30" ht="13.5" thickBot="1" x14ac:dyDescent="0.25">
      <c r="A1135" s="57"/>
      <c r="B1135" s="154" t="s">
        <v>13397</v>
      </c>
      <c r="C1135" s="186" t="s">
        <v>15553</v>
      </c>
      <c r="D1135" s="186" t="s">
        <v>15554</v>
      </c>
      <c r="E1135" s="186" t="s">
        <v>15555</v>
      </c>
      <c r="F1135" s="186" t="s">
        <v>15556</v>
      </c>
      <c r="G1135" s="186" t="s">
        <v>15557</v>
      </c>
      <c r="H1135" s="57"/>
      <c r="I1135" s="57"/>
      <c r="J1135" s="57"/>
      <c r="K1135" s="57"/>
      <c r="L1135" s="57"/>
      <c r="M1135" s="57"/>
      <c r="N1135" s="57"/>
      <c r="O1135" s="57"/>
      <c r="P1135" s="57"/>
      <c r="Q1135" s="57"/>
      <c r="R1135" s="57"/>
      <c r="S1135" s="57"/>
      <c r="T1135" s="57"/>
      <c r="U1135" s="57"/>
      <c r="V1135" s="57"/>
      <c r="W1135" s="57"/>
      <c r="X1135" s="57"/>
      <c r="Y1135" s="57"/>
      <c r="Z1135" s="57"/>
      <c r="AA1135" s="57"/>
      <c r="AB1135" s="57"/>
      <c r="AC1135" s="57"/>
      <c r="AD1135" s="57"/>
    </row>
    <row r="1136" spans="1:30" ht="13.5" thickBot="1" x14ac:dyDescent="0.25">
      <c r="A1136" s="57"/>
      <c r="B1136" s="154" t="s">
        <v>13403</v>
      </c>
      <c r="C1136" s="186" t="s">
        <v>15558</v>
      </c>
      <c r="D1136" s="186" t="s">
        <v>15559</v>
      </c>
      <c r="E1136" s="186" t="s">
        <v>15560</v>
      </c>
      <c r="F1136" s="186" t="s">
        <v>15561</v>
      </c>
      <c r="G1136" s="186" t="s">
        <v>15562</v>
      </c>
      <c r="H1136" s="57"/>
      <c r="I1136" s="57"/>
      <c r="J1136" s="57"/>
      <c r="K1136" s="57"/>
      <c r="L1136" s="57"/>
      <c r="M1136" s="57"/>
      <c r="N1136" s="57"/>
      <c r="O1136" s="57"/>
      <c r="P1136" s="57"/>
      <c r="Q1136" s="57"/>
      <c r="R1136" s="57"/>
      <c r="S1136" s="57"/>
      <c r="T1136" s="57"/>
      <c r="U1136" s="57"/>
      <c r="V1136" s="57"/>
      <c r="W1136" s="57"/>
      <c r="X1136" s="57"/>
      <c r="Y1136" s="57"/>
      <c r="Z1136" s="57"/>
      <c r="AA1136" s="57"/>
      <c r="AB1136" s="57"/>
      <c r="AC1136" s="57"/>
      <c r="AD1136" s="57"/>
    </row>
    <row r="1137" spans="1:30" ht="13.5" thickBot="1" x14ac:dyDescent="0.25">
      <c r="A1137" s="57"/>
      <c r="B1137" s="154" t="s">
        <v>13408</v>
      </c>
      <c r="C1137" s="186" t="s">
        <v>15563</v>
      </c>
      <c r="D1137" s="186" t="s">
        <v>15564</v>
      </c>
      <c r="E1137" s="186" t="s">
        <v>15565</v>
      </c>
      <c r="F1137" s="186" t="s">
        <v>15566</v>
      </c>
      <c r="G1137" s="186" t="s">
        <v>15567</v>
      </c>
      <c r="H1137" s="57"/>
      <c r="I1137" s="57"/>
      <c r="J1137" s="57"/>
      <c r="K1137" s="57"/>
      <c r="L1137" s="57"/>
      <c r="M1137" s="57"/>
      <c r="N1137" s="57"/>
      <c r="O1137" s="57"/>
      <c r="P1137" s="57"/>
      <c r="Q1137" s="57"/>
      <c r="R1137" s="57"/>
      <c r="S1137" s="57"/>
      <c r="T1137" s="57"/>
      <c r="U1137" s="57"/>
      <c r="V1137" s="57"/>
      <c r="W1137" s="57"/>
      <c r="X1137" s="57"/>
      <c r="Y1137" s="57"/>
      <c r="Z1137" s="57"/>
      <c r="AA1137" s="57"/>
      <c r="AB1137" s="57"/>
      <c r="AC1137" s="57"/>
      <c r="AD1137" s="57"/>
    </row>
    <row r="1138" spans="1:30" ht="13.5" thickBot="1" x14ac:dyDescent="0.25">
      <c r="A1138" s="57"/>
      <c r="B1138" s="154" t="s">
        <v>13419</v>
      </c>
      <c r="C1138" s="186" t="s">
        <v>15568</v>
      </c>
      <c r="D1138" s="186" t="s">
        <v>15569</v>
      </c>
      <c r="E1138" s="186" t="s">
        <v>15569</v>
      </c>
      <c r="F1138" s="186" t="s">
        <v>15541</v>
      </c>
      <c r="G1138" s="186" t="s">
        <v>15570</v>
      </c>
      <c r="H1138" s="57"/>
      <c r="I1138" s="57"/>
      <c r="J1138" s="57"/>
      <c r="K1138" s="57"/>
      <c r="L1138" s="57"/>
      <c r="M1138" s="57"/>
      <c r="N1138" s="57"/>
      <c r="O1138" s="57"/>
      <c r="P1138" s="57"/>
      <c r="Q1138" s="57"/>
      <c r="R1138" s="57"/>
      <c r="S1138" s="57"/>
      <c r="T1138" s="57"/>
      <c r="U1138" s="57"/>
      <c r="V1138" s="57"/>
      <c r="W1138" s="57"/>
      <c r="X1138" s="57"/>
      <c r="Y1138" s="57"/>
      <c r="Z1138" s="57"/>
      <c r="AA1138" s="57"/>
      <c r="AB1138" s="57"/>
      <c r="AC1138" s="57"/>
      <c r="AD1138" s="57"/>
    </row>
    <row r="1139" spans="1:30" ht="13.5" thickBot="1" x14ac:dyDescent="0.25">
      <c r="A1139" s="57"/>
      <c r="B1139" s="154" t="s">
        <v>13517</v>
      </c>
      <c r="C1139" s="186" t="s">
        <v>15571</v>
      </c>
      <c r="D1139" s="186" t="s">
        <v>15572</v>
      </c>
      <c r="E1139" s="186" t="s">
        <v>15573</v>
      </c>
      <c r="F1139" s="186" t="s">
        <v>15574</v>
      </c>
      <c r="G1139" s="186" t="s">
        <v>15575</v>
      </c>
      <c r="H1139" s="57"/>
      <c r="I1139" s="57"/>
      <c r="J1139" s="57"/>
      <c r="K1139" s="57"/>
      <c r="L1139" s="57"/>
      <c r="M1139" s="57"/>
      <c r="N1139" s="57"/>
      <c r="O1139" s="57"/>
      <c r="P1139" s="57"/>
      <c r="Q1139" s="57"/>
      <c r="R1139" s="57"/>
      <c r="S1139" s="57"/>
      <c r="T1139" s="57"/>
      <c r="U1139" s="57"/>
      <c r="V1139" s="57"/>
      <c r="W1139" s="57"/>
      <c r="X1139" s="57"/>
      <c r="Y1139" s="57"/>
      <c r="Z1139" s="57"/>
      <c r="AA1139" s="57"/>
      <c r="AB1139" s="57"/>
      <c r="AC1139" s="57"/>
      <c r="AD1139" s="57"/>
    </row>
    <row r="1140" spans="1:30" ht="13.5" thickBot="1" x14ac:dyDescent="0.25">
      <c r="A1140" s="57"/>
      <c r="B1140" s="154" t="s">
        <v>13432</v>
      </c>
      <c r="C1140" s="186" t="s">
        <v>15576</v>
      </c>
      <c r="D1140" s="186" t="s">
        <v>15577</v>
      </c>
      <c r="E1140" s="186" t="s">
        <v>15578</v>
      </c>
      <c r="F1140" s="186" t="s">
        <v>15579</v>
      </c>
      <c r="G1140" s="186" t="s">
        <v>15580</v>
      </c>
      <c r="H1140" s="57"/>
      <c r="I1140" s="57"/>
      <c r="J1140" s="57"/>
      <c r="K1140" s="57"/>
      <c r="L1140" s="57"/>
      <c r="M1140" s="57"/>
      <c r="N1140" s="57"/>
      <c r="O1140" s="57"/>
      <c r="P1140" s="57"/>
      <c r="Q1140" s="57"/>
      <c r="R1140" s="57"/>
      <c r="S1140" s="57"/>
      <c r="T1140" s="57"/>
      <c r="U1140" s="57"/>
      <c r="V1140" s="57"/>
      <c r="W1140" s="57"/>
      <c r="X1140" s="57"/>
      <c r="Y1140" s="57"/>
      <c r="Z1140" s="57"/>
      <c r="AA1140" s="57"/>
      <c r="AB1140" s="57"/>
      <c r="AC1140" s="57"/>
      <c r="AD1140" s="57"/>
    </row>
    <row r="1141" spans="1:30" ht="13.5" thickBot="1" x14ac:dyDescent="0.25">
      <c r="A1141" s="57"/>
      <c r="B1141" s="57"/>
      <c r="C1141" s="57"/>
      <c r="D1141" s="57"/>
      <c r="E1141" s="57"/>
      <c r="F1141" s="57"/>
      <c r="G1141" s="57"/>
      <c r="H1141" s="57"/>
      <c r="I1141" s="57"/>
      <c r="J1141" s="57"/>
      <c r="K1141" s="57"/>
      <c r="L1141" s="57"/>
      <c r="M1141" s="57"/>
      <c r="N1141" s="57"/>
      <c r="O1141" s="57"/>
      <c r="P1141" s="57"/>
      <c r="Q1141" s="57"/>
      <c r="R1141" s="57"/>
      <c r="S1141" s="57"/>
      <c r="T1141" s="57"/>
      <c r="U1141" s="57"/>
      <c r="V1141" s="57"/>
      <c r="W1141" s="57"/>
      <c r="X1141" s="57"/>
      <c r="Y1141" s="57"/>
      <c r="Z1141" s="57"/>
      <c r="AA1141" s="57"/>
      <c r="AB1141" s="57"/>
      <c r="AC1141" s="57"/>
      <c r="AD1141" s="57"/>
    </row>
    <row r="1142" spans="1:30" ht="13.5" thickBot="1" x14ac:dyDescent="0.25">
      <c r="A1142" s="57"/>
      <c r="B1142" s="57"/>
      <c r="C1142" s="57"/>
      <c r="D1142" s="57"/>
      <c r="E1142" s="57"/>
      <c r="F1142" s="57"/>
      <c r="G1142" s="57"/>
      <c r="H1142" s="57"/>
      <c r="I1142" s="57"/>
      <c r="J1142" s="57"/>
      <c r="K1142" s="57"/>
      <c r="L1142" s="57"/>
      <c r="M1142" s="57"/>
      <c r="N1142" s="57"/>
      <c r="O1142" s="57"/>
      <c r="P1142" s="57"/>
      <c r="Q1142" s="57"/>
      <c r="R1142" s="57"/>
      <c r="S1142" s="57"/>
      <c r="T1142" s="57"/>
      <c r="U1142" s="57"/>
      <c r="V1142" s="57"/>
      <c r="W1142" s="57"/>
      <c r="X1142" s="57"/>
      <c r="Y1142" s="57"/>
      <c r="Z1142" s="57"/>
      <c r="AA1142" s="57"/>
      <c r="AB1142" s="57"/>
      <c r="AC1142" s="57"/>
      <c r="AD1142" s="57"/>
    </row>
    <row r="1143" spans="1:30" ht="13.5" thickBot="1" x14ac:dyDescent="0.25">
      <c r="A1143" s="57"/>
      <c r="B1143" s="156" t="s">
        <v>15581</v>
      </c>
      <c r="C1143" s="57"/>
      <c r="D1143" s="57"/>
      <c r="E1143" s="57"/>
      <c r="F1143" s="57"/>
      <c r="G1143" s="57"/>
      <c r="H1143" s="57"/>
      <c r="I1143" s="57"/>
      <c r="J1143" s="57"/>
      <c r="K1143" s="57"/>
      <c r="L1143" s="57"/>
      <c r="M1143" s="57"/>
      <c r="N1143" s="57"/>
      <c r="O1143" s="57"/>
      <c r="P1143" s="57"/>
      <c r="Q1143" s="57"/>
      <c r="R1143" s="57"/>
      <c r="S1143" s="57"/>
      <c r="T1143" s="57"/>
      <c r="U1143" s="57"/>
      <c r="V1143" s="57"/>
      <c r="W1143" s="57"/>
      <c r="X1143" s="57"/>
      <c r="Y1143" s="57"/>
      <c r="Z1143" s="57"/>
      <c r="AA1143" s="57"/>
      <c r="AB1143" s="57"/>
      <c r="AC1143" s="57"/>
      <c r="AD1143" s="57"/>
    </row>
    <row r="1144" spans="1:30" ht="13.5" thickBot="1" x14ac:dyDescent="0.25">
      <c r="A1144" s="57"/>
      <c r="B1144" s="154" t="s">
        <v>13368</v>
      </c>
      <c r="C1144" s="154" t="s">
        <v>13577</v>
      </c>
      <c r="D1144" s="154" t="s">
        <v>13579</v>
      </c>
      <c r="E1144" s="154" t="s">
        <v>14336</v>
      </c>
      <c r="F1144" s="154" t="s">
        <v>14337</v>
      </c>
      <c r="G1144" s="154" t="s">
        <v>13582</v>
      </c>
      <c r="H1144" s="57"/>
      <c r="I1144" s="57"/>
      <c r="J1144" s="57"/>
      <c r="K1144" s="57"/>
      <c r="L1144" s="57"/>
      <c r="M1144" s="57"/>
      <c r="N1144" s="57"/>
      <c r="O1144" s="57"/>
      <c r="P1144" s="57"/>
      <c r="Q1144" s="57"/>
      <c r="R1144" s="57"/>
      <c r="S1144" s="57"/>
      <c r="T1144" s="57"/>
      <c r="U1144" s="57"/>
      <c r="V1144" s="57"/>
      <c r="W1144" s="57"/>
      <c r="X1144" s="57"/>
      <c r="Y1144" s="57"/>
      <c r="Z1144" s="57"/>
      <c r="AA1144" s="57"/>
      <c r="AB1144" s="57"/>
      <c r="AC1144" s="57"/>
      <c r="AD1144" s="57"/>
    </row>
    <row r="1145" spans="1:30" ht="13.5" thickBot="1" x14ac:dyDescent="0.25">
      <c r="A1145" s="57"/>
      <c r="B1145" s="154" t="s">
        <v>13372</v>
      </c>
      <c r="C1145" s="186" t="s">
        <v>15582</v>
      </c>
      <c r="D1145" s="186" t="s">
        <v>15583</v>
      </c>
      <c r="E1145" s="186" t="s">
        <v>15584</v>
      </c>
      <c r="F1145" s="186" t="s">
        <v>15585</v>
      </c>
      <c r="G1145" s="186" t="s">
        <v>15586</v>
      </c>
      <c r="H1145" s="57"/>
      <c r="I1145" s="57"/>
      <c r="J1145" s="57"/>
      <c r="K1145" s="57"/>
      <c r="L1145" s="57"/>
      <c r="M1145" s="57"/>
      <c r="N1145" s="57"/>
      <c r="O1145" s="57"/>
      <c r="P1145" s="57"/>
      <c r="Q1145" s="57"/>
      <c r="R1145" s="57"/>
      <c r="S1145" s="57"/>
      <c r="T1145" s="57"/>
      <c r="U1145" s="57"/>
      <c r="V1145" s="57"/>
      <c r="W1145" s="57"/>
      <c r="X1145" s="57"/>
      <c r="Y1145" s="57"/>
      <c r="Z1145" s="57"/>
      <c r="AA1145" s="57"/>
      <c r="AB1145" s="57"/>
      <c r="AC1145" s="57"/>
      <c r="AD1145" s="57"/>
    </row>
    <row r="1146" spans="1:30" ht="13.5" thickBot="1" x14ac:dyDescent="0.25">
      <c r="A1146" s="57"/>
      <c r="B1146" s="154" t="s">
        <v>13413</v>
      </c>
      <c r="C1146" s="186" t="s">
        <v>15587</v>
      </c>
      <c r="D1146" s="186" t="s">
        <v>15588</v>
      </c>
      <c r="E1146" s="186" t="s">
        <v>15589</v>
      </c>
      <c r="F1146" s="186" t="s">
        <v>15590</v>
      </c>
      <c r="G1146" s="186" t="s">
        <v>15591</v>
      </c>
      <c r="H1146" s="57"/>
      <c r="I1146" s="57"/>
      <c r="J1146" s="57"/>
      <c r="K1146" s="57"/>
      <c r="L1146" s="57"/>
      <c r="M1146" s="57"/>
      <c r="N1146" s="57"/>
      <c r="O1146" s="57"/>
      <c r="P1146" s="57"/>
      <c r="Q1146" s="57"/>
      <c r="R1146" s="57"/>
      <c r="S1146" s="57"/>
      <c r="T1146" s="57"/>
      <c r="U1146" s="57"/>
      <c r="V1146" s="57"/>
      <c r="W1146" s="57"/>
      <c r="X1146" s="57"/>
      <c r="Y1146" s="57"/>
      <c r="Z1146" s="57"/>
      <c r="AA1146" s="57"/>
      <c r="AB1146" s="57"/>
      <c r="AC1146" s="57"/>
      <c r="AD1146" s="57"/>
    </row>
    <row r="1147" spans="1:30" ht="13.5" thickBot="1" x14ac:dyDescent="0.25">
      <c r="A1147" s="57"/>
      <c r="B1147" s="154" t="s">
        <v>13378</v>
      </c>
      <c r="C1147" s="186" t="s">
        <v>15592</v>
      </c>
      <c r="D1147" s="186" t="s">
        <v>15593</v>
      </c>
      <c r="E1147" s="186" t="s">
        <v>15594</v>
      </c>
      <c r="F1147" s="186" t="s">
        <v>15595</v>
      </c>
      <c r="G1147" s="186" t="s">
        <v>15596</v>
      </c>
      <c r="H1147" s="57"/>
      <c r="I1147" s="57"/>
      <c r="J1147" s="57"/>
      <c r="K1147" s="57"/>
      <c r="L1147" s="57"/>
      <c r="M1147" s="57"/>
      <c r="N1147" s="57"/>
      <c r="O1147" s="57"/>
      <c r="P1147" s="57"/>
      <c r="Q1147" s="57"/>
      <c r="R1147" s="57"/>
      <c r="S1147" s="57"/>
      <c r="T1147" s="57"/>
      <c r="U1147" s="57"/>
      <c r="V1147" s="57"/>
      <c r="W1147" s="57"/>
      <c r="X1147" s="57"/>
      <c r="Y1147" s="57"/>
      <c r="Z1147" s="57"/>
      <c r="AA1147" s="57"/>
      <c r="AB1147" s="57"/>
      <c r="AC1147" s="57"/>
      <c r="AD1147" s="57"/>
    </row>
    <row r="1148" spans="1:30" ht="13.5" thickBot="1" x14ac:dyDescent="0.25">
      <c r="A1148" s="57"/>
      <c r="B1148" s="154" t="s">
        <v>13384</v>
      </c>
      <c r="C1148" s="186" t="s">
        <v>15597</v>
      </c>
      <c r="D1148" s="186" t="s">
        <v>15598</v>
      </c>
      <c r="E1148" s="186" t="s">
        <v>15599</v>
      </c>
      <c r="F1148" s="186" t="s">
        <v>15600</v>
      </c>
      <c r="G1148" s="186" t="s">
        <v>15601</v>
      </c>
      <c r="H1148" s="57"/>
      <c r="I1148" s="57"/>
      <c r="J1148" s="57"/>
      <c r="K1148" s="57"/>
      <c r="L1148" s="57"/>
      <c r="M1148" s="57"/>
      <c r="N1148" s="57"/>
      <c r="O1148" s="57"/>
      <c r="P1148" s="57"/>
      <c r="Q1148" s="57"/>
      <c r="R1148" s="57"/>
      <c r="S1148" s="57"/>
      <c r="T1148" s="57"/>
      <c r="U1148" s="57"/>
      <c r="V1148" s="57"/>
      <c r="W1148" s="57"/>
      <c r="X1148" s="57"/>
      <c r="Y1148" s="57"/>
      <c r="Z1148" s="57"/>
      <c r="AA1148" s="57"/>
      <c r="AB1148" s="57"/>
      <c r="AC1148" s="57"/>
      <c r="AD1148" s="57"/>
    </row>
    <row r="1149" spans="1:30" ht="13.5" thickBot="1" x14ac:dyDescent="0.25">
      <c r="A1149" s="57"/>
      <c r="B1149" s="154" t="s">
        <v>13391</v>
      </c>
      <c r="C1149" s="186" t="s">
        <v>15602</v>
      </c>
      <c r="D1149" s="186" t="s">
        <v>15603</v>
      </c>
      <c r="E1149" s="186" t="s">
        <v>15604</v>
      </c>
      <c r="F1149" s="186" t="s">
        <v>15605</v>
      </c>
      <c r="G1149" s="186" t="s">
        <v>15606</v>
      </c>
      <c r="H1149" s="57"/>
      <c r="I1149" s="57"/>
      <c r="J1149" s="57"/>
      <c r="K1149" s="57"/>
      <c r="L1149" s="57"/>
      <c r="M1149" s="57"/>
      <c r="N1149" s="57"/>
      <c r="O1149" s="57"/>
      <c r="P1149" s="57"/>
      <c r="Q1149" s="57"/>
      <c r="R1149" s="57"/>
      <c r="S1149" s="57"/>
      <c r="T1149" s="57"/>
      <c r="U1149" s="57"/>
      <c r="V1149" s="57"/>
      <c r="W1149" s="57"/>
      <c r="X1149" s="57"/>
      <c r="Y1149" s="57"/>
      <c r="Z1149" s="57"/>
      <c r="AA1149" s="57"/>
      <c r="AB1149" s="57"/>
      <c r="AC1149" s="57"/>
      <c r="AD1149" s="57"/>
    </row>
    <row r="1150" spans="1:30" ht="13.5" thickBot="1" x14ac:dyDescent="0.25">
      <c r="A1150" s="57"/>
      <c r="B1150" s="154" t="s">
        <v>13397</v>
      </c>
      <c r="C1150" s="186" t="s">
        <v>15607</v>
      </c>
      <c r="D1150" s="186" t="s">
        <v>15608</v>
      </c>
      <c r="E1150" s="186" t="s">
        <v>15609</v>
      </c>
      <c r="F1150" s="186" t="s">
        <v>15610</v>
      </c>
      <c r="G1150" s="186" t="s">
        <v>15611</v>
      </c>
      <c r="H1150" s="57"/>
      <c r="I1150" s="57"/>
      <c r="J1150" s="57"/>
      <c r="K1150" s="57"/>
      <c r="L1150" s="57"/>
      <c r="M1150" s="57"/>
      <c r="N1150" s="57"/>
      <c r="O1150" s="57"/>
      <c r="P1150" s="57"/>
      <c r="Q1150" s="57"/>
      <c r="R1150" s="57"/>
      <c r="S1150" s="57"/>
      <c r="T1150" s="57"/>
      <c r="U1150" s="57"/>
      <c r="V1150" s="57"/>
      <c r="W1150" s="57"/>
      <c r="X1150" s="57"/>
      <c r="Y1150" s="57"/>
      <c r="Z1150" s="57"/>
      <c r="AA1150" s="57"/>
      <c r="AB1150" s="57"/>
      <c r="AC1150" s="57"/>
      <c r="AD1150" s="57"/>
    </row>
    <row r="1151" spans="1:30" ht="13.5" thickBot="1" x14ac:dyDescent="0.25">
      <c r="A1151" s="57"/>
      <c r="B1151" s="154" t="s">
        <v>13403</v>
      </c>
      <c r="C1151" s="186" t="s">
        <v>15612</v>
      </c>
      <c r="D1151" s="186" t="s">
        <v>15613</v>
      </c>
      <c r="E1151" s="186" t="s">
        <v>15614</v>
      </c>
      <c r="F1151" s="186" t="s">
        <v>15615</v>
      </c>
      <c r="G1151" s="186" t="s">
        <v>15616</v>
      </c>
      <c r="H1151" s="57"/>
      <c r="I1151" s="57"/>
      <c r="J1151" s="57"/>
      <c r="K1151" s="57"/>
      <c r="L1151" s="57"/>
      <c r="M1151" s="57"/>
      <c r="N1151" s="57"/>
      <c r="O1151" s="57"/>
      <c r="P1151" s="57"/>
      <c r="Q1151" s="57"/>
      <c r="R1151" s="57"/>
      <c r="S1151" s="57"/>
      <c r="T1151" s="57"/>
      <c r="U1151" s="57"/>
      <c r="V1151" s="57"/>
      <c r="W1151" s="57"/>
      <c r="X1151" s="57"/>
      <c r="Y1151" s="57"/>
      <c r="Z1151" s="57"/>
      <c r="AA1151" s="57"/>
      <c r="AB1151" s="57"/>
      <c r="AC1151" s="57"/>
      <c r="AD1151" s="57"/>
    </row>
    <row r="1152" spans="1:30" ht="13.5" thickBot="1" x14ac:dyDescent="0.25">
      <c r="A1152" s="57"/>
      <c r="B1152" s="154" t="s">
        <v>13408</v>
      </c>
      <c r="C1152" s="186" t="s">
        <v>15617</v>
      </c>
      <c r="D1152" s="186" t="s">
        <v>15618</v>
      </c>
      <c r="E1152" s="186" t="s">
        <v>15619</v>
      </c>
      <c r="F1152" s="186" t="s">
        <v>15620</v>
      </c>
      <c r="G1152" s="186" t="s">
        <v>15621</v>
      </c>
      <c r="H1152" s="57"/>
      <c r="I1152" s="57"/>
      <c r="J1152" s="57"/>
      <c r="K1152" s="57"/>
      <c r="L1152" s="57"/>
      <c r="M1152" s="57"/>
      <c r="N1152" s="57"/>
      <c r="O1152" s="57"/>
      <c r="P1152" s="57"/>
      <c r="Q1152" s="57"/>
      <c r="R1152" s="57"/>
      <c r="S1152" s="57"/>
      <c r="T1152" s="57"/>
      <c r="U1152" s="57"/>
      <c r="V1152" s="57"/>
      <c r="W1152" s="57"/>
      <c r="X1152" s="57"/>
      <c r="Y1152" s="57"/>
      <c r="Z1152" s="57"/>
      <c r="AA1152" s="57"/>
      <c r="AB1152" s="57"/>
      <c r="AC1152" s="57"/>
      <c r="AD1152" s="57"/>
    </row>
    <row r="1153" spans="1:30" ht="13.5" thickBot="1" x14ac:dyDescent="0.25">
      <c r="A1153" s="57"/>
      <c r="B1153" s="154" t="s">
        <v>13419</v>
      </c>
      <c r="C1153" s="186" t="s">
        <v>15622</v>
      </c>
      <c r="D1153" s="186" t="s">
        <v>15623</v>
      </c>
      <c r="E1153" s="186" t="s">
        <v>15624</v>
      </c>
      <c r="F1153" s="186" t="s">
        <v>15625</v>
      </c>
      <c r="G1153" s="186" t="s">
        <v>15626</v>
      </c>
      <c r="H1153" s="57"/>
      <c r="I1153" s="57"/>
      <c r="J1153" s="57"/>
      <c r="K1153" s="57"/>
      <c r="L1153" s="57"/>
      <c r="M1153" s="57"/>
      <c r="N1153" s="57"/>
      <c r="O1153" s="57"/>
      <c r="P1153" s="57"/>
      <c r="Q1153" s="57"/>
      <c r="R1153" s="57"/>
      <c r="S1153" s="57"/>
      <c r="T1153" s="57"/>
      <c r="U1153" s="57"/>
      <c r="V1153" s="57"/>
      <c r="W1153" s="57"/>
      <c r="X1153" s="57"/>
      <c r="Y1153" s="57"/>
      <c r="Z1153" s="57"/>
      <c r="AA1153" s="57"/>
      <c r="AB1153" s="57"/>
      <c r="AC1153" s="57"/>
      <c r="AD1153" s="57"/>
    </row>
    <row r="1154" spans="1:30" ht="13.5" thickBot="1" x14ac:dyDescent="0.25">
      <c r="A1154" s="57"/>
      <c r="B1154" s="154" t="s">
        <v>13517</v>
      </c>
      <c r="C1154" s="186" t="s">
        <v>15627</v>
      </c>
      <c r="D1154" s="186" t="s">
        <v>15628</v>
      </c>
      <c r="E1154" s="186" t="s">
        <v>15629</v>
      </c>
      <c r="F1154" s="186" t="s">
        <v>15630</v>
      </c>
      <c r="G1154" s="186" t="s">
        <v>15631</v>
      </c>
      <c r="H1154" s="57"/>
      <c r="I1154" s="57"/>
      <c r="J1154" s="57"/>
      <c r="K1154" s="57"/>
      <c r="L1154" s="57"/>
      <c r="M1154" s="57"/>
      <c r="N1154" s="57"/>
      <c r="O1154" s="57"/>
      <c r="P1154" s="57"/>
      <c r="Q1154" s="57"/>
      <c r="R1154" s="57"/>
      <c r="S1154" s="57"/>
      <c r="T1154" s="57"/>
      <c r="U1154" s="57"/>
      <c r="V1154" s="57"/>
      <c r="W1154" s="57"/>
      <c r="X1154" s="57"/>
      <c r="Y1154" s="57"/>
      <c r="Z1154" s="57"/>
      <c r="AA1154" s="57"/>
      <c r="AB1154" s="57"/>
      <c r="AC1154" s="57"/>
      <c r="AD1154" s="57"/>
    </row>
    <row r="1155" spans="1:30" ht="13.5" thickBot="1" x14ac:dyDescent="0.25">
      <c r="A1155" s="57"/>
      <c r="B1155" s="154" t="s">
        <v>13432</v>
      </c>
      <c r="C1155" s="186" t="s">
        <v>15632</v>
      </c>
      <c r="D1155" s="186" t="s">
        <v>15633</v>
      </c>
      <c r="E1155" s="186" t="s">
        <v>15634</v>
      </c>
      <c r="F1155" s="186" t="s">
        <v>15635</v>
      </c>
      <c r="G1155" s="186" t="s">
        <v>15636</v>
      </c>
      <c r="H1155" s="57"/>
      <c r="I1155" s="57"/>
      <c r="J1155" s="57"/>
      <c r="K1155" s="57"/>
      <c r="L1155" s="57"/>
      <c r="M1155" s="57"/>
      <c r="N1155" s="57"/>
      <c r="O1155" s="57"/>
      <c r="P1155" s="57"/>
      <c r="Q1155" s="57"/>
      <c r="R1155" s="57"/>
      <c r="S1155" s="57"/>
      <c r="T1155" s="57"/>
      <c r="U1155" s="57"/>
      <c r="V1155" s="57"/>
      <c r="W1155" s="57"/>
      <c r="X1155" s="57"/>
      <c r="Y1155" s="57"/>
      <c r="Z1155" s="57"/>
      <c r="AA1155" s="57"/>
      <c r="AB1155" s="57"/>
      <c r="AC1155" s="57"/>
      <c r="AD1155" s="57"/>
    </row>
    <row r="1156" spans="1:30" ht="13.5" thickBot="1" x14ac:dyDescent="0.25">
      <c r="A1156" s="57"/>
      <c r="B1156" s="57"/>
      <c r="C1156" s="57"/>
      <c r="D1156" s="57"/>
      <c r="E1156" s="57"/>
      <c r="F1156" s="57"/>
      <c r="G1156" s="57"/>
      <c r="H1156" s="57"/>
      <c r="I1156" s="57"/>
      <c r="J1156" s="57"/>
      <c r="K1156" s="57"/>
      <c r="L1156" s="57"/>
      <c r="M1156" s="57"/>
      <c r="N1156" s="57"/>
      <c r="O1156" s="57"/>
      <c r="P1156" s="57"/>
      <c r="Q1156" s="57"/>
      <c r="R1156" s="57"/>
      <c r="S1156" s="57"/>
      <c r="T1156" s="57"/>
      <c r="U1156" s="57"/>
      <c r="V1156" s="57"/>
      <c r="W1156" s="57"/>
      <c r="X1156" s="57"/>
      <c r="Y1156" s="57"/>
      <c r="Z1156" s="57"/>
      <c r="AA1156" s="57"/>
      <c r="AB1156" s="57"/>
      <c r="AC1156" s="57"/>
      <c r="AD1156" s="57"/>
    </row>
    <row r="1157" spans="1:30" ht="13.5" thickBot="1" x14ac:dyDescent="0.25">
      <c r="A1157" s="57"/>
      <c r="B1157" s="57"/>
      <c r="C1157" s="57"/>
      <c r="D1157" s="57"/>
      <c r="E1157" s="57"/>
      <c r="F1157" s="57"/>
      <c r="G1157" s="57"/>
      <c r="H1157" s="57"/>
      <c r="I1157" s="57"/>
      <c r="J1157" s="57"/>
      <c r="K1157" s="57"/>
      <c r="L1157" s="57"/>
      <c r="M1157" s="57"/>
      <c r="N1157" s="57"/>
      <c r="O1157" s="57"/>
      <c r="P1157" s="57"/>
      <c r="Q1157" s="57"/>
      <c r="R1157" s="57"/>
      <c r="S1157" s="57"/>
      <c r="T1157" s="57"/>
      <c r="U1157" s="57"/>
      <c r="V1157" s="57"/>
      <c r="W1157" s="57"/>
      <c r="X1157" s="57"/>
      <c r="Y1157" s="57"/>
      <c r="Z1157" s="57"/>
      <c r="AA1157" s="57"/>
      <c r="AB1157" s="57"/>
      <c r="AC1157" s="57"/>
      <c r="AD1157" s="57"/>
    </row>
    <row r="1158" spans="1:30" ht="13.5" thickBot="1" x14ac:dyDescent="0.25">
      <c r="A1158" s="57"/>
      <c r="B1158" s="156" t="s">
        <v>15637</v>
      </c>
      <c r="C1158" s="57"/>
      <c r="D1158" s="57"/>
      <c r="E1158" s="57"/>
      <c r="F1158" s="57"/>
      <c r="G1158" s="57"/>
      <c r="H1158" s="57"/>
      <c r="I1158" s="57"/>
      <c r="J1158" s="57"/>
      <c r="K1158" s="57"/>
      <c r="L1158" s="57"/>
      <c r="M1158" s="57"/>
      <c r="N1158" s="57"/>
      <c r="O1158" s="57"/>
      <c r="P1158" s="57"/>
      <c r="Q1158" s="57"/>
      <c r="R1158" s="57"/>
      <c r="S1158" s="57"/>
      <c r="T1158" s="57"/>
      <c r="U1158" s="57"/>
      <c r="V1158" s="57"/>
      <c r="W1158" s="57"/>
      <c r="X1158" s="57"/>
      <c r="Y1158" s="57"/>
      <c r="Z1158" s="57"/>
      <c r="AA1158" s="57"/>
      <c r="AB1158" s="57"/>
      <c r="AC1158" s="57"/>
      <c r="AD1158" s="57"/>
    </row>
    <row r="1159" spans="1:30" ht="13.5" thickBot="1" x14ac:dyDescent="0.25">
      <c r="A1159" s="57"/>
      <c r="B1159" s="154" t="s">
        <v>13368</v>
      </c>
      <c r="C1159" s="154" t="s">
        <v>13577</v>
      </c>
      <c r="D1159" s="154" t="s">
        <v>13579</v>
      </c>
      <c r="E1159" s="154" t="s">
        <v>14336</v>
      </c>
      <c r="F1159" s="154" t="s">
        <v>14337</v>
      </c>
      <c r="G1159" s="154" t="s">
        <v>13582</v>
      </c>
      <c r="H1159" s="57"/>
      <c r="I1159" s="57"/>
      <c r="J1159" s="57"/>
      <c r="K1159" s="57"/>
      <c r="L1159" s="57"/>
      <c r="M1159" s="57"/>
      <c r="N1159" s="57"/>
      <c r="O1159" s="57"/>
      <c r="P1159" s="57"/>
      <c r="Q1159" s="57"/>
      <c r="R1159" s="57"/>
      <c r="S1159" s="57"/>
      <c r="T1159" s="57"/>
      <c r="U1159" s="57"/>
      <c r="V1159" s="57"/>
      <c r="W1159" s="57"/>
      <c r="X1159" s="57"/>
      <c r="Y1159" s="57"/>
      <c r="Z1159" s="57"/>
      <c r="AA1159" s="57"/>
      <c r="AB1159" s="57"/>
      <c r="AC1159" s="57"/>
      <c r="AD1159" s="57"/>
    </row>
    <row r="1160" spans="1:30" ht="13.5" thickBot="1" x14ac:dyDescent="0.25">
      <c r="A1160" s="57"/>
      <c r="B1160" s="154" t="s">
        <v>13372</v>
      </c>
      <c r="C1160" s="186" t="s">
        <v>15638</v>
      </c>
      <c r="D1160" s="186" t="s">
        <v>15639</v>
      </c>
      <c r="E1160" s="186" t="s">
        <v>15640</v>
      </c>
      <c r="F1160" s="186" t="s">
        <v>15641</v>
      </c>
      <c r="G1160" s="186" t="s">
        <v>15642</v>
      </c>
      <c r="H1160" s="57"/>
      <c r="I1160" s="57"/>
      <c r="J1160" s="57"/>
      <c r="K1160" s="57"/>
      <c r="L1160" s="57"/>
      <c r="M1160" s="57"/>
      <c r="N1160" s="57"/>
      <c r="O1160" s="57"/>
      <c r="P1160" s="57"/>
      <c r="Q1160" s="57"/>
      <c r="R1160" s="57"/>
      <c r="S1160" s="57"/>
      <c r="T1160" s="57"/>
      <c r="U1160" s="57"/>
      <c r="V1160" s="57"/>
      <c r="W1160" s="57"/>
      <c r="X1160" s="57"/>
      <c r="Y1160" s="57"/>
      <c r="Z1160" s="57"/>
      <c r="AA1160" s="57"/>
      <c r="AB1160" s="57"/>
      <c r="AC1160" s="57"/>
      <c r="AD1160" s="57"/>
    </row>
    <row r="1161" spans="1:30" ht="13.5" thickBot="1" x14ac:dyDescent="0.25">
      <c r="A1161" s="57"/>
      <c r="B1161" s="154" t="s">
        <v>13413</v>
      </c>
      <c r="C1161" s="186" t="s">
        <v>15643</v>
      </c>
      <c r="D1161" s="186" t="s">
        <v>15644</v>
      </c>
      <c r="E1161" s="186" t="s">
        <v>15645</v>
      </c>
      <c r="F1161" s="186" t="s">
        <v>15646</v>
      </c>
      <c r="G1161" s="186" t="s">
        <v>15564</v>
      </c>
      <c r="H1161" s="57"/>
      <c r="I1161" s="57"/>
      <c r="J1161" s="57"/>
      <c r="K1161" s="57"/>
      <c r="L1161" s="57"/>
      <c r="M1161" s="57"/>
      <c r="N1161" s="57"/>
      <c r="O1161" s="57"/>
      <c r="P1161" s="57"/>
      <c r="Q1161" s="57"/>
      <c r="R1161" s="57"/>
      <c r="S1161" s="57"/>
      <c r="T1161" s="57"/>
      <c r="U1161" s="57"/>
      <c r="V1161" s="57"/>
      <c r="W1161" s="57"/>
      <c r="X1161" s="57"/>
      <c r="Y1161" s="57"/>
      <c r="Z1161" s="57"/>
      <c r="AA1161" s="57"/>
      <c r="AB1161" s="57"/>
      <c r="AC1161" s="57"/>
      <c r="AD1161" s="57"/>
    </row>
    <row r="1162" spans="1:30" ht="13.5" thickBot="1" x14ac:dyDescent="0.25">
      <c r="A1162" s="57"/>
      <c r="B1162" s="154" t="s">
        <v>13378</v>
      </c>
      <c r="C1162" s="186" t="s">
        <v>15647</v>
      </c>
      <c r="D1162" s="186" t="s">
        <v>15648</v>
      </c>
      <c r="E1162" s="186" t="s">
        <v>15649</v>
      </c>
      <c r="F1162" s="186" t="s">
        <v>15650</v>
      </c>
      <c r="G1162" s="186" t="s">
        <v>15651</v>
      </c>
      <c r="H1162" s="57"/>
      <c r="I1162" s="57"/>
      <c r="J1162" s="57"/>
      <c r="K1162" s="57"/>
      <c r="L1162" s="57"/>
      <c r="M1162" s="57"/>
      <c r="N1162" s="57"/>
      <c r="O1162" s="57"/>
      <c r="P1162" s="57"/>
      <c r="Q1162" s="57"/>
      <c r="R1162" s="57"/>
      <c r="S1162" s="57"/>
      <c r="T1162" s="57"/>
      <c r="U1162" s="57"/>
      <c r="V1162" s="57"/>
      <c r="W1162" s="57"/>
      <c r="X1162" s="57"/>
      <c r="Y1162" s="57"/>
      <c r="Z1162" s="57"/>
      <c r="AA1162" s="57"/>
      <c r="AB1162" s="57"/>
      <c r="AC1162" s="57"/>
      <c r="AD1162" s="57"/>
    </row>
    <row r="1163" spans="1:30" ht="13.5" thickBot="1" x14ac:dyDescent="0.25">
      <c r="A1163" s="57"/>
      <c r="B1163" s="154" t="s">
        <v>13384</v>
      </c>
      <c r="C1163" s="186" t="s">
        <v>15652</v>
      </c>
      <c r="D1163" s="186" t="s">
        <v>15653</v>
      </c>
      <c r="E1163" s="186" t="s">
        <v>15654</v>
      </c>
      <c r="F1163" s="186" t="s">
        <v>15655</v>
      </c>
      <c r="G1163" s="186" t="s">
        <v>15656</v>
      </c>
      <c r="H1163" s="57"/>
      <c r="I1163" s="57"/>
      <c r="J1163" s="57"/>
      <c r="K1163" s="57"/>
      <c r="L1163" s="57"/>
      <c r="M1163" s="57"/>
      <c r="N1163" s="57"/>
      <c r="O1163" s="57"/>
      <c r="P1163" s="57"/>
      <c r="Q1163" s="57"/>
      <c r="R1163" s="57"/>
      <c r="S1163" s="57"/>
      <c r="T1163" s="57"/>
      <c r="U1163" s="57"/>
      <c r="V1163" s="57"/>
      <c r="W1163" s="57"/>
      <c r="X1163" s="57"/>
      <c r="Y1163" s="57"/>
      <c r="Z1163" s="57"/>
      <c r="AA1163" s="57"/>
      <c r="AB1163" s="57"/>
      <c r="AC1163" s="57"/>
      <c r="AD1163" s="57"/>
    </row>
    <row r="1164" spans="1:30" ht="13.5" thickBot="1" x14ac:dyDescent="0.25">
      <c r="A1164" s="57"/>
      <c r="B1164" s="154" t="s">
        <v>13391</v>
      </c>
      <c r="C1164" s="186" t="s">
        <v>15657</v>
      </c>
      <c r="D1164" s="186" t="s">
        <v>15658</v>
      </c>
      <c r="E1164" s="186" t="s">
        <v>15659</v>
      </c>
      <c r="F1164" s="186" t="s">
        <v>15660</v>
      </c>
      <c r="G1164" s="186" t="s">
        <v>15661</v>
      </c>
      <c r="H1164" s="57"/>
      <c r="I1164" s="57"/>
      <c r="J1164" s="57"/>
      <c r="K1164" s="57"/>
      <c r="L1164" s="57"/>
      <c r="M1164" s="57"/>
      <c r="N1164" s="57"/>
      <c r="O1164" s="57"/>
      <c r="P1164" s="57"/>
      <c r="Q1164" s="57"/>
      <c r="R1164" s="57"/>
      <c r="S1164" s="57"/>
      <c r="T1164" s="57"/>
      <c r="U1164" s="57"/>
      <c r="V1164" s="57"/>
      <c r="W1164" s="57"/>
      <c r="X1164" s="57"/>
      <c r="Y1164" s="57"/>
      <c r="Z1164" s="57"/>
      <c r="AA1164" s="57"/>
      <c r="AB1164" s="57"/>
      <c r="AC1164" s="57"/>
      <c r="AD1164" s="57"/>
    </row>
    <row r="1165" spans="1:30" ht="13.5" thickBot="1" x14ac:dyDescent="0.25">
      <c r="A1165" s="57"/>
      <c r="B1165" s="154" t="s">
        <v>13397</v>
      </c>
      <c r="C1165" s="186" t="s">
        <v>15662</v>
      </c>
      <c r="D1165" s="186" t="s">
        <v>15663</v>
      </c>
      <c r="E1165" s="186" t="s">
        <v>15664</v>
      </c>
      <c r="F1165" s="186" t="s">
        <v>15665</v>
      </c>
      <c r="G1165" s="186" t="s">
        <v>15666</v>
      </c>
      <c r="H1165" s="57"/>
      <c r="I1165" s="57"/>
      <c r="J1165" s="57"/>
      <c r="K1165" s="57"/>
      <c r="L1165" s="57"/>
      <c r="M1165" s="57"/>
      <c r="N1165" s="57"/>
      <c r="O1165" s="57"/>
      <c r="P1165" s="57"/>
      <c r="Q1165" s="57"/>
      <c r="R1165" s="57"/>
      <c r="S1165" s="57"/>
      <c r="T1165" s="57"/>
      <c r="U1165" s="57"/>
      <c r="V1165" s="57"/>
      <c r="W1165" s="57"/>
      <c r="X1165" s="57"/>
      <c r="Y1165" s="57"/>
      <c r="Z1165" s="57"/>
      <c r="AA1165" s="57"/>
      <c r="AB1165" s="57"/>
      <c r="AC1165" s="57"/>
      <c r="AD1165" s="57"/>
    </row>
    <row r="1166" spans="1:30" ht="13.5" thickBot="1" x14ac:dyDescent="0.25">
      <c r="A1166" s="57"/>
      <c r="B1166" s="154" t="s">
        <v>13403</v>
      </c>
      <c r="C1166" s="186" t="s">
        <v>15667</v>
      </c>
      <c r="D1166" s="186" t="s">
        <v>15561</v>
      </c>
      <c r="E1166" s="186" t="s">
        <v>15668</v>
      </c>
      <c r="F1166" s="186" t="s">
        <v>15669</v>
      </c>
      <c r="G1166" s="186" t="s">
        <v>15670</v>
      </c>
      <c r="H1166" s="57"/>
      <c r="I1166" s="57"/>
      <c r="J1166" s="57"/>
      <c r="K1166" s="57"/>
      <c r="L1166" s="57"/>
      <c r="M1166" s="57"/>
      <c r="N1166" s="57"/>
      <c r="O1166" s="57"/>
      <c r="P1166" s="57"/>
      <c r="Q1166" s="57"/>
      <c r="R1166" s="57"/>
      <c r="S1166" s="57"/>
      <c r="T1166" s="57"/>
      <c r="U1166" s="57"/>
      <c r="V1166" s="57"/>
      <c r="W1166" s="57"/>
      <c r="X1166" s="57"/>
      <c r="Y1166" s="57"/>
      <c r="Z1166" s="57"/>
      <c r="AA1166" s="57"/>
      <c r="AB1166" s="57"/>
      <c r="AC1166" s="57"/>
      <c r="AD1166" s="57"/>
    </row>
    <row r="1167" spans="1:30" ht="13.5" thickBot="1" x14ac:dyDescent="0.25">
      <c r="A1167" s="57"/>
      <c r="B1167" s="154" t="s">
        <v>13408</v>
      </c>
      <c r="C1167" s="186" t="s">
        <v>15671</v>
      </c>
      <c r="D1167" s="186" t="s">
        <v>15672</v>
      </c>
      <c r="E1167" s="186" t="s">
        <v>15673</v>
      </c>
      <c r="F1167" s="186" t="s">
        <v>15674</v>
      </c>
      <c r="G1167" s="186" t="s">
        <v>15675</v>
      </c>
      <c r="H1167" s="57"/>
      <c r="I1167" s="57"/>
      <c r="J1167" s="57"/>
      <c r="K1167" s="57"/>
      <c r="L1167" s="57"/>
      <c r="M1167" s="57"/>
      <c r="N1167" s="57"/>
      <c r="O1167" s="57"/>
      <c r="P1167" s="57"/>
      <c r="Q1167" s="57"/>
      <c r="R1167" s="57"/>
      <c r="S1167" s="57"/>
      <c r="T1167" s="57"/>
      <c r="U1167" s="57"/>
      <c r="V1167" s="57"/>
      <c r="W1167" s="57"/>
      <c r="X1167" s="57"/>
      <c r="Y1167" s="57"/>
      <c r="Z1167" s="57"/>
      <c r="AA1167" s="57"/>
      <c r="AB1167" s="57"/>
      <c r="AC1167" s="57"/>
      <c r="AD1167" s="57"/>
    </row>
    <row r="1168" spans="1:30" ht="13.5" thickBot="1" x14ac:dyDescent="0.25">
      <c r="A1168" s="57"/>
      <c r="B1168" s="154" t="s">
        <v>13419</v>
      </c>
      <c r="C1168" s="186" t="s">
        <v>15676</v>
      </c>
      <c r="D1168" s="186" t="s">
        <v>15677</v>
      </c>
      <c r="E1168" s="186" t="s">
        <v>15678</v>
      </c>
      <c r="F1168" s="186" t="s">
        <v>15679</v>
      </c>
      <c r="G1168" s="186" t="s">
        <v>15680</v>
      </c>
      <c r="H1168" s="57"/>
      <c r="I1168" s="57"/>
      <c r="J1168" s="57"/>
      <c r="K1168" s="57"/>
      <c r="L1168" s="57"/>
      <c r="M1168" s="57"/>
      <c r="N1168" s="57"/>
      <c r="O1168" s="57"/>
      <c r="P1168" s="57"/>
      <c r="Q1168" s="57"/>
      <c r="R1168" s="57"/>
      <c r="S1168" s="57"/>
      <c r="T1168" s="57"/>
      <c r="U1168" s="57"/>
      <c r="V1168" s="57"/>
      <c r="W1168" s="57"/>
      <c r="X1168" s="57"/>
      <c r="Y1168" s="57"/>
      <c r="Z1168" s="57"/>
      <c r="AA1168" s="57"/>
      <c r="AB1168" s="57"/>
      <c r="AC1168" s="57"/>
      <c r="AD1168" s="57"/>
    </row>
    <row r="1169" spans="1:30" ht="13.5" thickBot="1" x14ac:dyDescent="0.25">
      <c r="A1169" s="57"/>
      <c r="B1169" s="154" t="s">
        <v>13517</v>
      </c>
      <c r="C1169" s="186" t="s">
        <v>15681</v>
      </c>
      <c r="D1169" s="186" t="s">
        <v>15682</v>
      </c>
      <c r="E1169" s="186" t="s">
        <v>15683</v>
      </c>
      <c r="F1169" s="186" t="s">
        <v>15614</v>
      </c>
      <c r="G1169" s="186" t="s">
        <v>15684</v>
      </c>
      <c r="H1169" s="57"/>
      <c r="I1169" s="57"/>
      <c r="J1169" s="57"/>
      <c r="K1169" s="57"/>
      <c r="L1169" s="57"/>
      <c r="M1169" s="57"/>
      <c r="N1169" s="57"/>
      <c r="O1169" s="57"/>
      <c r="P1169" s="57"/>
      <c r="Q1169" s="57"/>
      <c r="R1169" s="57"/>
      <c r="S1169" s="57"/>
      <c r="T1169" s="57"/>
      <c r="U1169" s="57"/>
      <c r="V1169" s="57"/>
      <c r="W1169" s="57"/>
      <c r="X1169" s="57"/>
      <c r="Y1169" s="57"/>
      <c r="Z1169" s="57"/>
      <c r="AA1169" s="57"/>
      <c r="AB1169" s="57"/>
      <c r="AC1169" s="57"/>
      <c r="AD1169" s="57"/>
    </row>
    <row r="1170" spans="1:30" ht="13.5" thickBot="1" x14ac:dyDescent="0.25">
      <c r="A1170" s="57"/>
      <c r="B1170" s="154" t="s">
        <v>13432</v>
      </c>
      <c r="C1170" s="186" t="s">
        <v>15685</v>
      </c>
      <c r="D1170" s="186" t="s">
        <v>15686</v>
      </c>
      <c r="E1170" s="186" t="s">
        <v>15687</v>
      </c>
      <c r="F1170" s="186" t="s">
        <v>15541</v>
      </c>
      <c r="G1170" s="186" t="s">
        <v>15688</v>
      </c>
      <c r="H1170" s="57"/>
      <c r="I1170" s="57"/>
      <c r="J1170" s="57"/>
      <c r="K1170" s="57"/>
      <c r="L1170" s="57"/>
      <c r="M1170" s="57"/>
      <c r="N1170" s="57"/>
      <c r="O1170" s="57"/>
      <c r="P1170" s="57"/>
      <c r="Q1170" s="57"/>
      <c r="R1170" s="57"/>
      <c r="S1170" s="57"/>
      <c r="T1170" s="57"/>
      <c r="U1170" s="57"/>
      <c r="V1170" s="57"/>
      <c r="W1170" s="57"/>
      <c r="X1170" s="57"/>
      <c r="Y1170" s="57"/>
      <c r="Z1170" s="57"/>
      <c r="AA1170" s="57"/>
      <c r="AB1170" s="57"/>
      <c r="AC1170" s="57"/>
      <c r="AD1170" s="57"/>
    </row>
    <row r="1171" spans="1:30" ht="13.5" thickBot="1" x14ac:dyDescent="0.25">
      <c r="A1171" s="57"/>
      <c r="B1171" s="57"/>
      <c r="C1171" s="57"/>
      <c r="D1171" s="57"/>
      <c r="E1171" s="57"/>
      <c r="F1171" s="57"/>
      <c r="G1171" s="57"/>
      <c r="H1171" s="57"/>
      <c r="I1171" s="57"/>
      <c r="J1171" s="57"/>
      <c r="K1171" s="57"/>
      <c r="L1171" s="57"/>
      <c r="M1171" s="57"/>
      <c r="N1171" s="57"/>
      <c r="O1171" s="57"/>
      <c r="P1171" s="57"/>
      <c r="Q1171" s="57"/>
      <c r="R1171" s="57"/>
      <c r="S1171" s="57"/>
      <c r="T1171" s="57"/>
      <c r="U1171" s="57"/>
      <c r="V1171" s="57"/>
      <c r="W1171" s="57"/>
      <c r="X1171" s="57"/>
      <c r="Y1171" s="57"/>
      <c r="Z1171" s="57"/>
      <c r="AA1171" s="57"/>
      <c r="AB1171" s="57"/>
      <c r="AC1171" s="57"/>
      <c r="AD1171" s="57"/>
    </row>
    <row r="1172" spans="1:30" ht="13.5" thickBot="1" x14ac:dyDescent="0.25">
      <c r="A1172" s="57"/>
      <c r="B1172" s="57"/>
      <c r="C1172" s="57"/>
      <c r="D1172" s="57"/>
      <c r="E1172" s="57"/>
      <c r="F1172" s="57"/>
      <c r="G1172" s="57"/>
      <c r="H1172" s="57"/>
      <c r="I1172" s="57"/>
      <c r="J1172" s="57"/>
      <c r="K1172" s="57"/>
      <c r="L1172" s="57"/>
      <c r="M1172" s="57"/>
      <c r="N1172" s="57"/>
      <c r="O1172" s="57"/>
      <c r="P1172" s="57"/>
      <c r="Q1172" s="57"/>
      <c r="R1172" s="57"/>
      <c r="S1172" s="57"/>
      <c r="T1172" s="57"/>
      <c r="U1172" s="57"/>
      <c r="V1172" s="57"/>
      <c r="W1172" s="57"/>
      <c r="X1172" s="57"/>
      <c r="Y1172" s="57"/>
      <c r="Z1172" s="57"/>
      <c r="AA1172" s="57"/>
      <c r="AB1172" s="57"/>
      <c r="AC1172" s="57"/>
      <c r="AD1172" s="57"/>
    </row>
    <row r="1173" spans="1:30" ht="13.5" thickBot="1" x14ac:dyDescent="0.25">
      <c r="A1173" s="57"/>
      <c r="B1173" s="156" t="s">
        <v>15689</v>
      </c>
      <c r="C1173" s="57"/>
      <c r="D1173" s="57"/>
      <c r="E1173" s="57"/>
      <c r="F1173" s="57"/>
      <c r="G1173" s="57"/>
      <c r="H1173" s="57"/>
      <c r="I1173" s="57"/>
      <c r="J1173" s="57"/>
      <c r="K1173" s="57"/>
      <c r="L1173" s="57"/>
      <c r="M1173" s="57"/>
      <c r="N1173" s="57"/>
      <c r="O1173" s="57"/>
      <c r="P1173" s="57"/>
      <c r="Q1173" s="57"/>
      <c r="R1173" s="57"/>
      <c r="S1173" s="57"/>
      <c r="T1173" s="57"/>
      <c r="U1173" s="57"/>
      <c r="V1173" s="57"/>
      <c r="W1173" s="57"/>
      <c r="X1173" s="57"/>
      <c r="Y1173" s="57"/>
      <c r="Z1173" s="57"/>
      <c r="AA1173" s="57"/>
      <c r="AB1173" s="57"/>
      <c r="AC1173" s="57"/>
      <c r="AD1173" s="57"/>
    </row>
    <row r="1174" spans="1:30" ht="13.5" thickBot="1" x14ac:dyDescent="0.25">
      <c r="A1174" s="57"/>
      <c r="B1174" s="154" t="s">
        <v>13368</v>
      </c>
      <c r="C1174" s="57"/>
      <c r="D1174" s="154" t="s">
        <v>13577</v>
      </c>
      <c r="E1174" s="57"/>
      <c r="F1174" s="57"/>
      <c r="G1174" s="154" t="s">
        <v>13579</v>
      </c>
      <c r="H1174" s="57"/>
      <c r="I1174" s="57"/>
      <c r="J1174" s="154" t="s">
        <v>14336</v>
      </c>
      <c r="K1174" s="57"/>
      <c r="L1174" s="57"/>
      <c r="M1174" s="154" t="s">
        <v>14337</v>
      </c>
      <c r="N1174" s="57"/>
      <c r="O1174" s="57"/>
      <c r="P1174" s="154" t="s">
        <v>13582</v>
      </c>
      <c r="Q1174" s="57"/>
      <c r="R1174" s="57"/>
      <c r="S1174" s="57"/>
      <c r="T1174" s="57"/>
      <c r="U1174" s="57"/>
      <c r="V1174" s="57"/>
      <c r="W1174" s="57"/>
      <c r="X1174" s="57"/>
      <c r="Y1174" s="57"/>
      <c r="Z1174" s="57"/>
      <c r="AA1174" s="57"/>
      <c r="AB1174" s="57"/>
      <c r="AC1174" s="57"/>
      <c r="AD1174" s="57"/>
    </row>
    <row r="1175" spans="1:30" ht="13.5" thickBot="1" x14ac:dyDescent="0.25">
      <c r="A1175" s="57"/>
      <c r="B1175" s="57"/>
      <c r="C1175" s="154" t="s">
        <v>14954</v>
      </c>
      <c r="D1175" s="154" t="s">
        <v>14972</v>
      </c>
      <c r="E1175" s="154" t="s">
        <v>15690</v>
      </c>
      <c r="F1175" s="154" t="s">
        <v>14954</v>
      </c>
      <c r="G1175" s="154" t="s">
        <v>14972</v>
      </c>
      <c r="H1175" s="154" t="s">
        <v>15690</v>
      </c>
      <c r="I1175" s="154" t="s">
        <v>14954</v>
      </c>
      <c r="J1175" s="154" t="s">
        <v>14972</v>
      </c>
      <c r="K1175" s="154" t="s">
        <v>15690</v>
      </c>
      <c r="L1175" s="154" t="s">
        <v>14954</v>
      </c>
      <c r="M1175" s="154" t="s">
        <v>14972</v>
      </c>
      <c r="N1175" s="154" t="s">
        <v>15690</v>
      </c>
      <c r="O1175" s="154" t="s">
        <v>14954</v>
      </c>
      <c r="P1175" s="154" t="s">
        <v>14972</v>
      </c>
      <c r="Q1175" s="154" t="s">
        <v>15690</v>
      </c>
      <c r="R1175" s="57"/>
      <c r="S1175" s="57"/>
      <c r="T1175" s="57"/>
      <c r="U1175" s="57"/>
      <c r="V1175" s="57"/>
      <c r="W1175" s="57"/>
      <c r="X1175" s="57"/>
      <c r="Y1175" s="57"/>
      <c r="Z1175" s="57"/>
      <c r="AA1175" s="57"/>
      <c r="AB1175" s="57"/>
      <c r="AC1175" s="57"/>
      <c r="AD1175" s="57"/>
    </row>
    <row r="1176" spans="1:30" ht="13.5" thickBot="1" x14ac:dyDescent="0.25">
      <c r="A1176" s="57"/>
      <c r="B1176" s="57"/>
      <c r="C1176" s="186" t="s">
        <v>15691</v>
      </c>
      <c r="D1176" s="186" t="s">
        <v>15692</v>
      </c>
      <c r="E1176" s="186" t="s">
        <v>15693</v>
      </c>
      <c r="F1176" s="186" t="s">
        <v>15694</v>
      </c>
      <c r="G1176" s="186" t="s">
        <v>15695</v>
      </c>
      <c r="H1176" s="186" t="s">
        <v>15696</v>
      </c>
      <c r="I1176" s="186" t="s">
        <v>15697</v>
      </c>
      <c r="J1176" s="186" t="s">
        <v>15698</v>
      </c>
      <c r="K1176" s="186" t="s">
        <v>15699</v>
      </c>
      <c r="L1176" s="186" t="s">
        <v>15700</v>
      </c>
      <c r="M1176" s="186" t="s">
        <v>15701</v>
      </c>
      <c r="N1176" s="186" t="s">
        <v>15701</v>
      </c>
      <c r="O1176" s="186" t="s">
        <v>15702</v>
      </c>
      <c r="P1176" s="186" t="s">
        <v>15703</v>
      </c>
      <c r="Q1176" s="186" t="s">
        <v>15670</v>
      </c>
      <c r="R1176" s="57"/>
      <c r="S1176" s="57"/>
      <c r="T1176" s="57"/>
      <c r="U1176" s="57"/>
      <c r="V1176" s="57"/>
      <c r="W1176" s="57"/>
      <c r="X1176" s="57"/>
      <c r="Y1176" s="57"/>
      <c r="Z1176" s="57"/>
      <c r="AA1176" s="57"/>
      <c r="AB1176" s="57"/>
      <c r="AC1176" s="57"/>
      <c r="AD1176" s="57"/>
    </row>
    <row r="1177" spans="1:30" ht="13.5" thickBot="1" x14ac:dyDescent="0.25">
      <c r="A1177" s="57"/>
      <c r="B1177" s="154" t="s">
        <v>13413</v>
      </c>
      <c r="C1177" s="186" t="s">
        <v>15704</v>
      </c>
      <c r="D1177" s="186" t="s">
        <v>15705</v>
      </c>
      <c r="E1177" s="186" t="s">
        <v>15660</v>
      </c>
      <c r="F1177" s="186" t="s">
        <v>15604</v>
      </c>
      <c r="G1177" s="186" t="s">
        <v>15706</v>
      </c>
      <c r="H1177" s="186" t="s">
        <v>15707</v>
      </c>
      <c r="I1177" s="186" t="s">
        <v>15708</v>
      </c>
      <c r="J1177" s="186" t="s">
        <v>15709</v>
      </c>
      <c r="K1177" s="186" t="s">
        <v>15710</v>
      </c>
      <c r="L1177" s="186" t="s">
        <v>15711</v>
      </c>
      <c r="M1177" s="186" t="s">
        <v>15712</v>
      </c>
      <c r="N1177" s="186" t="s">
        <v>15713</v>
      </c>
      <c r="O1177" s="186" t="s">
        <v>15714</v>
      </c>
      <c r="P1177" s="186" t="s">
        <v>15715</v>
      </c>
      <c r="Q1177" s="186" t="s">
        <v>15716</v>
      </c>
      <c r="R1177" s="57"/>
      <c r="S1177" s="57"/>
      <c r="T1177" s="57"/>
      <c r="U1177" s="57"/>
      <c r="V1177" s="57"/>
      <c r="W1177" s="57"/>
      <c r="X1177" s="57"/>
      <c r="Y1177" s="57"/>
      <c r="Z1177" s="57"/>
      <c r="AA1177" s="57"/>
      <c r="AB1177" s="57"/>
      <c r="AC1177" s="57"/>
      <c r="AD1177" s="57"/>
    </row>
    <row r="1178" spans="1:30" ht="13.5" thickBot="1" x14ac:dyDescent="0.25">
      <c r="A1178" s="57"/>
      <c r="B1178" s="154" t="s">
        <v>13378</v>
      </c>
      <c r="C1178" s="186" t="s">
        <v>15717</v>
      </c>
      <c r="D1178" s="186" t="s">
        <v>15718</v>
      </c>
      <c r="E1178" s="186" t="s">
        <v>15719</v>
      </c>
      <c r="F1178" s="186" t="s">
        <v>15720</v>
      </c>
      <c r="G1178" s="186" t="s">
        <v>15721</v>
      </c>
      <c r="H1178" s="186" t="s">
        <v>15722</v>
      </c>
      <c r="I1178" s="186" t="s">
        <v>15723</v>
      </c>
      <c r="J1178" s="186" t="s">
        <v>15724</v>
      </c>
      <c r="K1178" s="186" t="s">
        <v>15725</v>
      </c>
      <c r="L1178" s="186" t="s">
        <v>15726</v>
      </c>
      <c r="M1178" s="186" t="s">
        <v>15727</v>
      </c>
      <c r="N1178" s="186" t="s">
        <v>15728</v>
      </c>
      <c r="O1178" s="186" t="s">
        <v>15729</v>
      </c>
      <c r="P1178" s="186" t="s">
        <v>15730</v>
      </c>
      <c r="Q1178" s="186" t="s">
        <v>15731</v>
      </c>
      <c r="R1178" s="57"/>
      <c r="S1178" s="57"/>
      <c r="T1178" s="57"/>
      <c r="U1178" s="57"/>
      <c r="V1178" s="57"/>
      <c r="W1178" s="57"/>
      <c r="X1178" s="57"/>
      <c r="Y1178" s="57"/>
      <c r="Z1178" s="57"/>
      <c r="AA1178" s="57"/>
      <c r="AB1178" s="57"/>
      <c r="AC1178" s="57"/>
      <c r="AD1178" s="57"/>
    </row>
    <row r="1179" spans="1:30" ht="13.5" thickBot="1" x14ac:dyDescent="0.25">
      <c r="A1179" s="57"/>
      <c r="B1179" s="154" t="s">
        <v>13384</v>
      </c>
      <c r="C1179" s="186" t="s">
        <v>15732</v>
      </c>
      <c r="D1179" s="186" t="s">
        <v>15733</v>
      </c>
      <c r="E1179" s="186" t="s">
        <v>15734</v>
      </c>
      <c r="F1179" s="186" t="s">
        <v>15735</v>
      </c>
      <c r="G1179" s="186" t="s">
        <v>15736</v>
      </c>
      <c r="H1179" s="186" t="s">
        <v>15737</v>
      </c>
      <c r="I1179" s="186" t="s">
        <v>15738</v>
      </c>
      <c r="J1179" s="186" t="s">
        <v>15739</v>
      </c>
      <c r="K1179" s="186" t="s">
        <v>15740</v>
      </c>
      <c r="L1179" s="186" t="s">
        <v>15741</v>
      </c>
      <c r="M1179" s="186" t="s">
        <v>15742</v>
      </c>
      <c r="N1179" s="186" t="s">
        <v>15743</v>
      </c>
      <c r="O1179" s="186" t="s">
        <v>15744</v>
      </c>
      <c r="P1179" s="186" t="s">
        <v>15745</v>
      </c>
      <c r="Q1179" s="186" t="s">
        <v>15746</v>
      </c>
      <c r="R1179" s="57"/>
      <c r="S1179" s="57"/>
      <c r="T1179" s="57"/>
      <c r="U1179" s="57"/>
      <c r="V1179" s="57"/>
      <c r="W1179" s="57"/>
      <c r="X1179" s="57"/>
      <c r="Y1179" s="57"/>
      <c r="Z1179" s="57"/>
      <c r="AA1179" s="57"/>
      <c r="AB1179" s="57"/>
      <c r="AC1179" s="57"/>
      <c r="AD1179" s="57"/>
    </row>
    <row r="1180" spans="1:30" ht="13.5" thickBot="1" x14ac:dyDescent="0.25">
      <c r="A1180" s="57"/>
      <c r="B1180" s="154" t="s">
        <v>13391</v>
      </c>
      <c r="C1180" s="186" t="s">
        <v>15747</v>
      </c>
      <c r="D1180" s="186" t="s">
        <v>15748</v>
      </c>
      <c r="E1180" s="186" t="s">
        <v>15749</v>
      </c>
      <c r="F1180" s="186" t="s">
        <v>15750</v>
      </c>
      <c r="G1180" s="186" t="s">
        <v>15751</v>
      </c>
      <c r="H1180" s="186" t="s">
        <v>15752</v>
      </c>
      <c r="I1180" s="186" t="s">
        <v>15753</v>
      </c>
      <c r="J1180" s="186" t="s">
        <v>15754</v>
      </c>
      <c r="K1180" s="186" t="s">
        <v>15755</v>
      </c>
      <c r="L1180" s="186" t="s">
        <v>15756</v>
      </c>
      <c r="M1180" s="186" t="s">
        <v>15757</v>
      </c>
      <c r="N1180" s="186" t="s">
        <v>15758</v>
      </c>
      <c r="O1180" s="186" t="s">
        <v>15759</v>
      </c>
      <c r="P1180" s="186" t="s">
        <v>15703</v>
      </c>
      <c r="Q1180" s="186" t="s">
        <v>15760</v>
      </c>
      <c r="R1180" s="57"/>
      <c r="S1180" s="57"/>
      <c r="T1180" s="57"/>
      <c r="U1180" s="57"/>
      <c r="V1180" s="57"/>
      <c r="W1180" s="57"/>
      <c r="X1180" s="57"/>
      <c r="Y1180" s="57"/>
      <c r="Z1180" s="57"/>
      <c r="AA1180" s="57"/>
      <c r="AB1180" s="57"/>
      <c r="AC1180" s="57"/>
      <c r="AD1180" s="57"/>
    </row>
    <row r="1181" spans="1:30" ht="13.5" thickBot="1" x14ac:dyDescent="0.25">
      <c r="A1181" s="57"/>
      <c r="B1181" s="154" t="s">
        <v>13397</v>
      </c>
      <c r="C1181" s="186" t="s">
        <v>15761</v>
      </c>
      <c r="D1181" s="186" t="s">
        <v>15762</v>
      </c>
      <c r="E1181" s="186" t="s">
        <v>15763</v>
      </c>
      <c r="F1181" s="186" t="s">
        <v>15764</v>
      </c>
      <c r="G1181" s="186" t="s">
        <v>15765</v>
      </c>
      <c r="H1181" s="186" t="s">
        <v>15766</v>
      </c>
      <c r="I1181" s="186" t="s">
        <v>15767</v>
      </c>
      <c r="J1181" s="186" t="s">
        <v>15768</v>
      </c>
      <c r="K1181" s="186" t="s">
        <v>15769</v>
      </c>
      <c r="L1181" s="186" t="s">
        <v>15770</v>
      </c>
      <c r="M1181" s="186" t="s">
        <v>15771</v>
      </c>
      <c r="N1181" s="186" t="s">
        <v>15772</v>
      </c>
      <c r="O1181" s="186" t="s">
        <v>15773</v>
      </c>
      <c r="P1181" s="186" t="s">
        <v>15774</v>
      </c>
      <c r="Q1181" s="186" t="s">
        <v>15775</v>
      </c>
      <c r="R1181" s="57"/>
      <c r="S1181" s="57"/>
      <c r="T1181" s="57"/>
      <c r="U1181" s="57"/>
      <c r="V1181" s="57"/>
      <c r="W1181" s="57"/>
      <c r="X1181" s="57"/>
      <c r="Y1181" s="57"/>
      <c r="Z1181" s="57"/>
      <c r="AA1181" s="57"/>
      <c r="AB1181" s="57"/>
      <c r="AC1181" s="57"/>
      <c r="AD1181" s="57"/>
    </row>
    <row r="1182" spans="1:30" ht="13.5" thickBot="1" x14ac:dyDescent="0.25">
      <c r="A1182" s="57"/>
      <c r="B1182" s="154" t="s">
        <v>13403</v>
      </c>
      <c r="C1182" s="186" t="s">
        <v>15776</v>
      </c>
      <c r="D1182" s="186" t="s">
        <v>15743</v>
      </c>
      <c r="E1182" s="186" t="s">
        <v>15777</v>
      </c>
      <c r="F1182" s="186" t="s">
        <v>15778</v>
      </c>
      <c r="G1182" s="186" t="s">
        <v>15779</v>
      </c>
      <c r="H1182" s="186" t="s">
        <v>15780</v>
      </c>
      <c r="I1182" s="186" t="s">
        <v>15781</v>
      </c>
      <c r="J1182" s="186" t="s">
        <v>15782</v>
      </c>
      <c r="K1182" s="186" t="s">
        <v>15783</v>
      </c>
      <c r="L1182" s="186" t="s">
        <v>15784</v>
      </c>
      <c r="M1182" s="186" t="s">
        <v>15757</v>
      </c>
      <c r="N1182" s="186" t="s">
        <v>15713</v>
      </c>
      <c r="O1182" s="186" t="s">
        <v>15785</v>
      </c>
      <c r="P1182" s="186" t="s">
        <v>15703</v>
      </c>
      <c r="Q1182" s="186" t="s">
        <v>15786</v>
      </c>
      <c r="R1182" s="57"/>
      <c r="S1182" s="57"/>
      <c r="T1182" s="57"/>
      <c r="U1182" s="57"/>
      <c r="V1182" s="57"/>
      <c r="W1182" s="57"/>
      <c r="X1182" s="57"/>
      <c r="Y1182" s="57"/>
      <c r="Z1182" s="57"/>
      <c r="AA1182" s="57"/>
      <c r="AB1182" s="57"/>
      <c r="AC1182" s="57"/>
      <c r="AD1182" s="57"/>
    </row>
    <row r="1183" spans="1:30" ht="13.5" thickBot="1" x14ac:dyDescent="0.25">
      <c r="A1183" s="57"/>
      <c r="B1183" s="154" t="s">
        <v>13408</v>
      </c>
      <c r="C1183" s="186" t="s">
        <v>15787</v>
      </c>
      <c r="D1183" s="186" t="s">
        <v>15788</v>
      </c>
      <c r="E1183" s="186" t="s">
        <v>15789</v>
      </c>
      <c r="F1183" s="186" t="s">
        <v>15790</v>
      </c>
      <c r="G1183" s="186" t="s">
        <v>15791</v>
      </c>
      <c r="H1183" s="186" t="s">
        <v>15792</v>
      </c>
      <c r="I1183" s="186" t="s">
        <v>15793</v>
      </c>
      <c r="J1183" s="186" t="s">
        <v>15794</v>
      </c>
      <c r="K1183" s="186" t="s">
        <v>15795</v>
      </c>
      <c r="L1183" s="186" t="s">
        <v>15796</v>
      </c>
      <c r="M1183" s="186" t="s">
        <v>15797</v>
      </c>
      <c r="N1183" s="186" t="s">
        <v>15757</v>
      </c>
      <c r="O1183" s="186" t="s">
        <v>15798</v>
      </c>
      <c r="P1183" s="186" t="s">
        <v>15799</v>
      </c>
      <c r="Q1183" s="186" t="s">
        <v>15800</v>
      </c>
      <c r="R1183" s="57"/>
      <c r="S1183" s="57"/>
      <c r="T1183" s="57"/>
      <c r="U1183" s="57"/>
      <c r="V1183" s="57"/>
      <c r="W1183" s="57"/>
      <c r="X1183" s="57"/>
      <c r="Y1183" s="57"/>
      <c r="Z1183" s="57"/>
      <c r="AA1183" s="57"/>
      <c r="AB1183" s="57"/>
      <c r="AC1183" s="57"/>
      <c r="AD1183" s="57"/>
    </row>
    <row r="1184" spans="1:30" ht="13.5" thickBot="1" x14ac:dyDescent="0.25">
      <c r="A1184" s="57"/>
      <c r="B1184" s="154" t="s">
        <v>13419</v>
      </c>
      <c r="C1184" s="186" t="s">
        <v>15801</v>
      </c>
      <c r="D1184" s="186" t="s">
        <v>15802</v>
      </c>
      <c r="E1184" s="186" t="s">
        <v>15803</v>
      </c>
      <c r="F1184" s="186" t="s">
        <v>15804</v>
      </c>
      <c r="G1184" s="186" t="s">
        <v>15805</v>
      </c>
      <c r="H1184" s="186" t="s">
        <v>15806</v>
      </c>
      <c r="I1184" s="186" t="s">
        <v>15807</v>
      </c>
      <c r="J1184" s="186" t="s">
        <v>15808</v>
      </c>
      <c r="K1184" s="186" t="s">
        <v>15809</v>
      </c>
      <c r="L1184" s="186" t="s">
        <v>15810</v>
      </c>
      <c r="M1184" s="186" t="s">
        <v>15811</v>
      </c>
      <c r="N1184" s="186" t="s">
        <v>15812</v>
      </c>
      <c r="O1184" s="186" t="s">
        <v>15813</v>
      </c>
      <c r="P1184" s="186" t="s">
        <v>15814</v>
      </c>
      <c r="Q1184" s="186" t="s">
        <v>15815</v>
      </c>
      <c r="R1184" s="57"/>
      <c r="S1184" s="57"/>
      <c r="T1184" s="57"/>
      <c r="U1184" s="57"/>
      <c r="V1184" s="57"/>
      <c r="W1184" s="57"/>
      <c r="X1184" s="57"/>
      <c r="Y1184" s="57"/>
      <c r="Z1184" s="57"/>
      <c r="AA1184" s="57"/>
      <c r="AB1184" s="57"/>
      <c r="AC1184" s="57"/>
      <c r="AD1184" s="57"/>
    </row>
    <row r="1185" spans="1:30" ht="13.5" thickBot="1" x14ac:dyDescent="0.25">
      <c r="A1185" s="57"/>
      <c r="B1185" s="154" t="s">
        <v>13517</v>
      </c>
      <c r="C1185" s="186" t="s">
        <v>15816</v>
      </c>
      <c r="D1185" s="186" t="s">
        <v>15817</v>
      </c>
      <c r="E1185" s="186" t="s">
        <v>15818</v>
      </c>
      <c r="F1185" s="186" t="s">
        <v>15819</v>
      </c>
      <c r="G1185" s="186" t="s">
        <v>15820</v>
      </c>
      <c r="H1185" s="227" t="s">
        <v>15821</v>
      </c>
      <c r="I1185" s="186" t="s">
        <v>15822</v>
      </c>
      <c r="J1185" s="186" t="s">
        <v>15823</v>
      </c>
      <c r="K1185" s="186" t="s">
        <v>15824</v>
      </c>
      <c r="L1185" s="186" t="s">
        <v>15825</v>
      </c>
      <c r="M1185" s="186" t="s">
        <v>15826</v>
      </c>
      <c r="N1185" s="186" t="s">
        <v>15827</v>
      </c>
      <c r="O1185" s="186" t="s">
        <v>15828</v>
      </c>
      <c r="P1185" s="186" t="s">
        <v>15746</v>
      </c>
      <c r="Q1185" s="186" t="s">
        <v>15829</v>
      </c>
      <c r="R1185" s="57"/>
      <c r="S1185" s="57"/>
      <c r="T1185" s="57"/>
      <c r="U1185" s="57"/>
      <c r="V1185" s="57"/>
      <c r="W1185" s="57"/>
      <c r="X1185" s="57"/>
      <c r="Y1185" s="57"/>
      <c r="Z1185" s="57"/>
      <c r="AA1185" s="57"/>
      <c r="AB1185" s="57"/>
      <c r="AC1185" s="57"/>
      <c r="AD1185" s="57"/>
    </row>
    <row r="1186" spans="1:30" ht="13.5" thickBot="1" x14ac:dyDescent="0.25">
      <c r="A1186" s="57"/>
      <c r="B1186" s="154" t="s">
        <v>13432</v>
      </c>
      <c r="C1186" s="186" t="s">
        <v>15830</v>
      </c>
      <c r="D1186" s="186" t="s">
        <v>15831</v>
      </c>
      <c r="E1186" s="186" t="s">
        <v>15832</v>
      </c>
      <c r="F1186" s="186" t="s">
        <v>15833</v>
      </c>
      <c r="G1186" s="186" t="s">
        <v>15834</v>
      </c>
      <c r="H1186" s="186" t="s">
        <v>15835</v>
      </c>
      <c r="I1186" s="186" t="s">
        <v>15767</v>
      </c>
      <c r="J1186" s="186" t="s">
        <v>15836</v>
      </c>
      <c r="K1186" s="186" t="s">
        <v>15837</v>
      </c>
      <c r="L1186" s="186" t="s">
        <v>15838</v>
      </c>
      <c r="M1186" s="186" t="s">
        <v>15839</v>
      </c>
      <c r="N1186" s="186" t="s">
        <v>15840</v>
      </c>
      <c r="O1186" s="186" t="s">
        <v>15841</v>
      </c>
      <c r="P1186" s="186" t="s">
        <v>15842</v>
      </c>
      <c r="Q1186" s="186" t="s">
        <v>15843</v>
      </c>
      <c r="R1186" s="57"/>
      <c r="S1186" s="57"/>
      <c r="T1186" s="57"/>
      <c r="U1186" s="57"/>
      <c r="V1186" s="57"/>
      <c r="W1186" s="57"/>
      <c r="X1186" s="57"/>
      <c r="Y1186" s="57"/>
      <c r="Z1186" s="57"/>
      <c r="AA1186" s="57"/>
      <c r="AB1186" s="57"/>
      <c r="AC1186" s="57"/>
      <c r="AD1186" s="57"/>
    </row>
    <row r="1187" spans="1:30" ht="13.5" thickBot="1" x14ac:dyDescent="0.25">
      <c r="A1187" s="57"/>
      <c r="B1187" s="57"/>
      <c r="C1187" s="57"/>
      <c r="D1187" s="57"/>
      <c r="E1187" s="57"/>
      <c r="F1187" s="57"/>
      <c r="G1187" s="57"/>
      <c r="H1187" s="57"/>
      <c r="I1187" s="57"/>
      <c r="J1187" s="57"/>
      <c r="K1187" s="57"/>
      <c r="L1187" s="57"/>
      <c r="M1187" s="57"/>
      <c r="N1187" s="57"/>
      <c r="O1187" s="57"/>
      <c r="P1187" s="57"/>
      <c r="Q1187" s="57"/>
      <c r="R1187" s="57"/>
      <c r="S1187" s="57"/>
      <c r="T1187" s="57"/>
      <c r="U1187" s="57"/>
      <c r="V1187" s="57"/>
      <c r="W1187" s="57"/>
      <c r="X1187" s="57"/>
      <c r="Y1187" s="57"/>
      <c r="Z1187" s="57"/>
      <c r="AA1187" s="57"/>
      <c r="AB1187" s="57"/>
      <c r="AC1187" s="57"/>
      <c r="AD1187" s="57"/>
    </row>
    <row r="1188" spans="1:30" ht="13.5" thickBot="1" x14ac:dyDescent="0.25">
      <c r="A1188" s="57"/>
      <c r="B1188" s="57"/>
      <c r="C1188" s="57"/>
      <c r="D1188" s="57"/>
      <c r="E1188" s="57"/>
      <c r="F1188" s="57"/>
      <c r="G1188" s="57"/>
      <c r="H1188" s="57"/>
      <c r="I1188" s="57"/>
      <c r="J1188" s="57"/>
      <c r="K1188" s="57"/>
      <c r="L1188" s="57"/>
      <c r="M1188" s="57"/>
      <c r="N1188" s="57"/>
      <c r="O1188" s="57"/>
      <c r="P1188" s="57"/>
      <c r="Q1188" s="57"/>
      <c r="R1188" s="57"/>
      <c r="S1188" s="57"/>
      <c r="T1188" s="57"/>
      <c r="U1188" s="57"/>
      <c r="V1188" s="57"/>
      <c r="W1188" s="57"/>
      <c r="X1188" s="57"/>
      <c r="Y1188" s="57"/>
      <c r="Z1188" s="57"/>
      <c r="AA1188" s="57"/>
      <c r="AB1188" s="57"/>
      <c r="AC1188" s="57"/>
      <c r="AD1188" s="57"/>
    </row>
    <row r="1189" spans="1:30" ht="13.5" thickBot="1" x14ac:dyDescent="0.25">
      <c r="A1189" s="57"/>
      <c r="B1189" s="176" t="s">
        <v>4453</v>
      </c>
      <c r="C1189" s="57"/>
      <c r="D1189" s="57"/>
      <c r="E1189" s="57"/>
      <c r="F1189" s="57"/>
      <c r="G1189" s="57"/>
      <c r="H1189" s="57"/>
      <c r="I1189" s="57"/>
      <c r="J1189" s="57"/>
      <c r="K1189" s="57"/>
      <c r="L1189" s="57"/>
      <c r="M1189" s="57"/>
      <c r="N1189" s="57"/>
      <c r="O1189" s="57"/>
      <c r="P1189" s="57"/>
      <c r="Q1189" s="57"/>
      <c r="R1189" s="57"/>
      <c r="S1189" s="57"/>
      <c r="T1189" s="57"/>
      <c r="U1189" s="57"/>
      <c r="V1189" s="57"/>
      <c r="W1189" s="57"/>
      <c r="X1189" s="57"/>
      <c r="Y1189" s="57"/>
      <c r="Z1189" s="57"/>
      <c r="AA1189" s="57"/>
      <c r="AB1189" s="57"/>
      <c r="AC1189" s="57"/>
      <c r="AD1189" s="57"/>
    </row>
    <row r="1190" spans="1:30" ht="26.25" thickBot="1" x14ac:dyDescent="0.25">
      <c r="A1190" s="57"/>
      <c r="B1190" s="154" t="s">
        <v>12929</v>
      </c>
      <c r="C1190" s="57"/>
      <c r="D1190" s="57"/>
      <c r="E1190" s="57"/>
      <c r="F1190" s="57"/>
      <c r="G1190" s="57"/>
      <c r="H1190" s="57"/>
      <c r="I1190" s="57"/>
      <c r="J1190" s="57"/>
      <c r="K1190" s="57"/>
      <c r="L1190" s="57"/>
      <c r="M1190" s="57"/>
      <c r="N1190" s="57"/>
      <c r="O1190" s="57"/>
      <c r="P1190" s="57"/>
      <c r="Q1190" s="57"/>
      <c r="R1190" s="57"/>
      <c r="S1190" s="57"/>
      <c r="T1190" s="57"/>
      <c r="U1190" s="57"/>
      <c r="V1190" s="57"/>
      <c r="W1190" s="57"/>
      <c r="X1190" s="57"/>
      <c r="Y1190" s="57"/>
      <c r="Z1190" s="57"/>
      <c r="AA1190" s="57"/>
      <c r="AB1190" s="57"/>
      <c r="AC1190" s="57"/>
      <c r="AD1190" s="57"/>
    </row>
    <row r="1191" spans="1:30" ht="13.5" thickBot="1" x14ac:dyDescent="0.25">
      <c r="A1191" s="57"/>
      <c r="B1191" s="57"/>
      <c r="C1191" s="57"/>
      <c r="D1191" s="57"/>
      <c r="E1191" s="57"/>
      <c r="F1191" s="57"/>
      <c r="G1191" s="57"/>
      <c r="H1191" s="57"/>
      <c r="I1191" s="57"/>
      <c r="J1191" s="57"/>
      <c r="K1191" s="57"/>
      <c r="L1191" s="57"/>
      <c r="M1191" s="57"/>
      <c r="N1191" s="57"/>
      <c r="O1191" s="57"/>
      <c r="P1191" s="57"/>
      <c r="Q1191" s="57"/>
      <c r="R1191" s="57"/>
      <c r="S1191" s="57"/>
      <c r="T1191" s="57"/>
      <c r="U1191" s="57"/>
      <c r="V1191" s="57"/>
      <c r="W1191" s="57"/>
      <c r="X1191" s="57"/>
      <c r="Y1191" s="57"/>
      <c r="Z1191" s="57"/>
      <c r="AA1191" s="57"/>
      <c r="AB1191" s="57"/>
      <c r="AC1191" s="57"/>
      <c r="AD1191" s="57"/>
    </row>
    <row r="1192" spans="1:30" ht="13.5" thickBot="1" x14ac:dyDescent="0.25">
      <c r="A1192" s="57"/>
      <c r="B1192" s="57"/>
      <c r="C1192" s="57"/>
      <c r="D1192" s="57"/>
      <c r="E1192" s="57"/>
      <c r="F1192" s="57"/>
      <c r="G1192" s="57"/>
      <c r="H1192" s="57"/>
      <c r="I1192" s="57"/>
      <c r="J1192" s="57"/>
      <c r="K1192" s="57"/>
      <c r="L1192" s="57"/>
      <c r="M1192" s="57"/>
      <c r="N1192" s="57"/>
      <c r="O1192" s="57"/>
      <c r="P1192" s="57"/>
      <c r="Q1192" s="57"/>
      <c r="R1192" s="57"/>
      <c r="S1192" s="57"/>
      <c r="T1192" s="57"/>
      <c r="U1192" s="57"/>
      <c r="V1192" s="57"/>
      <c r="W1192" s="57"/>
      <c r="X1192" s="57"/>
      <c r="Y1192" s="57"/>
      <c r="Z1192" s="57"/>
      <c r="AA1192" s="57"/>
      <c r="AB1192" s="57"/>
      <c r="AC1192" s="57"/>
      <c r="AD1192" s="57"/>
    </row>
    <row r="1193" spans="1:30" ht="13.5" thickBot="1" x14ac:dyDescent="0.25">
      <c r="A1193" s="57"/>
      <c r="B1193" s="176" t="s">
        <v>11667</v>
      </c>
      <c r="C1193" s="57"/>
      <c r="D1193" s="57"/>
      <c r="E1193" s="57"/>
      <c r="F1193" s="57"/>
      <c r="G1193" s="57"/>
      <c r="H1193" s="57"/>
      <c r="I1193" s="57"/>
      <c r="J1193" s="57"/>
      <c r="K1193" s="57"/>
      <c r="L1193" s="57"/>
      <c r="M1193" s="57"/>
      <c r="N1193" s="57"/>
      <c r="O1193" s="57"/>
      <c r="P1193" s="57"/>
      <c r="Q1193" s="57"/>
      <c r="R1193" s="57"/>
      <c r="S1193" s="57"/>
      <c r="T1193" s="57"/>
      <c r="U1193" s="57"/>
      <c r="V1193" s="57"/>
      <c r="W1193" s="57"/>
      <c r="X1193" s="57"/>
      <c r="Y1193" s="57"/>
      <c r="Z1193" s="57"/>
      <c r="AA1193" s="57"/>
      <c r="AB1193" s="57"/>
      <c r="AC1193" s="57"/>
      <c r="AD1193" s="57"/>
    </row>
    <row r="1194" spans="1:30" ht="13.5" thickBot="1" x14ac:dyDescent="0.25">
      <c r="A1194" s="57"/>
      <c r="B1194" s="57"/>
      <c r="C1194" s="57"/>
      <c r="D1194" s="57"/>
      <c r="E1194" s="57"/>
      <c r="F1194" s="57"/>
      <c r="G1194" s="57"/>
      <c r="H1194" s="57"/>
      <c r="I1194" s="57"/>
      <c r="J1194" s="57"/>
      <c r="K1194" s="57"/>
      <c r="L1194" s="57"/>
      <c r="M1194" s="57"/>
      <c r="N1194" s="57"/>
      <c r="O1194" s="57"/>
      <c r="P1194" s="57"/>
      <c r="Q1194" s="57"/>
      <c r="R1194" s="57"/>
      <c r="S1194" s="57"/>
      <c r="T1194" s="57"/>
      <c r="U1194" s="57"/>
      <c r="V1194" s="57"/>
      <c r="W1194" s="57"/>
      <c r="X1194" s="57"/>
      <c r="Y1194" s="57"/>
      <c r="Z1194" s="57"/>
      <c r="AA1194" s="57"/>
      <c r="AB1194" s="57"/>
      <c r="AC1194" s="57"/>
      <c r="AD1194" s="57"/>
    </row>
    <row r="1195" spans="1:30" ht="13.5" thickBot="1" x14ac:dyDescent="0.25">
      <c r="A1195" s="57"/>
      <c r="B1195" s="156" t="s">
        <v>15844</v>
      </c>
      <c r="C1195" s="57"/>
      <c r="D1195" s="57"/>
      <c r="E1195" s="57"/>
      <c r="F1195" s="57"/>
      <c r="G1195" s="57"/>
      <c r="H1195" s="57"/>
      <c r="I1195" s="57"/>
      <c r="J1195" s="57"/>
      <c r="K1195" s="57"/>
      <c r="L1195" s="57"/>
      <c r="M1195" s="57"/>
      <c r="N1195" s="57"/>
      <c r="O1195" s="57"/>
      <c r="P1195" s="57"/>
      <c r="Q1195" s="57"/>
      <c r="R1195" s="57"/>
      <c r="S1195" s="57"/>
      <c r="T1195" s="57"/>
      <c r="U1195" s="57"/>
      <c r="V1195" s="57"/>
      <c r="W1195" s="57"/>
      <c r="X1195" s="57"/>
      <c r="Y1195" s="57"/>
      <c r="Z1195" s="57"/>
      <c r="AA1195" s="57"/>
      <c r="AB1195" s="57"/>
      <c r="AC1195" s="57"/>
      <c r="AD1195" s="57"/>
    </row>
    <row r="1196" spans="1:30" ht="13.5" thickBot="1" x14ac:dyDescent="0.25">
      <c r="A1196" s="57"/>
      <c r="B1196" s="57"/>
      <c r="C1196" s="237" t="s">
        <v>15845</v>
      </c>
      <c r="D1196" s="238"/>
      <c r="E1196" s="238"/>
      <c r="F1196" s="238"/>
      <c r="G1196" s="239"/>
      <c r="H1196" s="57"/>
      <c r="I1196" s="156" t="s">
        <v>15846</v>
      </c>
      <c r="J1196" s="57"/>
      <c r="K1196" s="57"/>
      <c r="L1196" s="57"/>
      <c r="M1196" s="57"/>
      <c r="N1196" s="57"/>
      <c r="O1196" s="57"/>
      <c r="P1196" s="57"/>
      <c r="Q1196" s="57"/>
      <c r="R1196" s="57"/>
      <c r="S1196" s="57"/>
      <c r="T1196" s="57"/>
      <c r="U1196" s="57"/>
      <c r="V1196" s="57"/>
      <c r="W1196" s="57"/>
      <c r="X1196" s="57"/>
      <c r="Y1196" s="57"/>
      <c r="Z1196" s="57"/>
      <c r="AA1196" s="57"/>
      <c r="AB1196" s="57"/>
      <c r="AC1196" s="57"/>
      <c r="AD1196" s="57"/>
    </row>
    <row r="1197" spans="1:30" ht="13.5" thickBot="1" x14ac:dyDescent="0.25">
      <c r="A1197" s="57"/>
      <c r="B1197" s="57"/>
      <c r="C1197" s="237" t="s">
        <v>13442</v>
      </c>
      <c r="D1197" s="239"/>
      <c r="E1197" s="237" t="s">
        <v>13443</v>
      </c>
      <c r="F1197" s="239"/>
      <c r="G1197" s="57"/>
      <c r="H1197" s="154" t="s">
        <v>13739</v>
      </c>
      <c r="I1197" s="154" t="s">
        <v>13442</v>
      </c>
      <c r="J1197" s="57"/>
      <c r="K1197" s="154" t="s">
        <v>13443</v>
      </c>
      <c r="L1197" s="57"/>
      <c r="M1197" s="57"/>
      <c r="N1197" s="154" t="s">
        <v>13274</v>
      </c>
      <c r="O1197" s="57"/>
      <c r="P1197" s="57"/>
      <c r="Q1197" s="57"/>
      <c r="R1197" s="57"/>
      <c r="S1197" s="57"/>
      <c r="T1197" s="57"/>
      <c r="U1197" s="57"/>
      <c r="V1197" s="57"/>
      <c r="W1197" s="57"/>
      <c r="X1197" s="57"/>
      <c r="Y1197" s="57"/>
      <c r="Z1197" s="57"/>
      <c r="AA1197" s="57"/>
      <c r="AB1197" s="57"/>
      <c r="AC1197" s="57"/>
      <c r="AD1197" s="57"/>
    </row>
    <row r="1198" spans="1:30" ht="26.25" thickBot="1" x14ac:dyDescent="0.25">
      <c r="A1198" s="57"/>
      <c r="B1198" s="154" t="s">
        <v>15847</v>
      </c>
      <c r="C1198" s="154" t="s">
        <v>15848</v>
      </c>
      <c r="D1198" s="154" t="s">
        <v>15849</v>
      </c>
      <c r="E1198" s="154" t="s">
        <v>15848</v>
      </c>
      <c r="F1198" s="154" t="s">
        <v>15849</v>
      </c>
      <c r="G1198" s="154" t="s">
        <v>15848</v>
      </c>
      <c r="H1198" s="154" t="s">
        <v>15849</v>
      </c>
      <c r="I1198" s="154" t="s">
        <v>15850</v>
      </c>
      <c r="J1198" s="154" t="s">
        <v>15849</v>
      </c>
      <c r="K1198" s="154" t="s">
        <v>15850</v>
      </c>
      <c r="L1198" s="154" t="s">
        <v>15849</v>
      </c>
      <c r="M1198" s="154" t="s">
        <v>15850</v>
      </c>
      <c r="N1198" s="154" t="s">
        <v>15849</v>
      </c>
      <c r="O1198" s="57"/>
      <c r="P1198" s="57"/>
      <c r="Q1198" s="57"/>
      <c r="R1198" s="57"/>
      <c r="S1198" s="57"/>
      <c r="T1198" s="57"/>
      <c r="U1198" s="57"/>
      <c r="V1198" s="57"/>
      <c r="W1198" s="57"/>
      <c r="X1198" s="57"/>
      <c r="Y1198" s="57"/>
      <c r="Z1198" s="57"/>
      <c r="AA1198" s="57"/>
      <c r="AB1198" s="57"/>
      <c r="AC1198" s="57"/>
      <c r="AD1198" s="57"/>
    </row>
    <row r="1199" spans="1:30" ht="13.5" thickBot="1" x14ac:dyDescent="0.25">
      <c r="A1199" s="57"/>
      <c r="B1199" s="154" t="s">
        <v>13372</v>
      </c>
      <c r="C1199" s="154" t="s">
        <v>12699</v>
      </c>
      <c r="D1199" s="154" t="s">
        <v>12699</v>
      </c>
      <c r="E1199" s="154" t="s">
        <v>12699</v>
      </c>
      <c r="F1199" s="154" t="s">
        <v>12699</v>
      </c>
      <c r="G1199" s="154" t="s">
        <v>12699</v>
      </c>
      <c r="H1199" s="154" t="s">
        <v>12699</v>
      </c>
      <c r="I1199" s="186" t="s">
        <v>13513</v>
      </c>
      <c r="J1199" s="186" t="s">
        <v>13401</v>
      </c>
      <c r="K1199" s="186" t="s">
        <v>15851</v>
      </c>
      <c r="L1199" s="186" t="s">
        <v>13961</v>
      </c>
      <c r="M1199" s="186" t="s">
        <v>13603</v>
      </c>
      <c r="N1199" s="186" t="s">
        <v>15852</v>
      </c>
      <c r="O1199" s="57"/>
      <c r="P1199" s="57"/>
      <c r="Q1199" s="57"/>
      <c r="R1199" s="57"/>
      <c r="S1199" s="57"/>
      <c r="T1199" s="57"/>
      <c r="U1199" s="57"/>
      <c r="V1199" s="57"/>
      <c r="W1199" s="57"/>
      <c r="X1199" s="57"/>
      <c r="Y1199" s="57"/>
      <c r="Z1199" s="57"/>
      <c r="AA1199" s="57"/>
      <c r="AB1199" s="57"/>
      <c r="AC1199" s="57"/>
      <c r="AD1199" s="57"/>
    </row>
    <row r="1200" spans="1:30" ht="13.5" thickBot="1" x14ac:dyDescent="0.25">
      <c r="A1200" s="57"/>
      <c r="B1200" s="154" t="s">
        <v>13378</v>
      </c>
      <c r="C1200" s="186" t="s">
        <v>13588</v>
      </c>
      <c r="D1200" s="186" t="s">
        <v>13647</v>
      </c>
      <c r="E1200" s="186" t="s">
        <v>13641</v>
      </c>
      <c r="F1200" s="186" t="s">
        <v>14429</v>
      </c>
      <c r="G1200" s="186" t="s">
        <v>13681</v>
      </c>
      <c r="H1200" s="186" t="s">
        <v>13665</v>
      </c>
      <c r="I1200" s="186" t="s">
        <v>13743</v>
      </c>
      <c r="J1200" s="186" t="s">
        <v>13483</v>
      </c>
      <c r="K1200" s="186" t="s">
        <v>13816</v>
      </c>
      <c r="L1200" s="186" t="s">
        <v>14496</v>
      </c>
      <c r="M1200" s="186" t="s">
        <v>13642</v>
      </c>
      <c r="N1200" s="186" t="s">
        <v>13642</v>
      </c>
      <c r="O1200" s="57"/>
      <c r="P1200" s="57"/>
      <c r="Q1200" s="57"/>
      <c r="R1200" s="57"/>
      <c r="S1200" s="57"/>
      <c r="T1200" s="57"/>
      <c r="U1200" s="57"/>
      <c r="V1200" s="57"/>
      <c r="W1200" s="57"/>
      <c r="X1200" s="57"/>
      <c r="Y1200" s="57"/>
      <c r="Z1200" s="57"/>
      <c r="AA1200" s="57"/>
      <c r="AB1200" s="57"/>
      <c r="AC1200" s="57"/>
      <c r="AD1200" s="57"/>
    </row>
    <row r="1201" spans="1:30" ht="13.5" thickBot="1" x14ac:dyDescent="0.25">
      <c r="A1201" s="57"/>
      <c r="B1201" s="154" t="s">
        <v>13384</v>
      </c>
      <c r="C1201" s="186" t="s">
        <v>13593</v>
      </c>
      <c r="D1201" s="186" t="s">
        <v>13456</v>
      </c>
      <c r="E1201" s="186" t="s">
        <v>13645</v>
      </c>
      <c r="F1201" s="186" t="s">
        <v>15328</v>
      </c>
      <c r="G1201" s="186" t="s">
        <v>13686</v>
      </c>
      <c r="H1201" s="186" t="s">
        <v>13586</v>
      </c>
      <c r="I1201" s="186" t="s">
        <v>14398</v>
      </c>
      <c r="J1201" s="186" t="s">
        <v>13875</v>
      </c>
      <c r="K1201" s="186" t="s">
        <v>14446</v>
      </c>
      <c r="L1201" s="186" t="s">
        <v>15328</v>
      </c>
      <c r="M1201" s="186" t="s">
        <v>13871</v>
      </c>
      <c r="N1201" s="186" t="s">
        <v>13646</v>
      </c>
      <c r="O1201" s="57"/>
      <c r="P1201" s="57"/>
      <c r="Q1201" s="57"/>
      <c r="R1201" s="57"/>
      <c r="S1201" s="57"/>
      <c r="T1201" s="57"/>
      <c r="U1201" s="57"/>
      <c r="V1201" s="57"/>
      <c r="W1201" s="57"/>
      <c r="X1201" s="57"/>
      <c r="Y1201" s="57"/>
      <c r="Z1201" s="57"/>
      <c r="AA1201" s="57"/>
      <c r="AB1201" s="57"/>
      <c r="AC1201" s="57"/>
      <c r="AD1201" s="57"/>
    </row>
    <row r="1202" spans="1:30" ht="13.5" thickBot="1" x14ac:dyDescent="0.25">
      <c r="A1202" s="57"/>
      <c r="B1202" s="154" t="s">
        <v>13391</v>
      </c>
      <c r="C1202" s="57"/>
      <c r="D1202" s="154" t="s">
        <v>12699</v>
      </c>
      <c r="E1202" s="154" t="s">
        <v>12699</v>
      </c>
      <c r="F1202" s="154" t="s">
        <v>12699</v>
      </c>
      <c r="G1202" s="154" t="s">
        <v>12699</v>
      </c>
      <c r="H1202" s="57"/>
      <c r="I1202" s="186" t="s">
        <v>14748</v>
      </c>
      <c r="J1202" s="186" t="s">
        <v>14438</v>
      </c>
      <c r="K1202" s="186" t="s">
        <v>15411</v>
      </c>
      <c r="L1202" s="186" t="s">
        <v>13891</v>
      </c>
      <c r="M1202" s="186" t="s">
        <v>13708</v>
      </c>
      <c r="N1202" s="186" t="s">
        <v>14369</v>
      </c>
      <c r="O1202" s="57"/>
      <c r="P1202" s="57"/>
      <c r="Q1202" s="57"/>
      <c r="R1202" s="57"/>
      <c r="S1202" s="57"/>
      <c r="T1202" s="57"/>
      <c r="U1202" s="57"/>
      <c r="V1202" s="57"/>
      <c r="W1202" s="57"/>
      <c r="X1202" s="57"/>
      <c r="Y1202" s="57"/>
      <c r="Z1202" s="57"/>
      <c r="AA1202" s="57"/>
      <c r="AB1202" s="57"/>
      <c r="AC1202" s="57"/>
      <c r="AD1202" s="57"/>
    </row>
    <row r="1203" spans="1:30" ht="13.5" thickBot="1" x14ac:dyDescent="0.25">
      <c r="A1203" s="57"/>
      <c r="B1203" s="154" t="s">
        <v>15853</v>
      </c>
      <c r="C1203" s="186" t="s">
        <v>13597</v>
      </c>
      <c r="D1203" s="186" t="s">
        <v>13772</v>
      </c>
      <c r="E1203" s="186" t="s">
        <v>13502</v>
      </c>
      <c r="F1203" s="186" t="s">
        <v>13686</v>
      </c>
      <c r="G1203" s="186" t="s">
        <v>13692</v>
      </c>
      <c r="H1203" s="186" t="s">
        <v>13871</v>
      </c>
      <c r="I1203" s="186" t="s">
        <v>13883</v>
      </c>
      <c r="J1203" s="186" t="s">
        <v>15318</v>
      </c>
      <c r="K1203" s="186" t="s">
        <v>13495</v>
      </c>
      <c r="L1203" s="186" t="s">
        <v>14365</v>
      </c>
      <c r="M1203" s="186" t="s">
        <v>13583</v>
      </c>
      <c r="N1203" s="186" t="s">
        <v>13753</v>
      </c>
      <c r="O1203" s="57"/>
      <c r="P1203" s="57"/>
      <c r="Q1203" s="57"/>
      <c r="R1203" s="57"/>
      <c r="S1203" s="57"/>
      <c r="T1203" s="57"/>
      <c r="U1203" s="57"/>
      <c r="V1203" s="57"/>
      <c r="W1203" s="57"/>
      <c r="X1203" s="57"/>
      <c r="Y1203" s="57"/>
      <c r="Z1203" s="57"/>
      <c r="AA1203" s="57"/>
      <c r="AB1203" s="57"/>
      <c r="AC1203" s="57"/>
      <c r="AD1203" s="57"/>
    </row>
    <row r="1204" spans="1:30" ht="13.5" thickBot="1" x14ac:dyDescent="0.25">
      <c r="A1204" s="57"/>
      <c r="B1204" s="154" t="s">
        <v>15854</v>
      </c>
      <c r="C1204" s="186" t="s">
        <v>13603</v>
      </c>
      <c r="D1204" s="186" t="s">
        <v>13514</v>
      </c>
      <c r="E1204" s="186" t="s">
        <v>13653</v>
      </c>
      <c r="F1204" s="186" t="s">
        <v>13920</v>
      </c>
      <c r="G1204" s="186" t="s">
        <v>13697</v>
      </c>
      <c r="H1204" s="186" t="s">
        <v>13622</v>
      </c>
      <c r="I1204" s="186" t="s">
        <v>13921</v>
      </c>
      <c r="J1204" s="186" t="s">
        <v>14391</v>
      </c>
      <c r="K1204" s="186" t="s">
        <v>13607</v>
      </c>
      <c r="L1204" s="186" t="s">
        <v>14352</v>
      </c>
      <c r="M1204" s="186" t="s">
        <v>13769</v>
      </c>
      <c r="N1204" s="186" t="s">
        <v>13601</v>
      </c>
      <c r="O1204" s="57"/>
      <c r="P1204" s="57"/>
      <c r="Q1204" s="57"/>
      <c r="R1204" s="57"/>
      <c r="S1204" s="57"/>
      <c r="T1204" s="57"/>
      <c r="U1204" s="57"/>
      <c r="V1204" s="57"/>
      <c r="W1204" s="57"/>
      <c r="X1204" s="57"/>
      <c r="Y1204" s="57"/>
      <c r="Z1204" s="57"/>
      <c r="AA1204" s="57"/>
      <c r="AB1204" s="57"/>
      <c r="AC1204" s="57"/>
      <c r="AD1204" s="57"/>
    </row>
    <row r="1205" spans="1:30" ht="13.5" thickBot="1" x14ac:dyDescent="0.25">
      <c r="A1205" s="57"/>
      <c r="B1205" s="154" t="s">
        <v>13408</v>
      </c>
      <c r="C1205" s="186" t="s">
        <v>13610</v>
      </c>
      <c r="D1205" s="186" t="s">
        <v>15855</v>
      </c>
      <c r="E1205" s="186" t="s">
        <v>13659</v>
      </c>
      <c r="F1205" s="186" t="s">
        <v>13741</v>
      </c>
      <c r="G1205" s="186" t="s">
        <v>13450</v>
      </c>
      <c r="H1205" s="186" t="s">
        <v>13675</v>
      </c>
      <c r="I1205" s="186" t="s">
        <v>13835</v>
      </c>
      <c r="J1205" s="186" t="s">
        <v>13495</v>
      </c>
      <c r="K1205" s="186" t="s">
        <v>13625</v>
      </c>
      <c r="L1205" s="186" t="s">
        <v>14453</v>
      </c>
      <c r="M1205" s="186" t="s">
        <v>15353</v>
      </c>
      <c r="N1205" s="186" t="s">
        <v>14406</v>
      </c>
      <c r="O1205" s="57"/>
      <c r="P1205" s="57"/>
      <c r="Q1205" s="57"/>
      <c r="R1205" s="57"/>
      <c r="S1205" s="57"/>
      <c r="T1205" s="57"/>
      <c r="U1205" s="57"/>
      <c r="V1205" s="57"/>
      <c r="W1205" s="57"/>
      <c r="X1205" s="57"/>
      <c r="Y1205" s="57"/>
      <c r="Z1205" s="57"/>
      <c r="AA1205" s="57"/>
      <c r="AB1205" s="57"/>
      <c r="AC1205" s="57"/>
      <c r="AD1205" s="57"/>
    </row>
    <row r="1206" spans="1:30" ht="13.5" thickBot="1" x14ac:dyDescent="0.25">
      <c r="A1206" s="57"/>
      <c r="B1206" s="154" t="s">
        <v>14412</v>
      </c>
      <c r="C1206" s="186" t="s">
        <v>13615</v>
      </c>
      <c r="D1206" s="186" t="s">
        <v>13470</v>
      </c>
      <c r="E1206" s="186" t="s">
        <v>13662</v>
      </c>
      <c r="F1206" s="186" t="s">
        <v>15321</v>
      </c>
      <c r="G1206" s="186" t="s">
        <v>13705</v>
      </c>
      <c r="H1206" s="186" t="s">
        <v>14490</v>
      </c>
      <c r="I1206" s="186" t="s">
        <v>13642</v>
      </c>
      <c r="J1206" s="186" t="s">
        <v>15335</v>
      </c>
      <c r="K1206" s="186" t="s">
        <v>13753</v>
      </c>
      <c r="L1206" s="186" t="s">
        <v>13587</v>
      </c>
      <c r="M1206" s="186" t="s">
        <v>14398</v>
      </c>
      <c r="N1206" s="186" t="s">
        <v>13544</v>
      </c>
      <c r="O1206" s="57"/>
      <c r="P1206" s="57"/>
      <c r="Q1206" s="57"/>
      <c r="R1206" s="57"/>
      <c r="S1206" s="57"/>
      <c r="T1206" s="57"/>
      <c r="U1206" s="57"/>
      <c r="V1206" s="57"/>
      <c r="W1206" s="57"/>
      <c r="X1206" s="57"/>
      <c r="Y1206" s="57"/>
      <c r="Z1206" s="57"/>
      <c r="AA1206" s="57"/>
      <c r="AB1206" s="57"/>
      <c r="AC1206" s="57"/>
      <c r="AD1206" s="57"/>
    </row>
    <row r="1207" spans="1:30" ht="13.5" thickBot="1" x14ac:dyDescent="0.25">
      <c r="A1207" s="57"/>
      <c r="B1207" s="154" t="s">
        <v>14417</v>
      </c>
      <c r="C1207" s="186" t="s">
        <v>13620</v>
      </c>
      <c r="D1207" s="186" t="s">
        <v>14549</v>
      </c>
      <c r="E1207" s="186" t="s">
        <v>13666</v>
      </c>
      <c r="F1207" s="186" t="s">
        <v>13525</v>
      </c>
      <c r="G1207" s="186" t="s">
        <v>13710</v>
      </c>
      <c r="H1207" s="186" t="s">
        <v>13814</v>
      </c>
      <c r="I1207" s="186" t="s">
        <v>13782</v>
      </c>
      <c r="J1207" s="186" t="s">
        <v>13964</v>
      </c>
      <c r="K1207" s="186" t="s">
        <v>15444</v>
      </c>
      <c r="L1207" s="186" t="s">
        <v>14404</v>
      </c>
      <c r="M1207" s="186" t="s">
        <v>13792</v>
      </c>
      <c r="N1207" s="186" t="s">
        <v>13916</v>
      </c>
      <c r="O1207" s="57"/>
      <c r="P1207" s="57"/>
      <c r="Q1207" s="57"/>
      <c r="R1207" s="57"/>
      <c r="S1207" s="57"/>
      <c r="T1207" s="57"/>
      <c r="U1207" s="57"/>
      <c r="V1207" s="57"/>
      <c r="W1207" s="57"/>
      <c r="X1207" s="57"/>
      <c r="Y1207" s="57"/>
      <c r="Z1207" s="57"/>
      <c r="AA1207" s="57"/>
      <c r="AB1207" s="57"/>
      <c r="AC1207" s="57"/>
      <c r="AD1207" s="57"/>
    </row>
    <row r="1208" spans="1:30" ht="13.5" thickBot="1" x14ac:dyDescent="0.25">
      <c r="A1208" s="57"/>
      <c r="B1208" s="154" t="s">
        <v>13426</v>
      </c>
      <c r="C1208" s="186" t="s">
        <v>13626</v>
      </c>
      <c r="D1208" s="186" t="s">
        <v>13675</v>
      </c>
      <c r="E1208" s="186" t="s">
        <v>13518</v>
      </c>
      <c r="F1208" s="186" t="s">
        <v>13805</v>
      </c>
      <c r="G1208" s="186" t="s">
        <v>13423</v>
      </c>
      <c r="H1208" s="186" t="s">
        <v>13852</v>
      </c>
      <c r="I1208" s="186" t="s">
        <v>14604</v>
      </c>
      <c r="J1208" s="186" t="s">
        <v>13518</v>
      </c>
      <c r="K1208" s="186" t="s">
        <v>14942</v>
      </c>
      <c r="L1208" s="186" t="s">
        <v>13698</v>
      </c>
      <c r="M1208" s="186" t="s">
        <v>13966</v>
      </c>
      <c r="N1208" s="186" t="s">
        <v>13671</v>
      </c>
      <c r="O1208" s="57"/>
      <c r="P1208" s="57"/>
      <c r="Q1208" s="57"/>
      <c r="R1208" s="57"/>
      <c r="S1208" s="57"/>
      <c r="T1208" s="57"/>
      <c r="U1208" s="57"/>
      <c r="V1208" s="57"/>
      <c r="W1208" s="57"/>
      <c r="X1208" s="57"/>
      <c r="Y1208" s="57"/>
      <c r="Z1208" s="57"/>
      <c r="AA1208" s="57"/>
      <c r="AB1208" s="57"/>
      <c r="AC1208" s="57"/>
      <c r="AD1208" s="57"/>
    </row>
    <row r="1209" spans="1:30" ht="13.5" thickBot="1" x14ac:dyDescent="0.25">
      <c r="A1209" s="57"/>
      <c r="B1209" s="154" t="s">
        <v>13432</v>
      </c>
      <c r="C1209" s="186" t="s">
        <v>13633</v>
      </c>
      <c r="D1209" s="186" t="s">
        <v>15328</v>
      </c>
      <c r="E1209" s="186" t="s">
        <v>13675</v>
      </c>
      <c r="F1209" s="186" t="s">
        <v>15349</v>
      </c>
      <c r="G1209" s="186" t="s">
        <v>13720</v>
      </c>
      <c r="H1209" s="186" t="s">
        <v>14142</v>
      </c>
      <c r="I1209" s="186" t="s">
        <v>13588</v>
      </c>
      <c r="J1209" s="186" t="s">
        <v>13686</v>
      </c>
      <c r="K1209" s="186" t="s">
        <v>13818</v>
      </c>
      <c r="L1209" s="186" t="s">
        <v>13857</v>
      </c>
      <c r="M1209" s="186" t="s">
        <v>13662</v>
      </c>
      <c r="N1209" s="186" t="s">
        <v>15509</v>
      </c>
      <c r="O1209" s="57"/>
      <c r="P1209" s="57"/>
      <c r="Q1209" s="57"/>
      <c r="R1209" s="57"/>
      <c r="S1209" s="57"/>
      <c r="T1209" s="57"/>
      <c r="U1209" s="57"/>
      <c r="V1209" s="57"/>
      <c r="W1209" s="57"/>
      <c r="X1209" s="57"/>
      <c r="Y1209" s="57"/>
      <c r="Z1209" s="57"/>
      <c r="AA1209" s="57"/>
      <c r="AB1209" s="57"/>
      <c r="AC1209" s="57"/>
      <c r="AD1209" s="57"/>
    </row>
    <row r="1210" spans="1:30" ht="13.5" thickBot="1" x14ac:dyDescent="0.25">
      <c r="A1210" s="57"/>
      <c r="B1210" s="154" t="s">
        <v>15488</v>
      </c>
      <c r="C1210" s="186" t="s">
        <v>13430</v>
      </c>
      <c r="D1210" s="186" t="s">
        <v>13618</v>
      </c>
      <c r="E1210" s="186" t="s">
        <v>13704</v>
      </c>
      <c r="F1210" s="186" t="s">
        <v>13830</v>
      </c>
      <c r="G1210" s="186" t="s">
        <v>13825</v>
      </c>
      <c r="H1210" s="186" t="s">
        <v>13496</v>
      </c>
      <c r="I1210" s="186" t="s">
        <v>14415</v>
      </c>
      <c r="J1210" s="186" t="s">
        <v>14941</v>
      </c>
      <c r="K1210" s="186" t="s">
        <v>13516</v>
      </c>
      <c r="L1210" s="186" t="s">
        <v>15343</v>
      </c>
      <c r="M1210" s="186" t="s">
        <v>15389</v>
      </c>
      <c r="N1210" s="186" t="s">
        <v>13774</v>
      </c>
      <c r="O1210" s="57"/>
      <c r="P1210" s="57"/>
      <c r="Q1210" s="57"/>
      <c r="R1210" s="57"/>
      <c r="S1210" s="57"/>
      <c r="T1210" s="57"/>
      <c r="U1210" s="57"/>
      <c r="V1210" s="57"/>
      <c r="W1210" s="57"/>
      <c r="X1210" s="57"/>
      <c r="Y1210" s="57"/>
      <c r="Z1210" s="57"/>
      <c r="AA1210" s="57"/>
      <c r="AB1210" s="57"/>
      <c r="AC1210" s="57"/>
      <c r="AD1210" s="57"/>
    </row>
    <row r="1211" spans="1:30" ht="13.5" thickBot="1" x14ac:dyDescent="0.25">
      <c r="A1211" s="57"/>
      <c r="B1211" s="57"/>
      <c r="C1211" s="57"/>
      <c r="D1211" s="57"/>
      <c r="E1211" s="57"/>
      <c r="F1211" s="57"/>
      <c r="G1211" s="57"/>
      <c r="H1211" s="57"/>
      <c r="I1211" s="57"/>
      <c r="J1211" s="57"/>
      <c r="K1211" s="57"/>
      <c r="L1211" s="57"/>
      <c r="M1211" s="57"/>
      <c r="N1211" s="57"/>
      <c r="O1211" s="57"/>
      <c r="P1211" s="57"/>
      <c r="Q1211" s="57"/>
      <c r="R1211" s="57"/>
      <c r="S1211" s="57"/>
      <c r="T1211" s="57"/>
      <c r="U1211" s="57"/>
      <c r="V1211" s="57"/>
      <c r="W1211" s="57"/>
      <c r="X1211" s="57"/>
      <c r="Y1211" s="57"/>
      <c r="Z1211" s="57"/>
      <c r="AA1211" s="57"/>
      <c r="AB1211" s="57"/>
      <c r="AC1211" s="57"/>
      <c r="AD1211" s="57"/>
    </row>
    <row r="1212" spans="1:30" ht="13.5" thickBot="1" x14ac:dyDescent="0.25">
      <c r="A1212" s="57"/>
      <c r="B1212" s="57"/>
      <c r="C1212" s="57"/>
      <c r="D1212" s="57"/>
      <c r="E1212" s="57"/>
      <c r="F1212" s="57"/>
      <c r="G1212" s="57"/>
      <c r="H1212" s="57"/>
      <c r="I1212" s="57"/>
      <c r="J1212" s="57"/>
      <c r="K1212" s="57"/>
      <c r="L1212" s="57"/>
      <c r="M1212" s="57"/>
      <c r="N1212" s="57"/>
      <c r="O1212" s="57"/>
      <c r="P1212" s="57"/>
      <c r="Q1212" s="57"/>
      <c r="R1212" s="57"/>
      <c r="S1212" s="57"/>
      <c r="T1212" s="57"/>
      <c r="U1212" s="57"/>
      <c r="V1212" s="57"/>
      <c r="W1212" s="57"/>
      <c r="X1212" s="57"/>
      <c r="Y1212" s="57"/>
      <c r="Z1212" s="57"/>
      <c r="AA1212" s="57"/>
      <c r="AB1212" s="57"/>
      <c r="AC1212" s="57"/>
      <c r="AD1212" s="57"/>
    </row>
    <row r="1213" spans="1:30" ht="13.5" thickBot="1" x14ac:dyDescent="0.25">
      <c r="A1213" s="57"/>
      <c r="B1213" s="156" t="s">
        <v>15856</v>
      </c>
      <c r="C1213" s="57"/>
      <c r="D1213" s="57"/>
      <c r="E1213" s="57"/>
      <c r="F1213" s="57"/>
      <c r="G1213" s="57"/>
      <c r="H1213" s="57"/>
      <c r="I1213" s="57"/>
      <c r="J1213" s="57"/>
      <c r="K1213" s="57"/>
      <c r="L1213" s="57"/>
      <c r="M1213" s="57"/>
      <c r="N1213" s="57"/>
      <c r="O1213" s="57"/>
      <c r="P1213" s="57"/>
      <c r="Q1213" s="57"/>
      <c r="R1213" s="57"/>
      <c r="S1213" s="57"/>
      <c r="T1213" s="57"/>
      <c r="U1213" s="57"/>
      <c r="V1213" s="57"/>
      <c r="W1213" s="57"/>
      <c r="X1213" s="57"/>
      <c r="Y1213" s="57"/>
      <c r="Z1213" s="57"/>
      <c r="AA1213" s="57"/>
      <c r="AB1213" s="57"/>
      <c r="AC1213" s="57"/>
      <c r="AD1213" s="57"/>
    </row>
    <row r="1214" spans="1:30" ht="13.5" thickBot="1" x14ac:dyDescent="0.25">
      <c r="A1214" s="57"/>
      <c r="B1214" s="57"/>
      <c r="C1214" s="154" t="s">
        <v>13442</v>
      </c>
      <c r="D1214" s="57"/>
      <c r="E1214" s="154" t="s">
        <v>13443</v>
      </c>
      <c r="F1214" s="57"/>
      <c r="G1214" s="57"/>
      <c r="H1214" s="154" t="s">
        <v>13739</v>
      </c>
      <c r="I1214" s="57"/>
      <c r="J1214" s="57"/>
      <c r="K1214" s="57"/>
      <c r="L1214" s="57"/>
      <c r="M1214" s="57"/>
      <c r="N1214" s="57"/>
      <c r="O1214" s="57"/>
      <c r="P1214" s="57"/>
      <c r="Q1214" s="57"/>
      <c r="R1214" s="57"/>
      <c r="S1214" s="57"/>
      <c r="T1214" s="57"/>
      <c r="U1214" s="57"/>
      <c r="V1214" s="57"/>
      <c r="W1214" s="57"/>
      <c r="X1214" s="57"/>
      <c r="Y1214" s="57"/>
      <c r="Z1214" s="57"/>
      <c r="AA1214" s="57"/>
      <c r="AB1214" s="57"/>
      <c r="AC1214" s="57"/>
      <c r="AD1214" s="57"/>
    </row>
    <row r="1215" spans="1:30" ht="26.25" thickBot="1" x14ac:dyDescent="0.25">
      <c r="A1215" s="57"/>
      <c r="B1215" s="154" t="s">
        <v>15847</v>
      </c>
      <c r="C1215" s="154" t="s">
        <v>15850</v>
      </c>
      <c r="D1215" s="154" t="s">
        <v>15849</v>
      </c>
      <c r="E1215" s="154" t="s">
        <v>15850</v>
      </c>
      <c r="F1215" s="154" t="s">
        <v>15849</v>
      </c>
      <c r="G1215" s="154" t="s">
        <v>15850</v>
      </c>
      <c r="H1215" s="154" t="s">
        <v>15849</v>
      </c>
      <c r="I1215" s="57"/>
      <c r="J1215" s="57"/>
      <c r="K1215" s="57"/>
      <c r="L1215" s="57"/>
      <c r="M1215" s="57"/>
      <c r="N1215" s="57"/>
      <c r="O1215" s="57"/>
      <c r="P1215" s="57"/>
      <c r="Q1215" s="57"/>
      <c r="R1215" s="57"/>
      <c r="S1215" s="57"/>
      <c r="T1215" s="57"/>
      <c r="U1215" s="57"/>
      <c r="V1215" s="57"/>
      <c r="W1215" s="57"/>
      <c r="X1215" s="57"/>
      <c r="Y1215" s="57"/>
      <c r="Z1215" s="57"/>
      <c r="AA1215" s="57"/>
      <c r="AB1215" s="57"/>
      <c r="AC1215" s="57"/>
      <c r="AD1215" s="57"/>
    </row>
    <row r="1216" spans="1:30" ht="13.5" thickBot="1" x14ac:dyDescent="0.25">
      <c r="A1216" s="57"/>
      <c r="B1216" s="154" t="s">
        <v>13372</v>
      </c>
      <c r="C1216" s="186" t="s">
        <v>13710</v>
      </c>
      <c r="D1216" s="186" t="s">
        <v>13715</v>
      </c>
      <c r="E1216" s="186" t="s">
        <v>14490</v>
      </c>
      <c r="F1216" s="186" t="s">
        <v>13514</v>
      </c>
      <c r="G1216" s="186" t="s">
        <v>13946</v>
      </c>
      <c r="H1216" s="186" t="s">
        <v>13965</v>
      </c>
      <c r="I1216" s="57"/>
      <c r="J1216" s="57"/>
      <c r="K1216" s="57"/>
      <c r="L1216" s="57"/>
      <c r="M1216" s="57"/>
      <c r="N1216" s="57"/>
      <c r="O1216" s="57"/>
      <c r="P1216" s="57"/>
      <c r="Q1216" s="57"/>
      <c r="R1216" s="57"/>
      <c r="S1216" s="57"/>
      <c r="T1216" s="57"/>
      <c r="U1216" s="57"/>
      <c r="V1216" s="57"/>
      <c r="W1216" s="57"/>
      <c r="X1216" s="57"/>
      <c r="Y1216" s="57"/>
      <c r="Z1216" s="57"/>
      <c r="AA1216" s="57"/>
      <c r="AB1216" s="57"/>
      <c r="AC1216" s="57"/>
      <c r="AD1216" s="57"/>
    </row>
    <row r="1217" spans="1:30" ht="13.5" thickBot="1" x14ac:dyDescent="0.25">
      <c r="A1217" s="57"/>
      <c r="B1217" s="154" t="s">
        <v>13378</v>
      </c>
      <c r="C1217" s="186" t="s">
        <v>14416</v>
      </c>
      <c r="D1217" s="186" t="s">
        <v>13586</v>
      </c>
      <c r="E1217" s="186" t="s">
        <v>13897</v>
      </c>
      <c r="F1217" s="186" t="s">
        <v>15348</v>
      </c>
      <c r="G1217" s="186" t="s">
        <v>14496</v>
      </c>
      <c r="H1217" s="186" t="s">
        <v>13809</v>
      </c>
      <c r="I1217" s="57"/>
      <c r="J1217" s="57"/>
      <c r="K1217" s="57"/>
      <c r="L1217" s="57"/>
      <c r="M1217" s="57"/>
      <c r="N1217" s="57"/>
      <c r="O1217" s="57"/>
      <c r="P1217" s="57"/>
      <c r="Q1217" s="57"/>
      <c r="R1217" s="57"/>
      <c r="S1217" s="57"/>
      <c r="T1217" s="57"/>
      <c r="U1217" s="57"/>
      <c r="V1217" s="57"/>
      <c r="W1217" s="57"/>
      <c r="X1217" s="57"/>
      <c r="Y1217" s="57"/>
      <c r="Z1217" s="57"/>
      <c r="AA1217" s="57"/>
      <c r="AB1217" s="57"/>
      <c r="AC1217" s="57"/>
      <c r="AD1217" s="57"/>
    </row>
    <row r="1218" spans="1:30" ht="13.5" thickBot="1" x14ac:dyDescent="0.25">
      <c r="A1218" s="57"/>
      <c r="B1218" s="154" t="s">
        <v>13384</v>
      </c>
      <c r="C1218" s="186" t="s">
        <v>13949</v>
      </c>
      <c r="D1218" s="186" t="s">
        <v>13779</v>
      </c>
      <c r="E1218" s="186" t="s">
        <v>14499</v>
      </c>
      <c r="F1218" s="186" t="s">
        <v>13874</v>
      </c>
      <c r="G1218" s="186" t="s">
        <v>13913</v>
      </c>
      <c r="H1218" s="186" t="s">
        <v>13693</v>
      </c>
      <c r="I1218" s="57"/>
      <c r="J1218" s="57"/>
      <c r="K1218" s="57"/>
      <c r="L1218" s="57"/>
      <c r="M1218" s="57"/>
      <c r="N1218" s="57"/>
      <c r="O1218" s="57"/>
      <c r="P1218" s="57"/>
      <c r="Q1218" s="57"/>
      <c r="R1218" s="57"/>
      <c r="S1218" s="57"/>
      <c r="T1218" s="57"/>
      <c r="U1218" s="57"/>
      <c r="V1218" s="57"/>
      <c r="W1218" s="57"/>
      <c r="X1218" s="57"/>
      <c r="Y1218" s="57"/>
      <c r="Z1218" s="57"/>
      <c r="AA1218" s="57"/>
      <c r="AB1218" s="57"/>
      <c r="AC1218" s="57"/>
      <c r="AD1218" s="57"/>
    </row>
    <row r="1219" spans="1:30" ht="13.5" thickBot="1" x14ac:dyDescent="0.25">
      <c r="A1219" s="57"/>
      <c r="B1219" s="154" t="s">
        <v>13391</v>
      </c>
      <c r="C1219" s="186" t="s">
        <v>13453</v>
      </c>
      <c r="D1219" s="186" t="s">
        <v>13458</v>
      </c>
      <c r="E1219" s="186" t="s">
        <v>13893</v>
      </c>
      <c r="F1219" s="186" t="s">
        <v>14390</v>
      </c>
      <c r="G1219" s="186" t="s">
        <v>14372</v>
      </c>
      <c r="H1219" s="186" t="s">
        <v>15857</v>
      </c>
      <c r="I1219" s="57"/>
      <c r="J1219" s="57"/>
      <c r="K1219" s="57"/>
      <c r="L1219" s="57"/>
      <c r="M1219" s="57"/>
      <c r="N1219" s="57"/>
      <c r="O1219" s="57"/>
      <c r="P1219" s="57"/>
      <c r="Q1219" s="57"/>
      <c r="R1219" s="57"/>
      <c r="S1219" s="57"/>
      <c r="T1219" s="57"/>
      <c r="U1219" s="57"/>
      <c r="V1219" s="57"/>
      <c r="W1219" s="57"/>
      <c r="X1219" s="57"/>
      <c r="Y1219" s="57"/>
      <c r="Z1219" s="57"/>
      <c r="AA1219" s="57"/>
      <c r="AB1219" s="57"/>
      <c r="AC1219" s="57"/>
      <c r="AD1219" s="57"/>
    </row>
    <row r="1220" spans="1:30" ht="13.5" thickBot="1" x14ac:dyDescent="0.25">
      <c r="A1220" s="57"/>
      <c r="B1220" s="154" t="s">
        <v>13397</v>
      </c>
      <c r="C1220" s="186" t="s">
        <v>13550</v>
      </c>
      <c r="D1220" s="186" t="s">
        <v>13814</v>
      </c>
      <c r="E1220" s="186" t="s">
        <v>14508</v>
      </c>
      <c r="F1220" s="186" t="s">
        <v>13884</v>
      </c>
      <c r="G1220" s="186" t="s">
        <v>13616</v>
      </c>
      <c r="H1220" s="186" t="s">
        <v>13478</v>
      </c>
      <c r="I1220" s="57"/>
      <c r="J1220" s="57"/>
      <c r="K1220" s="57"/>
      <c r="L1220" s="57"/>
      <c r="M1220" s="57"/>
      <c r="N1220" s="57"/>
      <c r="O1220" s="57"/>
      <c r="P1220" s="57"/>
      <c r="Q1220" s="57"/>
      <c r="R1220" s="57"/>
      <c r="S1220" s="57"/>
      <c r="T1220" s="57"/>
      <c r="U1220" s="57"/>
      <c r="V1220" s="57"/>
      <c r="W1220" s="57"/>
      <c r="X1220" s="57"/>
      <c r="Y1220" s="57"/>
      <c r="Z1220" s="57"/>
      <c r="AA1220" s="57"/>
      <c r="AB1220" s="57"/>
      <c r="AC1220" s="57"/>
      <c r="AD1220" s="57"/>
    </row>
    <row r="1221" spans="1:30" ht="13.5" thickBot="1" x14ac:dyDescent="0.25">
      <c r="A1221" s="57"/>
      <c r="B1221" s="154" t="s">
        <v>15854</v>
      </c>
      <c r="C1221" s="186" t="s">
        <v>13874</v>
      </c>
      <c r="D1221" s="186" t="s">
        <v>15858</v>
      </c>
      <c r="E1221" s="186" t="s">
        <v>14513</v>
      </c>
      <c r="F1221" s="186" t="s">
        <v>13867</v>
      </c>
      <c r="G1221" s="186" t="s">
        <v>14515</v>
      </c>
      <c r="H1221" s="186" t="s">
        <v>15497</v>
      </c>
      <c r="I1221" s="57"/>
      <c r="J1221" s="57"/>
      <c r="K1221" s="57"/>
      <c r="L1221" s="57"/>
      <c r="M1221" s="57"/>
      <c r="N1221" s="57"/>
      <c r="O1221" s="57"/>
      <c r="P1221" s="57"/>
      <c r="Q1221" s="57"/>
      <c r="R1221" s="57"/>
      <c r="S1221" s="57"/>
      <c r="T1221" s="57"/>
      <c r="U1221" s="57"/>
      <c r="V1221" s="57"/>
      <c r="W1221" s="57"/>
      <c r="X1221" s="57"/>
      <c r="Y1221" s="57"/>
      <c r="Z1221" s="57"/>
      <c r="AA1221" s="57"/>
      <c r="AB1221" s="57"/>
      <c r="AC1221" s="57"/>
      <c r="AD1221" s="57"/>
    </row>
    <row r="1222" spans="1:30" ht="13.5" thickBot="1" x14ac:dyDescent="0.25">
      <c r="A1222" s="57"/>
      <c r="B1222" s="154" t="s">
        <v>13408</v>
      </c>
      <c r="C1222" s="186" t="s">
        <v>13514</v>
      </c>
      <c r="D1222" s="186" t="s">
        <v>15859</v>
      </c>
      <c r="E1222" s="186" t="s">
        <v>13681</v>
      </c>
      <c r="F1222" s="186" t="s">
        <v>13816</v>
      </c>
      <c r="G1222" s="186" t="s">
        <v>14520</v>
      </c>
      <c r="H1222" s="186" t="s">
        <v>13700</v>
      </c>
      <c r="I1222" s="57"/>
      <c r="J1222" s="57"/>
      <c r="K1222" s="57"/>
      <c r="L1222" s="57"/>
      <c r="M1222" s="57"/>
      <c r="N1222" s="57"/>
      <c r="O1222" s="57"/>
      <c r="P1222" s="57"/>
      <c r="Q1222" s="57"/>
      <c r="R1222" s="57"/>
      <c r="S1222" s="57"/>
      <c r="T1222" s="57"/>
      <c r="U1222" s="57"/>
      <c r="V1222" s="57"/>
      <c r="W1222" s="57"/>
      <c r="X1222" s="57"/>
      <c r="Y1222" s="57"/>
      <c r="Z1222" s="57"/>
      <c r="AA1222" s="57"/>
      <c r="AB1222" s="57"/>
      <c r="AC1222" s="57"/>
      <c r="AD1222" s="57"/>
    </row>
    <row r="1223" spans="1:30" ht="13.5" thickBot="1" x14ac:dyDescent="0.25">
      <c r="A1223" s="57"/>
      <c r="B1223" s="154" t="s">
        <v>14412</v>
      </c>
      <c r="C1223" s="186" t="s">
        <v>13767</v>
      </c>
      <c r="D1223" s="186" t="s">
        <v>13886</v>
      </c>
      <c r="E1223" s="186" t="s">
        <v>14523</v>
      </c>
      <c r="F1223" s="186" t="s">
        <v>13846</v>
      </c>
      <c r="G1223" s="186" t="s">
        <v>13677</v>
      </c>
      <c r="H1223" s="186" t="s">
        <v>13611</v>
      </c>
      <c r="I1223" s="57"/>
      <c r="J1223" s="57"/>
      <c r="K1223" s="57"/>
      <c r="L1223" s="57"/>
      <c r="M1223" s="57"/>
      <c r="N1223" s="57"/>
      <c r="O1223" s="57"/>
      <c r="P1223" s="57"/>
      <c r="Q1223" s="57"/>
      <c r="R1223" s="57"/>
      <c r="S1223" s="57"/>
      <c r="T1223" s="57"/>
      <c r="U1223" s="57"/>
      <c r="V1223" s="57"/>
      <c r="W1223" s="57"/>
      <c r="X1223" s="57"/>
      <c r="Y1223" s="57"/>
      <c r="Z1223" s="57"/>
      <c r="AA1223" s="57"/>
      <c r="AB1223" s="57"/>
      <c r="AC1223" s="57"/>
      <c r="AD1223" s="57"/>
    </row>
    <row r="1224" spans="1:30" ht="13.5" thickBot="1" x14ac:dyDescent="0.25">
      <c r="A1224" s="57"/>
      <c r="B1224" s="154" t="s">
        <v>14417</v>
      </c>
      <c r="C1224" s="186" t="s">
        <v>14383</v>
      </c>
      <c r="D1224" s="186" t="s">
        <v>14598</v>
      </c>
      <c r="E1224" s="186" t="s">
        <v>13550</v>
      </c>
      <c r="F1224" s="186" t="s">
        <v>14460</v>
      </c>
      <c r="G1224" s="186" t="s">
        <v>13642</v>
      </c>
      <c r="H1224" s="186" t="s">
        <v>13709</v>
      </c>
      <c r="I1224" s="57"/>
      <c r="J1224" s="57"/>
      <c r="K1224" s="57"/>
      <c r="L1224" s="57"/>
      <c r="M1224" s="57"/>
      <c r="N1224" s="57"/>
      <c r="O1224" s="57"/>
      <c r="P1224" s="57"/>
      <c r="Q1224" s="57"/>
      <c r="R1224" s="57"/>
      <c r="S1224" s="57"/>
      <c r="T1224" s="57"/>
      <c r="U1224" s="57"/>
      <c r="V1224" s="57"/>
      <c r="W1224" s="57"/>
      <c r="X1224" s="57"/>
      <c r="Y1224" s="57"/>
      <c r="Z1224" s="57"/>
      <c r="AA1224" s="57"/>
      <c r="AB1224" s="57"/>
      <c r="AC1224" s="57"/>
      <c r="AD1224" s="57"/>
    </row>
    <row r="1225" spans="1:30" ht="13.5" thickBot="1" x14ac:dyDescent="0.25">
      <c r="A1225" s="57"/>
      <c r="B1225" s="154" t="s">
        <v>13426</v>
      </c>
      <c r="C1225" s="186" t="s">
        <v>14404</v>
      </c>
      <c r="D1225" s="186" t="s">
        <v>15019</v>
      </c>
      <c r="E1225" s="186" t="s">
        <v>13805</v>
      </c>
      <c r="F1225" s="186" t="s">
        <v>15860</v>
      </c>
      <c r="G1225" s="186" t="s">
        <v>14520</v>
      </c>
      <c r="H1225" s="186" t="s">
        <v>14407</v>
      </c>
      <c r="I1225" s="57"/>
      <c r="J1225" s="57"/>
      <c r="K1225" s="57"/>
      <c r="L1225" s="57"/>
      <c r="M1225" s="57"/>
      <c r="N1225" s="57"/>
      <c r="O1225" s="57"/>
      <c r="P1225" s="57"/>
      <c r="Q1225" s="57"/>
      <c r="R1225" s="57"/>
      <c r="S1225" s="57"/>
      <c r="T1225" s="57"/>
      <c r="U1225" s="57"/>
      <c r="V1225" s="57"/>
      <c r="W1225" s="57"/>
      <c r="X1225" s="57"/>
      <c r="Y1225" s="57"/>
      <c r="Z1225" s="57"/>
      <c r="AA1225" s="57"/>
      <c r="AB1225" s="57"/>
      <c r="AC1225" s="57"/>
      <c r="AD1225" s="57"/>
    </row>
    <row r="1226" spans="1:30" ht="13.5" thickBot="1" x14ac:dyDescent="0.25">
      <c r="A1226" s="57"/>
      <c r="B1226" s="154" t="s">
        <v>13432</v>
      </c>
      <c r="C1226" s="186" t="s">
        <v>13451</v>
      </c>
      <c r="D1226" s="186" t="s">
        <v>13910</v>
      </c>
      <c r="E1226" s="186" t="s">
        <v>13658</v>
      </c>
      <c r="F1226" s="186" t="s">
        <v>13630</v>
      </c>
      <c r="G1226" s="186" t="s">
        <v>14422</v>
      </c>
      <c r="H1226" s="186" t="s">
        <v>14408</v>
      </c>
      <c r="I1226" s="57"/>
      <c r="J1226" s="57"/>
      <c r="K1226" s="57"/>
      <c r="L1226" s="57"/>
      <c r="M1226" s="57"/>
      <c r="N1226" s="57"/>
      <c r="O1226" s="57"/>
      <c r="P1226" s="57"/>
      <c r="Q1226" s="57"/>
      <c r="R1226" s="57"/>
      <c r="S1226" s="57"/>
      <c r="T1226" s="57"/>
      <c r="U1226" s="57"/>
      <c r="V1226" s="57"/>
      <c r="W1226" s="57"/>
      <c r="X1226" s="57"/>
      <c r="Y1226" s="57"/>
      <c r="Z1226" s="57"/>
      <c r="AA1226" s="57"/>
      <c r="AB1226" s="57"/>
      <c r="AC1226" s="57"/>
      <c r="AD1226" s="57"/>
    </row>
    <row r="1227" spans="1:30" ht="13.5" thickBot="1" x14ac:dyDescent="0.25">
      <c r="A1227" s="57"/>
      <c r="B1227" s="154" t="s">
        <v>15488</v>
      </c>
      <c r="C1227" s="186" t="s">
        <v>13457</v>
      </c>
      <c r="D1227" s="186" t="s">
        <v>14428</v>
      </c>
      <c r="E1227" s="186" t="s">
        <v>13874</v>
      </c>
      <c r="F1227" s="186" t="s">
        <v>13764</v>
      </c>
      <c r="G1227" s="186" t="s">
        <v>13420</v>
      </c>
      <c r="H1227" s="186" t="s">
        <v>13474</v>
      </c>
      <c r="I1227" s="57"/>
      <c r="J1227" s="57"/>
      <c r="K1227" s="57"/>
      <c r="L1227" s="57"/>
      <c r="M1227" s="57"/>
      <c r="N1227" s="57"/>
      <c r="O1227" s="57"/>
      <c r="P1227" s="57"/>
      <c r="Q1227" s="57"/>
      <c r="R1227" s="57"/>
      <c r="S1227" s="57"/>
      <c r="T1227" s="57"/>
      <c r="U1227" s="57"/>
      <c r="V1227" s="57"/>
      <c r="W1227" s="57"/>
      <c r="X1227" s="57"/>
      <c r="Y1227" s="57"/>
      <c r="Z1227" s="57"/>
      <c r="AA1227" s="57"/>
      <c r="AB1227" s="57"/>
      <c r="AC1227" s="57"/>
      <c r="AD1227" s="57"/>
    </row>
    <row r="1228" spans="1:30" ht="13.5" thickBot="1" x14ac:dyDescent="0.25">
      <c r="A1228" s="57"/>
      <c r="B1228" s="57"/>
      <c r="C1228" s="57"/>
      <c r="D1228" s="57"/>
      <c r="E1228" s="57"/>
      <c r="F1228" s="57"/>
      <c r="G1228" s="57"/>
      <c r="H1228" s="57"/>
      <c r="I1228" s="57"/>
      <c r="J1228" s="57"/>
      <c r="K1228" s="57"/>
      <c r="L1228" s="57"/>
      <c r="M1228" s="57"/>
      <c r="N1228" s="57"/>
      <c r="O1228" s="57"/>
      <c r="P1228" s="57"/>
      <c r="Q1228" s="57"/>
      <c r="R1228" s="57"/>
      <c r="S1228" s="57"/>
      <c r="T1228" s="57"/>
      <c r="U1228" s="57"/>
      <c r="V1228" s="57"/>
      <c r="W1228" s="57"/>
      <c r="X1228" s="57"/>
      <c r="Y1228" s="57"/>
      <c r="Z1228" s="57"/>
      <c r="AA1228" s="57"/>
      <c r="AB1228" s="57"/>
      <c r="AC1228" s="57"/>
      <c r="AD1228" s="57"/>
    </row>
    <row r="1229" spans="1:30" ht="13.5" thickBot="1" x14ac:dyDescent="0.25">
      <c r="A1229" s="57"/>
      <c r="B1229" s="57"/>
      <c r="C1229" s="57"/>
      <c r="D1229" s="57"/>
      <c r="E1229" s="57"/>
      <c r="F1229" s="57"/>
      <c r="G1229" s="57"/>
      <c r="H1229" s="57"/>
      <c r="I1229" s="57"/>
      <c r="J1229" s="57"/>
      <c r="K1229" s="57"/>
      <c r="L1229" s="57"/>
      <c r="M1229" s="57"/>
      <c r="N1229" s="57"/>
      <c r="O1229" s="57"/>
      <c r="P1229" s="57"/>
      <c r="Q1229" s="57"/>
      <c r="R1229" s="57"/>
      <c r="S1229" s="57"/>
      <c r="T1229" s="57"/>
      <c r="U1229" s="57"/>
      <c r="V1229" s="57"/>
      <c r="W1229" s="57"/>
      <c r="X1229" s="57"/>
      <c r="Y1229" s="57"/>
      <c r="Z1229" s="57"/>
      <c r="AA1229" s="57"/>
      <c r="AB1229" s="57"/>
      <c r="AC1229" s="57"/>
      <c r="AD1229" s="57"/>
    </row>
    <row r="1230" spans="1:30" ht="13.5" thickBot="1" x14ac:dyDescent="0.25">
      <c r="A1230" s="57"/>
      <c r="B1230" s="57"/>
      <c r="C1230" s="57"/>
      <c r="D1230" s="57"/>
      <c r="E1230" s="57"/>
      <c r="F1230" s="57"/>
      <c r="G1230" s="57"/>
      <c r="H1230" s="57"/>
      <c r="I1230" s="57"/>
      <c r="J1230" s="57"/>
      <c r="K1230" s="57"/>
      <c r="L1230" s="57"/>
      <c r="M1230" s="57"/>
      <c r="N1230" s="57"/>
      <c r="O1230" s="57"/>
      <c r="P1230" s="57"/>
      <c r="Q1230" s="57"/>
      <c r="R1230" s="57"/>
      <c r="S1230" s="57"/>
      <c r="T1230" s="57"/>
      <c r="U1230" s="57"/>
      <c r="V1230" s="57"/>
      <c r="W1230" s="57"/>
      <c r="X1230" s="57"/>
      <c r="Y1230" s="57"/>
      <c r="Z1230" s="57"/>
      <c r="AA1230" s="57"/>
      <c r="AB1230" s="57"/>
      <c r="AC1230" s="57"/>
      <c r="AD1230" s="57"/>
    </row>
    <row r="1231" spans="1:30" ht="179.25" thickBot="1" x14ac:dyDescent="0.25">
      <c r="A1231" s="57"/>
      <c r="B1231" s="228" t="s">
        <v>945</v>
      </c>
      <c r="C1231" s="57"/>
      <c r="D1231" s="57"/>
      <c r="E1231" s="57"/>
      <c r="F1231" s="57"/>
      <c r="G1231" s="57"/>
      <c r="H1231" s="57"/>
      <c r="I1231" s="57"/>
      <c r="J1231" s="57"/>
      <c r="K1231" s="57"/>
      <c r="L1231" s="57"/>
      <c r="M1231" s="57"/>
      <c r="N1231" s="57"/>
      <c r="O1231" s="57"/>
      <c r="P1231" s="57"/>
      <c r="Q1231" s="57"/>
      <c r="R1231" s="57"/>
      <c r="S1231" s="57"/>
      <c r="T1231" s="57"/>
      <c r="U1231" s="57"/>
      <c r="V1231" s="57"/>
      <c r="W1231" s="57"/>
      <c r="X1231" s="57"/>
      <c r="Y1231" s="57"/>
      <c r="Z1231" s="57"/>
      <c r="AA1231" s="57"/>
      <c r="AB1231" s="57"/>
      <c r="AC1231" s="57"/>
      <c r="AD1231" s="57"/>
    </row>
    <row r="1232" spans="1:30" ht="13.5" thickBot="1" x14ac:dyDescent="0.25">
      <c r="A1232" s="57"/>
      <c r="B1232" s="88"/>
      <c r="C1232" s="88"/>
      <c r="D1232" s="88"/>
      <c r="E1232" s="88"/>
      <c r="F1232" s="88"/>
      <c r="G1232" s="57"/>
      <c r="H1232" s="57"/>
      <c r="I1232" s="57"/>
      <c r="J1232" s="57"/>
      <c r="K1232" s="57"/>
      <c r="L1232" s="57"/>
      <c r="M1232" s="57"/>
      <c r="N1232" s="57"/>
      <c r="O1232" s="57"/>
      <c r="P1232" s="57"/>
      <c r="Q1232" s="57"/>
      <c r="R1232" s="57"/>
      <c r="S1232" s="57"/>
      <c r="T1232" s="57"/>
      <c r="U1232" s="57"/>
      <c r="V1232" s="57"/>
      <c r="W1232" s="57"/>
      <c r="X1232" s="57"/>
      <c r="Y1232" s="57"/>
      <c r="Z1232" s="57"/>
      <c r="AA1232" s="57"/>
      <c r="AB1232" s="57"/>
      <c r="AC1232" s="57"/>
      <c r="AD1232" s="57"/>
    </row>
    <row r="1233" spans="1:30" ht="15.75" thickBot="1" x14ac:dyDescent="0.3">
      <c r="A1233" s="80"/>
      <c r="B1233" s="229" t="s">
        <v>15287</v>
      </c>
      <c r="C1233" s="229" t="s">
        <v>13442</v>
      </c>
      <c r="D1233" s="229" t="s">
        <v>13443</v>
      </c>
      <c r="E1233" s="229" t="s">
        <v>12915</v>
      </c>
      <c r="F1233" s="229" t="s">
        <v>15861</v>
      </c>
      <c r="G1233" s="57"/>
      <c r="H1233" s="57"/>
      <c r="I1233" s="57"/>
      <c r="J1233" s="57"/>
      <c r="K1233" s="57"/>
      <c r="L1233" s="57"/>
      <c r="M1233" s="57"/>
      <c r="N1233" s="57"/>
      <c r="O1233" s="57"/>
      <c r="P1233" s="57"/>
      <c r="Q1233" s="57"/>
      <c r="R1233" s="57"/>
      <c r="S1233" s="57"/>
      <c r="T1233" s="57"/>
      <c r="U1233" s="57"/>
      <c r="V1233" s="57"/>
      <c r="W1233" s="57"/>
      <c r="X1233" s="57"/>
      <c r="Y1233" s="57"/>
      <c r="Z1233" s="57"/>
      <c r="AA1233" s="57"/>
      <c r="AB1233" s="57"/>
      <c r="AC1233" s="57"/>
      <c r="AD1233" s="57"/>
    </row>
    <row r="1234" spans="1:30" ht="15.75" thickBot="1" x14ac:dyDescent="0.3">
      <c r="A1234" s="57"/>
      <c r="B1234" s="230" t="s">
        <v>13079</v>
      </c>
      <c r="C1234" s="231" t="s">
        <v>13561</v>
      </c>
      <c r="D1234" s="231" t="s">
        <v>14606</v>
      </c>
      <c r="E1234" s="231" t="s">
        <v>13840</v>
      </c>
      <c r="F1234" s="231" t="s">
        <v>14606</v>
      </c>
      <c r="G1234" s="57"/>
      <c r="H1234" s="57"/>
      <c r="I1234" s="57"/>
      <c r="J1234" s="57"/>
      <c r="K1234" s="57"/>
      <c r="L1234" s="57"/>
      <c r="M1234" s="57"/>
      <c r="N1234" s="57"/>
      <c r="O1234" s="57"/>
      <c r="P1234" s="57"/>
      <c r="Q1234" s="57"/>
      <c r="R1234" s="57"/>
      <c r="S1234" s="57"/>
      <c r="T1234" s="57"/>
      <c r="U1234" s="57"/>
      <c r="V1234" s="57"/>
      <c r="W1234" s="57"/>
      <c r="X1234" s="57"/>
      <c r="Y1234" s="57"/>
      <c r="Z1234" s="57"/>
      <c r="AA1234" s="57"/>
      <c r="AB1234" s="57"/>
      <c r="AC1234" s="57"/>
      <c r="AD1234" s="57"/>
    </row>
    <row r="1235" spans="1:30" ht="15.75" thickBot="1" x14ac:dyDescent="0.3">
      <c r="A1235" s="57"/>
      <c r="B1235" s="232" t="s">
        <v>15862</v>
      </c>
      <c r="C1235" s="233" t="s">
        <v>14373</v>
      </c>
      <c r="D1235" s="233" t="s">
        <v>15346</v>
      </c>
      <c r="E1235" s="233" t="s">
        <v>13474</v>
      </c>
      <c r="F1235" s="233" t="s">
        <v>15346</v>
      </c>
      <c r="G1235" s="57"/>
      <c r="H1235" s="57"/>
      <c r="I1235" s="57"/>
      <c r="J1235" s="57"/>
      <c r="K1235" s="57"/>
      <c r="L1235" s="57"/>
      <c r="M1235" s="57"/>
      <c r="N1235" s="57"/>
      <c r="O1235" s="57"/>
      <c r="P1235" s="57"/>
      <c r="Q1235" s="57"/>
      <c r="R1235" s="57"/>
      <c r="S1235" s="57"/>
      <c r="T1235" s="57"/>
      <c r="U1235" s="57"/>
      <c r="V1235" s="57"/>
      <c r="W1235" s="57"/>
      <c r="X1235" s="57"/>
      <c r="Y1235" s="57"/>
      <c r="Z1235" s="57"/>
      <c r="AA1235" s="57"/>
      <c r="AB1235" s="57"/>
      <c r="AC1235" s="57"/>
      <c r="AD1235" s="57"/>
    </row>
    <row r="1236" spans="1:30" ht="15.75" thickBot="1" x14ac:dyDescent="0.3">
      <c r="A1236" s="80"/>
      <c r="B1236" s="229" t="s">
        <v>15863</v>
      </c>
      <c r="C1236" s="234"/>
      <c r="D1236" s="234"/>
      <c r="E1236" s="234"/>
      <c r="F1236" s="234"/>
      <c r="G1236" s="57"/>
      <c r="H1236" s="57"/>
      <c r="I1236" s="57"/>
      <c r="J1236" s="57"/>
      <c r="K1236" s="57"/>
      <c r="L1236" s="57"/>
      <c r="M1236" s="57"/>
      <c r="N1236" s="57"/>
      <c r="O1236" s="57"/>
      <c r="P1236" s="57"/>
      <c r="Q1236" s="57"/>
      <c r="R1236" s="57"/>
      <c r="S1236" s="57"/>
      <c r="T1236" s="57"/>
      <c r="U1236" s="57"/>
      <c r="V1236" s="57"/>
      <c r="W1236" s="57"/>
      <c r="X1236" s="57"/>
      <c r="Y1236" s="57"/>
      <c r="Z1236" s="57"/>
      <c r="AA1236" s="57"/>
      <c r="AB1236" s="57"/>
      <c r="AC1236" s="57"/>
      <c r="AD1236" s="57"/>
    </row>
    <row r="1237" spans="1:30" ht="15.75" thickBot="1" x14ac:dyDescent="0.3">
      <c r="A1237" s="57"/>
      <c r="B1237" s="230" t="s">
        <v>13079</v>
      </c>
      <c r="C1237" s="231" t="s">
        <v>13616</v>
      </c>
      <c r="D1237" s="231" t="s">
        <v>13528</v>
      </c>
      <c r="E1237" s="231" t="s">
        <v>13647</v>
      </c>
      <c r="F1237" s="231" t="s">
        <v>13528</v>
      </c>
      <c r="G1237" s="57"/>
      <c r="H1237" s="57"/>
      <c r="I1237" s="57"/>
      <c r="J1237" s="57"/>
      <c r="K1237" s="57"/>
      <c r="L1237" s="57"/>
      <c r="M1237" s="57"/>
      <c r="N1237" s="57"/>
      <c r="O1237" s="57"/>
      <c r="P1237" s="57"/>
      <c r="Q1237" s="57"/>
      <c r="R1237" s="57"/>
      <c r="S1237" s="57"/>
      <c r="T1237" s="57"/>
      <c r="U1237" s="57"/>
      <c r="V1237" s="57"/>
      <c r="W1237" s="57"/>
      <c r="X1237" s="57"/>
      <c r="Y1237" s="57"/>
      <c r="Z1237" s="57"/>
      <c r="AA1237" s="57"/>
      <c r="AB1237" s="57"/>
      <c r="AC1237" s="57"/>
      <c r="AD1237" s="57"/>
    </row>
    <row r="1238" spans="1:30" ht="15.75" thickBot="1" x14ac:dyDescent="0.3">
      <c r="A1238" s="57"/>
      <c r="B1238" s="232" t="s">
        <v>15862</v>
      </c>
      <c r="C1238" s="233" t="s">
        <v>13788</v>
      </c>
      <c r="D1238" s="233" t="s">
        <v>13881</v>
      </c>
      <c r="E1238" s="233" t="s">
        <v>13612</v>
      </c>
      <c r="F1238" s="233" t="s">
        <v>13881</v>
      </c>
      <c r="G1238" s="57"/>
      <c r="H1238" s="57"/>
      <c r="I1238" s="57"/>
      <c r="J1238" s="57"/>
      <c r="K1238" s="57"/>
      <c r="L1238" s="57"/>
      <c r="M1238" s="57"/>
      <c r="N1238" s="57"/>
      <c r="O1238" s="57"/>
      <c r="P1238" s="57"/>
      <c r="Q1238" s="57"/>
      <c r="R1238" s="57"/>
      <c r="S1238" s="57"/>
      <c r="T1238" s="57"/>
      <c r="U1238" s="57"/>
      <c r="V1238" s="57"/>
      <c r="W1238" s="57"/>
      <c r="X1238" s="57"/>
      <c r="Y1238" s="57"/>
      <c r="Z1238" s="57"/>
      <c r="AA1238" s="57"/>
      <c r="AB1238" s="57"/>
      <c r="AC1238" s="57"/>
      <c r="AD1238" s="57"/>
    </row>
    <row r="1239" spans="1:30" ht="15.75" thickBot="1" x14ac:dyDescent="0.3">
      <c r="A1239" s="80"/>
      <c r="B1239" s="229" t="s">
        <v>13524</v>
      </c>
      <c r="C1239" s="234"/>
      <c r="D1239" s="234"/>
      <c r="E1239" s="234"/>
      <c r="F1239" s="234"/>
      <c r="G1239" s="57"/>
      <c r="H1239" s="57"/>
      <c r="I1239" s="57"/>
      <c r="J1239" s="57"/>
      <c r="K1239" s="57"/>
      <c r="L1239" s="57"/>
      <c r="M1239" s="57"/>
      <c r="N1239" s="57"/>
      <c r="O1239" s="57"/>
      <c r="P1239" s="57"/>
      <c r="Q1239" s="57"/>
      <c r="R1239" s="57"/>
      <c r="S1239" s="57"/>
      <c r="T1239" s="57"/>
      <c r="U1239" s="57"/>
      <c r="V1239" s="57"/>
      <c r="W1239" s="57"/>
      <c r="X1239" s="57"/>
      <c r="Y1239" s="57"/>
      <c r="Z1239" s="57"/>
      <c r="AA1239" s="57"/>
      <c r="AB1239" s="57"/>
      <c r="AC1239" s="57"/>
      <c r="AD1239" s="57"/>
    </row>
    <row r="1240" spans="1:30" ht="15.75" thickBot="1" x14ac:dyDescent="0.3">
      <c r="A1240" s="57"/>
      <c r="B1240" s="230" t="s">
        <v>13079</v>
      </c>
      <c r="C1240" s="231" t="s">
        <v>14405</v>
      </c>
      <c r="D1240" s="231" t="s">
        <v>13420</v>
      </c>
      <c r="E1240" s="231" t="s">
        <v>14442</v>
      </c>
      <c r="F1240" s="231" t="s">
        <v>13420</v>
      </c>
      <c r="G1240" s="57"/>
      <c r="H1240" s="57"/>
      <c r="I1240" s="57"/>
      <c r="J1240" s="57"/>
      <c r="K1240" s="57"/>
      <c r="L1240" s="57"/>
      <c r="M1240" s="57"/>
      <c r="N1240" s="57"/>
      <c r="O1240" s="57"/>
      <c r="P1240" s="57"/>
      <c r="Q1240" s="57"/>
      <c r="R1240" s="57"/>
      <c r="S1240" s="57"/>
      <c r="T1240" s="57"/>
      <c r="U1240" s="57"/>
      <c r="V1240" s="57"/>
      <c r="W1240" s="57"/>
      <c r="X1240" s="57"/>
      <c r="Y1240" s="57"/>
      <c r="Z1240" s="57"/>
      <c r="AA1240" s="57"/>
      <c r="AB1240" s="57"/>
      <c r="AC1240" s="57"/>
      <c r="AD1240" s="57"/>
    </row>
    <row r="1241" spans="1:30" ht="15.75" thickBot="1" x14ac:dyDescent="0.3">
      <c r="A1241" s="57"/>
      <c r="B1241" s="232" t="s">
        <v>15862</v>
      </c>
      <c r="C1241" s="233" t="s">
        <v>13716</v>
      </c>
      <c r="D1241" s="233" t="s">
        <v>13811</v>
      </c>
      <c r="E1241" s="233" t="s">
        <v>13755</v>
      </c>
      <c r="F1241" s="233" t="s">
        <v>13811</v>
      </c>
      <c r="G1241" s="57"/>
      <c r="H1241" s="57"/>
      <c r="I1241" s="57"/>
      <c r="J1241" s="57"/>
      <c r="K1241" s="57"/>
      <c r="L1241" s="57"/>
      <c r="M1241" s="57"/>
      <c r="N1241" s="57"/>
      <c r="O1241" s="57"/>
      <c r="P1241" s="57"/>
      <c r="Q1241" s="57"/>
      <c r="R1241" s="57"/>
      <c r="S1241" s="57"/>
      <c r="T1241" s="57"/>
      <c r="U1241" s="57"/>
      <c r="V1241" s="57"/>
      <c r="W1241" s="57"/>
      <c r="X1241" s="57"/>
      <c r="Y1241" s="57"/>
      <c r="Z1241" s="57"/>
      <c r="AA1241" s="57"/>
      <c r="AB1241" s="57"/>
      <c r="AC1241" s="57"/>
      <c r="AD1241" s="57"/>
    </row>
    <row r="1242" spans="1:30" ht="15.75" thickBot="1" x14ac:dyDescent="0.3">
      <c r="A1242" s="80"/>
      <c r="B1242" s="229" t="s">
        <v>15864</v>
      </c>
      <c r="C1242" s="234"/>
      <c r="D1242" s="234"/>
      <c r="E1242" s="234"/>
      <c r="F1242" s="234"/>
      <c r="G1242" s="57"/>
      <c r="H1242" s="57"/>
      <c r="I1242" s="57"/>
      <c r="J1242" s="57"/>
      <c r="K1242" s="57"/>
      <c r="L1242" s="57"/>
      <c r="M1242" s="57"/>
      <c r="N1242" s="57"/>
      <c r="O1242" s="57"/>
      <c r="P1242" s="57"/>
      <c r="Q1242" s="57"/>
      <c r="R1242" s="57"/>
      <c r="S1242" s="57"/>
      <c r="T1242" s="57"/>
      <c r="U1242" s="57"/>
      <c r="V1242" s="57"/>
      <c r="W1242" s="57"/>
      <c r="X1242" s="57"/>
      <c r="Y1242" s="57"/>
      <c r="Z1242" s="57"/>
      <c r="AA1242" s="57"/>
      <c r="AB1242" s="57"/>
      <c r="AC1242" s="57"/>
      <c r="AD1242" s="57"/>
    </row>
    <row r="1243" spans="1:30" ht="15.75" thickBot="1" x14ac:dyDescent="0.3">
      <c r="A1243" s="57"/>
      <c r="B1243" s="230" t="s">
        <v>13079</v>
      </c>
      <c r="C1243" s="231" t="s">
        <v>15335</v>
      </c>
      <c r="D1243" s="231" t="s">
        <v>14602</v>
      </c>
      <c r="E1243" s="231" t="s">
        <v>14520</v>
      </c>
      <c r="F1243" s="231" t="s">
        <v>14602</v>
      </c>
      <c r="G1243" s="57"/>
      <c r="H1243" s="57"/>
      <c r="I1243" s="57"/>
      <c r="J1243" s="57"/>
      <c r="K1243" s="57"/>
      <c r="L1243" s="57"/>
      <c r="M1243" s="57"/>
      <c r="N1243" s="57"/>
      <c r="O1243" s="57"/>
      <c r="P1243" s="57"/>
      <c r="Q1243" s="57"/>
      <c r="R1243" s="57"/>
      <c r="S1243" s="57"/>
      <c r="T1243" s="57"/>
      <c r="U1243" s="57"/>
      <c r="V1243" s="57"/>
      <c r="W1243" s="57"/>
      <c r="X1243" s="57"/>
      <c r="Y1243" s="57"/>
      <c r="Z1243" s="57"/>
      <c r="AA1243" s="57"/>
      <c r="AB1243" s="57"/>
      <c r="AC1243" s="57"/>
      <c r="AD1243" s="57"/>
    </row>
    <row r="1244" spans="1:30" ht="15.75" thickBot="1" x14ac:dyDescent="0.3">
      <c r="A1244" s="57"/>
      <c r="B1244" s="230" t="s">
        <v>15865</v>
      </c>
      <c r="C1244" s="231" t="s">
        <v>13881</v>
      </c>
      <c r="D1244" s="231" t="s">
        <v>15019</v>
      </c>
      <c r="E1244" s="231" t="s">
        <v>13483</v>
      </c>
      <c r="F1244" s="231" t="s">
        <v>15019</v>
      </c>
      <c r="G1244" s="57"/>
      <c r="H1244" s="57"/>
      <c r="I1244" s="57"/>
      <c r="J1244" s="57"/>
      <c r="K1244" s="57"/>
      <c r="L1244" s="57"/>
      <c r="M1244" s="57"/>
      <c r="N1244" s="57"/>
      <c r="O1244" s="57"/>
      <c r="P1244" s="57"/>
      <c r="Q1244" s="57"/>
      <c r="R1244" s="57"/>
      <c r="S1244" s="57"/>
      <c r="T1244" s="57"/>
      <c r="U1244" s="57"/>
      <c r="V1244" s="57"/>
      <c r="W1244" s="57"/>
      <c r="X1244" s="57"/>
      <c r="Y1244" s="57"/>
      <c r="Z1244" s="57"/>
      <c r="AA1244" s="57"/>
      <c r="AB1244" s="57"/>
      <c r="AC1244" s="57"/>
      <c r="AD1244" s="57"/>
    </row>
    <row r="1245" spans="1:30" ht="15.75" thickBot="1" x14ac:dyDescent="0.3">
      <c r="A1245" s="57"/>
      <c r="B1245" s="230" t="s">
        <v>15866</v>
      </c>
      <c r="C1245" s="231" t="s">
        <v>13420</v>
      </c>
      <c r="D1245" s="231" t="s">
        <v>13782</v>
      </c>
      <c r="E1245" s="231" t="s">
        <v>13420</v>
      </c>
      <c r="F1245" s="231" t="s">
        <v>13782</v>
      </c>
      <c r="G1245" s="57"/>
      <c r="H1245" s="57"/>
      <c r="I1245" s="57"/>
      <c r="J1245" s="57"/>
      <c r="K1245" s="57"/>
      <c r="L1245" s="57"/>
      <c r="M1245" s="57"/>
      <c r="N1245" s="57"/>
      <c r="O1245" s="57"/>
      <c r="P1245" s="57"/>
      <c r="Q1245" s="57"/>
      <c r="R1245" s="57"/>
      <c r="S1245" s="57"/>
      <c r="T1245" s="57"/>
      <c r="U1245" s="57"/>
      <c r="V1245" s="57"/>
      <c r="W1245" s="57"/>
      <c r="X1245" s="57"/>
      <c r="Y1245" s="57"/>
      <c r="Z1245" s="57"/>
      <c r="AA1245" s="57"/>
      <c r="AB1245" s="57"/>
      <c r="AC1245" s="57"/>
      <c r="AD1245" s="57"/>
    </row>
    <row r="1246" spans="1:30" ht="15.75" thickBot="1" x14ac:dyDescent="0.3">
      <c r="A1246" s="57"/>
      <c r="B1246" s="230" t="s">
        <v>14254</v>
      </c>
      <c r="C1246" s="231" t="s">
        <v>13681</v>
      </c>
      <c r="D1246" s="231" t="s">
        <v>13681</v>
      </c>
      <c r="E1246" s="231" t="s">
        <v>13828</v>
      </c>
      <c r="F1246" s="231" t="s">
        <v>13681</v>
      </c>
      <c r="G1246" s="57"/>
      <c r="H1246" s="57"/>
      <c r="I1246" s="57"/>
      <c r="J1246" s="57"/>
      <c r="K1246" s="57"/>
      <c r="L1246" s="57"/>
      <c r="M1246" s="57"/>
      <c r="N1246" s="57"/>
      <c r="O1246" s="57"/>
      <c r="P1246" s="57"/>
      <c r="Q1246" s="57"/>
      <c r="R1246" s="57"/>
      <c r="S1246" s="57"/>
      <c r="T1246" s="57"/>
      <c r="U1246" s="57"/>
      <c r="V1246" s="57"/>
      <c r="W1246" s="57"/>
      <c r="X1246" s="57"/>
      <c r="Y1246" s="57"/>
      <c r="Z1246" s="57"/>
      <c r="AA1246" s="57"/>
      <c r="AB1246" s="57"/>
      <c r="AC1246" s="57"/>
      <c r="AD1246" s="57"/>
    </row>
    <row r="1247" spans="1:30" ht="15.75" thickBot="1" x14ac:dyDescent="0.3">
      <c r="A1247" s="57"/>
      <c r="B1247" s="230" t="s">
        <v>14255</v>
      </c>
      <c r="C1247" s="231" t="s">
        <v>13388</v>
      </c>
      <c r="D1247" s="231" t="s">
        <v>14363</v>
      </c>
      <c r="E1247" s="231" t="s">
        <v>13451</v>
      </c>
      <c r="F1247" s="231" t="s">
        <v>14363</v>
      </c>
      <c r="G1247" s="57"/>
      <c r="H1247" s="57"/>
      <c r="I1247" s="57"/>
      <c r="J1247" s="57"/>
      <c r="K1247" s="57"/>
      <c r="L1247" s="57"/>
      <c r="M1247" s="57"/>
      <c r="N1247" s="57"/>
      <c r="O1247" s="57"/>
      <c r="P1247" s="57"/>
      <c r="Q1247" s="57"/>
      <c r="R1247" s="57"/>
      <c r="S1247" s="57"/>
      <c r="T1247" s="57"/>
      <c r="U1247" s="57"/>
      <c r="V1247" s="57"/>
      <c r="W1247" s="57"/>
      <c r="X1247" s="57"/>
      <c r="Y1247" s="57"/>
      <c r="Z1247" s="57"/>
      <c r="AA1247" s="57"/>
      <c r="AB1247" s="57"/>
      <c r="AC1247" s="57"/>
      <c r="AD1247" s="57"/>
    </row>
    <row r="1248" spans="1:30" ht="15.75" thickBot="1" x14ac:dyDescent="0.3">
      <c r="A1248" s="57"/>
      <c r="B1248" s="232" t="s">
        <v>15867</v>
      </c>
      <c r="C1248" s="233" t="s">
        <v>13964</v>
      </c>
      <c r="D1248" s="233" t="s">
        <v>13388</v>
      </c>
      <c r="E1248" s="233" t="s">
        <v>13456</v>
      </c>
      <c r="F1248" s="233" t="s">
        <v>13388</v>
      </c>
      <c r="G1248" s="57"/>
      <c r="H1248" s="57"/>
      <c r="I1248" s="57"/>
      <c r="J1248" s="57"/>
      <c r="K1248" s="57"/>
      <c r="L1248" s="57"/>
      <c r="M1248" s="57"/>
      <c r="N1248" s="57"/>
      <c r="O1248" s="57"/>
      <c r="P1248" s="57"/>
      <c r="Q1248" s="57"/>
      <c r="R1248" s="57"/>
      <c r="S1248" s="57"/>
      <c r="T1248" s="57"/>
      <c r="U1248" s="57"/>
      <c r="V1248" s="57"/>
      <c r="W1248" s="57"/>
      <c r="X1248" s="57"/>
      <c r="Y1248" s="57"/>
      <c r="Z1248" s="57"/>
      <c r="AA1248" s="57"/>
      <c r="AB1248" s="57"/>
      <c r="AC1248" s="57"/>
      <c r="AD1248" s="57"/>
    </row>
    <row r="1249" spans="1:30" ht="15.75" thickBot="1" x14ac:dyDescent="0.3">
      <c r="A1249" s="80"/>
      <c r="B1249" s="229" t="s">
        <v>15868</v>
      </c>
      <c r="C1249" s="234"/>
      <c r="D1249" s="234"/>
      <c r="E1249" s="234"/>
      <c r="F1249" s="234"/>
      <c r="G1249" s="57"/>
      <c r="H1249" s="57"/>
      <c r="I1249" s="57"/>
      <c r="J1249" s="57"/>
      <c r="K1249" s="57"/>
      <c r="L1249" s="57"/>
      <c r="M1249" s="57"/>
      <c r="N1249" s="57"/>
      <c r="O1249" s="57"/>
      <c r="P1249" s="57"/>
      <c r="Q1249" s="57"/>
      <c r="R1249" s="57"/>
      <c r="S1249" s="57"/>
      <c r="T1249" s="57"/>
      <c r="U1249" s="57"/>
      <c r="V1249" s="57"/>
      <c r="W1249" s="57"/>
      <c r="X1249" s="57"/>
      <c r="Y1249" s="57"/>
      <c r="Z1249" s="57"/>
      <c r="AA1249" s="57"/>
      <c r="AB1249" s="57"/>
      <c r="AC1249" s="57"/>
      <c r="AD1249" s="57"/>
    </row>
    <row r="1250" spans="1:30" ht="15.75" thickBot="1" x14ac:dyDescent="0.3">
      <c r="A1250" s="57"/>
      <c r="B1250" s="230" t="s">
        <v>13079</v>
      </c>
      <c r="C1250" s="231" t="s">
        <v>13932</v>
      </c>
      <c r="D1250" s="231" t="s">
        <v>13646</v>
      </c>
      <c r="E1250" s="231" t="s">
        <v>14322</v>
      </c>
      <c r="F1250" s="231" t="s">
        <v>13646</v>
      </c>
      <c r="G1250" s="57"/>
      <c r="H1250" s="57"/>
      <c r="I1250" s="57"/>
      <c r="J1250" s="57"/>
      <c r="K1250" s="57"/>
      <c r="L1250" s="57"/>
      <c r="M1250" s="57"/>
      <c r="N1250" s="57"/>
      <c r="O1250" s="57"/>
      <c r="P1250" s="57"/>
      <c r="Q1250" s="57"/>
      <c r="R1250" s="57"/>
      <c r="S1250" s="57"/>
      <c r="T1250" s="57"/>
      <c r="U1250" s="57"/>
      <c r="V1250" s="57"/>
      <c r="W1250" s="57"/>
      <c r="X1250" s="57"/>
      <c r="Y1250" s="57"/>
      <c r="Z1250" s="57"/>
      <c r="AA1250" s="57"/>
      <c r="AB1250" s="57"/>
      <c r="AC1250" s="57"/>
      <c r="AD1250" s="57"/>
    </row>
    <row r="1251" spans="1:30" ht="15.75" thickBot="1" x14ac:dyDescent="0.3">
      <c r="A1251" s="57"/>
      <c r="B1251" s="230" t="s">
        <v>15865</v>
      </c>
      <c r="C1251" s="231" t="s">
        <v>13470</v>
      </c>
      <c r="D1251" s="231" t="s">
        <v>13453</v>
      </c>
      <c r="E1251" s="231" t="s">
        <v>14409</v>
      </c>
      <c r="F1251" s="231" t="s">
        <v>13453</v>
      </c>
      <c r="G1251" s="57"/>
      <c r="H1251" s="57"/>
      <c r="I1251" s="57"/>
      <c r="J1251" s="57"/>
      <c r="K1251" s="57"/>
      <c r="L1251" s="57"/>
      <c r="M1251" s="57"/>
      <c r="N1251" s="57"/>
      <c r="O1251" s="57"/>
      <c r="P1251" s="57"/>
      <c r="Q1251" s="57"/>
      <c r="R1251" s="57"/>
      <c r="S1251" s="57"/>
      <c r="T1251" s="57"/>
      <c r="U1251" s="57"/>
      <c r="V1251" s="57"/>
      <c r="W1251" s="57"/>
      <c r="X1251" s="57"/>
      <c r="Y1251" s="57"/>
      <c r="Z1251" s="57"/>
      <c r="AA1251" s="57"/>
      <c r="AB1251" s="57"/>
      <c r="AC1251" s="57"/>
      <c r="AD1251" s="57"/>
    </row>
    <row r="1252" spans="1:30" ht="15.75" thickBot="1" x14ac:dyDescent="0.3">
      <c r="A1252" s="57"/>
      <c r="B1252" s="230" t="s">
        <v>15866</v>
      </c>
      <c r="C1252" s="231" t="s">
        <v>13611</v>
      </c>
      <c r="D1252" s="231" t="s">
        <v>14383</v>
      </c>
      <c r="E1252" s="231" t="s">
        <v>14404</v>
      </c>
      <c r="F1252" s="231" t="s">
        <v>14383</v>
      </c>
      <c r="G1252" s="57"/>
      <c r="H1252" s="57"/>
      <c r="I1252" s="57"/>
      <c r="J1252" s="57"/>
      <c r="K1252" s="57"/>
      <c r="L1252" s="57"/>
      <c r="M1252" s="57"/>
      <c r="N1252" s="57"/>
      <c r="O1252" s="57"/>
      <c r="P1252" s="57"/>
      <c r="Q1252" s="57"/>
      <c r="R1252" s="57"/>
      <c r="S1252" s="57"/>
      <c r="T1252" s="57"/>
      <c r="U1252" s="57"/>
      <c r="V1252" s="57"/>
      <c r="W1252" s="57"/>
      <c r="X1252" s="57"/>
      <c r="Y1252" s="57"/>
      <c r="Z1252" s="57"/>
      <c r="AA1252" s="57"/>
      <c r="AB1252" s="57"/>
      <c r="AC1252" s="57"/>
      <c r="AD1252" s="57"/>
    </row>
    <row r="1253" spans="1:30" ht="15.75" thickBot="1" x14ac:dyDescent="0.3">
      <c r="A1253" s="57"/>
      <c r="B1253" s="230" t="s">
        <v>14254</v>
      </c>
      <c r="C1253" s="231" t="s">
        <v>13456</v>
      </c>
      <c r="D1253" s="231" t="s">
        <v>15320</v>
      </c>
      <c r="E1253" s="231" t="s">
        <v>13752</v>
      </c>
      <c r="F1253" s="231" t="s">
        <v>15320</v>
      </c>
      <c r="G1253" s="57"/>
      <c r="H1253" s="57"/>
      <c r="I1253" s="57"/>
      <c r="J1253" s="57"/>
      <c r="K1253" s="57"/>
      <c r="L1253" s="57"/>
      <c r="M1253" s="57"/>
      <c r="N1253" s="57"/>
      <c r="O1253" s="57"/>
      <c r="P1253" s="57"/>
      <c r="Q1253" s="57"/>
      <c r="R1253" s="57"/>
      <c r="S1253" s="57"/>
      <c r="T1253" s="57"/>
      <c r="U1253" s="57"/>
      <c r="V1253" s="57"/>
      <c r="W1253" s="57"/>
      <c r="X1253" s="57"/>
      <c r="Y1253" s="57"/>
      <c r="Z1253" s="57"/>
      <c r="AA1253" s="57"/>
      <c r="AB1253" s="57"/>
      <c r="AC1253" s="57"/>
      <c r="AD1253" s="57"/>
    </row>
    <row r="1254" spans="1:30" ht="15.75" thickBot="1" x14ac:dyDescent="0.3">
      <c r="A1254" s="57"/>
      <c r="B1254" s="230" t="s">
        <v>14255</v>
      </c>
      <c r="C1254" s="231" t="s">
        <v>13420</v>
      </c>
      <c r="D1254" s="231" t="s">
        <v>13782</v>
      </c>
      <c r="E1254" s="231" t="s">
        <v>13420</v>
      </c>
      <c r="F1254" s="231" t="s">
        <v>13782</v>
      </c>
      <c r="G1254" s="57"/>
      <c r="H1254" s="57"/>
      <c r="I1254" s="57"/>
      <c r="J1254" s="57"/>
      <c r="K1254" s="57"/>
      <c r="L1254" s="57"/>
      <c r="M1254" s="57"/>
      <c r="N1254" s="57"/>
      <c r="O1254" s="57"/>
      <c r="P1254" s="57"/>
      <c r="Q1254" s="57"/>
      <c r="R1254" s="57"/>
      <c r="S1254" s="57"/>
      <c r="T1254" s="57"/>
      <c r="U1254" s="57"/>
      <c r="V1254" s="57"/>
      <c r="W1254" s="57"/>
      <c r="X1254" s="57"/>
      <c r="Y1254" s="57"/>
      <c r="Z1254" s="57"/>
      <c r="AA1254" s="57"/>
      <c r="AB1254" s="57"/>
      <c r="AC1254" s="57"/>
      <c r="AD1254" s="57"/>
    </row>
    <row r="1255" spans="1:30" ht="15.75" thickBot="1" x14ac:dyDescent="0.3">
      <c r="A1255" s="57"/>
      <c r="B1255" s="230" t="s">
        <v>15867</v>
      </c>
      <c r="C1255" s="231" t="s">
        <v>13388</v>
      </c>
      <c r="D1255" s="231" t="s">
        <v>13823</v>
      </c>
      <c r="E1255" s="231" t="s">
        <v>13916</v>
      </c>
      <c r="F1255" s="231" t="s">
        <v>13823</v>
      </c>
      <c r="G1255" s="57"/>
      <c r="H1255" s="57"/>
      <c r="I1255" s="57"/>
      <c r="J1255" s="57"/>
      <c r="K1255" s="57"/>
      <c r="L1255" s="57"/>
      <c r="M1255" s="57"/>
      <c r="N1255" s="57"/>
      <c r="O1255" s="57"/>
      <c r="P1255" s="57"/>
      <c r="Q1255" s="57"/>
      <c r="R1255" s="57"/>
      <c r="S1255" s="57"/>
      <c r="T1255" s="57"/>
      <c r="U1255" s="57"/>
      <c r="V1255" s="57"/>
      <c r="W1255" s="57"/>
      <c r="X1255" s="57"/>
      <c r="Y1255" s="57"/>
      <c r="Z1255" s="57"/>
      <c r="AA1255" s="57"/>
      <c r="AB1255" s="57"/>
      <c r="AC1255" s="57"/>
      <c r="AD1255" s="57"/>
    </row>
    <row r="1256" spans="1:30" ht="13.5" thickBot="1" x14ac:dyDescent="0.25">
      <c r="A1256" s="57"/>
      <c r="B1256" s="57"/>
      <c r="C1256" s="57"/>
      <c r="D1256" s="57"/>
      <c r="E1256" s="57"/>
      <c r="F1256" s="57"/>
      <c r="G1256" s="57"/>
      <c r="H1256" s="57"/>
      <c r="I1256" s="57"/>
      <c r="J1256" s="57"/>
      <c r="K1256" s="57"/>
      <c r="L1256" s="57"/>
      <c r="M1256" s="57"/>
      <c r="N1256" s="57"/>
      <c r="O1256" s="57"/>
      <c r="P1256" s="57"/>
      <c r="Q1256" s="57"/>
      <c r="R1256" s="57"/>
      <c r="S1256" s="57"/>
      <c r="T1256" s="57"/>
      <c r="U1256" s="57"/>
      <c r="V1256" s="57"/>
      <c r="W1256" s="57"/>
      <c r="X1256" s="57"/>
      <c r="Y1256" s="57"/>
      <c r="Z1256" s="57"/>
      <c r="AA1256" s="57"/>
      <c r="AB1256" s="57"/>
      <c r="AC1256" s="57"/>
      <c r="AD1256" s="57"/>
    </row>
    <row r="1257" spans="1:30" ht="13.5" thickBot="1" x14ac:dyDescent="0.25">
      <c r="A1257" s="57"/>
      <c r="B1257" s="57"/>
      <c r="C1257" s="57"/>
      <c r="D1257" s="57"/>
      <c r="E1257" s="57"/>
      <c r="F1257" s="57"/>
      <c r="G1257" s="57"/>
      <c r="H1257" s="57"/>
      <c r="I1257" s="57"/>
      <c r="J1257" s="57"/>
      <c r="K1257" s="57"/>
      <c r="L1257" s="57"/>
      <c r="M1257" s="57"/>
      <c r="N1257" s="57"/>
      <c r="O1257" s="57"/>
      <c r="P1257" s="57"/>
      <c r="Q1257" s="57"/>
      <c r="R1257" s="57"/>
      <c r="S1257" s="57"/>
      <c r="T1257" s="57"/>
      <c r="U1257" s="57"/>
      <c r="V1257" s="57"/>
      <c r="W1257" s="57"/>
      <c r="X1257" s="57"/>
      <c r="Y1257" s="57"/>
      <c r="Z1257" s="57"/>
      <c r="AA1257" s="57"/>
      <c r="AB1257" s="57"/>
      <c r="AC1257" s="57"/>
      <c r="AD1257" s="57"/>
    </row>
    <row r="1258" spans="1:30" ht="141" thickBot="1" x14ac:dyDescent="0.25">
      <c r="A1258" s="57"/>
      <c r="B1258" s="228" t="s">
        <v>31</v>
      </c>
      <c r="C1258" s="57"/>
      <c r="D1258" s="57"/>
      <c r="E1258" s="57"/>
      <c r="F1258" s="57"/>
      <c r="G1258" s="57"/>
      <c r="H1258" s="57"/>
      <c r="I1258" s="57"/>
      <c r="J1258" s="57"/>
      <c r="K1258" s="57"/>
      <c r="L1258" s="57"/>
      <c r="M1258" s="57"/>
      <c r="N1258" s="57"/>
      <c r="O1258" s="57"/>
      <c r="P1258" s="57"/>
      <c r="Q1258" s="57"/>
      <c r="R1258" s="57"/>
      <c r="S1258" s="57"/>
      <c r="T1258" s="57"/>
      <c r="U1258" s="57"/>
      <c r="V1258" s="57"/>
      <c r="W1258" s="57"/>
      <c r="X1258" s="57"/>
      <c r="Y1258" s="57"/>
      <c r="Z1258" s="57"/>
      <c r="AA1258" s="57"/>
      <c r="AB1258" s="57"/>
      <c r="AC1258" s="57"/>
      <c r="AD1258" s="57"/>
    </row>
    <row r="1259" spans="1:30" ht="13.5" thickBot="1" x14ac:dyDescent="0.25">
      <c r="A1259" s="57"/>
      <c r="B1259" s="57"/>
      <c r="C1259" s="57"/>
      <c r="D1259" s="57"/>
      <c r="E1259" s="57"/>
      <c r="F1259" s="57"/>
      <c r="G1259" s="57"/>
      <c r="H1259" s="57"/>
      <c r="I1259" s="88"/>
      <c r="J1259" s="88"/>
      <c r="K1259" s="88"/>
      <c r="L1259" s="88"/>
      <c r="M1259" s="88"/>
      <c r="N1259" s="88"/>
      <c r="O1259" s="88"/>
      <c r="P1259" s="57"/>
      <c r="Q1259" s="57"/>
      <c r="R1259" s="57"/>
      <c r="S1259" s="57"/>
      <c r="T1259" s="57"/>
      <c r="U1259" s="57"/>
      <c r="V1259" s="57"/>
      <c r="W1259" s="57"/>
      <c r="X1259" s="57"/>
      <c r="Y1259" s="57"/>
      <c r="Z1259" s="57"/>
      <c r="AA1259" s="57"/>
      <c r="AB1259" s="57"/>
      <c r="AC1259" s="57"/>
      <c r="AD1259" s="57"/>
    </row>
    <row r="1260" spans="1:30" ht="45.75" thickBot="1" x14ac:dyDescent="0.3">
      <c r="A1260" s="57"/>
      <c r="B1260" s="230" t="s">
        <v>15869</v>
      </c>
      <c r="C1260" s="230" t="s">
        <v>15870</v>
      </c>
      <c r="D1260" s="230" t="s">
        <v>15871</v>
      </c>
      <c r="E1260" s="230" t="s">
        <v>15872</v>
      </c>
      <c r="F1260" s="230" t="s">
        <v>15873</v>
      </c>
      <c r="G1260" s="230" t="s">
        <v>15874</v>
      </c>
      <c r="H1260" s="80"/>
      <c r="I1260" s="89" t="s">
        <v>15875</v>
      </c>
      <c r="J1260" s="89" t="s">
        <v>15876</v>
      </c>
      <c r="K1260" s="89" t="s">
        <v>13442</v>
      </c>
      <c r="L1260" s="89" t="s">
        <v>13443</v>
      </c>
      <c r="M1260" s="89" t="s">
        <v>12915</v>
      </c>
      <c r="N1260" s="89" t="s">
        <v>15877</v>
      </c>
      <c r="O1260" s="89" t="s">
        <v>15877</v>
      </c>
      <c r="P1260" s="57"/>
      <c r="Q1260" s="57"/>
      <c r="R1260" s="57"/>
      <c r="S1260" s="57"/>
      <c r="T1260" s="57"/>
      <c r="U1260" s="57"/>
      <c r="V1260" s="57"/>
      <c r="W1260" s="57"/>
      <c r="X1260" s="57"/>
      <c r="Y1260" s="57"/>
      <c r="Z1260" s="57"/>
      <c r="AA1260" s="57"/>
      <c r="AB1260" s="57"/>
      <c r="AC1260" s="57"/>
      <c r="AD1260" s="57"/>
    </row>
    <row r="1261" spans="1:30" ht="15.75" thickBot="1" x14ac:dyDescent="0.3">
      <c r="A1261" s="57"/>
      <c r="B1261" s="230" t="s">
        <v>15878</v>
      </c>
      <c r="C1261" s="230" t="s">
        <v>15879</v>
      </c>
      <c r="D1261" s="231" t="s">
        <v>14530</v>
      </c>
      <c r="E1261" s="231" t="s">
        <v>13786</v>
      </c>
      <c r="F1261" s="231" t="s">
        <v>14601</v>
      </c>
      <c r="G1261" s="57"/>
      <c r="H1261" s="80"/>
      <c r="I1261" s="83"/>
      <c r="J1261" s="83"/>
      <c r="K1261" s="83"/>
      <c r="L1261" s="83"/>
      <c r="M1261" s="83"/>
      <c r="N1261" s="89" t="s">
        <v>15879</v>
      </c>
      <c r="O1261" s="89" t="s">
        <v>15880</v>
      </c>
      <c r="P1261" s="57"/>
      <c r="Q1261" s="57"/>
      <c r="R1261" s="57"/>
      <c r="S1261" s="57"/>
      <c r="T1261" s="57"/>
      <c r="U1261" s="57"/>
      <c r="V1261" s="57"/>
      <c r="W1261" s="57"/>
      <c r="X1261" s="57"/>
      <c r="Y1261" s="57"/>
      <c r="Z1261" s="57"/>
      <c r="AA1261" s="57"/>
      <c r="AB1261" s="57"/>
      <c r="AC1261" s="57"/>
      <c r="AD1261" s="57"/>
    </row>
    <row r="1262" spans="1:30" ht="45.75" thickBot="1" x14ac:dyDescent="0.3">
      <c r="A1262" s="57"/>
      <c r="B1262" s="57"/>
      <c r="C1262" s="230" t="s">
        <v>15881</v>
      </c>
      <c r="D1262" s="231" t="s">
        <v>13593</v>
      </c>
      <c r="E1262" s="231" t="s">
        <v>13873</v>
      </c>
      <c r="F1262" s="231" t="s">
        <v>14349</v>
      </c>
      <c r="G1262" s="57"/>
      <c r="H1262" s="80"/>
      <c r="I1262" s="89" t="s">
        <v>15882</v>
      </c>
      <c r="J1262" s="89" t="s">
        <v>15883</v>
      </c>
      <c r="K1262" s="90" t="s">
        <v>14530</v>
      </c>
      <c r="L1262" s="90" t="s">
        <v>13786</v>
      </c>
      <c r="M1262" s="90" t="s">
        <v>14601</v>
      </c>
      <c r="N1262" s="90" t="s">
        <v>15884</v>
      </c>
      <c r="O1262" s="89" t="s">
        <v>15885</v>
      </c>
      <c r="P1262" s="57"/>
      <c r="Q1262" s="57"/>
      <c r="R1262" s="57"/>
      <c r="S1262" s="57"/>
      <c r="T1262" s="57"/>
      <c r="U1262" s="57"/>
      <c r="V1262" s="57"/>
      <c r="W1262" s="57"/>
      <c r="X1262" s="57"/>
      <c r="Y1262" s="57"/>
      <c r="Z1262" s="57"/>
      <c r="AA1262" s="57"/>
      <c r="AB1262" s="57"/>
      <c r="AC1262" s="57"/>
      <c r="AD1262" s="57"/>
    </row>
    <row r="1263" spans="1:30" ht="45.75" thickBot="1" x14ac:dyDescent="0.3">
      <c r="A1263" s="57"/>
      <c r="B1263" s="57"/>
      <c r="C1263" s="230" t="s">
        <v>15886</v>
      </c>
      <c r="D1263" s="231" t="s">
        <v>13711</v>
      </c>
      <c r="E1263" s="231" t="s">
        <v>13430</v>
      </c>
      <c r="F1263" s="231" t="s">
        <v>13840</v>
      </c>
      <c r="G1263" s="57"/>
      <c r="H1263" s="80"/>
      <c r="I1263" s="83"/>
      <c r="J1263" s="89" t="s">
        <v>15887</v>
      </c>
      <c r="K1263" s="90" t="s">
        <v>13593</v>
      </c>
      <c r="L1263" s="90" t="s">
        <v>13873</v>
      </c>
      <c r="M1263" s="90" t="s">
        <v>14349</v>
      </c>
      <c r="N1263" s="89" t="s">
        <v>15888</v>
      </c>
      <c r="O1263" s="89" t="s">
        <v>15889</v>
      </c>
      <c r="P1263" s="57"/>
      <c r="Q1263" s="57"/>
      <c r="R1263" s="57"/>
      <c r="S1263" s="57"/>
      <c r="T1263" s="57"/>
      <c r="U1263" s="57"/>
      <c r="V1263" s="57"/>
      <c r="W1263" s="57"/>
      <c r="X1263" s="57"/>
      <c r="Y1263" s="57"/>
      <c r="Z1263" s="57"/>
      <c r="AA1263" s="57"/>
      <c r="AB1263" s="57"/>
      <c r="AC1263" s="57"/>
      <c r="AD1263" s="57"/>
    </row>
    <row r="1264" spans="1:30" ht="45.75" thickBot="1" x14ac:dyDescent="0.3">
      <c r="A1264" s="57"/>
      <c r="B1264" s="57"/>
      <c r="C1264" s="230" t="s">
        <v>13432</v>
      </c>
      <c r="D1264" s="231" t="s">
        <v>15342</v>
      </c>
      <c r="E1264" s="231" t="s">
        <v>15890</v>
      </c>
      <c r="F1264" s="231" t="s">
        <v>14933</v>
      </c>
      <c r="G1264" s="57"/>
      <c r="H1264" s="80"/>
      <c r="I1264" s="83"/>
      <c r="J1264" s="89" t="s">
        <v>15891</v>
      </c>
      <c r="K1264" s="90" t="s">
        <v>13711</v>
      </c>
      <c r="L1264" s="90" t="s">
        <v>13430</v>
      </c>
      <c r="M1264" s="90" t="s">
        <v>13840</v>
      </c>
      <c r="N1264" s="89" t="s">
        <v>15892</v>
      </c>
      <c r="O1264" s="89" t="s">
        <v>15893</v>
      </c>
      <c r="P1264" s="57"/>
      <c r="Q1264" s="57"/>
      <c r="R1264" s="57"/>
      <c r="S1264" s="57"/>
      <c r="T1264" s="57"/>
      <c r="U1264" s="57"/>
      <c r="V1264" s="57"/>
      <c r="W1264" s="57"/>
      <c r="X1264" s="57"/>
      <c r="Y1264" s="57"/>
      <c r="Z1264" s="57"/>
      <c r="AA1264" s="57"/>
      <c r="AB1264" s="57"/>
      <c r="AC1264" s="57"/>
      <c r="AD1264" s="57"/>
    </row>
    <row r="1265" spans="1:30" ht="15.75" thickBot="1" x14ac:dyDescent="0.3">
      <c r="A1265" s="57"/>
      <c r="B1265" s="230" t="s">
        <v>15894</v>
      </c>
      <c r="C1265" s="230" t="s">
        <v>15879</v>
      </c>
      <c r="D1265" s="231" t="s">
        <v>13604</v>
      </c>
      <c r="E1265" s="231" t="s">
        <v>13392</v>
      </c>
      <c r="F1265" s="231" t="s">
        <v>13967</v>
      </c>
      <c r="G1265" s="231" t="s">
        <v>15895</v>
      </c>
      <c r="H1265" s="80"/>
      <c r="I1265" s="83"/>
      <c r="J1265" s="89" t="s">
        <v>15896</v>
      </c>
      <c r="K1265" s="90" t="s">
        <v>13969</v>
      </c>
      <c r="L1265" s="90" t="s">
        <v>13648</v>
      </c>
      <c r="M1265" s="90" t="s">
        <v>13434</v>
      </c>
      <c r="N1265" s="89" t="s">
        <v>15897</v>
      </c>
      <c r="O1265" s="89" t="s">
        <v>15898</v>
      </c>
      <c r="P1265" s="57"/>
      <c r="Q1265" s="57"/>
      <c r="R1265" s="57"/>
      <c r="S1265" s="57"/>
      <c r="T1265" s="57"/>
      <c r="U1265" s="57"/>
      <c r="V1265" s="57"/>
      <c r="W1265" s="57"/>
      <c r="X1265" s="57"/>
      <c r="Y1265" s="57"/>
      <c r="Z1265" s="57"/>
      <c r="AA1265" s="57"/>
      <c r="AB1265" s="57"/>
      <c r="AC1265" s="57"/>
      <c r="AD1265" s="57"/>
    </row>
    <row r="1266" spans="1:30" ht="30.75" thickBot="1" x14ac:dyDescent="0.3">
      <c r="A1266" s="57"/>
      <c r="B1266" s="57"/>
      <c r="C1266" s="230" t="s">
        <v>15881</v>
      </c>
      <c r="D1266" s="231" t="s">
        <v>13592</v>
      </c>
      <c r="E1266" s="231" t="s">
        <v>15899</v>
      </c>
      <c r="F1266" s="231" t="s">
        <v>14362</v>
      </c>
      <c r="G1266" s="231" t="s">
        <v>15900</v>
      </c>
      <c r="H1266" s="80"/>
      <c r="I1266" s="89" t="s">
        <v>15901</v>
      </c>
      <c r="J1266" s="89" t="s">
        <v>13524</v>
      </c>
      <c r="K1266" s="90" t="s">
        <v>15902</v>
      </c>
      <c r="L1266" s="90" t="s">
        <v>15903</v>
      </c>
      <c r="M1266" s="90" t="s">
        <v>15904</v>
      </c>
      <c r="N1266" s="90" t="s">
        <v>15905</v>
      </c>
      <c r="O1266" s="89" t="s">
        <v>15906</v>
      </c>
      <c r="P1266" s="57"/>
      <c r="Q1266" s="57"/>
      <c r="R1266" s="57"/>
      <c r="S1266" s="57"/>
      <c r="T1266" s="57"/>
      <c r="U1266" s="57"/>
      <c r="V1266" s="57"/>
      <c r="W1266" s="57"/>
      <c r="X1266" s="57"/>
      <c r="Y1266" s="57"/>
      <c r="Z1266" s="57"/>
      <c r="AA1266" s="57"/>
      <c r="AB1266" s="57"/>
      <c r="AC1266" s="57"/>
      <c r="AD1266" s="57"/>
    </row>
    <row r="1267" spans="1:30" ht="45.75" thickBot="1" x14ac:dyDescent="0.3">
      <c r="A1267" s="57"/>
      <c r="B1267" s="57"/>
      <c r="C1267" s="230" t="s">
        <v>15886</v>
      </c>
      <c r="D1267" s="231" t="s">
        <v>13763</v>
      </c>
      <c r="E1267" s="231" t="s">
        <v>13382</v>
      </c>
      <c r="F1267" s="231" t="s">
        <v>14515</v>
      </c>
      <c r="G1267" s="231" t="s">
        <v>15907</v>
      </c>
      <c r="H1267" s="80"/>
      <c r="I1267" s="89" t="s">
        <v>11718</v>
      </c>
      <c r="J1267" s="89" t="s">
        <v>13579</v>
      </c>
      <c r="K1267" s="90" t="s">
        <v>13566</v>
      </c>
      <c r="L1267" s="90" t="s">
        <v>14354</v>
      </c>
      <c r="M1267" s="90" t="s">
        <v>13967</v>
      </c>
      <c r="N1267" s="89" t="s">
        <v>15908</v>
      </c>
      <c r="O1267" s="89" t="s">
        <v>15909</v>
      </c>
      <c r="P1267" s="57"/>
      <c r="Q1267" s="57"/>
      <c r="R1267" s="57"/>
      <c r="S1267" s="57"/>
      <c r="T1267" s="57"/>
      <c r="U1267" s="57"/>
      <c r="V1267" s="57"/>
      <c r="W1267" s="57"/>
      <c r="X1267" s="57"/>
      <c r="Y1267" s="57"/>
      <c r="Z1267" s="57"/>
      <c r="AA1267" s="57"/>
      <c r="AB1267" s="57"/>
      <c r="AC1267" s="57"/>
      <c r="AD1267" s="57"/>
    </row>
    <row r="1268" spans="1:30" ht="15.75" thickBot="1" x14ac:dyDescent="0.3">
      <c r="A1268" s="57"/>
      <c r="B1268" s="57"/>
      <c r="C1268" s="230" t="s">
        <v>13432</v>
      </c>
      <c r="D1268" s="231" t="s">
        <v>13965</v>
      </c>
      <c r="E1268" s="231" t="s">
        <v>13947</v>
      </c>
      <c r="F1268" s="231" t="s">
        <v>13776</v>
      </c>
      <c r="G1268" s="231" t="s">
        <v>15910</v>
      </c>
      <c r="H1268" s="80"/>
      <c r="I1268" s="83"/>
      <c r="J1268" s="89" t="s">
        <v>13580</v>
      </c>
      <c r="K1268" s="90" t="s">
        <v>15338</v>
      </c>
      <c r="L1268" s="90" t="s">
        <v>13493</v>
      </c>
      <c r="M1268" s="90" t="s">
        <v>13429</v>
      </c>
      <c r="N1268" s="89" t="s">
        <v>15911</v>
      </c>
      <c r="O1268" s="89" t="s">
        <v>15912</v>
      </c>
      <c r="P1268" s="57"/>
      <c r="Q1268" s="57"/>
      <c r="R1268" s="57"/>
      <c r="S1268" s="57"/>
      <c r="T1268" s="57"/>
      <c r="U1268" s="57"/>
      <c r="V1268" s="57"/>
      <c r="W1268" s="57"/>
      <c r="X1268" s="57"/>
      <c r="Y1268" s="57"/>
      <c r="Z1268" s="57"/>
      <c r="AA1268" s="57"/>
      <c r="AB1268" s="57"/>
      <c r="AC1268" s="57"/>
      <c r="AD1268" s="57"/>
    </row>
    <row r="1269" spans="1:30" ht="30.75" thickBot="1" x14ac:dyDescent="0.3">
      <c r="A1269" s="57"/>
      <c r="B1269" s="230" t="s">
        <v>15913</v>
      </c>
      <c r="C1269" s="230" t="s">
        <v>15879</v>
      </c>
      <c r="D1269" s="231" t="s">
        <v>13516</v>
      </c>
      <c r="E1269" s="231" t="s">
        <v>13630</v>
      </c>
      <c r="F1269" s="231" t="s">
        <v>13854</v>
      </c>
      <c r="G1269" s="231" t="s">
        <v>15914</v>
      </c>
      <c r="H1269" s="80"/>
      <c r="I1269" s="83"/>
      <c r="J1269" s="89" t="s">
        <v>15049</v>
      </c>
      <c r="K1269" s="90" t="s">
        <v>15340</v>
      </c>
      <c r="L1269" s="90" t="s">
        <v>13945</v>
      </c>
      <c r="M1269" s="90" t="s">
        <v>13715</v>
      </c>
      <c r="N1269" s="89" t="s">
        <v>15915</v>
      </c>
      <c r="O1269" s="89" t="s">
        <v>15916</v>
      </c>
      <c r="P1269" s="57"/>
      <c r="Q1269" s="57"/>
      <c r="R1269" s="57"/>
      <c r="S1269" s="57"/>
      <c r="T1269" s="57"/>
      <c r="U1269" s="57"/>
      <c r="V1269" s="57"/>
      <c r="W1269" s="57"/>
      <c r="X1269" s="57"/>
      <c r="Y1269" s="57"/>
      <c r="Z1269" s="57"/>
      <c r="AA1269" s="57"/>
      <c r="AB1269" s="57"/>
      <c r="AC1269" s="57"/>
      <c r="AD1269" s="57"/>
    </row>
    <row r="1270" spans="1:30" ht="30.75" thickBot="1" x14ac:dyDescent="0.3">
      <c r="A1270" s="57"/>
      <c r="B1270" s="57"/>
      <c r="C1270" s="230" t="s">
        <v>15881</v>
      </c>
      <c r="D1270" s="231" t="s">
        <v>13719</v>
      </c>
      <c r="E1270" s="231" t="s">
        <v>15418</v>
      </c>
      <c r="F1270" s="231" t="s">
        <v>13719</v>
      </c>
      <c r="G1270" s="231" t="s">
        <v>15917</v>
      </c>
      <c r="H1270" s="80"/>
      <c r="I1270" s="83"/>
      <c r="J1270" s="89" t="s">
        <v>15863</v>
      </c>
      <c r="K1270" s="90" t="s">
        <v>13544</v>
      </c>
      <c r="L1270" s="90" t="s">
        <v>15918</v>
      </c>
      <c r="M1270" s="90" t="s">
        <v>15364</v>
      </c>
      <c r="N1270" s="90" t="s">
        <v>15905</v>
      </c>
      <c r="O1270" s="89" t="s">
        <v>15919</v>
      </c>
      <c r="P1270" s="57"/>
      <c r="Q1270" s="57"/>
      <c r="R1270" s="57"/>
      <c r="S1270" s="57"/>
      <c r="T1270" s="57"/>
      <c r="U1270" s="57"/>
      <c r="V1270" s="57"/>
      <c r="W1270" s="57"/>
      <c r="X1270" s="57"/>
      <c r="Y1270" s="57"/>
      <c r="Z1270" s="57"/>
      <c r="AA1270" s="57"/>
      <c r="AB1270" s="57"/>
      <c r="AC1270" s="57"/>
      <c r="AD1270" s="57"/>
    </row>
    <row r="1271" spans="1:30" ht="45.75" thickBot="1" x14ac:dyDescent="0.3">
      <c r="A1271" s="57"/>
      <c r="B1271" s="57"/>
      <c r="C1271" s="230" t="s">
        <v>15886</v>
      </c>
      <c r="D1271" s="231" t="s">
        <v>13502</v>
      </c>
      <c r="E1271" s="231" t="s">
        <v>13968</v>
      </c>
      <c r="F1271" s="231" t="s">
        <v>14455</v>
      </c>
      <c r="G1271" s="231" t="s">
        <v>15920</v>
      </c>
      <c r="H1271" s="80"/>
      <c r="I1271" s="89" t="s">
        <v>15921</v>
      </c>
      <c r="J1271" s="89" t="s">
        <v>15879</v>
      </c>
      <c r="K1271" s="90" t="s">
        <v>15377</v>
      </c>
      <c r="L1271" s="90" t="s">
        <v>15504</v>
      </c>
      <c r="M1271" s="90" t="s">
        <v>15504</v>
      </c>
      <c r="N1271" s="83"/>
      <c r="O1271" s="83"/>
      <c r="P1271" s="57"/>
      <c r="Q1271" s="57"/>
      <c r="R1271" s="57"/>
      <c r="S1271" s="57"/>
      <c r="T1271" s="57"/>
      <c r="U1271" s="57"/>
      <c r="V1271" s="57"/>
      <c r="W1271" s="57"/>
      <c r="X1271" s="57"/>
      <c r="Y1271" s="57"/>
      <c r="Z1271" s="57"/>
      <c r="AA1271" s="57"/>
      <c r="AB1271" s="57"/>
      <c r="AC1271" s="57"/>
      <c r="AD1271" s="57"/>
    </row>
    <row r="1272" spans="1:30" ht="15.75" thickBot="1" x14ac:dyDescent="0.3">
      <c r="A1272" s="57"/>
      <c r="B1272" s="57"/>
      <c r="C1272" s="230" t="s">
        <v>13432</v>
      </c>
      <c r="D1272" s="231" t="s">
        <v>13719</v>
      </c>
      <c r="E1272" s="231" t="s">
        <v>14942</v>
      </c>
      <c r="F1272" s="231" t="s">
        <v>13760</v>
      </c>
      <c r="G1272" s="231" t="s">
        <v>15922</v>
      </c>
      <c r="H1272" s="80"/>
      <c r="I1272" s="83"/>
      <c r="J1272" s="89" t="s">
        <v>15880</v>
      </c>
      <c r="K1272" s="90" t="s">
        <v>13715</v>
      </c>
      <c r="L1272" s="90" t="s">
        <v>13449</v>
      </c>
      <c r="M1272" s="90" t="s">
        <v>13375</v>
      </c>
      <c r="N1272" s="83"/>
      <c r="O1272" s="83"/>
      <c r="P1272" s="57"/>
      <c r="Q1272" s="57"/>
      <c r="R1272" s="57"/>
      <c r="S1272" s="57"/>
      <c r="T1272" s="57"/>
      <c r="U1272" s="57"/>
      <c r="V1272" s="57"/>
      <c r="W1272" s="57"/>
      <c r="X1272" s="57"/>
      <c r="Y1272" s="57"/>
      <c r="Z1272" s="57"/>
      <c r="AA1272" s="57"/>
      <c r="AB1272" s="57"/>
      <c r="AC1272" s="57"/>
      <c r="AD1272" s="57"/>
    </row>
    <row r="1273" spans="1:30" ht="30.75" thickBot="1" x14ac:dyDescent="0.3">
      <c r="A1273" s="57"/>
      <c r="B1273" s="230" t="s">
        <v>15923</v>
      </c>
      <c r="C1273" s="230" t="s">
        <v>15879</v>
      </c>
      <c r="D1273" s="231" t="s">
        <v>14785</v>
      </c>
      <c r="E1273" s="231" t="s">
        <v>13764</v>
      </c>
      <c r="F1273" s="231" t="s">
        <v>15389</v>
      </c>
      <c r="G1273" s="231" t="s">
        <v>15924</v>
      </c>
      <c r="H1273" s="57"/>
      <c r="I1273" s="57"/>
      <c r="J1273" s="57"/>
      <c r="K1273" s="57"/>
      <c r="L1273" s="57"/>
      <c r="M1273" s="57"/>
      <c r="N1273" s="57"/>
      <c r="O1273" s="57"/>
      <c r="P1273" s="57"/>
      <c r="Q1273" s="57"/>
      <c r="R1273" s="57"/>
      <c r="S1273" s="57"/>
      <c r="T1273" s="57"/>
      <c r="U1273" s="57"/>
      <c r="V1273" s="57"/>
      <c r="W1273" s="57"/>
      <c r="X1273" s="57"/>
      <c r="Y1273" s="57"/>
      <c r="Z1273" s="57"/>
      <c r="AA1273" s="57"/>
      <c r="AB1273" s="57"/>
      <c r="AC1273" s="57"/>
      <c r="AD1273" s="57"/>
    </row>
    <row r="1274" spans="1:30" ht="30.75" thickBot="1" x14ac:dyDescent="0.3">
      <c r="A1274" s="57"/>
      <c r="B1274" s="57"/>
      <c r="C1274" s="230" t="s">
        <v>15881</v>
      </c>
      <c r="D1274" s="231" t="s">
        <v>13770</v>
      </c>
      <c r="E1274" s="231" t="s">
        <v>13704</v>
      </c>
      <c r="F1274" s="231" t="s">
        <v>14515</v>
      </c>
      <c r="G1274" s="231" t="s">
        <v>15925</v>
      </c>
      <c r="H1274" s="57"/>
      <c r="I1274" s="57"/>
      <c r="J1274" s="57"/>
      <c r="K1274" s="57"/>
      <c r="L1274" s="57"/>
      <c r="M1274" s="57"/>
      <c r="N1274" s="57"/>
      <c r="O1274" s="57"/>
      <c r="P1274" s="57"/>
      <c r="Q1274" s="57"/>
      <c r="R1274" s="57"/>
      <c r="S1274" s="57"/>
      <c r="T1274" s="57"/>
      <c r="U1274" s="57"/>
      <c r="V1274" s="57"/>
      <c r="W1274" s="57"/>
      <c r="X1274" s="57"/>
      <c r="Y1274" s="57"/>
      <c r="Z1274" s="57"/>
      <c r="AA1274" s="57"/>
      <c r="AB1274" s="57"/>
      <c r="AC1274" s="57"/>
      <c r="AD1274" s="57"/>
    </row>
    <row r="1275" spans="1:30" ht="45.75" thickBot="1" x14ac:dyDescent="0.3">
      <c r="A1275" s="57"/>
      <c r="B1275" s="57"/>
      <c r="C1275" s="230" t="s">
        <v>15886</v>
      </c>
      <c r="D1275" s="231" t="s">
        <v>13719</v>
      </c>
      <c r="E1275" s="231" t="s">
        <v>13800</v>
      </c>
      <c r="F1275" s="231" t="s">
        <v>13760</v>
      </c>
      <c r="G1275" s="231" t="s">
        <v>15926</v>
      </c>
      <c r="H1275" s="57"/>
      <c r="I1275" s="57"/>
      <c r="J1275" s="57"/>
      <c r="K1275" s="57"/>
      <c r="L1275" s="57"/>
      <c r="M1275" s="57"/>
      <c r="N1275" s="57"/>
      <c r="O1275" s="57"/>
      <c r="P1275" s="57"/>
      <c r="Q1275" s="57"/>
      <c r="R1275" s="57"/>
      <c r="S1275" s="57"/>
      <c r="T1275" s="57"/>
      <c r="U1275" s="57"/>
      <c r="V1275" s="57"/>
      <c r="W1275" s="57"/>
      <c r="X1275" s="57"/>
      <c r="Y1275" s="57"/>
      <c r="Z1275" s="57"/>
      <c r="AA1275" s="57"/>
      <c r="AB1275" s="57"/>
      <c r="AC1275" s="57"/>
      <c r="AD1275" s="57"/>
    </row>
    <row r="1276" spans="1:30" ht="15.75" thickBot="1" x14ac:dyDescent="0.3">
      <c r="A1276" s="57"/>
      <c r="B1276" s="57"/>
      <c r="C1276" s="230" t="s">
        <v>13432</v>
      </c>
      <c r="D1276" s="231" t="s">
        <v>13720</v>
      </c>
      <c r="E1276" s="231" t="s">
        <v>14373</v>
      </c>
      <c r="F1276" s="231" t="s">
        <v>13741</v>
      </c>
      <c r="G1276" s="231" t="s">
        <v>15927</v>
      </c>
      <c r="H1276" s="57"/>
      <c r="I1276" s="57"/>
      <c r="J1276" s="57"/>
      <c r="K1276" s="57"/>
      <c r="L1276" s="57"/>
      <c r="M1276" s="57"/>
      <c r="N1276" s="57"/>
      <c r="O1276" s="57"/>
      <c r="P1276" s="57"/>
      <c r="Q1276" s="57"/>
      <c r="R1276" s="57"/>
      <c r="S1276" s="57"/>
      <c r="T1276" s="57"/>
      <c r="U1276" s="57"/>
      <c r="V1276" s="57"/>
      <c r="W1276" s="57"/>
      <c r="X1276" s="57"/>
      <c r="Y1276" s="57"/>
      <c r="Z1276" s="57"/>
      <c r="AA1276" s="57"/>
      <c r="AB1276" s="57"/>
      <c r="AC1276" s="57"/>
      <c r="AD1276" s="57"/>
    </row>
    <row r="1277" spans="1:30" ht="13.5" thickBot="1" x14ac:dyDescent="0.25">
      <c r="A1277" s="57"/>
      <c r="B1277" s="57"/>
      <c r="C1277" s="57"/>
      <c r="D1277" s="57"/>
      <c r="E1277" s="57"/>
      <c r="F1277" s="57"/>
      <c r="G1277" s="57"/>
      <c r="H1277" s="57"/>
      <c r="I1277" s="57"/>
      <c r="J1277" s="57"/>
      <c r="K1277" s="57"/>
      <c r="L1277" s="57"/>
      <c r="M1277" s="57"/>
      <c r="N1277" s="57"/>
      <c r="O1277" s="57"/>
      <c r="P1277" s="57"/>
      <c r="Q1277" s="57"/>
      <c r="R1277" s="57"/>
      <c r="S1277" s="57"/>
      <c r="T1277" s="57"/>
      <c r="U1277" s="57"/>
      <c r="V1277" s="57"/>
      <c r="W1277" s="57"/>
      <c r="X1277" s="57"/>
      <c r="Y1277" s="57"/>
      <c r="Z1277" s="57"/>
      <c r="AA1277" s="57"/>
      <c r="AB1277" s="57"/>
      <c r="AC1277" s="57"/>
      <c r="AD1277" s="57"/>
    </row>
    <row r="1278" spans="1:30" ht="13.5" thickBot="1" x14ac:dyDescent="0.25">
      <c r="A1278" s="57"/>
      <c r="B1278" s="57"/>
      <c r="C1278" s="57"/>
      <c r="D1278" s="57"/>
      <c r="E1278" s="57"/>
      <c r="F1278" s="57"/>
      <c r="G1278" s="57"/>
      <c r="H1278" s="57"/>
      <c r="I1278" s="57"/>
      <c r="J1278" s="57"/>
      <c r="K1278" s="57"/>
      <c r="L1278" s="57"/>
      <c r="M1278" s="57"/>
      <c r="N1278" s="57"/>
      <c r="O1278" s="57"/>
      <c r="P1278" s="57"/>
      <c r="Q1278" s="57"/>
      <c r="R1278" s="57"/>
      <c r="S1278" s="57"/>
      <c r="T1278" s="57"/>
      <c r="U1278" s="57"/>
      <c r="V1278" s="57"/>
      <c r="W1278" s="57"/>
      <c r="X1278" s="57"/>
      <c r="Y1278" s="57"/>
      <c r="Z1278" s="57"/>
      <c r="AA1278" s="57"/>
      <c r="AB1278" s="57"/>
      <c r="AC1278" s="57"/>
      <c r="AD1278" s="57"/>
    </row>
    <row r="1279" spans="1:30" ht="13.5" thickBot="1" x14ac:dyDescent="0.25">
      <c r="A1279" s="57"/>
      <c r="B1279" s="57"/>
      <c r="C1279" s="57"/>
      <c r="D1279" s="57"/>
      <c r="E1279" s="57"/>
      <c r="F1279" s="57"/>
      <c r="G1279" s="57"/>
      <c r="H1279" s="57"/>
      <c r="I1279" s="57"/>
      <c r="J1279" s="57"/>
      <c r="K1279" s="57"/>
      <c r="L1279" s="57"/>
      <c r="M1279" s="57"/>
      <c r="N1279" s="57"/>
      <c r="O1279" s="57"/>
      <c r="P1279" s="57"/>
      <c r="Q1279" s="57"/>
      <c r="R1279" s="57"/>
      <c r="S1279" s="57"/>
      <c r="T1279" s="57"/>
      <c r="U1279" s="57"/>
      <c r="V1279" s="57"/>
      <c r="W1279" s="57"/>
      <c r="X1279" s="57"/>
      <c r="Y1279" s="57"/>
      <c r="Z1279" s="57"/>
      <c r="AA1279" s="57"/>
      <c r="AB1279" s="57"/>
      <c r="AC1279" s="57"/>
      <c r="AD1279" s="57"/>
    </row>
    <row r="1280" spans="1:30" ht="13.5" thickBot="1" x14ac:dyDescent="0.25">
      <c r="A1280" s="57"/>
      <c r="B1280" s="57"/>
      <c r="C1280" s="57"/>
      <c r="D1280" s="57"/>
      <c r="E1280" s="57"/>
      <c r="F1280" s="57"/>
      <c r="G1280" s="57"/>
      <c r="H1280" s="57"/>
      <c r="I1280" s="57"/>
      <c r="J1280" s="57"/>
      <c r="K1280" s="57"/>
      <c r="L1280" s="57"/>
      <c r="M1280" s="57"/>
      <c r="N1280" s="57"/>
      <c r="O1280" s="57"/>
      <c r="P1280" s="57"/>
      <c r="Q1280" s="57"/>
      <c r="R1280" s="57"/>
      <c r="S1280" s="57"/>
      <c r="T1280" s="57"/>
      <c r="U1280" s="57"/>
      <c r="V1280" s="57"/>
      <c r="W1280" s="57"/>
      <c r="X1280" s="57"/>
      <c r="Y1280" s="57"/>
      <c r="Z1280" s="57"/>
      <c r="AA1280" s="57"/>
      <c r="AB1280" s="57"/>
      <c r="AC1280" s="57"/>
      <c r="AD1280" s="57"/>
    </row>
    <row r="1281" spans="1:30" ht="13.5" thickBot="1" x14ac:dyDescent="0.25">
      <c r="A1281" s="57"/>
      <c r="B1281" s="57"/>
      <c r="C1281" s="57"/>
      <c r="D1281" s="57"/>
      <c r="E1281" s="57"/>
      <c r="F1281" s="57"/>
      <c r="G1281" s="57"/>
      <c r="H1281" s="57"/>
      <c r="I1281" s="57"/>
      <c r="J1281" s="57"/>
      <c r="K1281" s="57"/>
      <c r="L1281" s="57"/>
      <c r="M1281" s="57"/>
      <c r="N1281" s="57"/>
      <c r="O1281" s="57"/>
      <c r="P1281" s="57"/>
      <c r="Q1281" s="57"/>
      <c r="R1281" s="57"/>
      <c r="S1281" s="57"/>
      <c r="T1281" s="57"/>
      <c r="U1281" s="57"/>
      <c r="V1281" s="57"/>
      <c r="W1281" s="57"/>
      <c r="X1281" s="57"/>
      <c r="Y1281" s="57"/>
      <c r="Z1281" s="57"/>
      <c r="AA1281" s="57"/>
      <c r="AB1281" s="57"/>
      <c r="AC1281" s="57"/>
      <c r="AD1281" s="57"/>
    </row>
    <row r="1282" spans="1:30" ht="13.5" thickBot="1" x14ac:dyDescent="0.25">
      <c r="A1282" s="57"/>
      <c r="B1282" s="57"/>
      <c r="C1282" s="57"/>
      <c r="D1282" s="57"/>
      <c r="E1282" s="57"/>
      <c r="F1282" s="57"/>
      <c r="G1282" s="57"/>
      <c r="H1282" s="57"/>
      <c r="I1282" s="57"/>
      <c r="J1282" s="57"/>
      <c r="K1282" s="57"/>
      <c r="L1282" s="57"/>
      <c r="M1282" s="57"/>
      <c r="N1282" s="57"/>
      <c r="O1282" s="57"/>
      <c r="P1282" s="57"/>
      <c r="Q1282" s="57"/>
      <c r="R1282" s="57"/>
      <c r="S1282" s="57"/>
      <c r="T1282" s="57"/>
      <c r="U1282" s="57"/>
      <c r="V1282" s="57"/>
      <c r="W1282" s="57"/>
      <c r="X1282" s="57"/>
      <c r="Y1282" s="57"/>
      <c r="Z1282" s="57"/>
      <c r="AA1282" s="57"/>
      <c r="AB1282" s="57"/>
      <c r="AC1282" s="57"/>
      <c r="AD1282" s="57"/>
    </row>
    <row r="1283" spans="1:30" ht="13.5" thickBot="1" x14ac:dyDescent="0.25">
      <c r="A1283" s="57"/>
      <c r="B1283" s="57"/>
      <c r="C1283" s="57"/>
      <c r="D1283" s="57"/>
      <c r="E1283" s="57"/>
      <c r="F1283" s="57"/>
      <c r="G1283" s="57"/>
      <c r="H1283" s="57"/>
      <c r="I1283" s="57"/>
      <c r="J1283" s="57"/>
      <c r="K1283" s="57"/>
      <c r="L1283" s="57"/>
      <c r="M1283" s="57"/>
      <c r="N1283" s="57"/>
      <c r="O1283" s="57"/>
      <c r="P1283" s="57"/>
      <c r="Q1283" s="57"/>
      <c r="R1283" s="57"/>
      <c r="S1283" s="57"/>
      <c r="T1283" s="57"/>
      <c r="U1283" s="57"/>
      <c r="V1283" s="57"/>
      <c r="W1283" s="57"/>
      <c r="X1283" s="57"/>
      <c r="Y1283" s="57"/>
      <c r="Z1283" s="57"/>
      <c r="AA1283" s="57"/>
      <c r="AB1283" s="57"/>
      <c r="AC1283" s="57"/>
      <c r="AD1283" s="57"/>
    </row>
    <row r="1284" spans="1:30" ht="13.5" thickBot="1" x14ac:dyDescent="0.25">
      <c r="A1284" s="57"/>
      <c r="B1284" s="57"/>
      <c r="C1284" s="57"/>
      <c r="D1284" s="57"/>
      <c r="E1284" s="57"/>
      <c r="F1284" s="57"/>
      <c r="G1284" s="57"/>
      <c r="H1284" s="57"/>
      <c r="I1284" s="57"/>
      <c r="J1284" s="57"/>
      <c r="K1284" s="57"/>
      <c r="L1284" s="57"/>
      <c r="M1284" s="57"/>
      <c r="N1284" s="57"/>
      <c r="O1284" s="57"/>
      <c r="P1284" s="57"/>
      <c r="Q1284" s="57"/>
      <c r="R1284" s="57"/>
      <c r="S1284" s="57"/>
      <c r="T1284" s="57"/>
      <c r="U1284" s="57"/>
      <c r="V1284" s="57"/>
      <c r="W1284" s="57"/>
      <c r="X1284" s="57"/>
      <c r="Y1284" s="57"/>
      <c r="Z1284" s="57"/>
      <c r="AA1284" s="57"/>
      <c r="AB1284" s="57"/>
      <c r="AC1284" s="57"/>
      <c r="AD1284" s="57"/>
    </row>
    <row r="1285" spans="1:30" ht="13.5" thickBot="1" x14ac:dyDescent="0.25">
      <c r="A1285" s="57"/>
      <c r="B1285" s="57"/>
      <c r="C1285" s="57"/>
      <c r="D1285" s="57"/>
      <c r="E1285" s="57"/>
      <c r="F1285" s="57"/>
      <c r="G1285" s="57"/>
      <c r="H1285" s="57"/>
      <c r="I1285" s="57"/>
      <c r="J1285" s="57"/>
      <c r="K1285" s="57"/>
      <c r="L1285" s="57"/>
      <c r="M1285" s="57"/>
      <c r="N1285" s="57"/>
      <c r="O1285" s="57"/>
      <c r="P1285" s="57"/>
      <c r="Q1285" s="57"/>
      <c r="R1285" s="57"/>
      <c r="S1285" s="57"/>
      <c r="T1285" s="57"/>
      <c r="U1285" s="57"/>
      <c r="V1285" s="57"/>
      <c r="W1285" s="57"/>
      <c r="X1285" s="57"/>
      <c r="Y1285" s="57"/>
      <c r="Z1285" s="57"/>
      <c r="AA1285" s="57"/>
      <c r="AB1285" s="57"/>
      <c r="AC1285" s="57"/>
      <c r="AD1285" s="57"/>
    </row>
    <row r="1286" spans="1:30" ht="13.5" thickBot="1" x14ac:dyDescent="0.25">
      <c r="A1286" s="57"/>
      <c r="B1286" s="57"/>
      <c r="C1286" s="57"/>
      <c r="D1286" s="57"/>
      <c r="E1286" s="57"/>
      <c r="F1286" s="57"/>
      <c r="G1286" s="57"/>
      <c r="H1286" s="57"/>
      <c r="I1286" s="57"/>
      <c r="J1286" s="57"/>
      <c r="K1286" s="57"/>
      <c r="L1286" s="57"/>
      <c r="M1286" s="57"/>
      <c r="N1286" s="57"/>
      <c r="O1286" s="57"/>
      <c r="P1286" s="57"/>
      <c r="Q1286" s="57"/>
      <c r="R1286" s="57"/>
      <c r="S1286" s="57"/>
      <c r="T1286" s="57"/>
      <c r="U1286" s="57"/>
      <c r="V1286" s="57"/>
      <c r="W1286" s="57"/>
      <c r="X1286" s="57"/>
      <c r="Y1286" s="57"/>
      <c r="Z1286" s="57"/>
      <c r="AA1286" s="57"/>
      <c r="AB1286" s="57"/>
      <c r="AC1286" s="57"/>
      <c r="AD1286" s="57"/>
    </row>
    <row r="1287" spans="1:30" ht="13.5" thickBot="1" x14ac:dyDescent="0.25">
      <c r="A1287" s="57"/>
      <c r="B1287" s="57"/>
      <c r="C1287" s="57"/>
      <c r="D1287" s="57"/>
      <c r="E1287" s="57"/>
      <c r="F1287" s="57"/>
      <c r="G1287" s="57"/>
      <c r="H1287" s="57"/>
      <c r="I1287" s="57"/>
      <c r="J1287" s="57"/>
      <c r="K1287" s="57"/>
      <c r="L1287" s="57"/>
      <c r="M1287" s="57"/>
      <c r="N1287" s="57"/>
      <c r="O1287" s="57"/>
      <c r="P1287" s="57"/>
      <c r="Q1287" s="57"/>
      <c r="R1287" s="57"/>
      <c r="S1287" s="57"/>
      <c r="T1287" s="57"/>
      <c r="U1287" s="57"/>
      <c r="V1287" s="57"/>
      <c r="W1287" s="57"/>
      <c r="X1287" s="57"/>
      <c r="Y1287" s="57"/>
      <c r="Z1287" s="57"/>
      <c r="AA1287" s="57"/>
      <c r="AB1287" s="57"/>
      <c r="AC1287" s="57"/>
      <c r="AD1287" s="57"/>
    </row>
    <row r="1288" spans="1:30" ht="13.5" thickBot="1" x14ac:dyDescent="0.25">
      <c r="A1288" s="57"/>
      <c r="B1288" s="57"/>
      <c r="C1288" s="57"/>
      <c r="D1288" s="57"/>
      <c r="E1288" s="57"/>
      <c r="F1288" s="57"/>
      <c r="G1288" s="57"/>
      <c r="H1288" s="57"/>
      <c r="I1288" s="57"/>
      <c r="J1288" s="57"/>
      <c r="K1288" s="57"/>
      <c r="L1288" s="57"/>
      <c r="M1288" s="57"/>
      <c r="N1288" s="57"/>
      <c r="O1288" s="57"/>
      <c r="P1288" s="57"/>
      <c r="Q1288" s="57"/>
      <c r="R1288" s="57"/>
      <c r="S1288" s="57"/>
      <c r="T1288" s="57"/>
      <c r="U1288" s="57"/>
      <c r="V1288" s="57"/>
      <c r="W1288" s="57"/>
      <c r="X1288" s="57"/>
      <c r="Y1288" s="57"/>
      <c r="Z1288" s="57"/>
      <c r="AA1288" s="57"/>
      <c r="AB1288" s="57"/>
      <c r="AC1288" s="57"/>
      <c r="AD1288" s="57"/>
    </row>
    <row r="1289" spans="1:30" ht="13.5" thickBot="1" x14ac:dyDescent="0.25">
      <c r="A1289" s="57"/>
      <c r="B1289" s="57"/>
      <c r="C1289" s="57"/>
      <c r="D1289" s="57"/>
      <c r="E1289" s="57"/>
      <c r="F1289" s="57"/>
      <c r="G1289" s="57"/>
      <c r="H1289" s="57"/>
      <c r="I1289" s="57"/>
      <c r="J1289" s="57"/>
      <c r="K1289" s="57"/>
      <c r="L1289" s="57"/>
      <c r="M1289" s="57"/>
      <c r="N1289" s="57"/>
      <c r="O1289" s="57"/>
      <c r="P1289" s="57"/>
      <c r="Q1289" s="57"/>
      <c r="R1289" s="57"/>
      <c r="S1289" s="57"/>
      <c r="T1289" s="57"/>
      <c r="U1289" s="57"/>
      <c r="V1289" s="57"/>
      <c r="W1289" s="57"/>
      <c r="X1289" s="57"/>
      <c r="Y1289" s="57"/>
      <c r="Z1289" s="57"/>
      <c r="AA1289" s="57"/>
      <c r="AB1289" s="57"/>
      <c r="AC1289" s="57"/>
      <c r="AD1289" s="57"/>
    </row>
    <row r="1290" spans="1:30" ht="13.5" thickBot="1" x14ac:dyDescent="0.25">
      <c r="A1290" s="57"/>
      <c r="B1290" s="57"/>
      <c r="C1290" s="57"/>
      <c r="D1290" s="57"/>
      <c r="E1290" s="57"/>
      <c r="F1290" s="57"/>
      <c r="G1290" s="57"/>
      <c r="H1290" s="57"/>
      <c r="I1290" s="57"/>
      <c r="J1290" s="57"/>
      <c r="K1290" s="57"/>
      <c r="L1290" s="57"/>
      <c r="M1290" s="57"/>
      <c r="N1290" s="57"/>
      <c r="O1290" s="57"/>
      <c r="P1290" s="57"/>
      <c r="Q1290" s="57"/>
      <c r="R1290" s="57"/>
      <c r="S1290" s="57"/>
      <c r="T1290" s="57"/>
      <c r="U1290" s="57"/>
      <c r="V1290" s="57"/>
      <c r="W1290" s="57"/>
      <c r="X1290" s="57"/>
      <c r="Y1290" s="57"/>
      <c r="Z1290" s="57"/>
      <c r="AA1290" s="57"/>
      <c r="AB1290" s="57"/>
      <c r="AC1290" s="57"/>
      <c r="AD1290" s="57"/>
    </row>
    <row r="1291" spans="1:30" ht="13.5" thickBot="1" x14ac:dyDescent="0.25">
      <c r="A1291" s="57"/>
      <c r="B1291" s="57"/>
      <c r="C1291" s="57"/>
      <c r="D1291" s="57"/>
      <c r="E1291" s="57"/>
      <c r="F1291" s="57"/>
      <c r="G1291" s="57"/>
      <c r="H1291" s="57"/>
      <c r="I1291" s="57"/>
      <c r="J1291" s="57"/>
      <c r="K1291" s="57"/>
      <c r="L1291" s="57"/>
      <c r="M1291" s="57"/>
      <c r="N1291" s="57"/>
      <c r="O1291" s="57"/>
      <c r="P1291" s="57"/>
      <c r="Q1291" s="57"/>
      <c r="R1291" s="57"/>
      <c r="S1291" s="57"/>
      <c r="T1291" s="57"/>
      <c r="U1291" s="57"/>
      <c r="V1291" s="57"/>
      <c r="W1291" s="57"/>
      <c r="X1291" s="57"/>
      <c r="Y1291" s="57"/>
      <c r="Z1291" s="57"/>
      <c r="AA1291" s="57"/>
      <c r="AB1291" s="57"/>
      <c r="AC1291" s="57"/>
      <c r="AD1291" s="57"/>
    </row>
    <row r="1292" spans="1:30" ht="13.5" thickBot="1" x14ac:dyDescent="0.25">
      <c r="A1292" s="57"/>
      <c r="B1292" s="57"/>
      <c r="C1292" s="57"/>
      <c r="D1292" s="57"/>
      <c r="E1292" s="57"/>
      <c r="F1292" s="57"/>
      <c r="G1292" s="57"/>
      <c r="H1292" s="57"/>
      <c r="I1292" s="57"/>
      <c r="J1292" s="57"/>
      <c r="K1292" s="57"/>
      <c r="L1292" s="57"/>
      <c r="M1292" s="57"/>
      <c r="N1292" s="57"/>
      <c r="O1292" s="57"/>
      <c r="P1292" s="57"/>
      <c r="Q1292" s="57"/>
      <c r="R1292" s="57"/>
      <c r="S1292" s="57"/>
      <c r="T1292" s="57"/>
      <c r="U1292" s="57"/>
      <c r="V1292" s="57"/>
      <c r="W1292" s="57"/>
      <c r="X1292" s="57"/>
      <c r="Y1292" s="57"/>
      <c r="Z1292" s="57"/>
      <c r="AA1292" s="57"/>
      <c r="AB1292" s="57"/>
      <c r="AC1292" s="57"/>
      <c r="AD1292" s="57"/>
    </row>
    <row r="1293" spans="1:30" ht="13.5" thickBot="1" x14ac:dyDescent="0.25">
      <c r="A1293" s="57"/>
      <c r="B1293" s="57"/>
      <c r="C1293" s="57"/>
      <c r="D1293" s="57"/>
      <c r="E1293" s="57"/>
      <c r="F1293" s="57"/>
      <c r="G1293" s="57"/>
      <c r="H1293" s="57"/>
      <c r="I1293" s="57"/>
      <c r="J1293" s="57"/>
      <c r="K1293" s="57"/>
      <c r="L1293" s="57"/>
      <c r="M1293" s="57"/>
      <c r="N1293" s="57"/>
      <c r="O1293" s="57"/>
      <c r="P1293" s="57"/>
      <c r="Q1293" s="57"/>
      <c r="R1293" s="57"/>
      <c r="S1293" s="57"/>
      <c r="T1293" s="57"/>
      <c r="U1293" s="57"/>
      <c r="V1293" s="57"/>
      <c r="W1293" s="57"/>
      <c r="X1293" s="57"/>
      <c r="Y1293" s="57"/>
      <c r="Z1293" s="57"/>
      <c r="AA1293" s="57"/>
      <c r="AB1293" s="57"/>
      <c r="AC1293" s="57"/>
      <c r="AD1293" s="57"/>
    </row>
    <row r="1294" spans="1:30" ht="13.5" thickBot="1" x14ac:dyDescent="0.25">
      <c r="A1294" s="57"/>
      <c r="B1294" s="57"/>
      <c r="C1294" s="57"/>
      <c r="D1294" s="57"/>
      <c r="E1294" s="57"/>
      <c r="F1294" s="57"/>
      <c r="G1294" s="57"/>
      <c r="H1294" s="57"/>
      <c r="I1294" s="57"/>
      <c r="J1294" s="57"/>
      <c r="K1294" s="57"/>
      <c r="L1294" s="57"/>
      <c r="M1294" s="57"/>
      <c r="N1294" s="57"/>
      <c r="O1294" s="57"/>
      <c r="P1294" s="57"/>
      <c r="Q1294" s="57"/>
      <c r="R1294" s="57"/>
      <c r="S1294" s="57"/>
      <c r="T1294" s="57"/>
      <c r="U1294" s="57"/>
      <c r="V1294" s="57"/>
      <c r="W1294" s="57"/>
      <c r="X1294" s="57"/>
      <c r="Y1294" s="57"/>
      <c r="Z1294" s="57"/>
      <c r="AA1294" s="57"/>
      <c r="AB1294" s="57"/>
      <c r="AC1294" s="57"/>
      <c r="AD1294" s="57"/>
    </row>
    <row r="1295" spans="1:30" ht="13.5" thickBot="1" x14ac:dyDescent="0.25">
      <c r="A1295" s="57"/>
      <c r="B1295" s="57"/>
      <c r="C1295" s="57"/>
      <c r="D1295" s="57"/>
      <c r="E1295" s="57"/>
      <c r="F1295" s="57"/>
      <c r="G1295" s="57"/>
      <c r="H1295" s="57"/>
      <c r="I1295" s="57"/>
      <c r="J1295" s="57"/>
      <c r="K1295" s="57"/>
      <c r="L1295" s="57"/>
      <c r="M1295" s="57"/>
      <c r="N1295" s="57"/>
      <c r="O1295" s="57"/>
      <c r="P1295" s="57"/>
      <c r="Q1295" s="57"/>
      <c r="R1295" s="57"/>
      <c r="S1295" s="57"/>
      <c r="T1295" s="57"/>
      <c r="U1295" s="57"/>
      <c r="V1295" s="57"/>
      <c r="W1295" s="57"/>
      <c r="X1295" s="57"/>
      <c r="Y1295" s="57"/>
      <c r="Z1295" s="57"/>
      <c r="AA1295" s="57"/>
      <c r="AB1295" s="57"/>
      <c r="AC1295" s="57"/>
      <c r="AD1295" s="57"/>
    </row>
    <row r="1296" spans="1:30" ht="13.5" thickBot="1" x14ac:dyDescent="0.25">
      <c r="A1296" s="57"/>
      <c r="B1296" s="57"/>
      <c r="C1296" s="57"/>
      <c r="D1296" s="57"/>
      <c r="E1296" s="57"/>
      <c r="F1296" s="57"/>
      <c r="G1296" s="57"/>
      <c r="H1296" s="57"/>
      <c r="I1296" s="57"/>
      <c r="J1296" s="57"/>
      <c r="K1296" s="57"/>
      <c r="L1296" s="57"/>
      <c r="M1296" s="57"/>
      <c r="N1296" s="57"/>
      <c r="O1296" s="57"/>
      <c r="P1296" s="57"/>
      <c r="Q1296" s="57"/>
      <c r="R1296" s="57"/>
      <c r="S1296" s="57"/>
      <c r="T1296" s="57"/>
      <c r="U1296" s="57"/>
      <c r="V1296" s="57"/>
      <c r="W1296" s="57"/>
      <c r="X1296" s="57"/>
      <c r="Y1296" s="57"/>
      <c r="Z1296" s="57"/>
      <c r="AA1296" s="57"/>
      <c r="AB1296" s="57"/>
      <c r="AC1296" s="57"/>
      <c r="AD1296" s="57"/>
    </row>
    <row r="1297" spans="1:30" ht="13.5" thickBot="1" x14ac:dyDescent="0.25">
      <c r="A1297" s="57"/>
      <c r="B1297" s="57"/>
      <c r="C1297" s="57"/>
      <c r="D1297" s="57"/>
      <c r="E1297" s="57"/>
      <c r="F1297" s="57"/>
      <c r="G1297" s="57"/>
      <c r="H1297" s="57"/>
      <c r="I1297" s="57"/>
      <c r="J1297" s="57"/>
      <c r="K1297" s="57"/>
      <c r="L1297" s="57"/>
      <c r="M1297" s="57"/>
      <c r="N1297" s="57"/>
      <c r="O1297" s="57"/>
      <c r="P1297" s="57"/>
      <c r="Q1297" s="57"/>
      <c r="R1297" s="57"/>
      <c r="S1297" s="57"/>
      <c r="T1297" s="57"/>
      <c r="U1297" s="57"/>
      <c r="V1297" s="57"/>
      <c r="W1297" s="57"/>
      <c r="X1297" s="57"/>
      <c r="Y1297" s="57"/>
      <c r="Z1297" s="57"/>
      <c r="AA1297" s="57"/>
      <c r="AB1297" s="57"/>
      <c r="AC1297" s="57"/>
      <c r="AD1297" s="57"/>
    </row>
    <row r="1298" spans="1:30" ht="13.5" thickBot="1" x14ac:dyDescent="0.25">
      <c r="A1298" s="57"/>
      <c r="B1298" s="57"/>
      <c r="C1298" s="57"/>
      <c r="D1298" s="57"/>
      <c r="E1298" s="57"/>
      <c r="F1298" s="57"/>
      <c r="G1298" s="57"/>
      <c r="H1298" s="57"/>
      <c r="I1298" s="57"/>
      <c r="J1298" s="57"/>
      <c r="K1298" s="57"/>
      <c r="L1298" s="57"/>
      <c r="M1298" s="57"/>
      <c r="N1298" s="57"/>
      <c r="O1298" s="57"/>
      <c r="P1298" s="57"/>
      <c r="Q1298" s="57"/>
      <c r="R1298" s="57"/>
      <c r="S1298" s="57"/>
      <c r="T1298" s="57"/>
      <c r="U1298" s="57"/>
      <c r="V1298" s="57"/>
      <c r="W1298" s="57"/>
      <c r="X1298" s="57"/>
      <c r="Y1298" s="57"/>
      <c r="Z1298" s="57"/>
      <c r="AA1298" s="57"/>
      <c r="AB1298" s="57"/>
      <c r="AC1298" s="57"/>
      <c r="AD1298" s="57"/>
    </row>
    <row r="1299" spans="1:30" ht="13.5" thickBot="1" x14ac:dyDescent="0.25">
      <c r="A1299" s="57"/>
      <c r="B1299" s="57"/>
      <c r="C1299" s="57"/>
      <c r="D1299" s="57"/>
      <c r="E1299" s="57"/>
      <c r="F1299" s="57"/>
      <c r="G1299" s="57"/>
      <c r="H1299" s="57"/>
      <c r="I1299" s="57"/>
      <c r="J1299" s="57"/>
      <c r="K1299" s="57"/>
      <c r="L1299" s="57"/>
      <c r="M1299" s="57"/>
      <c r="N1299" s="57"/>
      <c r="O1299" s="57"/>
      <c r="P1299" s="57"/>
      <c r="Q1299" s="57"/>
      <c r="R1299" s="57"/>
      <c r="S1299" s="57"/>
      <c r="T1299" s="57"/>
      <c r="U1299" s="57"/>
      <c r="V1299" s="57"/>
      <c r="W1299" s="57"/>
      <c r="X1299" s="57"/>
      <c r="Y1299" s="57"/>
      <c r="Z1299" s="57"/>
      <c r="AA1299" s="57"/>
      <c r="AB1299" s="57"/>
      <c r="AC1299" s="57"/>
      <c r="AD1299" s="57"/>
    </row>
    <row r="1300" spans="1:30" ht="13.5" thickBot="1" x14ac:dyDescent="0.25">
      <c r="A1300" s="57"/>
      <c r="B1300" s="57"/>
      <c r="C1300" s="57"/>
      <c r="D1300" s="57"/>
      <c r="E1300" s="57"/>
      <c r="F1300" s="57"/>
      <c r="G1300" s="57"/>
      <c r="H1300" s="57"/>
      <c r="I1300" s="57"/>
      <c r="J1300" s="57"/>
      <c r="K1300" s="57"/>
      <c r="L1300" s="57"/>
      <c r="M1300" s="57"/>
      <c r="N1300" s="57"/>
      <c r="O1300" s="57"/>
      <c r="P1300" s="57"/>
      <c r="Q1300" s="57"/>
      <c r="R1300" s="57"/>
      <c r="S1300" s="57"/>
      <c r="T1300" s="57"/>
      <c r="U1300" s="57"/>
      <c r="V1300" s="57"/>
      <c r="W1300" s="57"/>
      <c r="X1300" s="57"/>
      <c r="Y1300" s="57"/>
      <c r="Z1300" s="57"/>
      <c r="AA1300" s="57"/>
      <c r="AB1300" s="57"/>
      <c r="AC1300" s="57"/>
      <c r="AD1300" s="57"/>
    </row>
    <row r="1301" spans="1:30" ht="13.5" thickBot="1" x14ac:dyDescent="0.25">
      <c r="A1301" s="57"/>
      <c r="B1301" s="57"/>
      <c r="C1301" s="57"/>
      <c r="D1301" s="57"/>
      <c r="E1301" s="57"/>
      <c r="F1301" s="57"/>
      <c r="G1301" s="57"/>
      <c r="H1301" s="57"/>
      <c r="I1301" s="57"/>
      <c r="J1301" s="57"/>
      <c r="K1301" s="57"/>
      <c r="L1301" s="57"/>
      <c r="M1301" s="57"/>
      <c r="N1301" s="57"/>
      <c r="O1301" s="57"/>
      <c r="P1301" s="57"/>
      <c r="Q1301" s="57"/>
      <c r="R1301" s="57"/>
      <c r="S1301" s="57"/>
      <c r="T1301" s="57"/>
      <c r="U1301" s="57"/>
      <c r="V1301" s="57"/>
      <c r="W1301" s="57"/>
      <c r="X1301" s="57"/>
      <c r="Y1301" s="57"/>
      <c r="Z1301" s="57"/>
      <c r="AA1301" s="57"/>
      <c r="AB1301" s="57"/>
      <c r="AC1301" s="57"/>
      <c r="AD1301" s="57"/>
    </row>
    <row r="1302" spans="1:30" ht="13.5" thickBot="1" x14ac:dyDescent="0.25">
      <c r="A1302" s="57"/>
      <c r="B1302" s="57"/>
      <c r="C1302" s="57"/>
      <c r="D1302" s="57"/>
      <c r="E1302" s="57"/>
      <c r="F1302" s="57"/>
      <c r="G1302" s="57"/>
      <c r="H1302" s="57"/>
      <c r="I1302" s="57"/>
      <c r="J1302" s="57"/>
      <c r="K1302" s="57"/>
      <c r="L1302" s="57"/>
      <c r="M1302" s="57"/>
      <c r="N1302" s="57"/>
      <c r="O1302" s="57"/>
      <c r="P1302" s="57"/>
      <c r="Q1302" s="57"/>
      <c r="R1302" s="57"/>
      <c r="S1302" s="57"/>
      <c r="T1302" s="57"/>
      <c r="U1302" s="57"/>
      <c r="V1302" s="57"/>
      <c r="W1302" s="57"/>
      <c r="X1302" s="57"/>
      <c r="Y1302" s="57"/>
      <c r="Z1302" s="57"/>
      <c r="AA1302" s="57"/>
      <c r="AB1302" s="57"/>
      <c r="AC1302" s="57"/>
      <c r="AD1302" s="57"/>
    </row>
    <row r="1303" spans="1:30" ht="13.5" thickBot="1" x14ac:dyDescent="0.25">
      <c r="A1303" s="57"/>
      <c r="B1303" s="57"/>
      <c r="C1303" s="57"/>
      <c r="D1303" s="57"/>
      <c r="E1303" s="57"/>
      <c r="F1303" s="57"/>
      <c r="G1303" s="57"/>
      <c r="H1303" s="57"/>
      <c r="I1303" s="57"/>
      <c r="J1303" s="57"/>
      <c r="K1303" s="57"/>
      <c r="L1303" s="57"/>
      <c r="M1303" s="57"/>
      <c r="N1303" s="57"/>
      <c r="O1303" s="57"/>
      <c r="P1303" s="57"/>
      <c r="Q1303" s="57"/>
      <c r="R1303" s="57"/>
      <c r="S1303" s="57"/>
      <c r="T1303" s="57"/>
      <c r="U1303" s="57"/>
      <c r="V1303" s="57"/>
      <c r="W1303" s="57"/>
      <c r="X1303" s="57"/>
      <c r="Y1303" s="57"/>
      <c r="Z1303" s="57"/>
      <c r="AA1303" s="57"/>
      <c r="AB1303" s="57"/>
      <c r="AC1303" s="57"/>
      <c r="AD1303" s="57"/>
    </row>
    <row r="1304" spans="1:30" ht="13.5" thickBot="1" x14ac:dyDescent="0.25">
      <c r="A1304" s="57"/>
      <c r="B1304" s="57"/>
      <c r="C1304" s="57"/>
      <c r="D1304" s="57"/>
      <c r="E1304" s="57"/>
      <c r="F1304" s="57"/>
      <c r="G1304" s="57"/>
      <c r="H1304" s="57"/>
      <c r="I1304" s="57"/>
      <c r="J1304" s="57"/>
      <c r="K1304" s="57"/>
      <c r="L1304" s="57"/>
      <c r="M1304" s="57"/>
      <c r="N1304" s="57"/>
      <c r="O1304" s="57"/>
      <c r="P1304" s="57"/>
      <c r="Q1304" s="57"/>
      <c r="R1304" s="57"/>
      <c r="S1304" s="57"/>
      <c r="T1304" s="57"/>
      <c r="U1304" s="57"/>
      <c r="V1304" s="57"/>
      <c r="W1304" s="57"/>
      <c r="X1304" s="57"/>
      <c r="Y1304" s="57"/>
      <c r="Z1304" s="57"/>
      <c r="AA1304" s="57"/>
      <c r="AB1304" s="57"/>
      <c r="AC1304" s="57"/>
      <c r="AD1304" s="57"/>
    </row>
    <row r="1305" spans="1:30" ht="13.5" thickBot="1" x14ac:dyDescent="0.25">
      <c r="A1305" s="57"/>
      <c r="B1305" s="57"/>
      <c r="C1305" s="57"/>
      <c r="D1305" s="57"/>
      <c r="E1305" s="57"/>
      <c r="F1305" s="57"/>
      <c r="G1305" s="57"/>
      <c r="H1305" s="57"/>
      <c r="I1305" s="57"/>
      <c r="J1305" s="57"/>
      <c r="K1305" s="57"/>
      <c r="L1305" s="57"/>
      <c r="M1305" s="57"/>
      <c r="N1305" s="57"/>
      <c r="O1305" s="57"/>
      <c r="P1305" s="57"/>
      <c r="Q1305" s="57"/>
      <c r="R1305" s="57"/>
      <c r="S1305" s="57"/>
      <c r="T1305" s="57"/>
      <c r="U1305" s="57"/>
      <c r="V1305" s="57"/>
      <c r="W1305" s="57"/>
      <c r="X1305" s="57"/>
      <c r="Y1305" s="57"/>
      <c r="Z1305" s="57"/>
      <c r="AA1305" s="57"/>
      <c r="AB1305" s="57"/>
      <c r="AC1305" s="57"/>
      <c r="AD1305" s="57"/>
    </row>
    <row r="1306" spans="1:30" ht="13.5" thickBot="1" x14ac:dyDescent="0.25">
      <c r="A1306" s="57"/>
      <c r="B1306" s="57"/>
      <c r="C1306" s="57"/>
      <c r="D1306" s="57"/>
      <c r="E1306" s="57"/>
      <c r="F1306" s="57"/>
      <c r="G1306" s="57"/>
      <c r="H1306" s="57"/>
      <c r="I1306" s="57"/>
      <c r="J1306" s="57"/>
      <c r="K1306" s="57"/>
      <c r="L1306" s="57"/>
      <c r="M1306" s="57"/>
      <c r="N1306" s="57"/>
      <c r="O1306" s="57"/>
      <c r="P1306" s="57"/>
      <c r="Q1306" s="57"/>
      <c r="R1306" s="57"/>
      <c r="S1306" s="57"/>
      <c r="T1306" s="57"/>
      <c r="U1306" s="57"/>
      <c r="V1306" s="57"/>
      <c r="W1306" s="57"/>
      <c r="X1306" s="57"/>
      <c r="Y1306" s="57"/>
      <c r="Z1306" s="57"/>
      <c r="AA1306" s="57"/>
      <c r="AB1306" s="57"/>
      <c r="AC1306" s="57"/>
      <c r="AD1306" s="57"/>
    </row>
    <row r="1307" spans="1:30" ht="13.5" thickBot="1" x14ac:dyDescent="0.25">
      <c r="A1307" s="57"/>
      <c r="B1307" s="57"/>
      <c r="C1307" s="57"/>
      <c r="D1307" s="57"/>
      <c r="E1307" s="57"/>
      <c r="F1307" s="57"/>
      <c r="G1307" s="57"/>
      <c r="H1307" s="57"/>
      <c r="I1307" s="57"/>
      <c r="J1307" s="57"/>
      <c r="K1307" s="57"/>
      <c r="L1307" s="57"/>
      <c r="M1307" s="57"/>
      <c r="N1307" s="57"/>
      <c r="O1307" s="57"/>
      <c r="P1307" s="57"/>
      <c r="Q1307" s="57"/>
      <c r="R1307" s="57"/>
      <c r="S1307" s="57"/>
      <c r="T1307" s="57"/>
      <c r="U1307" s="57"/>
      <c r="V1307" s="57"/>
      <c r="W1307" s="57"/>
      <c r="X1307" s="57"/>
      <c r="Y1307" s="57"/>
      <c r="Z1307" s="57"/>
      <c r="AA1307" s="57"/>
      <c r="AB1307" s="57"/>
      <c r="AC1307" s="57"/>
      <c r="AD1307" s="57"/>
    </row>
    <row r="1308" spans="1:30" ht="13.5" thickBot="1" x14ac:dyDescent="0.25">
      <c r="A1308" s="57"/>
      <c r="B1308" s="57"/>
      <c r="C1308" s="57"/>
      <c r="D1308" s="57"/>
      <c r="E1308" s="57"/>
      <c r="F1308" s="57"/>
      <c r="G1308" s="57"/>
      <c r="H1308" s="57"/>
      <c r="I1308" s="57"/>
      <c r="J1308" s="57"/>
      <c r="K1308" s="57"/>
      <c r="L1308" s="57"/>
      <c r="M1308" s="57"/>
      <c r="N1308" s="57"/>
      <c r="O1308" s="57"/>
      <c r="P1308" s="57"/>
      <c r="Q1308" s="57"/>
      <c r="R1308" s="57"/>
      <c r="S1308" s="57"/>
      <c r="T1308" s="57"/>
      <c r="U1308" s="57"/>
      <c r="V1308" s="57"/>
      <c r="W1308" s="57"/>
      <c r="X1308" s="57"/>
      <c r="Y1308" s="57"/>
      <c r="Z1308" s="57"/>
      <c r="AA1308" s="57"/>
      <c r="AB1308" s="57"/>
      <c r="AC1308" s="57"/>
      <c r="AD1308" s="57"/>
    </row>
    <row r="1309" spans="1:30" ht="13.5" thickBot="1" x14ac:dyDescent="0.25">
      <c r="A1309" s="57"/>
      <c r="B1309" s="57"/>
      <c r="C1309" s="57"/>
      <c r="D1309" s="57"/>
      <c r="E1309" s="57"/>
      <c r="F1309" s="57"/>
      <c r="G1309" s="57"/>
      <c r="H1309" s="57"/>
      <c r="I1309" s="57"/>
      <c r="J1309" s="57"/>
      <c r="K1309" s="57"/>
      <c r="L1309" s="57"/>
      <c r="M1309" s="57"/>
      <c r="N1309" s="57"/>
      <c r="O1309" s="57"/>
      <c r="P1309" s="57"/>
      <c r="Q1309" s="57"/>
      <c r="R1309" s="57"/>
      <c r="S1309" s="57"/>
      <c r="T1309" s="57"/>
      <c r="U1309" s="57"/>
      <c r="V1309" s="57"/>
      <c r="W1309" s="57"/>
      <c r="X1309" s="57"/>
      <c r="Y1309" s="57"/>
      <c r="Z1309" s="57"/>
      <c r="AA1309" s="57"/>
      <c r="AB1309" s="57"/>
      <c r="AC1309" s="57"/>
      <c r="AD1309" s="57"/>
    </row>
    <row r="1310" spans="1:30" ht="13.5" thickBot="1" x14ac:dyDescent="0.25">
      <c r="A1310" s="57"/>
      <c r="B1310" s="57"/>
      <c r="C1310" s="57"/>
      <c r="D1310" s="57"/>
      <c r="E1310" s="57"/>
      <c r="F1310" s="57"/>
      <c r="G1310" s="57"/>
      <c r="H1310" s="57"/>
      <c r="I1310" s="57"/>
      <c r="J1310" s="57"/>
      <c r="K1310" s="57"/>
      <c r="L1310" s="57"/>
      <c r="M1310" s="57"/>
      <c r="N1310" s="57"/>
      <c r="O1310" s="57"/>
      <c r="P1310" s="57"/>
      <c r="Q1310" s="57"/>
      <c r="R1310" s="57"/>
      <c r="S1310" s="57"/>
      <c r="T1310" s="57"/>
      <c r="U1310" s="57"/>
      <c r="V1310" s="57"/>
      <c r="W1310" s="57"/>
      <c r="X1310" s="57"/>
      <c r="Y1310" s="57"/>
      <c r="Z1310" s="57"/>
      <c r="AA1310" s="57"/>
      <c r="AB1310" s="57"/>
      <c r="AC1310" s="57"/>
      <c r="AD1310" s="57"/>
    </row>
    <row r="1311" spans="1:30" ht="13.5" thickBot="1" x14ac:dyDescent="0.25">
      <c r="A1311" s="57"/>
      <c r="B1311" s="57"/>
      <c r="C1311" s="57"/>
      <c r="D1311" s="57"/>
      <c r="E1311" s="57"/>
      <c r="F1311" s="57"/>
      <c r="G1311" s="57"/>
      <c r="H1311" s="57"/>
      <c r="I1311" s="57"/>
      <c r="J1311" s="57"/>
      <c r="K1311" s="57"/>
      <c r="L1311" s="57"/>
      <c r="M1311" s="57"/>
      <c r="N1311" s="57"/>
      <c r="O1311" s="57"/>
      <c r="P1311" s="57"/>
      <c r="Q1311" s="57"/>
      <c r="R1311" s="57"/>
      <c r="S1311" s="57"/>
      <c r="T1311" s="57"/>
      <c r="U1311" s="57"/>
      <c r="V1311" s="57"/>
      <c r="W1311" s="57"/>
      <c r="X1311" s="57"/>
      <c r="Y1311" s="57"/>
      <c r="Z1311" s="57"/>
      <c r="AA1311" s="57"/>
      <c r="AB1311" s="57"/>
      <c r="AC1311" s="57"/>
      <c r="AD1311" s="57"/>
    </row>
    <row r="1312" spans="1:30" ht="13.5" thickBot="1" x14ac:dyDescent="0.25">
      <c r="A1312" s="57"/>
      <c r="B1312" s="57"/>
      <c r="C1312" s="57"/>
      <c r="D1312" s="57"/>
      <c r="E1312" s="57"/>
      <c r="F1312" s="57"/>
      <c r="G1312" s="57"/>
      <c r="H1312" s="57"/>
      <c r="I1312" s="57"/>
      <c r="J1312" s="57"/>
      <c r="K1312" s="57"/>
      <c r="L1312" s="57"/>
      <c r="M1312" s="57"/>
      <c r="N1312" s="57"/>
      <c r="O1312" s="57"/>
      <c r="P1312" s="57"/>
      <c r="Q1312" s="57"/>
      <c r="R1312" s="57"/>
      <c r="S1312" s="57"/>
      <c r="T1312" s="57"/>
      <c r="U1312" s="57"/>
      <c r="V1312" s="57"/>
      <c r="W1312" s="57"/>
      <c r="X1312" s="57"/>
      <c r="Y1312" s="57"/>
      <c r="Z1312" s="57"/>
      <c r="AA1312" s="57"/>
      <c r="AB1312" s="57"/>
      <c r="AC1312" s="57"/>
      <c r="AD1312" s="57"/>
    </row>
    <row r="1313" spans="1:30" ht="13.5" thickBot="1" x14ac:dyDescent="0.25">
      <c r="A1313" s="57"/>
      <c r="B1313" s="57"/>
      <c r="C1313" s="57"/>
      <c r="D1313" s="57"/>
      <c r="E1313" s="57"/>
      <c r="F1313" s="57"/>
      <c r="G1313" s="57"/>
      <c r="H1313" s="57"/>
      <c r="I1313" s="57"/>
      <c r="J1313" s="57"/>
      <c r="K1313" s="57"/>
      <c r="L1313" s="57"/>
      <c r="M1313" s="57"/>
      <c r="N1313" s="57"/>
      <c r="O1313" s="57"/>
      <c r="P1313" s="57"/>
      <c r="Q1313" s="57"/>
      <c r="R1313" s="57"/>
      <c r="S1313" s="57"/>
      <c r="T1313" s="57"/>
      <c r="U1313" s="57"/>
      <c r="V1313" s="57"/>
      <c r="W1313" s="57"/>
      <c r="X1313" s="57"/>
      <c r="Y1313" s="57"/>
      <c r="Z1313" s="57"/>
      <c r="AA1313" s="57"/>
      <c r="AB1313" s="57"/>
      <c r="AC1313" s="57"/>
      <c r="AD1313" s="57"/>
    </row>
    <row r="1314" spans="1:30" ht="13.5" thickBot="1" x14ac:dyDescent="0.25">
      <c r="A1314" s="57"/>
      <c r="B1314" s="57"/>
      <c r="C1314" s="57"/>
      <c r="D1314" s="57"/>
      <c r="E1314" s="57"/>
      <c r="F1314" s="57"/>
      <c r="G1314" s="57"/>
      <c r="H1314" s="57"/>
      <c r="I1314" s="57"/>
      <c r="J1314" s="57"/>
      <c r="K1314" s="57"/>
      <c r="L1314" s="57"/>
      <c r="M1314" s="57"/>
      <c r="N1314" s="57"/>
      <c r="O1314" s="57"/>
      <c r="P1314" s="57"/>
      <c r="Q1314" s="57"/>
      <c r="R1314" s="57"/>
      <c r="S1314" s="57"/>
      <c r="T1314" s="57"/>
      <c r="U1314" s="57"/>
      <c r="V1314" s="57"/>
      <c r="W1314" s="57"/>
      <c r="X1314" s="57"/>
      <c r="Y1314" s="57"/>
      <c r="Z1314" s="57"/>
      <c r="AA1314" s="57"/>
      <c r="AB1314" s="57"/>
      <c r="AC1314" s="57"/>
      <c r="AD1314" s="57"/>
    </row>
    <row r="1315" spans="1:30" ht="13.5" thickBot="1" x14ac:dyDescent="0.25">
      <c r="A1315" s="57"/>
      <c r="B1315" s="57"/>
      <c r="C1315" s="57"/>
      <c r="D1315" s="57"/>
      <c r="E1315" s="57"/>
      <c r="F1315" s="57"/>
      <c r="G1315" s="57"/>
      <c r="H1315" s="57"/>
      <c r="I1315" s="57"/>
      <c r="J1315" s="57"/>
      <c r="K1315" s="57"/>
      <c r="L1315" s="57"/>
      <c r="M1315" s="57"/>
      <c r="N1315" s="57"/>
      <c r="O1315" s="57"/>
      <c r="P1315" s="57"/>
      <c r="Q1315" s="57"/>
      <c r="R1315" s="57"/>
      <c r="S1315" s="57"/>
      <c r="T1315" s="57"/>
      <c r="U1315" s="57"/>
      <c r="V1315" s="57"/>
      <c r="W1315" s="57"/>
      <c r="X1315" s="57"/>
      <c r="Y1315" s="57"/>
      <c r="Z1315" s="57"/>
      <c r="AA1315" s="57"/>
      <c r="AB1315" s="57"/>
      <c r="AC1315" s="57"/>
      <c r="AD1315" s="57"/>
    </row>
    <row r="1316" spans="1:30" ht="13.5" thickBot="1" x14ac:dyDescent="0.25">
      <c r="A1316" s="57"/>
      <c r="B1316" s="57"/>
      <c r="C1316" s="57"/>
      <c r="D1316" s="57"/>
      <c r="E1316" s="57"/>
      <c r="F1316" s="57"/>
      <c r="G1316" s="57"/>
      <c r="H1316" s="57"/>
      <c r="I1316" s="57"/>
      <c r="J1316" s="57"/>
      <c r="K1316" s="57"/>
      <c r="L1316" s="57"/>
      <c r="M1316" s="57"/>
      <c r="N1316" s="57"/>
      <c r="O1316" s="57"/>
      <c r="P1316" s="57"/>
      <c r="Q1316" s="57"/>
      <c r="R1316" s="57"/>
      <c r="S1316" s="57"/>
      <c r="T1316" s="57"/>
      <c r="U1316" s="57"/>
      <c r="V1316" s="57"/>
      <c r="W1316" s="57"/>
      <c r="X1316" s="57"/>
      <c r="Y1316" s="57"/>
      <c r="Z1316" s="57"/>
      <c r="AA1316" s="57"/>
      <c r="AB1316" s="57"/>
      <c r="AC1316" s="57"/>
      <c r="AD1316" s="57"/>
    </row>
    <row r="1317" spans="1:30" ht="13.5" thickBot="1" x14ac:dyDescent="0.25">
      <c r="A1317" s="57"/>
      <c r="B1317" s="57"/>
      <c r="C1317" s="57"/>
      <c r="D1317" s="57"/>
      <c r="E1317" s="57"/>
      <c r="F1317" s="57"/>
      <c r="G1317" s="57"/>
      <c r="H1317" s="57"/>
      <c r="I1317" s="57"/>
      <c r="J1317" s="57"/>
      <c r="K1317" s="57"/>
      <c r="L1317" s="57"/>
      <c r="M1317" s="57"/>
      <c r="N1317" s="57"/>
      <c r="O1317" s="57"/>
      <c r="P1317" s="57"/>
      <c r="Q1317" s="57"/>
      <c r="R1317" s="57"/>
      <c r="S1317" s="57"/>
      <c r="T1317" s="57"/>
      <c r="U1317" s="57"/>
      <c r="V1317" s="57"/>
      <c r="W1317" s="57"/>
      <c r="X1317" s="57"/>
      <c r="Y1317" s="57"/>
      <c r="Z1317" s="57"/>
      <c r="AA1317" s="57"/>
      <c r="AB1317" s="57"/>
      <c r="AC1317" s="57"/>
      <c r="AD1317" s="57"/>
    </row>
    <row r="1318" spans="1:30" ht="13.5" thickBot="1" x14ac:dyDescent="0.25">
      <c r="A1318" s="57"/>
      <c r="B1318" s="57"/>
      <c r="C1318" s="57"/>
      <c r="D1318" s="57"/>
      <c r="E1318" s="57"/>
      <c r="F1318" s="57"/>
      <c r="G1318" s="57"/>
      <c r="H1318" s="57"/>
      <c r="I1318" s="57"/>
      <c r="J1318" s="57"/>
      <c r="K1318" s="57"/>
      <c r="L1318" s="57"/>
      <c r="M1318" s="57"/>
      <c r="N1318" s="57"/>
      <c r="O1318" s="57"/>
      <c r="P1318" s="57"/>
      <c r="Q1318" s="57"/>
      <c r="R1318" s="57"/>
      <c r="S1318" s="57"/>
      <c r="T1318" s="57"/>
      <c r="U1318" s="57"/>
      <c r="V1318" s="57"/>
      <c r="W1318" s="57"/>
      <c r="X1318" s="57"/>
      <c r="Y1318" s="57"/>
      <c r="Z1318" s="57"/>
      <c r="AA1318" s="57"/>
      <c r="AB1318" s="57"/>
      <c r="AC1318" s="57"/>
      <c r="AD1318" s="57"/>
    </row>
    <row r="1319" spans="1:30" ht="13.5" thickBot="1" x14ac:dyDescent="0.25">
      <c r="A1319" s="57"/>
      <c r="B1319" s="57"/>
      <c r="C1319" s="57"/>
      <c r="D1319" s="57"/>
      <c r="E1319" s="57"/>
      <c r="F1319" s="57"/>
      <c r="G1319" s="57"/>
      <c r="H1319" s="57"/>
      <c r="I1319" s="57"/>
      <c r="J1319" s="57"/>
      <c r="K1319" s="57"/>
      <c r="L1319" s="57"/>
      <c r="M1319" s="57"/>
      <c r="N1319" s="57"/>
      <c r="O1319" s="57"/>
      <c r="P1319" s="57"/>
      <c r="Q1319" s="57"/>
      <c r="R1319" s="57"/>
      <c r="S1319" s="57"/>
      <c r="T1319" s="57"/>
      <c r="U1319" s="57"/>
      <c r="V1319" s="57"/>
      <c r="W1319" s="57"/>
      <c r="X1319" s="57"/>
      <c r="Y1319" s="57"/>
      <c r="Z1319" s="57"/>
      <c r="AA1319" s="57"/>
      <c r="AB1319" s="57"/>
      <c r="AC1319" s="57"/>
      <c r="AD1319" s="57"/>
    </row>
    <row r="1320" spans="1:30" ht="13.5" thickBot="1" x14ac:dyDescent="0.25">
      <c r="A1320" s="57"/>
      <c r="B1320" s="57"/>
      <c r="C1320" s="57"/>
      <c r="D1320" s="57"/>
      <c r="E1320" s="57"/>
      <c r="F1320" s="57"/>
      <c r="G1320" s="57"/>
      <c r="H1320" s="57"/>
      <c r="I1320" s="57"/>
      <c r="J1320" s="57"/>
      <c r="K1320" s="57"/>
      <c r="L1320" s="57"/>
      <c r="M1320" s="57"/>
      <c r="N1320" s="57"/>
      <c r="O1320" s="57"/>
      <c r="P1320" s="57"/>
      <c r="Q1320" s="57"/>
      <c r="R1320" s="57"/>
      <c r="S1320" s="57"/>
      <c r="T1320" s="57"/>
      <c r="U1320" s="57"/>
      <c r="V1320" s="57"/>
      <c r="W1320" s="57"/>
      <c r="X1320" s="57"/>
      <c r="Y1320" s="57"/>
      <c r="Z1320" s="57"/>
      <c r="AA1320" s="57"/>
      <c r="AB1320" s="57"/>
      <c r="AC1320" s="57"/>
      <c r="AD1320" s="57"/>
    </row>
    <row r="1321" spans="1:30" ht="13.5" thickBot="1" x14ac:dyDescent="0.25">
      <c r="A1321" s="57"/>
      <c r="B1321" s="57"/>
      <c r="C1321" s="57"/>
      <c r="D1321" s="57"/>
      <c r="E1321" s="57"/>
      <c r="F1321" s="57"/>
      <c r="G1321" s="57"/>
      <c r="H1321" s="57"/>
      <c r="I1321" s="57"/>
      <c r="J1321" s="57"/>
      <c r="K1321" s="57"/>
      <c r="L1321" s="57"/>
      <c r="M1321" s="57"/>
      <c r="N1321" s="57"/>
      <c r="O1321" s="57"/>
      <c r="P1321" s="57"/>
      <c r="Q1321" s="57"/>
      <c r="R1321" s="57"/>
      <c r="S1321" s="57"/>
      <c r="T1321" s="57"/>
      <c r="U1321" s="57"/>
      <c r="V1321" s="57"/>
      <c r="W1321" s="57"/>
      <c r="X1321" s="57"/>
      <c r="Y1321" s="57"/>
      <c r="Z1321" s="57"/>
      <c r="AA1321" s="57"/>
      <c r="AB1321" s="57"/>
      <c r="AC1321" s="57"/>
      <c r="AD1321" s="57"/>
    </row>
    <row r="1322" spans="1:30" ht="13.5" thickBot="1" x14ac:dyDescent="0.25">
      <c r="A1322" s="57"/>
      <c r="B1322" s="57"/>
      <c r="C1322" s="57"/>
      <c r="D1322" s="57"/>
      <c r="E1322" s="57"/>
      <c r="F1322" s="57"/>
      <c r="G1322" s="57"/>
      <c r="H1322" s="57"/>
      <c r="I1322" s="57"/>
      <c r="J1322" s="57"/>
      <c r="K1322" s="57"/>
      <c r="L1322" s="57"/>
      <c r="M1322" s="57"/>
      <c r="N1322" s="57"/>
      <c r="O1322" s="57"/>
      <c r="P1322" s="57"/>
      <c r="Q1322" s="57"/>
      <c r="R1322" s="57"/>
      <c r="S1322" s="57"/>
      <c r="T1322" s="57"/>
      <c r="U1322" s="57"/>
      <c r="V1322" s="57"/>
      <c r="W1322" s="57"/>
      <c r="X1322" s="57"/>
      <c r="Y1322" s="57"/>
      <c r="Z1322" s="57"/>
      <c r="AA1322" s="57"/>
      <c r="AB1322" s="57"/>
      <c r="AC1322" s="57"/>
      <c r="AD1322" s="57"/>
    </row>
    <row r="1323" spans="1:30" ht="13.5" thickBot="1" x14ac:dyDescent="0.25">
      <c r="A1323" s="57"/>
      <c r="B1323" s="57"/>
      <c r="C1323" s="57"/>
      <c r="D1323" s="57"/>
      <c r="E1323" s="57"/>
      <c r="F1323" s="57"/>
      <c r="G1323" s="57"/>
      <c r="H1323" s="57"/>
      <c r="I1323" s="57"/>
      <c r="J1323" s="57"/>
      <c r="K1323" s="57"/>
      <c r="L1323" s="57"/>
      <c r="M1323" s="57"/>
      <c r="N1323" s="57"/>
      <c r="O1323" s="57"/>
      <c r="P1323" s="57"/>
      <c r="Q1323" s="57"/>
      <c r="R1323" s="57"/>
      <c r="S1323" s="57"/>
      <c r="T1323" s="57"/>
      <c r="U1323" s="57"/>
      <c r="V1323" s="57"/>
      <c r="W1323" s="57"/>
      <c r="X1323" s="57"/>
      <c r="Y1323" s="57"/>
      <c r="Z1323" s="57"/>
      <c r="AA1323" s="57"/>
      <c r="AB1323" s="57"/>
      <c r="AC1323" s="57"/>
      <c r="AD1323" s="57"/>
    </row>
    <row r="1324" spans="1:30" ht="13.5" thickBot="1" x14ac:dyDescent="0.25">
      <c r="A1324" s="57"/>
      <c r="B1324" s="57"/>
      <c r="C1324" s="57"/>
      <c r="D1324" s="57"/>
      <c r="E1324" s="57"/>
      <c r="F1324" s="57"/>
      <c r="G1324" s="57"/>
      <c r="H1324" s="57"/>
      <c r="I1324" s="57"/>
      <c r="J1324" s="57"/>
      <c r="K1324" s="57"/>
      <c r="L1324" s="57"/>
      <c r="M1324" s="57"/>
      <c r="N1324" s="57"/>
      <c r="O1324" s="57"/>
      <c r="P1324" s="57"/>
      <c r="Q1324" s="57"/>
      <c r="R1324" s="57"/>
      <c r="S1324" s="57"/>
      <c r="T1324" s="57"/>
      <c r="U1324" s="57"/>
      <c r="V1324" s="57"/>
      <c r="W1324" s="57"/>
      <c r="X1324" s="57"/>
      <c r="Y1324" s="57"/>
      <c r="Z1324" s="57"/>
      <c r="AA1324" s="57"/>
      <c r="AB1324" s="57"/>
      <c r="AC1324" s="57"/>
      <c r="AD1324" s="57"/>
    </row>
    <row r="1325" spans="1:30" ht="13.5" thickBot="1" x14ac:dyDescent="0.25">
      <c r="A1325" s="57"/>
      <c r="B1325" s="57"/>
      <c r="C1325" s="57"/>
      <c r="D1325" s="57"/>
      <c r="E1325" s="57"/>
      <c r="F1325" s="57"/>
      <c r="G1325" s="57"/>
      <c r="H1325" s="57"/>
      <c r="I1325" s="57"/>
      <c r="J1325" s="57"/>
      <c r="K1325" s="57"/>
      <c r="L1325" s="57"/>
      <c r="M1325" s="57"/>
      <c r="N1325" s="57"/>
      <c r="O1325" s="57"/>
      <c r="P1325" s="57"/>
      <c r="Q1325" s="57"/>
      <c r="R1325" s="57"/>
      <c r="S1325" s="57"/>
      <c r="T1325" s="57"/>
      <c r="U1325" s="57"/>
      <c r="V1325" s="57"/>
      <c r="W1325" s="57"/>
      <c r="X1325" s="57"/>
      <c r="Y1325" s="57"/>
      <c r="Z1325" s="57"/>
      <c r="AA1325" s="57"/>
      <c r="AB1325" s="57"/>
      <c r="AC1325" s="57"/>
      <c r="AD1325" s="57"/>
    </row>
    <row r="1326" spans="1:30" ht="13.5" thickBot="1" x14ac:dyDescent="0.25">
      <c r="A1326" s="57"/>
      <c r="B1326" s="57"/>
      <c r="C1326" s="57"/>
      <c r="D1326" s="57"/>
      <c r="E1326" s="57"/>
      <c r="F1326" s="57"/>
      <c r="G1326" s="57"/>
      <c r="H1326" s="57"/>
      <c r="I1326" s="57"/>
      <c r="J1326" s="57"/>
      <c r="K1326" s="57"/>
      <c r="L1326" s="57"/>
      <c r="M1326" s="57"/>
      <c r="N1326" s="57"/>
      <c r="O1326" s="57"/>
      <c r="P1326" s="57"/>
      <c r="Q1326" s="57"/>
      <c r="R1326" s="57"/>
      <c r="S1326" s="57"/>
      <c r="T1326" s="57"/>
      <c r="U1326" s="57"/>
      <c r="V1326" s="57"/>
      <c r="W1326" s="57"/>
      <c r="X1326" s="57"/>
      <c r="Y1326" s="57"/>
      <c r="Z1326" s="57"/>
      <c r="AA1326" s="57"/>
      <c r="AB1326" s="57"/>
      <c r="AC1326" s="57"/>
      <c r="AD1326" s="57"/>
    </row>
    <row r="1327" spans="1:30" ht="13.5" thickBot="1" x14ac:dyDescent="0.25">
      <c r="A1327" s="57"/>
      <c r="B1327" s="57"/>
      <c r="C1327" s="57"/>
      <c r="D1327" s="57"/>
      <c r="E1327" s="57"/>
      <c r="F1327" s="57"/>
      <c r="G1327" s="57"/>
      <c r="H1327" s="57"/>
      <c r="I1327" s="57"/>
      <c r="J1327" s="57"/>
      <c r="K1327" s="57"/>
      <c r="L1327" s="57"/>
      <c r="M1327" s="57"/>
      <c r="N1327" s="57"/>
      <c r="O1327" s="57"/>
      <c r="P1327" s="57"/>
      <c r="Q1327" s="57"/>
      <c r="R1327" s="57"/>
      <c r="S1327" s="57"/>
      <c r="T1327" s="57"/>
      <c r="U1327" s="57"/>
      <c r="V1327" s="57"/>
      <c r="W1327" s="57"/>
      <c r="X1327" s="57"/>
      <c r="Y1327" s="57"/>
      <c r="Z1327" s="57"/>
      <c r="AA1327" s="57"/>
      <c r="AB1327" s="57"/>
      <c r="AC1327" s="57"/>
      <c r="AD1327" s="57"/>
    </row>
    <row r="1328" spans="1:30" ht="13.5" thickBot="1" x14ac:dyDescent="0.25">
      <c r="A1328" s="57"/>
      <c r="B1328" s="57"/>
      <c r="C1328" s="57"/>
      <c r="D1328" s="57"/>
      <c r="E1328" s="57"/>
      <c r="F1328" s="57"/>
      <c r="G1328" s="57"/>
      <c r="H1328" s="57"/>
      <c r="I1328" s="57"/>
      <c r="J1328" s="57"/>
      <c r="K1328" s="57"/>
      <c r="L1328" s="57"/>
      <c r="M1328" s="57"/>
      <c r="N1328" s="57"/>
      <c r="O1328" s="57"/>
      <c r="P1328" s="57"/>
      <c r="Q1328" s="57"/>
      <c r="R1328" s="57"/>
      <c r="S1328" s="57"/>
      <c r="T1328" s="57"/>
      <c r="U1328" s="57"/>
      <c r="V1328" s="57"/>
      <c r="W1328" s="57"/>
      <c r="X1328" s="57"/>
      <c r="Y1328" s="57"/>
      <c r="Z1328" s="57"/>
      <c r="AA1328" s="57"/>
      <c r="AB1328" s="57"/>
      <c r="AC1328" s="57"/>
      <c r="AD1328" s="57"/>
    </row>
    <row r="1329" spans="1:30" ht="13.5" thickBot="1" x14ac:dyDescent="0.25">
      <c r="A1329" s="57"/>
      <c r="B1329" s="57"/>
      <c r="C1329" s="57"/>
      <c r="D1329" s="57"/>
      <c r="E1329" s="57"/>
      <c r="F1329" s="57"/>
      <c r="G1329" s="57"/>
      <c r="H1329" s="57"/>
      <c r="I1329" s="57"/>
      <c r="J1329" s="57"/>
      <c r="K1329" s="57"/>
      <c r="L1329" s="57"/>
      <c r="M1329" s="57"/>
      <c r="N1329" s="57"/>
      <c r="O1329" s="57"/>
      <c r="P1329" s="57"/>
      <c r="Q1329" s="57"/>
      <c r="R1329" s="57"/>
      <c r="S1329" s="57"/>
      <c r="T1329" s="57"/>
      <c r="U1329" s="57"/>
      <c r="V1329" s="57"/>
      <c r="W1329" s="57"/>
      <c r="X1329" s="57"/>
      <c r="Y1329" s="57"/>
      <c r="Z1329" s="57"/>
      <c r="AA1329" s="57"/>
      <c r="AB1329" s="57"/>
      <c r="AC1329" s="57"/>
      <c r="AD1329" s="57"/>
    </row>
    <row r="1330" spans="1:30" ht="13.5" thickBot="1" x14ac:dyDescent="0.25">
      <c r="A1330" s="57"/>
      <c r="B1330" s="57"/>
      <c r="C1330" s="57"/>
      <c r="D1330" s="57"/>
      <c r="E1330" s="57"/>
      <c r="F1330" s="57"/>
      <c r="G1330" s="57"/>
      <c r="H1330" s="57"/>
      <c r="I1330" s="57"/>
      <c r="J1330" s="57"/>
      <c r="K1330" s="57"/>
      <c r="L1330" s="57"/>
      <c r="M1330" s="57"/>
      <c r="N1330" s="57"/>
      <c r="O1330" s="57"/>
      <c r="P1330" s="57"/>
      <c r="Q1330" s="57"/>
      <c r="R1330" s="57"/>
      <c r="S1330" s="57"/>
      <c r="T1330" s="57"/>
      <c r="U1330" s="57"/>
      <c r="V1330" s="57"/>
      <c r="W1330" s="57"/>
      <c r="X1330" s="57"/>
      <c r="Y1330" s="57"/>
      <c r="Z1330" s="57"/>
      <c r="AA1330" s="57"/>
      <c r="AB1330" s="57"/>
      <c r="AC1330" s="57"/>
      <c r="AD1330" s="57"/>
    </row>
    <row r="1331" spans="1:30" ht="13.5" thickBot="1" x14ac:dyDescent="0.25">
      <c r="A1331" s="57"/>
      <c r="B1331" s="57"/>
      <c r="C1331" s="57"/>
      <c r="D1331" s="57"/>
      <c r="E1331" s="57"/>
      <c r="F1331" s="57"/>
      <c r="G1331" s="57"/>
      <c r="H1331" s="57"/>
      <c r="I1331" s="57"/>
      <c r="J1331" s="57"/>
      <c r="K1331" s="57"/>
      <c r="L1331" s="57"/>
      <c r="M1331" s="57"/>
      <c r="N1331" s="57"/>
      <c r="O1331" s="57"/>
      <c r="P1331" s="57"/>
      <c r="Q1331" s="57"/>
      <c r="R1331" s="57"/>
      <c r="S1331" s="57"/>
      <c r="T1331" s="57"/>
      <c r="U1331" s="57"/>
      <c r="V1331" s="57"/>
      <c r="W1331" s="57"/>
      <c r="X1331" s="57"/>
      <c r="Y1331" s="57"/>
      <c r="Z1331" s="57"/>
      <c r="AA1331" s="57"/>
      <c r="AB1331" s="57"/>
      <c r="AC1331" s="57"/>
      <c r="AD1331" s="57"/>
    </row>
    <row r="1332" spans="1:30" ht="13.5" thickBot="1" x14ac:dyDescent="0.25">
      <c r="A1332" s="57"/>
      <c r="B1332" s="57"/>
      <c r="C1332" s="57"/>
      <c r="D1332" s="57"/>
      <c r="E1332" s="57"/>
      <c r="F1332" s="57"/>
      <c r="G1332" s="57"/>
      <c r="H1332" s="57"/>
      <c r="I1332" s="57"/>
      <c r="J1332" s="57"/>
      <c r="K1332" s="57"/>
      <c r="L1332" s="57"/>
      <c r="M1332" s="57"/>
      <c r="N1332" s="57"/>
      <c r="O1332" s="57"/>
      <c r="P1332" s="57"/>
      <c r="Q1332" s="57"/>
      <c r="R1332" s="57"/>
      <c r="S1332" s="57"/>
      <c r="T1332" s="57"/>
      <c r="U1332" s="57"/>
      <c r="V1332" s="57"/>
      <c r="W1332" s="57"/>
      <c r="X1332" s="57"/>
      <c r="Y1332" s="57"/>
      <c r="Z1332" s="57"/>
      <c r="AA1332" s="57"/>
      <c r="AB1332" s="57"/>
      <c r="AC1332" s="57"/>
      <c r="AD1332" s="57"/>
    </row>
    <row r="1333" spans="1:30" ht="13.5" thickBot="1" x14ac:dyDescent="0.25">
      <c r="A1333" s="57"/>
      <c r="B1333" s="57"/>
      <c r="C1333" s="57"/>
      <c r="D1333" s="57"/>
      <c r="E1333" s="57"/>
      <c r="F1333" s="57"/>
      <c r="G1333" s="57"/>
      <c r="H1333" s="57"/>
      <c r="I1333" s="57"/>
      <c r="J1333" s="57"/>
      <c r="K1333" s="57"/>
      <c r="L1333" s="57"/>
      <c r="M1333" s="57"/>
      <c r="N1333" s="57"/>
      <c r="O1333" s="57"/>
      <c r="P1333" s="57"/>
      <c r="Q1333" s="57"/>
      <c r="R1333" s="57"/>
      <c r="S1333" s="57"/>
      <c r="T1333" s="57"/>
      <c r="U1333" s="57"/>
      <c r="V1333" s="57"/>
      <c r="W1333" s="57"/>
      <c r="X1333" s="57"/>
      <c r="Y1333" s="57"/>
      <c r="Z1333" s="57"/>
      <c r="AA1333" s="57"/>
      <c r="AB1333" s="57"/>
      <c r="AC1333" s="57"/>
      <c r="AD1333" s="57"/>
    </row>
    <row r="1334" spans="1:30" ht="13.5" thickBot="1" x14ac:dyDescent="0.25">
      <c r="A1334" s="57"/>
      <c r="B1334" s="57"/>
      <c r="C1334" s="57"/>
      <c r="D1334" s="57"/>
      <c r="E1334" s="57"/>
      <c r="F1334" s="57"/>
      <c r="G1334" s="57"/>
      <c r="H1334" s="57"/>
      <c r="I1334" s="57"/>
      <c r="J1334" s="57"/>
      <c r="K1334" s="57"/>
      <c r="L1334" s="57"/>
      <c r="M1334" s="57"/>
      <c r="N1334" s="57"/>
      <c r="O1334" s="57"/>
      <c r="P1334" s="57"/>
      <c r="Q1334" s="57"/>
      <c r="R1334" s="57"/>
      <c r="S1334" s="57"/>
      <c r="T1334" s="57"/>
      <c r="U1334" s="57"/>
      <c r="V1334" s="57"/>
      <c r="W1334" s="57"/>
      <c r="X1334" s="57"/>
      <c r="Y1334" s="57"/>
      <c r="Z1334" s="57"/>
      <c r="AA1334" s="57"/>
      <c r="AB1334" s="57"/>
      <c r="AC1334" s="57"/>
      <c r="AD1334" s="57"/>
    </row>
    <row r="1335" spans="1:30" ht="13.5" thickBot="1" x14ac:dyDescent="0.25">
      <c r="A1335" s="57"/>
      <c r="B1335" s="57"/>
      <c r="C1335" s="57"/>
      <c r="D1335" s="57"/>
      <c r="E1335" s="57"/>
      <c r="F1335" s="57"/>
      <c r="G1335" s="57"/>
      <c r="H1335" s="57"/>
      <c r="I1335" s="57"/>
      <c r="J1335" s="57"/>
      <c r="K1335" s="57"/>
      <c r="L1335" s="57"/>
      <c r="M1335" s="57"/>
      <c r="N1335" s="57"/>
      <c r="O1335" s="57"/>
      <c r="P1335" s="57"/>
      <c r="Q1335" s="57"/>
      <c r="R1335" s="57"/>
      <c r="S1335" s="57"/>
      <c r="T1335" s="57"/>
      <c r="U1335" s="57"/>
      <c r="V1335" s="57"/>
      <c r="W1335" s="57"/>
      <c r="X1335" s="57"/>
      <c r="Y1335" s="57"/>
      <c r="Z1335" s="57"/>
      <c r="AA1335" s="57"/>
      <c r="AB1335" s="57"/>
      <c r="AC1335" s="57"/>
      <c r="AD1335" s="57"/>
    </row>
    <row r="1336" spans="1:30" ht="13.5" thickBot="1" x14ac:dyDescent="0.25">
      <c r="A1336" s="57"/>
      <c r="B1336" s="57"/>
      <c r="C1336" s="57"/>
      <c r="D1336" s="57"/>
      <c r="E1336" s="57"/>
      <c r="F1336" s="57"/>
      <c r="G1336" s="57"/>
      <c r="H1336" s="57"/>
      <c r="I1336" s="57"/>
      <c r="J1336" s="57"/>
      <c r="K1336" s="57"/>
      <c r="L1336" s="57"/>
      <c r="M1336" s="57"/>
      <c r="N1336" s="57"/>
      <c r="O1336" s="57"/>
      <c r="P1336" s="57"/>
      <c r="Q1336" s="57"/>
      <c r="R1336" s="57"/>
      <c r="S1336" s="57"/>
      <c r="T1336" s="57"/>
      <c r="U1336" s="57"/>
      <c r="V1336" s="57"/>
      <c r="W1336" s="57"/>
      <c r="X1336" s="57"/>
      <c r="Y1336" s="57"/>
      <c r="Z1336" s="57"/>
      <c r="AA1336" s="57"/>
      <c r="AB1336" s="57"/>
      <c r="AC1336" s="57"/>
      <c r="AD1336" s="57"/>
    </row>
    <row r="1337" spans="1:30" ht="13.5" thickBot="1" x14ac:dyDescent="0.25">
      <c r="A1337" s="57"/>
      <c r="B1337" s="57"/>
      <c r="C1337" s="57"/>
      <c r="D1337" s="57"/>
      <c r="E1337" s="57"/>
      <c r="F1337" s="57"/>
      <c r="G1337" s="57"/>
      <c r="H1337" s="57"/>
      <c r="I1337" s="57"/>
      <c r="J1337" s="57"/>
      <c r="K1337" s="57"/>
      <c r="L1337" s="57"/>
      <c r="M1337" s="57"/>
      <c r="N1337" s="57"/>
      <c r="O1337" s="57"/>
      <c r="P1337" s="57"/>
      <c r="Q1337" s="57"/>
      <c r="R1337" s="57"/>
      <c r="S1337" s="57"/>
      <c r="T1337" s="57"/>
      <c r="U1337" s="57"/>
      <c r="V1337" s="57"/>
      <c r="W1337" s="57"/>
      <c r="X1337" s="57"/>
      <c r="Y1337" s="57"/>
      <c r="Z1337" s="57"/>
      <c r="AA1337" s="57"/>
      <c r="AB1337" s="57"/>
      <c r="AC1337" s="57"/>
      <c r="AD1337" s="57"/>
    </row>
    <row r="1338" spans="1:30" ht="13.5" thickBot="1" x14ac:dyDescent="0.25">
      <c r="A1338" s="57"/>
      <c r="B1338" s="57"/>
      <c r="C1338" s="57"/>
      <c r="D1338" s="57"/>
      <c r="E1338" s="57"/>
      <c r="F1338" s="57"/>
      <c r="G1338" s="57"/>
      <c r="H1338" s="57"/>
      <c r="I1338" s="57"/>
      <c r="J1338" s="57"/>
      <c r="K1338" s="57"/>
      <c r="L1338" s="57"/>
      <c r="M1338" s="57"/>
      <c r="N1338" s="57"/>
      <c r="O1338" s="57"/>
      <c r="P1338" s="57"/>
      <c r="Q1338" s="57"/>
      <c r="R1338" s="57"/>
      <c r="S1338" s="57"/>
      <c r="T1338" s="57"/>
      <c r="U1338" s="57"/>
      <c r="V1338" s="57"/>
      <c r="W1338" s="57"/>
      <c r="X1338" s="57"/>
      <c r="Y1338" s="57"/>
      <c r="Z1338" s="57"/>
      <c r="AA1338" s="57"/>
      <c r="AB1338" s="57"/>
      <c r="AC1338" s="57"/>
      <c r="AD1338" s="57"/>
    </row>
    <row r="1339" spans="1:30" ht="13.5" thickBot="1" x14ac:dyDescent="0.25">
      <c r="A1339" s="57"/>
      <c r="B1339" s="57"/>
      <c r="C1339" s="57"/>
      <c r="D1339" s="57"/>
      <c r="E1339" s="57"/>
      <c r="F1339" s="57"/>
      <c r="G1339" s="57"/>
      <c r="H1339" s="57"/>
      <c r="I1339" s="57"/>
      <c r="J1339" s="57"/>
      <c r="K1339" s="57"/>
      <c r="L1339" s="57"/>
      <c r="M1339" s="57"/>
      <c r="N1339" s="57"/>
      <c r="O1339" s="57"/>
      <c r="P1339" s="57"/>
      <c r="Q1339" s="57"/>
      <c r="R1339" s="57"/>
      <c r="S1339" s="57"/>
      <c r="T1339" s="57"/>
      <c r="U1339" s="57"/>
      <c r="V1339" s="57"/>
      <c r="W1339" s="57"/>
      <c r="X1339" s="57"/>
      <c r="Y1339" s="57"/>
      <c r="Z1339" s="57"/>
      <c r="AA1339" s="57"/>
      <c r="AB1339" s="57"/>
      <c r="AC1339" s="57"/>
      <c r="AD1339" s="57"/>
    </row>
    <row r="1340" spans="1:30" ht="13.5" thickBot="1" x14ac:dyDescent="0.25">
      <c r="A1340" s="57"/>
      <c r="B1340" s="57"/>
      <c r="C1340" s="57"/>
      <c r="D1340" s="57"/>
      <c r="E1340" s="57"/>
      <c r="F1340" s="57"/>
      <c r="G1340" s="57"/>
      <c r="H1340" s="57"/>
      <c r="I1340" s="57"/>
      <c r="J1340" s="57"/>
      <c r="K1340" s="57"/>
      <c r="L1340" s="57"/>
      <c r="M1340" s="57"/>
      <c r="N1340" s="57"/>
      <c r="O1340" s="57"/>
      <c r="P1340" s="57"/>
      <c r="Q1340" s="57"/>
      <c r="R1340" s="57"/>
      <c r="S1340" s="57"/>
      <c r="T1340" s="57"/>
      <c r="U1340" s="57"/>
      <c r="V1340" s="57"/>
      <c r="W1340" s="57"/>
      <c r="X1340" s="57"/>
      <c r="Y1340" s="57"/>
      <c r="Z1340" s="57"/>
      <c r="AA1340" s="57"/>
      <c r="AB1340" s="57"/>
      <c r="AC1340" s="57"/>
      <c r="AD1340" s="57"/>
    </row>
    <row r="1341" spans="1:30" ht="13.5" thickBot="1" x14ac:dyDescent="0.25">
      <c r="A1341" s="57"/>
      <c r="B1341" s="57"/>
      <c r="C1341" s="57"/>
      <c r="D1341" s="57"/>
      <c r="E1341" s="57"/>
      <c r="F1341" s="57"/>
      <c r="G1341" s="57"/>
      <c r="H1341" s="57"/>
      <c r="I1341" s="57"/>
      <c r="J1341" s="57"/>
      <c r="K1341" s="57"/>
      <c r="L1341" s="57"/>
      <c r="M1341" s="57"/>
      <c r="N1341" s="57"/>
      <c r="O1341" s="57"/>
      <c r="P1341" s="57"/>
      <c r="Q1341" s="57"/>
      <c r="R1341" s="57"/>
      <c r="S1341" s="57"/>
      <c r="T1341" s="57"/>
      <c r="U1341" s="57"/>
      <c r="V1341" s="57"/>
      <c r="W1341" s="57"/>
      <c r="X1341" s="57"/>
      <c r="Y1341" s="57"/>
      <c r="Z1341" s="57"/>
      <c r="AA1341" s="57"/>
      <c r="AB1341" s="57"/>
      <c r="AC1341" s="57"/>
      <c r="AD1341" s="57"/>
    </row>
    <row r="1342" spans="1:30" ht="13.5" thickBot="1" x14ac:dyDescent="0.25">
      <c r="A1342" s="57"/>
      <c r="B1342" s="57"/>
      <c r="C1342" s="57"/>
      <c r="D1342" s="57"/>
      <c r="E1342" s="57"/>
      <c r="F1342" s="57"/>
      <c r="G1342" s="57"/>
      <c r="H1342" s="57"/>
      <c r="I1342" s="57"/>
      <c r="J1342" s="57"/>
      <c r="K1342" s="57"/>
      <c r="L1342" s="57"/>
      <c r="M1342" s="57"/>
      <c r="N1342" s="57"/>
      <c r="O1342" s="57"/>
      <c r="P1342" s="57"/>
      <c r="Q1342" s="57"/>
      <c r="R1342" s="57"/>
      <c r="S1342" s="57"/>
      <c r="T1342" s="57"/>
      <c r="U1342" s="57"/>
      <c r="V1342" s="57"/>
      <c r="W1342" s="57"/>
      <c r="X1342" s="57"/>
      <c r="Y1342" s="57"/>
      <c r="Z1342" s="57"/>
      <c r="AA1342" s="57"/>
      <c r="AB1342" s="57"/>
      <c r="AC1342" s="57"/>
      <c r="AD1342" s="57"/>
    </row>
    <row r="1343" spans="1:30" ht="13.5" thickBot="1" x14ac:dyDescent="0.25">
      <c r="A1343" s="57"/>
      <c r="B1343" s="57"/>
      <c r="C1343" s="57"/>
      <c r="D1343" s="57"/>
      <c r="E1343" s="57"/>
      <c r="F1343" s="57"/>
      <c r="G1343" s="57"/>
      <c r="H1343" s="57"/>
      <c r="I1343" s="57"/>
      <c r="J1343" s="57"/>
      <c r="K1343" s="57"/>
      <c r="L1343" s="57"/>
      <c r="M1343" s="57"/>
      <c r="N1343" s="57"/>
      <c r="O1343" s="57"/>
      <c r="P1343" s="57"/>
      <c r="Q1343" s="57"/>
      <c r="R1343" s="57"/>
      <c r="S1343" s="57"/>
      <c r="T1343" s="57"/>
      <c r="U1343" s="57"/>
      <c r="V1343" s="57"/>
      <c r="W1343" s="57"/>
      <c r="X1343" s="57"/>
      <c r="Y1343" s="57"/>
      <c r="Z1343" s="57"/>
      <c r="AA1343" s="57"/>
      <c r="AB1343" s="57"/>
      <c r="AC1343" s="57"/>
      <c r="AD1343" s="57"/>
    </row>
    <row r="1344" spans="1:30" ht="13.5" thickBot="1" x14ac:dyDescent="0.25">
      <c r="A1344" s="57"/>
      <c r="B1344" s="57"/>
      <c r="C1344" s="57"/>
      <c r="D1344" s="57"/>
      <c r="E1344" s="57"/>
      <c r="F1344" s="57"/>
      <c r="G1344" s="57"/>
      <c r="H1344" s="57"/>
      <c r="I1344" s="57"/>
      <c r="J1344" s="57"/>
      <c r="K1344" s="57"/>
      <c r="L1344" s="57"/>
      <c r="M1344" s="57"/>
      <c r="N1344" s="57"/>
      <c r="O1344" s="57"/>
      <c r="P1344" s="57"/>
      <c r="Q1344" s="57"/>
      <c r="R1344" s="57"/>
      <c r="S1344" s="57"/>
      <c r="T1344" s="57"/>
      <c r="U1344" s="57"/>
      <c r="V1344" s="57"/>
      <c r="W1344" s="57"/>
      <c r="X1344" s="57"/>
      <c r="Y1344" s="57"/>
      <c r="Z1344" s="57"/>
      <c r="AA1344" s="57"/>
      <c r="AB1344" s="57"/>
      <c r="AC1344" s="57"/>
      <c r="AD1344" s="57"/>
    </row>
    <row r="1345" spans="1:30" ht="13.5" thickBot="1" x14ac:dyDescent="0.25">
      <c r="A1345" s="57"/>
      <c r="B1345" s="57"/>
      <c r="C1345" s="57"/>
      <c r="D1345" s="57"/>
      <c r="E1345" s="57"/>
      <c r="F1345" s="57"/>
      <c r="G1345" s="57"/>
      <c r="H1345" s="57"/>
      <c r="I1345" s="57"/>
      <c r="J1345" s="57"/>
      <c r="K1345" s="57"/>
      <c r="L1345" s="57"/>
      <c r="M1345" s="57"/>
      <c r="N1345" s="57"/>
      <c r="O1345" s="57"/>
      <c r="P1345" s="57"/>
      <c r="Q1345" s="57"/>
      <c r="R1345" s="57"/>
      <c r="S1345" s="57"/>
      <c r="T1345" s="57"/>
      <c r="U1345" s="57"/>
      <c r="V1345" s="57"/>
      <c r="W1345" s="57"/>
      <c r="X1345" s="57"/>
      <c r="Y1345" s="57"/>
      <c r="Z1345" s="57"/>
      <c r="AA1345" s="57"/>
      <c r="AB1345" s="57"/>
      <c r="AC1345" s="57"/>
      <c r="AD1345" s="57"/>
    </row>
    <row r="1346" spans="1:30" ht="13.5" thickBot="1" x14ac:dyDescent="0.25">
      <c r="A1346" s="57"/>
      <c r="B1346" s="57"/>
      <c r="C1346" s="57"/>
      <c r="D1346" s="57"/>
      <c r="E1346" s="57"/>
      <c r="F1346" s="57"/>
      <c r="G1346" s="57"/>
      <c r="H1346" s="57"/>
      <c r="I1346" s="57"/>
      <c r="J1346" s="57"/>
      <c r="K1346" s="57"/>
      <c r="L1346" s="57"/>
      <c r="M1346" s="57"/>
      <c r="N1346" s="57"/>
      <c r="O1346" s="57"/>
      <c r="P1346" s="57"/>
      <c r="Q1346" s="57"/>
      <c r="R1346" s="57"/>
      <c r="S1346" s="57"/>
      <c r="T1346" s="57"/>
      <c r="U1346" s="57"/>
      <c r="V1346" s="57"/>
      <c r="W1346" s="57"/>
      <c r="X1346" s="57"/>
      <c r="Y1346" s="57"/>
      <c r="Z1346" s="57"/>
      <c r="AA1346" s="57"/>
      <c r="AB1346" s="57"/>
      <c r="AC1346" s="57"/>
      <c r="AD1346" s="57"/>
    </row>
    <row r="1347" spans="1:30" ht="13.5" thickBot="1" x14ac:dyDescent="0.25">
      <c r="A1347" s="57"/>
      <c r="B1347" s="57"/>
      <c r="C1347" s="57"/>
      <c r="D1347" s="57"/>
      <c r="E1347" s="57"/>
      <c r="F1347" s="57"/>
      <c r="G1347" s="57"/>
      <c r="H1347" s="57"/>
      <c r="I1347" s="57"/>
      <c r="J1347" s="57"/>
      <c r="K1347" s="57"/>
      <c r="L1347" s="57"/>
      <c r="M1347" s="57"/>
      <c r="N1347" s="57"/>
      <c r="O1347" s="57"/>
      <c r="P1347" s="57"/>
      <c r="Q1347" s="57"/>
      <c r="R1347" s="57"/>
      <c r="S1347" s="57"/>
      <c r="T1347" s="57"/>
      <c r="U1347" s="57"/>
      <c r="V1347" s="57"/>
      <c r="W1347" s="57"/>
      <c r="X1347" s="57"/>
      <c r="Y1347" s="57"/>
      <c r="Z1347" s="57"/>
      <c r="AA1347" s="57"/>
      <c r="AB1347" s="57"/>
      <c r="AC1347" s="57"/>
      <c r="AD1347" s="57"/>
    </row>
    <row r="1348" spans="1:30" ht="13.5" thickBot="1" x14ac:dyDescent="0.25">
      <c r="A1348" s="57"/>
      <c r="B1348" s="57"/>
      <c r="C1348" s="57"/>
      <c r="D1348" s="57"/>
      <c r="E1348" s="57"/>
      <c r="F1348" s="57"/>
      <c r="G1348" s="57"/>
      <c r="H1348" s="57"/>
      <c r="I1348" s="57"/>
      <c r="J1348" s="57"/>
      <c r="K1348" s="57"/>
      <c r="L1348" s="57"/>
      <c r="M1348" s="57"/>
      <c r="N1348" s="57"/>
      <c r="O1348" s="57"/>
      <c r="P1348" s="57"/>
      <c r="Q1348" s="57"/>
      <c r="R1348" s="57"/>
      <c r="S1348" s="57"/>
      <c r="T1348" s="57"/>
      <c r="U1348" s="57"/>
      <c r="V1348" s="57"/>
      <c r="W1348" s="57"/>
      <c r="X1348" s="57"/>
      <c r="Y1348" s="57"/>
      <c r="Z1348" s="57"/>
      <c r="AA1348" s="57"/>
      <c r="AB1348" s="57"/>
      <c r="AC1348" s="57"/>
      <c r="AD1348" s="57"/>
    </row>
    <row r="1349" spans="1:30" ht="13.5" thickBot="1" x14ac:dyDescent="0.25">
      <c r="A1349" s="57"/>
      <c r="B1349" s="57"/>
      <c r="C1349" s="57"/>
      <c r="D1349" s="57"/>
      <c r="E1349" s="57"/>
      <c r="F1349" s="57"/>
      <c r="G1349" s="57"/>
      <c r="H1349" s="57"/>
      <c r="I1349" s="57"/>
      <c r="J1349" s="57"/>
      <c r="K1349" s="57"/>
      <c r="L1349" s="57"/>
      <c r="M1349" s="57"/>
      <c r="N1349" s="57"/>
      <c r="O1349" s="57"/>
      <c r="P1349" s="57"/>
      <c r="Q1349" s="57"/>
      <c r="R1349" s="57"/>
      <c r="S1349" s="57"/>
      <c r="T1349" s="57"/>
      <c r="U1349" s="57"/>
      <c r="V1349" s="57"/>
      <c r="W1349" s="57"/>
      <c r="X1349" s="57"/>
      <c r="Y1349" s="57"/>
      <c r="Z1349" s="57"/>
      <c r="AA1349" s="57"/>
      <c r="AB1349" s="57"/>
      <c r="AC1349" s="57"/>
      <c r="AD1349" s="57"/>
    </row>
    <row r="1350" spans="1:30" ht="13.5" thickBot="1" x14ac:dyDescent="0.25">
      <c r="A1350" s="57"/>
      <c r="B1350" s="57"/>
      <c r="C1350" s="57"/>
      <c r="D1350" s="57"/>
      <c r="E1350" s="57"/>
      <c r="F1350" s="57"/>
      <c r="G1350" s="57"/>
      <c r="H1350" s="57"/>
      <c r="I1350" s="57"/>
      <c r="J1350" s="57"/>
      <c r="K1350" s="57"/>
      <c r="L1350" s="57"/>
      <c r="M1350" s="57"/>
      <c r="N1350" s="57"/>
      <c r="O1350" s="57"/>
      <c r="P1350" s="57"/>
      <c r="Q1350" s="57"/>
      <c r="R1350" s="57"/>
      <c r="S1350" s="57"/>
      <c r="T1350" s="57"/>
      <c r="U1350" s="57"/>
      <c r="V1350" s="57"/>
      <c r="W1350" s="57"/>
      <c r="X1350" s="57"/>
      <c r="Y1350" s="57"/>
      <c r="Z1350" s="57"/>
      <c r="AA1350" s="57"/>
      <c r="AB1350" s="57"/>
      <c r="AC1350" s="57"/>
      <c r="AD1350" s="57"/>
    </row>
    <row r="1351" spans="1:30" ht="13.5" thickBot="1" x14ac:dyDescent="0.25">
      <c r="A1351" s="57"/>
      <c r="B1351" s="57"/>
      <c r="C1351" s="57"/>
      <c r="D1351" s="57"/>
      <c r="E1351" s="57"/>
      <c r="F1351" s="57"/>
      <c r="G1351" s="57"/>
      <c r="H1351" s="57"/>
      <c r="I1351" s="57"/>
      <c r="J1351" s="57"/>
      <c r="K1351" s="57"/>
      <c r="L1351" s="57"/>
      <c r="M1351" s="57"/>
      <c r="N1351" s="57"/>
      <c r="O1351" s="57"/>
      <c r="P1351" s="57"/>
      <c r="Q1351" s="57"/>
      <c r="R1351" s="57"/>
      <c r="S1351" s="57"/>
      <c r="T1351" s="57"/>
      <c r="U1351" s="57"/>
      <c r="V1351" s="57"/>
      <c r="W1351" s="57"/>
      <c r="X1351" s="57"/>
      <c r="Y1351" s="57"/>
      <c r="Z1351" s="57"/>
      <c r="AA1351" s="57"/>
      <c r="AB1351" s="57"/>
      <c r="AC1351" s="57"/>
      <c r="AD1351" s="57"/>
    </row>
    <row r="1352" spans="1:30" ht="13.5" thickBot="1" x14ac:dyDescent="0.25">
      <c r="A1352" s="57"/>
      <c r="B1352" s="57"/>
      <c r="C1352" s="57"/>
      <c r="D1352" s="57"/>
      <c r="E1352" s="57"/>
      <c r="F1352" s="57"/>
      <c r="G1352" s="57"/>
      <c r="H1352" s="57"/>
      <c r="I1352" s="57"/>
      <c r="J1352" s="57"/>
      <c r="K1352" s="57"/>
      <c r="L1352" s="57"/>
      <c r="M1352" s="57"/>
      <c r="N1352" s="57"/>
      <c r="O1352" s="57"/>
      <c r="P1352" s="57"/>
      <c r="Q1352" s="57"/>
      <c r="R1352" s="57"/>
      <c r="S1352" s="57"/>
      <c r="T1352" s="57"/>
      <c r="U1352" s="57"/>
      <c r="V1352" s="57"/>
      <c r="W1352" s="57"/>
      <c r="X1352" s="57"/>
      <c r="Y1352" s="57"/>
      <c r="Z1352" s="57"/>
      <c r="AA1352" s="57"/>
      <c r="AB1352" s="57"/>
      <c r="AC1352" s="57"/>
      <c r="AD1352" s="57"/>
    </row>
    <row r="1353" spans="1:30" ht="13.5" thickBot="1" x14ac:dyDescent="0.25">
      <c r="A1353" s="57"/>
      <c r="B1353" s="57"/>
      <c r="C1353" s="57"/>
      <c r="D1353" s="57"/>
      <c r="E1353" s="57"/>
      <c r="F1353" s="57"/>
      <c r="G1353" s="57"/>
      <c r="H1353" s="57"/>
      <c r="I1353" s="57"/>
      <c r="J1353" s="57"/>
      <c r="K1353" s="57"/>
      <c r="L1353" s="57"/>
      <c r="M1353" s="57"/>
      <c r="N1353" s="57"/>
      <c r="O1353" s="57"/>
      <c r="P1353" s="57"/>
      <c r="Q1353" s="57"/>
      <c r="R1353" s="57"/>
      <c r="S1353" s="57"/>
      <c r="T1353" s="57"/>
      <c r="U1353" s="57"/>
      <c r="V1353" s="57"/>
      <c r="W1353" s="57"/>
      <c r="X1353" s="57"/>
      <c r="Y1353" s="57"/>
      <c r="Z1353" s="57"/>
      <c r="AA1353" s="57"/>
      <c r="AB1353" s="57"/>
      <c r="AC1353" s="57"/>
      <c r="AD1353" s="57"/>
    </row>
    <row r="1354" spans="1:30" ht="13.5" thickBot="1" x14ac:dyDescent="0.25">
      <c r="A1354" s="57"/>
      <c r="B1354" s="57"/>
      <c r="C1354" s="57"/>
      <c r="D1354" s="57"/>
      <c r="E1354" s="57"/>
      <c r="F1354" s="57"/>
      <c r="G1354" s="57"/>
      <c r="H1354" s="57"/>
      <c r="I1354" s="57"/>
      <c r="J1354" s="57"/>
      <c r="K1354" s="57"/>
      <c r="L1354" s="57"/>
      <c r="M1354" s="57"/>
      <c r="N1354" s="57"/>
      <c r="O1354" s="57"/>
      <c r="P1354" s="57"/>
      <c r="Q1354" s="57"/>
      <c r="R1354" s="57"/>
      <c r="S1354" s="57"/>
      <c r="T1354" s="57"/>
      <c r="U1354" s="57"/>
      <c r="V1354" s="57"/>
      <c r="W1354" s="57"/>
      <c r="X1354" s="57"/>
      <c r="Y1354" s="57"/>
      <c r="Z1354" s="57"/>
      <c r="AA1354" s="57"/>
      <c r="AB1354" s="57"/>
      <c r="AC1354" s="57"/>
      <c r="AD1354" s="57"/>
    </row>
    <row r="1355" spans="1:30" ht="13.5" thickBot="1" x14ac:dyDescent="0.25">
      <c r="A1355" s="57"/>
      <c r="B1355" s="57"/>
      <c r="C1355" s="57"/>
      <c r="D1355" s="57"/>
      <c r="E1355" s="57"/>
      <c r="F1355" s="57"/>
      <c r="G1355" s="57"/>
      <c r="H1355" s="57"/>
      <c r="I1355" s="57"/>
      <c r="J1355" s="57"/>
      <c r="K1355" s="57"/>
      <c r="L1355" s="57"/>
      <c r="M1355" s="57"/>
      <c r="N1355" s="57"/>
      <c r="O1355" s="57"/>
      <c r="P1355" s="57"/>
      <c r="Q1355" s="57"/>
      <c r="R1355" s="57"/>
      <c r="S1355" s="57"/>
      <c r="T1355" s="57"/>
      <c r="U1355" s="57"/>
      <c r="V1355" s="57"/>
      <c r="W1355" s="57"/>
      <c r="X1355" s="57"/>
      <c r="Y1355" s="57"/>
      <c r="Z1355" s="57"/>
      <c r="AA1355" s="57"/>
      <c r="AB1355" s="57"/>
      <c r="AC1355" s="57"/>
      <c r="AD1355" s="57"/>
    </row>
    <row r="1356" spans="1:30" ht="13.5" thickBot="1" x14ac:dyDescent="0.25">
      <c r="A1356" s="57"/>
      <c r="B1356" s="57"/>
      <c r="C1356" s="57"/>
      <c r="D1356" s="57"/>
      <c r="E1356" s="57"/>
      <c r="F1356" s="57"/>
      <c r="G1356" s="57"/>
      <c r="H1356" s="57"/>
      <c r="I1356" s="57"/>
      <c r="J1356" s="57"/>
      <c r="K1356" s="57"/>
      <c r="L1356" s="57"/>
      <c r="M1356" s="57"/>
      <c r="N1356" s="57"/>
      <c r="O1356" s="57"/>
      <c r="P1356" s="57"/>
      <c r="Q1356" s="57"/>
      <c r="R1356" s="57"/>
      <c r="S1356" s="57"/>
      <c r="T1356" s="57"/>
      <c r="U1356" s="57"/>
      <c r="V1356" s="57"/>
      <c r="W1356" s="57"/>
      <c r="X1356" s="57"/>
      <c r="Y1356" s="57"/>
      <c r="Z1356" s="57"/>
      <c r="AA1356" s="57"/>
      <c r="AB1356" s="57"/>
      <c r="AC1356" s="57"/>
      <c r="AD1356" s="57"/>
    </row>
    <row r="1357" spans="1:30" ht="13.5" thickBot="1" x14ac:dyDescent="0.25">
      <c r="A1357" s="57"/>
      <c r="B1357" s="57"/>
      <c r="C1357" s="57"/>
      <c r="D1357" s="57"/>
      <c r="E1357" s="57"/>
      <c r="F1357" s="57"/>
      <c r="G1357" s="57"/>
      <c r="H1357" s="57"/>
      <c r="I1357" s="57"/>
      <c r="J1357" s="57"/>
      <c r="K1357" s="57"/>
      <c r="L1357" s="57"/>
      <c r="M1357" s="57"/>
      <c r="N1357" s="57"/>
      <c r="O1357" s="57"/>
      <c r="P1357" s="57"/>
      <c r="Q1357" s="57"/>
      <c r="R1357" s="57"/>
      <c r="S1357" s="57"/>
      <c r="T1357" s="57"/>
      <c r="U1357" s="57"/>
      <c r="V1357" s="57"/>
      <c r="W1357" s="57"/>
      <c r="X1357" s="57"/>
      <c r="Y1357" s="57"/>
      <c r="Z1357" s="57"/>
      <c r="AA1357" s="57"/>
      <c r="AB1357" s="57"/>
      <c r="AC1357" s="57"/>
      <c r="AD1357" s="57"/>
    </row>
    <row r="1358" spans="1:30" ht="13.5" thickBot="1" x14ac:dyDescent="0.25">
      <c r="A1358" s="57"/>
      <c r="B1358" s="57"/>
      <c r="C1358" s="57"/>
      <c r="D1358" s="57"/>
      <c r="E1358" s="57"/>
      <c r="F1358" s="57"/>
      <c r="G1358" s="57"/>
      <c r="H1358" s="57"/>
      <c r="I1358" s="57"/>
      <c r="J1358" s="57"/>
      <c r="K1358" s="57"/>
      <c r="L1358" s="57"/>
      <c r="M1358" s="57"/>
      <c r="N1358" s="57"/>
      <c r="O1358" s="57"/>
      <c r="P1358" s="57"/>
      <c r="Q1358" s="57"/>
      <c r="R1358" s="57"/>
      <c r="S1358" s="57"/>
      <c r="T1358" s="57"/>
      <c r="U1358" s="57"/>
      <c r="V1358" s="57"/>
      <c r="W1358" s="57"/>
      <c r="X1358" s="57"/>
      <c r="Y1358" s="57"/>
      <c r="Z1358" s="57"/>
      <c r="AA1358" s="57"/>
      <c r="AB1358" s="57"/>
      <c r="AC1358" s="57"/>
      <c r="AD1358" s="57"/>
    </row>
    <row r="1359" spans="1:30" ht="13.5" thickBot="1" x14ac:dyDescent="0.25">
      <c r="A1359" s="57"/>
      <c r="B1359" s="57"/>
      <c r="C1359" s="57"/>
      <c r="D1359" s="57"/>
      <c r="E1359" s="57"/>
      <c r="F1359" s="57"/>
      <c r="G1359" s="57"/>
      <c r="H1359" s="57"/>
      <c r="I1359" s="57"/>
      <c r="J1359" s="57"/>
      <c r="K1359" s="57"/>
      <c r="L1359" s="57"/>
      <c r="M1359" s="57"/>
      <c r="N1359" s="57"/>
      <c r="O1359" s="57"/>
      <c r="P1359" s="57"/>
      <c r="Q1359" s="57"/>
      <c r="R1359" s="57"/>
      <c r="S1359" s="57"/>
      <c r="T1359" s="57"/>
      <c r="U1359" s="57"/>
      <c r="V1359" s="57"/>
      <c r="W1359" s="57"/>
      <c r="X1359" s="57"/>
      <c r="Y1359" s="57"/>
      <c r="Z1359" s="57"/>
      <c r="AA1359" s="57"/>
      <c r="AB1359" s="57"/>
      <c r="AC1359" s="57"/>
      <c r="AD1359" s="57"/>
    </row>
    <row r="1360" spans="1:30" ht="13.5" thickBot="1" x14ac:dyDescent="0.25">
      <c r="A1360" s="57"/>
      <c r="B1360" s="57"/>
      <c r="C1360" s="57"/>
      <c r="D1360" s="57"/>
      <c r="E1360" s="57"/>
      <c r="F1360" s="57"/>
      <c r="G1360" s="57"/>
      <c r="H1360" s="57"/>
      <c r="I1360" s="57"/>
      <c r="J1360" s="57"/>
      <c r="K1360" s="57"/>
      <c r="L1360" s="57"/>
      <c r="M1360" s="57"/>
      <c r="N1360" s="57"/>
      <c r="O1360" s="57"/>
      <c r="P1360" s="57"/>
      <c r="Q1360" s="57"/>
      <c r="R1360" s="57"/>
      <c r="S1360" s="57"/>
      <c r="T1360" s="57"/>
      <c r="U1360" s="57"/>
      <c r="V1360" s="57"/>
      <c r="W1360" s="57"/>
      <c r="X1360" s="57"/>
      <c r="Y1360" s="57"/>
      <c r="Z1360" s="57"/>
      <c r="AA1360" s="57"/>
      <c r="AB1360" s="57"/>
      <c r="AC1360" s="57"/>
      <c r="AD1360" s="57"/>
    </row>
    <row r="1361" spans="1:30" ht="13.5" thickBot="1" x14ac:dyDescent="0.25">
      <c r="A1361" s="57"/>
      <c r="B1361" s="57"/>
      <c r="C1361" s="57"/>
      <c r="D1361" s="57"/>
      <c r="E1361" s="57"/>
      <c r="F1361" s="57"/>
      <c r="G1361" s="57"/>
      <c r="H1361" s="57"/>
      <c r="I1361" s="57"/>
      <c r="J1361" s="57"/>
      <c r="K1361" s="57"/>
      <c r="L1361" s="57"/>
      <c r="M1361" s="57"/>
      <c r="N1361" s="57"/>
      <c r="O1361" s="57"/>
      <c r="P1361" s="57"/>
      <c r="Q1361" s="57"/>
      <c r="R1361" s="57"/>
      <c r="S1361" s="57"/>
      <c r="T1361" s="57"/>
      <c r="U1361" s="57"/>
      <c r="V1361" s="57"/>
      <c r="W1361" s="57"/>
      <c r="X1361" s="57"/>
      <c r="Y1361" s="57"/>
      <c r="Z1361" s="57"/>
      <c r="AA1361" s="57"/>
      <c r="AB1361" s="57"/>
      <c r="AC1361" s="57"/>
      <c r="AD1361" s="57"/>
    </row>
    <row r="1362" spans="1:30" ht="13.5" thickBot="1" x14ac:dyDescent="0.25">
      <c r="A1362" s="57"/>
      <c r="B1362" s="57"/>
      <c r="C1362" s="57"/>
      <c r="D1362" s="57"/>
      <c r="E1362" s="57"/>
      <c r="F1362" s="57"/>
      <c r="G1362" s="57"/>
      <c r="H1362" s="57"/>
      <c r="I1362" s="57"/>
      <c r="J1362" s="57"/>
      <c r="K1362" s="57"/>
      <c r="L1362" s="57"/>
      <c r="M1362" s="57"/>
      <c r="N1362" s="57"/>
      <c r="O1362" s="57"/>
      <c r="P1362" s="57"/>
      <c r="Q1362" s="57"/>
      <c r="R1362" s="57"/>
      <c r="S1362" s="57"/>
      <c r="T1362" s="57"/>
      <c r="U1362" s="57"/>
      <c r="V1362" s="57"/>
      <c r="W1362" s="57"/>
      <c r="X1362" s="57"/>
      <c r="Y1362" s="57"/>
      <c r="Z1362" s="57"/>
      <c r="AA1362" s="57"/>
      <c r="AB1362" s="57"/>
      <c r="AC1362" s="57"/>
      <c r="AD1362" s="57"/>
    </row>
    <row r="1363" spans="1:30" ht="13.5" thickBot="1" x14ac:dyDescent="0.25">
      <c r="A1363" s="57"/>
      <c r="B1363" s="57"/>
      <c r="C1363" s="57"/>
      <c r="D1363" s="57"/>
      <c r="E1363" s="57"/>
      <c r="F1363" s="57"/>
      <c r="G1363" s="57"/>
      <c r="H1363" s="57"/>
      <c r="I1363" s="57"/>
      <c r="J1363" s="57"/>
      <c r="K1363" s="57"/>
      <c r="L1363" s="57"/>
      <c r="M1363" s="57"/>
      <c r="N1363" s="57"/>
      <c r="O1363" s="57"/>
      <c r="P1363" s="57"/>
      <c r="Q1363" s="57"/>
      <c r="R1363" s="57"/>
      <c r="S1363" s="57"/>
      <c r="T1363" s="57"/>
      <c r="U1363" s="57"/>
      <c r="V1363" s="57"/>
      <c r="W1363" s="57"/>
      <c r="X1363" s="57"/>
      <c r="Y1363" s="57"/>
      <c r="Z1363" s="57"/>
      <c r="AA1363" s="57"/>
      <c r="AB1363" s="57"/>
      <c r="AC1363" s="57"/>
      <c r="AD1363" s="57"/>
    </row>
    <row r="1364" spans="1:30" ht="13.5" thickBot="1" x14ac:dyDescent="0.25">
      <c r="A1364" s="57"/>
      <c r="B1364" s="57"/>
      <c r="C1364" s="57"/>
      <c r="D1364" s="57"/>
      <c r="E1364" s="57"/>
      <c r="F1364" s="57"/>
      <c r="G1364" s="57"/>
      <c r="H1364" s="57"/>
      <c r="I1364" s="57"/>
      <c r="J1364" s="57"/>
      <c r="K1364" s="57"/>
      <c r="L1364" s="57"/>
      <c r="M1364" s="57"/>
      <c r="N1364" s="57"/>
      <c r="O1364" s="57"/>
      <c r="P1364" s="57"/>
      <c r="Q1364" s="57"/>
      <c r="R1364" s="57"/>
      <c r="S1364" s="57"/>
      <c r="T1364" s="57"/>
      <c r="U1364" s="57"/>
      <c r="V1364" s="57"/>
      <c r="W1364" s="57"/>
      <c r="X1364" s="57"/>
      <c r="Y1364" s="57"/>
      <c r="Z1364" s="57"/>
      <c r="AA1364" s="57"/>
      <c r="AB1364" s="57"/>
      <c r="AC1364" s="57"/>
      <c r="AD1364" s="57"/>
    </row>
    <row r="1365" spans="1:30" ht="13.5" thickBot="1" x14ac:dyDescent="0.25">
      <c r="A1365" s="57"/>
      <c r="B1365" s="57"/>
      <c r="C1365" s="57"/>
      <c r="D1365" s="57"/>
      <c r="E1365" s="57"/>
      <c r="F1365" s="57"/>
      <c r="G1365" s="57"/>
      <c r="H1365" s="57"/>
      <c r="I1365" s="57"/>
      <c r="J1365" s="57"/>
      <c r="K1365" s="57"/>
      <c r="L1365" s="57"/>
      <c r="M1365" s="57"/>
      <c r="N1365" s="57"/>
      <c r="O1365" s="57"/>
      <c r="P1365" s="57"/>
      <c r="Q1365" s="57"/>
      <c r="R1365" s="57"/>
      <c r="S1365" s="57"/>
      <c r="T1365" s="57"/>
      <c r="U1365" s="57"/>
      <c r="V1365" s="57"/>
      <c r="W1365" s="57"/>
      <c r="X1365" s="57"/>
      <c r="Y1365" s="57"/>
      <c r="Z1365" s="57"/>
      <c r="AA1365" s="57"/>
      <c r="AB1365" s="57"/>
      <c r="AC1365" s="57"/>
      <c r="AD1365" s="57"/>
    </row>
    <row r="1366" spans="1:30" ht="13.5" thickBot="1" x14ac:dyDescent="0.25">
      <c r="A1366" s="57"/>
      <c r="B1366" s="57"/>
      <c r="C1366" s="57"/>
      <c r="D1366" s="57"/>
      <c r="E1366" s="57"/>
      <c r="F1366" s="57"/>
      <c r="G1366" s="57"/>
      <c r="H1366" s="57"/>
      <c r="I1366" s="57"/>
      <c r="J1366" s="57"/>
      <c r="K1366" s="57"/>
      <c r="L1366" s="57"/>
      <c r="M1366" s="57"/>
      <c r="N1366" s="57"/>
      <c r="O1366" s="57"/>
      <c r="P1366" s="57"/>
      <c r="Q1366" s="57"/>
      <c r="R1366" s="57"/>
      <c r="S1366" s="57"/>
      <c r="T1366" s="57"/>
      <c r="U1366" s="57"/>
      <c r="V1366" s="57"/>
      <c r="W1366" s="57"/>
      <c r="X1366" s="57"/>
      <c r="Y1366" s="57"/>
      <c r="Z1366" s="57"/>
      <c r="AA1366" s="57"/>
      <c r="AB1366" s="57"/>
      <c r="AC1366" s="57"/>
      <c r="AD1366" s="57"/>
    </row>
    <row r="1367" spans="1:30" ht="13.5" thickBot="1" x14ac:dyDescent="0.25">
      <c r="A1367" s="57"/>
      <c r="B1367" s="57"/>
      <c r="C1367" s="57"/>
      <c r="D1367" s="57"/>
      <c r="E1367" s="57"/>
      <c r="F1367" s="57"/>
      <c r="G1367" s="57"/>
      <c r="H1367" s="57"/>
      <c r="I1367" s="57"/>
      <c r="J1367" s="57"/>
      <c r="K1367" s="57"/>
      <c r="L1367" s="57"/>
      <c r="M1367" s="57"/>
      <c r="N1367" s="57"/>
      <c r="O1367" s="57"/>
      <c r="P1367" s="57"/>
      <c r="Q1367" s="57"/>
      <c r="R1367" s="57"/>
      <c r="S1367" s="57"/>
      <c r="T1367" s="57"/>
      <c r="U1367" s="57"/>
      <c r="V1367" s="57"/>
      <c r="W1367" s="57"/>
      <c r="X1367" s="57"/>
      <c r="Y1367" s="57"/>
      <c r="Z1367" s="57"/>
      <c r="AA1367" s="57"/>
      <c r="AB1367" s="57"/>
      <c r="AC1367" s="57"/>
      <c r="AD1367" s="57"/>
    </row>
    <row r="1368" spans="1:30" ht="13.5" thickBot="1" x14ac:dyDescent="0.25">
      <c r="A1368" s="57"/>
      <c r="B1368" s="57"/>
      <c r="C1368" s="57"/>
      <c r="D1368" s="57"/>
      <c r="E1368" s="57"/>
      <c r="F1368" s="57"/>
      <c r="G1368" s="57"/>
      <c r="H1368" s="57"/>
      <c r="I1368" s="57"/>
      <c r="J1368" s="57"/>
      <c r="K1368" s="57"/>
      <c r="L1368" s="57"/>
      <c r="M1368" s="57"/>
      <c r="N1368" s="57"/>
      <c r="O1368" s="57"/>
      <c r="P1368" s="57"/>
      <c r="Q1368" s="57"/>
      <c r="R1368" s="57"/>
      <c r="S1368" s="57"/>
      <c r="T1368" s="57"/>
      <c r="U1368" s="57"/>
      <c r="V1368" s="57"/>
      <c r="W1368" s="57"/>
      <c r="X1368" s="57"/>
      <c r="Y1368" s="57"/>
      <c r="Z1368" s="57"/>
      <c r="AA1368" s="57"/>
      <c r="AB1368" s="57"/>
      <c r="AC1368" s="57"/>
      <c r="AD1368" s="57"/>
    </row>
  </sheetData>
  <mergeCells count="116">
    <mergeCell ref="B34:B35"/>
    <mergeCell ref="D34:E34"/>
    <mergeCell ref="F34:H34"/>
    <mergeCell ref="I34:K34"/>
    <mergeCell ref="B125:B126"/>
    <mergeCell ref="C125:E125"/>
    <mergeCell ref="F125:H125"/>
    <mergeCell ref="I125:K125"/>
    <mergeCell ref="C4:E4"/>
    <mergeCell ref="F4:H4"/>
    <mergeCell ref="B20:B21"/>
    <mergeCell ref="D20:E20"/>
    <mergeCell ref="F20:H20"/>
    <mergeCell ref="I20:K20"/>
    <mergeCell ref="L125:N125"/>
    <mergeCell ref="B142:B143"/>
    <mergeCell ref="C142:E142"/>
    <mergeCell ref="I142:K142"/>
    <mergeCell ref="L142:N142"/>
    <mergeCell ref="B160:B161"/>
    <mergeCell ref="D160:E160"/>
    <mergeCell ref="H160:I160"/>
    <mergeCell ref="L160:M160"/>
    <mergeCell ref="B176:B177"/>
    <mergeCell ref="C176:F176"/>
    <mergeCell ref="G176:J176"/>
    <mergeCell ref="C192:H192"/>
    <mergeCell ref="I192:N192"/>
    <mergeCell ref="B193:B194"/>
    <mergeCell ref="C193:D193"/>
    <mergeCell ref="F193:H193"/>
    <mergeCell ref="I193:K193"/>
    <mergeCell ref="L193:N193"/>
    <mergeCell ref="N244:P244"/>
    <mergeCell ref="B259:B260"/>
    <mergeCell ref="D259:E259"/>
    <mergeCell ref="I259:K259"/>
    <mergeCell ref="B232:B233"/>
    <mergeCell ref="C232:C233"/>
    <mergeCell ref="D232:E232"/>
    <mergeCell ref="F232:H232"/>
    <mergeCell ref="B244:B245"/>
    <mergeCell ref="C244:E244"/>
    <mergeCell ref="F244:H244"/>
    <mergeCell ref="B299:B300"/>
    <mergeCell ref="L299:L300"/>
    <mergeCell ref="B314:B315"/>
    <mergeCell ref="L314:L315"/>
    <mergeCell ref="C338:D338"/>
    <mergeCell ref="E338:F338"/>
    <mergeCell ref="G338:H338"/>
    <mergeCell ref="J244:J245"/>
    <mergeCell ref="K244:M244"/>
    <mergeCell ref="B397:B398"/>
    <mergeCell ref="C397:E397"/>
    <mergeCell ref="F397:H397"/>
    <mergeCell ref="I397:K397"/>
    <mergeCell ref="B413:B414"/>
    <mergeCell ref="C413:E413"/>
    <mergeCell ref="F413:H413"/>
    <mergeCell ref="I413:K413"/>
    <mergeCell ref="C340:F340"/>
    <mergeCell ref="G340:H340"/>
    <mergeCell ref="C343:F343"/>
    <mergeCell ref="G343:H343"/>
    <mergeCell ref="B382:B383"/>
    <mergeCell ref="J382:K382"/>
    <mergeCell ref="L631:N631"/>
    <mergeCell ref="B662:B663"/>
    <mergeCell ref="C662:E662"/>
    <mergeCell ref="F662:H662"/>
    <mergeCell ref="B710:B711"/>
    <mergeCell ref="C710:C711"/>
    <mergeCell ref="D710:E710"/>
    <mergeCell ref="F710:H710"/>
    <mergeCell ref="E508:F508"/>
    <mergeCell ref="C613:E613"/>
    <mergeCell ref="F613:H613"/>
    <mergeCell ref="I613:K613"/>
    <mergeCell ref="C631:E631"/>
    <mergeCell ref="F631:H631"/>
    <mergeCell ref="I631:K631"/>
    <mergeCell ref="B754:B757"/>
    <mergeCell ref="J754:J759"/>
    <mergeCell ref="B758:B761"/>
    <mergeCell ref="J760:J765"/>
    <mergeCell ref="B762:B765"/>
    <mergeCell ref="J766:J771"/>
    <mergeCell ref="B770:B771"/>
    <mergeCell ref="C770:E770"/>
    <mergeCell ref="F770:H770"/>
    <mergeCell ref="B1082:B1084"/>
    <mergeCell ref="C1082:L1082"/>
    <mergeCell ref="C1083:D1083"/>
    <mergeCell ref="E1083:F1083"/>
    <mergeCell ref="G1083:H1083"/>
    <mergeCell ref="I1083:J1083"/>
    <mergeCell ref="K1083:L1083"/>
    <mergeCell ref="B1066:B1068"/>
    <mergeCell ref="C1066:L1066"/>
    <mergeCell ref="C1067:D1067"/>
    <mergeCell ref="E1067:F1067"/>
    <mergeCell ref="G1067:H1067"/>
    <mergeCell ref="I1067:J1067"/>
    <mergeCell ref="K1067:L1067"/>
    <mergeCell ref="C1117:C1118"/>
    <mergeCell ref="C1196:G1196"/>
    <mergeCell ref="C1197:D1197"/>
    <mergeCell ref="E1197:F1197"/>
    <mergeCell ref="B1099:B1101"/>
    <mergeCell ref="C1099:L1099"/>
    <mergeCell ref="C1100:D1100"/>
    <mergeCell ref="E1100:F1100"/>
    <mergeCell ref="G1100:H1100"/>
    <mergeCell ref="I1100:J1100"/>
    <mergeCell ref="K1100:L110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CB53-B119-49D8-9E3D-10ACA507D9FA}">
  <sheetPr>
    <outlinePr summaryBelow="0" summaryRight="0"/>
  </sheetPr>
  <dimension ref="B1:T931"/>
  <sheetViews>
    <sheetView workbookViewId="0">
      <selection activeCell="D61" sqref="D61"/>
    </sheetView>
  </sheetViews>
  <sheetFormatPr defaultColWidth="12.5703125" defaultRowHeight="15.75" customHeight="1" x14ac:dyDescent="0.2"/>
  <cols>
    <col min="1" max="1" width="3" style="60" customWidth="1"/>
    <col min="2" max="2" width="21.140625" style="60" customWidth="1"/>
    <col min="3" max="3" width="25.42578125" style="60" customWidth="1"/>
    <col min="4" max="4" width="22.7109375" style="60" customWidth="1"/>
    <col min="5" max="5" width="9.5703125" style="60" customWidth="1"/>
    <col min="6" max="6" width="28.5703125" style="60" customWidth="1"/>
    <col min="7" max="7" width="7" style="60" customWidth="1"/>
    <col min="8" max="8" width="6.140625" style="60" customWidth="1"/>
    <col min="9" max="9" width="17.140625" style="60" customWidth="1"/>
    <col min="10" max="19" width="5.42578125" style="60" customWidth="1"/>
    <col min="20" max="16384" width="12.5703125" style="60"/>
  </cols>
  <sheetData>
    <row r="1" spans="2:20" ht="12.75" x14ac:dyDescent="0.2">
      <c r="I1" s="333"/>
    </row>
    <row r="2" spans="2:20" ht="12.75" x14ac:dyDescent="0.2">
      <c r="I2" s="333"/>
    </row>
    <row r="3" spans="2:20" ht="12.75" x14ac:dyDescent="0.2">
      <c r="B3" s="333" t="s">
        <v>13582</v>
      </c>
      <c r="C3" s="333" t="s">
        <v>13582</v>
      </c>
      <c r="D3" s="333" t="s">
        <v>14998</v>
      </c>
      <c r="E3" s="333" t="s">
        <v>15928</v>
      </c>
      <c r="F3" s="333" t="s">
        <v>15929</v>
      </c>
      <c r="G3" s="333" t="s">
        <v>12849</v>
      </c>
      <c r="I3" s="333" t="s">
        <v>12849</v>
      </c>
      <c r="J3" s="333">
        <v>2014</v>
      </c>
      <c r="K3" s="333">
        <v>2015</v>
      </c>
      <c r="L3" s="333">
        <v>2016</v>
      </c>
      <c r="M3" s="333">
        <v>2017</v>
      </c>
      <c r="N3" s="333">
        <v>2018</v>
      </c>
      <c r="O3" s="333">
        <v>2019</v>
      </c>
      <c r="P3" s="333">
        <v>2020</v>
      </c>
      <c r="Q3" s="333">
        <v>2021</v>
      </c>
      <c r="R3" s="333">
        <v>2022</v>
      </c>
      <c r="S3" s="333">
        <v>2023</v>
      </c>
      <c r="T3" s="333" t="s">
        <v>13264</v>
      </c>
    </row>
    <row r="4" spans="2:20" ht="12.75" x14ac:dyDescent="0.2">
      <c r="C4" s="333" t="s">
        <v>15930</v>
      </c>
      <c r="E4" s="333" t="s">
        <v>13582</v>
      </c>
      <c r="F4" s="333" t="s">
        <v>6505</v>
      </c>
      <c r="G4" s="333">
        <v>2014</v>
      </c>
      <c r="I4" s="333" t="s">
        <v>15930</v>
      </c>
      <c r="J4" s="333">
        <f>COUNTIFS($C$4:$C$56,$I$4,$G$4:$G$56,$J$3)</f>
        <v>1</v>
      </c>
      <c r="K4" s="333">
        <f>COUNTIFS($C$4:$C$56,$I$4,$G$4:$G$56,K3)</f>
        <v>2</v>
      </c>
      <c r="L4" s="333">
        <f>COUNTIFS($C$4:$C$56,$I$4,$G$4:$G$56,L3)</f>
        <v>3</v>
      </c>
      <c r="M4" s="333">
        <f>COUNTIFS($C$4:$C$56,$I$4,$G$4:$G$56,M3)</f>
        <v>0</v>
      </c>
      <c r="N4" s="333">
        <f>COUNTIFS($C$4:$C$56,$I$4,$G$4:$G$56,N3)</f>
        <v>0</v>
      </c>
      <c r="O4" s="333">
        <f>COUNTIFS($C$4:$C$56,$I$4,$G$4:$G$56,O3)</f>
        <v>0</v>
      </c>
      <c r="P4" s="333">
        <f>COUNTIFS($C$4:$C$56,$I$4,$G$4:$G$56,P3)</f>
        <v>3</v>
      </c>
      <c r="Q4" s="333">
        <f>COUNTIFS($C$4:$C$56,$I$4,$G$4:$G$56,Q3)</f>
        <v>2</v>
      </c>
      <c r="R4" s="333">
        <f>COUNTIFS($C$4:$C$56,$I$4,$G$4:$G$56,R3)</f>
        <v>2</v>
      </c>
      <c r="S4" s="333">
        <f>COUNTIFS($C$4:$C$56,$I$4,$G$4:$G$56,S3)</f>
        <v>0</v>
      </c>
      <c r="T4" s="333">
        <f>SUM(J4:S4)</f>
        <v>13</v>
      </c>
    </row>
    <row r="5" spans="2:20" ht="12.75" x14ac:dyDescent="0.2">
      <c r="C5" s="333" t="s">
        <v>15930</v>
      </c>
      <c r="E5" s="333" t="s">
        <v>13582</v>
      </c>
      <c r="F5" s="333" t="s">
        <v>6254</v>
      </c>
      <c r="G5" s="333">
        <v>2015</v>
      </c>
      <c r="I5" s="333" t="s">
        <v>15931</v>
      </c>
      <c r="J5" s="333">
        <f>COUNTIFS($C$4:$C$56,$I$5,$G$4:$G$56,$J$3)</f>
        <v>0</v>
      </c>
      <c r="K5" s="333">
        <f>COUNTIFS($C$4:$C$56,$I$5,$G$4:$G$56,K3)</f>
        <v>0</v>
      </c>
      <c r="L5" s="333">
        <f>COUNTIFS($C$4:$C$56,$I$5,$G$4:$G$56,L3)</f>
        <v>0</v>
      </c>
      <c r="M5" s="333">
        <f>COUNTIFS($C$4:$C$56,$I$5,$G$4:$G$56,M3)</f>
        <v>2</v>
      </c>
      <c r="N5" s="333">
        <f>COUNTIFS($C$4:$C$56,$I$5,$G$4:$G$56,N3)</f>
        <v>3</v>
      </c>
      <c r="O5" s="333">
        <f>COUNTIFS($C$4:$C$56,$I$5,$G$4:$G$56,O3)</f>
        <v>1</v>
      </c>
      <c r="P5" s="333">
        <f>COUNTIFS($C$4:$C$56,$I$5,$G$4:$G$56,P3)</f>
        <v>4</v>
      </c>
      <c r="Q5" s="333">
        <f>COUNTIFS($C$4:$C$56,$I$5,$G$4:$G$56,Q3)</f>
        <v>3</v>
      </c>
      <c r="R5" s="333">
        <f>COUNTIFS($C$4:$C$56,$I$5,$G$4:$G$56,R3)</f>
        <v>7</v>
      </c>
      <c r="S5" s="333">
        <f>COUNTIFS($C$4:$C$56,$I$5,$G$4:$G$56,S3)</f>
        <v>0</v>
      </c>
      <c r="T5" s="333">
        <f>SUM(J5:S5)</f>
        <v>20</v>
      </c>
    </row>
    <row r="6" spans="2:20" ht="12.75" x14ac:dyDescent="0.2">
      <c r="C6" s="333" t="s">
        <v>15930</v>
      </c>
      <c r="E6" s="333" t="s">
        <v>13582</v>
      </c>
      <c r="F6" s="333" t="s">
        <v>6262</v>
      </c>
      <c r="G6" s="333">
        <v>2015</v>
      </c>
      <c r="I6" s="333" t="s">
        <v>15932</v>
      </c>
      <c r="J6" s="333">
        <f>COUNTIFS($C$4:$C$56,$I$6,$G$4:$G$56,$J$3)</f>
        <v>0</v>
      </c>
      <c r="K6" s="333">
        <f>COUNTIFS($C$4:$C$56,$I$6,$G$4:$G$56,K3)</f>
        <v>0</v>
      </c>
      <c r="L6" s="333">
        <f>COUNTIFS($C$4:$C$56,$I$6,$G$4:$G$56,L3)</f>
        <v>0</v>
      </c>
      <c r="M6" s="333">
        <f>COUNTIFS($C$4:$C$56,$I$6,$G$4:$G$56,M3)</f>
        <v>0</v>
      </c>
      <c r="N6" s="333">
        <f>COUNTIFS($C$4:$C$56,$I$6,$G$4:$G$56,N3)</f>
        <v>1</v>
      </c>
      <c r="O6" s="333">
        <f>COUNTIFS($C$4:$C$56,$I$6,$G$4:$G$56,O3)</f>
        <v>2</v>
      </c>
      <c r="P6" s="333">
        <f>COUNTIFS($C$4:$C$56,$I$6,$G$4:$G$56,P3)</f>
        <v>3</v>
      </c>
      <c r="Q6" s="333">
        <f>COUNTIFS($C$4:$C$56,$I$6,$G$4:$G$56,Q3)</f>
        <v>3</v>
      </c>
      <c r="R6" s="333">
        <f>COUNTIFS($C$4:$C$56,$I$6,$G$4:$G$56,R3)</f>
        <v>3</v>
      </c>
      <c r="S6" s="333">
        <f>COUNTIFS($C$4:$C$56,$I$6,$G$4:$G$56,S3)</f>
        <v>0</v>
      </c>
      <c r="T6" s="333">
        <f>SUM(J6:S6)</f>
        <v>12</v>
      </c>
    </row>
    <row r="7" spans="2:20" ht="12.75" x14ac:dyDescent="0.2">
      <c r="C7" s="333" t="s">
        <v>15930</v>
      </c>
      <c r="E7" s="333" t="s">
        <v>13582</v>
      </c>
      <c r="F7" s="333" t="s">
        <v>13164</v>
      </c>
      <c r="G7" s="333">
        <v>2016</v>
      </c>
      <c r="I7" s="333" t="s">
        <v>15933</v>
      </c>
      <c r="J7" s="333">
        <f>COUNTIFS($C$4:$C$56,$I$7,$G$4:$G$56,$J$3)</f>
        <v>0</v>
      </c>
      <c r="K7" s="333">
        <f>COUNTIFS($C$4:$C$56,$I$7,$G$4:$G$56,K3)</f>
        <v>0</v>
      </c>
      <c r="L7" s="333">
        <f>COUNTIFS($C$4:$C$56,$I$7,$G$4:$G$56,L3)</f>
        <v>0</v>
      </c>
      <c r="M7" s="333">
        <f>COUNTIFS($C$4:$C$56,$I$7,$G$4:$G$56,M3)</f>
        <v>0</v>
      </c>
      <c r="N7" s="333">
        <f>COUNTIFS($C$4:$C$56,$I$7,$G$4:$G$56,N3)</f>
        <v>0</v>
      </c>
      <c r="O7" s="333">
        <f>COUNTIFS($C$4:$C$56,$I$7,$G$4:$G$56,O3)</f>
        <v>0</v>
      </c>
      <c r="P7" s="333">
        <f>COUNTIFS($C$4:$C$56,$I$7,$G$4:$G$56,P3)</f>
        <v>0</v>
      </c>
      <c r="Q7" s="333">
        <f>COUNTIFS($C$4:$C$56,$I$7,$G$4:$G$56,Q3)</f>
        <v>2</v>
      </c>
      <c r="R7" s="333">
        <f>COUNTIFS($C$4:$C$56,$I$7,$G$4:$G$56,R3)</f>
        <v>4</v>
      </c>
      <c r="S7" s="333">
        <f>COUNTIFS($C$4:$C$56,$I$7,$G$4:$G$56,S3)</f>
        <v>2</v>
      </c>
      <c r="T7" s="333">
        <f>SUM(J7:S7)</f>
        <v>8</v>
      </c>
    </row>
    <row r="8" spans="2:20" ht="12.75" x14ac:dyDescent="0.2">
      <c r="C8" s="333" t="s">
        <v>15930</v>
      </c>
      <c r="E8" s="333" t="s">
        <v>13582</v>
      </c>
      <c r="F8" s="333" t="s">
        <v>13182</v>
      </c>
      <c r="G8" s="333">
        <v>2016</v>
      </c>
      <c r="I8" s="335"/>
      <c r="T8" s="333">
        <f>SUM(T4:T7)</f>
        <v>53</v>
      </c>
    </row>
    <row r="9" spans="2:20" ht="12.75" x14ac:dyDescent="0.2">
      <c r="C9" s="333" t="s">
        <v>15930</v>
      </c>
      <c r="E9" s="333" t="s">
        <v>13582</v>
      </c>
      <c r="F9" s="333" t="s">
        <v>13188</v>
      </c>
      <c r="G9" s="333">
        <v>2016</v>
      </c>
      <c r="I9" s="333"/>
    </row>
    <row r="10" spans="2:20" ht="12.75" x14ac:dyDescent="0.2">
      <c r="B10" s="333" t="s">
        <v>15934</v>
      </c>
      <c r="C10" s="333" t="s">
        <v>15931</v>
      </c>
      <c r="D10" s="333" t="s">
        <v>15935</v>
      </c>
      <c r="E10" s="333" t="s">
        <v>15936</v>
      </c>
      <c r="F10" s="333" t="s">
        <v>15</v>
      </c>
      <c r="G10" s="333">
        <v>2017</v>
      </c>
      <c r="I10" s="333" t="s">
        <v>12849</v>
      </c>
      <c r="J10" s="333">
        <v>2014</v>
      </c>
      <c r="K10" s="333">
        <v>2015</v>
      </c>
      <c r="L10" s="333">
        <v>2016</v>
      </c>
      <c r="M10" s="333">
        <v>2017</v>
      </c>
      <c r="N10" s="333">
        <v>2018</v>
      </c>
      <c r="O10" s="333">
        <v>2019</v>
      </c>
      <c r="P10" s="333">
        <v>2020</v>
      </c>
      <c r="Q10" s="333">
        <v>2021</v>
      </c>
      <c r="R10" s="333">
        <v>2022</v>
      </c>
      <c r="S10" s="333">
        <v>2023</v>
      </c>
      <c r="T10" s="333" t="s">
        <v>13264</v>
      </c>
    </row>
    <row r="11" spans="2:20" ht="12.75" x14ac:dyDescent="0.2">
      <c r="B11" s="333" t="s">
        <v>15937</v>
      </c>
      <c r="C11" s="333" t="s">
        <v>15931</v>
      </c>
      <c r="D11" s="333" t="s">
        <v>15938</v>
      </c>
      <c r="E11" s="333" t="s">
        <v>15936</v>
      </c>
      <c r="F11" s="333" t="s">
        <v>5580</v>
      </c>
      <c r="G11" s="333">
        <v>2017</v>
      </c>
      <c r="I11" s="333" t="s">
        <v>13582</v>
      </c>
      <c r="J11" s="333">
        <f>COUNTIFS($E$4:$E$56,$I$11,$G$4:$G$56,J10)</f>
        <v>1</v>
      </c>
      <c r="K11" s="333">
        <f>COUNTIFS($E$4:$E$56,$I$11,$G$4:$G$56,K10)</f>
        <v>2</v>
      </c>
      <c r="L11" s="333">
        <f>COUNTIFS($E$4:$E$56,$I$11,$G$4:$G$56,L10)</f>
        <v>3</v>
      </c>
      <c r="M11" s="333">
        <f>COUNTIFS($E$4:$E$56,$I$11,$G$4:$G$56,M10)</f>
        <v>0</v>
      </c>
      <c r="N11" s="333">
        <f>COUNTIFS($E$4:$E$56,$I$11,$G$4:$G$56,N10)</f>
        <v>0</v>
      </c>
      <c r="O11" s="333">
        <f>COUNTIFS($E$4:$E$56,$I$11,$G$4:$G$56,O10)</f>
        <v>0</v>
      </c>
      <c r="P11" s="333">
        <f>COUNTIFS($E$4:$E$56,$I$11,$G$4:$G$56,P10)</f>
        <v>3</v>
      </c>
      <c r="Q11" s="333">
        <f>COUNTIFS($E$4:$E$56,$I$11,$G$4:$G$56,Q10)</f>
        <v>2</v>
      </c>
      <c r="R11" s="333">
        <f>COUNTIFS($E$4:$E$56,$I$11,$G$4:$G$56,R10)</f>
        <v>3</v>
      </c>
      <c r="S11" s="333">
        <f>COUNTIFS($E$4:$E$56,$I$11,$G$4:$G$56,S10)</f>
        <v>0</v>
      </c>
      <c r="T11" s="333">
        <f>SUM(J11:S11)</f>
        <v>14</v>
      </c>
    </row>
    <row r="12" spans="2:20" ht="12.75" x14ac:dyDescent="0.2">
      <c r="B12" s="333" t="s">
        <v>12905</v>
      </c>
      <c r="C12" s="333" t="s">
        <v>15931</v>
      </c>
      <c r="D12" s="333" t="s">
        <v>15939</v>
      </c>
      <c r="E12" s="333" t="s">
        <v>15936</v>
      </c>
      <c r="F12" s="333" t="s">
        <v>6314</v>
      </c>
      <c r="G12" s="333">
        <v>2018</v>
      </c>
      <c r="I12" s="333" t="s">
        <v>15936</v>
      </c>
      <c r="J12" s="333">
        <f>COUNTIFS($E$4:$E$56,$I$12,$G$4:$G$56,J10)</f>
        <v>0</v>
      </c>
      <c r="K12" s="333">
        <f>COUNTIFS($E$4:$E$56,$I$12,$G$4:$G$56,K10)</f>
        <v>0</v>
      </c>
      <c r="L12" s="333">
        <f>COUNTIFS($E$4:$E$56,$I$12,$G$4:$G$56,L10)</f>
        <v>0</v>
      </c>
      <c r="M12" s="333">
        <f>COUNTIFS($E$4:$E$56,$I$12,$G$4:$G$56,M10)</f>
        <v>2</v>
      </c>
      <c r="N12" s="333">
        <f>COUNTIFS($E$4:$E$56,$I$12,$G$4:$G$56,N10)</f>
        <v>4</v>
      </c>
      <c r="O12" s="333">
        <f>COUNTIFS($E$4:$E$56,$I$12,$G$4:$G$56,O10)</f>
        <v>2</v>
      </c>
      <c r="P12" s="333">
        <f>COUNTIFS($E$4:$E$56,$I$12,$G$4:$G$56,P10)</f>
        <v>5</v>
      </c>
      <c r="Q12" s="333">
        <f>COUNTIFS($E$4:$E$56,$I$12,$G$4:$G$56,Q10)</f>
        <v>4</v>
      </c>
      <c r="R12" s="333">
        <f>COUNTIFS($E$4:$E$56,$I$12,$G$4:$G$56,R10)</f>
        <v>5</v>
      </c>
      <c r="S12" s="333">
        <f>COUNTIFS($E$4:$E$56,$I$12,$G$4:$G$56,S10)</f>
        <v>0</v>
      </c>
      <c r="T12" s="333">
        <f>SUM(J12:S12)</f>
        <v>22</v>
      </c>
    </row>
    <row r="13" spans="2:20" ht="12.75" x14ac:dyDescent="0.2">
      <c r="B13" s="333" t="s">
        <v>13042</v>
      </c>
      <c r="C13" s="333" t="s">
        <v>15931</v>
      </c>
      <c r="D13" s="333" t="s">
        <v>15941</v>
      </c>
      <c r="E13" s="333" t="s">
        <v>15936</v>
      </c>
      <c r="F13" s="333" t="s">
        <v>6237</v>
      </c>
      <c r="G13" s="333">
        <v>2018</v>
      </c>
      <c r="I13" s="333" t="s">
        <v>15940</v>
      </c>
      <c r="J13" s="333">
        <f>COUNTIFS($E$4:$E$56,$I$13,$G$4:$G$56,J10)</f>
        <v>0</v>
      </c>
      <c r="K13" s="333">
        <f>COUNTIFS($E$4:$E$56,$I$13,$G$4:$G$56,K10)</f>
        <v>0</v>
      </c>
      <c r="L13" s="333">
        <f>COUNTIFS($E$4:$E$56,$I$13,$G$4:$G$56,L10)</f>
        <v>0</v>
      </c>
      <c r="M13" s="333">
        <f>COUNTIFS($E$4:$E$56,$I$13,$G$4:$G$56,M10)</f>
        <v>0</v>
      </c>
      <c r="N13" s="333">
        <f>COUNTIFS($E$4:$E$56,$I$13,$G$4:$G$56,N10)</f>
        <v>0</v>
      </c>
      <c r="O13" s="333">
        <f>COUNTIFS($E$4:$E$56,$I$13,$G$4:$G$56,O10)</f>
        <v>1</v>
      </c>
      <c r="P13" s="333">
        <f>COUNTIFS($E$4:$E$56,$I$13,$G$4:$G$56,P10)</f>
        <v>2</v>
      </c>
      <c r="Q13" s="333">
        <f>COUNTIFS($E$4:$E$56,$I$13,$G$4:$G$56,Q10)</f>
        <v>4</v>
      </c>
      <c r="R13" s="333">
        <f>COUNTIFS($E$4:$E$56,$I$13,$G$4:$G$56,R10)</f>
        <v>8</v>
      </c>
      <c r="S13" s="333">
        <f>COUNTIFS($E$4:$E$56,$I$13,$G$4:$G$56,S10)</f>
        <v>2</v>
      </c>
      <c r="T13" s="333">
        <f>SUM(J13:S13)</f>
        <v>17</v>
      </c>
    </row>
    <row r="14" spans="2:20" ht="12.75" x14ac:dyDescent="0.2">
      <c r="B14" s="333" t="s">
        <v>14253</v>
      </c>
      <c r="C14" s="333" t="s">
        <v>15932</v>
      </c>
      <c r="D14" s="333" t="s">
        <v>15942</v>
      </c>
      <c r="E14" s="333" t="s">
        <v>15936</v>
      </c>
      <c r="F14" s="333" t="s">
        <v>6143</v>
      </c>
      <c r="G14" s="333">
        <v>2018</v>
      </c>
      <c r="I14" s="333"/>
      <c r="T14" s="333">
        <f>SUM(T11:T13)</f>
        <v>53</v>
      </c>
    </row>
    <row r="15" spans="2:20" ht="12.75" x14ac:dyDescent="0.2">
      <c r="B15" s="333" t="s">
        <v>13042</v>
      </c>
      <c r="C15" s="333" t="s">
        <v>15931</v>
      </c>
      <c r="D15" s="333" t="s">
        <v>15942</v>
      </c>
      <c r="E15" s="333" t="s">
        <v>15936</v>
      </c>
      <c r="F15" s="333" t="s">
        <v>83</v>
      </c>
      <c r="G15" s="333">
        <v>2018</v>
      </c>
      <c r="I15" s="333"/>
    </row>
    <row r="16" spans="2:20" ht="12.75" x14ac:dyDescent="0.2">
      <c r="B16" s="333" t="s">
        <v>14253</v>
      </c>
      <c r="C16" s="333" t="s">
        <v>15932</v>
      </c>
      <c r="D16" s="333" t="s">
        <v>15943</v>
      </c>
      <c r="E16" s="333" t="s">
        <v>15940</v>
      </c>
      <c r="F16" s="333" t="s">
        <v>11245</v>
      </c>
      <c r="G16" s="333">
        <v>2019</v>
      </c>
      <c r="I16" s="333"/>
    </row>
    <row r="17" spans="2:9" ht="12.75" x14ac:dyDescent="0.2">
      <c r="B17" s="333" t="s">
        <v>14253</v>
      </c>
      <c r="C17" s="333" t="s">
        <v>15932</v>
      </c>
      <c r="D17" s="333" t="s">
        <v>15938</v>
      </c>
      <c r="E17" s="333" t="s">
        <v>15936</v>
      </c>
      <c r="F17" s="333" t="s">
        <v>4453</v>
      </c>
      <c r="G17" s="333">
        <v>2019</v>
      </c>
      <c r="I17" s="333"/>
    </row>
    <row r="18" spans="2:9" ht="12.75" x14ac:dyDescent="0.2">
      <c r="B18" s="333" t="s">
        <v>12905</v>
      </c>
      <c r="C18" s="333" t="s">
        <v>15931</v>
      </c>
      <c r="D18" s="333" t="s">
        <v>15944</v>
      </c>
      <c r="E18" s="333" t="s">
        <v>15936</v>
      </c>
      <c r="F18" s="333" t="s">
        <v>5087</v>
      </c>
      <c r="G18" s="333">
        <v>2019</v>
      </c>
      <c r="I18" s="333"/>
    </row>
    <row r="19" spans="2:9" ht="12.75" x14ac:dyDescent="0.2">
      <c r="B19" s="333" t="s">
        <v>12905</v>
      </c>
      <c r="C19" s="333" t="s">
        <v>15931</v>
      </c>
      <c r="D19" s="333" t="s">
        <v>15939</v>
      </c>
      <c r="E19" s="333" t="s">
        <v>15936</v>
      </c>
      <c r="F19" s="333" t="s">
        <v>6446</v>
      </c>
      <c r="G19" s="333">
        <v>2020</v>
      </c>
      <c r="I19" s="333"/>
    </row>
    <row r="20" spans="2:9" ht="12.75" x14ac:dyDescent="0.2">
      <c r="B20" s="333" t="s">
        <v>12905</v>
      </c>
      <c r="C20" s="333" t="s">
        <v>15931</v>
      </c>
      <c r="D20" s="333" t="s">
        <v>15939</v>
      </c>
      <c r="E20" s="333" t="s">
        <v>15936</v>
      </c>
      <c r="F20" s="333" t="s">
        <v>12837</v>
      </c>
      <c r="G20" s="333">
        <v>2020</v>
      </c>
      <c r="I20" s="333"/>
    </row>
    <row r="21" spans="2:9" ht="12.75" x14ac:dyDescent="0.2">
      <c r="B21" s="333" t="s">
        <v>15945</v>
      </c>
      <c r="C21" s="333" t="s">
        <v>15932</v>
      </c>
      <c r="D21" s="333" t="s">
        <v>13199</v>
      </c>
      <c r="E21" s="333" t="s">
        <v>15936</v>
      </c>
      <c r="F21" s="333" t="s">
        <v>2765</v>
      </c>
      <c r="G21" s="333">
        <v>2020</v>
      </c>
      <c r="I21" s="333"/>
    </row>
    <row r="22" spans="2:9" ht="12.75" x14ac:dyDescent="0.2">
      <c r="B22" s="333" t="s">
        <v>15946</v>
      </c>
      <c r="C22" s="333" t="s">
        <v>15931</v>
      </c>
      <c r="D22" s="333" t="s">
        <v>13199</v>
      </c>
      <c r="E22" s="333" t="s">
        <v>15936</v>
      </c>
      <c r="F22" s="333" t="s">
        <v>3381</v>
      </c>
      <c r="G22" s="333">
        <v>2020</v>
      </c>
      <c r="I22" s="333"/>
    </row>
    <row r="23" spans="2:9" ht="12.75" x14ac:dyDescent="0.2">
      <c r="B23" s="333" t="s">
        <v>14253</v>
      </c>
      <c r="C23" s="333" t="s">
        <v>15932</v>
      </c>
      <c r="D23" s="333" t="s">
        <v>15947</v>
      </c>
      <c r="E23" s="333" t="s">
        <v>15940</v>
      </c>
      <c r="F23" s="333" t="s">
        <v>4973</v>
      </c>
      <c r="G23" s="333">
        <v>2020</v>
      </c>
      <c r="I23" s="333"/>
    </row>
    <row r="24" spans="2:9" ht="12.75" x14ac:dyDescent="0.2">
      <c r="B24" s="333" t="s">
        <v>15945</v>
      </c>
      <c r="C24" s="333" t="s">
        <v>15932</v>
      </c>
      <c r="D24" s="333" t="s">
        <v>15948</v>
      </c>
      <c r="E24" s="333" t="s">
        <v>15940</v>
      </c>
      <c r="F24" s="333" t="s">
        <v>4246</v>
      </c>
      <c r="G24" s="333">
        <v>2020</v>
      </c>
      <c r="I24" s="333"/>
    </row>
    <row r="25" spans="2:9" ht="12.75" x14ac:dyDescent="0.2">
      <c r="B25" s="333" t="s">
        <v>13042</v>
      </c>
      <c r="C25" s="333" t="s">
        <v>15931</v>
      </c>
      <c r="D25" s="333" t="s">
        <v>15941</v>
      </c>
      <c r="E25" s="333" t="s">
        <v>15936</v>
      </c>
      <c r="F25" s="333" t="s">
        <v>5058</v>
      </c>
      <c r="G25" s="333">
        <v>2020</v>
      </c>
      <c r="I25" s="333"/>
    </row>
    <row r="26" spans="2:9" ht="12.75" x14ac:dyDescent="0.2">
      <c r="C26" s="333" t="s">
        <v>15930</v>
      </c>
      <c r="E26" s="333" t="s">
        <v>13582</v>
      </c>
      <c r="F26" s="333" t="s">
        <v>4122</v>
      </c>
      <c r="G26" s="333">
        <v>2020</v>
      </c>
      <c r="I26" s="333"/>
    </row>
    <row r="27" spans="2:9" ht="12.75" x14ac:dyDescent="0.2">
      <c r="C27" s="333" t="s">
        <v>15930</v>
      </c>
      <c r="E27" s="333" t="s">
        <v>13582</v>
      </c>
      <c r="F27" s="333" t="s">
        <v>13156</v>
      </c>
      <c r="G27" s="333">
        <v>2020</v>
      </c>
      <c r="I27" s="333"/>
    </row>
    <row r="28" spans="2:9" ht="12.75" x14ac:dyDescent="0.2">
      <c r="C28" s="333" t="s">
        <v>15930</v>
      </c>
      <c r="E28" s="333" t="s">
        <v>13582</v>
      </c>
      <c r="F28" s="333" t="s">
        <v>13229</v>
      </c>
      <c r="G28" s="333">
        <v>2020</v>
      </c>
      <c r="I28" s="333"/>
    </row>
    <row r="29" spans="2:9" ht="12.75" x14ac:dyDescent="0.2">
      <c r="B29" s="333" t="s">
        <v>15949</v>
      </c>
      <c r="C29" s="333" t="s">
        <v>15933</v>
      </c>
      <c r="D29" s="333" t="s">
        <v>15950</v>
      </c>
      <c r="E29" s="333" t="s">
        <v>15940</v>
      </c>
      <c r="F29" s="333" t="s">
        <v>51</v>
      </c>
      <c r="G29" s="333">
        <v>2021</v>
      </c>
      <c r="I29" s="333"/>
    </row>
    <row r="30" spans="2:9" ht="12.75" x14ac:dyDescent="0.2">
      <c r="B30" s="333" t="s">
        <v>15951</v>
      </c>
      <c r="C30" s="333" t="s">
        <v>15933</v>
      </c>
      <c r="D30" s="333" t="s">
        <v>15950</v>
      </c>
      <c r="E30" s="333" t="s">
        <v>15940</v>
      </c>
      <c r="F30" s="333" t="s">
        <v>11576</v>
      </c>
      <c r="G30" s="333">
        <v>2021</v>
      </c>
      <c r="I30" s="333"/>
    </row>
    <row r="31" spans="2:9" ht="12.75" x14ac:dyDescent="0.2">
      <c r="B31" s="333" t="s">
        <v>14253</v>
      </c>
      <c r="C31" s="333" t="s">
        <v>15932</v>
      </c>
      <c r="D31" s="333" t="s">
        <v>15952</v>
      </c>
      <c r="E31" s="333" t="s">
        <v>15940</v>
      </c>
      <c r="F31" s="333" t="s">
        <v>2436</v>
      </c>
      <c r="G31" s="333">
        <v>2021</v>
      </c>
      <c r="I31" s="333"/>
    </row>
    <row r="32" spans="2:9" ht="12.75" x14ac:dyDescent="0.2">
      <c r="B32" s="333" t="s">
        <v>14253</v>
      </c>
      <c r="C32" s="333" t="s">
        <v>15932</v>
      </c>
      <c r="D32" s="333" t="s">
        <v>15947</v>
      </c>
      <c r="E32" s="333" t="s">
        <v>15940</v>
      </c>
      <c r="F32" s="333" t="s">
        <v>2857</v>
      </c>
      <c r="G32" s="333">
        <v>2021</v>
      </c>
      <c r="I32" s="333"/>
    </row>
    <row r="33" spans="2:16" ht="12.75" x14ac:dyDescent="0.2">
      <c r="B33" s="333" t="s">
        <v>13042</v>
      </c>
      <c r="C33" s="333" t="s">
        <v>15931</v>
      </c>
      <c r="D33" s="333" t="s">
        <v>15941</v>
      </c>
      <c r="E33" s="333" t="s">
        <v>15936</v>
      </c>
      <c r="F33" s="333" t="s">
        <v>3345</v>
      </c>
      <c r="G33" s="333">
        <v>2021</v>
      </c>
      <c r="I33" s="333"/>
    </row>
    <row r="34" spans="2:16" ht="12.75" x14ac:dyDescent="0.2">
      <c r="B34" s="333" t="s">
        <v>15953</v>
      </c>
      <c r="C34" s="333" t="s">
        <v>15932</v>
      </c>
      <c r="D34" s="333" t="s">
        <v>15944</v>
      </c>
      <c r="E34" s="333" t="s">
        <v>15936</v>
      </c>
      <c r="F34" s="333" t="s">
        <v>6327</v>
      </c>
      <c r="G34" s="333">
        <v>2021</v>
      </c>
      <c r="I34" s="333"/>
    </row>
    <row r="35" spans="2:16" ht="12.75" x14ac:dyDescent="0.2">
      <c r="B35" s="333" t="s">
        <v>13250</v>
      </c>
      <c r="C35" s="333" t="s">
        <v>15931</v>
      </c>
      <c r="D35" s="333" t="s">
        <v>15944</v>
      </c>
      <c r="E35" s="333" t="s">
        <v>15936</v>
      </c>
      <c r="F35" s="333" t="s">
        <v>3454</v>
      </c>
      <c r="G35" s="333">
        <v>2021</v>
      </c>
      <c r="I35" s="333"/>
    </row>
    <row r="36" spans="2:16" ht="12.75" x14ac:dyDescent="0.2">
      <c r="B36" s="333" t="s">
        <v>15946</v>
      </c>
      <c r="C36" s="333" t="s">
        <v>15931</v>
      </c>
      <c r="D36" s="333" t="s">
        <v>15954</v>
      </c>
      <c r="E36" s="333" t="s">
        <v>15936</v>
      </c>
      <c r="F36" s="333" t="s">
        <v>11051</v>
      </c>
      <c r="G36" s="333">
        <v>2021</v>
      </c>
      <c r="I36" s="333"/>
      <c r="P36" s="334"/>
    </row>
    <row r="37" spans="2:16" ht="12.75" x14ac:dyDescent="0.2">
      <c r="C37" s="333" t="s">
        <v>15930</v>
      </c>
      <c r="E37" s="333" t="s">
        <v>13582</v>
      </c>
      <c r="F37" s="333" t="s">
        <v>11667</v>
      </c>
      <c r="G37" s="333">
        <v>2021</v>
      </c>
      <c r="I37" s="333"/>
    </row>
    <row r="38" spans="2:16" ht="12.75" x14ac:dyDescent="0.2">
      <c r="C38" s="333" t="s">
        <v>15930</v>
      </c>
      <c r="E38" s="333" t="s">
        <v>13582</v>
      </c>
      <c r="F38" s="333" t="s">
        <v>13221</v>
      </c>
      <c r="G38" s="333">
        <v>2021</v>
      </c>
      <c r="I38" s="333"/>
    </row>
    <row r="39" spans="2:16" ht="12.75" x14ac:dyDescent="0.2">
      <c r="B39" s="333" t="s">
        <v>15955</v>
      </c>
      <c r="C39" s="333" t="s">
        <v>15933</v>
      </c>
      <c r="D39" s="333" t="s">
        <v>15956</v>
      </c>
      <c r="E39" s="333" t="s">
        <v>13582</v>
      </c>
      <c r="F39" s="333" t="s">
        <v>56</v>
      </c>
      <c r="G39" s="333">
        <v>2022</v>
      </c>
      <c r="I39" s="333"/>
    </row>
    <row r="40" spans="2:16" ht="12.75" x14ac:dyDescent="0.2">
      <c r="B40" s="333" t="s">
        <v>12905</v>
      </c>
      <c r="C40" s="333" t="s">
        <v>15931</v>
      </c>
      <c r="D40" s="333" t="s">
        <v>15939</v>
      </c>
      <c r="E40" s="333" t="s">
        <v>15936</v>
      </c>
      <c r="F40" s="333" t="s">
        <v>481</v>
      </c>
      <c r="G40" s="333">
        <v>2022</v>
      </c>
      <c r="I40" s="333"/>
    </row>
    <row r="41" spans="2:16" ht="12.75" x14ac:dyDescent="0.2">
      <c r="B41" s="333" t="s">
        <v>15949</v>
      </c>
      <c r="C41" s="333" t="s">
        <v>15933</v>
      </c>
      <c r="D41" s="333" t="s">
        <v>15950</v>
      </c>
      <c r="E41" s="333" t="s">
        <v>15940</v>
      </c>
      <c r="F41" s="333" t="s">
        <v>1417</v>
      </c>
      <c r="G41" s="333">
        <v>2022</v>
      </c>
      <c r="I41" s="333"/>
    </row>
    <row r="42" spans="2:16" ht="12.75" x14ac:dyDescent="0.2">
      <c r="B42" s="333" t="s">
        <v>15949</v>
      </c>
      <c r="C42" s="333" t="s">
        <v>15933</v>
      </c>
      <c r="D42" s="333" t="s">
        <v>15943</v>
      </c>
      <c r="E42" s="333" t="s">
        <v>15940</v>
      </c>
      <c r="F42" s="333" t="s">
        <v>2354</v>
      </c>
      <c r="G42" s="333">
        <v>2022</v>
      </c>
      <c r="I42" s="333"/>
    </row>
    <row r="43" spans="2:16" ht="12.75" x14ac:dyDescent="0.2">
      <c r="B43" s="333" t="s">
        <v>15945</v>
      </c>
      <c r="C43" s="333" t="s">
        <v>15932</v>
      </c>
      <c r="D43" s="333" t="s">
        <v>15957</v>
      </c>
      <c r="E43" s="333" t="s">
        <v>15940</v>
      </c>
      <c r="F43" s="333" t="s">
        <v>2264</v>
      </c>
      <c r="G43" s="333">
        <v>2022</v>
      </c>
      <c r="I43" s="333"/>
    </row>
    <row r="44" spans="2:16" ht="12.75" x14ac:dyDescent="0.2">
      <c r="B44" s="333" t="s">
        <v>15958</v>
      </c>
      <c r="C44" s="333" t="s">
        <v>15931</v>
      </c>
      <c r="D44" s="333" t="s">
        <v>15959</v>
      </c>
      <c r="E44" s="333" t="s">
        <v>15936</v>
      </c>
      <c r="F44" s="333" t="s">
        <v>89</v>
      </c>
      <c r="G44" s="333">
        <v>2022</v>
      </c>
      <c r="I44" s="333"/>
    </row>
    <row r="45" spans="2:16" ht="12.75" x14ac:dyDescent="0.2">
      <c r="B45" s="333" t="s">
        <v>15960</v>
      </c>
      <c r="C45" s="333" t="s">
        <v>15933</v>
      </c>
      <c r="D45" s="333" t="s">
        <v>15961</v>
      </c>
      <c r="E45" s="333" t="s">
        <v>15940</v>
      </c>
      <c r="F45" s="333" t="s">
        <v>1200</v>
      </c>
      <c r="G45" s="333">
        <v>2022</v>
      </c>
      <c r="I45" s="333"/>
    </row>
    <row r="46" spans="2:16" ht="12.75" x14ac:dyDescent="0.2">
      <c r="B46" s="333" t="s">
        <v>15946</v>
      </c>
      <c r="C46" s="333" t="s">
        <v>15931</v>
      </c>
      <c r="D46" s="333" t="s">
        <v>15962</v>
      </c>
      <c r="E46" s="333" t="s">
        <v>15940</v>
      </c>
      <c r="F46" s="333" t="s">
        <v>2032</v>
      </c>
      <c r="G46" s="333">
        <v>2022</v>
      </c>
      <c r="I46" s="333"/>
    </row>
    <row r="47" spans="2:16" ht="12.75" x14ac:dyDescent="0.2">
      <c r="B47" s="333" t="s">
        <v>14253</v>
      </c>
      <c r="C47" s="333" t="s">
        <v>15932</v>
      </c>
      <c r="D47" s="333" t="s">
        <v>15962</v>
      </c>
      <c r="E47" s="333" t="s">
        <v>15940</v>
      </c>
      <c r="F47" s="333" t="s">
        <v>272</v>
      </c>
      <c r="G47" s="333">
        <v>2022</v>
      </c>
      <c r="I47" s="333"/>
    </row>
    <row r="48" spans="2:16" ht="12.75" x14ac:dyDescent="0.2">
      <c r="B48" s="333" t="s">
        <v>15967</v>
      </c>
      <c r="C48" s="333" t="s">
        <v>15931</v>
      </c>
      <c r="D48" s="333" t="s">
        <v>15963</v>
      </c>
      <c r="E48" s="333" t="s">
        <v>15936</v>
      </c>
      <c r="F48" s="333" t="s">
        <v>97</v>
      </c>
      <c r="G48" s="333">
        <v>2022</v>
      </c>
      <c r="I48" s="333"/>
    </row>
    <row r="49" spans="2:9" ht="12.75" x14ac:dyDescent="0.2">
      <c r="B49" s="333" t="s">
        <v>15946</v>
      </c>
      <c r="C49" s="333" t="s">
        <v>15931</v>
      </c>
      <c r="D49" s="333" t="s">
        <v>15948</v>
      </c>
      <c r="E49" s="333" t="s">
        <v>15940</v>
      </c>
      <c r="F49" s="333" t="s">
        <v>78</v>
      </c>
      <c r="G49" s="333">
        <v>2022</v>
      </c>
      <c r="I49" s="334"/>
    </row>
    <row r="50" spans="2:9" ht="12.75" x14ac:dyDescent="0.2">
      <c r="B50" s="333" t="s">
        <v>13042</v>
      </c>
      <c r="C50" s="333" t="s">
        <v>15931</v>
      </c>
      <c r="D50" s="333" t="s">
        <v>15941</v>
      </c>
      <c r="E50" s="333" t="s">
        <v>15936</v>
      </c>
      <c r="F50" s="333" t="s">
        <v>1826</v>
      </c>
      <c r="G50" s="333">
        <v>2022</v>
      </c>
      <c r="I50" s="333"/>
    </row>
    <row r="51" spans="2:9" ht="12.75" x14ac:dyDescent="0.2">
      <c r="B51" s="333" t="s">
        <v>15946</v>
      </c>
      <c r="C51" s="333" t="s">
        <v>15931</v>
      </c>
      <c r="D51" s="333" t="s">
        <v>15942</v>
      </c>
      <c r="E51" s="333" t="s">
        <v>15936</v>
      </c>
      <c r="F51" s="333" t="s">
        <v>110</v>
      </c>
      <c r="G51" s="333">
        <v>2022</v>
      </c>
      <c r="I51" s="333"/>
    </row>
    <row r="52" spans="2:9" ht="12.75" x14ac:dyDescent="0.2">
      <c r="B52" s="333" t="s">
        <v>15945</v>
      </c>
      <c r="C52" s="333" t="s">
        <v>15932</v>
      </c>
      <c r="D52" s="333" t="s">
        <v>15964</v>
      </c>
      <c r="E52" s="333" t="s">
        <v>15940</v>
      </c>
      <c r="F52" s="333" t="s">
        <v>31</v>
      </c>
      <c r="G52" s="333">
        <v>2022</v>
      </c>
      <c r="I52" s="333"/>
    </row>
    <row r="53" spans="2:9" ht="12.75" x14ac:dyDescent="0.2">
      <c r="C53" s="333" t="s">
        <v>15930</v>
      </c>
      <c r="E53" s="333" t="s">
        <v>13582</v>
      </c>
      <c r="F53" s="333" t="s">
        <v>438</v>
      </c>
      <c r="G53" s="333">
        <v>2022</v>
      </c>
      <c r="I53" s="333"/>
    </row>
    <row r="54" spans="2:9" ht="12.75" x14ac:dyDescent="0.2">
      <c r="C54" s="333" t="s">
        <v>15930</v>
      </c>
      <c r="E54" s="333" t="s">
        <v>13582</v>
      </c>
      <c r="F54" s="333" t="s">
        <v>11324</v>
      </c>
      <c r="G54" s="333">
        <v>2022</v>
      </c>
      <c r="I54" s="333"/>
    </row>
    <row r="55" spans="2:9" ht="12.75" x14ac:dyDescent="0.2">
      <c r="B55" s="333" t="s">
        <v>15965</v>
      </c>
      <c r="C55" s="333" t="s">
        <v>15933</v>
      </c>
      <c r="D55" s="333" t="s">
        <v>15943</v>
      </c>
      <c r="E55" s="333" t="s">
        <v>15940</v>
      </c>
      <c r="F55" s="333" t="s">
        <v>945</v>
      </c>
      <c r="G55" s="333">
        <v>2023</v>
      </c>
      <c r="I55" s="333"/>
    </row>
    <row r="56" spans="2:9" ht="12.75" x14ac:dyDescent="0.2">
      <c r="B56" s="333" t="s">
        <v>15949</v>
      </c>
      <c r="C56" s="333" t="s">
        <v>15933</v>
      </c>
      <c r="D56" s="333" t="s">
        <v>15966</v>
      </c>
      <c r="E56" s="333" t="s">
        <v>15940</v>
      </c>
      <c r="F56" s="333" t="s">
        <v>1120</v>
      </c>
      <c r="G56" s="333">
        <v>2023</v>
      </c>
      <c r="I56" s="333"/>
    </row>
    <row r="57" spans="2:9" ht="12.75" x14ac:dyDescent="0.2">
      <c r="I57" s="333"/>
    </row>
    <row r="58" spans="2:9" ht="12.75" x14ac:dyDescent="0.2">
      <c r="I58" s="333"/>
    </row>
    <row r="59" spans="2:9" ht="12.75" x14ac:dyDescent="0.2">
      <c r="F59" s="333">
        <f>COUNTA(F4:F56)</f>
        <v>53</v>
      </c>
      <c r="I59" s="333"/>
    </row>
    <row r="60" spans="2:9" ht="12.75" x14ac:dyDescent="0.2">
      <c r="I60" s="333"/>
    </row>
    <row r="61" spans="2:9" ht="12.75" x14ac:dyDescent="0.2">
      <c r="I61" s="333"/>
    </row>
    <row r="62" spans="2:9" ht="12.75" x14ac:dyDescent="0.2">
      <c r="I62" s="333"/>
    </row>
    <row r="63" spans="2:9" ht="12.75" x14ac:dyDescent="0.2">
      <c r="I63" s="333"/>
    </row>
    <row r="64" spans="2:9" ht="12.75" x14ac:dyDescent="0.2">
      <c r="I64" s="333"/>
    </row>
    <row r="65" spans="9:9" ht="12.75" x14ac:dyDescent="0.2">
      <c r="I65" s="333"/>
    </row>
    <row r="66" spans="9:9" ht="12.75" x14ac:dyDescent="0.2">
      <c r="I66" s="333"/>
    </row>
    <row r="67" spans="9:9" ht="12.75" x14ac:dyDescent="0.2">
      <c r="I67" s="333"/>
    </row>
    <row r="68" spans="9:9" ht="12.75" x14ac:dyDescent="0.2">
      <c r="I68" s="333"/>
    </row>
    <row r="69" spans="9:9" ht="12.75" x14ac:dyDescent="0.2">
      <c r="I69" s="333"/>
    </row>
    <row r="70" spans="9:9" ht="12.75" x14ac:dyDescent="0.2">
      <c r="I70" s="333"/>
    </row>
    <row r="71" spans="9:9" ht="12.75" x14ac:dyDescent="0.2">
      <c r="I71" s="333"/>
    </row>
    <row r="72" spans="9:9" ht="12.75" x14ac:dyDescent="0.2">
      <c r="I72" s="333"/>
    </row>
    <row r="73" spans="9:9" ht="12.75" x14ac:dyDescent="0.2">
      <c r="I73" s="333"/>
    </row>
    <row r="74" spans="9:9" ht="12.75" x14ac:dyDescent="0.2">
      <c r="I74" s="333"/>
    </row>
    <row r="75" spans="9:9" ht="12.75" x14ac:dyDescent="0.2">
      <c r="I75" s="333"/>
    </row>
    <row r="76" spans="9:9" ht="12.75" x14ac:dyDescent="0.2">
      <c r="I76" s="333"/>
    </row>
    <row r="77" spans="9:9" ht="12.75" x14ac:dyDescent="0.2">
      <c r="I77" s="333"/>
    </row>
    <row r="78" spans="9:9" ht="12.75" x14ac:dyDescent="0.2">
      <c r="I78" s="333"/>
    </row>
    <row r="79" spans="9:9" ht="12.75" x14ac:dyDescent="0.2">
      <c r="I79" s="333"/>
    </row>
    <row r="80" spans="9:9" ht="12.75" x14ac:dyDescent="0.2">
      <c r="I80" s="333"/>
    </row>
    <row r="81" spans="9:9" ht="12.75" x14ac:dyDescent="0.2">
      <c r="I81" s="333"/>
    </row>
    <row r="82" spans="9:9" ht="12.75" x14ac:dyDescent="0.2">
      <c r="I82" s="333"/>
    </row>
    <row r="83" spans="9:9" ht="12.75" x14ac:dyDescent="0.2">
      <c r="I83" s="333"/>
    </row>
    <row r="84" spans="9:9" ht="12.75" x14ac:dyDescent="0.2">
      <c r="I84" s="333"/>
    </row>
    <row r="85" spans="9:9" ht="12.75" x14ac:dyDescent="0.2">
      <c r="I85" s="333"/>
    </row>
    <row r="86" spans="9:9" ht="12.75" x14ac:dyDescent="0.2">
      <c r="I86" s="333"/>
    </row>
    <row r="87" spans="9:9" ht="12.75" x14ac:dyDescent="0.2">
      <c r="I87" s="333"/>
    </row>
    <row r="88" spans="9:9" ht="12.75" x14ac:dyDescent="0.2">
      <c r="I88" s="333"/>
    </row>
    <row r="89" spans="9:9" ht="12.75" x14ac:dyDescent="0.2">
      <c r="I89" s="333"/>
    </row>
    <row r="90" spans="9:9" ht="12.75" x14ac:dyDescent="0.2">
      <c r="I90" s="333"/>
    </row>
    <row r="91" spans="9:9" ht="12.75" x14ac:dyDescent="0.2">
      <c r="I91" s="333"/>
    </row>
    <row r="92" spans="9:9" ht="12.75" x14ac:dyDescent="0.2">
      <c r="I92" s="333"/>
    </row>
    <row r="93" spans="9:9" ht="12.75" x14ac:dyDescent="0.2">
      <c r="I93" s="333"/>
    </row>
    <row r="94" spans="9:9" ht="12.75" x14ac:dyDescent="0.2">
      <c r="I94" s="333"/>
    </row>
    <row r="95" spans="9:9" ht="12.75" x14ac:dyDescent="0.2">
      <c r="I95" s="333"/>
    </row>
    <row r="96" spans="9:9" ht="12.75" x14ac:dyDescent="0.2">
      <c r="I96" s="333"/>
    </row>
    <row r="97" spans="9:9" ht="12.75" x14ac:dyDescent="0.2">
      <c r="I97" s="333"/>
    </row>
    <row r="98" spans="9:9" ht="12.75" x14ac:dyDescent="0.2">
      <c r="I98" s="333"/>
    </row>
    <row r="99" spans="9:9" ht="12.75" x14ac:dyDescent="0.2">
      <c r="I99" s="333"/>
    </row>
    <row r="100" spans="9:9" ht="12.75" x14ac:dyDescent="0.2">
      <c r="I100" s="333"/>
    </row>
    <row r="101" spans="9:9" ht="12.75" x14ac:dyDescent="0.2">
      <c r="I101" s="333"/>
    </row>
    <row r="102" spans="9:9" ht="12.75" x14ac:dyDescent="0.2">
      <c r="I102" s="333"/>
    </row>
    <row r="103" spans="9:9" ht="12.75" x14ac:dyDescent="0.2">
      <c r="I103" s="333"/>
    </row>
    <row r="104" spans="9:9" ht="12.75" x14ac:dyDescent="0.2">
      <c r="I104" s="333"/>
    </row>
    <row r="105" spans="9:9" ht="12.75" x14ac:dyDescent="0.2">
      <c r="I105" s="333"/>
    </row>
    <row r="106" spans="9:9" ht="12.75" x14ac:dyDescent="0.2">
      <c r="I106" s="333"/>
    </row>
    <row r="107" spans="9:9" ht="12.75" x14ac:dyDescent="0.2">
      <c r="I107" s="333"/>
    </row>
    <row r="108" spans="9:9" ht="12.75" x14ac:dyDescent="0.2">
      <c r="I108" s="333"/>
    </row>
    <row r="109" spans="9:9" ht="12.75" x14ac:dyDescent="0.2">
      <c r="I109" s="333"/>
    </row>
    <row r="110" spans="9:9" ht="12.75" x14ac:dyDescent="0.2">
      <c r="I110" s="333"/>
    </row>
    <row r="111" spans="9:9" ht="12.75" x14ac:dyDescent="0.2">
      <c r="I111" s="333"/>
    </row>
    <row r="112" spans="9:9" ht="12.75" x14ac:dyDescent="0.2">
      <c r="I112" s="333"/>
    </row>
    <row r="113" spans="9:9" ht="12.75" x14ac:dyDescent="0.2">
      <c r="I113" s="333"/>
    </row>
    <row r="114" spans="9:9" ht="12.75" x14ac:dyDescent="0.2">
      <c r="I114" s="333"/>
    </row>
    <row r="115" spans="9:9" ht="12.75" x14ac:dyDescent="0.2">
      <c r="I115" s="333"/>
    </row>
    <row r="116" spans="9:9" ht="12.75" x14ac:dyDescent="0.2">
      <c r="I116" s="333"/>
    </row>
    <row r="117" spans="9:9" ht="12.75" x14ac:dyDescent="0.2">
      <c r="I117" s="333"/>
    </row>
    <row r="118" spans="9:9" ht="12.75" x14ac:dyDescent="0.2">
      <c r="I118" s="333"/>
    </row>
    <row r="119" spans="9:9" ht="12.75" x14ac:dyDescent="0.2">
      <c r="I119" s="333"/>
    </row>
    <row r="120" spans="9:9" ht="12.75" x14ac:dyDescent="0.2">
      <c r="I120" s="333"/>
    </row>
    <row r="121" spans="9:9" ht="12.75" x14ac:dyDescent="0.2">
      <c r="I121" s="333"/>
    </row>
    <row r="122" spans="9:9" ht="12.75" x14ac:dyDescent="0.2">
      <c r="I122" s="333"/>
    </row>
    <row r="123" spans="9:9" ht="12.75" x14ac:dyDescent="0.2">
      <c r="I123" s="333"/>
    </row>
    <row r="124" spans="9:9" ht="12.75" x14ac:dyDescent="0.2">
      <c r="I124" s="333"/>
    </row>
    <row r="125" spans="9:9" ht="12.75" x14ac:dyDescent="0.2">
      <c r="I125" s="333"/>
    </row>
    <row r="126" spans="9:9" ht="12.75" x14ac:dyDescent="0.2">
      <c r="I126" s="333"/>
    </row>
    <row r="127" spans="9:9" ht="12.75" x14ac:dyDescent="0.2">
      <c r="I127" s="333"/>
    </row>
    <row r="128" spans="9:9" ht="12.75" x14ac:dyDescent="0.2">
      <c r="I128" s="333"/>
    </row>
    <row r="129" spans="9:9" ht="12.75" x14ac:dyDescent="0.2">
      <c r="I129" s="333"/>
    </row>
    <row r="130" spans="9:9" ht="12.75" x14ac:dyDescent="0.2">
      <c r="I130" s="333"/>
    </row>
    <row r="131" spans="9:9" ht="12.75" x14ac:dyDescent="0.2">
      <c r="I131" s="333"/>
    </row>
    <row r="132" spans="9:9" ht="12.75" x14ac:dyDescent="0.2">
      <c r="I132" s="333"/>
    </row>
    <row r="133" spans="9:9" ht="12.75" x14ac:dyDescent="0.2">
      <c r="I133" s="333"/>
    </row>
    <row r="134" spans="9:9" ht="12.75" x14ac:dyDescent="0.2">
      <c r="I134" s="333"/>
    </row>
    <row r="135" spans="9:9" ht="12.75" x14ac:dyDescent="0.2">
      <c r="I135" s="333"/>
    </row>
    <row r="136" spans="9:9" ht="12.75" x14ac:dyDescent="0.2">
      <c r="I136" s="333"/>
    </row>
    <row r="137" spans="9:9" ht="12.75" x14ac:dyDescent="0.2">
      <c r="I137" s="333"/>
    </row>
    <row r="138" spans="9:9" ht="12.75" x14ac:dyDescent="0.2">
      <c r="I138" s="333"/>
    </row>
    <row r="139" spans="9:9" ht="12.75" x14ac:dyDescent="0.2">
      <c r="I139" s="333"/>
    </row>
    <row r="140" spans="9:9" ht="12.75" x14ac:dyDescent="0.2">
      <c r="I140" s="333"/>
    </row>
    <row r="141" spans="9:9" ht="12.75" x14ac:dyDescent="0.2">
      <c r="I141" s="333"/>
    </row>
    <row r="142" spans="9:9" ht="12.75" x14ac:dyDescent="0.2">
      <c r="I142" s="333"/>
    </row>
    <row r="143" spans="9:9" ht="12.75" x14ac:dyDescent="0.2">
      <c r="I143" s="333"/>
    </row>
    <row r="144" spans="9:9" ht="12.75" x14ac:dyDescent="0.2">
      <c r="I144" s="333"/>
    </row>
    <row r="145" spans="9:9" ht="12.75" x14ac:dyDescent="0.2">
      <c r="I145" s="333"/>
    </row>
    <row r="146" spans="9:9" ht="12.75" x14ac:dyDescent="0.2">
      <c r="I146" s="333"/>
    </row>
    <row r="147" spans="9:9" ht="12.75" x14ac:dyDescent="0.2">
      <c r="I147" s="333"/>
    </row>
    <row r="148" spans="9:9" ht="12.75" x14ac:dyDescent="0.2">
      <c r="I148" s="333"/>
    </row>
    <row r="149" spans="9:9" ht="12.75" x14ac:dyDescent="0.2">
      <c r="I149" s="333"/>
    </row>
    <row r="150" spans="9:9" ht="12.75" x14ac:dyDescent="0.2">
      <c r="I150" s="333"/>
    </row>
    <row r="151" spans="9:9" ht="12.75" x14ac:dyDescent="0.2">
      <c r="I151" s="333"/>
    </row>
    <row r="152" spans="9:9" ht="12.75" x14ac:dyDescent="0.2">
      <c r="I152" s="333"/>
    </row>
    <row r="153" spans="9:9" ht="12.75" x14ac:dyDescent="0.2">
      <c r="I153" s="333"/>
    </row>
    <row r="154" spans="9:9" ht="12.75" x14ac:dyDescent="0.2">
      <c r="I154" s="333"/>
    </row>
    <row r="155" spans="9:9" ht="12.75" x14ac:dyDescent="0.2">
      <c r="I155" s="333"/>
    </row>
    <row r="156" spans="9:9" ht="12.75" x14ac:dyDescent="0.2">
      <c r="I156" s="333"/>
    </row>
    <row r="157" spans="9:9" ht="12.75" x14ac:dyDescent="0.2">
      <c r="I157" s="333"/>
    </row>
    <row r="158" spans="9:9" ht="12.75" x14ac:dyDescent="0.2">
      <c r="I158" s="333"/>
    </row>
    <row r="159" spans="9:9" ht="12.75" x14ac:dyDescent="0.2">
      <c r="I159" s="333"/>
    </row>
    <row r="160" spans="9:9" ht="12.75" x14ac:dyDescent="0.2">
      <c r="I160" s="333"/>
    </row>
    <row r="161" spans="9:9" ht="12.75" x14ac:dyDescent="0.2">
      <c r="I161" s="333"/>
    </row>
    <row r="162" spans="9:9" ht="12.75" x14ac:dyDescent="0.2">
      <c r="I162" s="333"/>
    </row>
    <row r="163" spans="9:9" ht="12.75" x14ac:dyDescent="0.2">
      <c r="I163" s="333"/>
    </row>
    <row r="164" spans="9:9" ht="12.75" x14ac:dyDescent="0.2">
      <c r="I164" s="333"/>
    </row>
    <row r="165" spans="9:9" ht="12.75" x14ac:dyDescent="0.2">
      <c r="I165" s="333"/>
    </row>
    <row r="166" spans="9:9" ht="12.75" x14ac:dyDescent="0.2">
      <c r="I166" s="333"/>
    </row>
    <row r="167" spans="9:9" ht="12.75" x14ac:dyDescent="0.2">
      <c r="I167" s="333"/>
    </row>
    <row r="168" spans="9:9" ht="12.75" x14ac:dyDescent="0.2">
      <c r="I168" s="333"/>
    </row>
    <row r="169" spans="9:9" ht="12.75" x14ac:dyDescent="0.2">
      <c r="I169" s="333"/>
    </row>
    <row r="170" spans="9:9" ht="12.75" x14ac:dyDescent="0.2">
      <c r="I170" s="333"/>
    </row>
    <row r="171" spans="9:9" ht="12.75" x14ac:dyDescent="0.2">
      <c r="I171" s="333"/>
    </row>
    <row r="172" spans="9:9" ht="12.75" x14ac:dyDescent="0.2">
      <c r="I172" s="333"/>
    </row>
    <row r="173" spans="9:9" ht="12.75" x14ac:dyDescent="0.2">
      <c r="I173" s="333"/>
    </row>
    <row r="174" spans="9:9" ht="12.75" x14ac:dyDescent="0.2">
      <c r="I174" s="333"/>
    </row>
    <row r="175" spans="9:9" ht="12.75" x14ac:dyDescent="0.2">
      <c r="I175" s="333"/>
    </row>
    <row r="176" spans="9:9" ht="12.75" x14ac:dyDescent="0.2">
      <c r="I176" s="333"/>
    </row>
    <row r="177" spans="9:9" ht="12.75" x14ac:dyDescent="0.2">
      <c r="I177" s="333"/>
    </row>
    <row r="178" spans="9:9" ht="12.75" x14ac:dyDescent="0.2">
      <c r="I178" s="333"/>
    </row>
    <row r="179" spans="9:9" ht="12.75" x14ac:dyDescent="0.2">
      <c r="I179" s="333"/>
    </row>
    <row r="180" spans="9:9" ht="12.75" x14ac:dyDescent="0.2">
      <c r="I180" s="333"/>
    </row>
    <row r="181" spans="9:9" ht="12.75" x14ac:dyDescent="0.2">
      <c r="I181" s="333"/>
    </row>
    <row r="182" spans="9:9" ht="12.75" x14ac:dyDescent="0.2">
      <c r="I182" s="333"/>
    </row>
    <row r="183" spans="9:9" ht="12.75" x14ac:dyDescent="0.2">
      <c r="I183" s="333"/>
    </row>
    <row r="184" spans="9:9" ht="12.75" x14ac:dyDescent="0.2">
      <c r="I184" s="333"/>
    </row>
    <row r="185" spans="9:9" ht="12.75" x14ac:dyDescent="0.2">
      <c r="I185" s="333"/>
    </row>
    <row r="186" spans="9:9" ht="12.75" x14ac:dyDescent="0.2">
      <c r="I186" s="333"/>
    </row>
    <row r="187" spans="9:9" ht="12.75" x14ac:dyDescent="0.2">
      <c r="I187" s="333"/>
    </row>
    <row r="188" spans="9:9" ht="12.75" x14ac:dyDescent="0.2">
      <c r="I188" s="333"/>
    </row>
    <row r="189" spans="9:9" ht="12.75" x14ac:dyDescent="0.2">
      <c r="I189" s="333"/>
    </row>
    <row r="190" spans="9:9" ht="12.75" x14ac:dyDescent="0.2">
      <c r="I190" s="333"/>
    </row>
    <row r="191" spans="9:9" ht="12.75" x14ac:dyDescent="0.2">
      <c r="I191" s="333"/>
    </row>
    <row r="192" spans="9:9" ht="12.75" x14ac:dyDescent="0.2">
      <c r="I192" s="333"/>
    </row>
    <row r="193" spans="9:9" ht="12.75" x14ac:dyDescent="0.2">
      <c r="I193" s="333"/>
    </row>
    <row r="194" spans="9:9" ht="12.75" x14ac:dyDescent="0.2">
      <c r="I194" s="333"/>
    </row>
    <row r="195" spans="9:9" ht="12.75" x14ac:dyDescent="0.2">
      <c r="I195" s="333"/>
    </row>
    <row r="196" spans="9:9" ht="12.75" x14ac:dyDescent="0.2">
      <c r="I196" s="333"/>
    </row>
    <row r="197" spans="9:9" ht="12.75" x14ac:dyDescent="0.2">
      <c r="I197" s="333"/>
    </row>
    <row r="198" spans="9:9" ht="12.75" x14ac:dyDescent="0.2">
      <c r="I198" s="333"/>
    </row>
    <row r="199" spans="9:9" ht="12.75" x14ac:dyDescent="0.2">
      <c r="I199" s="333"/>
    </row>
    <row r="200" spans="9:9" ht="12.75" x14ac:dyDescent="0.2">
      <c r="I200" s="333"/>
    </row>
    <row r="201" spans="9:9" ht="12.75" x14ac:dyDescent="0.2">
      <c r="I201" s="333"/>
    </row>
    <row r="202" spans="9:9" ht="12.75" x14ac:dyDescent="0.2">
      <c r="I202" s="333"/>
    </row>
    <row r="203" spans="9:9" ht="12.75" x14ac:dyDescent="0.2">
      <c r="I203" s="333"/>
    </row>
    <row r="204" spans="9:9" ht="12.75" x14ac:dyDescent="0.2">
      <c r="I204" s="333"/>
    </row>
    <row r="205" spans="9:9" ht="12.75" x14ac:dyDescent="0.2">
      <c r="I205" s="333"/>
    </row>
    <row r="206" spans="9:9" ht="12.75" x14ac:dyDescent="0.2">
      <c r="I206" s="333"/>
    </row>
    <row r="207" spans="9:9" ht="12.75" x14ac:dyDescent="0.2">
      <c r="I207" s="333"/>
    </row>
    <row r="208" spans="9:9" ht="12.75" x14ac:dyDescent="0.2">
      <c r="I208" s="333"/>
    </row>
    <row r="209" spans="9:9" ht="12.75" x14ac:dyDescent="0.2">
      <c r="I209" s="333"/>
    </row>
    <row r="210" spans="9:9" ht="12.75" x14ac:dyDescent="0.2">
      <c r="I210" s="333"/>
    </row>
    <row r="211" spans="9:9" ht="12.75" x14ac:dyDescent="0.2">
      <c r="I211" s="333"/>
    </row>
    <row r="212" spans="9:9" ht="12.75" x14ac:dyDescent="0.2">
      <c r="I212" s="333"/>
    </row>
    <row r="213" spans="9:9" ht="12.75" x14ac:dyDescent="0.2">
      <c r="I213" s="333"/>
    </row>
    <row r="214" spans="9:9" ht="12.75" x14ac:dyDescent="0.2">
      <c r="I214" s="333"/>
    </row>
    <row r="215" spans="9:9" ht="12.75" x14ac:dyDescent="0.2">
      <c r="I215" s="333"/>
    </row>
    <row r="216" spans="9:9" ht="12.75" x14ac:dyDescent="0.2">
      <c r="I216" s="333"/>
    </row>
    <row r="217" spans="9:9" ht="12.75" x14ac:dyDescent="0.2">
      <c r="I217" s="333"/>
    </row>
    <row r="218" spans="9:9" ht="12.75" x14ac:dyDescent="0.2">
      <c r="I218" s="333"/>
    </row>
    <row r="219" spans="9:9" ht="12.75" x14ac:dyDescent="0.2">
      <c r="I219" s="333"/>
    </row>
    <row r="220" spans="9:9" ht="12.75" x14ac:dyDescent="0.2">
      <c r="I220" s="333"/>
    </row>
    <row r="221" spans="9:9" ht="12.75" x14ac:dyDescent="0.2">
      <c r="I221" s="333"/>
    </row>
    <row r="222" spans="9:9" ht="12.75" x14ac:dyDescent="0.2">
      <c r="I222" s="333"/>
    </row>
    <row r="223" spans="9:9" ht="12.75" x14ac:dyDescent="0.2">
      <c r="I223" s="333"/>
    </row>
    <row r="224" spans="9:9" ht="12.75" x14ac:dyDescent="0.2">
      <c r="I224" s="333"/>
    </row>
    <row r="225" spans="9:9" ht="12.75" x14ac:dyDescent="0.2">
      <c r="I225" s="333"/>
    </row>
    <row r="226" spans="9:9" ht="12.75" x14ac:dyDescent="0.2">
      <c r="I226" s="333"/>
    </row>
    <row r="227" spans="9:9" ht="12.75" x14ac:dyDescent="0.2">
      <c r="I227" s="333"/>
    </row>
    <row r="228" spans="9:9" ht="12.75" x14ac:dyDescent="0.2">
      <c r="I228" s="333"/>
    </row>
    <row r="229" spans="9:9" ht="12.75" x14ac:dyDescent="0.2">
      <c r="I229" s="333"/>
    </row>
    <row r="230" spans="9:9" ht="12.75" x14ac:dyDescent="0.2">
      <c r="I230" s="333"/>
    </row>
    <row r="231" spans="9:9" ht="12.75" x14ac:dyDescent="0.2">
      <c r="I231" s="333"/>
    </row>
    <row r="232" spans="9:9" ht="12.75" x14ac:dyDescent="0.2">
      <c r="I232" s="333"/>
    </row>
    <row r="233" spans="9:9" ht="12.75" x14ac:dyDescent="0.2">
      <c r="I233" s="333"/>
    </row>
    <row r="234" spans="9:9" ht="12.75" x14ac:dyDescent="0.2">
      <c r="I234" s="333"/>
    </row>
    <row r="235" spans="9:9" ht="12.75" x14ac:dyDescent="0.2">
      <c r="I235" s="333"/>
    </row>
    <row r="236" spans="9:9" ht="12.75" x14ac:dyDescent="0.2">
      <c r="I236" s="333"/>
    </row>
    <row r="237" spans="9:9" ht="12.75" x14ac:dyDescent="0.2">
      <c r="I237" s="333"/>
    </row>
    <row r="238" spans="9:9" ht="12.75" x14ac:dyDescent="0.2">
      <c r="I238" s="333"/>
    </row>
    <row r="239" spans="9:9" ht="12.75" x14ac:dyDescent="0.2">
      <c r="I239" s="333"/>
    </row>
    <row r="240" spans="9:9" ht="12.75" x14ac:dyDescent="0.2">
      <c r="I240" s="333"/>
    </row>
    <row r="241" spans="9:9" ht="12.75" x14ac:dyDescent="0.2">
      <c r="I241" s="333"/>
    </row>
    <row r="242" spans="9:9" ht="12.75" x14ac:dyDescent="0.2">
      <c r="I242" s="333"/>
    </row>
    <row r="243" spans="9:9" ht="12.75" x14ac:dyDescent="0.2">
      <c r="I243" s="333"/>
    </row>
    <row r="244" spans="9:9" ht="12.75" x14ac:dyDescent="0.2">
      <c r="I244" s="333"/>
    </row>
    <row r="245" spans="9:9" ht="12.75" x14ac:dyDescent="0.2">
      <c r="I245" s="333"/>
    </row>
    <row r="246" spans="9:9" ht="12.75" x14ac:dyDescent="0.2">
      <c r="I246" s="333"/>
    </row>
    <row r="247" spans="9:9" ht="12.75" x14ac:dyDescent="0.2">
      <c r="I247" s="333"/>
    </row>
    <row r="248" spans="9:9" ht="12.75" x14ac:dyDescent="0.2">
      <c r="I248" s="333"/>
    </row>
    <row r="249" spans="9:9" ht="12.75" x14ac:dyDescent="0.2">
      <c r="I249" s="333"/>
    </row>
    <row r="250" spans="9:9" ht="12.75" x14ac:dyDescent="0.2">
      <c r="I250" s="333"/>
    </row>
    <row r="251" spans="9:9" ht="12.75" x14ac:dyDescent="0.2">
      <c r="I251" s="333"/>
    </row>
    <row r="252" spans="9:9" ht="12.75" x14ac:dyDescent="0.2">
      <c r="I252" s="333"/>
    </row>
    <row r="253" spans="9:9" ht="12.75" x14ac:dyDescent="0.2">
      <c r="I253" s="333"/>
    </row>
    <row r="254" spans="9:9" ht="12.75" x14ac:dyDescent="0.2">
      <c r="I254" s="333"/>
    </row>
    <row r="255" spans="9:9" ht="12.75" x14ac:dyDescent="0.2">
      <c r="I255" s="333"/>
    </row>
    <row r="256" spans="9:9" ht="12.75" x14ac:dyDescent="0.2">
      <c r="I256" s="333"/>
    </row>
    <row r="257" spans="9:9" ht="12.75" x14ac:dyDescent="0.2">
      <c r="I257" s="333"/>
    </row>
    <row r="258" spans="9:9" ht="12.75" x14ac:dyDescent="0.2">
      <c r="I258" s="333"/>
    </row>
    <row r="259" spans="9:9" ht="12.75" x14ac:dyDescent="0.2">
      <c r="I259" s="333"/>
    </row>
    <row r="260" spans="9:9" ht="12.75" x14ac:dyDescent="0.2">
      <c r="I260" s="333"/>
    </row>
    <row r="261" spans="9:9" ht="12.75" x14ac:dyDescent="0.2">
      <c r="I261" s="333"/>
    </row>
    <row r="262" spans="9:9" ht="12.75" x14ac:dyDescent="0.2">
      <c r="I262" s="333"/>
    </row>
    <row r="263" spans="9:9" ht="12.75" x14ac:dyDescent="0.2">
      <c r="I263" s="333"/>
    </row>
    <row r="264" spans="9:9" ht="12.75" x14ac:dyDescent="0.2">
      <c r="I264" s="333"/>
    </row>
    <row r="265" spans="9:9" ht="12.75" x14ac:dyDescent="0.2">
      <c r="I265" s="333"/>
    </row>
    <row r="266" spans="9:9" ht="12.75" x14ac:dyDescent="0.2">
      <c r="I266" s="333"/>
    </row>
    <row r="267" spans="9:9" ht="12.75" x14ac:dyDescent="0.2">
      <c r="I267" s="333"/>
    </row>
    <row r="268" spans="9:9" ht="12.75" x14ac:dyDescent="0.2">
      <c r="I268" s="333"/>
    </row>
    <row r="269" spans="9:9" ht="12.75" x14ac:dyDescent="0.2">
      <c r="I269" s="333"/>
    </row>
    <row r="270" spans="9:9" ht="12.75" x14ac:dyDescent="0.2">
      <c r="I270" s="333"/>
    </row>
    <row r="271" spans="9:9" ht="12.75" x14ac:dyDescent="0.2">
      <c r="I271" s="333"/>
    </row>
    <row r="272" spans="9:9" ht="12.75" x14ac:dyDescent="0.2">
      <c r="I272" s="333"/>
    </row>
    <row r="273" spans="9:9" ht="12.75" x14ac:dyDescent="0.2">
      <c r="I273" s="333"/>
    </row>
    <row r="274" spans="9:9" ht="12.75" x14ac:dyDescent="0.2">
      <c r="I274" s="333"/>
    </row>
    <row r="275" spans="9:9" ht="12.75" x14ac:dyDescent="0.2">
      <c r="I275" s="333"/>
    </row>
    <row r="276" spans="9:9" ht="12.75" x14ac:dyDescent="0.2">
      <c r="I276" s="333"/>
    </row>
    <row r="277" spans="9:9" ht="12.75" x14ac:dyDescent="0.2">
      <c r="I277" s="333"/>
    </row>
    <row r="278" spans="9:9" ht="12.75" x14ac:dyDescent="0.2">
      <c r="I278" s="333"/>
    </row>
    <row r="279" spans="9:9" ht="12.75" x14ac:dyDescent="0.2">
      <c r="I279" s="333"/>
    </row>
    <row r="280" spans="9:9" ht="12.75" x14ac:dyDescent="0.2">
      <c r="I280" s="333"/>
    </row>
    <row r="281" spans="9:9" ht="12.75" x14ac:dyDescent="0.2">
      <c r="I281" s="333"/>
    </row>
    <row r="282" spans="9:9" ht="12.75" x14ac:dyDescent="0.2">
      <c r="I282" s="333"/>
    </row>
    <row r="283" spans="9:9" ht="12.75" x14ac:dyDescent="0.2">
      <c r="I283" s="333"/>
    </row>
    <row r="284" spans="9:9" ht="12.75" x14ac:dyDescent="0.2">
      <c r="I284" s="333"/>
    </row>
    <row r="285" spans="9:9" ht="12.75" x14ac:dyDescent="0.2">
      <c r="I285" s="333"/>
    </row>
    <row r="286" spans="9:9" ht="12.75" x14ac:dyDescent="0.2">
      <c r="I286" s="333"/>
    </row>
    <row r="287" spans="9:9" ht="12.75" x14ac:dyDescent="0.2">
      <c r="I287" s="333"/>
    </row>
    <row r="288" spans="9:9" ht="12.75" x14ac:dyDescent="0.2">
      <c r="I288" s="333"/>
    </row>
    <row r="289" spans="9:9" ht="12.75" x14ac:dyDescent="0.2">
      <c r="I289" s="333"/>
    </row>
    <row r="290" spans="9:9" ht="12.75" x14ac:dyDescent="0.2">
      <c r="I290" s="333"/>
    </row>
    <row r="291" spans="9:9" ht="12.75" x14ac:dyDescent="0.2">
      <c r="I291" s="333"/>
    </row>
    <row r="292" spans="9:9" ht="12.75" x14ac:dyDescent="0.2">
      <c r="I292" s="333"/>
    </row>
    <row r="293" spans="9:9" ht="12.75" x14ac:dyDescent="0.2">
      <c r="I293" s="333"/>
    </row>
    <row r="294" spans="9:9" ht="12.75" x14ac:dyDescent="0.2">
      <c r="I294" s="333"/>
    </row>
    <row r="295" spans="9:9" ht="12.75" x14ac:dyDescent="0.2">
      <c r="I295" s="333"/>
    </row>
    <row r="296" spans="9:9" ht="12.75" x14ac:dyDescent="0.2">
      <c r="I296" s="333"/>
    </row>
    <row r="297" spans="9:9" ht="12.75" x14ac:dyDescent="0.2">
      <c r="I297" s="333"/>
    </row>
    <row r="298" spans="9:9" ht="12.75" x14ac:dyDescent="0.2">
      <c r="I298" s="333"/>
    </row>
    <row r="299" spans="9:9" ht="12.75" x14ac:dyDescent="0.2">
      <c r="I299" s="333"/>
    </row>
    <row r="300" spans="9:9" ht="12.75" x14ac:dyDescent="0.2">
      <c r="I300" s="333"/>
    </row>
    <row r="301" spans="9:9" ht="12.75" x14ac:dyDescent="0.2">
      <c r="I301" s="333"/>
    </row>
    <row r="302" spans="9:9" ht="12.75" x14ac:dyDescent="0.2">
      <c r="I302" s="333"/>
    </row>
    <row r="303" spans="9:9" ht="12.75" x14ac:dyDescent="0.2">
      <c r="I303" s="333"/>
    </row>
    <row r="304" spans="9:9" ht="12.75" x14ac:dyDescent="0.2">
      <c r="I304" s="333"/>
    </row>
    <row r="305" spans="9:9" ht="12.75" x14ac:dyDescent="0.2">
      <c r="I305" s="333"/>
    </row>
    <row r="306" spans="9:9" ht="12.75" x14ac:dyDescent="0.2">
      <c r="I306" s="333"/>
    </row>
    <row r="307" spans="9:9" ht="12.75" x14ac:dyDescent="0.2">
      <c r="I307" s="333"/>
    </row>
    <row r="308" spans="9:9" ht="12.75" x14ac:dyDescent="0.2">
      <c r="I308" s="333"/>
    </row>
    <row r="309" spans="9:9" ht="12.75" x14ac:dyDescent="0.2">
      <c r="I309" s="333"/>
    </row>
    <row r="310" spans="9:9" ht="12.75" x14ac:dyDescent="0.2">
      <c r="I310" s="333"/>
    </row>
    <row r="311" spans="9:9" ht="12.75" x14ac:dyDescent="0.2">
      <c r="I311" s="333"/>
    </row>
    <row r="312" spans="9:9" ht="12.75" x14ac:dyDescent="0.2">
      <c r="I312" s="333"/>
    </row>
    <row r="313" spans="9:9" ht="12.75" x14ac:dyDescent="0.2">
      <c r="I313" s="333"/>
    </row>
    <row r="314" spans="9:9" ht="12.75" x14ac:dyDescent="0.2">
      <c r="I314" s="333"/>
    </row>
    <row r="315" spans="9:9" ht="12.75" x14ac:dyDescent="0.2">
      <c r="I315" s="333"/>
    </row>
    <row r="316" spans="9:9" ht="12.75" x14ac:dyDescent="0.2">
      <c r="I316" s="333"/>
    </row>
    <row r="317" spans="9:9" ht="12.75" x14ac:dyDescent="0.2">
      <c r="I317" s="333"/>
    </row>
    <row r="318" spans="9:9" ht="12.75" x14ac:dyDescent="0.2">
      <c r="I318" s="333"/>
    </row>
    <row r="319" spans="9:9" ht="12.75" x14ac:dyDescent="0.2">
      <c r="I319" s="333"/>
    </row>
    <row r="320" spans="9:9" ht="12.75" x14ac:dyDescent="0.2">
      <c r="I320" s="333"/>
    </row>
    <row r="321" spans="9:9" ht="12.75" x14ac:dyDescent="0.2">
      <c r="I321" s="333"/>
    </row>
    <row r="322" spans="9:9" ht="12.75" x14ac:dyDescent="0.2">
      <c r="I322" s="333"/>
    </row>
    <row r="323" spans="9:9" ht="12.75" x14ac:dyDescent="0.2">
      <c r="I323" s="333"/>
    </row>
    <row r="324" spans="9:9" ht="12.75" x14ac:dyDescent="0.2">
      <c r="I324" s="333"/>
    </row>
    <row r="325" spans="9:9" ht="12.75" x14ac:dyDescent="0.2">
      <c r="I325" s="333"/>
    </row>
    <row r="326" spans="9:9" ht="12.75" x14ac:dyDescent="0.2">
      <c r="I326" s="333"/>
    </row>
    <row r="327" spans="9:9" ht="12.75" x14ac:dyDescent="0.2">
      <c r="I327" s="333"/>
    </row>
    <row r="328" spans="9:9" ht="12.75" x14ac:dyDescent="0.2">
      <c r="I328" s="333"/>
    </row>
    <row r="329" spans="9:9" ht="12.75" x14ac:dyDescent="0.2">
      <c r="I329" s="333"/>
    </row>
    <row r="330" spans="9:9" ht="12.75" x14ac:dyDescent="0.2">
      <c r="I330" s="333"/>
    </row>
    <row r="331" spans="9:9" ht="12.75" x14ac:dyDescent="0.2">
      <c r="I331" s="333"/>
    </row>
    <row r="332" spans="9:9" ht="12.75" x14ac:dyDescent="0.2">
      <c r="I332" s="333"/>
    </row>
    <row r="333" spans="9:9" ht="12.75" x14ac:dyDescent="0.2">
      <c r="I333" s="333"/>
    </row>
    <row r="334" spans="9:9" ht="12.75" x14ac:dyDescent="0.2">
      <c r="I334" s="333"/>
    </row>
    <row r="335" spans="9:9" ht="12.75" x14ac:dyDescent="0.2">
      <c r="I335" s="333"/>
    </row>
    <row r="336" spans="9:9" ht="12.75" x14ac:dyDescent="0.2">
      <c r="I336" s="333"/>
    </row>
    <row r="337" spans="9:9" ht="12.75" x14ac:dyDescent="0.2">
      <c r="I337" s="333"/>
    </row>
    <row r="338" spans="9:9" ht="12.75" x14ac:dyDescent="0.2">
      <c r="I338" s="333"/>
    </row>
    <row r="339" spans="9:9" ht="12.75" x14ac:dyDescent="0.2">
      <c r="I339" s="333"/>
    </row>
    <row r="340" spans="9:9" ht="12.75" x14ac:dyDescent="0.2">
      <c r="I340" s="333"/>
    </row>
    <row r="341" spans="9:9" ht="12.75" x14ac:dyDescent="0.2">
      <c r="I341" s="333"/>
    </row>
    <row r="342" spans="9:9" ht="12.75" x14ac:dyDescent="0.2">
      <c r="I342" s="333"/>
    </row>
    <row r="343" spans="9:9" ht="12.75" x14ac:dyDescent="0.2">
      <c r="I343" s="333"/>
    </row>
    <row r="344" spans="9:9" ht="12.75" x14ac:dyDescent="0.2">
      <c r="I344" s="333"/>
    </row>
    <row r="345" spans="9:9" ht="12.75" x14ac:dyDescent="0.2">
      <c r="I345" s="333"/>
    </row>
    <row r="346" spans="9:9" ht="12.75" x14ac:dyDescent="0.2">
      <c r="I346" s="333"/>
    </row>
    <row r="347" spans="9:9" ht="12.75" x14ac:dyDescent="0.2">
      <c r="I347" s="333"/>
    </row>
    <row r="348" spans="9:9" ht="12.75" x14ac:dyDescent="0.2">
      <c r="I348" s="333"/>
    </row>
    <row r="349" spans="9:9" ht="12.75" x14ac:dyDescent="0.2">
      <c r="I349" s="333"/>
    </row>
    <row r="350" spans="9:9" ht="12.75" x14ac:dyDescent="0.2">
      <c r="I350" s="333"/>
    </row>
    <row r="351" spans="9:9" ht="12.75" x14ac:dyDescent="0.2">
      <c r="I351" s="333"/>
    </row>
    <row r="352" spans="9:9" ht="12.75" x14ac:dyDescent="0.2">
      <c r="I352" s="333"/>
    </row>
    <row r="353" spans="9:9" ht="12.75" x14ac:dyDescent="0.2">
      <c r="I353" s="333"/>
    </row>
    <row r="354" spans="9:9" ht="12.75" x14ac:dyDescent="0.2">
      <c r="I354" s="333"/>
    </row>
    <row r="355" spans="9:9" ht="12.75" x14ac:dyDescent="0.2">
      <c r="I355" s="333"/>
    </row>
    <row r="356" spans="9:9" ht="12.75" x14ac:dyDescent="0.2">
      <c r="I356" s="333"/>
    </row>
    <row r="357" spans="9:9" ht="12.75" x14ac:dyDescent="0.2">
      <c r="I357" s="333"/>
    </row>
    <row r="358" spans="9:9" ht="12.75" x14ac:dyDescent="0.2">
      <c r="I358" s="333"/>
    </row>
    <row r="359" spans="9:9" ht="12.75" x14ac:dyDescent="0.2">
      <c r="I359" s="333"/>
    </row>
    <row r="360" spans="9:9" ht="12.75" x14ac:dyDescent="0.2">
      <c r="I360" s="333"/>
    </row>
    <row r="361" spans="9:9" ht="12.75" x14ac:dyDescent="0.2">
      <c r="I361" s="333"/>
    </row>
    <row r="362" spans="9:9" ht="12.75" x14ac:dyDescent="0.2">
      <c r="I362" s="333"/>
    </row>
    <row r="363" spans="9:9" ht="12.75" x14ac:dyDescent="0.2">
      <c r="I363" s="333"/>
    </row>
    <row r="364" spans="9:9" ht="12.75" x14ac:dyDescent="0.2">
      <c r="I364" s="333"/>
    </row>
    <row r="365" spans="9:9" ht="12.75" x14ac:dyDescent="0.2">
      <c r="I365" s="333"/>
    </row>
    <row r="366" spans="9:9" ht="12.75" x14ac:dyDescent="0.2">
      <c r="I366" s="333"/>
    </row>
    <row r="367" spans="9:9" ht="12.75" x14ac:dyDescent="0.2">
      <c r="I367" s="333"/>
    </row>
    <row r="368" spans="9:9" ht="12.75" x14ac:dyDescent="0.2">
      <c r="I368" s="333"/>
    </row>
    <row r="369" spans="9:9" ht="12.75" x14ac:dyDescent="0.2">
      <c r="I369" s="333"/>
    </row>
    <row r="370" spans="9:9" ht="12.75" x14ac:dyDescent="0.2">
      <c r="I370" s="333"/>
    </row>
    <row r="371" spans="9:9" ht="12.75" x14ac:dyDescent="0.2">
      <c r="I371" s="333"/>
    </row>
    <row r="372" spans="9:9" ht="12.75" x14ac:dyDescent="0.2">
      <c r="I372" s="333"/>
    </row>
    <row r="373" spans="9:9" ht="12.75" x14ac:dyDescent="0.2">
      <c r="I373" s="333"/>
    </row>
    <row r="374" spans="9:9" ht="12.75" x14ac:dyDescent="0.2">
      <c r="I374" s="333"/>
    </row>
    <row r="375" spans="9:9" ht="12.75" x14ac:dyDescent="0.2">
      <c r="I375" s="333"/>
    </row>
    <row r="376" spans="9:9" ht="12.75" x14ac:dyDescent="0.2">
      <c r="I376" s="333"/>
    </row>
    <row r="377" spans="9:9" ht="12.75" x14ac:dyDescent="0.2">
      <c r="I377" s="333"/>
    </row>
    <row r="378" spans="9:9" ht="12.75" x14ac:dyDescent="0.2">
      <c r="I378" s="333"/>
    </row>
    <row r="379" spans="9:9" ht="12.75" x14ac:dyDescent="0.2">
      <c r="I379" s="333"/>
    </row>
    <row r="380" spans="9:9" ht="12.75" x14ac:dyDescent="0.2">
      <c r="I380" s="333"/>
    </row>
    <row r="381" spans="9:9" ht="12.75" x14ac:dyDescent="0.2">
      <c r="I381" s="333"/>
    </row>
    <row r="382" spans="9:9" ht="12.75" x14ac:dyDescent="0.2">
      <c r="I382" s="333"/>
    </row>
    <row r="383" spans="9:9" ht="12.75" x14ac:dyDescent="0.2">
      <c r="I383" s="333"/>
    </row>
    <row r="384" spans="9:9" ht="12.75" x14ac:dyDescent="0.2">
      <c r="I384" s="333"/>
    </row>
    <row r="385" spans="9:9" ht="12.75" x14ac:dyDescent="0.2">
      <c r="I385" s="333"/>
    </row>
    <row r="386" spans="9:9" ht="12.75" x14ac:dyDescent="0.2">
      <c r="I386" s="333"/>
    </row>
    <row r="387" spans="9:9" ht="12.75" x14ac:dyDescent="0.2">
      <c r="I387" s="333"/>
    </row>
    <row r="388" spans="9:9" ht="12.75" x14ac:dyDescent="0.2">
      <c r="I388" s="333"/>
    </row>
    <row r="389" spans="9:9" ht="12.75" x14ac:dyDescent="0.2">
      <c r="I389" s="333"/>
    </row>
    <row r="390" spans="9:9" ht="12.75" x14ac:dyDescent="0.2">
      <c r="I390" s="333"/>
    </row>
    <row r="391" spans="9:9" ht="12.75" x14ac:dyDescent="0.2">
      <c r="I391" s="333"/>
    </row>
    <row r="392" spans="9:9" ht="12.75" x14ac:dyDescent="0.2">
      <c r="I392" s="333"/>
    </row>
    <row r="393" spans="9:9" ht="12.75" x14ac:dyDescent="0.2">
      <c r="I393" s="333"/>
    </row>
    <row r="394" spans="9:9" ht="12.75" x14ac:dyDescent="0.2">
      <c r="I394" s="333"/>
    </row>
    <row r="395" spans="9:9" ht="12.75" x14ac:dyDescent="0.2">
      <c r="I395" s="333"/>
    </row>
    <row r="396" spans="9:9" ht="12.75" x14ac:dyDescent="0.2">
      <c r="I396" s="333"/>
    </row>
    <row r="397" spans="9:9" ht="12.75" x14ac:dyDescent="0.2">
      <c r="I397" s="333"/>
    </row>
    <row r="398" spans="9:9" ht="12.75" x14ac:dyDescent="0.2">
      <c r="I398" s="333"/>
    </row>
    <row r="399" spans="9:9" ht="12.75" x14ac:dyDescent="0.2">
      <c r="I399" s="333"/>
    </row>
    <row r="400" spans="9:9" ht="12.75" x14ac:dyDescent="0.2">
      <c r="I400" s="333"/>
    </row>
    <row r="401" spans="9:9" ht="12.75" x14ac:dyDescent="0.2">
      <c r="I401" s="333"/>
    </row>
    <row r="402" spans="9:9" ht="12.75" x14ac:dyDescent="0.2">
      <c r="I402" s="333"/>
    </row>
    <row r="403" spans="9:9" ht="12.75" x14ac:dyDescent="0.2">
      <c r="I403" s="333"/>
    </row>
    <row r="404" spans="9:9" ht="12.75" x14ac:dyDescent="0.2">
      <c r="I404" s="333"/>
    </row>
    <row r="405" spans="9:9" ht="12.75" x14ac:dyDescent="0.2">
      <c r="I405" s="333"/>
    </row>
    <row r="406" spans="9:9" ht="12.75" x14ac:dyDescent="0.2">
      <c r="I406" s="333"/>
    </row>
    <row r="407" spans="9:9" ht="12.75" x14ac:dyDescent="0.2">
      <c r="I407" s="333"/>
    </row>
    <row r="408" spans="9:9" ht="12.75" x14ac:dyDescent="0.2">
      <c r="I408" s="333"/>
    </row>
    <row r="409" spans="9:9" ht="12.75" x14ac:dyDescent="0.2">
      <c r="I409" s="333"/>
    </row>
    <row r="410" spans="9:9" ht="12.75" x14ac:dyDescent="0.2">
      <c r="I410" s="333"/>
    </row>
    <row r="411" spans="9:9" ht="12.75" x14ac:dyDescent="0.2">
      <c r="I411" s="333"/>
    </row>
    <row r="412" spans="9:9" ht="12.75" x14ac:dyDescent="0.2">
      <c r="I412" s="333"/>
    </row>
    <row r="413" spans="9:9" ht="12.75" x14ac:dyDescent="0.2">
      <c r="I413" s="333"/>
    </row>
    <row r="414" spans="9:9" ht="12.75" x14ac:dyDescent="0.2">
      <c r="I414" s="333"/>
    </row>
    <row r="415" spans="9:9" ht="12.75" x14ac:dyDescent="0.2">
      <c r="I415" s="333"/>
    </row>
    <row r="416" spans="9:9" ht="12.75" x14ac:dyDescent="0.2">
      <c r="I416" s="333"/>
    </row>
    <row r="417" spans="9:9" ht="12.75" x14ac:dyDescent="0.2">
      <c r="I417" s="333"/>
    </row>
    <row r="418" spans="9:9" ht="12.75" x14ac:dyDescent="0.2">
      <c r="I418" s="333"/>
    </row>
    <row r="419" spans="9:9" ht="12.75" x14ac:dyDescent="0.2">
      <c r="I419" s="333"/>
    </row>
    <row r="420" spans="9:9" ht="12.75" x14ac:dyDescent="0.2">
      <c r="I420" s="333"/>
    </row>
    <row r="421" spans="9:9" ht="12.75" x14ac:dyDescent="0.2">
      <c r="I421" s="333"/>
    </row>
    <row r="422" spans="9:9" ht="12.75" x14ac:dyDescent="0.2">
      <c r="I422" s="333"/>
    </row>
    <row r="423" spans="9:9" ht="12.75" x14ac:dyDescent="0.2">
      <c r="I423" s="333"/>
    </row>
    <row r="424" spans="9:9" ht="12.75" x14ac:dyDescent="0.2">
      <c r="I424" s="333"/>
    </row>
    <row r="425" spans="9:9" ht="12.75" x14ac:dyDescent="0.2">
      <c r="I425" s="333"/>
    </row>
    <row r="426" spans="9:9" ht="12.75" x14ac:dyDescent="0.2">
      <c r="I426" s="333"/>
    </row>
    <row r="427" spans="9:9" ht="12.75" x14ac:dyDescent="0.2">
      <c r="I427" s="333"/>
    </row>
    <row r="428" spans="9:9" ht="12.75" x14ac:dyDescent="0.2">
      <c r="I428" s="333"/>
    </row>
    <row r="429" spans="9:9" ht="12.75" x14ac:dyDescent="0.2">
      <c r="I429" s="333"/>
    </row>
    <row r="430" spans="9:9" ht="12.75" x14ac:dyDescent="0.2">
      <c r="I430" s="333"/>
    </row>
    <row r="431" spans="9:9" ht="12.75" x14ac:dyDescent="0.2">
      <c r="I431" s="333"/>
    </row>
    <row r="432" spans="9:9" ht="12.75" x14ac:dyDescent="0.2">
      <c r="I432" s="333"/>
    </row>
    <row r="433" spans="9:9" ht="12.75" x14ac:dyDescent="0.2">
      <c r="I433" s="333"/>
    </row>
    <row r="434" spans="9:9" ht="12.75" x14ac:dyDescent="0.2">
      <c r="I434" s="333"/>
    </row>
    <row r="435" spans="9:9" ht="12.75" x14ac:dyDescent="0.2">
      <c r="I435" s="333"/>
    </row>
    <row r="436" spans="9:9" ht="12.75" x14ac:dyDescent="0.2">
      <c r="I436" s="333"/>
    </row>
    <row r="437" spans="9:9" ht="12.75" x14ac:dyDescent="0.2">
      <c r="I437" s="333"/>
    </row>
    <row r="438" spans="9:9" ht="12.75" x14ac:dyDescent="0.2">
      <c r="I438" s="333"/>
    </row>
    <row r="439" spans="9:9" ht="12.75" x14ac:dyDescent="0.2">
      <c r="I439" s="333"/>
    </row>
    <row r="440" spans="9:9" ht="12.75" x14ac:dyDescent="0.2">
      <c r="I440" s="333"/>
    </row>
    <row r="441" spans="9:9" ht="12.75" x14ac:dyDescent="0.2">
      <c r="I441" s="333"/>
    </row>
    <row r="442" spans="9:9" ht="12.75" x14ac:dyDescent="0.2">
      <c r="I442" s="333"/>
    </row>
    <row r="443" spans="9:9" ht="12.75" x14ac:dyDescent="0.2">
      <c r="I443" s="333"/>
    </row>
    <row r="444" spans="9:9" ht="12.75" x14ac:dyDescent="0.2">
      <c r="I444" s="333"/>
    </row>
    <row r="445" spans="9:9" ht="12.75" x14ac:dyDescent="0.2">
      <c r="I445" s="333"/>
    </row>
    <row r="446" spans="9:9" ht="12.75" x14ac:dyDescent="0.2">
      <c r="I446" s="333"/>
    </row>
    <row r="447" spans="9:9" ht="12.75" x14ac:dyDescent="0.2">
      <c r="I447" s="333"/>
    </row>
    <row r="448" spans="9:9" ht="12.75" x14ac:dyDescent="0.2">
      <c r="I448" s="333"/>
    </row>
    <row r="449" spans="9:9" ht="12.75" x14ac:dyDescent="0.2">
      <c r="I449" s="333"/>
    </row>
    <row r="450" spans="9:9" ht="12.75" x14ac:dyDescent="0.2">
      <c r="I450" s="333"/>
    </row>
    <row r="451" spans="9:9" ht="12.75" x14ac:dyDescent="0.2">
      <c r="I451" s="333"/>
    </row>
    <row r="452" spans="9:9" ht="12.75" x14ac:dyDescent="0.2">
      <c r="I452" s="333"/>
    </row>
    <row r="453" spans="9:9" ht="12.75" x14ac:dyDescent="0.2">
      <c r="I453" s="333"/>
    </row>
    <row r="454" spans="9:9" ht="12.75" x14ac:dyDescent="0.2">
      <c r="I454" s="333"/>
    </row>
    <row r="455" spans="9:9" ht="12.75" x14ac:dyDescent="0.2">
      <c r="I455" s="333"/>
    </row>
    <row r="456" spans="9:9" ht="12.75" x14ac:dyDescent="0.2">
      <c r="I456" s="333"/>
    </row>
    <row r="457" spans="9:9" ht="12.75" x14ac:dyDescent="0.2">
      <c r="I457" s="333"/>
    </row>
    <row r="458" spans="9:9" ht="12.75" x14ac:dyDescent="0.2">
      <c r="I458" s="333"/>
    </row>
    <row r="459" spans="9:9" ht="12.75" x14ac:dyDescent="0.2">
      <c r="I459" s="333"/>
    </row>
    <row r="460" spans="9:9" ht="12.75" x14ac:dyDescent="0.2">
      <c r="I460" s="333"/>
    </row>
    <row r="461" spans="9:9" ht="12.75" x14ac:dyDescent="0.2">
      <c r="I461" s="333"/>
    </row>
    <row r="462" spans="9:9" ht="12.75" x14ac:dyDescent="0.2">
      <c r="I462" s="333"/>
    </row>
    <row r="463" spans="9:9" ht="12.75" x14ac:dyDescent="0.2">
      <c r="I463" s="333"/>
    </row>
    <row r="464" spans="9:9" ht="12.75" x14ac:dyDescent="0.2">
      <c r="I464" s="333"/>
    </row>
    <row r="465" spans="9:9" ht="12.75" x14ac:dyDescent="0.2">
      <c r="I465" s="333"/>
    </row>
    <row r="466" spans="9:9" ht="12.75" x14ac:dyDescent="0.2">
      <c r="I466" s="333"/>
    </row>
    <row r="467" spans="9:9" ht="12.75" x14ac:dyDescent="0.2">
      <c r="I467" s="333"/>
    </row>
    <row r="468" spans="9:9" ht="12.75" x14ac:dyDescent="0.2">
      <c r="I468" s="333"/>
    </row>
    <row r="469" spans="9:9" ht="12.75" x14ac:dyDescent="0.2">
      <c r="I469" s="333"/>
    </row>
    <row r="470" spans="9:9" ht="12.75" x14ac:dyDescent="0.2">
      <c r="I470" s="333"/>
    </row>
    <row r="471" spans="9:9" ht="12.75" x14ac:dyDescent="0.2">
      <c r="I471" s="333"/>
    </row>
    <row r="472" spans="9:9" ht="12.75" x14ac:dyDescent="0.2">
      <c r="I472" s="333"/>
    </row>
    <row r="473" spans="9:9" ht="12.75" x14ac:dyDescent="0.2">
      <c r="I473" s="333"/>
    </row>
    <row r="474" spans="9:9" ht="12.75" x14ac:dyDescent="0.2">
      <c r="I474" s="333"/>
    </row>
    <row r="475" spans="9:9" ht="12.75" x14ac:dyDescent="0.2">
      <c r="I475" s="333"/>
    </row>
    <row r="476" spans="9:9" ht="12.75" x14ac:dyDescent="0.2">
      <c r="I476" s="333"/>
    </row>
    <row r="477" spans="9:9" ht="12.75" x14ac:dyDescent="0.2">
      <c r="I477" s="333"/>
    </row>
    <row r="478" spans="9:9" ht="12.75" x14ac:dyDescent="0.2">
      <c r="I478" s="333"/>
    </row>
    <row r="479" spans="9:9" ht="12.75" x14ac:dyDescent="0.2">
      <c r="I479" s="333"/>
    </row>
    <row r="480" spans="9:9" ht="12.75" x14ac:dyDescent="0.2">
      <c r="I480" s="333"/>
    </row>
    <row r="481" spans="9:9" ht="12.75" x14ac:dyDescent="0.2">
      <c r="I481" s="333"/>
    </row>
    <row r="482" spans="9:9" ht="12.75" x14ac:dyDescent="0.2">
      <c r="I482" s="333"/>
    </row>
    <row r="483" spans="9:9" ht="12.75" x14ac:dyDescent="0.2">
      <c r="I483" s="333"/>
    </row>
    <row r="484" spans="9:9" ht="12.75" x14ac:dyDescent="0.2">
      <c r="I484" s="333"/>
    </row>
    <row r="485" spans="9:9" ht="12.75" x14ac:dyDescent="0.2">
      <c r="I485" s="333"/>
    </row>
    <row r="486" spans="9:9" ht="12.75" x14ac:dyDescent="0.2">
      <c r="I486" s="333"/>
    </row>
    <row r="487" spans="9:9" ht="12.75" x14ac:dyDescent="0.2">
      <c r="I487" s="333"/>
    </row>
    <row r="488" spans="9:9" ht="12.75" x14ac:dyDescent="0.2">
      <c r="I488" s="333"/>
    </row>
    <row r="489" spans="9:9" ht="12.75" x14ac:dyDescent="0.2">
      <c r="I489" s="333"/>
    </row>
    <row r="490" spans="9:9" ht="12.75" x14ac:dyDescent="0.2">
      <c r="I490" s="333"/>
    </row>
    <row r="491" spans="9:9" ht="12.75" x14ac:dyDescent="0.2">
      <c r="I491" s="333"/>
    </row>
    <row r="492" spans="9:9" ht="12.75" x14ac:dyDescent="0.2">
      <c r="I492" s="333"/>
    </row>
    <row r="493" spans="9:9" ht="12.75" x14ac:dyDescent="0.2">
      <c r="I493" s="333"/>
    </row>
    <row r="494" spans="9:9" ht="12.75" x14ac:dyDescent="0.2">
      <c r="I494" s="333"/>
    </row>
    <row r="495" spans="9:9" ht="12.75" x14ac:dyDescent="0.2">
      <c r="I495" s="333"/>
    </row>
    <row r="496" spans="9:9" ht="12.75" x14ac:dyDescent="0.2">
      <c r="I496" s="333"/>
    </row>
    <row r="497" spans="9:9" ht="12.75" x14ac:dyDescent="0.2">
      <c r="I497" s="333"/>
    </row>
    <row r="498" spans="9:9" ht="12.75" x14ac:dyDescent="0.2">
      <c r="I498" s="333"/>
    </row>
    <row r="499" spans="9:9" ht="12.75" x14ac:dyDescent="0.2">
      <c r="I499" s="333"/>
    </row>
    <row r="500" spans="9:9" ht="12.75" x14ac:dyDescent="0.2">
      <c r="I500" s="333"/>
    </row>
    <row r="501" spans="9:9" ht="12.75" x14ac:dyDescent="0.2">
      <c r="I501" s="333"/>
    </row>
    <row r="502" spans="9:9" ht="12.75" x14ac:dyDescent="0.2">
      <c r="I502" s="333"/>
    </row>
    <row r="503" spans="9:9" ht="12.75" x14ac:dyDescent="0.2">
      <c r="I503" s="333"/>
    </row>
    <row r="504" spans="9:9" ht="12.75" x14ac:dyDescent="0.2">
      <c r="I504" s="333"/>
    </row>
    <row r="505" spans="9:9" ht="12.75" x14ac:dyDescent="0.2">
      <c r="I505" s="333"/>
    </row>
    <row r="506" spans="9:9" ht="12.75" x14ac:dyDescent="0.2">
      <c r="I506" s="333"/>
    </row>
    <row r="507" spans="9:9" ht="12.75" x14ac:dyDescent="0.2">
      <c r="I507" s="333"/>
    </row>
    <row r="508" spans="9:9" ht="12.75" x14ac:dyDescent="0.2">
      <c r="I508" s="333"/>
    </row>
    <row r="509" spans="9:9" ht="12.75" x14ac:dyDescent="0.2">
      <c r="I509" s="333"/>
    </row>
    <row r="510" spans="9:9" ht="12.75" x14ac:dyDescent="0.2">
      <c r="I510" s="333"/>
    </row>
    <row r="511" spans="9:9" ht="12.75" x14ac:dyDescent="0.2">
      <c r="I511" s="333"/>
    </row>
    <row r="512" spans="9:9" ht="12.75" x14ac:dyDescent="0.2">
      <c r="I512" s="333"/>
    </row>
    <row r="513" spans="9:9" ht="12.75" x14ac:dyDescent="0.2">
      <c r="I513" s="333"/>
    </row>
    <row r="514" spans="9:9" ht="12.75" x14ac:dyDescent="0.2">
      <c r="I514" s="333"/>
    </row>
    <row r="515" spans="9:9" ht="12.75" x14ac:dyDescent="0.2">
      <c r="I515" s="333"/>
    </row>
    <row r="516" spans="9:9" ht="12.75" x14ac:dyDescent="0.2">
      <c r="I516" s="333"/>
    </row>
    <row r="517" spans="9:9" ht="12.75" x14ac:dyDescent="0.2">
      <c r="I517" s="333"/>
    </row>
    <row r="518" spans="9:9" ht="12.75" x14ac:dyDescent="0.2">
      <c r="I518" s="333"/>
    </row>
    <row r="519" spans="9:9" ht="12.75" x14ac:dyDescent="0.2">
      <c r="I519" s="333"/>
    </row>
    <row r="520" spans="9:9" ht="12.75" x14ac:dyDescent="0.2">
      <c r="I520" s="333"/>
    </row>
    <row r="521" spans="9:9" ht="12.75" x14ac:dyDescent="0.2">
      <c r="I521" s="333"/>
    </row>
    <row r="522" spans="9:9" ht="12.75" x14ac:dyDescent="0.2">
      <c r="I522" s="333"/>
    </row>
    <row r="523" spans="9:9" ht="12.75" x14ac:dyDescent="0.2">
      <c r="I523" s="333"/>
    </row>
    <row r="524" spans="9:9" ht="12.75" x14ac:dyDescent="0.2">
      <c r="I524" s="333"/>
    </row>
    <row r="525" spans="9:9" ht="12.75" x14ac:dyDescent="0.2">
      <c r="I525" s="333"/>
    </row>
    <row r="526" spans="9:9" ht="12.75" x14ac:dyDescent="0.2">
      <c r="I526" s="333"/>
    </row>
    <row r="527" spans="9:9" ht="12.75" x14ac:dyDescent="0.2">
      <c r="I527" s="333"/>
    </row>
    <row r="528" spans="9:9" ht="12.75" x14ac:dyDescent="0.2">
      <c r="I528" s="333"/>
    </row>
    <row r="529" spans="9:9" ht="12.75" x14ac:dyDescent="0.2">
      <c r="I529" s="333"/>
    </row>
    <row r="530" spans="9:9" ht="12.75" x14ac:dyDescent="0.2">
      <c r="I530" s="333"/>
    </row>
    <row r="531" spans="9:9" ht="12.75" x14ac:dyDescent="0.2">
      <c r="I531" s="333"/>
    </row>
    <row r="532" spans="9:9" ht="12.75" x14ac:dyDescent="0.2">
      <c r="I532" s="333"/>
    </row>
    <row r="533" spans="9:9" ht="12.75" x14ac:dyDescent="0.2">
      <c r="I533" s="333"/>
    </row>
    <row r="534" spans="9:9" ht="12.75" x14ac:dyDescent="0.2">
      <c r="I534" s="333"/>
    </row>
    <row r="535" spans="9:9" ht="12.75" x14ac:dyDescent="0.2">
      <c r="I535" s="333"/>
    </row>
    <row r="536" spans="9:9" ht="12.75" x14ac:dyDescent="0.2">
      <c r="I536" s="333"/>
    </row>
    <row r="537" spans="9:9" ht="12.75" x14ac:dyDescent="0.2">
      <c r="I537" s="333"/>
    </row>
    <row r="538" spans="9:9" ht="12.75" x14ac:dyDescent="0.2">
      <c r="I538" s="333"/>
    </row>
    <row r="539" spans="9:9" ht="12.75" x14ac:dyDescent="0.2">
      <c r="I539" s="333"/>
    </row>
    <row r="540" spans="9:9" ht="12.75" x14ac:dyDescent="0.2">
      <c r="I540" s="333"/>
    </row>
    <row r="541" spans="9:9" ht="12.75" x14ac:dyDescent="0.2">
      <c r="I541" s="333"/>
    </row>
    <row r="542" spans="9:9" ht="12.75" x14ac:dyDescent="0.2">
      <c r="I542" s="333"/>
    </row>
    <row r="543" spans="9:9" ht="12.75" x14ac:dyDescent="0.2">
      <c r="I543" s="333"/>
    </row>
    <row r="544" spans="9:9" ht="12.75" x14ac:dyDescent="0.2">
      <c r="I544" s="333"/>
    </row>
    <row r="545" spans="9:9" ht="12.75" x14ac:dyDescent="0.2">
      <c r="I545" s="333"/>
    </row>
    <row r="546" spans="9:9" ht="12.75" x14ac:dyDescent="0.2">
      <c r="I546" s="333"/>
    </row>
    <row r="547" spans="9:9" ht="12.75" x14ac:dyDescent="0.2">
      <c r="I547" s="333"/>
    </row>
    <row r="548" spans="9:9" ht="12.75" x14ac:dyDescent="0.2">
      <c r="I548" s="333"/>
    </row>
    <row r="549" spans="9:9" ht="12.75" x14ac:dyDescent="0.2">
      <c r="I549" s="333"/>
    </row>
    <row r="550" spans="9:9" ht="12.75" x14ac:dyDescent="0.2">
      <c r="I550" s="333"/>
    </row>
    <row r="551" spans="9:9" ht="12.75" x14ac:dyDescent="0.2">
      <c r="I551" s="333"/>
    </row>
    <row r="552" spans="9:9" ht="12.75" x14ac:dyDescent="0.2">
      <c r="I552" s="333"/>
    </row>
    <row r="553" spans="9:9" ht="12.75" x14ac:dyDescent="0.2">
      <c r="I553" s="333"/>
    </row>
    <row r="554" spans="9:9" ht="12.75" x14ac:dyDescent="0.2">
      <c r="I554" s="333"/>
    </row>
    <row r="555" spans="9:9" ht="12.75" x14ac:dyDescent="0.2">
      <c r="I555" s="333"/>
    </row>
    <row r="556" spans="9:9" ht="12.75" x14ac:dyDescent="0.2">
      <c r="I556" s="333"/>
    </row>
    <row r="557" spans="9:9" ht="12.75" x14ac:dyDescent="0.2">
      <c r="I557" s="333"/>
    </row>
    <row r="558" spans="9:9" ht="12.75" x14ac:dyDescent="0.2">
      <c r="I558" s="333"/>
    </row>
    <row r="559" spans="9:9" ht="12.75" x14ac:dyDescent="0.2">
      <c r="I559" s="333"/>
    </row>
    <row r="560" spans="9:9" ht="12.75" x14ac:dyDescent="0.2">
      <c r="I560" s="333"/>
    </row>
    <row r="561" spans="9:9" ht="12.75" x14ac:dyDescent="0.2">
      <c r="I561" s="333"/>
    </row>
    <row r="562" spans="9:9" ht="12.75" x14ac:dyDescent="0.2">
      <c r="I562" s="333"/>
    </row>
    <row r="563" spans="9:9" ht="12.75" x14ac:dyDescent="0.2">
      <c r="I563" s="333"/>
    </row>
    <row r="564" spans="9:9" ht="12.75" x14ac:dyDescent="0.2">
      <c r="I564" s="333"/>
    </row>
    <row r="565" spans="9:9" ht="12.75" x14ac:dyDescent="0.2">
      <c r="I565" s="333"/>
    </row>
    <row r="566" spans="9:9" ht="12.75" x14ac:dyDescent="0.2">
      <c r="I566" s="333"/>
    </row>
    <row r="567" spans="9:9" ht="12.75" x14ac:dyDescent="0.2">
      <c r="I567" s="333"/>
    </row>
    <row r="568" spans="9:9" ht="12.75" x14ac:dyDescent="0.2">
      <c r="I568" s="333"/>
    </row>
    <row r="569" spans="9:9" ht="12.75" x14ac:dyDescent="0.2">
      <c r="I569" s="333"/>
    </row>
    <row r="570" spans="9:9" ht="12.75" x14ac:dyDescent="0.2">
      <c r="I570" s="333"/>
    </row>
    <row r="571" spans="9:9" ht="12.75" x14ac:dyDescent="0.2">
      <c r="I571" s="333"/>
    </row>
    <row r="572" spans="9:9" ht="12.75" x14ac:dyDescent="0.2">
      <c r="I572" s="333"/>
    </row>
    <row r="573" spans="9:9" ht="12.75" x14ac:dyDescent="0.2">
      <c r="I573" s="333"/>
    </row>
    <row r="574" spans="9:9" ht="12.75" x14ac:dyDescent="0.2">
      <c r="I574" s="333"/>
    </row>
    <row r="575" spans="9:9" ht="12.75" x14ac:dyDescent="0.2">
      <c r="I575" s="333"/>
    </row>
    <row r="576" spans="9:9" ht="12.75" x14ac:dyDescent="0.2">
      <c r="I576" s="333"/>
    </row>
    <row r="577" spans="9:9" ht="12.75" x14ac:dyDescent="0.2">
      <c r="I577" s="333"/>
    </row>
    <row r="578" spans="9:9" ht="12.75" x14ac:dyDescent="0.2">
      <c r="I578" s="333"/>
    </row>
    <row r="579" spans="9:9" ht="12.75" x14ac:dyDescent="0.2">
      <c r="I579" s="333"/>
    </row>
    <row r="580" spans="9:9" ht="12.75" x14ac:dyDescent="0.2">
      <c r="I580" s="333"/>
    </row>
    <row r="581" spans="9:9" ht="12.75" x14ac:dyDescent="0.2">
      <c r="I581" s="333"/>
    </row>
    <row r="582" spans="9:9" ht="12.75" x14ac:dyDescent="0.2">
      <c r="I582" s="333"/>
    </row>
    <row r="583" spans="9:9" ht="12.75" x14ac:dyDescent="0.2">
      <c r="I583" s="333"/>
    </row>
    <row r="584" spans="9:9" ht="12.75" x14ac:dyDescent="0.2">
      <c r="I584" s="333"/>
    </row>
    <row r="585" spans="9:9" ht="12.75" x14ac:dyDescent="0.2">
      <c r="I585" s="333"/>
    </row>
    <row r="586" spans="9:9" ht="12.75" x14ac:dyDescent="0.2">
      <c r="I586" s="333"/>
    </row>
    <row r="587" spans="9:9" ht="12.75" x14ac:dyDescent="0.2">
      <c r="I587" s="333"/>
    </row>
    <row r="588" spans="9:9" ht="12.75" x14ac:dyDescent="0.2">
      <c r="I588" s="333"/>
    </row>
    <row r="589" spans="9:9" ht="12.75" x14ac:dyDescent="0.2">
      <c r="I589" s="333"/>
    </row>
    <row r="590" spans="9:9" ht="12.75" x14ac:dyDescent="0.2">
      <c r="I590" s="333"/>
    </row>
    <row r="591" spans="9:9" ht="12.75" x14ac:dyDescent="0.2">
      <c r="I591" s="333"/>
    </row>
    <row r="592" spans="9:9" ht="12.75" x14ac:dyDescent="0.2">
      <c r="I592" s="333"/>
    </row>
    <row r="593" spans="9:9" ht="12.75" x14ac:dyDescent="0.2">
      <c r="I593" s="333"/>
    </row>
    <row r="594" spans="9:9" ht="12.75" x14ac:dyDescent="0.2">
      <c r="I594" s="333"/>
    </row>
    <row r="595" spans="9:9" ht="12.75" x14ac:dyDescent="0.2">
      <c r="I595" s="333"/>
    </row>
    <row r="596" spans="9:9" ht="12.75" x14ac:dyDescent="0.2">
      <c r="I596" s="333"/>
    </row>
    <row r="597" spans="9:9" ht="12.75" x14ac:dyDescent="0.2">
      <c r="I597" s="333"/>
    </row>
    <row r="598" spans="9:9" ht="12.75" x14ac:dyDescent="0.2">
      <c r="I598" s="333"/>
    </row>
    <row r="599" spans="9:9" ht="12.75" x14ac:dyDescent="0.2">
      <c r="I599" s="333"/>
    </row>
    <row r="600" spans="9:9" ht="12.75" x14ac:dyDescent="0.2">
      <c r="I600" s="333"/>
    </row>
    <row r="601" spans="9:9" ht="12.75" x14ac:dyDescent="0.2">
      <c r="I601" s="333"/>
    </row>
    <row r="602" spans="9:9" ht="12.75" x14ac:dyDescent="0.2">
      <c r="I602" s="333"/>
    </row>
    <row r="603" spans="9:9" ht="12.75" x14ac:dyDescent="0.2">
      <c r="I603" s="333"/>
    </row>
    <row r="604" spans="9:9" ht="12.75" x14ac:dyDescent="0.2">
      <c r="I604" s="333"/>
    </row>
    <row r="605" spans="9:9" ht="12.75" x14ac:dyDescent="0.2">
      <c r="I605" s="333"/>
    </row>
    <row r="606" spans="9:9" ht="12.75" x14ac:dyDescent="0.2">
      <c r="I606" s="333"/>
    </row>
    <row r="607" spans="9:9" ht="12.75" x14ac:dyDescent="0.2">
      <c r="I607" s="333"/>
    </row>
    <row r="608" spans="9:9" ht="12.75" x14ac:dyDescent="0.2">
      <c r="I608" s="333"/>
    </row>
    <row r="609" spans="9:9" ht="12.75" x14ac:dyDescent="0.2">
      <c r="I609" s="333"/>
    </row>
    <row r="610" spans="9:9" ht="12.75" x14ac:dyDescent="0.2">
      <c r="I610" s="333"/>
    </row>
    <row r="611" spans="9:9" ht="12.75" x14ac:dyDescent="0.2">
      <c r="I611" s="333"/>
    </row>
    <row r="612" spans="9:9" ht="12.75" x14ac:dyDescent="0.2">
      <c r="I612" s="333"/>
    </row>
    <row r="613" spans="9:9" ht="12.75" x14ac:dyDescent="0.2">
      <c r="I613" s="333"/>
    </row>
    <row r="614" spans="9:9" ht="12.75" x14ac:dyDescent="0.2">
      <c r="I614" s="333"/>
    </row>
    <row r="615" spans="9:9" ht="12.75" x14ac:dyDescent="0.2">
      <c r="I615" s="333"/>
    </row>
    <row r="616" spans="9:9" ht="12.75" x14ac:dyDescent="0.2">
      <c r="I616" s="333"/>
    </row>
    <row r="617" spans="9:9" ht="12.75" x14ac:dyDescent="0.2">
      <c r="I617" s="333"/>
    </row>
    <row r="618" spans="9:9" ht="12.75" x14ac:dyDescent="0.2">
      <c r="I618" s="333"/>
    </row>
    <row r="619" spans="9:9" ht="12.75" x14ac:dyDescent="0.2">
      <c r="I619" s="333"/>
    </row>
    <row r="620" spans="9:9" ht="12.75" x14ac:dyDescent="0.2">
      <c r="I620" s="333"/>
    </row>
    <row r="621" spans="9:9" ht="12.75" x14ac:dyDescent="0.2">
      <c r="I621" s="333"/>
    </row>
    <row r="622" spans="9:9" ht="12.75" x14ac:dyDescent="0.2">
      <c r="I622" s="333"/>
    </row>
    <row r="623" spans="9:9" ht="12.75" x14ac:dyDescent="0.2">
      <c r="I623" s="333"/>
    </row>
    <row r="624" spans="9:9" ht="12.75" x14ac:dyDescent="0.2">
      <c r="I624" s="333"/>
    </row>
    <row r="625" spans="9:9" ht="12.75" x14ac:dyDescent="0.2">
      <c r="I625" s="333"/>
    </row>
    <row r="626" spans="9:9" ht="12.75" x14ac:dyDescent="0.2">
      <c r="I626" s="333"/>
    </row>
    <row r="627" spans="9:9" ht="12.75" x14ac:dyDescent="0.2">
      <c r="I627" s="333"/>
    </row>
    <row r="628" spans="9:9" ht="12.75" x14ac:dyDescent="0.2">
      <c r="I628" s="333"/>
    </row>
    <row r="629" spans="9:9" ht="12.75" x14ac:dyDescent="0.2">
      <c r="I629" s="333"/>
    </row>
    <row r="630" spans="9:9" ht="12.75" x14ac:dyDescent="0.2">
      <c r="I630" s="333"/>
    </row>
    <row r="631" spans="9:9" ht="12.75" x14ac:dyDescent="0.2">
      <c r="I631" s="333"/>
    </row>
    <row r="632" spans="9:9" ht="12.75" x14ac:dyDescent="0.2">
      <c r="I632" s="333"/>
    </row>
    <row r="633" spans="9:9" ht="12.75" x14ac:dyDescent="0.2">
      <c r="I633" s="333"/>
    </row>
    <row r="634" spans="9:9" ht="12.75" x14ac:dyDescent="0.2">
      <c r="I634" s="333"/>
    </row>
    <row r="635" spans="9:9" ht="12.75" x14ac:dyDescent="0.2">
      <c r="I635" s="333"/>
    </row>
    <row r="636" spans="9:9" ht="12.75" x14ac:dyDescent="0.2">
      <c r="I636" s="333"/>
    </row>
    <row r="637" spans="9:9" ht="12.75" x14ac:dyDescent="0.2">
      <c r="I637" s="333"/>
    </row>
    <row r="638" spans="9:9" ht="12.75" x14ac:dyDescent="0.2">
      <c r="I638" s="333"/>
    </row>
    <row r="639" spans="9:9" ht="12.75" x14ac:dyDescent="0.2">
      <c r="I639" s="333"/>
    </row>
    <row r="640" spans="9:9" ht="12.75" x14ac:dyDescent="0.2">
      <c r="I640" s="333"/>
    </row>
    <row r="641" spans="9:9" ht="12.75" x14ac:dyDescent="0.2">
      <c r="I641" s="333"/>
    </row>
    <row r="642" spans="9:9" ht="12.75" x14ac:dyDescent="0.2">
      <c r="I642" s="333"/>
    </row>
    <row r="643" spans="9:9" ht="12.75" x14ac:dyDescent="0.2">
      <c r="I643" s="333"/>
    </row>
    <row r="644" spans="9:9" ht="12.75" x14ac:dyDescent="0.2">
      <c r="I644" s="333"/>
    </row>
    <row r="645" spans="9:9" ht="12.75" x14ac:dyDescent="0.2">
      <c r="I645" s="333"/>
    </row>
    <row r="646" spans="9:9" ht="12.75" x14ac:dyDescent="0.2">
      <c r="I646" s="333"/>
    </row>
    <row r="647" spans="9:9" ht="12.75" x14ac:dyDescent="0.2">
      <c r="I647" s="333"/>
    </row>
    <row r="648" spans="9:9" ht="12.75" x14ac:dyDescent="0.2">
      <c r="I648" s="333"/>
    </row>
    <row r="649" spans="9:9" ht="12.75" x14ac:dyDescent="0.2">
      <c r="I649" s="333"/>
    </row>
    <row r="650" spans="9:9" ht="12.75" x14ac:dyDescent="0.2">
      <c r="I650" s="333"/>
    </row>
    <row r="651" spans="9:9" ht="12.75" x14ac:dyDescent="0.2">
      <c r="I651" s="333"/>
    </row>
    <row r="652" spans="9:9" ht="12.75" x14ac:dyDescent="0.2">
      <c r="I652" s="333"/>
    </row>
    <row r="653" spans="9:9" ht="12.75" x14ac:dyDescent="0.2">
      <c r="I653" s="333"/>
    </row>
    <row r="654" spans="9:9" ht="12.75" x14ac:dyDescent="0.2">
      <c r="I654" s="333"/>
    </row>
    <row r="655" spans="9:9" ht="12.75" x14ac:dyDescent="0.2">
      <c r="I655" s="333"/>
    </row>
    <row r="656" spans="9:9" ht="12.75" x14ac:dyDescent="0.2">
      <c r="I656" s="333"/>
    </row>
    <row r="657" spans="9:9" ht="12.75" x14ac:dyDescent="0.2">
      <c r="I657" s="333"/>
    </row>
    <row r="658" spans="9:9" ht="12.75" x14ac:dyDescent="0.2">
      <c r="I658" s="333"/>
    </row>
    <row r="659" spans="9:9" ht="12.75" x14ac:dyDescent="0.2">
      <c r="I659" s="333"/>
    </row>
    <row r="660" spans="9:9" ht="12.75" x14ac:dyDescent="0.2">
      <c r="I660" s="333"/>
    </row>
    <row r="661" spans="9:9" ht="12.75" x14ac:dyDescent="0.2">
      <c r="I661" s="333"/>
    </row>
    <row r="662" spans="9:9" ht="12.75" x14ac:dyDescent="0.2">
      <c r="I662" s="333"/>
    </row>
    <row r="663" spans="9:9" ht="12.75" x14ac:dyDescent="0.2">
      <c r="I663" s="333"/>
    </row>
    <row r="664" spans="9:9" ht="12.75" x14ac:dyDescent="0.2">
      <c r="I664" s="333"/>
    </row>
    <row r="665" spans="9:9" ht="12.75" x14ac:dyDescent="0.2">
      <c r="I665" s="333"/>
    </row>
    <row r="666" spans="9:9" ht="12.75" x14ac:dyDescent="0.2">
      <c r="I666" s="333"/>
    </row>
    <row r="667" spans="9:9" ht="12.75" x14ac:dyDescent="0.2">
      <c r="I667" s="333"/>
    </row>
    <row r="668" spans="9:9" ht="12.75" x14ac:dyDescent="0.2">
      <c r="I668" s="333"/>
    </row>
    <row r="669" spans="9:9" ht="12.75" x14ac:dyDescent="0.2">
      <c r="I669" s="333"/>
    </row>
    <row r="670" spans="9:9" ht="12.75" x14ac:dyDescent="0.2">
      <c r="I670" s="333"/>
    </row>
    <row r="671" spans="9:9" ht="12.75" x14ac:dyDescent="0.2">
      <c r="I671" s="333"/>
    </row>
    <row r="672" spans="9:9" ht="12.75" x14ac:dyDescent="0.2">
      <c r="I672" s="333"/>
    </row>
    <row r="673" spans="9:9" ht="12.75" x14ac:dyDescent="0.2">
      <c r="I673" s="333"/>
    </row>
    <row r="674" spans="9:9" ht="12.75" x14ac:dyDescent="0.2">
      <c r="I674" s="333"/>
    </row>
    <row r="675" spans="9:9" ht="12.75" x14ac:dyDescent="0.2">
      <c r="I675" s="333"/>
    </row>
    <row r="676" spans="9:9" ht="12.75" x14ac:dyDescent="0.2">
      <c r="I676" s="333"/>
    </row>
    <row r="677" spans="9:9" ht="12.75" x14ac:dyDescent="0.2">
      <c r="I677" s="333"/>
    </row>
    <row r="678" spans="9:9" ht="12.75" x14ac:dyDescent="0.2">
      <c r="I678" s="333"/>
    </row>
    <row r="679" spans="9:9" ht="12.75" x14ac:dyDescent="0.2">
      <c r="I679" s="333"/>
    </row>
    <row r="680" spans="9:9" ht="12.75" x14ac:dyDescent="0.2">
      <c r="I680" s="333"/>
    </row>
    <row r="681" spans="9:9" ht="12.75" x14ac:dyDescent="0.2">
      <c r="I681" s="333"/>
    </row>
    <row r="682" spans="9:9" ht="12.75" x14ac:dyDescent="0.2">
      <c r="I682" s="333"/>
    </row>
    <row r="683" spans="9:9" ht="12.75" x14ac:dyDescent="0.2">
      <c r="I683" s="333"/>
    </row>
    <row r="684" spans="9:9" ht="12.75" x14ac:dyDescent="0.2">
      <c r="I684" s="333"/>
    </row>
    <row r="685" spans="9:9" ht="12.75" x14ac:dyDescent="0.2">
      <c r="I685" s="333"/>
    </row>
    <row r="686" spans="9:9" ht="12.75" x14ac:dyDescent="0.2">
      <c r="I686" s="333"/>
    </row>
    <row r="687" spans="9:9" ht="12.75" x14ac:dyDescent="0.2">
      <c r="I687" s="333"/>
    </row>
    <row r="688" spans="9:9" ht="12.75" x14ac:dyDescent="0.2">
      <c r="I688" s="333"/>
    </row>
    <row r="689" spans="9:9" ht="12.75" x14ac:dyDescent="0.2">
      <c r="I689" s="333"/>
    </row>
    <row r="690" spans="9:9" ht="12.75" x14ac:dyDescent="0.2">
      <c r="I690" s="333"/>
    </row>
    <row r="691" spans="9:9" ht="12.75" x14ac:dyDescent="0.2">
      <c r="I691" s="333"/>
    </row>
    <row r="692" spans="9:9" ht="12.75" x14ac:dyDescent="0.2">
      <c r="I692" s="333"/>
    </row>
    <row r="693" spans="9:9" ht="12.75" x14ac:dyDescent="0.2">
      <c r="I693" s="333"/>
    </row>
    <row r="694" spans="9:9" ht="12.75" x14ac:dyDescent="0.2">
      <c r="I694" s="333"/>
    </row>
    <row r="695" spans="9:9" ht="12.75" x14ac:dyDescent="0.2">
      <c r="I695" s="333"/>
    </row>
    <row r="696" spans="9:9" ht="12.75" x14ac:dyDescent="0.2">
      <c r="I696" s="333"/>
    </row>
    <row r="697" spans="9:9" ht="12.75" x14ac:dyDescent="0.2">
      <c r="I697" s="333"/>
    </row>
    <row r="698" spans="9:9" ht="12.75" x14ac:dyDescent="0.2">
      <c r="I698" s="333"/>
    </row>
    <row r="699" spans="9:9" ht="12.75" x14ac:dyDescent="0.2">
      <c r="I699" s="333"/>
    </row>
    <row r="700" spans="9:9" ht="12.75" x14ac:dyDescent="0.2">
      <c r="I700" s="333"/>
    </row>
    <row r="701" spans="9:9" ht="12.75" x14ac:dyDescent="0.2">
      <c r="I701" s="333"/>
    </row>
    <row r="702" spans="9:9" ht="12.75" x14ac:dyDescent="0.2">
      <c r="I702" s="333"/>
    </row>
    <row r="703" spans="9:9" ht="12.75" x14ac:dyDescent="0.2">
      <c r="I703" s="333"/>
    </row>
    <row r="704" spans="9:9" ht="12.75" x14ac:dyDescent="0.2">
      <c r="I704" s="333"/>
    </row>
    <row r="705" spans="9:9" ht="12.75" x14ac:dyDescent="0.2">
      <c r="I705" s="333"/>
    </row>
    <row r="706" spans="9:9" ht="12.75" x14ac:dyDescent="0.2">
      <c r="I706" s="333"/>
    </row>
    <row r="707" spans="9:9" ht="12.75" x14ac:dyDescent="0.2">
      <c r="I707" s="333"/>
    </row>
    <row r="708" spans="9:9" ht="12.75" x14ac:dyDescent="0.2">
      <c r="I708" s="333"/>
    </row>
    <row r="709" spans="9:9" ht="12.75" x14ac:dyDescent="0.2">
      <c r="I709" s="333"/>
    </row>
    <row r="710" spans="9:9" ht="12.75" x14ac:dyDescent="0.2">
      <c r="I710" s="333"/>
    </row>
    <row r="711" spans="9:9" ht="12.75" x14ac:dyDescent="0.2">
      <c r="I711" s="333"/>
    </row>
    <row r="712" spans="9:9" ht="12.75" x14ac:dyDescent="0.2">
      <c r="I712" s="333"/>
    </row>
    <row r="713" spans="9:9" ht="12.75" x14ac:dyDescent="0.2">
      <c r="I713" s="333"/>
    </row>
    <row r="714" spans="9:9" ht="12.75" x14ac:dyDescent="0.2">
      <c r="I714" s="333"/>
    </row>
    <row r="715" spans="9:9" ht="12.75" x14ac:dyDescent="0.2">
      <c r="I715" s="333"/>
    </row>
    <row r="716" spans="9:9" ht="12.75" x14ac:dyDescent="0.2">
      <c r="I716" s="333"/>
    </row>
    <row r="717" spans="9:9" ht="12.75" x14ac:dyDescent="0.2">
      <c r="I717" s="333"/>
    </row>
    <row r="718" spans="9:9" ht="12.75" x14ac:dyDescent="0.2">
      <c r="I718" s="333"/>
    </row>
    <row r="719" spans="9:9" ht="12.75" x14ac:dyDescent="0.2">
      <c r="I719" s="333"/>
    </row>
    <row r="720" spans="9:9" ht="12.75" x14ac:dyDescent="0.2">
      <c r="I720" s="333"/>
    </row>
    <row r="721" spans="9:9" ht="12.75" x14ac:dyDescent="0.2">
      <c r="I721" s="333"/>
    </row>
    <row r="722" spans="9:9" ht="12.75" x14ac:dyDescent="0.2">
      <c r="I722" s="333"/>
    </row>
    <row r="723" spans="9:9" ht="12.75" x14ac:dyDescent="0.2">
      <c r="I723" s="333"/>
    </row>
    <row r="724" spans="9:9" ht="12.75" x14ac:dyDescent="0.2">
      <c r="I724" s="333"/>
    </row>
    <row r="725" spans="9:9" ht="12.75" x14ac:dyDescent="0.2">
      <c r="I725" s="333"/>
    </row>
    <row r="726" spans="9:9" ht="12.75" x14ac:dyDescent="0.2">
      <c r="I726" s="333"/>
    </row>
    <row r="727" spans="9:9" ht="12.75" x14ac:dyDescent="0.2">
      <c r="I727" s="333"/>
    </row>
    <row r="728" spans="9:9" ht="12.75" x14ac:dyDescent="0.2">
      <c r="I728" s="333"/>
    </row>
    <row r="729" spans="9:9" ht="12.75" x14ac:dyDescent="0.2">
      <c r="I729" s="333"/>
    </row>
    <row r="730" spans="9:9" ht="12.75" x14ac:dyDescent="0.2">
      <c r="I730" s="333"/>
    </row>
    <row r="731" spans="9:9" ht="12.75" x14ac:dyDescent="0.2">
      <c r="I731" s="333"/>
    </row>
    <row r="732" spans="9:9" ht="12.75" x14ac:dyDescent="0.2">
      <c r="I732" s="333"/>
    </row>
    <row r="733" spans="9:9" ht="12.75" x14ac:dyDescent="0.2">
      <c r="I733" s="333"/>
    </row>
    <row r="734" spans="9:9" ht="12.75" x14ac:dyDescent="0.2">
      <c r="I734" s="333"/>
    </row>
    <row r="735" spans="9:9" ht="12.75" x14ac:dyDescent="0.2">
      <c r="I735" s="333"/>
    </row>
    <row r="736" spans="9:9" ht="12.75" x14ac:dyDescent="0.2">
      <c r="I736" s="333"/>
    </row>
    <row r="737" spans="9:9" ht="12.75" x14ac:dyDescent="0.2">
      <c r="I737" s="333"/>
    </row>
    <row r="738" spans="9:9" ht="12.75" x14ac:dyDescent="0.2">
      <c r="I738" s="333"/>
    </row>
    <row r="739" spans="9:9" ht="12.75" x14ac:dyDescent="0.2">
      <c r="I739" s="333"/>
    </row>
    <row r="740" spans="9:9" ht="12.75" x14ac:dyDescent="0.2">
      <c r="I740" s="333"/>
    </row>
    <row r="741" spans="9:9" ht="12.75" x14ac:dyDescent="0.2">
      <c r="I741" s="333"/>
    </row>
    <row r="742" spans="9:9" ht="12.75" x14ac:dyDescent="0.2">
      <c r="I742" s="333"/>
    </row>
    <row r="743" spans="9:9" ht="12.75" x14ac:dyDescent="0.2">
      <c r="I743" s="333"/>
    </row>
    <row r="744" spans="9:9" ht="12.75" x14ac:dyDescent="0.2">
      <c r="I744" s="333"/>
    </row>
    <row r="745" spans="9:9" ht="12.75" x14ac:dyDescent="0.2">
      <c r="I745" s="333"/>
    </row>
    <row r="746" spans="9:9" ht="12.75" x14ac:dyDescent="0.2">
      <c r="I746" s="333"/>
    </row>
    <row r="747" spans="9:9" ht="12.75" x14ac:dyDescent="0.2">
      <c r="I747" s="333"/>
    </row>
    <row r="748" spans="9:9" ht="12.75" x14ac:dyDescent="0.2">
      <c r="I748" s="333"/>
    </row>
    <row r="749" spans="9:9" ht="12.75" x14ac:dyDescent="0.2">
      <c r="I749" s="333"/>
    </row>
    <row r="750" spans="9:9" ht="12.75" x14ac:dyDescent="0.2">
      <c r="I750" s="333"/>
    </row>
    <row r="751" spans="9:9" ht="12.75" x14ac:dyDescent="0.2">
      <c r="I751" s="333"/>
    </row>
    <row r="752" spans="9:9" ht="12.75" x14ac:dyDescent="0.2">
      <c r="I752" s="333"/>
    </row>
    <row r="753" spans="9:9" ht="12.75" x14ac:dyDescent="0.2">
      <c r="I753" s="333"/>
    </row>
    <row r="754" spans="9:9" ht="12.75" x14ac:dyDescent="0.2">
      <c r="I754" s="333"/>
    </row>
    <row r="755" spans="9:9" ht="12.75" x14ac:dyDescent="0.2">
      <c r="I755" s="333"/>
    </row>
    <row r="756" spans="9:9" ht="12.75" x14ac:dyDescent="0.2">
      <c r="I756" s="333"/>
    </row>
    <row r="757" spans="9:9" ht="12.75" x14ac:dyDescent="0.2">
      <c r="I757" s="333"/>
    </row>
    <row r="758" spans="9:9" ht="12.75" x14ac:dyDescent="0.2">
      <c r="I758" s="333"/>
    </row>
    <row r="759" spans="9:9" ht="12.75" x14ac:dyDescent="0.2">
      <c r="I759" s="333"/>
    </row>
    <row r="760" spans="9:9" ht="12.75" x14ac:dyDescent="0.2">
      <c r="I760" s="333"/>
    </row>
    <row r="761" spans="9:9" ht="12.75" x14ac:dyDescent="0.2">
      <c r="I761" s="333"/>
    </row>
    <row r="762" spans="9:9" ht="12.75" x14ac:dyDescent="0.2">
      <c r="I762" s="333"/>
    </row>
    <row r="763" spans="9:9" ht="12.75" x14ac:dyDescent="0.2">
      <c r="I763" s="333"/>
    </row>
    <row r="764" spans="9:9" ht="12.75" x14ac:dyDescent="0.2">
      <c r="I764" s="333"/>
    </row>
    <row r="765" spans="9:9" ht="12.75" x14ac:dyDescent="0.2">
      <c r="I765" s="333"/>
    </row>
    <row r="766" spans="9:9" ht="12.75" x14ac:dyDescent="0.2">
      <c r="I766" s="333"/>
    </row>
    <row r="767" spans="9:9" ht="12.75" x14ac:dyDescent="0.2">
      <c r="I767" s="333"/>
    </row>
    <row r="768" spans="9:9" ht="12.75" x14ac:dyDescent="0.2">
      <c r="I768" s="333"/>
    </row>
    <row r="769" spans="9:9" ht="12.75" x14ac:dyDescent="0.2">
      <c r="I769" s="333"/>
    </row>
    <row r="770" spans="9:9" ht="12.75" x14ac:dyDescent="0.2">
      <c r="I770" s="333"/>
    </row>
    <row r="771" spans="9:9" ht="12.75" x14ac:dyDescent="0.2">
      <c r="I771" s="333"/>
    </row>
    <row r="772" spans="9:9" ht="12.75" x14ac:dyDescent="0.2">
      <c r="I772" s="333"/>
    </row>
    <row r="773" spans="9:9" ht="12.75" x14ac:dyDescent="0.2">
      <c r="I773" s="333"/>
    </row>
    <row r="774" spans="9:9" ht="12.75" x14ac:dyDescent="0.2">
      <c r="I774" s="333"/>
    </row>
    <row r="775" spans="9:9" ht="12.75" x14ac:dyDescent="0.2">
      <c r="I775" s="333"/>
    </row>
    <row r="776" spans="9:9" ht="12.75" x14ac:dyDescent="0.2">
      <c r="I776" s="333"/>
    </row>
    <row r="777" spans="9:9" ht="12.75" x14ac:dyDescent="0.2">
      <c r="I777" s="333"/>
    </row>
    <row r="778" spans="9:9" ht="12.75" x14ac:dyDescent="0.2">
      <c r="I778" s="333"/>
    </row>
    <row r="779" spans="9:9" ht="12.75" x14ac:dyDescent="0.2">
      <c r="I779" s="333"/>
    </row>
    <row r="780" spans="9:9" ht="12.75" x14ac:dyDescent="0.2">
      <c r="I780" s="333"/>
    </row>
    <row r="781" spans="9:9" ht="12.75" x14ac:dyDescent="0.2">
      <c r="I781" s="333"/>
    </row>
    <row r="782" spans="9:9" ht="12.75" x14ac:dyDescent="0.2">
      <c r="I782" s="333"/>
    </row>
    <row r="783" spans="9:9" ht="12.75" x14ac:dyDescent="0.2">
      <c r="I783" s="333"/>
    </row>
    <row r="784" spans="9:9" ht="12.75" x14ac:dyDescent="0.2">
      <c r="I784" s="333"/>
    </row>
    <row r="785" spans="9:9" ht="12.75" x14ac:dyDescent="0.2">
      <c r="I785" s="333"/>
    </row>
    <row r="786" spans="9:9" ht="12.75" x14ac:dyDescent="0.2">
      <c r="I786" s="333"/>
    </row>
    <row r="787" spans="9:9" ht="12.75" x14ac:dyDescent="0.2">
      <c r="I787" s="333"/>
    </row>
    <row r="788" spans="9:9" ht="12.75" x14ac:dyDescent="0.2">
      <c r="I788" s="333"/>
    </row>
    <row r="789" spans="9:9" ht="12.75" x14ac:dyDescent="0.2">
      <c r="I789" s="333"/>
    </row>
    <row r="790" spans="9:9" ht="12.75" x14ac:dyDescent="0.2">
      <c r="I790" s="333"/>
    </row>
    <row r="791" spans="9:9" ht="12.75" x14ac:dyDescent="0.2">
      <c r="I791" s="333"/>
    </row>
    <row r="792" spans="9:9" ht="12.75" x14ac:dyDescent="0.2">
      <c r="I792" s="333"/>
    </row>
    <row r="793" spans="9:9" ht="12.75" x14ac:dyDescent="0.2">
      <c r="I793" s="333"/>
    </row>
    <row r="794" spans="9:9" ht="12.75" x14ac:dyDescent="0.2">
      <c r="I794" s="333"/>
    </row>
    <row r="795" spans="9:9" ht="12.75" x14ac:dyDescent="0.2">
      <c r="I795" s="333"/>
    </row>
    <row r="796" spans="9:9" ht="12.75" x14ac:dyDescent="0.2">
      <c r="I796" s="333"/>
    </row>
    <row r="797" spans="9:9" ht="12.75" x14ac:dyDescent="0.2">
      <c r="I797" s="333"/>
    </row>
    <row r="798" spans="9:9" ht="12.75" x14ac:dyDescent="0.2">
      <c r="I798" s="333"/>
    </row>
    <row r="799" spans="9:9" ht="12.75" x14ac:dyDescent="0.2">
      <c r="I799" s="333"/>
    </row>
    <row r="800" spans="9:9" ht="12.75" x14ac:dyDescent="0.2">
      <c r="I800" s="333"/>
    </row>
    <row r="801" spans="9:9" ht="12.75" x14ac:dyDescent="0.2">
      <c r="I801" s="333"/>
    </row>
    <row r="802" spans="9:9" ht="12.75" x14ac:dyDescent="0.2">
      <c r="I802" s="333"/>
    </row>
    <row r="803" spans="9:9" ht="12.75" x14ac:dyDescent="0.2">
      <c r="I803" s="333"/>
    </row>
    <row r="804" spans="9:9" ht="12.75" x14ac:dyDescent="0.2">
      <c r="I804" s="333"/>
    </row>
    <row r="805" spans="9:9" ht="12.75" x14ac:dyDescent="0.2">
      <c r="I805" s="333"/>
    </row>
    <row r="806" spans="9:9" ht="12.75" x14ac:dyDescent="0.2">
      <c r="I806" s="333"/>
    </row>
    <row r="807" spans="9:9" ht="12.75" x14ac:dyDescent="0.2">
      <c r="I807" s="333"/>
    </row>
    <row r="808" spans="9:9" ht="12.75" x14ac:dyDescent="0.2">
      <c r="I808" s="333"/>
    </row>
    <row r="809" spans="9:9" ht="12.75" x14ac:dyDescent="0.2">
      <c r="I809" s="333"/>
    </row>
    <row r="810" spans="9:9" ht="12.75" x14ac:dyDescent="0.2">
      <c r="I810" s="333"/>
    </row>
    <row r="811" spans="9:9" ht="12.75" x14ac:dyDescent="0.2">
      <c r="I811" s="333"/>
    </row>
    <row r="812" spans="9:9" ht="12.75" x14ac:dyDescent="0.2">
      <c r="I812" s="333"/>
    </row>
    <row r="813" spans="9:9" ht="12.75" x14ac:dyDescent="0.2">
      <c r="I813" s="333"/>
    </row>
    <row r="814" spans="9:9" ht="12.75" x14ac:dyDescent="0.2">
      <c r="I814" s="333"/>
    </row>
    <row r="815" spans="9:9" ht="12.75" x14ac:dyDescent="0.2">
      <c r="I815" s="333"/>
    </row>
    <row r="816" spans="9:9" ht="12.75" x14ac:dyDescent="0.2">
      <c r="I816" s="333"/>
    </row>
    <row r="817" spans="9:9" ht="12.75" x14ac:dyDescent="0.2">
      <c r="I817" s="333"/>
    </row>
    <row r="818" spans="9:9" ht="12.75" x14ac:dyDescent="0.2">
      <c r="I818" s="333"/>
    </row>
    <row r="819" spans="9:9" ht="12.75" x14ac:dyDescent="0.2">
      <c r="I819" s="333"/>
    </row>
    <row r="820" spans="9:9" ht="12.75" x14ac:dyDescent="0.2">
      <c r="I820" s="333"/>
    </row>
    <row r="821" spans="9:9" ht="12.75" x14ac:dyDescent="0.2">
      <c r="I821" s="333"/>
    </row>
    <row r="822" spans="9:9" ht="12.75" x14ac:dyDescent="0.2">
      <c r="I822" s="333"/>
    </row>
    <row r="823" spans="9:9" ht="12.75" x14ac:dyDescent="0.2">
      <c r="I823" s="333"/>
    </row>
    <row r="824" spans="9:9" ht="12.75" x14ac:dyDescent="0.2">
      <c r="I824" s="333"/>
    </row>
    <row r="825" spans="9:9" ht="12.75" x14ac:dyDescent="0.2">
      <c r="I825" s="333"/>
    </row>
    <row r="826" spans="9:9" ht="12.75" x14ac:dyDescent="0.2">
      <c r="I826" s="333"/>
    </row>
    <row r="827" spans="9:9" ht="12.75" x14ac:dyDescent="0.2">
      <c r="I827" s="333"/>
    </row>
    <row r="828" spans="9:9" ht="12.75" x14ac:dyDescent="0.2">
      <c r="I828" s="333"/>
    </row>
    <row r="829" spans="9:9" ht="12.75" x14ac:dyDescent="0.2">
      <c r="I829" s="333"/>
    </row>
    <row r="830" spans="9:9" ht="12.75" x14ac:dyDescent="0.2">
      <c r="I830" s="333"/>
    </row>
    <row r="831" spans="9:9" ht="12.75" x14ac:dyDescent="0.2">
      <c r="I831" s="333"/>
    </row>
    <row r="832" spans="9:9" ht="12.75" x14ac:dyDescent="0.2">
      <c r="I832" s="333"/>
    </row>
    <row r="833" spans="9:9" ht="12.75" x14ac:dyDescent="0.2">
      <c r="I833" s="333"/>
    </row>
    <row r="834" spans="9:9" ht="12.75" x14ac:dyDescent="0.2">
      <c r="I834" s="333"/>
    </row>
    <row r="835" spans="9:9" ht="12.75" x14ac:dyDescent="0.2">
      <c r="I835" s="333"/>
    </row>
    <row r="836" spans="9:9" ht="12.75" x14ac:dyDescent="0.2">
      <c r="I836" s="333"/>
    </row>
    <row r="837" spans="9:9" ht="12.75" x14ac:dyDescent="0.2">
      <c r="I837" s="333"/>
    </row>
    <row r="838" spans="9:9" ht="12.75" x14ac:dyDescent="0.2">
      <c r="I838" s="333"/>
    </row>
    <row r="839" spans="9:9" ht="12.75" x14ac:dyDescent="0.2">
      <c r="I839" s="333"/>
    </row>
    <row r="840" spans="9:9" ht="12.75" x14ac:dyDescent="0.2">
      <c r="I840" s="333"/>
    </row>
    <row r="841" spans="9:9" ht="12.75" x14ac:dyDescent="0.2">
      <c r="I841" s="333"/>
    </row>
    <row r="842" spans="9:9" ht="12.75" x14ac:dyDescent="0.2">
      <c r="I842" s="333"/>
    </row>
    <row r="843" spans="9:9" ht="12.75" x14ac:dyDescent="0.2">
      <c r="I843" s="333"/>
    </row>
    <row r="844" spans="9:9" ht="12.75" x14ac:dyDescent="0.2">
      <c r="I844" s="333"/>
    </row>
    <row r="845" spans="9:9" ht="12.75" x14ac:dyDescent="0.2">
      <c r="I845" s="333"/>
    </row>
    <row r="846" spans="9:9" ht="12.75" x14ac:dyDescent="0.2">
      <c r="I846" s="333"/>
    </row>
    <row r="847" spans="9:9" ht="12.75" x14ac:dyDescent="0.2">
      <c r="I847" s="333"/>
    </row>
    <row r="848" spans="9:9" ht="12.75" x14ac:dyDescent="0.2">
      <c r="I848" s="333"/>
    </row>
    <row r="849" spans="9:9" ht="12.75" x14ac:dyDescent="0.2">
      <c r="I849" s="333"/>
    </row>
    <row r="850" spans="9:9" ht="12.75" x14ac:dyDescent="0.2">
      <c r="I850" s="333"/>
    </row>
    <row r="851" spans="9:9" ht="12.75" x14ac:dyDescent="0.2">
      <c r="I851" s="333"/>
    </row>
    <row r="852" spans="9:9" ht="12.75" x14ac:dyDescent="0.2">
      <c r="I852" s="333"/>
    </row>
    <row r="853" spans="9:9" ht="12.75" x14ac:dyDescent="0.2">
      <c r="I853" s="333"/>
    </row>
    <row r="854" spans="9:9" ht="12.75" x14ac:dyDescent="0.2">
      <c r="I854" s="333"/>
    </row>
    <row r="855" spans="9:9" ht="12.75" x14ac:dyDescent="0.2">
      <c r="I855" s="333"/>
    </row>
    <row r="856" spans="9:9" ht="12.75" x14ac:dyDescent="0.2">
      <c r="I856" s="333"/>
    </row>
    <row r="857" spans="9:9" ht="12.75" x14ac:dyDescent="0.2">
      <c r="I857" s="333"/>
    </row>
    <row r="858" spans="9:9" ht="12.75" x14ac:dyDescent="0.2">
      <c r="I858" s="333"/>
    </row>
    <row r="859" spans="9:9" ht="12.75" x14ac:dyDescent="0.2">
      <c r="I859" s="333"/>
    </row>
    <row r="860" spans="9:9" ht="12.75" x14ac:dyDescent="0.2">
      <c r="I860" s="333"/>
    </row>
    <row r="861" spans="9:9" ht="12.75" x14ac:dyDescent="0.2">
      <c r="I861" s="333"/>
    </row>
    <row r="862" spans="9:9" ht="12.75" x14ac:dyDescent="0.2">
      <c r="I862" s="333"/>
    </row>
    <row r="863" spans="9:9" ht="12.75" x14ac:dyDescent="0.2">
      <c r="I863" s="333"/>
    </row>
    <row r="864" spans="9:9" ht="12.75" x14ac:dyDescent="0.2">
      <c r="I864" s="333"/>
    </row>
    <row r="865" spans="9:9" ht="12.75" x14ac:dyDescent="0.2">
      <c r="I865" s="333"/>
    </row>
    <row r="866" spans="9:9" ht="12.75" x14ac:dyDescent="0.2">
      <c r="I866" s="333"/>
    </row>
    <row r="867" spans="9:9" ht="12.75" x14ac:dyDescent="0.2">
      <c r="I867" s="333"/>
    </row>
    <row r="868" spans="9:9" ht="12.75" x14ac:dyDescent="0.2">
      <c r="I868" s="333"/>
    </row>
    <row r="869" spans="9:9" ht="12.75" x14ac:dyDescent="0.2">
      <c r="I869" s="333"/>
    </row>
    <row r="870" spans="9:9" ht="12.75" x14ac:dyDescent="0.2">
      <c r="I870" s="333"/>
    </row>
    <row r="871" spans="9:9" ht="12.75" x14ac:dyDescent="0.2">
      <c r="I871" s="333"/>
    </row>
    <row r="872" spans="9:9" ht="12.75" x14ac:dyDescent="0.2">
      <c r="I872" s="333"/>
    </row>
    <row r="873" spans="9:9" ht="12.75" x14ac:dyDescent="0.2">
      <c r="I873" s="333"/>
    </row>
    <row r="874" spans="9:9" ht="12.75" x14ac:dyDescent="0.2">
      <c r="I874" s="333"/>
    </row>
    <row r="875" spans="9:9" ht="12.75" x14ac:dyDescent="0.2">
      <c r="I875" s="333"/>
    </row>
    <row r="876" spans="9:9" ht="12.75" x14ac:dyDescent="0.2">
      <c r="I876" s="333"/>
    </row>
    <row r="877" spans="9:9" ht="12.75" x14ac:dyDescent="0.2">
      <c r="I877" s="333"/>
    </row>
    <row r="878" spans="9:9" ht="12.75" x14ac:dyDescent="0.2">
      <c r="I878" s="333"/>
    </row>
    <row r="879" spans="9:9" ht="12.75" x14ac:dyDescent="0.2">
      <c r="I879" s="333"/>
    </row>
    <row r="880" spans="9:9" ht="12.75" x14ac:dyDescent="0.2">
      <c r="I880" s="333"/>
    </row>
    <row r="881" spans="9:9" ht="12.75" x14ac:dyDescent="0.2">
      <c r="I881" s="333"/>
    </row>
    <row r="882" spans="9:9" ht="12.75" x14ac:dyDescent="0.2">
      <c r="I882" s="333"/>
    </row>
    <row r="883" spans="9:9" ht="12.75" x14ac:dyDescent="0.2">
      <c r="I883" s="333"/>
    </row>
    <row r="884" spans="9:9" ht="12.75" x14ac:dyDescent="0.2">
      <c r="I884" s="333"/>
    </row>
    <row r="885" spans="9:9" ht="12.75" x14ac:dyDescent="0.2">
      <c r="I885" s="333"/>
    </row>
    <row r="886" spans="9:9" ht="12.75" x14ac:dyDescent="0.2">
      <c r="I886" s="333"/>
    </row>
    <row r="887" spans="9:9" ht="12.75" x14ac:dyDescent="0.2">
      <c r="I887" s="333"/>
    </row>
    <row r="888" spans="9:9" ht="12.75" x14ac:dyDescent="0.2">
      <c r="I888" s="333"/>
    </row>
    <row r="889" spans="9:9" ht="12.75" x14ac:dyDescent="0.2">
      <c r="I889" s="333"/>
    </row>
    <row r="890" spans="9:9" ht="12.75" x14ac:dyDescent="0.2">
      <c r="I890" s="333"/>
    </row>
    <row r="891" spans="9:9" ht="12.75" x14ac:dyDescent="0.2">
      <c r="I891" s="333"/>
    </row>
    <row r="892" spans="9:9" ht="12.75" x14ac:dyDescent="0.2">
      <c r="I892" s="333"/>
    </row>
    <row r="893" spans="9:9" ht="12.75" x14ac:dyDescent="0.2">
      <c r="I893" s="333"/>
    </row>
    <row r="894" spans="9:9" ht="12.75" x14ac:dyDescent="0.2">
      <c r="I894" s="333"/>
    </row>
    <row r="895" spans="9:9" ht="12.75" x14ac:dyDescent="0.2">
      <c r="I895" s="333"/>
    </row>
    <row r="896" spans="9:9" ht="12.75" x14ac:dyDescent="0.2">
      <c r="I896" s="333"/>
    </row>
    <row r="897" spans="9:9" ht="12.75" x14ac:dyDescent="0.2">
      <c r="I897" s="333"/>
    </row>
    <row r="898" spans="9:9" ht="12.75" x14ac:dyDescent="0.2">
      <c r="I898" s="333"/>
    </row>
    <row r="899" spans="9:9" ht="12.75" x14ac:dyDescent="0.2">
      <c r="I899" s="333"/>
    </row>
    <row r="900" spans="9:9" ht="12.75" x14ac:dyDescent="0.2">
      <c r="I900" s="333"/>
    </row>
    <row r="901" spans="9:9" ht="12.75" x14ac:dyDescent="0.2">
      <c r="I901" s="333"/>
    </row>
    <row r="902" spans="9:9" ht="12.75" x14ac:dyDescent="0.2">
      <c r="I902" s="333"/>
    </row>
    <row r="903" spans="9:9" ht="12.75" x14ac:dyDescent="0.2">
      <c r="I903" s="333"/>
    </row>
    <row r="904" spans="9:9" ht="12.75" x14ac:dyDescent="0.2">
      <c r="I904" s="333"/>
    </row>
    <row r="905" spans="9:9" ht="12.75" x14ac:dyDescent="0.2">
      <c r="I905" s="333"/>
    </row>
    <row r="906" spans="9:9" ht="12.75" x14ac:dyDescent="0.2">
      <c r="I906" s="333"/>
    </row>
    <row r="907" spans="9:9" ht="12.75" x14ac:dyDescent="0.2">
      <c r="I907" s="333"/>
    </row>
    <row r="908" spans="9:9" ht="12.75" x14ac:dyDescent="0.2">
      <c r="I908" s="333"/>
    </row>
    <row r="909" spans="9:9" ht="12.75" x14ac:dyDescent="0.2">
      <c r="I909" s="333"/>
    </row>
    <row r="910" spans="9:9" ht="12.75" x14ac:dyDescent="0.2">
      <c r="I910" s="333"/>
    </row>
    <row r="911" spans="9:9" ht="12.75" x14ac:dyDescent="0.2">
      <c r="I911" s="333"/>
    </row>
    <row r="912" spans="9:9" ht="12.75" x14ac:dyDescent="0.2">
      <c r="I912" s="333"/>
    </row>
    <row r="913" spans="9:9" ht="12.75" x14ac:dyDescent="0.2">
      <c r="I913" s="333"/>
    </row>
    <row r="914" spans="9:9" ht="12.75" x14ac:dyDescent="0.2">
      <c r="I914" s="333"/>
    </row>
    <row r="915" spans="9:9" ht="12.75" x14ac:dyDescent="0.2">
      <c r="I915" s="333"/>
    </row>
    <row r="916" spans="9:9" ht="12.75" x14ac:dyDescent="0.2">
      <c r="I916" s="333"/>
    </row>
    <row r="917" spans="9:9" ht="12.75" x14ac:dyDescent="0.2">
      <c r="I917" s="333"/>
    </row>
    <row r="918" spans="9:9" ht="12.75" x14ac:dyDescent="0.2">
      <c r="I918" s="333"/>
    </row>
    <row r="919" spans="9:9" ht="12.75" x14ac:dyDescent="0.2">
      <c r="I919" s="333"/>
    </row>
    <row r="920" spans="9:9" ht="12.75" x14ac:dyDescent="0.2">
      <c r="I920" s="333"/>
    </row>
    <row r="921" spans="9:9" ht="12.75" x14ac:dyDescent="0.2">
      <c r="I921" s="333"/>
    </row>
    <row r="922" spans="9:9" ht="12.75" x14ac:dyDescent="0.2">
      <c r="I922" s="333"/>
    </row>
    <row r="923" spans="9:9" ht="12.75" x14ac:dyDescent="0.2">
      <c r="I923" s="333"/>
    </row>
    <row r="924" spans="9:9" ht="12.75" x14ac:dyDescent="0.2">
      <c r="I924" s="333"/>
    </row>
    <row r="925" spans="9:9" ht="12.75" x14ac:dyDescent="0.2">
      <c r="I925" s="333"/>
    </row>
    <row r="926" spans="9:9" ht="12.75" x14ac:dyDescent="0.2">
      <c r="I926" s="333"/>
    </row>
    <row r="927" spans="9:9" ht="12.75" x14ac:dyDescent="0.2">
      <c r="I927" s="333"/>
    </row>
    <row r="928" spans="9:9" ht="12.75" x14ac:dyDescent="0.2">
      <c r="I928" s="333"/>
    </row>
    <row r="929" spans="9:9" ht="12.75" x14ac:dyDescent="0.2">
      <c r="I929" s="333"/>
    </row>
    <row r="930" spans="9:9" ht="12.75" x14ac:dyDescent="0.2">
      <c r="I930" s="333"/>
    </row>
    <row r="931" spans="9:9" ht="12.75" x14ac:dyDescent="0.2">
      <c r="I931" s="333"/>
    </row>
  </sheetData>
  <autoFilter ref="B3:G57" xr:uid="{00000000-0009-0000-0000-00000D000000}">
    <sortState xmlns:xlrd2="http://schemas.microsoft.com/office/spreadsheetml/2017/richdata2" ref="B3:G57">
      <sortCondition ref="G3:G57"/>
      <sortCondition ref="D3:D57"/>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1124-9399-4C9B-B74E-0953304B5104}">
  <dimension ref="A1:AA56"/>
  <sheetViews>
    <sheetView topLeftCell="C1" workbookViewId="0">
      <selection activeCell="F9" sqref="F9"/>
    </sheetView>
  </sheetViews>
  <sheetFormatPr defaultRowHeight="12.75" x14ac:dyDescent="0.2"/>
  <cols>
    <col min="1" max="1" width="4.140625" customWidth="1"/>
    <col min="2" max="2" width="63.5703125" customWidth="1"/>
    <col min="3" max="3" width="33.85546875" customWidth="1"/>
  </cols>
  <sheetData>
    <row r="1" spans="1:27" x14ac:dyDescent="0.2">
      <c r="D1" s="337" t="s">
        <v>14477</v>
      </c>
      <c r="E1" s="337"/>
      <c r="F1" s="337"/>
      <c r="G1" s="337"/>
      <c r="H1" s="337"/>
      <c r="I1" s="337" t="s">
        <v>14475</v>
      </c>
      <c r="J1" s="337"/>
      <c r="K1" s="337"/>
      <c r="L1" s="337"/>
      <c r="M1" s="337" t="s">
        <v>15968</v>
      </c>
      <c r="N1" s="337"/>
      <c r="O1" s="337"/>
      <c r="P1" s="337"/>
      <c r="Q1" s="337"/>
      <c r="R1" s="337"/>
      <c r="S1" s="337"/>
      <c r="T1" s="337"/>
      <c r="U1" s="338" t="s">
        <v>15969</v>
      </c>
      <c r="V1" s="337" t="s">
        <v>15970</v>
      </c>
      <c r="W1" s="337"/>
      <c r="X1" s="337"/>
      <c r="Y1" s="337" t="s">
        <v>15971</v>
      </c>
      <c r="Z1" s="341"/>
      <c r="AA1" s="342"/>
    </row>
    <row r="2" spans="1:27" ht="18" x14ac:dyDescent="0.2">
      <c r="A2" s="66"/>
      <c r="B2" s="66"/>
      <c r="C2" s="339"/>
      <c r="D2" s="343" t="s">
        <v>1216</v>
      </c>
      <c r="E2" s="67" t="s">
        <v>13265</v>
      </c>
      <c r="F2" s="67" t="s">
        <v>13266</v>
      </c>
      <c r="G2" s="67" t="s">
        <v>13267</v>
      </c>
      <c r="H2" s="343" t="s">
        <v>13268</v>
      </c>
      <c r="I2" s="67" t="s">
        <v>13269</v>
      </c>
      <c r="J2" s="67" t="s">
        <v>13270</v>
      </c>
      <c r="K2" s="67" t="s">
        <v>13271</v>
      </c>
      <c r="L2" s="67" t="s">
        <v>13272</v>
      </c>
      <c r="M2" s="67" t="s">
        <v>13273</v>
      </c>
      <c r="N2" s="67" t="s">
        <v>13274</v>
      </c>
      <c r="O2" s="67" t="s">
        <v>13275</v>
      </c>
      <c r="P2" s="67" t="s">
        <v>13276</v>
      </c>
      <c r="Q2" s="67" t="s">
        <v>13277</v>
      </c>
      <c r="R2" s="67" t="s">
        <v>13278</v>
      </c>
      <c r="S2" s="67" t="s">
        <v>13279</v>
      </c>
      <c r="T2" s="67" t="s">
        <v>13280</v>
      </c>
      <c r="U2" s="67" t="s">
        <v>13281</v>
      </c>
      <c r="V2" s="67" t="s">
        <v>13282</v>
      </c>
      <c r="W2" s="67" t="s">
        <v>13283</v>
      </c>
      <c r="X2" s="67" t="s">
        <v>13284</v>
      </c>
      <c r="Y2" s="67" t="s">
        <v>13285</v>
      </c>
      <c r="Z2" s="67" t="s">
        <v>13286</v>
      </c>
      <c r="AA2" s="343"/>
    </row>
    <row r="3" spans="1:27" ht="64.5" x14ac:dyDescent="0.2">
      <c r="A3" s="66" t="s">
        <v>13287</v>
      </c>
      <c r="B3" s="66" t="s">
        <v>9478</v>
      </c>
      <c r="C3" s="67" t="s">
        <v>13288</v>
      </c>
      <c r="D3" s="67" t="s">
        <v>13289</v>
      </c>
      <c r="E3" s="67" t="s">
        <v>13290</v>
      </c>
      <c r="F3" s="67" t="s">
        <v>13291</v>
      </c>
      <c r="G3" s="67" t="s">
        <v>13292</v>
      </c>
      <c r="H3" s="67" t="s">
        <v>13293</v>
      </c>
      <c r="I3" s="67" t="s">
        <v>13294</v>
      </c>
      <c r="J3" s="67" t="s">
        <v>13295</v>
      </c>
      <c r="K3" s="67" t="s">
        <v>13296</v>
      </c>
      <c r="L3" s="67" t="s">
        <v>13297</v>
      </c>
      <c r="M3" s="67" t="s">
        <v>13298</v>
      </c>
      <c r="N3" s="67" t="s">
        <v>13299</v>
      </c>
      <c r="O3" s="67" t="s">
        <v>13300</v>
      </c>
      <c r="P3" s="67" t="s">
        <v>13301</v>
      </c>
      <c r="Q3" s="67" t="s">
        <v>13302</v>
      </c>
      <c r="R3" s="67" t="s">
        <v>13303</v>
      </c>
      <c r="S3" s="67" t="s">
        <v>13304</v>
      </c>
      <c r="T3" s="67" t="s">
        <v>13305</v>
      </c>
      <c r="U3" s="67" t="s">
        <v>13306</v>
      </c>
      <c r="V3" s="67" t="s">
        <v>13307</v>
      </c>
      <c r="W3" s="67" t="s">
        <v>13308</v>
      </c>
      <c r="X3" s="67" t="s">
        <v>13309</v>
      </c>
      <c r="Y3" s="67" t="s">
        <v>13310</v>
      </c>
      <c r="Z3" s="67" t="s">
        <v>13311</v>
      </c>
      <c r="AA3" s="67" t="s">
        <v>13264</v>
      </c>
    </row>
    <row r="4" spans="1:27" x14ac:dyDescent="0.2">
      <c r="A4" s="56">
        <v>1</v>
      </c>
      <c r="B4" s="56" t="s">
        <v>6505</v>
      </c>
      <c r="C4" s="340" t="s">
        <v>13312</v>
      </c>
      <c r="D4" s="344"/>
      <c r="E4" s="344"/>
      <c r="F4" s="344"/>
      <c r="G4" s="344"/>
      <c r="H4" s="345"/>
      <c r="I4" s="344"/>
      <c r="J4" s="344"/>
      <c r="K4" s="344"/>
      <c r="L4" s="345"/>
      <c r="M4" s="344"/>
      <c r="N4" s="344"/>
      <c r="O4" s="344"/>
      <c r="P4" s="344"/>
      <c r="Q4" s="344"/>
      <c r="R4" s="344"/>
      <c r="S4" s="344"/>
      <c r="T4" s="346"/>
      <c r="U4" s="347"/>
      <c r="V4" s="344"/>
      <c r="W4" s="344"/>
      <c r="X4" s="345"/>
      <c r="Y4" s="344" t="s">
        <v>13285</v>
      </c>
      <c r="Z4" s="345" t="s">
        <v>13285</v>
      </c>
      <c r="AA4" s="56">
        <f t="shared" ref="AA4:AA35" si="0">COUNTA(D4:Z4)</f>
        <v>2</v>
      </c>
    </row>
    <row r="5" spans="1:27" x14ac:dyDescent="0.2">
      <c r="A5" s="56">
        <v>2</v>
      </c>
      <c r="B5" s="56" t="s">
        <v>6254</v>
      </c>
      <c r="C5" s="340" t="s">
        <v>13313</v>
      </c>
      <c r="D5" s="344" t="s">
        <v>13285</v>
      </c>
      <c r="E5" s="344"/>
      <c r="F5" s="344"/>
      <c r="G5" s="344"/>
      <c r="H5" s="345"/>
      <c r="I5" s="344" t="s">
        <v>13285</v>
      </c>
      <c r="J5" s="344" t="s">
        <v>13285</v>
      </c>
      <c r="K5" s="344"/>
      <c r="L5" s="345" t="s">
        <v>13285</v>
      </c>
      <c r="M5" s="344"/>
      <c r="N5" s="344"/>
      <c r="O5" s="344"/>
      <c r="P5" s="344" t="s">
        <v>13285</v>
      </c>
      <c r="Q5" s="344" t="s">
        <v>13285</v>
      </c>
      <c r="R5" s="344" t="s">
        <v>13285</v>
      </c>
      <c r="S5" s="344" t="s">
        <v>13285</v>
      </c>
      <c r="T5" s="346"/>
      <c r="U5" s="347" t="s">
        <v>13285</v>
      </c>
      <c r="V5" s="344" t="s">
        <v>13285</v>
      </c>
      <c r="W5" s="344" t="s">
        <v>13285</v>
      </c>
      <c r="X5" s="345" t="s">
        <v>13285</v>
      </c>
      <c r="Y5" s="344"/>
      <c r="Z5" s="345"/>
      <c r="AA5" s="56">
        <f t="shared" si="0"/>
        <v>12</v>
      </c>
    </row>
    <row r="6" spans="1:27" x14ac:dyDescent="0.2">
      <c r="A6" s="56">
        <v>3</v>
      </c>
      <c r="B6" s="56" t="s">
        <v>6262</v>
      </c>
      <c r="C6" s="340" t="s">
        <v>13314</v>
      </c>
      <c r="D6" s="344" t="s">
        <v>13285</v>
      </c>
      <c r="E6" s="344"/>
      <c r="F6" s="344"/>
      <c r="G6" s="344"/>
      <c r="H6" s="345"/>
      <c r="I6" s="344" t="s">
        <v>13285</v>
      </c>
      <c r="J6" s="344"/>
      <c r="K6" s="344"/>
      <c r="L6" s="345"/>
      <c r="M6" s="344"/>
      <c r="N6" s="344"/>
      <c r="O6" s="344"/>
      <c r="P6" s="344"/>
      <c r="Q6" s="344"/>
      <c r="R6" s="344"/>
      <c r="S6" s="344"/>
      <c r="T6" s="345"/>
      <c r="U6" s="347" t="s">
        <v>13285</v>
      </c>
      <c r="V6" s="344" t="s">
        <v>13285</v>
      </c>
      <c r="W6" s="344" t="s">
        <v>13285</v>
      </c>
      <c r="X6" s="345"/>
      <c r="Y6" s="344"/>
      <c r="Z6" s="345"/>
      <c r="AA6" s="56">
        <f t="shared" si="0"/>
        <v>5</v>
      </c>
    </row>
    <row r="7" spans="1:27" x14ac:dyDescent="0.2">
      <c r="A7" s="56">
        <v>4</v>
      </c>
      <c r="B7" s="56" t="s">
        <v>13164</v>
      </c>
      <c r="C7" s="340" t="s">
        <v>13315</v>
      </c>
      <c r="D7" s="344" t="s">
        <v>13285</v>
      </c>
      <c r="E7" s="344"/>
      <c r="F7" s="344"/>
      <c r="G7" s="344"/>
      <c r="H7" s="345"/>
      <c r="I7" s="344" t="s">
        <v>13285</v>
      </c>
      <c r="J7" s="344"/>
      <c r="K7" s="344"/>
      <c r="L7" s="345"/>
      <c r="M7" s="344"/>
      <c r="N7" s="344"/>
      <c r="O7" s="344"/>
      <c r="P7" s="344" t="s">
        <v>13285</v>
      </c>
      <c r="Q7" s="344"/>
      <c r="R7" s="344"/>
      <c r="S7" s="344"/>
      <c r="T7" s="346"/>
      <c r="U7" s="347" t="s">
        <v>13285</v>
      </c>
      <c r="V7" s="344" t="s">
        <v>13285</v>
      </c>
      <c r="W7" s="344" t="s">
        <v>13285</v>
      </c>
      <c r="X7" s="345"/>
      <c r="Y7" s="344"/>
      <c r="Z7" s="345"/>
      <c r="AA7" s="56">
        <f t="shared" si="0"/>
        <v>6</v>
      </c>
    </row>
    <row r="8" spans="1:27" x14ac:dyDescent="0.2">
      <c r="A8" s="56">
        <v>5</v>
      </c>
      <c r="B8" s="56" t="s">
        <v>13182</v>
      </c>
      <c r="C8" s="340" t="s">
        <v>13316</v>
      </c>
      <c r="D8" s="344"/>
      <c r="E8" s="344"/>
      <c r="F8" s="344"/>
      <c r="G8" s="344"/>
      <c r="H8" s="345"/>
      <c r="I8" s="344"/>
      <c r="J8" s="344"/>
      <c r="K8" s="344"/>
      <c r="L8" s="345"/>
      <c r="M8" s="344"/>
      <c r="N8" s="344"/>
      <c r="O8" s="344"/>
      <c r="P8" s="344"/>
      <c r="Q8" s="344"/>
      <c r="R8" s="344"/>
      <c r="S8" s="344"/>
      <c r="T8" s="346"/>
      <c r="U8" s="347"/>
      <c r="V8" s="344"/>
      <c r="W8" s="344"/>
      <c r="X8" s="345"/>
      <c r="Y8" s="344" t="s">
        <v>13285</v>
      </c>
      <c r="Z8" s="345" t="s">
        <v>13285</v>
      </c>
      <c r="AA8" s="56">
        <f t="shared" si="0"/>
        <v>2</v>
      </c>
    </row>
    <row r="9" spans="1:27" x14ac:dyDescent="0.2">
      <c r="A9" s="56">
        <v>6</v>
      </c>
      <c r="B9" s="56" t="s">
        <v>13188</v>
      </c>
      <c r="C9" s="340" t="s">
        <v>13317</v>
      </c>
      <c r="D9" s="344"/>
      <c r="E9" s="344"/>
      <c r="F9" s="344"/>
      <c r="G9" s="344"/>
      <c r="H9" s="345"/>
      <c r="I9" s="344"/>
      <c r="J9" s="344"/>
      <c r="K9" s="344"/>
      <c r="L9" s="345"/>
      <c r="M9" s="344"/>
      <c r="N9" s="344"/>
      <c r="O9" s="344"/>
      <c r="P9" s="344"/>
      <c r="Q9" s="344"/>
      <c r="R9" s="344"/>
      <c r="S9" s="344"/>
      <c r="T9" s="346"/>
      <c r="U9" s="347"/>
      <c r="V9" s="344"/>
      <c r="W9" s="344"/>
      <c r="X9" s="345"/>
      <c r="Y9" s="344" t="s">
        <v>13285</v>
      </c>
      <c r="Z9" s="345" t="s">
        <v>13285</v>
      </c>
      <c r="AA9" s="56">
        <f t="shared" si="0"/>
        <v>2</v>
      </c>
    </row>
    <row r="10" spans="1:27" x14ac:dyDescent="0.2">
      <c r="A10" s="56">
        <v>7</v>
      </c>
      <c r="B10" s="56" t="s">
        <v>15</v>
      </c>
      <c r="C10" s="340" t="s">
        <v>13318</v>
      </c>
      <c r="D10" s="344" t="s">
        <v>13285</v>
      </c>
      <c r="E10" s="344"/>
      <c r="F10" s="344"/>
      <c r="G10" s="344"/>
      <c r="H10" s="345"/>
      <c r="I10" s="344" t="s">
        <v>13285</v>
      </c>
      <c r="J10" s="344"/>
      <c r="K10" s="344"/>
      <c r="L10" s="345"/>
      <c r="M10" s="344"/>
      <c r="N10" s="344"/>
      <c r="O10" s="344"/>
      <c r="P10" s="344"/>
      <c r="Q10" s="344"/>
      <c r="R10" s="344"/>
      <c r="S10" s="344"/>
      <c r="T10" s="346"/>
      <c r="U10" s="347"/>
      <c r="V10" s="344"/>
      <c r="W10" s="344"/>
      <c r="X10" s="345"/>
      <c r="Y10" s="344" t="s">
        <v>13285</v>
      </c>
      <c r="Z10" s="345" t="s">
        <v>13285</v>
      </c>
      <c r="AA10" s="56">
        <f t="shared" si="0"/>
        <v>4</v>
      </c>
    </row>
    <row r="11" spans="1:27" x14ac:dyDescent="0.2">
      <c r="A11" s="56">
        <v>8</v>
      </c>
      <c r="B11" s="56" t="s">
        <v>5580</v>
      </c>
      <c r="C11" s="340" t="s">
        <v>13319</v>
      </c>
      <c r="D11" s="344"/>
      <c r="E11" s="344"/>
      <c r="F11" s="344"/>
      <c r="G11" s="344"/>
      <c r="H11" s="345"/>
      <c r="I11" s="344"/>
      <c r="J11" s="344"/>
      <c r="K11" s="344"/>
      <c r="L11" s="345"/>
      <c r="M11" s="344"/>
      <c r="N11" s="344"/>
      <c r="O11" s="344"/>
      <c r="P11" s="344"/>
      <c r="Q11" s="344"/>
      <c r="R11" s="344"/>
      <c r="S11" s="344"/>
      <c r="T11" s="346"/>
      <c r="U11" s="347"/>
      <c r="V11" s="344"/>
      <c r="W11" s="344"/>
      <c r="X11" s="345"/>
      <c r="Y11" s="344" t="s">
        <v>13285</v>
      </c>
      <c r="Z11" s="345" t="s">
        <v>13285</v>
      </c>
      <c r="AA11" s="56">
        <f t="shared" si="0"/>
        <v>2</v>
      </c>
    </row>
    <row r="12" spans="1:27" x14ac:dyDescent="0.2">
      <c r="A12" s="56">
        <v>9</v>
      </c>
      <c r="B12" s="56" t="s">
        <v>6314</v>
      </c>
      <c r="C12" s="340" t="s">
        <v>13320</v>
      </c>
      <c r="D12" s="344" t="s">
        <v>13285</v>
      </c>
      <c r="E12" s="344"/>
      <c r="F12" s="344"/>
      <c r="G12" s="344"/>
      <c r="H12" s="345"/>
      <c r="I12" s="344" t="s">
        <v>13285</v>
      </c>
      <c r="J12" s="344"/>
      <c r="K12" s="344"/>
      <c r="L12" s="345"/>
      <c r="M12" s="344"/>
      <c r="N12" s="344"/>
      <c r="O12" s="344"/>
      <c r="P12" s="344"/>
      <c r="Q12" s="344"/>
      <c r="R12" s="344"/>
      <c r="S12" s="344"/>
      <c r="T12" s="346"/>
      <c r="U12" s="347"/>
      <c r="V12" s="344"/>
      <c r="W12" s="344"/>
      <c r="X12" s="345"/>
      <c r="Y12" s="344"/>
      <c r="Z12" s="345"/>
      <c r="AA12" s="56">
        <f t="shared" si="0"/>
        <v>2</v>
      </c>
    </row>
    <row r="13" spans="1:27" x14ac:dyDescent="0.2">
      <c r="A13" s="56">
        <v>10</v>
      </c>
      <c r="B13" s="56" t="s">
        <v>6237</v>
      </c>
      <c r="C13" s="340" t="s">
        <v>13321</v>
      </c>
      <c r="D13" s="344"/>
      <c r="E13" s="344"/>
      <c r="F13" s="344"/>
      <c r="G13" s="344"/>
      <c r="H13" s="345"/>
      <c r="I13" s="344"/>
      <c r="J13" s="344"/>
      <c r="K13" s="344"/>
      <c r="L13" s="345"/>
      <c r="M13" s="344"/>
      <c r="N13" s="344"/>
      <c r="O13" s="344"/>
      <c r="P13" s="344"/>
      <c r="Q13" s="344"/>
      <c r="R13" s="344"/>
      <c r="S13" s="344"/>
      <c r="T13" s="346"/>
      <c r="U13" s="347"/>
      <c r="V13" s="344"/>
      <c r="W13" s="344"/>
      <c r="X13" s="345"/>
      <c r="Y13" s="344" t="s">
        <v>13285</v>
      </c>
      <c r="Z13" s="345" t="s">
        <v>13285</v>
      </c>
      <c r="AA13" s="56">
        <f t="shared" si="0"/>
        <v>2</v>
      </c>
    </row>
    <row r="14" spans="1:27" x14ac:dyDescent="0.2">
      <c r="A14" s="56">
        <v>11</v>
      </c>
      <c r="B14" s="56" t="s">
        <v>6143</v>
      </c>
      <c r="C14" s="340" t="s">
        <v>13322</v>
      </c>
      <c r="D14" s="344"/>
      <c r="E14" s="344"/>
      <c r="F14" s="344"/>
      <c r="G14" s="344"/>
      <c r="H14" s="345"/>
      <c r="I14" s="344"/>
      <c r="J14" s="344"/>
      <c r="K14" s="344"/>
      <c r="L14" s="345"/>
      <c r="M14" s="344"/>
      <c r="N14" s="344"/>
      <c r="O14" s="344"/>
      <c r="P14" s="344"/>
      <c r="Q14" s="344"/>
      <c r="R14" s="344"/>
      <c r="S14" s="344"/>
      <c r="T14" s="346"/>
      <c r="U14" s="347"/>
      <c r="V14" s="344"/>
      <c r="W14" s="344"/>
      <c r="X14" s="345"/>
      <c r="Y14" s="344" t="s">
        <v>13285</v>
      </c>
      <c r="Z14" s="345" t="s">
        <v>13285</v>
      </c>
      <c r="AA14" s="56">
        <f t="shared" si="0"/>
        <v>2</v>
      </c>
    </row>
    <row r="15" spans="1:27" x14ac:dyDescent="0.2">
      <c r="A15" s="56">
        <v>12</v>
      </c>
      <c r="B15" s="56" t="s">
        <v>83</v>
      </c>
      <c r="C15" s="340" t="s">
        <v>13323</v>
      </c>
      <c r="D15" s="344"/>
      <c r="E15" s="344"/>
      <c r="F15" s="344"/>
      <c r="G15" s="344"/>
      <c r="H15" s="345"/>
      <c r="I15" s="344"/>
      <c r="J15" s="344"/>
      <c r="K15" s="344"/>
      <c r="L15" s="345"/>
      <c r="M15" s="344"/>
      <c r="N15" s="344"/>
      <c r="O15" s="344"/>
      <c r="P15" s="344"/>
      <c r="Q15" s="344"/>
      <c r="R15" s="344"/>
      <c r="S15" s="344"/>
      <c r="T15" s="346"/>
      <c r="U15" s="347"/>
      <c r="V15" s="344"/>
      <c r="W15" s="344"/>
      <c r="X15" s="345"/>
      <c r="Y15" s="344" t="s">
        <v>13285</v>
      </c>
      <c r="Z15" s="345" t="s">
        <v>13285</v>
      </c>
      <c r="AA15" s="56">
        <f t="shared" si="0"/>
        <v>2</v>
      </c>
    </row>
    <row r="16" spans="1:27" x14ac:dyDescent="0.2">
      <c r="A16" s="56">
        <v>13</v>
      </c>
      <c r="B16" s="56" t="s">
        <v>11245</v>
      </c>
      <c r="C16" s="340" t="s">
        <v>13324</v>
      </c>
      <c r="D16" s="344"/>
      <c r="E16" s="344"/>
      <c r="F16" s="344"/>
      <c r="G16" s="344"/>
      <c r="H16" s="345"/>
      <c r="I16" s="344"/>
      <c r="J16" s="344"/>
      <c r="K16" s="344"/>
      <c r="L16" s="345"/>
      <c r="M16" s="344"/>
      <c r="N16" s="344"/>
      <c r="O16" s="344"/>
      <c r="P16" s="344"/>
      <c r="Q16" s="344"/>
      <c r="R16" s="344"/>
      <c r="S16" s="344"/>
      <c r="T16" s="346"/>
      <c r="U16" s="347"/>
      <c r="V16" s="344"/>
      <c r="W16" s="344"/>
      <c r="X16" s="345"/>
      <c r="Y16" s="344" t="s">
        <v>13285</v>
      </c>
      <c r="Z16" s="345" t="s">
        <v>13285</v>
      </c>
      <c r="AA16" s="56">
        <f t="shared" si="0"/>
        <v>2</v>
      </c>
    </row>
    <row r="17" spans="1:27" x14ac:dyDescent="0.2">
      <c r="A17" s="56">
        <v>14</v>
      </c>
      <c r="B17" s="56" t="s">
        <v>4453</v>
      </c>
      <c r="C17" s="340" t="s">
        <v>13325</v>
      </c>
      <c r="D17" s="344"/>
      <c r="E17" s="344"/>
      <c r="F17" s="344"/>
      <c r="G17" s="344"/>
      <c r="H17" s="345"/>
      <c r="I17" s="344"/>
      <c r="J17" s="344"/>
      <c r="K17" s="344"/>
      <c r="L17" s="345"/>
      <c r="M17" s="344"/>
      <c r="N17" s="344"/>
      <c r="O17" s="344"/>
      <c r="P17" s="344"/>
      <c r="Q17" s="344"/>
      <c r="R17" s="344"/>
      <c r="S17" s="344"/>
      <c r="T17" s="346"/>
      <c r="U17" s="347"/>
      <c r="V17" s="344"/>
      <c r="W17" s="344"/>
      <c r="X17" s="345"/>
      <c r="Y17" s="344" t="s">
        <v>13285</v>
      </c>
      <c r="Z17" s="345" t="s">
        <v>13285</v>
      </c>
      <c r="AA17" s="56">
        <f t="shared" si="0"/>
        <v>2</v>
      </c>
    </row>
    <row r="18" spans="1:27" x14ac:dyDescent="0.2">
      <c r="A18" s="56">
        <v>15</v>
      </c>
      <c r="B18" s="56" t="s">
        <v>5087</v>
      </c>
      <c r="C18" s="340" t="s">
        <v>13326</v>
      </c>
      <c r="D18" s="344" t="s">
        <v>13285</v>
      </c>
      <c r="E18" s="344"/>
      <c r="F18" s="344"/>
      <c r="G18" s="344"/>
      <c r="H18" s="345"/>
      <c r="I18" s="344" t="s">
        <v>13285</v>
      </c>
      <c r="J18" s="344"/>
      <c r="K18" s="344"/>
      <c r="L18" s="345"/>
      <c r="M18" s="344"/>
      <c r="N18" s="344"/>
      <c r="O18" s="344"/>
      <c r="P18" s="344"/>
      <c r="Q18" s="344"/>
      <c r="R18" s="344"/>
      <c r="S18" s="344"/>
      <c r="T18" s="346"/>
      <c r="U18" s="347"/>
      <c r="V18" s="344"/>
      <c r="W18" s="344"/>
      <c r="X18" s="345"/>
      <c r="Y18" s="344"/>
      <c r="Z18" s="345" t="s">
        <v>13285</v>
      </c>
      <c r="AA18" s="56">
        <f t="shared" si="0"/>
        <v>3</v>
      </c>
    </row>
    <row r="19" spans="1:27" x14ac:dyDescent="0.2">
      <c r="A19" s="56">
        <v>16</v>
      </c>
      <c r="B19" s="56" t="s">
        <v>6446</v>
      </c>
      <c r="C19" s="340" t="s">
        <v>13327</v>
      </c>
      <c r="D19" s="344"/>
      <c r="E19" s="344"/>
      <c r="F19" s="344"/>
      <c r="G19" s="344"/>
      <c r="H19" s="345"/>
      <c r="I19" s="344"/>
      <c r="J19" s="344"/>
      <c r="K19" s="344"/>
      <c r="L19" s="345"/>
      <c r="M19" s="344"/>
      <c r="N19" s="344" t="s">
        <v>13285</v>
      </c>
      <c r="O19" s="344"/>
      <c r="P19" s="344"/>
      <c r="Q19" s="344"/>
      <c r="R19" s="344"/>
      <c r="S19" s="344"/>
      <c r="T19" s="346"/>
      <c r="U19" s="347"/>
      <c r="V19" s="344"/>
      <c r="W19" s="344"/>
      <c r="X19" s="345"/>
      <c r="Y19" s="344"/>
      <c r="Z19" s="345" t="s">
        <v>13285</v>
      </c>
      <c r="AA19" s="56">
        <f t="shared" si="0"/>
        <v>2</v>
      </c>
    </row>
    <row r="20" spans="1:27" x14ac:dyDescent="0.2">
      <c r="A20" s="56">
        <v>17</v>
      </c>
      <c r="B20" s="56" t="s">
        <v>12837</v>
      </c>
      <c r="C20" s="340" t="s">
        <v>13328</v>
      </c>
      <c r="D20" s="344"/>
      <c r="E20" s="344"/>
      <c r="F20" s="344"/>
      <c r="G20" s="344"/>
      <c r="H20" s="345"/>
      <c r="I20" s="344"/>
      <c r="J20" s="344"/>
      <c r="K20" s="344"/>
      <c r="L20" s="345"/>
      <c r="M20" s="344"/>
      <c r="N20" s="344" t="s">
        <v>13285</v>
      </c>
      <c r="O20" s="344"/>
      <c r="P20" s="344"/>
      <c r="Q20" s="344"/>
      <c r="R20" s="344"/>
      <c r="S20" s="344"/>
      <c r="T20" s="346"/>
      <c r="U20" s="347"/>
      <c r="V20" s="344"/>
      <c r="W20" s="344"/>
      <c r="X20" s="345"/>
      <c r="Y20" s="344"/>
      <c r="Z20" s="345" t="s">
        <v>13285</v>
      </c>
      <c r="AA20" s="56">
        <f t="shared" si="0"/>
        <v>2</v>
      </c>
    </row>
    <row r="21" spans="1:27" x14ac:dyDescent="0.2">
      <c r="A21" s="56">
        <v>18</v>
      </c>
      <c r="B21" s="56" t="s">
        <v>2765</v>
      </c>
      <c r="C21" s="340" t="s">
        <v>13329</v>
      </c>
      <c r="D21" s="344"/>
      <c r="E21" s="344"/>
      <c r="F21" s="344"/>
      <c r="G21" s="344"/>
      <c r="H21" s="345"/>
      <c r="I21" s="344"/>
      <c r="J21" s="344"/>
      <c r="K21" s="344"/>
      <c r="L21" s="345"/>
      <c r="M21" s="344"/>
      <c r="N21" s="344"/>
      <c r="O21" s="344"/>
      <c r="P21" s="344"/>
      <c r="Q21" s="344"/>
      <c r="R21" s="344"/>
      <c r="S21" s="344"/>
      <c r="T21" s="346"/>
      <c r="U21" s="347"/>
      <c r="V21" s="344"/>
      <c r="W21" s="344"/>
      <c r="X21" s="345"/>
      <c r="Y21" s="344" t="s">
        <v>13285</v>
      </c>
      <c r="Z21" s="345" t="s">
        <v>13285</v>
      </c>
      <c r="AA21" s="56">
        <f t="shared" si="0"/>
        <v>2</v>
      </c>
    </row>
    <row r="22" spans="1:27" x14ac:dyDescent="0.2">
      <c r="A22" s="56">
        <v>19</v>
      </c>
      <c r="B22" s="56" t="s">
        <v>3381</v>
      </c>
      <c r="C22" s="340" t="s">
        <v>13330</v>
      </c>
      <c r="D22" s="344"/>
      <c r="E22" s="344"/>
      <c r="F22" s="344"/>
      <c r="G22" s="344"/>
      <c r="H22" s="345"/>
      <c r="I22" s="344"/>
      <c r="J22" s="344"/>
      <c r="K22" s="344"/>
      <c r="L22" s="345"/>
      <c r="M22" s="344"/>
      <c r="N22" s="344"/>
      <c r="O22" s="344"/>
      <c r="P22" s="344"/>
      <c r="Q22" s="344"/>
      <c r="R22" s="344"/>
      <c r="S22" s="344"/>
      <c r="T22" s="346"/>
      <c r="U22" s="347"/>
      <c r="V22" s="344"/>
      <c r="W22" s="344"/>
      <c r="X22" s="345"/>
      <c r="Y22" s="344" t="s">
        <v>13285</v>
      </c>
      <c r="Z22" s="345" t="s">
        <v>13285</v>
      </c>
      <c r="AA22" s="56">
        <f t="shared" si="0"/>
        <v>2</v>
      </c>
    </row>
    <row r="23" spans="1:27" x14ac:dyDescent="0.2">
      <c r="A23" s="56">
        <v>20</v>
      </c>
      <c r="B23" s="56" t="s">
        <v>4973</v>
      </c>
      <c r="C23" s="340" t="s">
        <v>13331</v>
      </c>
      <c r="D23" s="344" t="s">
        <v>13285</v>
      </c>
      <c r="E23" s="344"/>
      <c r="F23" s="344"/>
      <c r="G23" s="344"/>
      <c r="H23" s="345"/>
      <c r="I23" s="344" t="s">
        <v>13285</v>
      </c>
      <c r="J23" s="344"/>
      <c r="K23" s="344"/>
      <c r="L23" s="345"/>
      <c r="M23" s="344"/>
      <c r="N23" s="344"/>
      <c r="O23" s="344"/>
      <c r="P23" s="344"/>
      <c r="Q23" s="344"/>
      <c r="R23" s="344"/>
      <c r="S23" s="344"/>
      <c r="T23" s="346"/>
      <c r="U23" s="347"/>
      <c r="V23" s="344"/>
      <c r="W23" s="344"/>
      <c r="X23" s="345"/>
      <c r="Y23" s="344"/>
      <c r="Z23" s="345" t="s">
        <v>13285</v>
      </c>
      <c r="AA23" s="56">
        <f t="shared" si="0"/>
        <v>3</v>
      </c>
    </row>
    <row r="24" spans="1:27" x14ac:dyDescent="0.2">
      <c r="A24" s="56">
        <v>21</v>
      </c>
      <c r="B24" s="56" t="s">
        <v>4246</v>
      </c>
      <c r="C24" s="340" t="s">
        <v>13332</v>
      </c>
      <c r="D24" s="344" t="s">
        <v>13285</v>
      </c>
      <c r="E24" s="344"/>
      <c r="F24" s="344"/>
      <c r="G24" s="344"/>
      <c r="H24" s="345"/>
      <c r="I24" s="344" t="s">
        <v>13285</v>
      </c>
      <c r="J24" s="344"/>
      <c r="K24" s="344"/>
      <c r="L24" s="345"/>
      <c r="M24" s="344"/>
      <c r="N24" s="344"/>
      <c r="O24" s="344"/>
      <c r="P24" s="344"/>
      <c r="Q24" s="344"/>
      <c r="R24" s="344"/>
      <c r="S24" s="344"/>
      <c r="T24" s="346"/>
      <c r="U24" s="347"/>
      <c r="V24" s="344"/>
      <c r="W24" s="344"/>
      <c r="X24" s="345"/>
      <c r="Y24" s="344"/>
      <c r="Z24" s="345" t="s">
        <v>13285</v>
      </c>
      <c r="AA24" s="56">
        <f t="shared" si="0"/>
        <v>3</v>
      </c>
    </row>
    <row r="25" spans="1:27" x14ac:dyDescent="0.2">
      <c r="A25" s="56">
        <v>22</v>
      </c>
      <c r="B25" s="56" t="s">
        <v>5058</v>
      </c>
      <c r="C25" s="340" t="s">
        <v>13333</v>
      </c>
      <c r="D25" s="344" t="s">
        <v>13285</v>
      </c>
      <c r="E25" s="348"/>
      <c r="F25" s="344"/>
      <c r="G25" s="344" t="s">
        <v>13285</v>
      </c>
      <c r="H25" s="345" t="s">
        <v>13285</v>
      </c>
      <c r="I25" s="344"/>
      <c r="J25" s="348"/>
      <c r="K25" s="344"/>
      <c r="L25" s="346"/>
      <c r="M25" s="348"/>
      <c r="N25" s="348"/>
      <c r="O25" s="344" t="s">
        <v>13285</v>
      </c>
      <c r="P25" s="344" t="s">
        <v>13285</v>
      </c>
      <c r="Q25" s="344" t="s">
        <v>13285</v>
      </c>
      <c r="R25" s="348"/>
      <c r="S25" s="348"/>
      <c r="T25" s="346"/>
      <c r="U25" s="347" t="s">
        <v>13285</v>
      </c>
      <c r="V25" s="348"/>
      <c r="W25" s="344" t="s">
        <v>13285</v>
      </c>
      <c r="X25" s="346"/>
      <c r="Y25" s="348"/>
      <c r="Z25" s="346"/>
      <c r="AA25" s="56">
        <f t="shared" si="0"/>
        <v>8</v>
      </c>
    </row>
    <row r="26" spans="1:27" x14ac:dyDescent="0.2">
      <c r="A26" s="56">
        <v>23</v>
      </c>
      <c r="B26" s="56" t="s">
        <v>4122</v>
      </c>
      <c r="C26" s="340" t="s">
        <v>13334</v>
      </c>
      <c r="D26" s="344" t="s">
        <v>13285</v>
      </c>
      <c r="E26" s="344"/>
      <c r="F26" s="344"/>
      <c r="G26" s="344"/>
      <c r="H26" s="345"/>
      <c r="I26" s="344" t="s">
        <v>13285</v>
      </c>
      <c r="J26" s="344" t="s">
        <v>13285</v>
      </c>
      <c r="K26" s="344"/>
      <c r="L26" s="345"/>
      <c r="M26" s="344"/>
      <c r="N26" s="344"/>
      <c r="O26" s="344"/>
      <c r="P26" s="344" t="s">
        <v>13285</v>
      </c>
      <c r="Q26" s="344" t="s">
        <v>13285</v>
      </c>
      <c r="R26" s="344"/>
      <c r="S26" s="344" t="s">
        <v>13285</v>
      </c>
      <c r="T26" s="346"/>
      <c r="U26" s="347" t="s">
        <v>13285</v>
      </c>
      <c r="V26" s="344" t="s">
        <v>13285</v>
      </c>
      <c r="W26" s="344" t="s">
        <v>13285</v>
      </c>
      <c r="X26" s="345"/>
      <c r="Y26" s="344"/>
      <c r="Z26" s="345"/>
      <c r="AA26" s="56">
        <f t="shared" si="0"/>
        <v>9</v>
      </c>
    </row>
    <row r="27" spans="1:27" x14ac:dyDescent="0.2">
      <c r="A27" s="56">
        <v>24</v>
      </c>
      <c r="B27" s="56" t="s">
        <v>13156</v>
      </c>
      <c r="C27" s="340" t="s">
        <v>13335</v>
      </c>
      <c r="D27" s="344" t="s">
        <v>13285</v>
      </c>
      <c r="E27" s="348"/>
      <c r="F27" s="344"/>
      <c r="G27" s="344"/>
      <c r="H27" s="345"/>
      <c r="I27" s="344" t="s">
        <v>13285</v>
      </c>
      <c r="J27" s="344" t="s">
        <v>13285</v>
      </c>
      <c r="K27" s="344"/>
      <c r="L27" s="346"/>
      <c r="M27" s="348"/>
      <c r="N27" s="348"/>
      <c r="O27" s="344"/>
      <c r="P27" s="344" t="s">
        <v>13285</v>
      </c>
      <c r="Q27" s="344" t="s">
        <v>13285</v>
      </c>
      <c r="R27" s="348"/>
      <c r="S27" s="348"/>
      <c r="T27" s="346"/>
      <c r="U27" s="347" t="s">
        <v>13285</v>
      </c>
      <c r="V27" s="344" t="s">
        <v>13285</v>
      </c>
      <c r="W27" s="344" t="s">
        <v>13285</v>
      </c>
      <c r="X27" s="346"/>
      <c r="Y27" s="344"/>
      <c r="Z27" s="345"/>
      <c r="AA27" s="56">
        <f t="shared" si="0"/>
        <v>8</v>
      </c>
    </row>
    <row r="28" spans="1:27" x14ac:dyDescent="0.2">
      <c r="A28" s="56">
        <v>25</v>
      </c>
      <c r="B28" s="56" t="s">
        <v>13229</v>
      </c>
      <c r="C28" s="340" t="s">
        <v>13336</v>
      </c>
      <c r="D28" s="344"/>
      <c r="E28" s="344"/>
      <c r="F28" s="344"/>
      <c r="G28" s="344"/>
      <c r="H28" s="345"/>
      <c r="I28" s="344"/>
      <c r="J28" s="344" t="s">
        <v>13285</v>
      </c>
      <c r="K28" s="344"/>
      <c r="L28" s="345"/>
      <c r="M28" s="344" t="s">
        <v>13285</v>
      </c>
      <c r="N28" s="344"/>
      <c r="O28" s="344"/>
      <c r="P28" s="344"/>
      <c r="Q28" s="344" t="s">
        <v>13285</v>
      </c>
      <c r="R28" s="344" t="s">
        <v>13285</v>
      </c>
      <c r="S28" s="344"/>
      <c r="T28" s="346"/>
      <c r="U28" s="347"/>
      <c r="V28" s="344"/>
      <c r="W28" s="344"/>
      <c r="X28" s="345"/>
      <c r="Y28" s="344"/>
      <c r="Z28" s="345"/>
      <c r="AA28" s="56">
        <f t="shared" si="0"/>
        <v>4</v>
      </c>
    </row>
    <row r="29" spans="1:27" x14ac:dyDescent="0.2">
      <c r="A29" s="56">
        <v>26</v>
      </c>
      <c r="B29" s="56" t="s">
        <v>51</v>
      </c>
      <c r="C29" s="340" t="s">
        <v>13337</v>
      </c>
      <c r="D29" s="344"/>
      <c r="E29" s="344"/>
      <c r="F29" s="344"/>
      <c r="G29" s="344"/>
      <c r="H29" s="345"/>
      <c r="I29" s="344"/>
      <c r="J29" s="344"/>
      <c r="K29" s="344"/>
      <c r="L29" s="345"/>
      <c r="M29" s="344"/>
      <c r="N29" s="344"/>
      <c r="O29" s="344"/>
      <c r="P29" s="344"/>
      <c r="Q29" s="344"/>
      <c r="R29" s="344"/>
      <c r="S29" s="344"/>
      <c r="T29" s="346"/>
      <c r="U29" s="347"/>
      <c r="V29" s="344"/>
      <c r="W29" s="344"/>
      <c r="X29" s="345"/>
      <c r="Y29" s="344" t="s">
        <v>13285</v>
      </c>
      <c r="Z29" s="345" t="s">
        <v>13285</v>
      </c>
      <c r="AA29" s="56">
        <f t="shared" si="0"/>
        <v>2</v>
      </c>
    </row>
    <row r="30" spans="1:27" x14ac:dyDescent="0.2">
      <c r="A30" s="56">
        <v>27</v>
      </c>
      <c r="B30" s="56" t="s">
        <v>11576</v>
      </c>
      <c r="C30" s="340" t="s">
        <v>13338</v>
      </c>
      <c r="D30" s="344"/>
      <c r="E30" s="344"/>
      <c r="F30" s="344"/>
      <c r="G30" s="344"/>
      <c r="H30" s="345"/>
      <c r="I30" s="344"/>
      <c r="J30" s="344"/>
      <c r="K30" s="344"/>
      <c r="L30" s="345"/>
      <c r="M30" s="344"/>
      <c r="N30" s="344"/>
      <c r="O30" s="344"/>
      <c r="P30" s="344"/>
      <c r="Q30" s="344"/>
      <c r="R30" s="344"/>
      <c r="S30" s="344"/>
      <c r="T30" s="346"/>
      <c r="U30" s="347"/>
      <c r="V30" s="344"/>
      <c r="W30" s="344"/>
      <c r="X30" s="345"/>
      <c r="Y30" s="344" t="s">
        <v>13285</v>
      </c>
      <c r="Z30" s="345" t="s">
        <v>13285</v>
      </c>
      <c r="AA30" s="56">
        <f t="shared" si="0"/>
        <v>2</v>
      </c>
    </row>
    <row r="31" spans="1:27" x14ac:dyDescent="0.2">
      <c r="A31" s="56">
        <v>28</v>
      </c>
      <c r="B31" s="56" t="s">
        <v>2436</v>
      </c>
      <c r="C31" s="340" t="s">
        <v>13339</v>
      </c>
      <c r="D31" s="344" t="s">
        <v>13285</v>
      </c>
      <c r="E31" s="344"/>
      <c r="F31" s="344"/>
      <c r="G31" s="344"/>
      <c r="H31" s="345"/>
      <c r="I31" s="344" t="s">
        <v>13285</v>
      </c>
      <c r="J31" s="344"/>
      <c r="K31" s="344"/>
      <c r="L31" s="345"/>
      <c r="M31" s="344"/>
      <c r="N31" s="344"/>
      <c r="O31" s="344"/>
      <c r="P31" s="344"/>
      <c r="Q31" s="344"/>
      <c r="R31" s="344"/>
      <c r="S31" s="344"/>
      <c r="T31" s="346"/>
      <c r="U31" s="347"/>
      <c r="V31" s="344" t="s">
        <v>13285</v>
      </c>
      <c r="W31" s="344"/>
      <c r="X31" s="345"/>
      <c r="Y31" s="344"/>
      <c r="Z31" s="345" t="s">
        <v>13285</v>
      </c>
      <c r="AA31" s="56">
        <f t="shared" si="0"/>
        <v>4</v>
      </c>
    </row>
    <row r="32" spans="1:27" x14ac:dyDescent="0.2">
      <c r="A32" s="56">
        <v>29</v>
      </c>
      <c r="B32" s="56" t="s">
        <v>2857</v>
      </c>
      <c r="C32" s="340" t="s">
        <v>13340</v>
      </c>
      <c r="D32" s="344"/>
      <c r="E32" s="344"/>
      <c r="F32" s="344"/>
      <c r="G32" s="344"/>
      <c r="H32" s="345"/>
      <c r="I32" s="344"/>
      <c r="J32" s="344"/>
      <c r="K32" s="344"/>
      <c r="L32" s="345"/>
      <c r="M32" s="344"/>
      <c r="N32" s="344"/>
      <c r="O32" s="344"/>
      <c r="P32" s="344"/>
      <c r="Q32" s="344"/>
      <c r="R32" s="344"/>
      <c r="S32" s="344"/>
      <c r="T32" s="346"/>
      <c r="U32" s="347"/>
      <c r="V32" s="344"/>
      <c r="W32" s="344"/>
      <c r="X32" s="345"/>
      <c r="Y32" s="344" t="s">
        <v>13285</v>
      </c>
      <c r="Z32" s="345" t="s">
        <v>13285</v>
      </c>
      <c r="AA32" s="56">
        <f t="shared" si="0"/>
        <v>2</v>
      </c>
    </row>
    <row r="33" spans="1:27" x14ac:dyDescent="0.2">
      <c r="A33" s="56">
        <v>30</v>
      </c>
      <c r="B33" s="56" t="s">
        <v>3345</v>
      </c>
      <c r="C33" s="340" t="s">
        <v>13341</v>
      </c>
      <c r="D33" s="344" t="s">
        <v>13285</v>
      </c>
      <c r="E33" s="344"/>
      <c r="F33" s="344" t="s">
        <v>13285</v>
      </c>
      <c r="G33" s="344"/>
      <c r="H33" s="345"/>
      <c r="I33" s="344" t="s">
        <v>13285</v>
      </c>
      <c r="J33" s="344"/>
      <c r="K33" s="344" t="s">
        <v>13285</v>
      </c>
      <c r="L33" s="345"/>
      <c r="M33" s="344"/>
      <c r="N33" s="344"/>
      <c r="O33" s="344"/>
      <c r="P33" s="344"/>
      <c r="Q33" s="344"/>
      <c r="R33" s="344"/>
      <c r="S33" s="344"/>
      <c r="T33" s="346"/>
      <c r="U33" s="347" t="s">
        <v>13285</v>
      </c>
      <c r="V33" s="344" t="s">
        <v>13285</v>
      </c>
      <c r="W33" s="344" t="s">
        <v>13285</v>
      </c>
      <c r="X33" s="345"/>
      <c r="Y33" s="344"/>
      <c r="Z33" s="345"/>
      <c r="AA33" s="56">
        <f t="shared" si="0"/>
        <v>7</v>
      </c>
    </row>
    <row r="34" spans="1:27" x14ac:dyDescent="0.2">
      <c r="A34" s="56">
        <v>31</v>
      </c>
      <c r="B34" s="56" t="s">
        <v>6327</v>
      </c>
      <c r="C34" s="340" t="s">
        <v>13342</v>
      </c>
      <c r="D34" s="344"/>
      <c r="E34" s="344"/>
      <c r="F34" s="344"/>
      <c r="G34" s="344"/>
      <c r="H34" s="345"/>
      <c r="I34" s="344"/>
      <c r="J34" s="344"/>
      <c r="K34" s="344"/>
      <c r="L34" s="345"/>
      <c r="M34" s="344"/>
      <c r="N34" s="344"/>
      <c r="O34" s="344"/>
      <c r="P34" s="344"/>
      <c r="Q34" s="344"/>
      <c r="R34" s="344"/>
      <c r="S34" s="344"/>
      <c r="T34" s="346"/>
      <c r="U34" s="347"/>
      <c r="V34" s="344"/>
      <c r="W34" s="344"/>
      <c r="X34" s="345"/>
      <c r="Y34" s="344" t="s">
        <v>13285</v>
      </c>
      <c r="Z34" s="345" t="s">
        <v>13285</v>
      </c>
      <c r="AA34" s="56">
        <f t="shared" si="0"/>
        <v>2</v>
      </c>
    </row>
    <row r="35" spans="1:27" x14ac:dyDescent="0.2">
      <c r="A35" s="56">
        <v>32</v>
      </c>
      <c r="B35" s="56" t="s">
        <v>3454</v>
      </c>
      <c r="C35" s="340" t="s">
        <v>13343</v>
      </c>
      <c r="D35" s="344"/>
      <c r="E35" s="344"/>
      <c r="F35" s="344"/>
      <c r="G35" s="344"/>
      <c r="H35" s="345"/>
      <c r="I35" s="344"/>
      <c r="J35" s="344"/>
      <c r="K35" s="344"/>
      <c r="L35" s="345"/>
      <c r="M35" s="344"/>
      <c r="N35" s="344"/>
      <c r="O35" s="344"/>
      <c r="P35" s="344"/>
      <c r="Q35" s="344"/>
      <c r="R35" s="344"/>
      <c r="S35" s="344"/>
      <c r="T35" s="346"/>
      <c r="U35" s="347"/>
      <c r="V35" s="344"/>
      <c r="W35" s="344"/>
      <c r="X35" s="345"/>
      <c r="Y35" s="344" t="s">
        <v>13285</v>
      </c>
      <c r="Z35" s="345" t="s">
        <v>13285</v>
      </c>
      <c r="AA35" s="56">
        <f t="shared" si="0"/>
        <v>2</v>
      </c>
    </row>
    <row r="36" spans="1:27" x14ac:dyDescent="0.2">
      <c r="A36" s="56">
        <v>33</v>
      </c>
      <c r="B36" s="56" t="s">
        <v>11051</v>
      </c>
      <c r="C36" s="340" t="s">
        <v>13344</v>
      </c>
      <c r="D36" s="344" t="s">
        <v>13285</v>
      </c>
      <c r="E36" s="344"/>
      <c r="F36" s="344"/>
      <c r="G36" s="344"/>
      <c r="H36" s="345"/>
      <c r="I36" s="344" t="s">
        <v>13285</v>
      </c>
      <c r="J36" s="344"/>
      <c r="K36" s="344"/>
      <c r="L36" s="345"/>
      <c r="M36" s="344"/>
      <c r="N36" s="344"/>
      <c r="O36" s="344"/>
      <c r="P36" s="344"/>
      <c r="Q36" s="344"/>
      <c r="R36" s="344"/>
      <c r="S36" s="344"/>
      <c r="T36" s="346"/>
      <c r="U36" s="347" t="s">
        <v>13285</v>
      </c>
      <c r="V36" s="344" t="s">
        <v>13285</v>
      </c>
      <c r="W36" s="344" t="s">
        <v>13285</v>
      </c>
      <c r="X36" s="345"/>
      <c r="Y36" s="344"/>
      <c r="Z36" s="345"/>
      <c r="AA36" s="56">
        <f t="shared" ref="AA36:AA67" si="1">COUNTA(D36:Z36)</f>
        <v>5</v>
      </c>
    </row>
    <row r="37" spans="1:27" x14ac:dyDescent="0.2">
      <c r="A37" s="56">
        <v>34</v>
      </c>
      <c r="B37" s="56" t="s">
        <v>11667</v>
      </c>
      <c r="C37" s="340" t="s">
        <v>13345</v>
      </c>
      <c r="D37" s="344"/>
      <c r="E37" s="344"/>
      <c r="F37" s="344"/>
      <c r="G37" s="344"/>
      <c r="H37" s="345"/>
      <c r="I37" s="344"/>
      <c r="J37" s="344"/>
      <c r="K37" s="344"/>
      <c r="L37" s="345"/>
      <c r="M37" s="344"/>
      <c r="N37" s="344"/>
      <c r="O37" s="344"/>
      <c r="P37" s="344"/>
      <c r="Q37" s="344"/>
      <c r="R37" s="344"/>
      <c r="S37" s="344"/>
      <c r="T37" s="346"/>
      <c r="U37" s="347"/>
      <c r="V37" s="344"/>
      <c r="W37" s="344"/>
      <c r="X37" s="345"/>
      <c r="Y37" s="344" t="s">
        <v>13285</v>
      </c>
      <c r="Z37" s="345" t="s">
        <v>13285</v>
      </c>
      <c r="AA37" s="56">
        <f t="shared" si="1"/>
        <v>2</v>
      </c>
    </row>
    <row r="38" spans="1:27" x14ac:dyDescent="0.2">
      <c r="A38" s="56">
        <v>35</v>
      </c>
      <c r="B38" s="56" t="s">
        <v>13221</v>
      </c>
      <c r="C38" s="340" t="s">
        <v>13346</v>
      </c>
      <c r="D38" s="344" t="s">
        <v>13285</v>
      </c>
      <c r="E38" s="344" t="s">
        <v>13285</v>
      </c>
      <c r="F38" s="344"/>
      <c r="G38" s="344"/>
      <c r="H38" s="345"/>
      <c r="I38" s="344" t="s">
        <v>13285</v>
      </c>
      <c r="J38" s="344" t="s">
        <v>13285</v>
      </c>
      <c r="K38" s="344"/>
      <c r="L38" s="345"/>
      <c r="M38" s="344" t="s">
        <v>13285</v>
      </c>
      <c r="N38" s="344"/>
      <c r="O38" s="344"/>
      <c r="P38" s="344" t="s">
        <v>13285</v>
      </c>
      <c r="Q38" s="344" t="s">
        <v>13285</v>
      </c>
      <c r="R38" s="344"/>
      <c r="S38" s="344"/>
      <c r="T38" s="346"/>
      <c r="U38" s="347"/>
      <c r="V38" s="344" t="s">
        <v>13285</v>
      </c>
      <c r="W38" s="344" t="s">
        <v>13285</v>
      </c>
      <c r="X38" s="345"/>
      <c r="Y38" s="344" t="s">
        <v>13285</v>
      </c>
      <c r="Z38" s="345" t="s">
        <v>13285</v>
      </c>
      <c r="AA38" s="56">
        <f t="shared" si="1"/>
        <v>11</v>
      </c>
    </row>
    <row r="39" spans="1:27" x14ac:dyDescent="0.2">
      <c r="A39" s="56">
        <v>36</v>
      </c>
      <c r="B39" s="56" t="s">
        <v>56</v>
      </c>
      <c r="C39" s="340" t="s">
        <v>13347</v>
      </c>
      <c r="D39" s="344" t="s">
        <v>13285</v>
      </c>
      <c r="E39" s="344" t="s">
        <v>13285</v>
      </c>
      <c r="F39" s="344"/>
      <c r="G39" s="344"/>
      <c r="H39" s="345"/>
      <c r="I39" s="344" t="s">
        <v>13285</v>
      </c>
      <c r="J39" s="344" t="s">
        <v>13285</v>
      </c>
      <c r="K39" s="344"/>
      <c r="L39" s="345"/>
      <c r="M39" s="344" t="s">
        <v>13285</v>
      </c>
      <c r="N39" s="344"/>
      <c r="O39" s="344"/>
      <c r="P39" s="344" t="s">
        <v>13285</v>
      </c>
      <c r="Q39" s="344" t="s">
        <v>13285</v>
      </c>
      <c r="R39" s="344"/>
      <c r="S39" s="344" t="s">
        <v>13285</v>
      </c>
      <c r="T39" s="346"/>
      <c r="U39" s="347" t="s">
        <v>13285</v>
      </c>
      <c r="V39" s="344" t="s">
        <v>13285</v>
      </c>
      <c r="W39" s="344" t="s">
        <v>13285</v>
      </c>
      <c r="X39" s="345"/>
      <c r="Y39" s="344"/>
      <c r="Z39" s="345" t="s">
        <v>13285</v>
      </c>
      <c r="AA39" s="56">
        <f t="shared" si="1"/>
        <v>12</v>
      </c>
    </row>
    <row r="40" spans="1:27" x14ac:dyDescent="0.2">
      <c r="A40" s="56">
        <v>37</v>
      </c>
      <c r="B40" s="56" t="s">
        <v>481</v>
      </c>
      <c r="C40" s="340" t="s">
        <v>13348</v>
      </c>
      <c r="D40" s="344"/>
      <c r="E40" s="344"/>
      <c r="F40" s="344"/>
      <c r="G40" s="344"/>
      <c r="H40" s="345"/>
      <c r="I40" s="344"/>
      <c r="J40" s="344"/>
      <c r="K40" s="344"/>
      <c r="L40" s="345"/>
      <c r="M40" s="344"/>
      <c r="N40" s="344"/>
      <c r="O40" s="344"/>
      <c r="P40" s="344"/>
      <c r="Q40" s="344"/>
      <c r="R40" s="344"/>
      <c r="S40" s="344"/>
      <c r="T40" s="346"/>
      <c r="U40" s="347"/>
      <c r="V40" s="344"/>
      <c r="W40" s="344"/>
      <c r="X40" s="345"/>
      <c r="Y40" s="344" t="s">
        <v>13285</v>
      </c>
      <c r="Z40" s="345" t="s">
        <v>13285</v>
      </c>
      <c r="AA40" s="56">
        <f t="shared" si="1"/>
        <v>2</v>
      </c>
    </row>
    <row r="41" spans="1:27" x14ac:dyDescent="0.2">
      <c r="A41" s="56">
        <v>38</v>
      </c>
      <c r="B41" s="56" t="s">
        <v>1417</v>
      </c>
      <c r="C41" s="340" t="s">
        <v>13349</v>
      </c>
      <c r="D41" s="344" t="s">
        <v>13285</v>
      </c>
      <c r="E41" s="344" t="s">
        <v>13285</v>
      </c>
      <c r="F41" s="344"/>
      <c r="G41" s="344"/>
      <c r="H41" s="345"/>
      <c r="I41" s="344" t="s">
        <v>13285</v>
      </c>
      <c r="J41" s="344" t="s">
        <v>13285</v>
      </c>
      <c r="K41" s="344"/>
      <c r="L41" s="345"/>
      <c r="M41" s="344" t="s">
        <v>13285</v>
      </c>
      <c r="N41" s="344"/>
      <c r="O41" s="344"/>
      <c r="P41" s="344" t="s">
        <v>13285</v>
      </c>
      <c r="Q41" s="344" t="s">
        <v>13285</v>
      </c>
      <c r="R41" s="344"/>
      <c r="S41" s="344"/>
      <c r="T41" s="346"/>
      <c r="U41" s="347"/>
      <c r="V41" s="344" t="s">
        <v>13285</v>
      </c>
      <c r="W41" s="344" t="s">
        <v>13285</v>
      </c>
      <c r="X41" s="345"/>
      <c r="Y41" s="344"/>
      <c r="Z41" s="345"/>
      <c r="AA41" s="56">
        <f t="shared" si="1"/>
        <v>9</v>
      </c>
    </row>
    <row r="42" spans="1:27" x14ac:dyDescent="0.2">
      <c r="A42" s="56">
        <v>39</v>
      </c>
      <c r="B42" s="56" t="s">
        <v>2354</v>
      </c>
      <c r="C42" s="340" t="s">
        <v>13350</v>
      </c>
      <c r="D42" s="344"/>
      <c r="E42" s="344"/>
      <c r="F42" s="344"/>
      <c r="G42" s="344"/>
      <c r="H42" s="345"/>
      <c r="I42" s="344"/>
      <c r="J42" s="344"/>
      <c r="K42" s="344"/>
      <c r="L42" s="345"/>
      <c r="M42" s="344"/>
      <c r="N42" s="344"/>
      <c r="O42" s="344"/>
      <c r="P42" s="344"/>
      <c r="Q42" s="344"/>
      <c r="R42" s="344"/>
      <c r="S42" s="344"/>
      <c r="T42" s="346"/>
      <c r="U42" s="347"/>
      <c r="V42" s="344"/>
      <c r="W42" s="344"/>
      <c r="X42" s="345"/>
      <c r="Y42" s="344" t="s">
        <v>13285</v>
      </c>
      <c r="Z42" s="345" t="s">
        <v>13285</v>
      </c>
      <c r="AA42" s="56">
        <f t="shared" si="1"/>
        <v>2</v>
      </c>
    </row>
    <row r="43" spans="1:27" x14ac:dyDescent="0.2">
      <c r="A43" s="56">
        <v>40</v>
      </c>
      <c r="B43" s="56" t="s">
        <v>2264</v>
      </c>
      <c r="C43" s="340" t="s">
        <v>13351</v>
      </c>
      <c r="D43" s="344"/>
      <c r="E43" s="344"/>
      <c r="F43" s="344"/>
      <c r="G43" s="344"/>
      <c r="H43" s="345"/>
      <c r="I43" s="344"/>
      <c r="J43" s="344"/>
      <c r="K43" s="344"/>
      <c r="L43" s="345"/>
      <c r="M43" s="344"/>
      <c r="N43" s="344"/>
      <c r="O43" s="344"/>
      <c r="P43" s="344"/>
      <c r="Q43" s="344"/>
      <c r="R43" s="344"/>
      <c r="S43" s="344"/>
      <c r="T43" s="346"/>
      <c r="U43" s="347"/>
      <c r="V43" s="344"/>
      <c r="W43" s="344"/>
      <c r="X43" s="345"/>
      <c r="Y43" s="344" t="s">
        <v>13285</v>
      </c>
      <c r="Z43" s="345" t="s">
        <v>13285</v>
      </c>
      <c r="AA43" s="56">
        <f t="shared" si="1"/>
        <v>2</v>
      </c>
    </row>
    <row r="44" spans="1:27" x14ac:dyDescent="0.2">
      <c r="A44" s="56">
        <v>41</v>
      </c>
      <c r="B44" s="56" t="s">
        <v>89</v>
      </c>
      <c r="C44" s="340" t="s">
        <v>13352</v>
      </c>
      <c r="D44" s="344"/>
      <c r="E44" s="344"/>
      <c r="F44" s="344"/>
      <c r="G44" s="344"/>
      <c r="H44" s="345"/>
      <c r="I44" s="344" t="s">
        <v>13285</v>
      </c>
      <c r="J44" s="344"/>
      <c r="K44" s="344"/>
      <c r="L44" s="345"/>
      <c r="M44" s="344"/>
      <c r="N44" s="344"/>
      <c r="O44" s="344"/>
      <c r="P44" s="344"/>
      <c r="Q44" s="344"/>
      <c r="R44" s="344"/>
      <c r="S44" s="344"/>
      <c r="T44" s="345" t="s">
        <v>13285</v>
      </c>
      <c r="U44" s="347"/>
      <c r="V44" s="344" t="s">
        <v>13285</v>
      </c>
      <c r="W44" s="344"/>
      <c r="X44" s="345"/>
      <c r="Y44" s="344"/>
      <c r="Z44" s="345"/>
      <c r="AA44" s="56">
        <f t="shared" si="1"/>
        <v>3</v>
      </c>
    </row>
    <row r="45" spans="1:27" x14ac:dyDescent="0.2">
      <c r="A45" s="56">
        <v>42</v>
      </c>
      <c r="B45" s="56" t="s">
        <v>1200</v>
      </c>
      <c r="C45" s="340" t="s">
        <v>13353</v>
      </c>
      <c r="D45" s="344"/>
      <c r="E45" s="344"/>
      <c r="F45" s="344"/>
      <c r="G45" s="344"/>
      <c r="H45" s="345"/>
      <c r="I45" s="344" t="s">
        <v>13285</v>
      </c>
      <c r="J45" s="344"/>
      <c r="K45" s="344"/>
      <c r="L45" s="345"/>
      <c r="M45" s="344"/>
      <c r="N45" s="344"/>
      <c r="O45" s="344"/>
      <c r="P45" s="344"/>
      <c r="Q45" s="344"/>
      <c r="R45" s="344"/>
      <c r="S45" s="344"/>
      <c r="T45" s="345" t="s">
        <v>13285</v>
      </c>
      <c r="U45" s="347"/>
      <c r="V45" s="344" t="s">
        <v>13285</v>
      </c>
      <c r="W45" s="344"/>
      <c r="X45" s="345"/>
      <c r="Y45" s="344"/>
      <c r="Z45" s="345"/>
      <c r="AA45" s="56">
        <f t="shared" si="1"/>
        <v>3</v>
      </c>
    </row>
    <row r="46" spans="1:27" x14ac:dyDescent="0.2">
      <c r="A46" s="56">
        <v>43</v>
      </c>
      <c r="B46" s="56" t="s">
        <v>2032</v>
      </c>
      <c r="C46" s="340" t="s">
        <v>13354</v>
      </c>
      <c r="D46" s="344" t="s">
        <v>13285</v>
      </c>
      <c r="E46" s="344"/>
      <c r="F46" s="344"/>
      <c r="G46" s="344"/>
      <c r="H46" s="345"/>
      <c r="I46" s="344" t="s">
        <v>13285</v>
      </c>
      <c r="J46" s="344"/>
      <c r="K46" s="344"/>
      <c r="L46" s="345"/>
      <c r="M46" s="344"/>
      <c r="N46" s="344"/>
      <c r="O46" s="344"/>
      <c r="P46" s="344"/>
      <c r="Q46" s="344"/>
      <c r="R46" s="344"/>
      <c r="S46" s="344"/>
      <c r="T46" s="346"/>
      <c r="U46" s="347" t="s">
        <v>13285</v>
      </c>
      <c r="V46" s="344" t="s">
        <v>13285</v>
      </c>
      <c r="W46" s="344" t="s">
        <v>13285</v>
      </c>
      <c r="X46" s="345"/>
      <c r="Y46" s="344"/>
      <c r="Z46" s="345"/>
      <c r="AA46" s="56">
        <f t="shared" si="1"/>
        <v>5</v>
      </c>
    </row>
    <row r="47" spans="1:27" x14ac:dyDescent="0.2">
      <c r="A47" s="56">
        <v>44</v>
      </c>
      <c r="B47" s="56" t="s">
        <v>272</v>
      </c>
      <c r="C47" s="340" t="s">
        <v>13355</v>
      </c>
      <c r="D47" s="344"/>
      <c r="E47" s="344"/>
      <c r="F47" s="344"/>
      <c r="G47" s="344"/>
      <c r="H47" s="345"/>
      <c r="I47" s="344"/>
      <c r="J47" s="344"/>
      <c r="K47" s="344"/>
      <c r="L47" s="345"/>
      <c r="M47" s="344"/>
      <c r="N47" s="344"/>
      <c r="O47" s="344"/>
      <c r="P47" s="344"/>
      <c r="Q47" s="344"/>
      <c r="R47" s="344"/>
      <c r="S47" s="344"/>
      <c r="T47" s="346"/>
      <c r="U47" s="347"/>
      <c r="V47" s="344"/>
      <c r="W47" s="344"/>
      <c r="X47" s="345"/>
      <c r="Y47" s="344" t="s">
        <v>13285</v>
      </c>
      <c r="Z47" s="345" t="s">
        <v>13285</v>
      </c>
      <c r="AA47" s="56">
        <f t="shared" si="1"/>
        <v>2</v>
      </c>
    </row>
    <row r="48" spans="1:27" x14ac:dyDescent="0.2">
      <c r="A48" s="56">
        <v>45</v>
      </c>
      <c r="B48" s="56" t="s">
        <v>97</v>
      </c>
      <c r="C48" s="340" t="s">
        <v>13356</v>
      </c>
      <c r="D48" s="344"/>
      <c r="E48" s="344"/>
      <c r="F48" s="344"/>
      <c r="G48" s="344"/>
      <c r="H48" s="345"/>
      <c r="I48" s="344"/>
      <c r="J48" s="344"/>
      <c r="K48" s="344"/>
      <c r="L48" s="345"/>
      <c r="M48" s="344"/>
      <c r="N48" s="344"/>
      <c r="O48" s="344"/>
      <c r="P48" s="344"/>
      <c r="Q48" s="344"/>
      <c r="R48" s="344"/>
      <c r="S48" s="344"/>
      <c r="T48" s="346"/>
      <c r="U48" s="347"/>
      <c r="V48" s="344"/>
      <c r="W48" s="344"/>
      <c r="X48" s="345"/>
      <c r="Y48" s="344" t="s">
        <v>13285</v>
      </c>
      <c r="Z48" s="345" t="s">
        <v>13285</v>
      </c>
      <c r="AA48" s="56">
        <f t="shared" si="1"/>
        <v>2</v>
      </c>
    </row>
    <row r="49" spans="1:27" x14ac:dyDescent="0.2">
      <c r="A49" s="56">
        <v>46</v>
      </c>
      <c r="B49" s="56" t="s">
        <v>78</v>
      </c>
      <c r="C49" s="340" t="s">
        <v>13357</v>
      </c>
      <c r="D49" s="344"/>
      <c r="E49" s="344"/>
      <c r="F49" s="344"/>
      <c r="G49" s="344"/>
      <c r="H49" s="345"/>
      <c r="I49" s="344"/>
      <c r="J49" s="344"/>
      <c r="K49" s="344"/>
      <c r="L49" s="345"/>
      <c r="M49" s="344"/>
      <c r="N49" s="344"/>
      <c r="O49" s="344"/>
      <c r="P49" s="344"/>
      <c r="Q49" s="344"/>
      <c r="R49" s="344"/>
      <c r="S49" s="344"/>
      <c r="T49" s="346"/>
      <c r="U49" s="347"/>
      <c r="V49" s="344"/>
      <c r="W49" s="344"/>
      <c r="X49" s="345"/>
      <c r="Y49" s="344" t="s">
        <v>13285</v>
      </c>
      <c r="Z49" s="345" t="s">
        <v>13285</v>
      </c>
      <c r="AA49" s="56">
        <f t="shared" si="1"/>
        <v>2</v>
      </c>
    </row>
    <row r="50" spans="1:27" x14ac:dyDescent="0.2">
      <c r="A50" s="56">
        <v>47</v>
      </c>
      <c r="B50" s="56" t="s">
        <v>1826</v>
      </c>
      <c r="C50" s="340" t="s">
        <v>13358</v>
      </c>
      <c r="D50" s="344"/>
      <c r="E50" s="344"/>
      <c r="F50" s="344"/>
      <c r="G50" s="344"/>
      <c r="H50" s="345"/>
      <c r="I50" s="344"/>
      <c r="J50" s="344"/>
      <c r="K50" s="344"/>
      <c r="L50" s="345"/>
      <c r="M50" s="344"/>
      <c r="N50" s="344"/>
      <c r="O50" s="344"/>
      <c r="P50" s="344"/>
      <c r="Q50" s="344"/>
      <c r="R50" s="344"/>
      <c r="S50" s="344"/>
      <c r="T50" s="346"/>
      <c r="U50" s="347"/>
      <c r="V50" s="344"/>
      <c r="W50" s="344"/>
      <c r="X50" s="345"/>
      <c r="Y50" s="344" t="s">
        <v>13285</v>
      </c>
      <c r="Z50" s="345" t="s">
        <v>13285</v>
      </c>
      <c r="AA50" s="56">
        <f t="shared" si="1"/>
        <v>2</v>
      </c>
    </row>
    <row r="51" spans="1:27" x14ac:dyDescent="0.2">
      <c r="A51" s="56">
        <v>48</v>
      </c>
      <c r="B51" s="56" t="s">
        <v>110</v>
      </c>
      <c r="C51" s="340" t="s">
        <v>13359</v>
      </c>
      <c r="D51" s="344"/>
      <c r="E51" s="344"/>
      <c r="F51" s="344"/>
      <c r="G51" s="344"/>
      <c r="H51" s="345"/>
      <c r="I51" s="344"/>
      <c r="J51" s="344"/>
      <c r="K51" s="344"/>
      <c r="L51" s="345"/>
      <c r="M51" s="344"/>
      <c r="N51" s="344"/>
      <c r="O51" s="344"/>
      <c r="P51" s="344"/>
      <c r="Q51" s="344"/>
      <c r="R51" s="344"/>
      <c r="S51" s="344"/>
      <c r="T51" s="346"/>
      <c r="U51" s="347"/>
      <c r="V51" s="344"/>
      <c r="W51" s="344"/>
      <c r="X51" s="345"/>
      <c r="Y51" s="344" t="s">
        <v>13285</v>
      </c>
      <c r="Z51" s="345" t="s">
        <v>13285</v>
      </c>
      <c r="AA51" s="56">
        <f t="shared" si="1"/>
        <v>2</v>
      </c>
    </row>
    <row r="52" spans="1:27" x14ac:dyDescent="0.2">
      <c r="A52" s="56">
        <v>49</v>
      </c>
      <c r="B52" s="56" t="s">
        <v>31</v>
      </c>
      <c r="C52" s="340" t="s">
        <v>13360</v>
      </c>
      <c r="D52" s="344"/>
      <c r="E52" s="344"/>
      <c r="F52" s="344"/>
      <c r="G52" s="344"/>
      <c r="H52" s="345"/>
      <c r="I52" s="344"/>
      <c r="J52" s="344"/>
      <c r="K52" s="344"/>
      <c r="L52" s="345"/>
      <c r="M52" s="344"/>
      <c r="N52" s="344"/>
      <c r="O52" s="344"/>
      <c r="P52" s="344"/>
      <c r="Q52" s="344"/>
      <c r="R52" s="344"/>
      <c r="S52" s="344"/>
      <c r="T52" s="346"/>
      <c r="U52" s="347"/>
      <c r="V52" s="344"/>
      <c r="W52" s="344"/>
      <c r="X52" s="345"/>
      <c r="Y52" s="344" t="s">
        <v>13285</v>
      </c>
      <c r="Z52" s="345" t="s">
        <v>13285</v>
      </c>
      <c r="AA52" s="56">
        <f t="shared" si="1"/>
        <v>2</v>
      </c>
    </row>
    <row r="53" spans="1:27" x14ac:dyDescent="0.2">
      <c r="A53" s="56">
        <v>50</v>
      </c>
      <c r="B53" s="56" t="s">
        <v>438</v>
      </c>
      <c r="C53" s="340" t="s">
        <v>13361</v>
      </c>
      <c r="D53" s="344"/>
      <c r="E53" s="344"/>
      <c r="F53" s="344"/>
      <c r="G53" s="344"/>
      <c r="H53" s="345"/>
      <c r="I53" s="344"/>
      <c r="J53" s="344"/>
      <c r="K53" s="344"/>
      <c r="L53" s="345"/>
      <c r="M53" s="344"/>
      <c r="N53" s="344"/>
      <c r="O53" s="344"/>
      <c r="P53" s="344"/>
      <c r="Q53" s="344"/>
      <c r="R53" s="344"/>
      <c r="S53" s="344"/>
      <c r="T53" s="346"/>
      <c r="U53" s="347"/>
      <c r="V53" s="344"/>
      <c r="W53" s="344"/>
      <c r="X53" s="345"/>
      <c r="Y53" s="344" t="s">
        <v>13285</v>
      </c>
      <c r="Z53" s="345" t="s">
        <v>13285</v>
      </c>
      <c r="AA53" s="56">
        <f t="shared" si="1"/>
        <v>2</v>
      </c>
    </row>
    <row r="54" spans="1:27" x14ac:dyDescent="0.2">
      <c r="A54" s="56">
        <v>51</v>
      </c>
      <c r="B54" s="56" t="s">
        <v>11324</v>
      </c>
      <c r="C54" s="340" t="s">
        <v>13362</v>
      </c>
      <c r="D54" s="344"/>
      <c r="E54" s="344"/>
      <c r="F54" s="344"/>
      <c r="G54" s="344"/>
      <c r="H54" s="345"/>
      <c r="I54" s="344"/>
      <c r="J54" s="344"/>
      <c r="K54" s="344"/>
      <c r="L54" s="345"/>
      <c r="M54" s="344"/>
      <c r="N54" s="344"/>
      <c r="O54" s="344"/>
      <c r="P54" s="344"/>
      <c r="Q54" s="344"/>
      <c r="R54" s="344"/>
      <c r="S54" s="344"/>
      <c r="T54" s="346"/>
      <c r="U54" s="347"/>
      <c r="V54" s="344"/>
      <c r="W54" s="344"/>
      <c r="X54" s="345"/>
      <c r="Y54" s="344" t="s">
        <v>13285</v>
      </c>
      <c r="Z54" s="345" t="s">
        <v>13285</v>
      </c>
      <c r="AA54" s="56">
        <f t="shared" si="1"/>
        <v>2</v>
      </c>
    </row>
    <row r="55" spans="1:27" x14ac:dyDescent="0.2">
      <c r="A55" s="56">
        <v>52</v>
      </c>
      <c r="B55" s="56" t="s">
        <v>945</v>
      </c>
      <c r="C55" s="340" t="s">
        <v>13363</v>
      </c>
      <c r="D55" s="344" t="s">
        <v>13285</v>
      </c>
      <c r="E55" s="344"/>
      <c r="F55" s="344"/>
      <c r="G55" s="344"/>
      <c r="H55" s="345"/>
      <c r="I55" s="344" t="s">
        <v>13285</v>
      </c>
      <c r="J55" s="344"/>
      <c r="K55" s="344"/>
      <c r="L55" s="345"/>
      <c r="M55" s="344"/>
      <c r="N55" s="344"/>
      <c r="O55" s="344"/>
      <c r="P55" s="344"/>
      <c r="Q55" s="344"/>
      <c r="R55" s="344"/>
      <c r="S55" s="344"/>
      <c r="T55" s="346"/>
      <c r="U55" s="347" t="s">
        <v>13285</v>
      </c>
      <c r="V55" s="344" t="s">
        <v>13285</v>
      </c>
      <c r="W55" s="344" t="s">
        <v>13285</v>
      </c>
      <c r="X55" s="345"/>
      <c r="Y55" s="344"/>
      <c r="Z55" s="345"/>
      <c r="AA55" s="56">
        <f t="shared" si="1"/>
        <v>5</v>
      </c>
    </row>
    <row r="56" spans="1:27" x14ac:dyDescent="0.2">
      <c r="A56" s="56">
        <v>53</v>
      </c>
      <c r="B56" s="56" t="s">
        <v>1120</v>
      </c>
      <c r="C56" s="340" t="s">
        <v>13364</v>
      </c>
      <c r="D56" s="344" t="s">
        <v>13285</v>
      </c>
      <c r="E56" s="344"/>
      <c r="F56" s="344"/>
      <c r="G56" s="344"/>
      <c r="H56" s="345"/>
      <c r="I56" s="344" t="s">
        <v>13285</v>
      </c>
      <c r="J56" s="344"/>
      <c r="K56" s="344"/>
      <c r="L56" s="345"/>
      <c r="M56" s="344"/>
      <c r="N56" s="344"/>
      <c r="O56" s="344"/>
      <c r="P56" s="344"/>
      <c r="Q56" s="344"/>
      <c r="R56" s="344"/>
      <c r="S56" s="344"/>
      <c r="T56" s="346"/>
      <c r="U56" s="347" t="s">
        <v>13285</v>
      </c>
      <c r="V56" s="344" t="s">
        <v>13285</v>
      </c>
      <c r="W56" s="344" t="s">
        <v>13285</v>
      </c>
      <c r="X56" s="345"/>
      <c r="Y56" s="344"/>
      <c r="Z56" s="345"/>
      <c r="AA56" s="56">
        <f t="shared" si="1"/>
        <v>5</v>
      </c>
    </row>
  </sheetData>
  <mergeCells count="5">
    <mergeCell ref="Y1:Z1"/>
    <mergeCell ref="V1:X1"/>
    <mergeCell ref="D1:H1"/>
    <mergeCell ref="I1:L1"/>
    <mergeCell ref="M1:T1"/>
  </mergeCells>
  <conditionalFormatting sqref="I4:J56 L4:N56 P4:Z56 A4:E56">
    <cfRule type="colorScale" priority="1">
      <colorScale>
        <cfvo type="min"/>
        <cfvo type="max"/>
        <color rgb="FF57BB8A"/>
        <color rgb="FFFFFFFF"/>
      </colorScale>
    </cfRule>
  </conditionalFormatting>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WoS</vt:lpstr>
      <vt:lpstr>SCOPUS</vt:lpstr>
      <vt:lpstr>IEEE</vt:lpstr>
      <vt:lpstr>SCIENCEDIRECT</vt:lpstr>
      <vt:lpstr>SPRINGER</vt:lpstr>
      <vt:lpstr>ACM</vt:lpstr>
      <vt:lpstr>Not Used</vt:lpstr>
      <vt:lpstr>ALL DATABASES</vt:lpstr>
      <vt:lpstr>Merge-Unique</vt:lpstr>
      <vt:lpstr>All relevant articles</vt:lpstr>
      <vt:lpstr>Matrix Evaluation Tables</vt:lpstr>
      <vt:lpstr>Trends</vt:lpstr>
      <vt:lpstr>TD to Development Acitvity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 Sutoyo</cp:lastModifiedBy>
  <dcterms:modified xsi:type="dcterms:W3CDTF">2024-02-21T08:38:39Z</dcterms:modified>
</cp:coreProperties>
</file>